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730" yWindow="7845" windowWidth="31410" windowHeight="12555" tabRatio="600" firstSheet="0" activeTab="1" autoFilterDateGrouping="1"/>
  </bookViews>
  <sheets>
    <sheet xmlns:r="http://schemas.openxmlformats.org/officeDocument/2006/relationships" name="ALL" sheetId="1" state="visible" r:id="rId1"/>
    <sheet xmlns:r="http://schemas.openxmlformats.org/officeDocument/2006/relationships" name="FINAL" sheetId="2" state="visible" r:id="rId2"/>
    <sheet xmlns:r="http://schemas.openxmlformats.org/officeDocument/2006/relationships" name="PRED_20260308_142636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</fonts>
  <fills count="11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1" fillId="0" borderId="1" applyAlignment="1" applyProtection="1" pivotButton="0" quotePrefix="0" xfId="0">
      <alignment horizontal="center" vertical="top"/>
      <protection locked="0" hidden="0"/>
    </xf>
    <xf numFmtId="0" fontId="1" fillId="3" borderId="1" applyAlignment="1" applyProtection="1" pivotButton="0" quotePrefix="0" xfId="0">
      <alignment horizontal="center" vertical="top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4" borderId="1" applyAlignment="1" applyProtection="1" pivotButton="0" quotePrefix="0" xfId="0">
      <alignment horizontal="center" vertical="top"/>
      <protection locked="0" hidden="0"/>
    </xf>
    <xf numFmtId="0" fontId="1" fillId="5" borderId="2" applyAlignment="1" applyProtection="1" pivotButton="0" quotePrefix="0" xfId="0">
      <alignment horizontal="center" vertical="top"/>
      <protection locked="0" hidden="0"/>
    </xf>
    <xf numFmtId="0" fontId="0" fillId="0" borderId="0" applyProtection="1" pivotButton="0" quotePrefix="0" xfId="0">
      <protection locked="0" hidden="0"/>
    </xf>
    <xf numFmtId="0" fontId="2" fillId="0" borderId="0" pivotButton="0" quotePrefix="0" xfId="1"/>
    <xf numFmtId="0" fontId="1" fillId="7" borderId="2" applyAlignment="1" applyProtection="1" pivotButton="0" quotePrefix="0" xfId="0">
      <alignment horizontal="center" vertical="top"/>
      <protection locked="0" hidden="0"/>
    </xf>
    <xf numFmtId="0" fontId="0" fillId="7" borderId="0" pivotButton="0" quotePrefix="0" xfId="0"/>
    <xf numFmtId="0" fontId="1" fillId="8" borderId="2" applyAlignment="1" applyProtection="1" pivotButton="0" quotePrefix="0" xfId="0">
      <alignment horizontal="center" vertical="top"/>
      <protection locked="0" hidden="0"/>
    </xf>
    <xf numFmtId="0" fontId="0" fillId="8" borderId="0" pivotButton="0" quotePrefix="0" xfId="0"/>
    <xf numFmtId="0" fontId="0" fillId="10" borderId="0" pivotButton="0" quotePrefix="0" xfId="0"/>
    <xf numFmtId="0" fontId="2" fillId="10" borderId="0" pivotButton="0" quotePrefix="0" xfId="1"/>
    <xf numFmtId="0" fontId="1" fillId="3" borderId="2" applyAlignment="1" applyProtection="1" pivotButton="0" quotePrefix="0" xfId="0">
      <alignment horizontal="center" vertical="top"/>
      <protection locked="0" hidden="0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10" borderId="0" applyAlignment="1" pivotButton="0" quotePrefix="0" xfId="0">
      <alignment horizontal="center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3" pivotButton="0" quotePrefix="0" xfId="0"/>
    <xf numFmtId="0" fontId="0" fillId="0" borderId="4" pivotButton="0" quotePrefix="0" xfId="0"/>
    <xf numFmtId="0" fontId="0" fillId="2" borderId="4" pivotButton="0" quotePrefix="0" xfId="0"/>
    <xf numFmtId="0" fontId="0" fillId="4" borderId="4" pivotButton="0" quotePrefix="0" xfId="0"/>
    <xf numFmtId="0" fontId="0" fillId="3" borderId="4" pivotButton="0" quotePrefix="0" xfId="0"/>
    <xf numFmtId="0" fontId="0" fillId="5" borderId="4" pivotButton="0" quotePrefix="0" xfId="0"/>
    <xf numFmtId="0" fontId="0" fillId="7" borderId="4" pivotButton="0" quotePrefix="0" xfId="0"/>
    <xf numFmtId="0" fontId="3" fillId="9" borderId="4" applyAlignment="1" pivotButton="0" quotePrefix="0" xfId="0">
      <alignment horizontal="center"/>
    </xf>
    <xf numFmtId="1" fontId="0" fillId="0" borderId="4" applyAlignment="1" pivotButton="0" quotePrefix="0" xfId="0">
      <alignment horizontal="center"/>
    </xf>
    <xf numFmtId="0" fontId="2" fillId="0" borderId="5" pivotButton="0" quotePrefix="0" xfId="1"/>
    <xf numFmtId="0" fontId="0" fillId="0" borderId="6" pivotButton="0" quotePrefix="0" xfId="0"/>
    <xf numFmtId="0" fontId="3" fillId="9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2" fillId="0" borderId="7" pivotButton="0" quotePrefix="0" xfId="1"/>
    <xf numFmtId="1" fontId="0" fillId="3" borderId="0" applyAlignment="1" pivotButton="0" quotePrefix="0" xfId="0">
      <alignment horizontal="center"/>
    </xf>
    <xf numFmtId="1" fontId="0" fillId="10" borderId="0" applyAlignment="1" pivotButton="0" quotePrefix="0" xfId="0">
      <alignment horizontal="center"/>
    </xf>
    <xf numFmtId="0" fontId="0" fillId="10" borderId="6" pivotButton="0" quotePrefix="0" xfId="0"/>
    <xf numFmtId="0" fontId="3" fillId="10" borderId="0" applyAlignment="1" pivotButton="0" quotePrefix="0" xfId="0">
      <alignment horizontal="center"/>
    </xf>
    <xf numFmtId="0" fontId="2" fillId="10" borderId="7" pivotButton="0" quotePrefix="0" xfId="1"/>
    <xf numFmtId="0" fontId="0" fillId="6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4" borderId="9" pivotButton="0" quotePrefix="0" xfId="0"/>
    <xf numFmtId="0" fontId="0" fillId="3" borderId="9" pivotButton="0" quotePrefix="0" xfId="0"/>
    <xf numFmtId="0" fontId="0" fillId="5" borderId="9" pivotButton="0" quotePrefix="0" xfId="0"/>
    <xf numFmtId="0" fontId="0" fillId="7" borderId="9" pivotButton="0" quotePrefix="0" xfId="0"/>
    <xf numFmtId="0" fontId="3" fillId="9" borderId="9" applyAlignment="1" pivotButton="0" quotePrefix="0" xfId="0">
      <alignment horizontal="center"/>
    </xf>
    <xf numFmtId="1" fontId="0" fillId="0" borderId="9" applyAlignment="1" pivotButton="0" quotePrefix="0" xfId="0">
      <alignment horizontal="center"/>
    </xf>
    <xf numFmtId="0" fontId="2" fillId="0" borderId="10" pivotButton="0" quotePrefix="0" xfId="1"/>
    <xf numFmtId="9" fontId="0" fillId="0" borderId="0" applyAlignment="1" pivotButton="0" quotePrefix="0" xfId="0">
      <alignment horizontal="center"/>
    </xf>
    <xf numFmtId="0" fontId="4" fillId="5" borderId="2" applyAlignment="1" applyProtection="1" pivotButton="0" quotePrefix="0" xfId="0">
      <alignment horizontal="center" vertical="top"/>
      <protection locked="0" hidden="0"/>
    </xf>
  </cellXfs>
  <cellStyles count="2">
    <cellStyle name="Normal" xfId="0" builtinId="0"/>
    <cellStyle name="Hipervíncul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95"/>
  <sheetViews>
    <sheetView workbookViewId="0">
      <selection activeCell="A1" sqref="A1"/>
    </sheetView>
  </sheetViews>
  <sheetFormatPr baseColWidth="10" defaultRowHeight="15"/>
  <cols>
    <col width="5.28515625" customWidth="1" min="1" max="1"/>
    <col width="11.5703125" customWidth="1" style="1" min="3" max="4"/>
    <col width="14.28515625" customWidth="1" min="11" max="11"/>
  </cols>
  <sheetData>
    <row r="1">
      <c r="A1" t="inlineStr">
        <is>
          <t>orden</t>
        </is>
      </c>
      <c r="B1" s="5" t="inlineStr">
        <is>
          <t>Identifier</t>
        </is>
      </c>
      <c r="C1" s="7" t="inlineStr">
        <is>
          <t>LAT</t>
        </is>
      </c>
      <c r="D1" s="7" t="inlineStr">
        <is>
          <t>LON</t>
        </is>
      </c>
      <c r="E1" s="8" t="inlineStr">
        <is>
          <t>Antonio Ruiz</t>
        </is>
      </c>
      <c r="F1" s="18" t="inlineStr">
        <is>
          <t>Alvaro</t>
        </is>
      </c>
      <c r="G1" s="9" t="inlineStr">
        <is>
          <t>Kassandra Niebisch</t>
        </is>
      </c>
      <c r="H1" s="12" t="inlineStr">
        <is>
          <t>MAAT</t>
        </is>
      </c>
      <c r="I1" s="14" t="inlineStr">
        <is>
          <t>FJAT</t>
        </is>
      </c>
      <c r="J1" s="22" t="inlineStr">
        <is>
          <t>Etiqueta</t>
        </is>
      </c>
      <c r="K1" s="6" t="inlineStr">
        <is>
          <t>Img</t>
        </is>
      </c>
      <c r="L1" s="10" t="inlineStr">
        <is>
          <t>Link_img</t>
        </is>
      </c>
      <c r="M1" s="10" t="inlineStr">
        <is>
          <t>estrategia</t>
        </is>
      </c>
    </row>
    <row r="2">
      <c r="A2" t="n">
        <v>1</v>
      </c>
      <c r="B2" t="inlineStr">
        <is>
          <t>A-490__564</t>
        </is>
      </c>
      <c r="C2" s="1" t="n">
        <v>37.4905848821</v>
      </c>
      <c r="D2" s="1" t="n">
        <v>-7.25369247382</v>
      </c>
      <c r="E2" s="3" t="n">
        <v>1</v>
      </c>
      <c r="F2" s="2" t="n">
        <v>1</v>
      </c>
      <c r="G2" s="4" t="n">
        <v>1</v>
      </c>
      <c r="H2" s="13" t="n"/>
      <c r="I2" s="15" t="n"/>
      <c r="J2" s="19" t="n">
        <v>1</v>
      </c>
      <c r="K2" s="2" t="inlineStr">
        <is>
          <t>marker_306_819233.png</t>
        </is>
      </c>
      <c r="L2" s="11">
        <f>HYPERLINK("1\0\" &amp; K2, "Ver Imagen")</f>
        <v/>
      </c>
      <c r="M2" t="inlineStr">
        <is>
          <t>Moda</t>
        </is>
      </c>
    </row>
    <row r="3">
      <c r="A3" t="n">
        <v>2</v>
      </c>
      <c r="B3" t="inlineStr">
        <is>
          <t>A-490__569</t>
        </is>
      </c>
      <c r="C3" s="1" t="n">
        <v>37.4904739997</v>
      </c>
      <c r="D3" s="1" t="n">
        <v>-7.25497482603</v>
      </c>
      <c r="E3" s="3" t="n">
        <v>1</v>
      </c>
      <c r="F3" s="2" t="n">
        <v>1</v>
      </c>
      <c r="G3" s="4" t="n">
        <v>1</v>
      </c>
      <c r="H3" s="13" t="n"/>
      <c r="I3" s="15" t="n"/>
      <c r="J3" s="19" t="n">
        <v>1</v>
      </c>
      <c r="K3" s="2" t="inlineStr">
        <is>
          <t>marker_718_819307.png</t>
        </is>
      </c>
      <c r="L3" s="11">
        <f>HYPERLINK("1\0\" &amp; K3, "Ver Imagen")</f>
        <v/>
      </c>
      <c r="M3" t="inlineStr">
        <is>
          <t>Moda</t>
        </is>
      </c>
    </row>
    <row r="4">
      <c r="A4" t="n">
        <v>3</v>
      </c>
      <c r="B4" t="inlineStr">
        <is>
          <t>A-490__572</t>
        </is>
      </c>
      <c r="C4" s="1" t="n">
        <v>37.4904082259</v>
      </c>
      <c r="D4" s="1" t="n">
        <v>-7.25574412662</v>
      </c>
      <c r="E4" s="3" t="n">
        <v>1</v>
      </c>
      <c r="F4" s="2" t="n">
        <v>1</v>
      </c>
      <c r="G4" s="4" t="n">
        <v>1</v>
      </c>
      <c r="H4" s="13" t="n"/>
      <c r="I4" s="15" t="n"/>
      <c r="J4" s="19" t="n">
        <v>1</v>
      </c>
      <c r="K4" s="2" t="inlineStr">
        <is>
          <t>marker_478_819358.png</t>
        </is>
      </c>
      <c r="L4" s="11">
        <f>HYPERLINK("1\0\" &amp; K4, "Ver Imagen")</f>
        <v/>
      </c>
      <c r="M4" t="inlineStr">
        <is>
          <t>Moda</t>
        </is>
      </c>
    </row>
    <row r="5">
      <c r="A5" t="n">
        <v>4</v>
      </c>
      <c r="B5" t="inlineStr">
        <is>
          <t>A-490__577</t>
        </is>
      </c>
      <c r="C5" s="1" t="n">
        <v>37.4902857716</v>
      </c>
      <c r="D5" s="1" t="n">
        <v>-7.2570025382</v>
      </c>
      <c r="E5" s="3" t="n">
        <v>1</v>
      </c>
      <c r="F5" s="2" t="n">
        <v>1</v>
      </c>
      <c r="G5" s="4" t="n">
        <v>1</v>
      </c>
      <c r="H5" s="13" t="n"/>
      <c r="I5" s="15" t="n"/>
      <c r="J5" s="19" t="n">
        <v>1</v>
      </c>
      <c r="K5" s="2" t="inlineStr">
        <is>
          <t>marker_851_819431.png</t>
        </is>
      </c>
      <c r="L5" s="11">
        <f>HYPERLINK("1\0\" &amp; K5, "Ver Imagen")</f>
        <v/>
      </c>
      <c r="M5" t="inlineStr">
        <is>
          <t>Moda</t>
        </is>
      </c>
    </row>
    <row r="6">
      <c r="A6" t="n">
        <v>5</v>
      </c>
      <c r="B6" t="inlineStr">
        <is>
          <t>A-490__580</t>
        </is>
      </c>
      <c r="C6" s="1" t="n">
        <v>37.4901839678</v>
      </c>
      <c r="D6" s="1" t="n">
        <v>-7.25774933283</v>
      </c>
      <c r="E6" s="3" t="n">
        <v>1</v>
      </c>
      <c r="F6" s="2" t="n">
        <v>1</v>
      </c>
      <c r="G6" s="4" t="n">
        <v>1</v>
      </c>
      <c r="H6" s="13" t="n"/>
      <c r="I6" s="15" t="n"/>
      <c r="J6" s="19" t="n">
        <v>1</v>
      </c>
      <c r="K6" s="2" t="inlineStr">
        <is>
          <t>marker_387_819473.png</t>
        </is>
      </c>
      <c r="L6" s="11">
        <f>HYPERLINK("1\0\" &amp; K6, "Ver Imagen")</f>
        <v/>
      </c>
      <c r="M6" t="inlineStr">
        <is>
          <t>Moda</t>
        </is>
      </c>
    </row>
    <row r="7">
      <c r="A7" t="n">
        <v>6</v>
      </c>
      <c r="B7" t="inlineStr">
        <is>
          <t>A-490__582</t>
        </is>
      </c>
      <c r="C7" s="1" t="n">
        <v>37.4901215166</v>
      </c>
      <c r="D7" s="1" t="n">
        <v>-7.25823158207</v>
      </c>
      <c r="E7" s="3" t="n">
        <v>1</v>
      </c>
      <c r="F7" s="2" t="n">
        <v>1</v>
      </c>
      <c r="G7" s="4" t="n">
        <v>1</v>
      </c>
      <c r="H7" s="13" t="n"/>
      <c r="I7" s="15" t="n"/>
      <c r="J7" s="19" t="n">
        <v>1</v>
      </c>
      <c r="K7" s="2" t="inlineStr">
        <is>
          <t>marker_683_819501.png</t>
        </is>
      </c>
      <c r="L7" s="11">
        <f>HYPERLINK("1\0\" &amp; K7, "Ver Imagen")</f>
        <v/>
      </c>
      <c r="M7" t="inlineStr">
        <is>
          <t>Moda</t>
        </is>
      </c>
    </row>
    <row r="8">
      <c r="A8" t="n">
        <v>7</v>
      </c>
      <c r="B8" t="inlineStr">
        <is>
          <t>A-490__617</t>
        </is>
      </c>
      <c r="C8" s="1" t="n">
        <v>37.4939120718</v>
      </c>
      <c r="D8" s="1" t="n">
        <v>-7.26525380477</v>
      </c>
      <c r="E8" s="3" t="n">
        <v>1</v>
      </c>
      <c r="F8" s="2" t="n">
        <v>1</v>
      </c>
      <c r="G8" s="4" t="n">
        <v>1</v>
      </c>
      <c r="H8" s="13" t="n"/>
      <c r="I8" s="15" t="n"/>
      <c r="J8" s="19" t="n">
        <v>1</v>
      </c>
      <c r="K8" s="2" t="inlineStr">
        <is>
          <t>marker_303_820275.png</t>
        </is>
      </c>
      <c r="L8" s="11">
        <f>HYPERLINK("1\0\" &amp; K8, "Ver Imagen")</f>
        <v/>
      </c>
      <c r="M8" t="inlineStr">
        <is>
          <t>Moda</t>
        </is>
      </c>
    </row>
    <row r="9">
      <c r="A9" t="n">
        <v>8</v>
      </c>
      <c r="B9" t="inlineStr">
        <is>
          <t>A-495R__116</t>
        </is>
      </c>
      <c r="C9" s="1" t="n">
        <v>37.465062512</v>
      </c>
      <c r="D9" s="1" t="n">
        <v>-7.12131727414</v>
      </c>
      <c r="E9" s="3" t="n">
        <v>1</v>
      </c>
      <c r="F9" s="2" t="n">
        <v>1</v>
      </c>
      <c r="G9" s="4" t="n">
        <v>1</v>
      </c>
      <c r="H9" s="13" t="n"/>
      <c r="I9" s="15" t="n"/>
      <c r="J9" s="19" t="n">
        <v>1</v>
      </c>
      <c r="K9" s="2" t="inlineStr">
        <is>
          <t>marker_263_895446.png</t>
        </is>
      </c>
      <c r="L9" s="11">
        <f>HYPERLINK("1\0\" &amp; K9, "Ver Imagen")</f>
        <v/>
      </c>
      <c r="M9" t="inlineStr">
        <is>
          <t>Moda</t>
        </is>
      </c>
    </row>
    <row r="10">
      <c r="A10" t="n">
        <v>9</v>
      </c>
      <c r="B10" t="inlineStr">
        <is>
          <t>A-495R__114</t>
        </is>
      </c>
      <c r="C10" s="1" t="n">
        <v>37.4649051778</v>
      </c>
      <c r="D10" s="1" t="n">
        <v>-7.12083626177</v>
      </c>
      <c r="E10" s="3" t="n">
        <v>1</v>
      </c>
      <c r="F10" s="2" t="n">
        <v>1</v>
      </c>
      <c r="G10" s="4" t="n">
        <v>1</v>
      </c>
      <c r="H10" s="13" t="n"/>
      <c r="I10" s="15" t="n"/>
      <c r="J10" s="19" t="n">
        <v>1</v>
      </c>
      <c r="K10" s="2" t="inlineStr">
        <is>
          <t>marker_846_895649.png</t>
        </is>
      </c>
      <c r="L10" s="11">
        <f>HYPERLINK("1\0\" &amp; K10, "Ver Imagen")</f>
        <v/>
      </c>
      <c r="M10" t="inlineStr">
        <is>
          <t>Moda</t>
        </is>
      </c>
    </row>
    <row r="11">
      <c r="A11" t="n">
        <v>10</v>
      </c>
      <c r="B11" t="inlineStr">
        <is>
          <t>A-495R__113</t>
        </is>
      </c>
      <c r="C11" s="1" t="n">
        <v>37.4648287939</v>
      </c>
      <c r="D11" s="1" t="n">
        <v>-7.12059778114</v>
      </c>
      <c r="E11" s="3" t="n">
        <v>1</v>
      </c>
      <c r="F11" s="2" t="n">
        <v>1</v>
      </c>
      <c r="G11" s="4" t="n">
        <v>1</v>
      </c>
      <c r="H11" s="13" t="n"/>
      <c r="I11" s="15" t="n"/>
      <c r="J11" s="19" t="n">
        <v>1</v>
      </c>
      <c r="K11" s="2" t="inlineStr">
        <is>
          <t>marker_460_895660.png</t>
        </is>
      </c>
      <c r="L11" s="11">
        <f>HYPERLINK("1\0\" &amp; K11, "Ver Imagen")</f>
        <v/>
      </c>
      <c r="M11" t="inlineStr">
        <is>
          <t>Moda</t>
        </is>
      </c>
    </row>
    <row r="12">
      <c r="A12" t="n">
        <v>11</v>
      </c>
      <c r="B12" t="inlineStr">
        <is>
          <t>A-495R__112</t>
        </is>
      </c>
      <c r="C12" s="1" t="n">
        <v>37.4647547887</v>
      </c>
      <c r="D12" s="1" t="n">
        <v>-7.12036788475</v>
      </c>
      <c r="E12" s="3" t="n">
        <v>1</v>
      </c>
      <c r="F12" s="2" t="n">
        <v>1</v>
      </c>
      <c r="G12" s="4" t="n">
        <v>1</v>
      </c>
      <c r="H12" s="13" t="n"/>
      <c r="I12" s="15" t="n"/>
      <c r="J12" s="19" t="n">
        <v>1</v>
      </c>
      <c r="K12" s="2" t="inlineStr">
        <is>
          <t>marker_946_895675.png</t>
        </is>
      </c>
      <c r="L12" s="11">
        <f>HYPERLINK("1\0\" &amp; K12, "Ver Imagen")</f>
        <v/>
      </c>
      <c r="M12" t="inlineStr">
        <is>
          <t>Moda</t>
        </is>
      </c>
    </row>
    <row r="13">
      <c r="A13" t="n">
        <v>12</v>
      </c>
      <c r="B13" t="inlineStr">
        <is>
          <t>A-495R__111</t>
        </is>
      </c>
      <c r="C13" s="1" t="n">
        <v>37.4646637015</v>
      </c>
      <c r="D13" s="1" t="n">
        <v>-7.12008140733</v>
      </c>
      <c r="E13" s="3" t="n">
        <v>1</v>
      </c>
      <c r="F13" s="2" t="n">
        <v>1</v>
      </c>
      <c r="G13" s="4" t="n">
        <v>1</v>
      </c>
      <c r="H13" s="13" t="n"/>
      <c r="I13" s="15" t="n"/>
      <c r="J13" s="19" t="n">
        <v>1</v>
      </c>
      <c r="K13" s="2" t="inlineStr">
        <is>
          <t>marker_201_895686.png</t>
        </is>
      </c>
      <c r="L13" s="11">
        <f>HYPERLINK("1\0\" &amp; K13, "Ver Imagen")</f>
        <v/>
      </c>
      <c r="M13" t="inlineStr">
        <is>
          <t>Moda</t>
        </is>
      </c>
    </row>
    <row r="14">
      <c r="A14" t="n">
        <v>13</v>
      </c>
      <c r="B14" t="inlineStr">
        <is>
          <t>A-495R__110</t>
        </is>
      </c>
      <c r="C14" s="1" t="n">
        <v>37.4645916325</v>
      </c>
      <c r="D14" s="1" t="n">
        <v>-7.11985857373</v>
      </c>
      <c r="E14" s="3" t="n">
        <v>1</v>
      </c>
      <c r="F14" s="2" t="n">
        <v>1</v>
      </c>
      <c r="G14" s="4" t="n">
        <v>1</v>
      </c>
      <c r="H14" s="13" t="n"/>
      <c r="I14" s="15" t="n"/>
      <c r="J14" s="19" t="n">
        <v>1</v>
      </c>
      <c r="K14" s="2" t="inlineStr">
        <is>
          <t>marker_787_895727.png</t>
        </is>
      </c>
      <c r="L14" s="11">
        <f>HYPERLINK("1\0\" &amp; K14, "Ver Imagen")</f>
        <v/>
      </c>
      <c r="M14" t="inlineStr">
        <is>
          <t>Moda</t>
        </is>
      </c>
    </row>
    <row r="15">
      <c r="A15" t="n">
        <v>14</v>
      </c>
      <c r="B15" t="inlineStr">
        <is>
          <t>A-495R__109</t>
        </is>
      </c>
      <c r="C15" s="1" t="n">
        <v>37.4645183226</v>
      </c>
      <c r="D15" s="1" t="n">
        <v>-7.11964083234</v>
      </c>
      <c r="E15" s="3" t="n">
        <v>1</v>
      </c>
      <c r="F15" s="2" t="n">
        <v>1</v>
      </c>
      <c r="G15" s="4" t="n">
        <v>1</v>
      </c>
      <c r="H15" s="13" t="n"/>
      <c r="I15" s="15" t="n"/>
      <c r="J15" s="19" t="n">
        <v>1</v>
      </c>
      <c r="K15" s="2" t="inlineStr">
        <is>
          <t>marker_979_895762.png</t>
        </is>
      </c>
      <c r="L15" s="11">
        <f>HYPERLINK("1\0\" &amp; K15, "Ver Imagen")</f>
        <v/>
      </c>
      <c r="M15" t="inlineStr">
        <is>
          <t>Moda</t>
        </is>
      </c>
    </row>
    <row r="16">
      <c r="A16" t="n">
        <v>15</v>
      </c>
      <c r="B16" t="inlineStr">
        <is>
          <t>A-5052__255</t>
        </is>
      </c>
      <c r="C16" s="1" t="n">
        <v>37.2131342418</v>
      </c>
      <c r="D16" s="1" t="n">
        <v>-7.06240666205</v>
      </c>
      <c r="E16" s="3" t="n">
        <v>1</v>
      </c>
      <c r="F16" s="2" t="n">
        <v>1</v>
      </c>
      <c r="G16" s="4" t="n">
        <v>1</v>
      </c>
      <c r="H16" s="13" t="n"/>
      <c r="I16" s="15" t="n"/>
      <c r="J16" s="19" t="n">
        <v>1</v>
      </c>
      <c r="K16" s="2" t="inlineStr">
        <is>
          <t>marker_728_960145.png</t>
        </is>
      </c>
      <c r="L16" s="11">
        <f>HYPERLINK("1\0\" &amp; K16, "Ver Imagen")</f>
        <v/>
      </c>
      <c r="M16" t="inlineStr">
        <is>
          <t>Moda</t>
        </is>
      </c>
    </row>
    <row r="17">
      <c r="A17" t="n">
        <v>16</v>
      </c>
      <c r="B17" t="inlineStr">
        <is>
          <t>A-5052__261</t>
        </is>
      </c>
      <c r="C17" s="1" t="n">
        <v>37.2127200097</v>
      </c>
      <c r="D17" s="1" t="n">
        <v>-7.06096965411</v>
      </c>
      <c r="E17" s="3" t="n">
        <v>1</v>
      </c>
      <c r="F17" s="2" t="n">
        <v>1</v>
      </c>
      <c r="G17" s="4" t="n">
        <v>1</v>
      </c>
      <c r="H17" s="13" t="n"/>
      <c r="I17" s="15" t="n"/>
      <c r="J17" s="19" t="n">
        <v>1</v>
      </c>
      <c r="K17" s="2" t="inlineStr">
        <is>
          <t>marker_817_960212.png</t>
        </is>
      </c>
      <c r="L17" s="11">
        <f>HYPERLINK("1\0\" &amp; K17, "Ver Imagen")</f>
        <v/>
      </c>
      <c r="M17" t="inlineStr">
        <is>
          <t>Moda</t>
        </is>
      </c>
    </row>
    <row r="18">
      <c r="A18" t="n">
        <v>17</v>
      </c>
      <c r="B18" t="inlineStr">
        <is>
          <t>A-5052__421</t>
        </is>
      </c>
      <c r="C18" s="1" t="n">
        <v>37.2030174225</v>
      </c>
      <c r="D18" s="1" t="n">
        <v>-7.02357485254</v>
      </c>
      <c r="E18" s="3" t="n">
        <v>1</v>
      </c>
      <c r="F18" s="2" t="n">
        <v>1</v>
      </c>
      <c r="G18" s="4" t="n">
        <v>1</v>
      </c>
      <c r="H18" s="13" t="n"/>
      <c r="I18" s="15" t="n"/>
      <c r="J18" s="19" t="n">
        <v>1</v>
      </c>
      <c r="K18" s="2" t="inlineStr">
        <is>
          <t>marker_870_962882.png</t>
        </is>
      </c>
      <c r="L18" s="11">
        <f>HYPERLINK("1\0\" &amp; K18, "Ver Imagen")</f>
        <v/>
      </c>
      <c r="M18" t="inlineStr">
        <is>
          <t>Moda</t>
        </is>
      </c>
    </row>
    <row r="19">
      <c r="A19" t="n">
        <v>18</v>
      </c>
      <c r="B19" t="inlineStr">
        <is>
          <t>A-5052__422</t>
        </is>
      </c>
      <c r="C19" s="1" t="n">
        <v>37.2029417726</v>
      </c>
      <c r="D19" s="1" t="n">
        <v>-7.02338006215</v>
      </c>
      <c r="E19" s="3" t="n">
        <v>1</v>
      </c>
      <c r="F19" s="2" t="n">
        <v>1</v>
      </c>
      <c r="G19" s="4" t="n">
        <v>1</v>
      </c>
      <c r="H19" s="13" t="n"/>
      <c r="I19" s="15" t="n"/>
      <c r="J19" s="19" t="n">
        <v>1</v>
      </c>
      <c r="K19" s="2" t="inlineStr">
        <is>
          <t>marker_828_962895.png</t>
        </is>
      </c>
      <c r="L19" s="11">
        <f>HYPERLINK("1\0\" &amp; K19, "Ver Imagen")</f>
        <v/>
      </c>
      <c r="M19" t="inlineStr">
        <is>
          <t>Moda</t>
        </is>
      </c>
    </row>
    <row r="20">
      <c r="A20" t="n">
        <v>19</v>
      </c>
      <c r="B20" t="inlineStr">
        <is>
          <t>A-5052__424</t>
        </is>
      </c>
      <c r="C20" s="1" t="n">
        <v>37.2027682632</v>
      </c>
      <c r="D20" s="1" t="n">
        <v>-7.02290963999</v>
      </c>
      <c r="E20" s="3" t="n">
        <v>1</v>
      </c>
      <c r="F20" s="2" t="n">
        <v>1</v>
      </c>
      <c r="G20" s="4" t="n">
        <v>1</v>
      </c>
      <c r="H20" s="13" t="n"/>
      <c r="I20" s="15" t="n"/>
      <c r="J20" s="19" t="n">
        <v>1</v>
      </c>
      <c r="K20" s="2" t="inlineStr">
        <is>
          <t>marker_322_962914.png</t>
        </is>
      </c>
      <c r="L20" s="11">
        <f>HYPERLINK("1\0\" &amp; K20, "Ver Imagen")</f>
        <v/>
      </c>
      <c r="M20" t="inlineStr">
        <is>
          <t>Moda</t>
        </is>
      </c>
    </row>
    <row r="21">
      <c r="A21" t="n">
        <v>20</v>
      </c>
      <c r="B21" t="inlineStr">
        <is>
          <t>A-5052__425</t>
        </is>
      </c>
      <c r="C21" s="1" t="n">
        <v>37.2026794199</v>
      </c>
      <c r="D21" s="1" t="n">
        <v>-7.02267521067</v>
      </c>
      <c r="E21" s="3" t="n">
        <v>1</v>
      </c>
      <c r="F21" s="2" t="n">
        <v>1</v>
      </c>
      <c r="G21" s="4" t="n">
        <v>1</v>
      </c>
      <c r="H21" s="13" t="n"/>
      <c r="I21" s="15" t="n"/>
      <c r="J21" s="19" t="n">
        <v>1</v>
      </c>
      <c r="K21" s="2" t="inlineStr">
        <is>
          <t>marker_362_962923.png</t>
        </is>
      </c>
      <c r="L21" s="11">
        <f>HYPERLINK("1\0\" &amp; K21, "Ver Imagen")</f>
        <v/>
      </c>
      <c r="M21" t="inlineStr">
        <is>
          <t>Moda</t>
        </is>
      </c>
    </row>
    <row r="22">
      <c r="A22" t="n">
        <v>21</v>
      </c>
      <c r="B22" t="inlineStr">
        <is>
          <t>A-5052__426</t>
        </is>
      </c>
      <c r="C22" s="1" t="n">
        <v>37.2025916403</v>
      </c>
      <c r="D22" s="1" t="n">
        <v>-7.0224453321</v>
      </c>
      <c r="E22" s="3" t="n">
        <v>1</v>
      </c>
      <c r="F22" s="2" t="n">
        <v>1</v>
      </c>
      <c r="G22" s="4" t="n">
        <v>1</v>
      </c>
      <c r="H22" s="13" t="n"/>
      <c r="I22" s="15" t="n"/>
      <c r="J22" s="19" t="n">
        <v>1</v>
      </c>
      <c r="K22" s="2" t="inlineStr">
        <is>
          <t>marker_493_962931.png</t>
        </is>
      </c>
      <c r="L22" s="11">
        <f>HYPERLINK("1\0\" &amp; K22, "Ver Imagen")</f>
        <v/>
      </c>
      <c r="M22" t="inlineStr">
        <is>
          <t>Moda</t>
        </is>
      </c>
    </row>
    <row r="23">
      <c r="A23" t="n">
        <v>22</v>
      </c>
      <c r="B23" t="inlineStr">
        <is>
          <t>A-5052__427</t>
        </is>
      </c>
      <c r="C23" s="1" t="n">
        <v>37.2025007426</v>
      </c>
      <c r="D23" s="1" t="n">
        <v>-7.02220926321</v>
      </c>
      <c r="E23" s="3" t="n">
        <v>1</v>
      </c>
      <c r="F23" s="2" t="n">
        <v>1</v>
      </c>
      <c r="G23" s="4" t="n">
        <v>1</v>
      </c>
      <c r="H23" s="13" t="n"/>
      <c r="I23" s="15" t="n"/>
      <c r="J23" s="19" t="n">
        <v>1</v>
      </c>
      <c r="K23" s="2" t="inlineStr">
        <is>
          <t>marker_636_962939.png</t>
        </is>
      </c>
      <c r="L23" s="11">
        <f>HYPERLINK("1\0\" &amp; K23, "Ver Imagen")</f>
        <v/>
      </c>
      <c r="M23" t="inlineStr">
        <is>
          <t>Moda</t>
        </is>
      </c>
    </row>
    <row r="24">
      <c r="A24" t="n">
        <v>23</v>
      </c>
      <c r="B24" t="inlineStr">
        <is>
          <t>A-5052__428</t>
        </is>
      </c>
      <c r="C24" s="1" t="n">
        <v>37.2024198177</v>
      </c>
      <c r="D24" s="1" t="n">
        <v>-7.02200075478</v>
      </c>
      <c r="E24" s="3" t="n">
        <v>1</v>
      </c>
      <c r="F24" s="2" t="n">
        <v>1</v>
      </c>
      <c r="G24" s="4" t="n">
        <v>1</v>
      </c>
      <c r="H24" s="13" t="n"/>
      <c r="I24" s="15" t="n"/>
      <c r="J24" s="19" t="n">
        <v>1</v>
      </c>
      <c r="K24" s="2" t="inlineStr">
        <is>
          <t>marker_988_962947.png</t>
        </is>
      </c>
      <c r="L24" s="11">
        <f>HYPERLINK("1\0\" &amp; K24, "Ver Imagen")</f>
        <v/>
      </c>
      <c r="M24" t="inlineStr">
        <is>
          <t>Moda</t>
        </is>
      </c>
    </row>
    <row r="25">
      <c r="A25" t="n">
        <v>24</v>
      </c>
      <c r="B25" t="inlineStr">
        <is>
          <t>A-5052__431</t>
        </is>
      </c>
      <c r="C25" s="1" t="n">
        <v>37.2021541074</v>
      </c>
      <c r="D25" s="1" t="n">
        <v>-7.02130689422</v>
      </c>
      <c r="E25" s="3" t="n">
        <v>1</v>
      </c>
      <c r="F25" s="2" t="n">
        <v>1</v>
      </c>
      <c r="G25" s="4" t="n">
        <v>1</v>
      </c>
      <c r="H25" s="13" t="n"/>
      <c r="I25" s="15" t="n"/>
      <c r="J25" s="19" t="n">
        <v>1</v>
      </c>
      <c r="K25" s="2" t="inlineStr">
        <is>
          <t>marker_898_962974.png</t>
        </is>
      </c>
      <c r="L25" s="11">
        <f>HYPERLINK("1\0\" &amp; K25, "Ver Imagen")</f>
        <v/>
      </c>
      <c r="M25" t="inlineStr">
        <is>
          <t>Moda</t>
        </is>
      </c>
    </row>
    <row r="26">
      <c r="A26" t="n">
        <v>25</v>
      </c>
      <c r="B26" t="inlineStr">
        <is>
          <t>A-5052__432</t>
        </is>
      </c>
      <c r="C26" s="1" t="n">
        <v>37.2020663522</v>
      </c>
      <c r="D26" s="1" t="n">
        <v>-7.02107645285</v>
      </c>
      <c r="E26" s="3" t="n">
        <v>1</v>
      </c>
      <c r="F26" s="2" t="n">
        <v>1</v>
      </c>
      <c r="G26" s="4" t="n">
        <v>1</v>
      </c>
      <c r="H26" s="13" t="n"/>
      <c r="I26" s="15" t="n"/>
      <c r="J26" s="19" t="n">
        <v>1</v>
      </c>
      <c r="K26" s="2" t="inlineStr">
        <is>
          <t>marker_839_962996.png</t>
        </is>
      </c>
      <c r="L26" s="11">
        <f>HYPERLINK("1\0\" &amp; K26, "Ver Imagen")</f>
        <v/>
      </c>
      <c r="M26" t="inlineStr">
        <is>
          <t>Moda</t>
        </is>
      </c>
    </row>
    <row r="27">
      <c r="A27" t="n">
        <v>26</v>
      </c>
      <c r="B27" t="inlineStr">
        <is>
          <t>A-5052__433</t>
        </is>
      </c>
      <c r="C27" s="1" t="n">
        <v>37.2019807667</v>
      </c>
      <c r="D27" s="1" t="n">
        <v>-7.02085271098</v>
      </c>
      <c r="E27" s="3" t="n">
        <v>1</v>
      </c>
      <c r="F27" s="2" t="n">
        <v>1</v>
      </c>
      <c r="G27" s="4" t="n">
        <v>1</v>
      </c>
      <c r="H27" s="13" t="n"/>
      <c r="I27" s="15" t="n"/>
      <c r="J27" s="19" t="n">
        <v>1</v>
      </c>
      <c r="K27" s="2" t="inlineStr">
        <is>
          <t>marker_439_963006.png</t>
        </is>
      </c>
      <c r="L27" s="11">
        <f>HYPERLINK("1\0\" &amp; K27, "Ver Imagen")</f>
        <v/>
      </c>
      <c r="M27" t="inlineStr">
        <is>
          <t>Moda</t>
        </is>
      </c>
    </row>
    <row r="28">
      <c r="A28" t="n">
        <v>27</v>
      </c>
      <c r="B28" t="inlineStr">
        <is>
          <t>A-5052__436</t>
        </is>
      </c>
      <c r="C28" s="1" t="n">
        <v>37.2017139417</v>
      </c>
      <c r="D28" s="1" t="n">
        <v>-7.02015977536</v>
      </c>
      <c r="E28" s="3" t="n">
        <v>1</v>
      </c>
      <c r="F28" s="2" t="n">
        <v>1</v>
      </c>
      <c r="G28" s="4" t="n">
        <v>1</v>
      </c>
      <c r="H28" s="13" t="n"/>
      <c r="I28" s="15" t="n"/>
      <c r="J28" s="19" t="n">
        <v>1</v>
      </c>
      <c r="K28" s="2" t="inlineStr">
        <is>
          <t>marker_455_963038.png</t>
        </is>
      </c>
      <c r="L28" s="11">
        <f>HYPERLINK("1\0\" &amp; K28, "Ver Imagen")</f>
        <v/>
      </c>
      <c r="M28" t="inlineStr">
        <is>
          <t>Moda</t>
        </is>
      </c>
    </row>
    <row r="29">
      <c r="A29" t="n">
        <v>28</v>
      </c>
      <c r="B29" t="inlineStr">
        <is>
          <t>A-5052__452</t>
        </is>
      </c>
      <c r="C29" s="1" t="n">
        <v>37.2003086704</v>
      </c>
      <c r="D29" s="1" t="n">
        <v>-7.0165034045</v>
      </c>
      <c r="E29" s="3" t="n">
        <v>1</v>
      </c>
      <c r="F29" s="2" t="n">
        <v>1</v>
      </c>
      <c r="G29" s="4" t="n">
        <v>1</v>
      </c>
      <c r="H29" s="13" t="n"/>
      <c r="I29" s="15" t="n"/>
      <c r="J29" s="19" t="n">
        <v>1</v>
      </c>
      <c r="K29" s="2" t="inlineStr">
        <is>
          <t>marker_490_963199.png</t>
        </is>
      </c>
      <c r="L29" s="11">
        <f>HYPERLINK("1\0\" &amp; K29, "Ver Imagen")</f>
        <v/>
      </c>
      <c r="M29" t="inlineStr">
        <is>
          <t>Moda</t>
        </is>
      </c>
    </row>
    <row r="30">
      <c r="A30" t="n">
        <v>29</v>
      </c>
      <c r="B30" t="inlineStr">
        <is>
          <t>A-5052__453</t>
        </is>
      </c>
      <c r="C30" s="1" t="n">
        <v>37.2002272942</v>
      </c>
      <c r="D30" s="1" t="n">
        <v>-7.01629366525</v>
      </c>
      <c r="E30" s="3" t="n">
        <v>1</v>
      </c>
      <c r="F30" s="2" t="n">
        <v>1</v>
      </c>
      <c r="G30" s="4" t="n">
        <v>1</v>
      </c>
      <c r="H30" s="13" t="n"/>
      <c r="I30" s="15" t="n"/>
      <c r="J30" s="19" t="n">
        <v>1</v>
      </c>
      <c r="K30" s="2" t="inlineStr">
        <is>
          <t>marker_439_963207.png</t>
        </is>
      </c>
      <c r="L30" s="11">
        <f>HYPERLINK("1\0\" &amp; K30, "Ver Imagen")</f>
        <v/>
      </c>
      <c r="M30" t="inlineStr">
        <is>
          <t>Moda</t>
        </is>
      </c>
    </row>
    <row r="31">
      <c r="A31" t="n">
        <v>30</v>
      </c>
      <c r="B31" t="inlineStr">
        <is>
          <t>A-5052__458</t>
        </is>
      </c>
      <c r="C31" s="1" t="n">
        <v>37.1997810481</v>
      </c>
      <c r="D31" s="1" t="n">
        <v>-7.01511430093</v>
      </c>
      <c r="E31" s="3" t="n">
        <v>1</v>
      </c>
      <c r="F31" s="2" t="n">
        <v>1</v>
      </c>
      <c r="G31" s="4" t="n">
        <v>1</v>
      </c>
      <c r="H31" s="13" t="n"/>
      <c r="I31" s="15" t="n"/>
      <c r="J31" s="19" t="n">
        <v>1</v>
      </c>
      <c r="K31" s="2" t="inlineStr">
        <is>
          <t>marker_545_963261.png</t>
        </is>
      </c>
      <c r="L31" s="11">
        <f>HYPERLINK("1\0\" &amp; K31, "Ver Imagen")</f>
        <v/>
      </c>
      <c r="M31" t="inlineStr">
        <is>
          <t>Moda</t>
        </is>
      </c>
    </row>
    <row r="32">
      <c r="A32" t="n">
        <v>31</v>
      </c>
      <c r="B32" t="inlineStr">
        <is>
          <t>A-5052__463</t>
        </is>
      </c>
      <c r="C32" s="1" t="n">
        <v>37.1993582295</v>
      </c>
      <c r="D32" s="1" t="n">
        <v>-7.01401269849</v>
      </c>
      <c r="E32" s="3" t="n">
        <v>1</v>
      </c>
      <c r="F32" s="2" t="n">
        <v>1</v>
      </c>
      <c r="G32" s="4" t="n">
        <v>1</v>
      </c>
      <c r="H32" s="13" t="n"/>
      <c r="I32" s="15" t="n"/>
      <c r="J32" s="19" t="n">
        <v>1</v>
      </c>
      <c r="K32" s="2" t="inlineStr">
        <is>
          <t>marker_563_963306.png</t>
        </is>
      </c>
      <c r="L32" s="11">
        <f>HYPERLINK("1\0\" &amp; K32, "Ver Imagen")</f>
        <v/>
      </c>
      <c r="M32" t="inlineStr">
        <is>
          <t>Moda</t>
        </is>
      </c>
    </row>
    <row r="33">
      <c r="A33" t="n">
        <v>32</v>
      </c>
      <c r="B33" t="inlineStr">
        <is>
          <t>A-5052__464</t>
        </is>
      </c>
      <c r="C33" s="1" t="n">
        <v>37.199265428</v>
      </c>
      <c r="D33" s="1" t="n">
        <v>-7.01377104109</v>
      </c>
      <c r="E33" s="3" t="n">
        <v>1</v>
      </c>
      <c r="F33" s="2" t="n">
        <v>1</v>
      </c>
      <c r="G33" s="4" t="n">
        <v>1</v>
      </c>
      <c r="H33" s="13" t="n"/>
      <c r="I33" s="15" t="n"/>
      <c r="J33" s="19" t="n">
        <v>1</v>
      </c>
      <c r="K33" s="2" t="inlineStr">
        <is>
          <t>marker_843_963316.png</t>
        </is>
      </c>
      <c r="L33" s="11">
        <f>HYPERLINK("1\0\" &amp; K33, "Ver Imagen")</f>
        <v/>
      </c>
      <c r="M33" t="inlineStr">
        <is>
          <t>Moda</t>
        </is>
      </c>
    </row>
    <row r="34">
      <c r="A34" t="n">
        <v>33</v>
      </c>
      <c r="B34" t="inlineStr">
        <is>
          <t>A-5052__465</t>
        </is>
      </c>
      <c r="C34" s="1" t="n">
        <v>37.1991744016</v>
      </c>
      <c r="D34" s="1" t="n">
        <v>-7.01353512154</v>
      </c>
      <c r="E34" s="3" t="n">
        <v>1</v>
      </c>
      <c r="F34" s="2" t="n">
        <v>1</v>
      </c>
      <c r="G34" s="4" t="n">
        <v>1</v>
      </c>
      <c r="H34" s="13" t="n"/>
      <c r="I34" s="15" t="n"/>
      <c r="J34" s="19" t="n">
        <v>1</v>
      </c>
      <c r="K34" s="2" t="inlineStr">
        <is>
          <t>marker_224_963344.png</t>
        </is>
      </c>
      <c r="L34" s="11">
        <f>HYPERLINK("1\0\" &amp; K34, "Ver Imagen")</f>
        <v/>
      </c>
      <c r="M34" t="inlineStr">
        <is>
          <t>Moda</t>
        </is>
      </c>
    </row>
    <row r="35">
      <c r="A35" t="n">
        <v>34</v>
      </c>
      <c r="B35" t="inlineStr">
        <is>
          <t>A-5052__485</t>
        </is>
      </c>
      <c r="C35" s="1" t="n">
        <v>37.1974462202</v>
      </c>
      <c r="D35" s="1" t="n">
        <v>-7.00898306179</v>
      </c>
      <c r="E35" s="3" t="n">
        <v>1</v>
      </c>
      <c r="F35" s="2" t="n">
        <v>1</v>
      </c>
      <c r="G35" s="4" t="n">
        <v>1</v>
      </c>
      <c r="H35" s="13" t="n"/>
      <c r="I35" s="15" t="n"/>
      <c r="J35" s="19" t="n">
        <v>1</v>
      </c>
      <c r="K35" s="2" t="inlineStr">
        <is>
          <t>marker_345_963541.png</t>
        </is>
      </c>
      <c r="L35" s="11">
        <f>HYPERLINK("1\0\" &amp; K35, "Ver Imagen")</f>
        <v/>
      </c>
      <c r="M35" t="inlineStr">
        <is>
          <t>Moda</t>
        </is>
      </c>
    </row>
    <row r="36">
      <c r="A36" t="n">
        <v>35</v>
      </c>
      <c r="B36" t="inlineStr">
        <is>
          <t>A-5052__486</t>
        </is>
      </c>
      <c r="C36" s="1" t="n">
        <v>37.1973939036</v>
      </c>
      <c r="D36" s="1" t="n">
        <v>-7.0087512994</v>
      </c>
      <c r="E36" s="3" t="n">
        <v>1</v>
      </c>
      <c r="F36" s="2" t="n">
        <v>1</v>
      </c>
      <c r="G36" s="4" t="n">
        <v>1</v>
      </c>
      <c r="H36" s="13" t="n"/>
      <c r="I36" s="15" t="n"/>
      <c r="J36" s="19" t="n">
        <v>1</v>
      </c>
      <c r="K36" s="2" t="inlineStr">
        <is>
          <t>marker_546_963550.png</t>
        </is>
      </c>
      <c r="L36" s="11">
        <f>HYPERLINK("1\0\" &amp; K36, "Ver Imagen")</f>
        <v/>
      </c>
      <c r="M36" t="inlineStr">
        <is>
          <t>Moda</t>
        </is>
      </c>
    </row>
    <row r="37">
      <c r="A37" t="n">
        <v>36</v>
      </c>
      <c r="B37" t="inlineStr">
        <is>
          <t>A-5052__488</t>
        </is>
      </c>
      <c r="C37" s="1" t="n">
        <v>37.1973261495</v>
      </c>
      <c r="D37" s="1" t="n">
        <v>-7.00825405601</v>
      </c>
      <c r="E37" s="3" t="n">
        <v>1</v>
      </c>
      <c r="F37" s="2" t="n">
        <v>1</v>
      </c>
      <c r="G37" s="4" t="n">
        <v>1</v>
      </c>
      <c r="H37" s="13" t="n"/>
      <c r="I37" s="15" t="n"/>
      <c r="J37" s="19" t="n">
        <v>1</v>
      </c>
      <c r="K37" s="2" t="inlineStr">
        <is>
          <t>marker_401_963569.png</t>
        </is>
      </c>
      <c r="L37" s="11">
        <f>HYPERLINK("1\0\" &amp; K37, "Ver Imagen")</f>
        <v/>
      </c>
      <c r="M37" t="inlineStr">
        <is>
          <t>Moda</t>
        </is>
      </c>
    </row>
    <row r="38">
      <c r="A38" t="n">
        <v>37</v>
      </c>
      <c r="B38" t="inlineStr">
        <is>
          <t>A-5052__494</t>
        </is>
      </c>
      <c r="C38" s="1" t="n">
        <v>37.1971769668</v>
      </c>
      <c r="D38" s="1" t="n">
        <v>-7.00670160414</v>
      </c>
      <c r="E38" s="3" t="n">
        <v>1</v>
      </c>
      <c r="F38" s="2" t="n">
        <v>1</v>
      </c>
      <c r="G38" s="4" t="n">
        <v>1</v>
      </c>
      <c r="H38" s="13" t="n"/>
      <c r="I38" s="15" t="n"/>
      <c r="J38" s="19" t="n">
        <v>1</v>
      </c>
      <c r="K38" s="2" t="inlineStr">
        <is>
          <t>marker_626_963624.png</t>
        </is>
      </c>
      <c r="L38" s="11">
        <f>HYPERLINK("1\0\" &amp; K38, "Ver Imagen")</f>
        <v/>
      </c>
      <c r="M38" t="inlineStr">
        <is>
          <t>Moda</t>
        </is>
      </c>
    </row>
    <row r="39">
      <c r="A39" t="n">
        <v>38</v>
      </c>
      <c r="B39" t="inlineStr">
        <is>
          <t>A-495_1__88</t>
        </is>
      </c>
      <c r="C39" s="1" t="n">
        <v>37.465212517</v>
      </c>
      <c r="D39" s="1" t="n">
        <v>-7.12307771163</v>
      </c>
      <c r="E39" s="3" t="n">
        <v>1</v>
      </c>
      <c r="F39" s="2" t="n">
        <v>1</v>
      </c>
      <c r="G39" s="4" t="n">
        <v>1</v>
      </c>
      <c r="H39" s="13" t="n"/>
      <c r="I39" s="15" t="n"/>
      <c r="J39" s="19" t="n">
        <v>1</v>
      </c>
      <c r="K39" s="2" t="inlineStr">
        <is>
          <t>marker_291_385165.png</t>
        </is>
      </c>
      <c r="L39" s="11">
        <f>HYPERLINK("1\0\" &amp; K39, "Ver Imagen")</f>
        <v/>
      </c>
      <c r="M39" t="inlineStr">
        <is>
          <t>Moda</t>
        </is>
      </c>
    </row>
    <row r="40">
      <c r="A40" t="n">
        <v>39</v>
      </c>
      <c r="B40" t="inlineStr">
        <is>
          <t>A-495_1__51</t>
        </is>
      </c>
      <c r="C40" s="1" t="n">
        <v>37.4580456355</v>
      </c>
      <c r="D40" s="1" t="n">
        <v>-7.12560935351</v>
      </c>
      <c r="E40" s="3" t="n">
        <v>1</v>
      </c>
      <c r="F40" s="2" t="n">
        <v>1</v>
      </c>
      <c r="G40" s="4" t="n">
        <v>1</v>
      </c>
      <c r="H40" s="13" t="n"/>
      <c r="I40" s="15" t="n"/>
      <c r="J40" s="19" t="n">
        <v>1</v>
      </c>
      <c r="K40" s="2" t="inlineStr">
        <is>
          <t>marker_539_385553.png</t>
        </is>
      </c>
      <c r="L40" s="11">
        <f>HYPERLINK("1\0\" &amp; K40, "Ver Imagen")</f>
        <v/>
      </c>
      <c r="M40" t="inlineStr">
        <is>
          <t>Moda</t>
        </is>
      </c>
    </row>
    <row r="41">
      <c r="A41" t="n">
        <v>40</v>
      </c>
      <c r="B41" t="inlineStr">
        <is>
          <t>A-495_1__29</t>
        </is>
      </c>
      <c r="C41" s="1" t="n">
        <v>37.4537768802</v>
      </c>
      <c r="D41" s="1" t="n">
        <v>-7.12715749496</v>
      </c>
      <c r="E41" s="3" t="n">
        <v>1</v>
      </c>
      <c r="F41" s="2" t="n">
        <v>1</v>
      </c>
      <c r="G41" s="4" t="n">
        <v>1</v>
      </c>
      <c r="H41" s="13" t="n"/>
      <c r="I41" s="15" t="n"/>
      <c r="J41" s="19" t="n">
        <v>1</v>
      </c>
      <c r="K41" s="2" t="inlineStr">
        <is>
          <t>marker_667_385889.png</t>
        </is>
      </c>
      <c r="L41" s="11">
        <f>HYPERLINK("1\0\" &amp; K41, "Ver Imagen")</f>
        <v/>
      </c>
      <c r="M41" t="inlineStr">
        <is>
          <t>Moda</t>
        </is>
      </c>
    </row>
    <row r="42">
      <c r="A42" t="n">
        <v>41</v>
      </c>
      <c r="B42" t="inlineStr">
        <is>
          <t>A-497_2C__173</t>
        </is>
      </c>
      <c r="C42" s="1" t="n">
        <v>37.265425982</v>
      </c>
      <c r="D42" s="1" t="n">
        <v>-6.99644846224</v>
      </c>
      <c r="E42" s="3" t="n">
        <v>1</v>
      </c>
      <c r="F42" s="2" t="n">
        <v>1</v>
      </c>
      <c r="G42" s="4" t="n">
        <v>1</v>
      </c>
      <c r="H42" s="13" t="n"/>
      <c r="I42" s="15" t="n"/>
      <c r="J42" s="19" t="n">
        <v>1</v>
      </c>
      <c r="K42" s="2" t="inlineStr">
        <is>
          <t>marker_618_656226.png</t>
        </is>
      </c>
      <c r="L42" s="11">
        <f>HYPERLINK("1\0\" &amp; K42, "Ver Imagen")</f>
        <v/>
      </c>
      <c r="M42" t="inlineStr">
        <is>
          <t>Moda</t>
        </is>
      </c>
    </row>
    <row r="43">
      <c r="A43" t="n">
        <v>42</v>
      </c>
      <c r="B43" t="inlineStr">
        <is>
          <t>A-497_2C__174</t>
        </is>
      </c>
      <c r="C43" s="1" t="n">
        <v>37.2653737997</v>
      </c>
      <c r="D43" s="1" t="n">
        <v>-6.99670619432</v>
      </c>
      <c r="E43" s="3" t="n">
        <v>1</v>
      </c>
      <c r="F43" s="2" t="n">
        <v>1</v>
      </c>
      <c r="G43" s="4" t="n">
        <v>1</v>
      </c>
      <c r="H43" s="13" t="n"/>
      <c r="I43" s="15" t="n"/>
      <c r="J43" s="19" t="n">
        <v>1</v>
      </c>
      <c r="K43" s="2" t="inlineStr">
        <is>
          <t>marker_487_656235.png</t>
        </is>
      </c>
      <c r="L43" s="11">
        <f>HYPERLINK("1\0\" &amp; K43, "Ver Imagen")</f>
        <v/>
      </c>
      <c r="M43" t="inlineStr">
        <is>
          <t>Moda</t>
        </is>
      </c>
    </row>
    <row r="44">
      <c r="A44" t="n">
        <v>43</v>
      </c>
      <c r="B44" t="inlineStr">
        <is>
          <t>A-497_2C__175</t>
        </is>
      </c>
      <c r="C44" s="1" t="n">
        <v>37.2653284645</v>
      </c>
      <c r="D44" s="1" t="n">
        <v>-6.99693628005</v>
      </c>
      <c r="E44" s="3" t="n">
        <v>1</v>
      </c>
      <c r="F44" s="2" t="n">
        <v>1</v>
      </c>
      <c r="G44" s="4" t="n">
        <v>1</v>
      </c>
      <c r="H44" s="13" t="n"/>
      <c r="I44" s="15" t="n"/>
      <c r="J44" s="19" t="n">
        <v>1</v>
      </c>
      <c r="K44" s="2" t="inlineStr">
        <is>
          <t>marker_686_656246.png</t>
        </is>
      </c>
      <c r="L44" s="11">
        <f>HYPERLINK("1\0\" &amp; K44, "Ver Imagen")</f>
        <v/>
      </c>
      <c r="M44" t="inlineStr">
        <is>
          <t>Moda</t>
        </is>
      </c>
    </row>
    <row r="45">
      <c r="A45" t="n">
        <v>44</v>
      </c>
      <c r="B45" t="inlineStr">
        <is>
          <t>A-497_2C__507</t>
        </is>
      </c>
      <c r="C45" s="1" t="n">
        <v>37.208885279</v>
      </c>
      <c r="D45" s="1" t="n">
        <v>-7.02317399888</v>
      </c>
      <c r="E45" s="3" t="n">
        <v>1</v>
      </c>
      <c r="F45" s="2" t="n">
        <v>1</v>
      </c>
      <c r="G45" s="4" t="n">
        <v>1</v>
      </c>
      <c r="H45" s="13" t="n"/>
      <c r="I45" s="15" t="n"/>
      <c r="J45" s="19" t="n">
        <v>1</v>
      </c>
      <c r="K45" s="2" t="inlineStr">
        <is>
          <t>marker_495_364130.png</t>
        </is>
      </c>
      <c r="L45" s="11">
        <f>HYPERLINK("1\0\" &amp; K45, "Ver Imagen")</f>
        <v/>
      </c>
      <c r="M45" t="inlineStr">
        <is>
          <t>Moda</t>
        </is>
      </c>
    </row>
    <row r="46">
      <c r="A46" t="n">
        <v>45</v>
      </c>
      <c r="B46" t="inlineStr">
        <is>
          <t>A-497__412</t>
        </is>
      </c>
      <c r="C46" s="1" t="n">
        <v>37.2285615402</v>
      </c>
      <c r="D46" s="1" t="n">
        <v>-7.02135240554</v>
      </c>
      <c r="E46" s="3" t="n">
        <v>1</v>
      </c>
      <c r="F46" s="2" t="n">
        <v>1</v>
      </c>
      <c r="G46" s="4" t="n">
        <v>1</v>
      </c>
      <c r="H46" s="13" t="n"/>
      <c r="I46" s="15" t="n"/>
      <c r="J46" s="19" t="n">
        <v>1</v>
      </c>
      <c r="K46" s="2" t="inlineStr">
        <is>
          <t>marker_583_377084.png</t>
        </is>
      </c>
      <c r="L46" s="11">
        <f>HYPERLINK("1\0\" &amp; K46, "Ver Imagen")</f>
        <v/>
      </c>
      <c r="M46" t="inlineStr">
        <is>
          <t>Moda</t>
        </is>
      </c>
    </row>
    <row r="47">
      <c r="A47" t="n">
        <v>46</v>
      </c>
      <c r="B47" t="inlineStr">
        <is>
          <t>A-497__411</t>
        </is>
      </c>
      <c r="C47" s="1" t="n">
        <v>37.228707952</v>
      </c>
      <c r="D47" s="1" t="n">
        <v>-7.02123956101</v>
      </c>
      <c r="E47" s="3" t="n">
        <v>1</v>
      </c>
      <c r="F47" s="2" t="n">
        <v>1</v>
      </c>
      <c r="G47" s="4" t="n">
        <v>1</v>
      </c>
      <c r="H47" s="13" t="n"/>
      <c r="I47" s="15" t="n"/>
      <c r="J47" s="19" t="n">
        <v>1</v>
      </c>
      <c r="K47" s="2" t="inlineStr">
        <is>
          <t>marker_448_377091.png</t>
        </is>
      </c>
      <c r="L47" s="11">
        <f>HYPERLINK("1\0\" &amp; K47, "Ver Imagen")</f>
        <v/>
      </c>
      <c r="M47" t="inlineStr">
        <is>
          <t>Moda</t>
        </is>
      </c>
    </row>
    <row r="48">
      <c r="A48" t="n">
        <v>47</v>
      </c>
      <c r="B48" t="inlineStr">
        <is>
          <t>A-497__410</t>
        </is>
      </c>
      <c r="C48" s="1" t="n">
        <v>37.2288344918</v>
      </c>
      <c r="D48" s="1" t="n">
        <v>-7.02114249645</v>
      </c>
      <c r="E48" s="3" t="n">
        <v>1</v>
      </c>
      <c r="F48" s="2" t="n">
        <v>1</v>
      </c>
      <c r="G48" s="4" t="n">
        <v>1</v>
      </c>
      <c r="H48" s="13" t="n"/>
      <c r="I48" s="15" t="n"/>
      <c r="J48" s="19" t="n">
        <v>1</v>
      </c>
      <c r="K48" s="2" t="inlineStr">
        <is>
          <t>marker_622_377099.png</t>
        </is>
      </c>
      <c r="L48" s="11">
        <f>HYPERLINK("1\0\" &amp; K48, "Ver Imagen")</f>
        <v/>
      </c>
      <c r="M48" t="inlineStr">
        <is>
          <t>Moda</t>
        </is>
      </c>
    </row>
    <row r="49">
      <c r="A49" t="n">
        <v>48</v>
      </c>
      <c r="B49" t="inlineStr">
        <is>
          <t>A-497__409</t>
        </is>
      </c>
      <c r="C49" s="1" t="n">
        <v>37.2290287006</v>
      </c>
      <c r="D49" s="1" t="n">
        <v>-7.02099454952</v>
      </c>
      <c r="E49" s="3" t="n">
        <v>1</v>
      </c>
      <c r="F49" s="2" t="n">
        <v>1</v>
      </c>
      <c r="G49" s="4" t="n">
        <v>1</v>
      </c>
      <c r="H49" s="13" t="n"/>
      <c r="I49" s="15" t="n"/>
      <c r="J49" s="19" t="n">
        <v>1</v>
      </c>
      <c r="K49" s="2" t="inlineStr">
        <is>
          <t>marker_820_377108.png</t>
        </is>
      </c>
      <c r="L49" s="11">
        <f>HYPERLINK("1\0\" &amp; K49, "Ver Imagen")</f>
        <v/>
      </c>
      <c r="M49" t="inlineStr">
        <is>
          <t>Moda</t>
        </is>
      </c>
    </row>
    <row r="50">
      <c r="A50" t="n">
        <v>49</v>
      </c>
      <c r="B50" t="inlineStr">
        <is>
          <t>A-490__265</t>
        </is>
      </c>
      <c r="C50" s="1" t="n">
        <v>37.4675281888</v>
      </c>
      <c r="D50" s="1" t="n">
        <v>-7.18509304357</v>
      </c>
      <c r="E50" s="3" t="n">
        <v>1</v>
      </c>
      <c r="F50" s="2" t="n">
        <v>2</v>
      </c>
      <c r="G50" s="4" t="n">
        <v>1</v>
      </c>
      <c r="H50" s="13" t="n"/>
      <c r="I50" s="15" t="n"/>
      <c r="J50" s="19" t="n">
        <v>1</v>
      </c>
      <c r="K50" s="2" t="inlineStr">
        <is>
          <t>marker_134_749807.png</t>
        </is>
      </c>
      <c r="L50" s="11">
        <f>HYPERLINK("1\1\" &amp; K50, "Ver Imagen")</f>
        <v/>
      </c>
      <c r="M50" t="inlineStr">
        <is>
          <t>Moda</t>
        </is>
      </c>
    </row>
    <row r="51">
      <c r="A51" t="n">
        <v>50</v>
      </c>
      <c r="B51" t="inlineStr">
        <is>
          <t>A-490__266</t>
        </is>
      </c>
      <c r="C51" s="1" t="n">
        <v>37.4676189867</v>
      </c>
      <c r="D51" s="1" t="n">
        <v>-7.18526211163</v>
      </c>
      <c r="E51" s="3" t="n">
        <v>1</v>
      </c>
      <c r="F51" s="2" t="n">
        <v>2</v>
      </c>
      <c r="G51" s="4" t="n">
        <v>1</v>
      </c>
      <c r="H51" s="13" t="n"/>
      <c r="I51" s="15" t="n"/>
      <c r="J51" s="19" t="n">
        <v>1</v>
      </c>
      <c r="K51" s="2" t="inlineStr">
        <is>
          <t>marker_933_749826.png</t>
        </is>
      </c>
      <c r="L51" s="11">
        <f>HYPERLINK("1\1\" &amp; K51, "Ver Imagen")</f>
        <v/>
      </c>
      <c r="M51" t="inlineStr">
        <is>
          <t>Moda</t>
        </is>
      </c>
    </row>
    <row r="52">
      <c r="A52" t="n">
        <v>51</v>
      </c>
      <c r="B52" t="inlineStr">
        <is>
          <t>A-490__267</t>
        </is>
      </c>
      <c r="C52" s="1" t="n">
        <v>37.4677631108</v>
      </c>
      <c r="D52" s="1" t="n">
        <v>-7.1855302332</v>
      </c>
      <c r="E52" s="3" t="n">
        <v>1</v>
      </c>
      <c r="F52" s="2" t="n">
        <v>2</v>
      </c>
      <c r="G52" s="4" t="n">
        <v>1</v>
      </c>
      <c r="H52" s="13" t="n"/>
      <c r="I52" s="15" t="n"/>
      <c r="J52" s="19" t="n">
        <v>1</v>
      </c>
      <c r="K52" s="2" t="inlineStr">
        <is>
          <t>marker_333_749843.png</t>
        </is>
      </c>
      <c r="L52" s="11">
        <f>HYPERLINK("1\1\" &amp; K52, "Ver Imagen")</f>
        <v/>
      </c>
      <c r="M52" t="inlineStr">
        <is>
          <t>Moda</t>
        </is>
      </c>
    </row>
    <row r="53">
      <c r="A53" t="n">
        <v>52</v>
      </c>
      <c r="B53" t="inlineStr">
        <is>
          <t>A-490__268</t>
        </is>
      </c>
      <c r="C53" s="1" t="n">
        <v>37.4678336006</v>
      </c>
      <c r="D53" s="1" t="n">
        <v>-7.18566131994</v>
      </c>
      <c r="E53" s="3" t="n">
        <v>1</v>
      </c>
      <c r="F53" s="2" t="n">
        <v>2</v>
      </c>
      <c r="G53" s="4" t="n">
        <v>1</v>
      </c>
      <c r="H53" s="13" t="n"/>
      <c r="I53" s="15" t="n"/>
      <c r="J53" s="19" t="n">
        <v>1</v>
      </c>
      <c r="K53" s="2" t="inlineStr">
        <is>
          <t>marker_690_749857.png</t>
        </is>
      </c>
      <c r="L53" s="11">
        <f>HYPERLINK("1\1\" &amp; K53, "Ver Imagen")</f>
        <v/>
      </c>
      <c r="M53" t="inlineStr">
        <is>
          <t>Moda</t>
        </is>
      </c>
    </row>
    <row r="54">
      <c r="A54" t="n">
        <v>53</v>
      </c>
      <c r="B54" t="inlineStr">
        <is>
          <t>A-490__544</t>
        </is>
      </c>
      <c r="C54" s="1" t="n">
        <v>37.4900800952</v>
      </c>
      <c r="D54" s="1" t="n">
        <v>-7.24887074819</v>
      </c>
      <c r="E54" s="3" t="n">
        <v>1</v>
      </c>
      <c r="F54" s="2" t="n">
        <v>2</v>
      </c>
      <c r="G54" s="4" t="n">
        <v>1</v>
      </c>
      <c r="H54" s="13" t="n"/>
      <c r="I54" s="15" t="n"/>
      <c r="J54" s="19" t="n">
        <v>1</v>
      </c>
      <c r="K54" s="2" t="inlineStr">
        <is>
          <t>marker_218_818404.png</t>
        </is>
      </c>
      <c r="L54" s="11">
        <f>HYPERLINK("1\1\" &amp; K54, "Ver Imagen")</f>
        <v/>
      </c>
      <c r="M54" t="inlineStr">
        <is>
          <t>Moda</t>
        </is>
      </c>
    </row>
    <row r="55">
      <c r="A55" t="n">
        <v>54</v>
      </c>
      <c r="B55" t="inlineStr">
        <is>
          <t>A-490__583</t>
        </is>
      </c>
      <c r="C55" s="1" t="n">
        <v>37.4900871614</v>
      </c>
      <c r="D55" s="1" t="n">
        <v>-7.25853909259</v>
      </c>
      <c r="E55" s="3" t="n">
        <v>1</v>
      </c>
      <c r="F55" s="2" t="n">
        <v>2</v>
      </c>
      <c r="G55" s="4" t="n">
        <v>1</v>
      </c>
      <c r="H55" s="13" t="n"/>
      <c r="I55" s="15" t="n"/>
      <c r="J55" s="19" t="n">
        <v>1</v>
      </c>
      <c r="K55" s="2" t="inlineStr">
        <is>
          <t>marker_219_819513.png</t>
        </is>
      </c>
      <c r="L55" s="11">
        <f>HYPERLINK("1\1\" &amp; K55, "Ver Imagen")</f>
        <v/>
      </c>
      <c r="M55" t="inlineStr">
        <is>
          <t>Moda</t>
        </is>
      </c>
    </row>
    <row r="56">
      <c r="A56" t="n">
        <v>55</v>
      </c>
      <c r="B56" t="inlineStr">
        <is>
          <t>A-490__584</t>
        </is>
      </c>
      <c r="C56" s="1" t="n">
        <v>37.4900720883</v>
      </c>
      <c r="D56" s="1" t="n">
        <v>-7.2587693282</v>
      </c>
      <c r="E56" s="3" t="n">
        <v>1</v>
      </c>
      <c r="F56" s="2" t="n">
        <v>2</v>
      </c>
      <c r="G56" s="4" t="n">
        <v>1</v>
      </c>
      <c r="H56" s="13" t="n"/>
      <c r="I56" s="15" t="n"/>
      <c r="J56" s="19" t="n">
        <v>1</v>
      </c>
      <c r="K56" s="2" t="inlineStr">
        <is>
          <t>marker_703_819536.png</t>
        </is>
      </c>
      <c r="L56" s="11">
        <f>HYPERLINK("1\1\" &amp; K56, "Ver Imagen")</f>
        <v/>
      </c>
      <c r="M56" t="inlineStr">
        <is>
          <t>Moda</t>
        </is>
      </c>
    </row>
    <row r="57">
      <c r="A57" t="n">
        <v>56</v>
      </c>
      <c r="B57" t="inlineStr">
        <is>
          <t>A-490__347</t>
        </is>
      </c>
      <c r="C57" s="1" t="n">
        <v>37.4766149282</v>
      </c>
      <c r="D57" s="1" t="n">
        <v>-7.20249479934</v>
      </c>
      <c r="E57" s="3" t="n">
        <v>1</v>
      </c>
      <c r="F57" s="2" t="n">
        <v>2</v>
      </c>
      <c r="G57" s="4" t="n">
        <v>1</v>
      </c>
      <c r="H57" s="13" t="n"/>
      <c r="I57" s="15" t="n"/>
      <c r="J57" s="19" t="n">
        <v>1</v>
      </c>
      <c r="K57" s="2" t="inlineStr">
        <is>
          <t>marker_213_751630.png</t>
        </is>
      </c>
      <c r="L57" s="11">
        <f>HYPERLINK("1\1\" &amp; K57, "Ver Imagen")</f>
        <v/>
      </c>
      <c r="M57" t="inlineStr">
        <is>
          <t>Moda</t>
        </is>
      </c>
    </row>
    <row r="58">
      <c r="A58" t="n">
        <v>57</v>
      </c>
      <c r="B58" t="inlineStr">
        <is>
          <t>A-490__370</t>
        </is>
      </c>
      <c r="C58" s="1" t="n">
        <v>37.4788071864</v>
      </c>
      <c r="D58" s="1" t="n">
        <v>-7.2075822944</v>
      </c>
      <c r="E58" s="3" t="n">
        <v>1</v>
      </c>
      <c r="F58" s="2" t="n">
        <v>2</v>
      </c>
      <c r="G58" s="4" t="n">
        <v>1</v>
      </c>
      <c r="H58" s="13" t="n"/>
      <c r="I58" s="15" t="n"/>
      <c r="J58" s="19" t="n">
        <v>1</v>
      </c>
      <c r="K58" s="2" t="inlineStr">
        <is>
          <t>marker_809_752101.png</t>
        </is>
      </c>
      <c r="L58" s="11">
        <f>HYPERLINK("1\1\" &amp; K58, "Ver Imagen")</f>
        <v/>
      </c>
      <c r="M58" t="inlineStr">
        <is>
          <t>Moda</t>
        </is>
      </c>
    </row>
    <row r="59">
      <c r="A59" t="n">
        <v>58</v>
      </c>
      <c r="B59" t="inlineStr">
        <is>
          <t>A-490__406</t>
        </is>
      </c>
      <c r="C59" s="1" t="n">
        <v>37.4820793343</v>
      </c>
      <c r="D59" s="1" t="n">
        <v>-7.21579079085</v>
      </c>
      <c r="E59" s="3" t="n">
        <v>1</v>
      </c>
      <c r="F59" s="2" t="n">
        <v>2</v>
      </c>
      <c r="G59" s="4" t="n">
        <v>1</v>
      </c>
      <c r="H59" s="13" t="n"/>
      <c r="I59" s="15" t="n"/>
      <c r="J59" s="19" t="n">
        <v>1</v>
      </c>
      <c r="K59" s="2" t="inlineStr">
        <is>
          <t>marker_900_753151.png</t>
        </is>
      </c>
      <c r="L59" s="11">
        <f>HYPERLINK("1\1\" &amp; K59, "Ver Imagen")</f>
        <v/>
      </c>
      <c r="M59" t="inlineStr">
        <is>
          <t>Moda</t>
        </is>
      </c>
    </row>
    <row r="60">
      <c r="A60" t="n">
        <v>59</v>
      </c>
      <c r="B60" t="inlineStr">
        <is>
          <t>A-490__433</t>
        </is>
      </c>
      <c r="C60" s="1" t="n">
        <v>37.4834507808</v>
      </c>
      <c r="D60" s="1" t="n">
        <v>-7.22245668305</v>
      </c>
      <c r="E60" s="3" t="n">
        <v>1</v>
      </c>
      <c r="F60" s="2" t="n">
        <v>2</v>
      </c>
      <c r="G60" s="4" t="n">
        <v>1</v>
      </c>
      <c r="H60" s="13" t="n"/>
      <c r="I60" s="15" t="n"/>
      <c r="J60" s="19" t="n">
        <v>1</v>
      </c>
      <c r="K60" s="2" t="inlineStr">
        <is>
          <t>marker_423_754540.png</t>
        </is>
      </c>
      <c r="L60" s="11">
        <f>HYPERLINK("1\1\" &amp; K60, "Ver Imagen")</f>
        <v/>
      </c>
      <c r="M60" t="inlineStr">
        <is>
          <t>Moda</t>
        </is>
      </c>
    </row>
    <row r="61">
      <c r="A61" t="n">
        <v>60</v>
      </c>
      <c r="B61" t="inlineStr">
        <is>
          <t>A-490__434</t>
        </is>
      </c>
      <c r="C61" s="1" t="n">
        <v>37.4834862685</v>
      </c>
      <c r="D61" s="1" t="n">
        <v>-7.22264086824</v>
      </c>
      <c r="E61" s="3" t="n">
        <v>1</v>
      </c>
      <c r="F61" s="2" t="n">
        <v>2</v>
      </c>
      <c r="G61" s="4" t="n">
        <v>1</v>
      </c>
      <c r="H61" s="13" t="n"/>
      <c r="I61" s="15" t="n"/>
      <c r="J61" s="19" t="n">
        <v>1</v>
      </c>
      <c r="K61" s="2" t="inlineStr">
        <is>
          <t>marker_752_754560.png</t>
        </is>
      </c>
      <c r="L61" s="11">
        <f>HYPERLINK("1\1\" &amp; K61, "Ver Imagen")</f>
        <v/>
      </c>
      <c r="M61" t="inlineStr">
        <is>
          <t>Moda</t>
        </is>
      </c>
    </row>
    <row r="62">
      <c r="A62" t="n">
        <v>61</v>
      </c>
      <c r="B62" t="inlineStr">
        <is>
          <t>A-490__480</t>
        </is>
      </c>
      <c r="C62" s="1" t="n">
        <v>37.4856830774</v>
      </c>
      <c r="D62" s="1" t="n">
        <v>-7.23403411734</v>
      </c>
      <c r="E62" s="3" t="n">
        <v>1</v>
      </c>
      <c r="F62" s="2" t="n">
        <v>2</v>
      </c>
      <c r="G62" s="4" t="n">
        <v>1</v>
      </c>
      <c r="H62" s="13" t="n"/>
      <c r="I62" s="15" t="n"/>
      <c r="J62" s="19" t="n">
        <v>1</v>
      </c>
      <c r="K62" s="2" t="inlineStr">
        <is>
          <t>marker_905_755589.png</t>
        </is>
      </c>
      <c r="L62" s="11">
        <f>HYPERLINK("1\1\" &amp; K62, "Ver Imagen")</f>
        <v/>
      </c>
      <c r="M62" t="inlineStr">
        <is>
          <t>Moda</t>
        </is>
      </c>
    </row>
    <row r="63">
      <c r="A63" t="n">
        <v>62</v>
      </c>
      <c r="B63" t="inlineStr">
        <is>
          <t>A-490__481</t>
        </is>
      </c>
      <c r="C63" s="1" t="n">
        <v>37.4857262399</v>
      </c>
      <c r="D63" s="1" t="n">
        <v>-7.23426446896</v>
      </c>
      <c r="E63" s="3" t="n">
        <v>1</v>
      </c>
      <c r="F63" s="2" t="n">
        <v>2</v>
      </c>
      <c r="G63" s="4" t="n">
        <v>1</v>
      </c>
      <c r="H63" s="13" t="n"/>
      <c r="I63" s="15" t="n"/>
      <c r="J63" s="19" t="n">
        <v>1</v>
      </c>
      <c r="K63" s="2" t="inlineStr">
        <is>
          <t>marker_230_755606.png</t>
        </is>
      </c>
      <c r="L63" s="11">
        <f>HYPERLINK("1\1\" &amp; K63, "Ver Imagen")</f>
        <v/>
      </c>
      <c r="M63" t="inlineStr">
        <is>
          <t>Moda</t>
        </is>
      </c>
    </row>
    <row r="64">
      <c r="A64" t="n">
        <v>63</v>
      </c>
      <c r="B64" t="inlineStr">
        <is>
          <t>A-490__528</t>
        </is>
      </c>
      <c r="C64" s="1" t="n">
        <v>37.4881311842</v>
      </c>
      <c r="D64" s="1" t="n">
        <v>-7.24573575377</v>
      </c>
      <c r="E64" s="3" t="n">
        <v>1</v>
      </c>
      <c r="F64" s="2" t="n">
        <v>2</v>
      </c>
      <c r="G64" s="4" t="n">
        <v>1</v>
      </c>
      <c r="H64" s="13" t="n"/>
      <c r="I64" s="15" t="n"/>
      <c r="J64" s="19" t="n">
        <v>1</v>
      </c>
      <c r="K64" s="2" t="inlineStr">
        <is>
          <t>marker_897_818180.png</t>
        </is>
      </c>
      <c r="L64" s="11">
        <f>HYPERLINK("1\1\" &amp; K64, "Ver Imagen")</f>
        <v/>
      </c>
      <c r="M64" t="inlineStr">
        <is>
          <t>Moda</t>
        </is>
      </c>
    </row>
    <row r="65">
      <c r="A65" t="n">
        <v>64</v>
      </c>
      <c r="B65" t="inlineStr">
        <is>
          <t>A-490__529</t>
        </is>
      </c>
      <c r="C65" s="1" t="n">
        <v>37.488235333</v>
      </c>
      <c r="D65" s="1" t="n">
        <v>-7.24600414071</v>
      </c>
      <c r="E65" s="3" t="n">
        <v>1</v>
      </c>
      <c r="F65" s="2" t="n">
        <v>2</v>
      </c>
      <c r="G65" s="4" t="n">
        <v>1</v>
      </c>
      <c r="H65" s="13" t="n"/>
      <c r="I65" s="15" t="n"/>
      <c r="J65" s="19" t="n">
        <v>1</v>
      </c>
      <c r="K65" s="2" t="inlineStr">
        <is>
          <t>marker_511_818192.png</t>
        </is>
      </c>
      <c r="L65" s="11">
        <f>HYPERLINK("1\1\" &amp; K65, "Ver Imagen")</f>
        <v/>
      </c>
      <c r="M65" t="inlineStr">
        <is>
          <t>Moda</t>
        </is>
      </c>
    </row>
    <row r="66">
      <c r="A66" t="n">
        <v>65</v>
      </c>
      <c r="B66" t="inlineStr">
        <is>
          <t>A-490__530</t>
        </is>
      </c>
      <c r="C66" s="1" t="n">
        <v>37.488319987</v>
      </c>
      <c r="D66" s="1" t="n">
        <v>-7.24622156689</v>
      </c>
      <c r="E66" s="3" t="n">
        <v>1</v>
      </c>
      <c r="F66" s="2" t="n">
        <v>2</v>
      </c>
      <c r="G66" s="4" t="n">
        <v>1</v>
      </c>
      <c r="H66" s="13" t="n"/>
      <c r="I66" s="15" t="n"/>
      <c r="J66" s="19" t="n">
        <v>1</v>
      </c>
      <c r="K66" s="2" t="inlineStr">
        <is>
          <t>marker_309_818205.png</t>
        </is>
      </c>
      <c r="L66" s="11">
        <f>HYPERLINK("1\1\" &amp; K66, "Ver Imagen")</f>
        <v/>
      </c>
      <c r="M66" t="inlineStr">
        <is>
          <t>Moda</t>
        </is>
      </c>
    </row>
    <row r="67">
      <c r="A67" t="n">
        <v>66</v>
      </c>
      <c r="B67" t="inlineStr">
        <is>
          <t>A-490__531</t>
        </is>
      </c>
      <c r="C67" s="1" t="n">
        <v>37.4884049818</v>
      </c>
      <c r="D67" s="1" t="n">
        <v>-7.24643799521</v>
      </c>
      <c r="E67" s="3" t="n">
        <v>1</v>
      </c>
      <c r="F67" s="2" t="n">
        <v>2</v>
      </c>
      <c r="G67" s="4" t="n">
        <v>1</v>
      </c>
      <c r="H67" s="13" t="n"/>
      <c r="I67" s="15" t="n"/>
      <c r="J67" s="19" t="n">
        <v>1</v>
      </c>
      <c r="K67" s="2" t="inlineStr">
        <is>
          <t>marker_723_818219.png</t>
        </is>
      </c>
      <c r="L67" s="11">
        <f>HYPERLINK("1\1\" &amp; K67, "Ver Imagen")</f>
        <v/>
      </c>
      <c r="M67" t="inlineStr">
        <is>
          <t>Moda</t>
        </is>
      </c>
    </row>
    <row r="68">
      <c r="A68" t="n">
        <v>67</v>
      </c>
      <c r="B68" t="inlineStr">
        <is>
          <t>A-490__555</t>
        </is>
      </c>
      <c r="C68" s="1" t="n">
        <v>37.49070582</v>
      </c>
      <c r="D68" s="1" t="n">
        <v>-7.25142788791</v>
      </c>
      <c r="E68" s="3" t="n">
        <v>1</v>
      </c>
      <c r="F68" s="2" t="n">
        <v>2</v>
      </c>
      <c r="G68" s="4" t="n">
        <v>1</v>
      </c>
      <c r="H68" s="13" t="n"/>
      <c r="I68" s="15" t="n"/>
      <c r="J68" s="19" t="n">
        <v>1</v>
      </c>
      <c r="K68" s="2" t="inlineStr">
        <is>
          <t>marker_529_818698.png</t>
        </is>
      </c>
      <c r="L68" s="11">
        <f>HYPERLINK("1\1\" &amp; K68, "Ver Imagen")</f>
        <v/>
      </c>
      <c r="M68" t="inlineStr">
        <is>
          <t>Moda</t>
        </is>
      </c>
    </row>
    <row r="69">
      <c r="A69" t="n">
        <v>68</v>
      </c>
      <c r="B69" t="inlineStr">
        <is>
          <t>A-490__557</t>
        </is>
      </c>
      <c r="C69" s="1" t="n">
        <v>37.4906901156</v>
      </c>
      <c r="D69" s="1" t="n">
        <v>-7.25196729773</v>
      </c>
      <c r="E69" s="3" t="n">
        <v>1</v>
      </c>
      <c r="F69" s="2" t="n">
        <v>2</v>
      </c>
      <c r="G69" s="4" t="n">
        <v>1</v>
      </c>
      <c r="H69" s="13" t="n"/>
      <c r="I69" s="15" t="n"/>
      <c r="J69" s="19" t="n">
        <v>1</v>
      </c>
      <c r="K69" s="2" t="inlineStr">
        <is>
          <t>marker_749_819120.png</t>
        </is>
      </c>
      <c r="L69" s="11">
        <f>HYPERLINK("1\1\" &amp; K69, "Ver Imagen")</f>
        <v/>
      </c>
      <c r="M69" t="inlineStr">
        <is>
          <t>Moda</t>
        </is>
      </c>
    </row>
    <row r="70">
      <c r="A70" t="n">
        <v>69</v>
      </c>
      <c r="B70" t="inlineStr">
        <is>
          <t>A-490__558</t>
        </is>
      </c>
      <c r="C70" s="1" t="n">
        <v>37.4906799262</v>
      </c>
      <c r="D70" s="1" t="n">
        <v>-7.25225297558</v>
      </c>
      <c r="E70" s="3" t="n">
        <v>1</v>
      </c>
      <c r="F70" s="2" t="n">
        <v>2</v>
      </c>
      <c r="G70" s="4" t="n">
        <v>1</v>
      </c>
      <c r="H70" s="13" t="n"/>
      <c r="I70" s="15" t="n"/>
      <c r="J70" s="19" t="n">
        <v>1</v>
      </c>
      <c r="K70" s="2" t="inlineStr">
        <is>
          <t>marker_919_819141.png</t>
        </is>
      </c>
      <c r="L70" s="11">
        <f>HYPERLINK("1\1\" &amp; K70, "Ver Imagen")</f>
        <v/>
      </c>
      <c r="M70" t="inlineStr">
        <is>
          <t>Moda</t>
        </is>
      </c>
    </row>
    <row r="71">
      <c r="A71" t="n">
        <v>70</v>
      </c>
      <c r="B71" t="inlineStr">
        <is>
          <t>A-490__559</t>
        </is>
      </c>
      <c r="C71" s="1" t="n">
        <v>37.4906682332</v>
      </c>
      <c r="D71" s="1" t="n">
        <v>-7.25251100482</v>
      </c>
      <c r="E71" s="3" t="n">
        <v>1</v>
      </c>
      <c r="F71" s="2" t="n">
        <v>2</v>
      </c>
      <c r="G71" s="4" t="n">
        <v>1</v>
      </c>
      <c r="H71" s="13" t="n"/>
      <c r="I71" s="15" t="n"/>
      <c r="J71" s="19" t="n">
        <v>1</v>
      </c>
      <c r="K71" s="2" t="inlineStr">
        <is>
          <t>marker_863_819158.png</t>
        </is>
      </c>
      <c r="L71" s="11">
        <f>HYPERLINK("1\1\" &amp; K71, "Ver Imagen")</f>
        <v/>
      </c>
      <c r="M71" t="inlineStr">
        <is>
          <t>Moda</t>
        </is>
      </c>
    </row>
    <row r="72">
      <c r="A72" t="n">
        <v>71</v>
      </c>
      <c r="B72" t="inlineStr">
        <is>
          <t>A-490__563</t>
        </is>
      </c>
      <c r="C72" s="1" t="n">
        <v>37.4906034762</v>
      </c>
      <c r="D72" s="1" t="n">
        <v>-7.25346488985</v>
      </c>
      <c r="E72" s="3" t="n">
        <v>1</v>
      </c>
      <c r="F72" s="2" t="n">
        <v>2</v>
      </c>
      <c r="G72" s="4" t="n">
        <v>1</v>
      </c>
      <c r="H72" s="13" t="n"/>
      <c r="I72" s="15" t="n"/>
      <c r="J72" s="19" t="n">
        <v>1</v>
      </c>
      <c r="K72" s="2" t="inlineStr">
        <is>
          <t>marker_146_819219.png</t>
        </is>
      </c>
      <c r="L72" s="11">
        <f>HYPERLINK("1\1\" &amp; K72, "Ver Imagen")</f>
        <v/>
      </c>
      <c r="M72" t="inlineStr">
        <is>
          <t>Moda</t>
        </is>
      </c>
    </row>
    <row r="73">
      <c r="A73" t="n">
        <v>72</v>
      </c>
      <c r="B73" t="inlineStr">
        <is>
          <t>A-490__565</t>
        </is>
      </c>
      <c r="C73" s="1" t="n">
        <v>37.4905625377</v>
      </c>
      <c r="D73" s="1" t="n">
        <v>-7.25395859014</v>
      </c>
      <c r="E73" s="3" t="n">
        <v>1</v>
      </c>
      <c r="F73" s="2" t="n">
        <v>2</v>
      </c>
      <c r="G73" s="4" t="n">
        <v>1</v>
      </c>
      <c r="H73" s="13" t="n"/>
      <c r="I73" s="15" t="n"/>
      <c r="J73" s="19" t="n">
        <v>1</v>
      </c>
      <c r="K73" s="2" t="inlineStr">
        <is>
          <t>marker_423_819248.png</t>
        </is>
      </c>
      <c r="L73" s="11">
        <f>HYPERLINK("1\1\" &amp; K73, "Ver Imagen")</f>
        <v/>
      </c>
      <c r="M73" t="inlineStr">
        <is>
          <t>Moda</t>
        </is>
      </c>
    </row>
    <row r="74">
      <c r="A74" t="n">
        <v>73</v>
      </c>
      <c r="B74" t="inlineStr">
        <is>
          <t>A-490__566</t>
        </is>
      </c>
      <c r="C74" s="1" t="n">
        <v>37.4905407598</v>
      </c>
      <c r="D74" s="1" t="n">
        <v>-7.25420952413</v>
      </c>
      <c r="E74" s="3" t="n">
        <v>1</v>
      </c>
      <c r="F74" s="2" t="n">
        <v>2</v>
      </c>
      <c r="G74" s="4" t="n">
        <v>1</v>
      </c>
      <c r="H74" s="13" t="n"/>
      <c r="I74" s="15" t="n"/>
      <c r="J74" s="19" t="n">
        <v>1</v>
      </c>
      <c r="K74" s="2" t="inlineStr">
        <is>
          <t>marker_845_819262.png</t>
        </is>
      </c>
      <c r="L74" s="11">
        <f>HYPERLINK("1\1\" &amp; K74, "Ver Imagen")</f>
        <v/>
      </c>
      <c r="M74" t="inlineStr">
        <is>
          <t>Moda</t>
        </is>
      </c>
    </row>
    <row r="75">
      <c r="A75" t="n">
        <v>74</v>
      </c>
      <c r="B75" t="inlineStr">
        <is>
          <t>A-490__567</t>
        </is>
      </c>
      <c r="C75" s="1" t="n">
        <v>37.4905137129</v>
      </c>
      <c r="D75" s="1" t="n">
        <v>-7.25451493764</v>
      </c>
      <c r="E75" s="3" t="n">
        <v>1</v>
      </c>
      <c r="F75" s="2" t="n">
        <v>2</v>
      </c>
      <c r="G75" s="4" t="n">
        <v>1</v>
      </c>
      <c r="H75" s="13" t="n"/>
      <c r="I75" s="15" t="n"/>
      <c r="J75" s="19" t="n">
        <v>1</v>
      </c>
      <c r="K75" s="2" t="inlineStr">
        <is>
          <t>marker_896_819277.png</t>
        </is>
      </c>
      <c r="L75" s="11">
        <f>HYPERLINK("1\1\" &amp; K75, "Ver Imagen")</f>
        <v/>
      </c>
      <c r="M75" t="inlineStr">
        <is>
          <t>Moda</t>
        </is>
      </c>
    </row>
    <row r="76">
      <c r="A76" t="n">
        <v>75</v>
      </c>
      <c r="B76" t="inlineStr">
        <is>
          <t>A-490__570</t>
        </is>
      </c>
      <c r="C76" s="1" t="n">
        <v>37.4904484455</v>
      </c>
      <c r="D76" s="1" t="n">
        <v>-7.25527932811</v>
      </c>
      <c r="E76" s="3" t="n">
        <v>1</v>
      </c>
      <c r="F76" s="2" t="n">
        <v>2</v>
      </c>
      <c r="G76" s="4" t="n">
        <v>1</v>
      </c>
      <c r="H76" s="13" t="n"/>
      <c r="I76" s="15" t="n"/>
      <c r="J76" s="19" t="n">
        <v>1</v>
      </c>
      <c r="K76" s="2" t="inlineStr">
        <is>
          <t>marker_480_819328.png</t>
        </is>
      </c>
      <c r="L76" s="11">
        <f>HYPERLINK("1\1\" &amp; K76, "Ver Imagen")</f>
        <v/>
      </c>
      <c r="M76" t="inlineStr">
        <is>
          <t>Moda</t>
        </is>
      </c>
    </row>
    <row r="77">
      <c r="A77" t="n">
        <v>76</v>
      </c>
      <c r="B77" t="inlineStr">
        <is>
          <t>A-490__574</t>
        </is>
      </c>
      <c r="C77" s="1" t="n">
        <v>37.4903636894</v>
      </c>
      <c r="D77" s="1" t="n">
        <v>-7.25624204678</v>
      </c>
      <c r="E77" s="3" t="n">
        <v>1</v>
      </c>
      <c r="F77" s="2" t="n">
        <v>2</v>
      </c>
      <c r="G77" s="4" t="n">
        <v>1</v>
      </c>
      <c r="H77" s="13" t="n"/>
      <c r="I77" s="15" t="n"/>
      <c r="J77" s="19" t="n">
        <v>1</v>
      </c>
      <c r="K77" s="2" t="inlineStr">
        <is>
          <t>marker_114_819394.png</t>
        </is>
      </c>
      <c r="L77" s="11">
        <f>HYPERLINK("1\1\" &amp; K77, "Ver Imagen")</f>
        <v/>
      </c>
      <c r="M77" t="inlineStr">
        <is>
          <t>Moda</t>
        </is>
      </c>
    </row>
    <row r="78">
      <c r="A78" t="n">
        <v>77</v>
      </c>
      <c r="B78" t="inlineStr">
        <is>
          <t>A-490__575</t>
        </is>
      </c>
      <c r="C78" s="1" t="n">
        <v>37.4903406611</v>
      </c>
      <c r="D78" s="1" t="n">
        <v>-7.25649779728</v>
      </c>
      <c r="E78" s="3" t="n">
        <v>1</v>
      </c>
      <c r="F78" s="2" t="n">
        <v>2</v>
      </c>
      <c r="G78" s="4" t="n">
        <v>1</v>
      </c>
      <c r="H78" s="13" t="n"/>
      <c r="I78" s="15" t="n"/>
      <c r="J78" s="19" t="n">
        <v>1</v>
      </c>
      <c r="K78" s="2" t="inlineStr">
        <is>
          <t>marker_297_819408.png</t>
        </is>
      </c>
      <c r="L78" s="11">
        <f>HYPERLINK("1\1\" &amp; K78, "Ver Imagen")</f>
        <v/>
      </c>
      <c r="M78" t="inlineStr">
        <is>
          <t>Moda</t>
        </is>
      </c>
    </row>
    <row r="79">
      <c r="A79" t="n">
        <v>78</v>
      </c>
      <c r="B79" t="inlineStr">
        <is>
          <t>A-490__576</t>
        </is>
      </c>
      <c r="C79" s="1" t="n">
        <v>37.4903124966</v>
      </c>
      <c r="D79" s="1" t="n">
        <v>-7.25677384026</v>
      </c>
      <c r="E79" s="3" t="n">
        <v>1</v>
      </c>
      <c r="F79" s="2" t="n">
        <v>2</v>
      </c>
      <c r="G79" s="4" t="n">
        <v>1</v>
      </c>
      <c r="H79" s="13" t="n"/>
      <c r="I79" s="15" t="n"/>
      <c r="J79" s="19" t="n">
        <v>1</v>
      </c>
      <c r="K79" s="2" t="inlineStr">
        <is>
          <t>marker_376_819420.png</t>
        </is>
      </c>
      <c r="L79" s="11">
        <f>HYPERLINK("1\1\" &amp; K79, "Ver Imagen")</f>
        <v/>
      </c>
      <c r="M79" t="inlineStr">
        <is>
          <t>Moda</t>
        </is>
      </c>
    </row>
    <row r="80">
      <c r="A80" t="n">
        <v>79</v>
      </c>
      <c r="B80" t="inlineStr">
        <is>
          <t>A-490__578</t>
        </is>
      </c>
      <c r="C80" s="1" t="n">
        <v>37.4902549898</v>
      </c>
      <c r="D80" s="1" t="n">
        <v>-7.25724185951</v>
      </c>
      <c r="E80" s="3" t="n">
        <v>1</v>
      </c>
      <c r="F80" s="2" t="n">
        <v>2</v>
      </c>
      <c r="G80" s="4" t="n">
        <v>1</v>
      </c>
      <c r="H80" s="13" t="n"/>
      <c r="I80" s="15" t="n"/>
      <c r="J80" s="19" t="n">
        <v>1</v>
      </c>
      <c r="K80" s="2" t="inlineStr">
        <is>
          <t>marker_464_819445.png</t>
        </is>
      </c>
      <c r="L80" s="11">
        <f>HYPERLINK("1\1\" &amp; K80, "Ver Imagen")</f>
        <v/>
      </c>
      <c r="M80" t="inlineStr">
        <is>
          <t>Moda</t>
        </is>
      </c>
    </row>
    <row r="81">
      <c r="A81" t="n">
        <v>80</v>
      </c>
      <c r="B81" t="inlineStr">
        <is>
          <t>A-490__579</t>
        </is>
      </c>
      <c r="C81" s="1" t="n">
        <v>37.490220811</v>
      </c>
      <c r="D81" s="1" t="n">
        <v>-7.25748971784</v>
      </c>
      <c r="E81" s="3" t="n">
        <v>1</v>
      </c>
      <c r="F81" s="2" t="n">
        <v>2</v>
      </c>
      <c r="G81" s="4" t="n">
        <v>1</v>
      </c>
      <c r="H81" s="13" t="n"/>
      <c r="I81" s="15" t="n"/>
      <c r="J81" s="19" t="n">
        <v>1</v>
      </c>
      <c r="K81" s="2" t="inlineStr">
        <is>
          <t>marker_145_819457.png</t>
        </is>
      </c>
      <c r="L81" s="11">
        <f>HYPERLINK("1\1\" &amp; K81, "Ver Imagen")</f>
        <v/>
      </c>
      <c r="M81" t="inlineStr">
        <is>
          <t>Moda</t>
        </is>
      </c>
    </row>
    <row r="82">
      <c r="A82" t="n">
        <v>81</v>
      </c>
      <c r="B82" t="inlineStr">
        <is>
          <t>A-490__581</t>
        </is>
      </c>
      <c r="C82" s="1" t="n">
        <v>37.4901525975</v>
      </c>
      <c r="D82" s="1" t="n">
        <v>-7.2579835317</v>
      </c>
      <c r="E82" s="3" t="n">
        <v>1</v>
      </c>
      <c r="F82" s="2" t="n">
        <v>2</v>
      </c>
      <c r="G82" s="4" t="n">
        <v>1</v>
      </c>
      <c r="H82" s="13" t="n"/>
      <c r="I82" s="15" t="n"/>
      <c r="J82" s="19" t="n">
        <v>1</v>
      </c>
      <c r="K82" s="2" t="inlineStr">
        <is>
          <t>marker_443_819486.png</t>
        </is>
      </c>
      <c r="L82" s="11">
        <f>HYPERLINK("1\1\" &amp; K82, "Ver Imagen")</f>
        <v/>
      </c>
      <c r="M82" t="inlineStr">
        <is>
          <t>Moda</t>
        </is>
      </c>
    </row>
    <row r="83">
      <c r="A83" t="n">
        <v>82</v>
      </c>
      <c r="B83" t="inlineStr">
        <is>
          <t>A-490__609</t>
        </is>
      </c>
      <c r="C83" s="1" t="n">
        <v>37.493137106</v>
      </c>
      <c r="D83" s="1" t="n">
        <v>-7.26348380423</v>
      </c>
      <c r="E83" s="3" t="n">
        <v>1</v>
      </c>
      <c r="F83" s="2" t="n">
        <v>2</v>
      </c>
      <c r="G83" s="4" t="n">
        <v>1</v>
      </c>
      <c r="H83" s="13" t="n"/>
      <c r="I83" s="15" t="n"/>
      <c r="J83" s="19" t="n">
        <v>1</v>
      </c>
      <c r="K83" s="2" t="inlineStr">
        <is>
          <t>marker_729_820194.png</t>
        </is>
      </c>
      <c r="L83" s="11">
        <f>HYPERLINK("1\1\" &amp; K83, "Ver Imagen")</f>
        <v/>
      </c>
      <c r="M83" t="inlineStr">
        <is>
          <t>Moda</t>
        </is>
      </c>
    </row>
    <row r="84">
      <c r="A84" t="n">
        <v>83</v>
      </c>
      <c r="B84" t="inlineStr">
        <is>
          <t>A-495R__115</t>
        </is>
      </c>
      <c r="C84" s="1" t="n">
        <v>37.4649742369</v>
      </c>
      <c r="D84" s="1" t="n">
        <v>-7.12105081921</v>
      </c>
      <c r="E84" s="3" t="n">
        <v>1</v>
      </c>
      <c r="F84" s="2" t="n">
        <v>1</v>
      </c>
      <c r="G84" s="4" t="n">
        <v>2</v>
      </c>
      <c r="H84" s="13" t="n"/>
      <c r="I84" s="15" t="n"/>
      <c r="J84" s="19" t="n">
        <v>1</v>
      </c>
      <c r="K84" s="2" t="inlineStr">
        <is>
          <t>marker_472_895631.png</t>
        </is>
      </c>
      <c r="L84" s="11">
        <f>HYPERLINK("1\1\" &amp; K84, "Ver Imagen")</f>
        <v/>
      </c>
      <c r="M84" t="inlineStr">
        <is>
          <t>Moda</t>
        </is>
      </c>
    </row>
    <row r="85">
      <c r="A85" t="n">
        <v>84</v>
      </c>
      <c r="B85" t="inlineStr">
        <is>
          <t>A-495R__108</t>
        </is>
      </c>
      <c r="C85" s="1" t="n">
        <v>37.4644311572</v>
      </c>
      <c r="D85" s="1" t="n">
        <v>-7.11939034558</v>
      </c>
      <c r="E85" s="3" t="n">
        <v>1</v>
      </c>
      <c r="F85" s="2" t="n">
        <v>1</v>
      </c>
      <c r="G85" s="4" t="n">
        <v>2</v>
      </c>
      <c r="H85" s="13" t="n"/>
      <c r="I85" s="15" t="n"/>
      <c r="J85" s="19" t="n">
        <v>1</v>
      </c>
      <c r="K85" s="2" t="inlineStr">
        <is>
          <t>marker_608_895773.png</t>
        </is>
      </c>
      <c r="L85" s="11">
        <f>HYPERLINK("1\1\" &amp; K85, "Ver Imagen")</f>
        <v/>
      </c>
      <c r="M85" t="inlineStr">
        <is>
          <t>Moda</t>
        </is>
      </c>
    </row>
    <row r="86">
      <c r="A86" t="n">
        <v>85</v>
      </c>
      <c r="B86" t="inlineStr">
        <is>
          <t>A-495R__107</t>
        </is>
      </c>
      <c r="C86" s="1" t="n">
        <v>37.464353826</v>
      </c>
      <c r="D86" s="1" t="n">
        <v>-7.11919464858</v>
      </c>
      <c r="E86" s="3" t="n">
        <v>1</v>
      </c>
      <c r="F86" s="2" t="n">
        <v>1</v>
      </c>
      <c r="G86" s="4" t="n">
        <v>2</v>
      </c>
      <c r="H86" s="13" t="n"/>
      <c r="I86" s="15" t="n"/>
      <c r="J86" s="19" t="n">
        <v>1</v>
      </c>
      <c r="K86" s="2" t="inlineStr">
        <is>
          <t>marker_305_895782.png</t>
        </is>
      </c>
      <c r="L86" s="11">
        <f>HYPERLINK("1\1\" &amp; K86, "Ver Imagen")</f>
        <v/>
      </c>
      <c r="M86" t="inlineStr">
        <is>
          <t>Moda</t>
        </is>
      </c>
    </row>
    <row r="87">
      <c r="A87" t="n">
        <v>86</v>
      </c>
      <c r="B87" t="inlineStr">
        <is>
          <t>A-495R__101</t>
        </is>
      </c>
      <c r="C87" s="1" t="n">
        <v>37.4634974456</v>
      </c>
      <c r="D87" s="1" t="n">
        <v>-7.11814461727</v>
      </c>
      <c r="E87" s="3" t="n">
        <v>1</v>
      </c>
      <c r="F87" s="2" t="n">
        <v>1</v>
      </c>
      <c r="G87" s="4" t="n">
        <v>2</v>
      </c>
      <c r="H87" s="13" t="n"/>
      <c r="I87" s="15" t="n"/>
      <c r="J87" s="19" t="n">
        <v>1</v>
      </c>
      <c r="K87" s="2" t="inlineStr">
        <is>
          <t>marker_866_896585.png</t>
        </is>
      </c>
      <c r="L87" s="11">
        <f>HYPERLINK("1\1\" &amp; K87, "Ver Imagen")</f>
        <v/>
      </c>
      <c r="M87" t="inlineStr">
        <is>
          <t>Moda</t>
        </is>
      </c>
    </row>
    <row r="88">
      <c r="A88" t="n">
        <v>87</v>
      </c>
      <c r="B88" t="inlineStr">
        <is>
          <t>A-495R__100</t>
        </is>
      </c>
      <c r="C88" s="1" t="n">
        <v>37.4633182928</v>
      </c>
      <c r="D88" s="1" t="n">
        <v>-7.1179926809</v>
      </c>
      <c r="E88" s="3" t="n">
        <v>1</v>
      </c>
      <c r="F88" s="2" t="n">
        <v>1</v>
      </c>
      <c r="G88" s="4" t="n">
        <v>2</v>
      </c>
      <c r="H88" s="13" t="n"/>
      <c r="I88" s="15" t="n"/>
      <c r="J88" s="19" t="n">
        <v>1</v>
      </c>
      <c r="K88" s="2" t="inlineStr">
        <is>
          <t>marker_420_896595.png</t>
        </is>
      </c>
      <c r="L88" s="11">
        <f>HYPERLINK("1\1\" &amp; K88, "Ver Imagen")</f>
        <v/>
      </c>
      <c r="M88" t="inlineStr">
        <is>
          <t>Moda</t>
        </is>
      </c>
    </row>
    <row r="89">
      <c r="A89" t="n">
        <v>88</v>
      </c>
      <c r="B89" t="inlineStr">
        <is>
          <t>A-495R__99</t>
        </is>
      </c>
      <c r="C89" s="1" t="n">
        <v>37.4631548118</v>
      </c>
      <c r="D89" s="1" t="n">
        <v>-7.11787171418</v>
      </c>
      <c r="E89" s="3" t="n">
        <v>1</v>
      </c>
      <c r="F89" s="2" t="n">
        <v>1</v>
      </c>
      <c r="G89" s="4" t="n">
        <v>2</v>
      </c>
      <c r="H89" s="13" t="n"/>
      <c r="I89" s="15" t="n"/>
      <c r="J89" s="19" t="n">
        <v>1</v>
      </c>
      <c r="K89" s="2" t="inlineStr">
        <is>
          <t>marker_390_896605.png</t>
        </is>
      </c>
      <c r="L89" s="11">
        <f>HYPERLINK("1\1\" &amp; K89, "Ver Imagen")</f>
        <v/>
      </c>
      <c r="M89" t="inlineStr">
        <is>
          <t>Moda</t>
        </is>
      </c>
    </row>
    <row r="90">
      <c r="A90" t="n">
        <v>89</v>
      </c>
      <c r="B90" t="inlineStr">
        <is>
          <t>A-495R__97</t>
        </is>
      </c>
      <c r="C90" s="1" t="n">
        <v>37.462790816</v>
      </c>
      <c r="D90" s="1" t="n">
        <v>-7.11763364354</v>
      </c>
      <c r="E90" s="3" t="n">
        <v>1</v>
      </c>
      <c r="F90" s="2" t="n">
        <v>1</v>
      </c>
      <c r="G90" s="4" t="n">
        <v>2</v>
      </c>
      <c r="H90" s="13" t="n"/>
      <c r="I90" s="15" t="n"/>
      <c r="J90" s="19" t="n">
        <v>1</v>
      </c>
      <c r="K90" s="2" t="inlineStr">
        <is>
          <t>marker_279_906537.png</t>
        </is>
      </c>
      <c r="L90" s="11">
        <f>HYPERLINK("1\1\" &amp; K90, "Ver Imagen")</f>
        <v/>
      </c>
      <c r="M90" t="inlineStr">
        <is>
          <t>Moda</t>
        </is>
      </c>
    </row>
    <row r="91">
      <c r="A91" t="n">
        <v>90</v>
      </c>
      <c r="B91" t="inlineStr">
        <is>
          <t>A-495R__95</t>
        </is>
      </c>
      <c r="C91" s="1" t="n">
        <v>37.46241035</v>
      </c>
      <c r="D91" s="1" t="n">
        <v>-7.11738555144</v>
      </c>
      <c r="E91" s="3" t="n">
        <v>1</v>
      </c>
      <c r="F91" s="2" t="n">
        <v>1</v>
      </c>
      <c r="G91" s="4" t="n">
        <v>2</v>
      </c>
      <c r="H91" s="13" t="n"/>
      <c r="I91" s="15" t="n"/>
      <c r="J91" s="19" t="n">
        <v>1</v>
      </c>
      <c r="K91" s="2" t="inlineStr">
        <is>
          <t>marker_485_906559.png</t>
        </is>
      </c>
      <c r="L91" s="11">
        <f>HYPERLINK("1\1\" &amp; K91, "Ver Imagen")</f>
        <v/>
      </c>
      <c r="M91" t="inlineStr">
        <is>
          <t>Moda</t>
        </is>
      </c>
    </row>
    <row r="92">
      <c r="A92" t="n">
        <v>91</v>
      </c>
      <c r="B92" t="inlineStr">
        <is>
          <t>A-495R__94</t>
        </is>
      </c>
      <c r="C92" s="1" t="n">
        <v>37.4622247597</v>
      </c>
      <c r="D92" s="1" t="n">
        <v>-7.11724534198</v>
      </c>
      <c r="E92" s="3" t="n">
        <v>1</v>
      </c>
      <c r="F92" s="2" t="n">
        <v>1</v>
      </c>
      <c r="G92" s="4" t="n">
        <v>2</v>
      </c>
      <c r="H92" s="13" t="n"/>
      <c r="I92" s="15" t="n"/>
      <c r="J92" s="19" t="n">
        <v>1</v>
      </c>
      <c r="K92" s="2" t="inlineStr">
        <is>
          <t>marker_195_906570.png</t>
        </is>
      </c>
      <c r="L92" s="11">
        <f>HYPERLINK("1\1\" &amp; K92, "Ver Imagen")</f>
        <v/>
      </c>
      <c r="M92" t="inlineStr">
        <is>
          <t>Moda</t>
        </is>
      </c>
    </row>
    <row r="93">
      <c r="A93" t="n">
        <v>92</v>
      </c>
      <c r="B93" t="inlineStr">
        <is>
          <t>A-495R__93</t>
        </is>
      </c>
      <c r="C93" s="1" t="n">
        <v>37.4620967702</v>
      </c>
      <c r="D93" s="1" t="n">
        <v>-7.11713713557</v>
      </c>
      <c r="E93" s="3" t="n">
        <v>1</v>
      </c>
      <c r="F93" s="2" t="n">
        <v>1</v>
      </c>
      <c r="G93" s="4" t="n">
        <v>2</v>
      </c>
      <c r="H93" s="13" t="n"/>
      <c r="I93" s="15" t="n"/>
      <c r="J93" s="19" t="n">
        <v>1</v>
      </c>
      <c r="K93" s="2" t="inlineStr">
        <is>
          <t>marker_845_906580.png</t>
        </is>
      </c>
      <c r="L93" s="11">
        <f>HYPERLINK("1\1\" &amp; K93, "Ver Imagen")</f>
        <v/>
      </c>
      <c r="M93" t="inlineStr">
        <is>
          <t>Moda</t>
        </is>
      </c>
    </row>
    <row r="94">
      <c r="A94" t="n">
        <v>93</v>
      </c>
      <c r="B94" t="inlineStr">
        <is>
          <t>A-495R__92</t>
        </is>
      </c>
      <c r="C94" s="1" t="n">
        <v>37.4619249239</v>
      </c>
      <c r="D94" s="1" t="n">
        <v>-7.11697666199</v>
      </c>
      <c r="E94" s="3" t="n">
        <v>1</v>
      </c>
      <c r="F94" s="2" t="n">
        <v>1</v>
      </c>
      <c r="G94" s="4" t="n">
        <v>2</v>
      </c>
      <c r="H94" s="13" t="n"/>
      <c r="I94" s="15" t="n"/>
      <c r="J94" s="19" t="n">
        <v>1</v>
      </c>
      <c r="K94" s="2" t="inlineStr">
        <is>
          <t>marker_229_906591.png</t>
        </is>
      </c>
      <c r="L94" s="11">
        <f>HYPERLINK("1\1\" &amp; K94, "Ver Imagen")</f>
        <v/>
      </c>
      <c r="M94" t="inlineStr">
        <is>
          <t>Moda</t>
        </is>
      </c>
    </row>
    <row r="95">
      <c r="A95" t="n">
        <v>94</v>
      </c>
      <c r="B95" t="inlineStr">
        <is>
          <t>A-495R__91</t>
        </is>
      </c>
      <c r="C95" s="1" t="n">
        <v>37.4617411926</v>
      </c>
      <c r="D95" s="1" t="n">
        <v>-7.11677741959</v>
      </c>
      <c r="E95" s="3" t="n">
        <v>1</v>
      </c>
      <c r="F95" s="2" t="n">
        <v>1</v>
      </c>
      <c r="G95" s="4" t="n">
        <v>2</v>
      </c>
      <c r="H95" s="13" t="n"/>
      <c r="I95" s="15" t="n"/>
      <c r="J95" s="19" t="n">
        <v>1</v>
      </c>
      <c r="K95" s="2" t="inlineStr">
        <is>
          <t>marker_181_906607.png</t>
        </is>
      </c>
      <c r="L95" s="11">
        <f>HYPERLINK("1\1\" &amp; K95, "Ver Imagen")</f>
        <v/>
      </c>
      <c r="M95" t="inlineStr">
        <is>
          <t>Moda</t>
        </is>
      </c>
    </row>
    <row r="96">
      <c r="A96" t="n">
        <v>95</v>
      </c>
      <c r="B96" t="inlineStr">
        <is>
          <t>A-495R__90</t>
        </is>
      </c>
      <c r="C96" s="1" t="n">
        <v>37.4616146761</v>
      </c>
      <c r="D96" s="1" t="n">
        <v>-7.11662385056</v>
      </c>
      <c r="E96" s="3" t="n">
        <v>1</v>
      </c>
      <c r="F96" s="2" t="n">
        <v>1</v>
      </c>
      <c r="G96" s="4" t="n">
        <v>2</v>
      </c>
      <c r="H96" s="13" t="n"/>
      <c r="I96" s="15" t="n"/>
      <c r="J96" s="19" t="n">
        <v>1</v>
      </c>
      <c r="K96" s="2" t="inlineStr">
        <is>
          <t>marker_565_906617.png</t>
        </is>
      </c>
      <c r="L96" s="11">
        <f>HYPERLINK("1\1\" &amp; K96, "Ver Imagen")</f>
        <v/>
      </c>
      <c r="M96" t="inlineStr">
        <is>
          <t>Moda</t>
        </is>
      </c>
    </row>
    <row r="97">
      <c r="A97" t="n">
        <v>96</v>
      </c>
      <c r="B97" t="inlineStr">
        <is>
          <t>A-495R__88</t>
        </is>
      </c>
      <c r="C97" s="1" t="n">
        <v>37.4613371829</v>
      </c>
      <c r="D97" s="1" t="n">
        <v>-7.1162764876</v>
      </c>
      <c r="E97" s="3" t="n">
        <v>1</v>
      </c>
      <c r="F97" s="2" t="n">
        <v>1</v>
      </c>
      <c r="G97" s="4" t="n">
        <v>2</v>
      </c>
      <c r="H97" s="13" t="n"/>
      <c r="I97" s="15" t="n"/>
      <c r="J97" s="19" t="n">
        <v>1</v>
      </c>
      <c r="K97" s="2" t="inlineStr">
        <is>
          <t>marker_907_906638.png</t>
        </is>
      </c>
      <c r="L97" s="11">
        <f>HYPERLINK("1\1\" &amp; K97, "Ver Imagen")</f>
        <v/>
      </c>
      <c r="M97" t="inlineStr">
        <is>
          <t>Moda</t>
        </is>
      </c>
    </row>
    <row r="98">
      <c r="A98" t="n">
        <v>97</v>
      </c>
      <c r="B98" t="inlineStr">
        <is>
          <t>A-495R__87</t>
        </is>
      </c>
      <c r="C98" s="1" t="n">
        <v>37.4611926819</v>
      </c>
      <c r="D98" s="1" t="n">
        <v>-7.11610156661</v>
      </c>
      <c r="E98" s="3" t="n">
        <v>1</v>
      </c>
      <c r="F98" s="2" t="n">
        <v>1</v>
      </c>
      <c r="G98" s="4" t="n">
        <v>2</v>
      </c>
      <c r="H98" s="13" t="n"/>
      <c r="I98" s="15" t="n"/>
      <c r="J98" s="19" t="n">
        <v>1</v>
      </c>
      <c r="K98" s="2" t="inlineStr">
        <is>
          <t>marker_942_906648.png</t>
        </is>
      </c>
      <c r="L98" s="11">
        <f>HYPERLINK("1\1\" &amp; K98, "Ver Imagen")</f>
        <v/>
      </c>
      <c r="M98" t="inlineStr">
        <is>
          <t>Moda</t>
        </is>
      </c>
    </row>
    <row r="99">
      <c r="A99" t="n">
        <v>98</v>
      </c>
      <c r="B99" t="inlineStr">
        <is>
          <t>A-495R__80</t>
        </is>
      </c>
      <c r="C99" s="1" t="n">
        <v>37.4600184025</v>
      </c>
      <c r="D99" s="1" t="n">
        <v>-7.11512885871</v>
      </c>
      <c r="E99" s="3" t="n">
        <v>1</v>
      </c>
      <c r="F99" s="2" t="n">
        <v>1</v>
      </c>
      <c r="G99" s="4" t="n">
        <v>2</v>
      </c>
      <c r="H99" s="13" t="n"/>
      <c r="I99" s="15" t="n"/>
      <c r="J99" s="19" t="n">
        <v>1</v>
      </c>
      <c r="K99" s="2" t="inlineStr">
        <is>
          <t>marker_550_906714.png</t>
        </is>
      </c>
      <c r="L99" s="11">
        <f>HYPERLINK("1\1\" &amp; K99, "Ver Imagen")</f>
        <v/>
      </c>
      <c r="M99" t="inlineStr">
        <is>
          <t>Moda</t>
        </is>
      </c>
    </row>
    <row r="100">
      <c r="A100" t="n">
        <v>99</v>
      </c>
      <c r="B100" t="inlineStr">
        <is>
          <t>A-5052__38</t>
        </is>
      </c>
      <c r="C100" s="1" t="n">
        <v>37.2178367628</v>
      </c>
      <c r="D100" s="1" t="n">
        <v>-7.11651172589</v>
      </c>
      <c r="E100" s="3" t="n">
        <v>1</v>
      </c>
      <c r="F100" s="2" t="n">
        <v>1</v>
      </c>
      <c r="G100" s="4" t="n">
        <v>2</v>
      </c>
      <c r="H100" s="13" t="n"/>
      <c r="I100" s="15" t="n"/>
      <c r="J100" s="19" t="n">
        <v>1</v>
      </c>
      <c r="K100" s="2" t="inlineStr">
        <is>
          <t>marker_346_956781.png</t>
        </is>
      </c>
      <c r="L100" s="11">
        <f>HYPERLINK("1\1\" &amp; K100, "Ver Imagen")</f>
        <v/>
      </c>
      <c r="M100" t="inlineStr">
        <is>
          <t>Moda</t>
        </is>
      </c>
    </row>
    <row r="101">
      <c r="A101" t="n">
        <v>100</v>
      </c>
      <c r="B101" t="inlineStr">
        <is>
          <t>A-5052__39</t>
        </is>
      </c>
      <c r="C101" s="1" t="n">
        <v>37.2178006167</v>
      </c>
      <c r="D101" s="1" t="n">
        <v>-7.11625119402</v>
      </c>
      <c r="E101" s="3" t="n">
        <v>1</v>
      </c>
      <c r="F101" s="2" t="n">
        <v>1</v>
      </c>
      <c r="G101" s="4" t="n">
        <v>2</v>
      </c>
      <c r="H101" s="13" t="n"/>
      <c r="I101" s="15" t="n"/>
      <c r="J101" s="19" t="n">
        <v>1</v>
      </c>
      <c r="K101" s="2" t="inlineStr">
        <is>
          <t>marker_237_956791.png</t>
        </is>
      </c>
      <c r="L101" s="11">
        <f>HYPERLINK("1\1\" &amp; K101, "Ver Imagen")</f>
        <v/>
      </c>
      <c r="M101" t="inlineStr">
        <is>
          <t>Moda</t>
        </is>
      </c>
    </row>
    <row r="102">
      <c r="A102" t="n">
        <v>101</v>
      </c>
      <c r="B102" t="inlineStr">
        <is>
          <t>A-5052__40</t>
        </is>
      </c>
      <c r="C102" s="1" t="n">
        <v>37.2177680803</v>
      </c>
      <c r="D102" s="1" t="n">
        <v>-7.11600838226</v>
      </c>
      <c r="E102" s="3" t="n">
        <v>1</v>
      </c>
      <c r="F102" s="2" t="n">
        <v>1</v>
      </c>
      <c r="G102" s="4" t="n">
        <v>2</v>
      </c>
      <c r="H102" s="13" t="n"/>
      <c r="I102" s="15" t="n"/>
      <c r="J102" s="19" t="n">
        <v>1</v>
      </c>
      <c r="K102" s="2" t="inlineStr">
        <is>
          <t>marker_121_956809.png</t>
        </is>
      </c>
      <c r="L102" s="11">
        <f>HYPERLINK("1\1\" &amp; K102, "Ver Imagen")</f>
        <v/>
      </c>
      <c r="M102" t="inlineStr">
        <is>
          <t>Moda</t>
        </is>
      </c>
    </row>
    <row r="103">
      <c r="A103" t="n">
        <v>102</v>
      </c>
      <c r="B103" t="inlineStr">
        <is>
          <t>A-5052__41</t>
        </is>
      </c>
      <c r="C103" s="1" t="n">
        <v>37.2177325906</v>
      </c>
      <c r="D103" s="1" t="n">
        <v>-7.1157445933</v>
      </c>
      <c r="E103" s="3" t="n">
        <v>1</v>
      </c>
      <c r="F103" s="2" t="n">
        <v>1</v>
      </c>
      <c r="G103" s="4" t="n">
        <v>2</v>
      </c>
      <c r="H103" s="13" t="n"/>
      <c r="I103" s="15" t="n"/>
      <c r="J103" s="19" t="n">
        <v>1</v>
      </c>
      <c r="K103" s="2" t="inlineStr">
        <is>
          <t>marker_644_956821.png</t>
        </is>
      </c>
      <c r="L103" s="11">
        <f>HYPERLINK("1\1\" &amp; K103, "Ver Imagen")</f>
        <v/>
      </c>
      <c r="M103" t="inlineStr">
        <is>
          <t>Moda</t>
        </is>
      </c>
    </row>
    <row r="104">
      <c r="A104" t="n">
        <v>103</v>
      </c>
      <c r="B104" t="inlineStr">
        <is>
          <t>A-5052__45</t>
        </is>
      </c>
      <c r="C104" s="1" t="n">
        <v>37.2175929427</v>
      </c>
      <c r="D104" s="1" t="n">
        <v>-7.11470679473</v>
      </c>
      <c r="E104" s="3" t="n">
        <v>1</v>
      </c>
      <c r="F104" s="2" t="n">
        <v>1</v>
      </c>
      <c r="G104" s="4" t="n">
        <v>2</v>
      </c>
      <c r="H104" s="13" t="n"/>
      <c r="I104" s="15" t="n"/>
      <c r="J104" s="19" t="n">
        <v>1</v>
      </c>
      <c r="K104" s="2" t="inlineStr">
        <is>
          <t>marker_734_956868.png</t>
        </is>
      </c>
      <c r="L104" s="11">
        <f>HYPERLINK("1\1\" &amp; K104, "Ver Imagen")</f>
        <v/>
      </c>
      <c r="M104" t="inlineStr">
        <is>
          <t>Moda</t>
        </is>
      </c>
    </row>
    <row r="105">
      <c r="A105" t="n">
        <v>104</v>
      </c>
      <c r="B105" t="inlineStr">
        <is>
          <t>A-5052__62</t>
        </is>
      </c>
      <c r="C105" s="1" t="n">
        <v>37.2176408009</v>
      </c>
      <c r="D105" s="1" t="n">
        <v>-7.11044826286</v>
      </c>
      <c r="E105" s="3" t="n">
        <v>1</v>
      </c>
      <c r="F105" s="2" t="n">
        <v>1</v>
      </c>
      <c r="G105" s="4" t="n">
        <v>2</v>
      </c>
      <c r="H105" s="13" t="n"/>
      <c r="I105" s="15" t="n"/>
      <c r="J105" s="19" t="n">
        <v>1</v>
      </c>
      <c r="K105" s="2" t="inlineStr">
        <is>
          <t>marker_421_957088.png</t>
        </is>
      </c>
      <c r="L105" s="11">
        <f>HYPERLINK("1\1\" &amp; K105, "Ver Imagen")</f>
        <v/>
      </c>
      <c r="M105" t="inlineStr">
        <is>
          <t>Moda</t>
        </is>
      </c>
    </row>
    <row r="106">
      <c r="A106" t="n">
        <v>105</v>
      </c>
      <c r="B106" t="inlineStr">
        <is>
          <t>A-5052__63</t>
        </is>
      </c>
      <c r="C106" s="1" t="n">
        <v>37.2176500686</v>
      </c>
      <c r="D106" s="1" t="n">
        <v>-7.1101947003</v>
      </c>
      <c r="E106" s="3" t="n">
        <v>1</v>
      </c>
      <c r="F106" s="2" t="n">
        <v>1</v>
      </c>
      <c r="G106" s="4" t="n">
        <v>2</v>
      </c>
      <c r="H106" s="13" t="n"/>
      <c r="I106" s="15" t="n"/>
      <c r="J106" s="19" t="n">
        <v>1</v>
      </c>
      <c r="K106" s="2" t="inlineStr">
        <is>
          <t>marker_195_957100.png</t>
        </is>
      </c>
      <c r="L106" s="11">
        <f>HYPERLINK("1\1\" &amp; K106, "Ver Imagen")</f>
        <v/>
      </c>
      <c r="M106" t="inlineStr">
        <is>
          <t>Moda</t>
        </is>
      </c>
    </row>
    <row r="107">
      <c r="A107" t="n">
        <v>106</v>
      </c>
      <c r="B107" t="inlineStr">
        <is>
          <t>A-5052__72</t>
        </is>
      </c>
      <c r="C107" s="1" t="n">
        <v>37.2174492556</v>
      </c>
      <c r="D107" s="1" t="n">
        <v>-7.10793322836</v>
      </c>
      <c r="E107" s="3" t="n">
        <v>1</v>
      </c>
      <c r="F107" s="2" t="n">
        <v>1</v>
      </c>
      <c r="G107" s="4" t="n">
        <v>2</v>
      </c>
      <c r="H107" s="13" t="n"/>
      <c r="I107" s="15" t="n"/>
      <c r="J107" s="19" t="n">
        <v>1</v>
      </c>
      <c r="K107" s="2" t="inlineStr">
        <is>
          <t>marker_832_957198.png</t>
        </is>
      </c>
      <c r="L107" s="11">
        <f>HYPERLINK("1\1\" &amp; K107, "Ver Imagen")</f>
        <v/>
      </c>
      <c r="M107" t="inlineStr">
        <is>
          <t>Moda</t>
        </is>
      </c>
    </row>
    <row r="108">
      <c r="A108" t="n">
        <v>107</v>
      </c>
      <c r="B108" t="inlineStr">
        <is>
          <t>A-5052__77</t>
        </is>
      </c>
      <c r="C108" s="1" t="n">
        <v>37.2172629376</v>
      </c>
      <c r="D108" s="1" t="n">
        <v>-7.10667926807</v>
      </c>
      <c r="E108" s="3" t="n">
        <v>1</v>
      </c>
      <c r="F108" s="2" t="n">
        <v>1</v>
      </c>
      <c r="G108" s="4" t="n">
        <v>2</v>
      </c>
      <c r="H108" s="13" t="n"/>
      <c r="I108" s="15" t="n"/>
      <c r="J108" s="19" t="n">
        <v>1</v>
      </c>
      <c r="K108" s="2" t="inlineStr">
        <is>
          <t>marker_475_957254.png</t>
        </is>
      </c>
      <c r="L108" s="11">
        <f>HYPERLINK("1\1\" &amp; K108, "Ver Imagen")</f>
        <v/>
      </c>
      <c r="M108" t="inlineStr">
        <is>
          <t>Moda</t>
        </is>
      </c>
    </row>
    <row r="109">
      <c r="A109" t="n">
        <v>108</v>
      </c>
      <c r="B109" t="inlineStr">
        <is>
          <t>A-5052__79</t>
        </is>
      </c>
      <c r="C109" s="1" t="n">
        <v>37.217196227</v>
      </c>
      <c r="D109" s="1" t="n">
        <v>-7.10620071707</v>
      </c>
      <c r="E109" s="3" t="n">
        <v>1</v>
      </c>
      <c r="F109" s="2" t="n">
        <v>1</v>
      </c>
      <c r="G109" s="4" t="n">
        <v>2</v>
      </c>
      <c r="H109" s="13" t="n"/>
      <c r="I109" s="15" t="n"/>
      <c r="J109" s="19" t="n">
        <v>1</v>
      </c>
      <c r="K109" s="2" t="inlineStr">
        <is>
          <t>marker_987_957274.png</t>
        </is>
      </c>
      <c r="L109" s="11">
        <f>HYPERLINK("1\1\" &amp; K109, "Ver Imagen")</f>
        <v/>
      </c>
      <c r="M109" t="inlineStr">
        <is>
          <t>Moda</t>
        </is>
      </c>
    </row>
    <row r="110">
      <c r="A110" t="n">
        <v>109</v>
      </c>
      <c r="B110" t="inlineStr">
        <is>
          <t>A-5052__80</t>
        </is>
      </c>
      <c r="C110" s="1" t="n">
        <v>37.2171610132</v>
      </c>
      <c r="D110" s="1" t="n">
        <v>-7.10594204263</v>
      </c>
      <c r="E110" s="3" t="n">
        <v>1</v>
      </c>
      <c r="F110" s="2" t="n">
        <v>1</v>
      </c>
      <c r="G110" s="4" t="n">
        <v>2</v>
      </c>
      <c r="H110" s="13" t="n"/>
      <c r="I110" s="15" t="n"/>
      <c r="J110" s="19" t="n">
        <v>1</v>
      </c>
      <c r="K110" s="2" t="inlineStr">
        <is>
          <t>marker_570_957286.png</t>
        </is>
      </c>
      <c r="L110" s="11">
        <f>HYPERLINK("1\1\" &amp; K110, "Ver Imagen")</f>
        <v/>
      </c>
      <c r="M110" t="inlineStr">
        <is>
          <t>Moda</t>
        </is>
      </c>
    </row>
    <row r="111">
      <c r="A111" t="n">
        <v>110</v>
      </c>
      <c r="B111" t="inlineStr">
        <is>
          <t>A-5052__89</t>
        </is>
      </c>
      <c r="C111" s="1" t="n">
        <v>37.2169441095</v>
      </c>
      <c r="D111" s="1" t="n">
        <v>-7.10368038064</v>
      </c>
      <c r="E111" s="3" t="n">
        <v>1</v>
      </c>
      <c r="F111" s="2" t="n">
        <v>1</v>
      </c>
      <c r="G111" s="4" t="n">
        <v>2</v>
      </c>
      <c r="H111" s="13" t="n"/>
      <c r="I111" s="15" t="n"/>
      <c r="J111" s="19" t="n">
        <v>1</v>
      </c>
      <c r="K111" s="2" t="inlineStr">
        <is>
          <t>marker_134_957487.png</t>
        </is>
      </c>
      <c r="L111" s="11">
        <f>HYPERLINK("1\1\" &amp; K111, "Ver Imagen")</f>
        <v/>
      </c>
      <c r="M111" t="inlineStr">
        <is>
          <t>Moda</t>
        </is>
      </c>
    </row>
    <row r="112">
      <c r="A112" t="n">
        <v>111</v>
      </c>
      <c r="B112" t="inlineStr">
        <is>
          <t>A-5052__90</t>
        </is>
      </c>
      <c r="C112" s="1" t="n">
        <v>37.2169227654</v>
      </c>
      <c r="D112" s="1" t="n">
        <v>-7.10344312843</v>
      </c>
      <c r="E112" s="3" t="n">
        <v>1</v>
      </c>
      <c r="F112" s="2" t="n">
        <v>1</v>
      </c>
      <c r="G112" s="4" t="n">
        <v>2</v>
      </c>
      <c r="H112" s="13" t="n"/>
      <c r="I112" s="15" t="n"/>
      <c r="J112" s="19" t="n">
        <v>1</v>
      </c>
      <c r="K112" s="2" t="inlineStr">
        <is>
          <t>marker_642_957497.png</t>
        </is>
      </c>
      <c r="L112" s="11">
        <f>HYPERLINK("1\1\" &amp; K112, "Ver Imagen")</f>
        <v/>
      </c>
      <c r="M112" t="inlineStr">
        <is>
          <t>Moda</t>
        </is>
      </c>
    </row>
    <row r="113">
      <c r="A113" t="n">
        <v>112</v>
      </c>
      <c r="B113" t="inlineStr">
        <is>
          <t>A-5052__91</t>
        </is>
      </c>
      <c r="C113" s="1" t="n">
        <v>37.2169024886</v>
      </c>
      <c r="D113" s="1" t="n">
        <v>-7.10320628284</v>
      </c>
      <c r="E113" s="3" t="n">
        <v>1</v>
      </c>
      <c r="F113" s="2" t="n">
        <v>1</v>
      </c>
      <c r="G113" s="4" t="n">
        <v>2</v>
      </c>
      <c r="H113" s="13" t="n"/>
      <c r="I113" s="15" t="n"/>
      <c r="J113" s="19" t="n">
        <v>1</v>
      </c>
      <c r="K113" s="2" t="inlineStr">
        <is>
          <t>marker_932_957508.png</t>
        </is>
      </c>
      <c r="L113" s="11">
        <f>HYPERLINK("1\1\" &amp; K113, "Ver Imagen")</f>
        <v/>
      </c>
      <c r="M113" t="inlineStr">
        <is>
          <t>Moda</t>
        </is>
      </c>
    </row>
    <row r="114">
      <c r="A114" t="n">
        <v>113</v>
      </c>
      <c r="B114" t="inlineStr">
        <is>
          <t>A-5052__96</t>
        </is>
      </c>
      <c r="C114" s="1" t="n">
        <v>37.2167875928</v>
      </c>
      <c r="D114" s="1" t="n">
        <v>-7.10192561734</v>
      </c>
      <c r="E114" s="3" t="n">
        <v>1</v>
      </c>
      <c r="F114" s="2" t="n">
        <v>1</v>
      </c>
      <c r="G114" s="4" t="n">
        <v>2</v>
      </c>
      <c r="H114" s="13" t="n"/>
      <c r="I114" s="15" t="n"/>
      <c r="J114" s="19" t="n">
        <v>1</v>
      </c>
      <c r="K114" s="2" t="inlineStr">
        <is>
          <t>marker_323_957613.png</t>
        </is>
      </c>
      <c r="L114" s="11">
        <f>HYPERLINK("1\1\" &amp; K114, "Ver Imagen")</f>
        <v/>
      </c>
      <c r="M114" t="inlineStr">
        <is>
          <t>Moda</t>
        </is>
      </c>
    </row>
    <row r="115">
      <c r="A115" t="n">
        <v>114</v>
      </c>
      <c r="B115" t="inlineStr">
        <is>
          <t>A-5052__99</t>
        </is>
      </c>
      <c r="C115" s="1" t="n">
        <v>37.2168259709</v>
      </c>
      <c r="D115" s="1" t="n">
        <v>-7.10116289064</v>
      </c>
      <c r="E115" s="3" t="n">
        <v>1</v>
      </c>
      <c r="F115" s="2" t="n">
        <v>1</v>
      </c>
      <c r="G115" s="4" t="n">
        <v>2</v>
      </c>
      <c r="H115" s="13" t="n"/>
      <c r="I115" s="15" t="n"/>
      <c r="J115" s="19" t="n">
        <v>1</v>
      </c>
      <c r="K115" s="2" t="inlineStr">
        <is>
          <t>marker_104_957649.png</t>
        </is>
      </c>
      <c r="L115" s="11">
        <f>HYPERLINK("1\1\" &amp; K115, "Ver Imagen")</f>
        <v/>
      </c>
      <c r="M115" t="inlineStr">
        <is>
          <t>Moda</t>
        </is>
      </c>
    </row>
    <row r="116">
      <c r="A116" t="n">
        <v>115</v>
      </c>
      <c r="B116" t="inlineStr">
        <is>
          <t>A-5052__121</t>
        </is>
      </c>
      <c r="C116" s="1" t="n">
        <v>37.2166573911</v>
      </c>
      <c r="D116" s="1" t="n">
        <v>-7.09565970392</v>
      </c>
      <c r="E116" s="3" t="n">
        <v>1</v>
      </c>
      <c r="F116" s="2" t="n">
        <v>1</v>
      </c>
      <c r="G116" s="4" t="n">
        <v>2</v>
      </c>
      <c r="H116" s="13" t="n"/>
      <c r="I116" s="15" t="n"/>
      <c r="J116" s="19" t="n">
        <v>1</v>
      </c>
      <c r="K116" s="2" t="inlineStr">
        <is>
          <t>marker_532_957950.png</t>
        </is>
      </c>
      <c r="L116" s="11">
        <f>HYPERLINK("1\1\" &amp; K116, "Ver Imagen")</f>
        <v/>
      </c>
      <c r="M116" t="inlineStr">
        <is>
          <t>Moda</t>
        </is>
      </c>
    </row>
    <row r="117">
      <c r="A117" t="n">
        <v>116</v>
      </c>
      <c r="B117" t="inlineStr">
        <is>
          <t>A-5052__153</t>
        </is>
      </c>
      <c r="C117" s="1" t="n">
        <v>37.2160215488</v>
      </c>
      <c r="D117" s="1" t="n">
        <v>-7.08761441804</v>
      </c>
      <c r="E117" s="3" t="n">
        <v>1</v>
      </c>
      <c r="F117" s="2" t="n">
        <v>1</v>
      </c>
      <c r="G117" s="4" t="n">
        <v>2</v>
      </c>
      <c r="H117" s="13" t="n"/>
      <c r="I117" s="15" t="n"/>
      <c r="J117" s="19" t="n">
        <v>1</v>
      </c>
      <c r="K117" s="2" t="inlineStr">
        <is>
          <t>marker_590_958567.png</t>
        </is>
      </c>
      <c r="L117" s="11">
        <f>HYPERLINK("1\1\" &amp; K117, "Ver Imagen")</f>
        <v/>
      </c>
      <c r="M117" t="inlineStr">
        <is>
          <t>Moda</t>
        </is>
      </c>
    </row>
    <row r="118">
      <c r="A118" t="n">
        <v>117</v>
      </c>
      <c r="B118" t="inlineStr">
        <is>
          <t>A-5052__166</t>
        </is>
      </c>
      <c r="C118" s="1" t="n">
        <v>37.216227173</v>
      </c>
      <c r="D118" s="1" t="n">
        <v>-7.08438348384</v>
      </c>
      <c r="E118" s="3" t="n">
        <v>1</v>
      </c>
      <c r="F118" s="2" t="n">
        <v>1</v>
      </c>
      <c r="G118" s="4" t="n">
        <v>2</v>
      </c>
      <c r="H118" s="13" t="n"/>
      <c r="I118" s="15" t="n"/>
      <c r="J118" s="19" t="n">
        <v>1</v>
      </c>
      <c r="K118" s="2" t="inlineStr">
        <is>
          <t>marker_710_958849.png</t>
        </is>
      </c>
      <c r="L118" s="11">
        <f>HYPERLINK("1\1\" &amp; K118, "Ver Imagen")</f>
        <v/>
      </c>
      <c r="M118" t="inlineStr">
        <is>
          <t>Moda</t>
        </is>
      </c>
    </row>
    <row r="119">
      <c r="A119" t="n">
        <v>118</v>
      </c>
      <c r="B119" t="inlineStr">
        <is>
          <t>A-5052__176</t>
        </is>
      </c>
      <c r="C119" s="1" t="n">
        <v>37.215662479</v>
      </c>
      <c r="D119" s="1" t="n">
        <v>-7.08199533654</v>
      </c>
      <c r="E119" s="3" t="n">
        <v>1</v>
      </c>
      <c r="F119" s="2" t="n">
        <v>1</v>
      </c>
      <c r="G119" s="4" t="n">
        <v>2</v>
      </c>
      <c r="H119" s="13" t="n"/>
      <c r="I119" s="15" t="n"/>
      <c r="J119" s="19" t="n">
        <v>1</v>
      </c>
      <c r="K119" s="2" t="inlineStr">
        <is>
          <t>marker_220_959029.png</t>
        </is>
      </c>
      <c r="L119" s="11">
        <f>HYPERLINK("1\1\" &amp; K119, "Ver Imagen")</f>
        <v/>
      </c>
      <c r="M119" t="inlineStr">
        <is>
          <t>Moda</t>
        </is>
      </c>
    </row>
    <row r="120">
      <c r="A120" t="n">
        <v>119</v>
      </c>
      <c r="B120" t="inlineStr">
        <is>
          <t>A-5052__182</t>
        </is>
      </c>
      <c r="C120" s="1" t="n">
        <v>37.2152523853</v>
      </c>
      <c r="D120" s="1" t="n">
        <v>-7.08055046209</v>
      </c>
      <c r="E120" s="3" t="n">
        <v>1</v>
      </c>
      <c r="F120" s="2" t="n">
        <v>1</v>
      </c>
      <c r="G120" s="4" t="n">
        <v>2</v>
      </c>
      <c r="H120" s="13" t="n"/>
      <c r="I120" s="15" t="n"/>
      <c r="J120" s="19" t="n">
        <v>1</v>
      </c>
      <c r="K120" s="2" t="inlineStr">
        <is>
          <t>marker_889_959189.png</t>
        </is>
      </c>
      <c r="L120" s="11">
        <f>HYPERLINK("1\1\" &amp; K120, "Ver Imagen")</f>
        <v/>
      </c>
      <c r="M120" t="inlineStr">
        <is>
          <t>Moda</t>
        </is>
      </c>
    </row>
    <row r="121">
      <c r="A121" t="n">
        <v>120</v>
      </c>
      <c r="B121" t="inlineStr">
        <is>
          <t>A-5052__194</t>
        </is>
      </c>
      <c r="C121" s="1" t="n">
        <v>37.2146018969</v>
      </c>
      <c r="D121" s="1" t="n">
        <v>-7.07757333296</v>
      </c>
      <c r="E121" s="3" t="n">
        <v>1</v>
      </c>
      <c r="F121" s="2" t="n">
        <v>1</v>
      </c>
      <c r="G121" s="4" t="n">
        <v>2</v>
      </c>
      <c r="H121" s="13" t="n"/>
      <c r="I121" s="15" t="n"/>
      <c r="J121" s="19" t="n">
        <v>1</v>
      </c>
      <c r="K121" s="2" t="inlineStr">
        <is>
          <t>marker_834_959393.png</t>
        </is>
      </c>
      <c r="L121" s="11">
        <f>HYPERLINK("1\1\" &amp; K121, "Ver Imagen")</f>
        <v/>
      </c>
      <c r="M121" t="inlineStr">
        <is>
          <t>Moda</t>
        </is>
      </c>
    </row>
    <row r="122">
      <c r="A122" t="n">
        <v>121</v>
      </c>
      <c r="B122" t="inlineStr">
        <is>
          <t>A-5052__195</t>
        </is>
      </c>
      <c r="C122" s="1" t="n">
        <v>37.2145551412</v>
      </c>
      <c r="D122" s="1" t="n">
        <v>-7.07732809825</v>
      </c>
      <c r="E122" s="3" t="n">
        <v>1</v>
      </c>
      <c r="F122" s="2" t="n">
        <v>1</v>
      </c>
      <c r="G122" s="4" t="n">
        <v>2</v>
      </c>
      <c r="H122" s="13" t="n"/>
      <c r="I122" s="15" t="n"/>
      <c r="J122" s="19" t="n">
        <v>1</v>
      </c>
      <c r="K122" s="2" t="inlineStr">
        <is>
          <t>marker_226_959402.png</t>
        </is>
      </c>
      <c r="L122" s="11">
        <f>HYPERLINK("1\1\" &amp; K122, "Ver Imagen")</f>
        <v/>
      </c>
      <c r="M122" t="inlineStr">
        <is>
          <t>Moda</t>
        </is>
      </c>
    </row>
    <row r="123">
      <c r="A123" t="n">
        <v>122</v>
      </c>
      <c r="B123" t="inlineStr">
        <is>
          <t>A-5052__197</t>
        </is>
      </c>
      <c r="C123" s="1" t="n">
        <v>37.2144626147</v>
      </c>
      <c r="D123" s="1" t="n">
        <v>-7.07683664073</v>
      </c>
      <c r="E123" s="3" t="n">
        <v>1</v>
      </c>
      <c r="F123" s="2" t="n">
        <v>1</v>
      </c>
      <c r="G123" s="4" t="n">
        <v>2</v>
      </c>
      <c r="H123" s="13" t="n"/>
      <c r="I123" s="15" t="n"/>
      <c r="J123" s="19" t="n">
        <v>1</v>
      </c>
      <c r="K123" s="2" t="inlineStr">
        <is>
          <t>marker_567_959419.png</t>
        </is>
      </c>
      <c r="L123" s="11">
        <f>HYPERLINK("1\1\" &amp; K123, "Ver Imagen")</f>
        <v/>
      </c>
      <c r="M123" t="inlineStr">
        <is>
          <t>Moda</t>
        </is>
      </c>
    </row>
    <row r="124">
      <c r="A124" t="n">
        <v>123</v>
      </c>
      <c r="B124" t="inlineStr">
        <is>
          <t>A-5052__198</t>
        </is>
      </c>
      <c r="C124" s="1" t="n">
        <v>37.2144095697</v>
      </c>
      <c r="D124" s="1" t="n">
        <v>-7.07655222816</v>
      </c>
      <c r="E124" s="3" t="n">
        <v>1</v>
      </c>
      <c r="F124" s="2" t="n">
        <v>1</v>
      </c>
      <c r="G124" s="4" t="n">
        <v>2</v>
      </c>
      <c r="H124" s="13" t="n"/>
      <c r="I124" s="15" t="n"/>
      <c r="J124" s="19" t="n">
        <v>1</v>
      </c>
      <c r="K124" s="2" t="inlineStr">
        <is>
          <t>marker_155_959442.png</t>
        </is>
      </c>
      <c r="L124" s="11">
        <f>HYPERLINK("1\1\" &amp; K124, "Ver Imagen")</f>
        <v/>
      </c>
      <c r="M124" t="inlineStr">
        <is>
          <t>Moda</t>
        </is>
      </c>
    </row>
    <row r="125">
      <c r="A125" t="n">
        <v>124</v>
      </c>
      <c r="B125" t="inlineStr">
        <is>
          <t>A-5052__199</t>
        </is>
      </c>
      <c r="C125" s="1" t="n">
        <v>37.2143729572</v>
      </c>
      <c r="D125" s="1" t="n">
        <v>-7.07636070397</v>
      </c>
      <c r="E125" s="3" t="n">
        <v>1</v>
      </c>
      <c r="F125" s="2" t="n">
        <v>1</v>
      </c>
      <c r="G125" s="4" t="n">
        <v>2</v>
      </c>
      <c r="H125" s="13" t="n"/>
      <c r="I125" s="15" t="n"/>
      <c r="J125" s="19" t="n">
        <v>1</v>
      </c>
      <c r="K125" s="2" t="inlineStr">
        <is>
          <t>marker_691_959454.png</t>
        </is>
      </c>
      <c r="L125" s="11">
        <f>HYPERLINK("1\1\" &amp; K125, "Ver Imagen")</f>
        <v/>
      </c>
      <c r="M125" t="inlineStr">
        <is>
          <t>Moda</t>
        </is>
      </c>
    </row>
    <row r="126">
      <c r="A126" t="n">
        <v>125</v>
      </c>
      <c r="B126" t="inlineStr">
        <is>
          <t>A-5052__200</t>
        </is>
      </c>
      <c r="C126" s="1" t="n">
        <v>37.2143231282</v>
      </c>
      <c r="D126" s="1" t="n">
        <v>-7.07610883433</v>
      </c>
      <c r="E126" s="3" t="n">
        <v>1</v>
      </c>
      <c r="F126" s="2" t="n">
        <v>1</v>
      </c>
      <c r="G126" s="4" t="n">
        <v>2</v>
      </c>
      <c r="H126" s="13" t="n"/>
      <c r="I126" s="15" t="n"/>
      <c r="J126" s="19" t="n">
        <v>1</v>
      </c>
      <c r="K126" s="2" t="inlineStr">
        <is>
          <t>marker_382_959472.png</t>
        </is>
      </c>
      <c r="L126" s="11">
        <f>HYPERLINK("1\1\" &amp; K126, "Ver Imagen")</f>
        <v/>
      </c>
      <c r="M126" t="inlineStr">
        <is>
          <t>Moda</t>
        </is>
      </c>
    </row>
    <row r="127">
      <c r="A127" t="n">
        <v>126</v>
      </c>
      <c r="B127" t="inlineStr">
        <is>
          <t>A-5052__201</t>
        </is>
      </c>
      <c r="C127" s="1" t="n">
        <v>37.2142803161</v>
      </c>
      <c r="D127" s="1" t="n">
        <v>-7.07589045704</v>
      </c>
      <c r="E127" s="3" t="n">
        <v>1</v>
      </c>
      <c r="F127" s="2" t="n">
        <v>1</v>
      </c>
      <c r="G127" s="4" t="n">
        <v>2</v>
      </c>
      <c r="H127" s="13" t="n"/>
      <c r="I127" s="15" t="n"/>
      <c r="J127" s="19" t="n">
        <v>1</v>
      </c>
      <c r="K127" s="2" t="inlineStr">
        <is>
          <t>marker_906_959482.png</t>
        </is>
      </c>
      <c r="L127" s="11">
        <f>HYPERLINK("1\1\" &amp; K127, "Ver Imagen")</f>
        <v/>
      </c>
      <c r="M127" t="inlineStr">
        <is>
          <t>Moda</t>
        </is>
      </c>
    </row>
    <row r="128">
      <c r="A128" t="n">
        <v>127</v>
      </c>
      <c r="B128" t="inlineStr">
        <is>
          <t>A-5052__202</t>
        </is>
      </c>
      <c r="C128" s="1" t="n">
        <v>37.2142291734</v>
      </c>
      <c r="D128" s="1" t="n">
        <v>-7.0756251793</v>
      </c>
      <c r="E128" s="3" t="n">
        <v>1</v>
      </c>
      <c r="F128" s="2" t="n">
        <v>1</v>
      </c>
      <c r="G128" s="4" t="n">
        <v>2</v>
      </c>
      <c r="H128" s="13" t="n"/>
      <c r="I128" s="15" t="n"/>
      <c r="J128" s="19" t="n">
        <v>1</v>
      </c>
      <c r="K128" s="2" t="inlineStr">
        <is>
          <t>marker_899_959490.png</t>
        </is>
      </c>
      <c r="L128" s="11">
        <f>HYPERLINK("1\1\" &amp; K128, "Ver Imagen")</f>
        <v/>
      </c>
      <c r="M128" t="inlineStr">
        <is>
          <t>Moda</t>
        </is>
      </c>
    </row>
    <row r="129">
      <c r="A129" t="n">
        <v>128</v>
      </c>
      <c r="B129" t="inlineStr">
        <is>
          <t>A-5052__203</t>
        </is>
      </c>
      <c r="C129" s="1" t="n">
        <v>37.2141838384</v>
      </c>
      <c r="D129" s="1" t="n">
        <v>-7.07538416538</v>
      </c>
      <c r="E129" s="3" t="n">
        <v>1</v>
      </c>
      <c r="F129" s="2" t="n">
        <v>1</v>
      </c>
      <c r="G129" s="4" t="n">
        <v>2</v>
      </c>
      <c r="H129" s="13" t="n"/>
      <c r="I129" s="15" t="n"/>
      <c r="J129" s="19" t="n">
        <v>1</v>
      </c>
      <c r="K129" s="2" t="inlineStr">
        <is>
          <t>marker_695_959499.png</t>
        </is>
      </c>
      <c r="L129" s="11">
        <f>HYPERLINK("1\1\" &amp; K129, "Ver Imagen")</f>
        <v/>
      </c>
      <c r="M129" t="inlineStr">
        <is>
          <t>Moda</t>
        </is>
      </c>
    </row>
    <row r="130">
      <c r="A130" t="n">
        <v>129</v>
      </c>
      <c r="B130" t="inlineStr">
        <is>
          <t>A-5052__207</t>
        </is>
      </c>
      <c r="C130" s="1" t="n">
        <v>37.2140094482</v>
      </c>
      <c r="D130" s="1" t="n">
        <v>-7.07440724843</v>
      </c>
      <c r="E130" s="3" t="n">
        <v>1</v>
      </c>
      <c r="F130" s="2" t="n">
        <v>1</v>
      </c>
      <c r="G130" s="4" t="n">
        <v>2</v>
      </c>
      <c r="H130" s="13" t="n"/>
      <c r="I130" s="15" t="n"/>
      <c r="J130" s="19" t="n">
        <v>1</v>
      </c>
      <c r="K130" s="2" t="inlineStr">
        <is>
          <t>marker_473_959556.png</t>
        </is>
      </c>
      <c r="L130" s="11">
        <f>HYPERLINK("1\1\" &amp; K130, "Ver Imagen")</f>
        <v/>
      </c>
      <c r="M130" t="inlineStr">
        <is>
          <t>Moda</t>
        </is>
      </c>
    </row>
    <row r="131">
      <c r="A131" t="n">
        <v>130</v>
      </c>
      <c r="B131" t="inlineStr">
        <is>
          <t>A-5052__220</t>
        </is>
      </c>
      <c r="C131" s="1" t="n">
        <v>37.2136128899</v>
      </c>
      <c r="D131" s="1" t="n">
        <v>-7.07111852193</v>
      </c>
      <c r="E131" s="3" t="n">
        <v>1</v>
      </c>
      <c r="F131" s="2" t="n">
        <v>1</v>
      </c>
      <c r="G131" s="4" t="n">
        <v>2</v>
      </c>
      <c r="H131" s="13" t="n"/>
      <c r="I131" s="15" t="n"/>
      <c r="J131" s="19" t="n">
        <v>1</v>
      </c>
      <c r="K131" s="2" t="inlineStr">
        <is>
          <t>marker_920_959721.png</t>
        </is>
      </c>
      <c r="L131" s="11">
        <f>HYPERLINK("1\1\" &amp; K131, "Ver Imagen")</f>
        <v/>
      </c>
      <c r="M131" t="inlineStr">
        <is>
          <t>Moda</t>
        </is>
      </c>
    </row>
    <row r="132">
      <c r="A132" t="n">
        <v>131</v>
      </c>
      <c r="B132" t="inlineStr">
        <is>
          <t>A-5052__222</t>
        </is>
      </c>
      <c r="C132" s="1" t="n">
        <v>37.213557827</v>
      </c>
      <c r="D132" s="1" t="n">
        <v>-7.07062412477</v>
      </c>
      <c r="E132" s="3" t="n">
        <v>1</v>
      </c>
      <c r="F132" s="2" t="n">
        <v>1</v>
      </c>
      <c r="G132" s="4" t="n">
        <v>2</v>
      </c>
      <c r="H132" s="13" t="n"/>
      <c r="I132" s="15" t="n"/>
      <c r="J132" s="19" t="n">
        <v>1</v>
      </c>
      <c r="K132" s="2" t="inlineStr">
        <is>
          <t>marker_984_959739.png</t>
        </is>
      </c>
      <c r="L132" s="11">
        <f>HYPERLINK("1\1\" &amp; K132, "Ver Imagen")</f>
        <v/>
      </c>
      <c r="M132" t="inlineStr">
        <is>
          <t>Moda</t>
        </is>
      </c>
    </row>
    <row r="133">
      <c r="A133" t="n">
        <v>132</v>
      </c>
      <c r="B133" t="inlineStr">
        <is>
          <t>A-5052__223</t>
        </is>
      </c>
      <c r="C133" s="1" t="n">
        <v>37.2135349726</v>
      </c>
      <c r="D133" s="1" t="n">
        <v>-7.07040359177</v>
      </c>
      <c r="E133" s="3" t="n">
        <v>1</v>
      </c>
      <c r="F133" s="2" t="n">
        <v>1</v>
      </c>
      <c r="G133" s="4" t="n">
        <v>2</v>
      </c>
      <c r="H133" s="13" t="n"/>
      <c r="I133" s="15" t="n"/>
      <c r="J133" s="19" t="n">
        <v>1</v>
      </c>
      <c r="K133" s="2" t="inlineStr">
        <is>
          <t>marker_270_959748.png</t>
        </is>
      </c>
      <c r="L133" s="11">
        <f>HYPERLINK("1\1\" &amp; K133, "Ver Imagen")</f>
        <v/>
      </c>
      <c r="M133" t="inlineStr">
        <is>
          <t>Moda</t>
        </is>
      </c>
    </row>
    <row r="134">
      <c r="A134" t="n">
        <v>133</v>
      </c>
      <c r="B134" t="inlineStr">
        <is>
          <t>A-5052__224</t>
        </is>
      </c>
      <c r="C134" s="1" t="n">
        <v>37.2135124763</v>
      </c>
      <c r="D134" s="1" t="n">
        <v>-7.07014968984</v>
      </c>
      <c r="E134" s="3" t="n">
        <v>1</v>
      </c>
      <c r="F134" s="2" t="n">
        <v>1</v>
      </c>
      <c r="G134" s="4" t="n">
        <v>2</v>
      </c>
      <c r="H134" s="13" t="n"/>
      <c r="I134" s="15" t="n"/>
      <c r="J134" s="19" t="n">
        <v>1</v>
      </c>
      <c r="K134" s="2" t="inlineStr">
        <is>
          <t>marker_434_959757.png</t>
        </is>
      </c>
      <c r="L134" s="11">
        <f>HYPERLINK("1\1\" &amp; K134, "Ver Imagen")</f>
        <v/>
      </c>
      <c r="M134" t="inlineStr">
        <is>
          <t>Moda</t>
        </is>
      </c>
    </row>
    <row r="135">
      <c r="A135" t="n">
        <v>134</v>
      </c>
      <c r="B135" t="inlineStr">
        <is>
          <t>A-5052__225</t>
        </is>
      </c>
      <c r="C135" s="1" t="n">
        <v>37.2134935182</v>
      </c>
      <c r="D135" s="1" t="n">
        <v>-7.0698987902</v>
      </c>
      <c r="E135" s="3" t="n">
        <v>1</v>
      </c>
      <c r="F135" s="2" t="n">
        <v>1</v>
      </c>
      <c r="G135" s="4" t="n">
        <v>2</v>
      </c>
      <c r="H135" s="13" t="n"/>
      <c r="I135" s="15" t="n"/>
      <c r="J135" s="19" t="n">
        <v>1</v>
      </c>
      <c r="K135" s="2" t="inlineStr">
        <is>
          <t>marker_186_959770.png</t>
        </is>
      </c>
      <c r="L135" s="11">
        <f>HYPERLINK("1\1\" &amp; K135, "Ver Imagen")</f>
        <v/>
      </c>
      <c r="M135" t="inlineStr">
        <is>
          <t>Moda</t>
        </is>
      </c>
    </row>
    <row r="136">
      <c r="A136" t="n">
        <v>135</v>
      </c>
      <c r="B136" t="inlineStr">
        <is>
          <t>A-5052__226</t>
        </is>
      </c>
      <c r="C136" s="1" t="n">
        <v>37.2134767298</v>
      </c>
      <c r="D136" s="1" t="n">
        <v>-7.0696145755</v>
      </c>
      <c r="E136" s="3" t="n">
        <v>1</v>
      </c>
      <c r="F136" s="2" t="n">
        <v>1</v>
      </c>
      <c r="G136" s="4" t="n">
        <v>2</v>
      </c>
      <c r="H136" s="13" t="n"/>
      <c r="I136" s="15" t="n"/>
      <c r="J136" s="19" t="n">
        <v>1</v>
      </c>
      <c r="K136" s="2" t="inlineStr">
        <is>
          <t>marker_698_959779.png</t>
        </is>
      </c>
      <c r="L136" s="11">
        <f>HYPERLINK("1\1\" &amp; K136, "Ver Imagen")</f>
        <v/>
      </c>
      <c r="M136" t="inlineStr">
        <is>
          <t>Moda</t>
        </is>
      </c>
    </row>
    <row r="137">
      <c r="A137" t="n">
        <v>136</v>
      </c>
      <c r="B137" t="inlineStr">
        <is>
          <t>A-5052__228</t>
        </is>
      </c>
      <c r="C137" s="1" t="n">
        <v>37.2134582702</v>
      </c>
      <c r="D137" s="1" t="n">
        <v>-7.0691522952</v>
      </c>
      <c r="E137" s="3" t="n">
        <v>1</v>
      </c>
      <c r="F137" s="2" t="n">
        <v>1</v>
      </c>
      <c r="G137" s="4" t="n">
        <v>2</v>
      </c>
      <c r="H137" s="13" t="n"/>
      <c r="I137" s="15" t="n"/>
      <c r="J137" s="19" t="n">
        <v>1</v>
      </c>
      <c r="K137" s="2" t="inlineStr">
        <is>
          <t>marker_428_959800.png</t>
        </is>
      </c>
      <c r="L137" s="11">
        <f>HYPERLINK("1\1\" &amp; K137, "Ver Imagen")</f>
        <v/>
      </c>
      <c r="M137" t="inlineStr">
        <is>
          <t>Moda</t>
        </is>
      </c>
    </row>
    <row r="138">
      <c r="A138" t="n">
        <v>137</v>
      </c>
      <c r="B138" t="inlineStr">
        <is>
          <t>A-5052__231</t>
        </is>
      </c>
      <c r="C138" s="1" t="n">
        <v>37.2134271291</v>
      </c>
      <c r="D138" s="1" t="n">
        <v>-7.06836155255</v>
      </c>
      <c r="E138" s="3" t="n">
        <v>1</v>
      </c>
      <c r="F138" s="2" t="n">
        <v>1</v>
      </c>
      <c r="G138" s="4" t="n">
        <v>2</v>
      </c>
      <c r="H138" s="13" t="n"/>
      <c r="I138" s="15" t="n"/>
      <c r="J138" s="19" t="n">
        <v>1</v>
      </c>
      <c r="K138" s="2" t="inlineStr">
        <is>
          <t>marker_915_959839.png</t>
        </is>
      </c>
      <c r="L138" s="11">
        <f>HYPERLINK("1\1\" &amp; K138, "Ver Imagen")</f>
        <v/>
      </c>
      <c r="M138" t="inlineStr">
        <is>
          <t>Moda</t>
        </is>
      </c>
    </row>
    <row r="139">
      <c r="A139" t="n">
        <v>138</v>
      </c>
      <c r="B139" t="inlineStr">
        <is>
          <t>A-5052__233</t>
        </is>
      </c>
      <c r="C139" s="1" t="n">
        <v>37.2134012635</v>
      </c>
      <c r="D139" s="1" t="n">
        <v>-7.06785302663</v>
      </c>
      <c r="E139" s="3" t="n">
        <v>1</v>
      </c>
      <c r="F139" s="2" t="n">
        <v>1</v>
      </c>
      <c r="G139" s="4" t="n">
        <v>2</v>
      </c>
      <c r="H139" s="13" t="n"/>
      <c r="I139" s="15" t="n"/>
      <c r="J139" s="19" t="n">
        <v>1</v>
      </c>
      <c r="K139" s="2" t="inlineStr">
        <is>
          <t>marker_293_959863.png</t>
        </is>
      </c>
      <c r="L139" s="11">
        <f>HYPERLINK("1\1\" &amp; K139, "Ver Imagen")</f>
        <v/>
      </c>
      <c r="M139" t="inlineStr">
        <is>
          <t>Moda</t>
        </is>
      </c>
    </row>
    <row r="140">
      <c r="A140" t="n">
        <v>139</v>
      </c>
      <c r="B140" t="inlineStr">
        <is>
          <t>A-5052__238</t>
        </is>
      </c>
      <c r="C140" s="1" t="n">
        <v>37.2133488012</v>
      </c>
      <c r="D140" s="1" t="n">
        <v>-7.06663752972</v>
      </c>
      <c r="E140" s="3" t="n">
        <v>1</v>
      </c>
      <c r="F140" s="2" t="n">
        <v>1</v>
      </c>
      <c r="G140" s="4" t="n">
        <v>2</v>
      </c>
      <c r="H140" s="13" t="n"/>
      <c r="I140" s="15" t="n"/>
      <c r="J140" s="19" t="n">
        <v>1</v>
      </c>
      <c r="K140" s="2" t="inlineStr">
        <is>
          <t>marker_915_959925.png</t>
        </is>
      </c>
      <c r="L140" s="11">
        <f>HYPERLINK("1\1\" &amp; K140, "Ver Imagen")</f>
        <v/>
      </c>
      <c r="M140" t="inlineStr">
        <is>
          <t>Moda</t>
        </is>
      </c>
    </row>
    <row r="141">
      <c r="A141" t="n">
        <v>140</v>
      </c>
      <c r="B141" t="inlineStr">
        <is>
          <t>A-5052__243</t>
        </is>
      </c>
      <c r="C141" s="1" t="n">
        <v>37.2133078096</v>
      </c>
      <c r="D141" s="1" t="n">
        <v>-7.06535420364</v>
      </c>
      <c r="E141" s="3" t="n">
        <v>1</v>
      </c>
      <c r="F141" s="2" t="n">
        <v>1</v>
      </c>
      <c r="G141" s="4" t="n">
        <v>2</v>
      </c>
      <c r="H141" s="13" t="n"/>
      <c r="I141" s="15" t="n"/>
      <c r="J141" s="19" t="n">
        <v>1</v>
      </c>
      <c r="K141" s="2" t="inlineStr">
        <is>
          <t>marker_608_959988.png</t>
        </is>
      </c>
      <c r="L141" s="11">
        <f>HYPERLINK("1\1\" &amp; K141, "Ver Imagen")</f>
        <v/>
      </c>
      <c r="M141" t="inlineStr">
        <is>
          <t>Moda</t>
        </is>
      </c>
    </row>
    <row r="142">
      <c r="A142" t="n">
        <v>141</v>
      </c>
      <c r="B142" t="inlineStr">
        <is>
          <t>A-5052__270</t>
        </is>
      </c>
      <c r="C142" s="1" t="n">
        <v>37.2119471503</v>
      </c>
      <c r="D142" s="1" t="n">
        <v>-7.05890510303</v>
      </c>
      <c r="E142" s="3" t="n">
        <v>2</v>
      </c>
      <c r="F142" s="2" t="n">
        <v>1</v>
      </c>
      <c r="G142" s="4" t="n">
        <v>1</v>
      </c>
      <c r="H142" s="13" t="n"/>
      <c r="I142" s="15" t="n"/>
      <c r="J142" s="19" t="n">
        <v>1</v>
      </c>
      <c r="K142" s="2" t="inlineStr">
        <is>
          <t>marker_174_960318.png</t>
        </is>
      </c>
      <c r="L142" s="11">
        <f>HYPERLINK("1\1\" &amp; K142, "Ver Imagen")</f>
        <v/>
      </c>
      <c r="M142" t="inlineStr">
        <is>
          <t>Moda</t>
        </is>
      </c>
    </row>
    <row r="143">
      <c r="A143" t="n">
        <v>142</v>
      </c>
      <c r="B143" t="inlineStr">
        <is>
          <t>A-5052__341</t>
        </is>
      </c>
      <c r="C143" s="1" t="n">
        <v>37.2100283792</v>
      </c>
      <c r="D143" s="1" t="n">
        <v>-7.04180821432</v>
      </c>
      <c r="E143" s="3" t="n">
        <v>2</v>
      </c>
      <c r="F143" s="2" t="n">
        <v>1</v>
      </c>
      <c r="G143" s="4" t="n">
        <v>1</v>
      </c>
      <c r="H143" s="13" t="n"/>
      <c r="I143" s="15" t="n"/>
      <c r="J143" s="19" t="n">
        <v>1</v>
      </c>
      <c r="K143" s="2" t="inlineStr">
        <is>
          <t>marker_639_961636.png</t>
        </is>
      </c>
      <c r="L143" s="11">
        <f>HYPERLINK("1\1\" &amp; K143, "Ver Imagen")</f>
        <v/>
      </c>
      <c r="M143" t="inlineStr">
        <is>
          <t>Moda</t>
        </is>
      </c>
    </row>
    <row r="144">
      <c r="A144" t="n">
        <v>143</v>
      </c>
      <c r="B144" t="inlineStr">
        <is>
          <t>A-5052__411</t>
        </is>
      </c>
      <c r="C144" s="1" t="n">
        <v>37.2039170019</v>
      </c>
      <c r="D144" s="1" t="n">
        <v>-7.02587933634</v>
      </c>
      <c r="E144" s="3" t="n">
        <v>1</v>
      </c>
      <c r="F144" s="2" t="n">
        <v>2</v>
      </c>
      <c r="G144" s="4" t="n">
        <v>1</v>
      </c>
      <c r="H144" s="13" t="n"/>
      <c r="I144" s="15" t="n"/>
      <c r="J144" s="19" t="n">
        <v>1</v>
      </c>
      <c r="K144" s="2" t="inlineStr">
        <is>
          <t>marker_850_962784.png</t>
        </is>
      </c>
      <c r="L144" s="11">
        <f>HYPERLINK("1\1\" &amp; K144, "Ver Imagen")</f>
        <v/>
      </c>
      <c r="M144" t="inlineStr">
        <is>
          <t>Moda</t>
        </is>
      </c>
    </row>
    <row r="145">
      <c r="A145" t="n">
        <v>144</v>
      </c>
      <c r="B145" t="inlineStr">
        <is>
          <t>A-5052__412</t>
        </is>
      </c>
      <c r="C145" s="1" t="n">
        <v>37.2038267807</v>
      </c>
      <c r="D145" s="1" t="n">
        <v>-7.02564514432</v>
      </c>
      <c r="E145" s="3" t="n">
        <v>1</v>
      </c>
      <c r="F145" s="2" t="n">
        <v>2</v>
      </c>
      <c r="G145" s="4" t="n">
        <v>1</v>
      </c>
      <c r="H145" s="13" t="n"/>
      <c r="I145" s="15" t="n"/>
      <c r="J145" s="19" t="n">
        <v>1</v>
      </c>
      <c r="K145" s="2" t="inlineStr">
        <is>
          <t>marker_781_962793.png</t>
        </is>
      </c>
      <c r="L145" s="11">
        <f>HYPERLINK("1\1\" &amp; K145, "Ver Imagen")</f>
        <v/>
      </c>
      <c r="M145" t="inlineStr">
        <is>
          <t>Moda</t>
        </is>
      </c>
    </row>
    <row r="146">
      <c r="A146" t="n">
        <v>145</v>
      </c>
      <c r="B146" t="inlineStr">
        <is>
          <t>A-5052__418</t>
        </is>
      </c>
      <c r="C146" s="1" t="n">
        <v>37.2032857817</v>
      </c>
      <c r="D146" s="1" t="n">
        <v>-7.02425234055</v>
      </c>
      <c r="E146" s="3" t="n">
        <v>1</v>
      </c>
      <c r="F146" s="2" t="n">
        <v>2</v>
      </c>
      <c r="G146" s="4" t="n">
        <v>1</v>
      </c>
      <c r="H146" s="13" t="n"/>
      <c r="I146" s="15" t="n"/>
      <c r="J146" s="19" t="n">
        <v>1</v>
      </c>
      <c r="K146" s="2" t="inlineStr">
        <is>
          <t>marker_262_962857.png</t>
        </is>
      </c>
      <c r="L146" s="11">
        <f>HYPERLINK("1\1\" &amp; K146, "Ver Imagen")</f>
        <v/>
      </c>
      <c r="M146" t="inlineStr">
        <is>
          <t>Moda</t>
        </is>
      </c>
    </row>
    <row r="147">
      <c r="A147" t="n">
        <v>146</v>
      </c>
      <c r="B147" t="inlineStr">
        <is>
          <t>A-5052__423</t>
        </is>
      </c>
      <c r="C147" s="1" t="n">
        <v>37.2028498619</v>
      </c>
      <c r="D147" s="1" t="n">
        <v>-7.02313032383</v>
      </c>
      <c r="E147" s="3" t="n">
        <v>1</v>
      </c>
      <c r="F147" s="2" t="n">
        <v>2</v>
      </c>
      <c r="G147" s="4" t="n">
        <v>1</v>
      </c>
      <c r="H147" s="13" t="n"/>
      <c r="I147" s="15" t="n"/>
      <c r="J147" s="19" t="n">
        <v>1</v>
      </c>
      <c r="K147" s="2" t="inlineStr">
        <is>
          <t>marker_832_962905.png</t>
        </is>
      </c>
      <c r="L147" s="11">
        <f>HYPERLINK("1\1\" &amp; K147, "Ver Imagen")</f>
        <v/>
      </c>
      <c r="M147" t="inlineStr">
        <is>
          <t>Moda</t>
        </is>
      </c>
    </row>
    <row r="148">
      <c r="A148" t="n">
        <v>147</v>
      </c>
      <c r="B148" t="inlineStr">
        <is>
          <t>A-5052__429</t>
        </is>
      </c>
      <c r="C148" s="1" t="n">
        <v>37.2023287627</v>
      </c>
      <c r="D148" s="1" t="n">
        <v>-7.021765552</v>
      </c>
      <c r="E148" s="3" t="n">
        <v>1</v>
      </c>
      <c r="F148" s="2" t="n">
        <v>1</v>
      </c>
      <c r="G148" s="4" t="n">
        <v>2</v>
      </c>
      <c r="H148" s="13" t="n"/>
      <c r="I148" s="15" t="n"/>
      <c r="J148" s="19" t="n">
        <v>1</v>
      </c>
      <c r="K148" s="2" t="inlineStr">
        <is>
          <t>marker_645_962956.png</t>
        </is>
      </c>
      <c r="L148" s="11">
        <f>HYPERLINK("1\1\" &amp; K148, "Ver Imagen")</f>
        <v/>
      </c>
      <c r="M148" t="inlineStr">
        <is>
          <t>Moda</t>
        </is>
      </c>
    </row>
    <row r="149">
      <c r="A149" t="n">
        <v>148</v>
      </c>
      <c r="B149" t="inlineStr">
        <is>
          <t>A-5052__430</t>
        </is>
      </c>
      <c r="C149" s="1" t="n">
        <v>37.2022320669</v>
      </c>
      <c r="D149" s="1" t="n">
        <v>-7.02151297718</v>
      </c>
      <c r="E149" s="3" t="n">
        <v>1</v>
      </c>
      <c r="F149" s="2" t="n">
        <v>2</v>
      </c>
      <c r="G149" s="4" t="n">
        <v>1</v>
      </c>
      <c r="H149" s="13" t="n"/>
      <c r="I149" s="15" t="n"/>
      <c r="J149" s="19" t="n">
        <v>1</v>
      </c>
      <c r="K149" s="2" t="inlineStr">
        <is>
          <t>marker_683_962965.png</t>
        </is>
      </c>
      <c r="L149" s="11">
        <f>HYPERLINK("1\1\" &amp; K149, "Ver Imagen")</f>
        <v/>
      </c>
      <c r="M149" t="inlineStr">
        <is>
          <t>Moda</t>
        </is>
      </c>
    </row>
    <row r="150">
      <c r="A150" t="n">
        <v>149</v>
      </c>
      <c r="B150" t="inlineStr">
        <is>
          <t>A-5052__435</t>
        </is>
      </c>
      <c r="C150" s="1" t="n">
        <v>37.2017954798</v>
      </c>
      <c r="D150" s="1" t="n">
        <v>-7.02037208515</v>
      </c>
      <c r="E150" s="3" t="n">
        <v>1</v>
      </c>
      <c r="F150" s="2" t="n">
        <v>1</v>
      </c>
      <c r="G150" s="4" t="n">
        <v>2</v>
      </c>
      <c r="H150" s="13" t="n"/>
      <c r="I150" s="15" t="n"/>
      <c r="J150" s="19" t="n">
        <v>1</v>
      </c>
      <c r="K150" s="2" t="inlineStr">
        <is>
          <t>marker_313_963026.png</t>
        </is>
      </c>
      <c r="L150" s="11">
        <f>HYPERLINK("1\1\" &amp; K150, "Ver Imagen")</f>
        <v/>
      </c>
      <c r="M150" t="inlineStr">
        <is>
          <t>Moda</t>
        </is>
      </c>
    </row>
    <row r="151">
      <c r="A151" t="n">
        <v>150</v>
      </c>
      <c r="B151" t="inlineStr">
        <is>
          <t>A-5052__450</t>
        </is>
      </c>
      <c r="C151" s="1" t="n">
        <v>37.2004889973</v>
      </c>
      <c r="D151" s="1" t="n">
        <v>-7.01697007404</v>
      </c>
      <c r="E151" s="3" t="n">
        <v>2</v>
      </c>
      <c r="F151" s="2" t="n">
        <v>1</v>
      </c>
      <c r="G151" s="4" t="n">
        <v>1</v>
      </c>
      <c r="H151" s="13" t="n"/>
      <c r="I151" s="15" t="n"/>
      <c r="J151" s="19" t="n">
        <v>1</v>
      </c>
      <c r="K151" s="2" t="inlineStr">
        <is>
          <t>marker_226_963179.png</t>
        </is>
      </c>
      <c r="L151" s="11">
        <f>HYPERLINK("1\1\" &amp; K151, "Ver Imagen")</f>
        <v/>
      </c>
      <c r="M151" t="inlineStr">
        <is>
          <t>Moda</t>
        </is>
      </c>
    </row>
    <row r="152">
      <c r="A152" t="n">
        <v>151</v>
      </c>
      <c r="B152" t="inlineStr">
        <is>
          <t>A-5052__454</t>
        </is>
      </c>
      <c r="C152" s="1" t="n">
        <v>37.2001369134</v>
      </c>
      <c r="D152" s="1" t="n">
        <v>-7.01605741469</v>
      </c>
      <c r="E152" s="3" t="n">
        <v>1</v>
      </c>
      <c r="F152" s="2" t="n">
        <v>1</v>
      </c>
      <c r="G152" s="4" t="n">
        <v>2</v>
      </c>
      <c r="H152" s="13" t="n"/>
      <c r="I152" s="15" t="n"/>
      <c r="J152" s="19" t="n">
        <v>1</v>
      </c>
      <c r="K152" s="2" t="inlineStr">
        <is>
          <t>marker_347_963225.png</t>
        </is>
      </c>
      <c r="L152" s="11">
        <f>HYPERLINK("1\1\" &amp; K152, "Ver Imagen")</f>
        <v/>
      </c>
      <c r="M152" t="inlineStr">
        <is>
          <t>Moda</t>
        </is>
      </c>
    </row>
    <row r="153">
      <c r="A153" t="n">
        <v>152</v>
      </c>
      <c r="B153" t="inlineStr">
        <is>
          <t>A-5052__459</t>
        </is>
      </c>
      <c r="C153" s="1" t="n">
        <v>37.1996929679</v>
      </c>
      <c r="D153" s="1" t="n">
        <v>-7.01488407037</v>
      </c>
      <c r="E153" s="3" t="n">
        <v>1</v>
      </c>
      <c r="F153" s="2" t="n">
        <v>1</v>
      </c>
      <c r="G153" s="4" t="n">
        <v>2</v>
      </c>
      <c r="H153" s="13" t="n"/>
      <c r="I153" s="15" t="n"/>
      <c r="J153" s="19" t="n">
        <v>1</v>
      </c>
      <c r="K153" s="2" t="inlineStr">
        <is>
          <t>marker_803_963271.png</t>
        </is>
      </c>
      <c r="L153" s="11">
        <f>HYPERLINK("1\1\" &amp; K153, "Ver Imagen")</f>
        <v/>
      </c>
      <c r="M153" t="inlineStr">
        <is>
          <t>Moda</t>
        </is>
      </c>
    </row>
    <row r="154">
      <c r="A154" t="n">
        <v>153</v>
      </c>
      <c r="B154" t="inlineStr">
        <is>
          <t>A-5052__460</t>
        </is>
      </c>
      <c r="C154" s="1" t="n">
        <v>37.1996009163</v>
      </c>
      <c r="D154" s="1" t="n">
        <v>-7.01464467076</v>
      </c>
      <c r="E154" s="3" t="n">
        <v>1</v>
      </c>
      <c r="F154" s="2" t="n">
        <v>1</v>
      </c>
      <c r="G154" s="4" t="n">
        <v>2</v>
      </c>
      <c r="H154" s="13" t="n"/>
      <c r="I154" s="15" t="n"/>
      <c r="J154" s="19" t="n">
        <v>1</v>
      </c>
      <c r="K154" s="2" t="inlineStr">
        <is>
          <t>marker_507_963280.png</t>
        </is>
      </c>
      <c r="L154" s="11">
        <f>HYPERLINK("1\1\" &amp; K154, "Ver Imagen")</f>
        <v/>
      </c>
      <c r="M154" t="inlineStr">
        <is>
          <t>Moda</t>
        </is>
      </c>
    </row>
    <row r="155">
      <c r="A155" t="n">
        <v>154</v>
      </c>
      <c r="B155" t="inlineStr">
        <is>
          <t>A-5052__461</t>
        </is>
      </c>
      <c r="C155" s="1" t="n">
        <v>37.1995242898</v>
      </c>
      <c r="D155" s="1" t="n">
        <v>-7.01444456313</v>
      </c>
      <c r="E155" s="3" t="n">
        <v>0</v>
      </c>
      <c r="F155" s="2" t="n">
        <v>1</v>
      </c>
      <c r="G155" s="4" t="n">
        <v>1</v>
      </c>
      <c r="H155" s="13" t="n"/>
      <c r="I155" s="15" t="n"/>
      <c r="J155" s="19" t="n">
        <v>1</v>
      </c>
      <c r="K155" s="2" t="inlineStr">
        <is>
          <t>marker_832_963288.png</t>
        </is>
      </c>
      <c r="L155" s="11">
        <f>HYPERLINK("1\1\" &amp; K155, "Ver Imagen")</f>
        <v/>
      </c>
      <c r="M155" t="inlineStr">
        <is>
          <t>Moda</t>
        </is>
      </c>
    </row>
    <row r="156">
      <c r="A156" t="n">
        <v>155</v>
      </c>
      <c r="B156" t="inlineStr">
        <is>
          <t>A-5052__462</t>
        </is>
      </c>
      <c r="C156" s="1" t="n">
        <v>37.1994402131</v>
      </c>
      <c r="D156" s="1" t="n">
        <v>-7.01422586899</v>
      </c>
      <c r="E156" s="3" t="n">
        <v>1</v>
      </c>
      <c r="F156" s="2" t="n">
        <v>1</v>
      </c>
      <c r="G156" s="4" t="n">
        <v>2</v>
      </c>
      <c r="H156" s="13" t="n"/>
      <c r="I156" s="15" t="n"/>
      <c r="J156" s="19" t="n">
        <v>1</v>
      </c>
      <c r="K156" s="2" t="inlineStr">
        <is>
          <t>marker_921_963297.png</t>
        </is>
      </c>
      <c r="L156" s="11">
        <f>HYPERLINK("1\1\" &amp; K156, "Ver Imagen")</f>
        <v/>
      </c>
      <c r="M156" t="inlineStr">
        <is>
          <t>Moda</t>
        </is>
      </c>
    </row>
    <row r="157">
      <c r="A157" t="n">
        <v>156</v>
      </c>
      <c r="B157" t="inlineStr">
        <is>
          <t>A-5052__489</t>
        </is>
      </c>
      <c r="C157" s="1" t="n">
        <v>37.1973005233</v>
      </c>
      <c r="D157" s="1" t="n">
        <v>-7.00797595758</v>
      </c>
      <c r="E157" s="3" t="n">
        <v>1</v>
      </c>
      <c r="F157" s="2" t="n">
        <v>1</v>
      </c>
      <c r="G157" s="4" t="n">
        <v>2</v>
      </c>
      <c r="H157" s="13" t="n"/>
      <c r="I157" s="15" t="n"/>
      <c r="J157" s="19" t="n">
        <v>1</v>
      </c>
      <c r="K157" s="2" t="inlineStr">
        <is>
          <t>marker_879_963579.png</t>
        </is>
      </c>
      <c r="L157" s="11">
        <f>HYPERLINK("1\1\" &amp; K157, "Ver Imagen")</f>
        <v/>
      </c>
      <c r="M157" t="inlineStr">
        <is>
          <t>Moda</t>
        </is>
      </c>
    </row>
    <row r="158">
      <c r="A158" t="n">
        <v>157</v>
      </c>
      <c r="B158" t="inlineStr">
        <is>
          <t>A-5052__495</t>
        </is>
      </c>
      <c r="C158" s="1" t="n">
        <v>37.1971435952</v>
      </c>
      <c r="D158" s="1" t="n">
        <v>-7.00646385057</v>
      </c>
      <c r="E158" s="3" t="n">
        <v>1</v>
      </c>
      <c r="F158" s="2" t="n">
        <v>2</v>
      </c>
      <c r="G158" s="4" t="n">
        <v>1</v>
      </c>
      <c r="H158" s="13" t="n"/>
      <c r="I158" s="15" t="n"/>
      <c r="J158" s="19" t="n">
        <v>1</v>
      </c>
      <c r="K158" s="2" t="inlineStr">
        <is>
          <t>marker_100_963633.png</t>
        </is>
      </c>
      <c r="L158" s="11">
        <f>HYPERLINK("1\1\" &amp; K158, "Ver Imagen")</f>
        <v/>
      </c>
      <c r="M158" t="inlineStr">
        <is>
          <t>Moda</t>
        </is>
      </c>
    </row>
    <row r="159">
      <c r="A159" t="n">
        <v>158</v>
      </c>
      <c r="B159" t="inlineStr">
        <is>
          <t>A-5053__368</t>
        </is>
      </c>
      <c r="C159" s="1" t="n">
        <v>37.2861301693</v>
      </c>
      <c r="D159" s="1" t="n">
        <v>-7.14176651622</v>
      </c>
      <c r="E159" s="3" t="n">
        <v>1</v>
      </c>
      <c r="F159" s="2" t="n">
        <v>1</v>
      </c>
      <c r="G159" s="4" t="n">
        <v>2</v>
      </c>
      <c r="H159" s="13" t="n"/>
      <c r="I159" s="15" t="n"/>
      <c r="J159" s="19" t="n">
        <v>1</v>
      </c>
      <c r="K159" s="2" t="inlineStr">
        <is>
          <t>marker_847_963978.png</t>
        </is>
      </c>
      <c r="L159" s="11">
        <f>HYPERLINK("1\1\" &amp; K159, "Ver Imagen")</f>
        <v/>
      </c>
      <c r="M159" t="inlineStr">
        <is>
          <t>Moda</t>
        </is>
      </c>
    </row>
    <row r="160">
      <c r="A160" t="n">
        <v>159</v>
      </c>
      <c r="B160" t="inlineStr">
        <is>
          <t>A-5053__345</t>
        </is>
      </c>
      <c r="C160" s="1" t="n">
        <v>37.2821186698</v>
      </c>
      <c r="D160" s="1" t="n">
        <v>-7.14428917118</v>
      </c>
      <c r="E160" s="3" t="n">
        <v>1</v>
      </c>
      <c r="F160" s="2" t="n">
        <v>1</v>
      </c>
      <c r="G160" s="4" t="n">
        <v>2</v>
      </c>
      <c r="H160" s="13" t="n"/>
      <c r="I160" s="15" t="n"/>
      <c r="J160" s="19" t="n">
        <v>1</v>
      </c>
      <c r="K160" s="2" t="inlineStr">
        <is>
          <t>marker_854_964226.png</t>
        </is>
      </c>
      <c r="L160" s="11">
        <f>HYPERLINK("1\1\" &amp; K160, "Ver Imagen")</f>
        <v/>
      </c>
      <c r="M160" t="inlineStr">
        <is>
          <t>Moda</t>
        </is>
      </c>
    </row>
    <row r="161">
      <c r="A161" t="n">
        <v>160</v>
      </c>
      <c r="B161" t="inlineStr">
        <is>
          <t>A-5053__113</t>
        </is>
      </c>
      <c r="C161" s="1" t="n">
        <v>37.2412319249</v>
      </c>
      <c r="D161" s="1" t="n">
        <v>-7.12857217257</v>
      </c>
      <c r="E161" s="3" t="n">
        <v>1</v>
      </c>
      <c r="F161" s="2" t="n">
        <v>1</v>
      </c>
      <c r="G161" s="4" t="n">
        <v>2</v>
      </c>
      <c r="H161" s="13" t="n"/>
      <c r="I161" s="15" t="n"/>
      <c r="J161" s="19" t="n">
        <v>1</v>
      </c>
      <c r="K161" s="2" t="inlineStr">
        <is>
          <t>marker_648_019675.png</t>
        </is>
      </c>
      <c r="L161" s="11">
        <f>HYPERLINK("1\1\" &amp; K161, "Ver Imagen")</f>
        <v/>
      </c>
      <c r="M161" t="inlineStr">
        <is>
          <t>Moda</t>
        </is>
      </c>
    </row>
    <row r="162">
      <c r="A162" t="n">
        <v>161</v>
      </c>
      <c r="B162" t="inlineStr">
        <is>
          <t>A-5053__15</t>
        </is>
      </c>
      <c r="C162" s="1" t="n">
        <v>37.2218070471</v>
      </c>
      <c r="D162" s="1" t="n">
        <v>-7.12521929342</v>
      </c>
      <c r="E162" s="3" t="n">
        <v>1</v>
      </c>
      <c r="F162" s="2" t="n">
        <v>1</v>
      </c>
      <c r="G162" s="4" t="n">
        <v>2</v>
      </c>
      <c r="H162" s="13" t="n"/>
      <c r="I162" s="15" t="n"/>
      <c r="J162" s="19" t="n">
        <v>1</v>
      </c>
      <c r="K162" s="2" t="inlineStr">
        <is>
          <t>marker_544_025051.png</t>
        </is>
      </c>
      <c r="L162" s="11">
        <f>HYPERLINK("1\1\" &amp; K162, "Ver Imagen")</f>
        <v/>
      </c>
      <c r="M162" t="inlineStr">
        <is>
          <t>Moda</t>
        </is>
      </c>
    </row>
    <row r="163">
      <c r="A163" t="n">
        <v>162</v>
      </c>
      <c r="B163" t="inlineStr">
        <is>
          <t>A-495__103</t>
        </is>
      </c>
      <c r="C163" s="1" t="n">
        <v>37.4358876838</v>
      </c>
      <c r="D163" s="1" t="n">
        <v>-7.07694562387</v>
      </c>
      <c r="E163" s="3" t="n">
        <v>2</v>
      </c>
      <c r="F163" s="2" t="n">
        <v>1</v>
      </c>
      <c r="G163" s="4" t="n">
        <v>1</v>
      </c>
      <c r="H163" s="13" t="n"/>
      <c r="I163" s="15" t="n"/>
      <c r="J163" s="19" t="n">
        <v>1</v>
      </c>
      <c r="K163" s="2" t="inlineStr">
        <is>
          <t>marker_159_382185.png</t>
        </is>
      </c>
      <c r="L163" s="11">
        <f>HYPERLINK("1\1\" &amp; K163, "Ver Imagen")</f>
        <v/>
      </c>
      <c r="M163" t="inlineStr">
        <is>
          <t>Moda</t>
        </is>
      </c>
    </row>
    <row r="164">
      <c r="A164" t="n">
        <v>163</v>
      </c>
      <c r="B164" t="inlineStr">
        <is>
          <t>A-495__105</t>
        </is>
      </c>
      <c r="C164" s="1" t="n">
        <v>37.4354684087</v>
      </c>
      <c r="D164" s="1" t="n">
        <v>-7.07668533225</v>
      </c>
      <c r="E164" s="3" t="n">
        <v>1</v>
      </c>
      <c r="F164" s="2" t="n">
        <v>2</v>
      </c>
      <c r="G164" s="4" t="n">
        <v>1</v>
      </c>
      <c r="H164" s="13" t="n"/>
      <c r="I164" s="15" t="n"/>
      <c r="J164" s="19" t="n">
        <v>1</v>
      </c>
      <c r="K164" s="2" t="inlineStr">
        <is>
          <t>marker_995_382211.png</t>
        </is>
      </c>
      <c r="L164" s="11">
        <f>HYPERLINK("1\1\" &amp; K164, "Ver Imagen")</f>
        <v/>
      </c>
      <c r="M164" t="inlineStr">
        <is>
          <t>Moda</t>
        </is>
      </c>
    </row>
    <row r="165">
      <c r="A165" t="n">
        <v>164</v>
      </c>
      <c r="B165" t="inlineStr">
        <is>
          <t>A-495_1__92</t>
        </is>
      </c>
      <c r="C165" s="1" t="n">
        <v>37.4659891746</v>
      </c>
      <c r="D165" s="1" t="n">
        <v>-7.12276074222</v>
      </c>
      <c r="E165" s="3" t="n">
        <v>1</v>
      </c>
      <c r="F165" s="2" t="n">
        <v>2</v>
      </c>
      <c r="G165" s="4" t="n">
        <v>1</v>
      </c>
      <c r="H165" s="13" t="n"/>
      <c r="I165" s="15" t="n"/>
      <c r="J165" s="19" t="n">
        <v>1</v>
      </c>
      <c r="K165" s="2" t="inlineStr">
        <is>
          <t>marker_861_385118.png</t>
        </is>
      </c>
      <c r="L165" s="11">
        <f>HYPERLINK("1\1\" &amp; K165, "Ver Imagen")</f>
        <v/>
      </c>
      <c r="M165" t="inlineStr">
        <is>
          <t>Moda</t>
        </is>
      </c>
    </row>
    <row r="166">
      <c r="A166" t="n">
        <v>165</v>
      </c>
      <c r="B166" t="inlineStr">
        <is>
          <t>A-495_1__91</t>
        </is>
      </c>
      <c r="C166" s="1" t="n">
        <v>37.4658182909</v>
      </c>
      <c r="D166" s="1" t="n">
        <v>-7.12280292175</v>
      </c>
      <c r="E166" s="3" t="n">
        <v>1</v>
      </c>
      <c r="F166" s="2" t="n">
        <v>2</v>
      </c>
      <c r="G166" s="4" t="n">
        <v>1</v>
      </c>
      <c r="H166" s="13" t="n"/>
      <c r="I166" s="15" t="n"/>
      <c r="J166" s="19" t="n">
        <v>1</v>
      </c>
      <c r="K166" s="2" t="inlineStr">
        <is>
          <t>marker_293_385127.png</t>
        </is>
      </c>
      <c r="L166" s="11">
        <f>HYPERLINK("1\1\" &amp; K166, "Ver Imagen")</f>
        <v/>
      </c>
      <c r="M166" t="inlineStr">
        <is>
          <t>Moda</t>
        </is>
      </c>
    </row>
    <row r="167">
      <c r="A167" t="n">
        <v>166</v>
      </c>
      <c r="B167" t="inlineStr">
        <is>
          <t>A-495_1__89</t>
        </is>
      </c>
      <c r="C167" s="1" t="n">
        <v>37.4653986704</v>
      </c>
      <c r="D167" s="1" t="n">
        <v>-7.12297318585</v>
      </c>
      <c r="E167" s="3" t="n">
        <v>1</v>
      </c>
      <c r="F167" s="2" t="n">
        <v>2</v>
      </c>
      <c r="G167" s="4" t="n">
        <v>1</v>
      </c>
      <c r="H167" s="13" t="n"/>
      <c r="I167" s="15" t="n"/>
      <c r="J167" s="19" t="n">
        <v>1</v>
      </c>
      <c r="K167" s="2" t="inlineStr">
        <is>
          <t>marker_711_385153.png</t>
        </is>
      </c>
      <c r="L167" s="11">
        <f>HYPERLINK("1\1\" &amp; K167, "Ver Imagen")</f>
        <v/>
      </c>
      <c r="M167" t="inlineStr">
        <is>
          <t>Moda</t>
        </is>
      </c>
    </row>
    <row r="168">
      <c r="A168" t="n">
        <v>167</v>
      </c>
      <c r="B168" t="inlineStr">
        <is>
          <t>A-495_1__79</t>
        </is>
      </c>
      <c r="C168" s="1" t="n">
        <v>37.463581151</v>
      </c>
      <c r="D168" s="1" t="n">
        <v>-7.12401945032</v>
      </c>
      <c r="E168" s="3" t="n">
        <v>1</v>
      </c>
      <c r="F168" s="2" t="n">
        <v>1</v>
      </c>
      <c r="G168" s="4" t="n">
        <v>2</v>
      </c>
      <c r="H168" s="13" t="n"/>
      <c r="I168" s="15" t="n"/>
      <c r="J168" s="19" t="n">
        <v>1</v>
      </c>
      <c r="K168" s="2" t="inlineStr">
        <is>
          <t>marker_127_385242.png</t>
        </is>
      </c>
      <c r="L168" s="11">
        <f>HYPERLINK("1\1\" &amp; K168, "Ver Imagen")</f>
        <v/>
      </c>
      <c r="M168" t="inlineStr">
        <is>
          <t>Moda</t>
        </is>
      </c>
    </row>
    <row r="169">
      <c r="A169" t="n">
        <v>168</v>
      </c>
      <c r="B169" t="inlineStr">
        <is>
          <t>A-495_1__77</t>
        </is>
      </c>
      <c r="C169" s="1" t="n">
        <v>37.4631909842</v>
      </c>
      <c r="D169" s="1" t="n">
        <v>-7.12413013755</v>
      </c>
      <c r="E169" s="3" t="n">
        <v>1</v>
      </c>
      <c r="F169" s="2" t="n">
        <v>1</v>
      </c>
      <c r="G169" s="4" t="n">
        <v>2</v>
      </c>
      <c r="H169" s="13" t="n"/>
      <c r="I169" s="15" t="n"/>
      <c r="J169" s="19" t="n">
        <v>1</v>
      </c>
      <c r="K169" s="2" t="inlineStr">
        <is>
          <t>marker_316_385260.png</t>
        </is>
      </c>
      <c r="L169" s="11">
        <f>HYPERLINK("1\1\" &amp; K169, "Ver Imagen")</f>
        <v/>
      </c>
      <c r="M169" t="inlineStr">
        <is>
          <t>Moda</t>
        </is>
      </c>
    </row>
    <row r="170">
      <c r="A170" t="n">
        <v>169</v>
      </c>
      <c r="B170" t="inlineStr">
        <is>
          <t>A-495_1__76</t>
        </is>
      </c>
      <c r="C170" s="1" t="n">
        <v>37.4629735848</v>
      </c>
      <c r="D170" s="1" t="n">
        <v>-7.12417326352</v>
      </c>
      <c r="E170" s="3" t="n">
        <v>1</v>
      </c>
      <c r="F170" s="2" t="n">
        <v>2</v>
      </c>
      <c r="G170" s="4" t="n">
        <v>1</v>
      </c>
      <c r="H170" s="13" t="n"/>
      <c r="I170" s="15" t="n"/>
      <c r="J170" s="19" t="n">
        <v>1</v>
      </c>
      <c r="K170" s="2" t="inlineStr">
        <is>
          <t>marker_616_385270.png</t>
        </is>
      </c>
      <c r="L170" s="11">
        <f>HYPERLINK("1\1\" &amp; K170, "Ver Imagen")</f>
        <v/>
      </c>
      <c r="M170" t="inlineStr">
        <is>
          <t>Moda</t>
        </is>
      </c>
    </row>
    <row r="171">
      <c r="A171" t="n">
        <v>170</v>
      </c>
      <c r="B171" t="inlineStr">
        <is>
          <t>A-495_1__59</t>
        </is>
      </c>
      <c r="C171" s="1" t="n">
        <v>37.4596211405</v>
      </c>
      <c r="D171" s="1" t="n">
        <v>-7.12503114057</v>
      </c>
      <c r="E171" s="3" t="n">
        <v>1</v>
      </c>
      <c r="F171" s="2" t="n">
        <v>1</v>
      </c>
      <c r="G171" s="4" t="n">
        <v>2</v>
      </c>
      <c r="H171" s="13" t="n"/>
      <c r="I171" s="15" t="n"/>
      <c r="J171" s="19" t="n">
        <v>1</v>
      </c>
      <c r="K171" s="2" t="inlineStr">
        <is>
          <t>marker_996_385479.png</t>
        </is>
      </c>
      <c r="L171" s="11">
        <f>HYPERLINK("1\1\" &amp; K171, "Ver Imagen")</f>
        <v/>
      </c>
      <c r="M171" t="inlineStr">
        <is>
          <t>Moda</t>
        </is>
      </c>
    </row>
    <row r="172">
      <c r="A172" t="n">
        <v>171</v>
      </c>
      <c r="B172" t="inlineStr">
        <is>
          <t>A-495_1__55</t>
        </is>
      </c>
      <c r="C172" s="1" t="n">
        <v>37.4588342023</v>
      </c>
      <c r="D172" s="1" t="n">
        <v>-7.12532070205</v>
      </c>
      <c r="E172" s="3" t="n">
        <v>1</v>
      </c>
      <c r="F172" s="2" t="n">
        <v>1</v>
      </c>
      <c r="G172" s="4" t="n">
        <v>2</v>
      </c>
      <c r="H172" s="13" t="n"/>
      <c r="I172" s="15" t="n"/>
      <c r="J172" s="19" t="n">
        <v>1</v>
      </c>
      <c r="K172" s="2" t="inlineStr">
        <is>
          <t>marker_683_385518.png</t>
        </is>
      </c>
      <c r="L172" s="11">
        <f>HYPERLINK("1\1\" &amp; K172, "Ver Imagen")</f>
        <v/>
      </c>
      <c r="M172" t="inlineStr">
        <is>
          <t>Moda</t>
        </is>
      </c>
    </row>
    <row r="173">
      <c r="A173" t="n">
        <v>172</v>
      </c>
      <c r="B173" t="inlineStr">
        <is>
          <t>A-495_1__53</t>
        </is>
      </c>
      <c r="C173" s="1" t="n">
        <v>37.4584425802</v>
      </c>
      <c r="D173" s="1" t="n">
        <v>-7.1254625141</v>
      </c>
      <c r="E173" s="3" t="n">
        <v>1</v>
      </c>
      <c r="F173" s="2" t="n">
        <v>1</v>
      </c>
      <c r="G173" s="4" t="n">
        <v>2</v>
      </c>
      <c r="H173" s="13" t="n"/>
      <c r="I173" s="15" t="n"/>
      <c r="J173" s="19" t="n">
        <v>1</v>
      </c>
      <c r="K173" s="2" t="inlineStr">
        <is>
          <t>marker_591_385536.png</t>
        </is>
      </c>
      <c r="L173" s="11">
        <f>HYPERLINK("1\1\" &amp; K173, "Ver Imagen")</f>
        <v/>
      </c>
      <c r="M173" t="inlineStr">
        <is>
          <t>Moda</t>
        </is>
      </c>
    </row>
    <row r="174">
      <c r="A174" t="n">
        <v>173</v>
      </c>
      <c r="B174" t="inlineStr">
        <is>
          <t>A-495_1__52</t>
        </is>
      </c>
      <c r="C174" s="1" t="n">
        <v>37.4582651323</v>
      </c>
      <c r="D174" s="1" t="n">
        <v>-7.12552821004</v>
      </c>
      <c r="E174" s="3" t="n">
        <v>1</v>
      </c>
      <c r="F174" s="2" t="n">
        <v>1</v>
      </c>
      <c r="G174" s="4" t="n">
        <v>2</v>
      </c>
      <c r="H174" s="13" t="n"/>
      <c r="I174" s="15" t="n"/>
      <c r="J174" s="19" t="n">
        <v>1</v>
      </c>
      <c r="K174" s="2" t="inlineStr">
        <is>
          <t>marker_881_385544.png</t>
        </is>
      </c>
      <c r="L174" s="11">
        <f>HYPERLINK("1\1\" &amp; K174, "Ver Imagen")</f>
        <v/>
      </c>
      <c r="M174" t="inlineStr">
        <is>
          <t>Moda</t>
        </is>
      </c>
    </row>
    <row r="175">
      <c r="A175" t="n">
        <v>174</v>
      </c>
      <c r="B175" t="inlineStr">
        <is>
          <t>A-495_1__43</t>
        </is>
      </c>
      <c r="C175" s="1" t="n">
        <v>37.4564930695</v>
      </c>
      <c r="D175" s="1" t="n">
        <v>-7.12617656979</v>
      </c>
      <c r="E175" s="3" t="n">
        <v>1</v>
      </c>
      <c r="F175" s="2" t="n">
        <v>1</v>
      </c>
      <c r="G175" s="4" t="n">
        <v>2</v>
      </c>
      <c r="H175" s="13" t="n"/>
      <c r="I175" s="15" t="n"/>
      <c r="J175" s="19" t="n">
        <v>1</v>
      </c>
      <c r="K175" s="2" t="inlineStr">
        <is>
          <t>marker_776_385627.png</t>
        </is>
      </c>
      <c r="L175" s="11">
        <f>HYPERLINK("1\1\" &amp; K175, "Ver Imagen")</f>
        <v/>
      </c>
      <c r="M175" t="inlineStr">
        <is>
          <t>Moda</t>
        </is>
      </c>
    </row>
    <row r="176">
      <c r="A176" t="n">
        <v>175</v>
      </c>
      <c r="B176" t="inlineStr">
        <is>
          <t>A-495_1__37</t>
        </is>
      </c>
      <c r="C176" s="1" t="n">
        <v>37.4553349116</v>
      </c>
      <c r="D176" s="1" t="n">
        <v>-7.12660319893</v>
      </c>
      <c r="E176" s="3" t="n">
        <v>2</v>
      </c>
      <c r="F176" s="2" t="n">
        <v>1</v>
      </c>
      <c r="G176" s="4" t="n">
        <v>1</v>
      </c>
      <c r="H176" s="13" t="n"/>
      <c r="I176" s="15" t="n"/>
      <c r="J176" s="19" t="n">
        <v>1</v>
      </c>
      <c r="K176" s="2" t="inlineStr">
        <is>
          <t>marker_890_385681.png</t>
        </is>
      </c>
      <c r="L176" s="11">
        <f>HYPERLINK("1\1\" &amp; K176, "Ver Imagen")</f>
        <v/>
      </c>
      <c r="M176" t="inlineStr">
        <is>
          <t>Moda</t>
        </is>
      </c>
    </row>
    <row r="177">
      <c r="A177" t="n">
        <v>176</v>
      </c>
      <c r="B177" t="inlineStr">
        <is>
          <t>A-495_1__35</t>
        </is>
      </c>
      <c r="C177" s="1" t="n">
        <v>37.4549596897</v>
      </c>
      <c r="D177" s="1" t="n">
        <v>-7.12674188543</v>
      </c>
      <c r="E177" s="3" t="n">
        <v>1</v>
      </c>
      <c r="F177" s="2" t="n">
        <v>1</v>
      </c>
      <c r="G177" s="4" t="n">
        <v>2</v>
      </c>
      <c r="H177" s="13" t="n"/>
      <c r="I177" s="15" t="n"/>
      <c r="J177" s="19" t="n">
        <v>1</v>
      </c>
      <c r="K177" s="2" t="inlineStr">
        <is>
          <t>marker_845_385732.png</t>
        </is>
      </c>
      <c r="L177" s="11">
        <f>HYPERLINK("1\1\" &amp; K177, "Ver Imagen")</f>
        <v/>
      </c>
      <c r="M177" t="inlineStr">
        <is>
          <t>Moda</t>
        </is>
      </c>
    </row>
    <row r="178">
      <c r="A178" t="n">
        <v>177</v>
      </c>
      <c r="B178" t="inlineStr">
        <is>
          <t>A-495_1__33</t>
        </is>
      </c>
      <c r="C178" s="1" t="n">
        <v>37.4545779421</v>
      </c>
      <c r="D178" s="1" t="n">
        <v>-7.12688194653</v>
      </c>
      <c r="E178" s="3" t="n">
        <v>1</v>
      </c>
      <c r="F178" s="2" t="n">
        <v>1</v>
      </c>
      <c r="G178" s="4" t="n">
        <v>2</v>
      </c>
      <c r="H178" s="13" t="n"/>
      <c r="I178" s="15" t="n"/>
      <c r="J178" s="19" t="n">
        <v>1</v>
      </c>
      <c r="K178" s="2" t="inlineStr">
        <is>
          <t>marker_372_385845.png</t>
        </is>
      </c>
      <c r="L178" s="11">
        <f>HYPERLINK("1\1\" &amp; K178, "Ver Imagen")</f>
        <v/>
      </c>
      <c r="M178" t="inlineStr">
        <is>
          <t>Moda</t>
        </is>
      </c>
    </row>
    <row r="179">
      <c r="A179" t="n">
        <v>178</v>
      </c>
      <c r="B179" t="inlineStr">
        <is>
          <t>A-495_1__32</t>
        </is>
      </c>
      <c r="C179" s="1" t="n">
        <v>37.4543721689</v>
      </c>
      <c r="D179" s="1" t="n">
        <v>-7.12695617175</v>
      </c>
      <c r="E179" s="3" t="n">
        <v>2</v>
      </c>
      <c r="F179" s="2" t="n">
        <v>1</v>
      </c>
      <c r="G179" s="4" t="n">
        <v>1</v>
      </c>
      <c r="H179" s="13" t="n"/>
      <c r="I179" s="15" t="n"/>
      <c r="J179" s="19" t="n">
        <v>1</v>
      </c>
      <c r="K179" s="2" t="inlineStr">
        <is>
          <t>marker_356_385854.png</t>
        </is>
      </c>
      <c r="L179" s="11">
        <f>HYPERLINK("1\1\" &amp; K179, "Ver Imagen")</f>
        <v/>
      </c>
      <c r="M179" t="inlineStr">
        <is>
          <t>Moda</t>
        </is>
      </c>
    </row>
    <row r="180">
      <c r="A180" t="n">
        <v>179</v>
      </c>
      <c r="B180" t="inlineStr">
        <is>
          <t>A-495_1__26</t>
        </is>
      </c>
      <c r="C180" s="1" t="n">
        <v>37.4532205634</v>
      </c>
      <c r="D180" s="1" t="n">
        <v>-7.12730763019</v>
      </c>
      <c r="E180" s="3" t="n">
        <v>1</v>
      </c>
      <c r="F180" s="2" t="n">
        <v>1</v>
      </c>
      <c r="G180" s="4" t="n">
        <v>2</v>
      </c>
      <c r="H180" s="13" t="n"/>
      <c r="I180" s="15" t="n"/>
      <c r="J180" s="19" t="n">
        <v>1</v>
      </c>
      <c r="K180" s="2" t="inlineStr">
        <is>
          <t>marker_788_385916.png</t>
        </is>
      </c>
      <c r="L180" s="11">
        <f>HYPERLINK("1\1\" &amp; K180, "Ver Imagen")</f>
        <v/>
      </c>
      <c r="M180" t="inlineStr">
        <is>
          <t>Moda</t>
        </is>
      </c>
    </row>
    <row r="181">
      <c r="A181" t="n">
        <v>180</v>
      </c>
      <c r="B181" t="inlineStr">
        <is>
          <t>A-495_1__25</t>
        </is>
      </c>
      <c r="C181" s="1" t="n">
        <v>37.4529835759</v>
      </c>
      <c r="D181" s="1" t="n">
        <v>-7.12735595589</v>
      </c>
      <c r="E181" s="3" t="n">
        <v>1</v>
      </c>
      <c r="F181" s="2" t="n">
        <v>1</v>
      </c>
      <c r="G181" s="4" t="n">
        <v>2</v>
      </c>
      <c r="H181" s="13" t="n"/>
      <c r="I181" s="15" t="n"/>
      <c r="J181" s="19" t="n">
        <v>1</v>
      </c>
      <c r="K181" s="2" t="inlineStr">
        <is>
          <t>marker_427_385924.png</t>
        </is>
      </c>
      <c r="L181" s="11">
        <f>HYPERLINK("1\1\" &amp; K181, "Ver Imagen")</f>
        <v/>
      </c>
      <c r="M181" t="inlineStr">
        <is>
          <t>Moda</t>
        </is>
      </c>
    </row>
    <row r="182">
      <c r="A182" t="n">
        <v>181</v>
      </c>
      <c r="B182" t="inlineStr">
        <is>
          <t>A-495_1__22</t>
        </is>
      </c>
      <c r="C182" s="1" t="n">
        <v>37.4523866515</v>
      </c>
      <c r="D182" s="1" t="n">
        <v>-7.12744031712</v>
      </c>
      <c r="E182" s="3" t="n">
        <v>1</v>
      </c>
      <c r="F182" s="2" t="n">
        <v>1</v>
      </c>
      <c r="G182" s="4" t="n">
        <v>2</v>
      </c>
      <c r="H182" s="13" t="n"/>
      <c r="I182" s="15" t="n"/>
      <c r="J182" s="19" t="n">
        <v>1</v>
      </c>
      <c r="K182" s="2" t="inlineStr">
        <is>
          <t>marker_452_385952.png</t>
        </is>
      </c>
      <c r="L182" s="11">
        <f>HYPERLINK("1\1\" &amp; K182, "Ver Imagen")</f>
        <v/>
      </c>
      <c r="M182" t="inlineStr">
        <is>
          <t>Moda</t>
        </is>
      </c>
    </row>
    <row r="183">
      <c r="A183" t="n">
        <v>182</v>
      </c>
      <c r="B183" t="inlineStr">
        <is>
          <t>A-495_1__21</t>
        </is>
      </c>
      <c r="C183" s="1" t="n">
        <v>37.4522110202</v>
      </c>
      <c r="D183" s="1" t="n">
        <v>-7.12745433268</v>
      </c>
      <c r="E183" s="3" t="n">
        <v>1</v>
      </c>
      <c r="F183" s="2" t="n">
        <v>1</v>
      </c>
      <c r="G183" s="4" t="n">
        <v>2</v>
      </c>
      <c r="H183" s="13" t="n"/>
      <c r="I183" s="15" t="n"/>
      <c r="J183" s="19" t="n">
        <v>1</v>
      </c>
      <c r="K183" s="2" t="inlineStr">
        <is>
          <t>marker_893_385971.png</t>
        </is>
      </c>
      <c r="L183" s="11">
        <f>HYPERLINK("1\1\" &amp; K183, "Ver Imagen")</f>
        <v/>
      </c>
      <c r="M183" t="inlineStr">
        <is>
          <t>Moda</t>
        </is>
      </c>
    </row>
    <row r="184">
      <c r="A184" t="n">
        <v>183</v>
      </c>
      <c r="B184" t="inlineStr">
        <is>
          <t>A-495_1__17</t>
        </is>
      </c>
      <c r="C184" s="1" t="n">
        <v>37.4513859916</v>
      </c>
      <c r="D184" s="1" t="n">
        <v>-7.1274557463</v>
      </c>
      <c r="E184" s="3" t="n">
        <v>1</v>
      </c>
      <c r="F184" s="2" t="n">
        <v>1</v>
      </c>
      <c r="G184" s="4" t="n">
        <v>2</v>
      </c>
      <c r="H184" s="13" t="n"/>
      <c r="I184" s="15" t="n"/>
      <c r="J184" s="19" t="n">
        <v>1</v>
      </c>
      <c r="K184" s="2" t="inlineStr">
        <is>
          <t>marker_955_386161.png</t>
        </is>
      </c>
      <c r="L184" s="11">
        <f>HYPERLINK("1\1\" &amp; K184, "Ver Imagen")</f>
        <v/>
      </c>
      <c r="M184" t="inlineStr">
        <is>
          <t>Moda</t>
        </is>
      </c>
    </row>
    <row r="185">
      <c r="A185" t="n">
        <v>184</v>
      </c>
      <c r="B185" t="inlineStr">
        <is>
          <t>A-499__35</t>
        </is>
      </c>
      <c r="C185" s="1" t="n">
        <v>37.4934203479</v>
      </c>
      <c r="D185" s="1" t="n">
        <v>-7.27717027003</v>
      </c>
      <c r="E185" s="3" t="n">
        <v>1</v>
      </c>
      <c r="F185" s="2" t="n">
        <v>1</v>
      </c>
      <c r="G185" s="4" t="n">
        <v>2</v>
      </c>
      <c r="H185" s="13" t="n"/>
      <c r="I185" s="15" t="n"/>
      <c r="J185" s="19" t="n">
        <v>1</v>
      </c>
      <c r="K185" s="2" t="inlineStr">
        <is>
          <t>marker_249_529975.png</t>
        </is>
      </c>
      <c r="L185" s="11">
        <f>HYPERLINK("1\1\" &amp; K185, "Ver Imagen")</f>
        <v/>
      </c>
      <c r="M185" t="inlineStr">
        <is>
          <t>Moda</t>
        </is>
      </c>
    </row>
    <row r="186">
      <c r="A186" t="n">
        <v>185</v>
      </c>
      <c r="B186" t="inlineStr">
        <is>
          <t>A-499__36</t>
        </is>
      </c>
      <c r="C186" s="1" t="n">
        <v>37.4936086801</v>
      </c>
      <c r="D186" s="1" t="n">
        <v>-7.27710620381</v>
      </c>
      <c r="E186" s="3" t="n">
        <v>1</v>
      </c>
      <c r="F186" s="2" t="n">
        <v>1</v>
      </c>
      <c r="G186" s="4" t="n">
        <v>2</v>
      </c>
      <c r="H186" s="13" t="n"/>
      <c r="I186" s="15" t="n"/>
      <c r="J186" s="19" t="n">
        <v>1</v>
      </c>
      <c r="K186" s="2" t="inlineStr">
        <is>
          <t>marker_385_529986.png</t>
        </is>
      </c>
      <c r="L186" s="11">
        <f>HYPERLINK("1\1\" &amp; K186, "Ver Imagen")</f>
        <v/>
      </c>
      <c r="M186" t="inlineStr">
        <is>
          <t>Moda</t>
        </is>
      </c>
    </row>
    <row r="187">
      <c r="A187" t="n">
        <v>186</v>
      </c>
      <c r="B187" t="inlineStr">
        <is>
          <t>A-499__107</t>
        </is>
      </c>
      <c r="C187" s="1" t="n">
        <v>37.5001695807</v>
      </c>
      <c r="D187" s="1" t="n">
        <v>-7.26704140248</v>
      </c>
      <c r="E187" s="3" t="n">
        <v>1</v>
      </c>
      <c r="F187" s="2" t="n">
        <v>1</v>
      </c>
      <c r="G187" s="4" t="n">
        <v>2</v>
      </c>
      <c r="H187" s="13" t="n"/>
      <c r="I187" s="15" t="n"/>
      <c r="J187" s="19" t="n">
        <v>1</v>
      </c>
      <c r="K187" s="2" t="inlineStr">
        <is>
          <t>marker_598_793336.png</t>
        </is>
      </c>
      <c r="L187" s="11">
        <f>HYPERLINK("1\1\" &amp; K187, "Ver Imagen")</f>
        <v/>
      </c>
      <c r="M187" t="inlineStr">
        <is>
          <t>Moda</t>
        </is>
      </c>
    </row>
    <row r="188">
      <c r="A188" t="n">
        <v>187</v>
      </c>
      <c r="B188" t="inlineStr">
        <is>
          <t>A-499__206</t>
        </is>
      </c>
      <c r="C188" s="1" t="n">
        <v>37.5176889125</v>
      </c>
      <c r="D188" s="1" t="n">
        <v>-7.26451197025</v>
      </c>
      <c r="E188" s="3" t="n">
        <v>1</v>
      </c>
      <c r="F188" s="2" t="n">
        <v>1</v>
      </c>
      <c r="G188" s="4" t="n">
        <v>2</v>
      </c>
      <c r="H188" s="13" t="n"/>
      <c r="I188" s="15" t="n"/>
      <c r="J188" s="19" t="n">
        <v>1</v>
      </c>
      <c r="K188" s="2" t="inlineStr">
        <is>
          <t>marker_164_796224.png</t>
        </is>
      </c>
      <c r="L188" s="11">
        <f>HYPERLINK("1\1\" &amp; K188, "Ver Imagen")</f>
        <v/>
      </c>
      <c r="M188" t="inlineStr">
        <is>
          <t>Moda</t>
        </is>
      </c>
    </row>
    <row r="189">
      <c r="A189" t="n">
        <v>188</v>
      </c>
      <c r="B189" t="inlineStr">
        <is>
          <t>A-499__209</t>
        </is>
      </c>
      <c r="C189" s="1" t="n">
        <v>37.5180136544</v>
      </c>
      <c r="D189" s="1" t="n">
        <v>-7.26387536173</v>
      </c>
      <c r="E189" s="3" t="n">
        <v>1</v>
      </c>
      <c r="F189" s="2" t="n">
        <v>1</v>
      </c>
      <c r="G189" s="4" t="n">
        <v>2</v>
      </c>
      <c r="H189" s="13" t="n"/>
      <c r="I189" s="15" t="n"/>
      <c r="J189" s="19" t="n">
        <v>1</v>
      </c>
      <c r="K189" s="2" t="inlineStr">
        <is>
          <t>marker_331_796299.png</t>
        </is>
      </c>
      <c r="L189" s="11">
        <f>HYPERLINK("1\1\" &amp; K189, "Ver Imagen")</f>
        <v/>
      </c>
      <c r="M189" t="inlineStr">
        <is>
          <t>Moda</t>
        </is>
      </c>
    </row>
    <row r="190">
      <c r="A190" t="n">
        <v>189</v>
      </c>
      <c r="B190" t="inlineStr">
        <is>
          <t>A-497_2C__130</t>
        </is>
      </c>
      <c r="C190" s="1" t="n">
        <v>37.2710080467</v>
      </c>
      <c r="D190" s="1" t="n">
        <v>-6.98886267542</v>
      </c>
      <c r="E190" s="3" t="n">
        <v>2</v>
      </c>
      <c r="F190" s="2" t="n">
        <v>1</v>
      </c>
      <c r="G190" s="4" t="n">
        <v>1</v>
      </c>
      <c r="H190" s="13" t="n"/>
      <c r="I190" s="15" t="n"/>
      <c r="J190" s="19" t="n">
        <v>1</v>
      </c>
      <c r="K190" s="2" t="inlineStr">
        <is>
          <t>marker_697_655773.png</t>
        </is>
      </c>
      <c r="L190" s="11">
        <f>HYPERLINK("1\1\" &amp; K190, "Ver Imagen")</f>
        <v/>
      </c>
      <c r="M190" t="inlineStr">
        <is>
          <t>Moda</t>
        </is>
      </c>
    </row>
    <row r="191">
      <c r="A191" t="n">
        <v>190</v>
      </c>
      <c r="B191" t="inlineStr">
        <is>
          <t>A-497_2C__133</t>
        </is>
      </c>
      <c r="C191" s="1" t="n">
        <v>37.2704768646</v>
      </c>
      <c r="D191" s="1" t="n">
        <v>-6.989315984</v>
      </c>
      <c r="E191" s="3" t="n">
        <v>1</v>
      </c>
      <c r="F191" s="2" t="n">
        <v>1</v>
      </c>
      <c r="G191" s="4" t="n">
        <v>2</v>
      </c>
      <c r="H191" s="13" t="n"/>
      <c r="I191" s="15" t="n"/>
      <c r="J191" s="19" t="n">
        <v>1</v>
      </c>
      <c r="K191" s="2" t="inlineStr">
        <is>
          <t>marker_646_655800.png</t>
        </is>
      </c>
      <c r="L191" s="11">
        <f>HYPERLINK("1\1\" &amp; K191, "Ver Imagen")</f>
        <v/>
      </c>
      <c r="M191" t="inlineStr">
        <is>
          <t>Moda</t>
        </is>
      </c>
    </row>
    <row r="192">
      <c r="A192" t="n">
        <v>191</v>
      </c>
      <c r="B192" t="inlineStr">
        <is>
          <t>A-497_2C__134</t>
        </is>
      </c>
      <c r="C192" s="1" t="n">
        <v>37.2703098992</v>
      </c>
      <c r="D192" s="1" t="n">
        <v>-6.98943285758</v>
      </c>
      <c r="E192" s="3" t="n">
        <v>1</v>
      </c>
      <c r="F192" s="2" t="n">
        <v>1</v>
      </c>
      <c r="G192" s="4" t="n">
        <v>2</v>
      </c>
      <c r="H192" s="13" t="n"/>
      <c r="I192" s="15" t="n"/>
      <c r="J192" s="19" t="n">
        <v>1</v>
      </c>
      <c r="K192" s="2" t="inlineStr">
        <is>
          <t>marker_638_655808.png</t>
        </is>
      </c>
      <c r="L192" s="11">
        <f>HYPERLINK("1\1\" &amp; K192, "Ver Imagen")</f>
        <v/>
      </c>
      <c r="M192" t="inlineStr">
        <is>
          <t>Moda</t>
        </is>
      </c>
    </row>
    <row r="193">
      <c r="A193" t="n">
        <v>192</v>
      </c>
      <c r="B193" t="inlineStr">
        <is>
          <t>A-497_2C__171</t>
        </is>
      </c>
      <c r="C193" s="1" t="n">
        <v>37.2655222438</v>
      </c>
      <c r="D193" s="1" t="n">
        <v>-6.99595348882</v>
      </c>
      <c r="E193" s="3" t="n">
        <v>2</v>
      </c>
      <c r="F193" s="2" t="n">
        <v>1</v>
      </c>
      <c r="G193" s="4" t="n">
        <v>1</v>
      </c>
      <c r="H193" s="13" t="n"/>
      <c r="I193" s="15" t="n"/>
      <c r="J193" s="19" t="n">
        <v>1</v>
      </c>
      <c r="K193" s="2" t="inlineStr">
        <is>
          <t>marker_491_656209.png</t>
        </is>
      </c>
      <c r="L193" s="11">
        <f>HYPERLINK("1\1\" &amp; K193, "Ver Imagen")</f>
        <v/>
      </c>
      <c r="M193" t="inlineStr">
        <is>
          <t>Moda</t>
        </is>
      </c>
    </row>
    <row r="194">
      <c r="A194" t="n">
        <v>193</v>
      </c>
      <c r="B194" t="inlineStr">
        <is>
          <t>A-497_2C__172</t>
        </is>
      </c>
      <c r="C194" s="1" t="n">
        <v>37.265479635</v>
      </c>
      <c r="D194" s="1" t="n">
        <v>-6.99618049027</v>
      </c>
      <c r="E194" s="3" t="n">
        <v>1</v>
      </c>
      <c r="F194" s="2" t="n">
        <v>2</v>
      </c>
      <c r="G194" s="4" t="n">
        <v>1</v>
      </c>
      <c r="H194" s="13" t="n"/>
      <c r="I194" s="15" t="n"/>
      <c r="J194" s="19" t="n">
        <v>1</v>
      </c>
      <c r="K194" s="2" t="inlineStr">
        <is>
          <t>marker_532_656217.png</t>
        </is>
      </c>
      <c r="L194" s="11">
        <f>HYPERLINK("1\1\" &amp; K194, "Ver Imagen")</f>
        <v/>
      </c>
      <c r="M194" t="inlineStr">
        <is>
          <t>Moda</t>
        </is>
      </c>
    </row>
    <row r="195">
      <c r="A195" t="n">
        <v>194</v>
      </c>
      <c r="B195" t="inlineStr">
        <is>
          <t>A-497__488</t>
        </is>
      </c>
      <c r="C195" s="1" t="n">
        <v>37.213597397</v>
      </c>
      <c r="D195" s="1" t="n">
        <v>-7.02365960931</v>
      </c>
      <c r="E195" s="3" t="n">
        <v>1</v>
      </c>
      <c r="F195" s="2" t="n">
        <v>1</v>
      </c>
      <c r="G195" s="4" t="n">
        <v>2</v>
      </c>
      <c r="H195" s="13" t="n"/>
      <c r="I195" s="15" t="n"/>
      <c r="J195" s="19" t="n">
        <v>1</v>
      </c>
      <c r="K195" s="2" t="inlineStr">
        <is>
          <t>marker_654_376217.png</t>
        </is>
      </c>
      <c r="L195" s="11">
        <f>HYPERLINK("1\1\" &amp; K195, "Ver Imagen")</f>
        <v/>
      </c>
      <c r="M195" t="inlineStr">
        <is>
          <t>Moda</t>
        </is>
      </c>
    </row>
    <row r="196">
      <c r="A196" t="n">
        <v>195</v>
      </c>
      <c r="B196" t="inlineStr">
        <is>
          <t>A-497__486</t>
        </is>
      </c>
      <c r="C196" s="1" t="n">
        <v>37.2139729568</v>
      </c>
      <c r="D196" s="1" t="n">
        <v>-7.02359477662</v>
      </c>
      <c r="E196" s="3" t="n">
        <v>1</v>
      </c>
      <c r="F196" s="2" t="n">
        <v>1</v>
      </c>
      <c r="G196" s="4" t="n">
        <v>2</v>
      </c>
      <c r="H196" s="13" t="n"/>
      <c r="I196" s="15" t="n"/>
      <c r="J196" s="19" t="n">
        <v>1</v>
      </c>
      <c r="K196" s="2" t="inlineStr">
        <is>
          <t>marker_664_376239.png</t>
        </is>
      </c>
      <c r="L196" s="11">
        <f>HYPERLINK("1\1\" &amp; K196, "Ver Imagen")</f>
        <v/>
      </c>
      <c r="M196" t="inlineStr">
        <is>
          <t>Moda</t>
        </is>
      </c>
    </row>
    <row r="197">
      <c r="A197" t="n">
        <v>196</v>
      </c>
      <c r="B197" t="inlineStr">
        <is>
          <t>A-497__485</t>
        </is>
      </c>
      <c r="C197" s="1" t="n">
        <v>37.2141546133</v>
      </c>
      <c r="D197" s="1" t="n">
        <v>-7.02356327422</v>
      </c>
      <c r="E197" s="3" t="n">
        <v>1</v>
      </c>
      <c r="F197" s="2" t="n">
        <v>1</v>
      </c>
      <c r="G197" s="4" t="n">
        <v>2</v>
      </c>
      <c r="H197" s="13" t="n"/>
      <c r="I197" s="15" t="n"/>
      <c r="J197" s="19" t="n">
        <v>1</v>
      </c>
      <c r="K197" s="2" t="inlineStr">
        <is>
          <t>marker_443_376249.png</t>
        </is>
      </c>
      <c r="L197" s="11">
        <f>HYPERLINK("1\1\" &amp; K197, "Ver Imagen")</f>
        <v/>
      </c>
      <c r="M197" t="inlineStr">
        <is>
          <t>Moda</t>
        </is>
      </c>
    </row>
    <row r="198">
      <c r="A198" t="n">
        <v>197</v>
      </c>
      <c r="B198" t="inlineStr">
        <is>
          <t>A-497__484</t>
        </is>
      </c>
      <c r="C198" s="1" t="n">
        <v>37.2143521089</v>
      </c>
      <c r="D198" s="1" t="n">
        <v>-7.02352835984</v>
      </c>
      <c r="E198" s="3" t="n">
        <v>1</v>
      </c>
      <c r="F198" s="2" t="n">
        <v>1</v>
      </c>
      <c r="G198" s="4" t="n">
        <v>2</v>
      </c>
      <c r="H198" s="13" t="n"/>
      <c r="I198" s="15" t="n"/>
      <c r="J198" s="19" t="n">
        <v>1</v>
      </c>
      <c r="K198" s="2" t="inlineStr">
        <is>
          <t>marker_874_376259.png</t>
        </is>
      </c>
      <c r="L198" s="11">
        <f>HYPERLINK("1\1\" &amp; K198, "Ver Imagen")</f>
        <v/>
      </c>
      <c r="M198" t="inlineStr">
        <is>
          <t>Moda</t>
        </is>
      </c>
    </row>
    <row r="199">
      <c r="A199" t="n">
        <v>198</v>
      </c>
      <c r="B199" t="inlineStr">
        <is>
          <t>A-497_2C__425</t>
        </is>
      </c>
      <c r="C199" s="1" t="n">
        <v>37.2252934805</v>
      </c>
      <c r="D199" s="1" t="n">
        <v>-7.0233598681</v>
      </c>
      <c r="E199" s="3" t="n">
        <v>1</v>
      </c>
      <c r="F199" s="2" t="n">
        <v>1</v>
      </c>
      <c r="G199" s="4" t="n">
        <v>2</v>
      </c>
      <c r="H199" s="13" t="n"/>
      <c r="I199" s="15" t="n"/>
      <c r="J199" s="19" t="n">
        <v>1</v>
      </c>
      <c r="K199" s="2" t="inlineStr">
        <is>
          <t>marker_526_363160.png</t>
        </is>
      </c>
      <c r="L199" s="11">
        <f>HYPERLINK("1\1\" &amp; K199, "Ver Imagen")</f>
        <v/>
      </c>
      <c r="M199" t="inlineStr">
        <is>
          <t>Moda</t>
        </is>
      </c>
    </row>
    <row r="200">
      <c r="A200" t="n">
        <v>199</v>
      </c>
      <c r="B200" t="inlineStr">
        <is>
          <t>A-497_2C__426</t>
        </is>
      </c>
      <c r="C200" s="1" t="n">
        <v>37.2251181027</v>
      </c>
      <c r="D200" s="1" t="n">
        <v>-7.02337950778</v>
      </c>
      <c r="E200" s="3" t="n">
        <v>1</v>
      </c>
      <c r="F200" s="2" t="n">
        <v>1</v>
      </c>
      <c r="G200" s="4" t="n">
        <v>2</v>
      </c>
      <c r="H200" s="13" t="n"/>
      <c r="I200" s="15" t="n"/>
      <c r="J200" s="19" t="n">
        <v>1</v>
      </c>
      <c r="K200" s="2" t="inlineStr">
        <is>
          <t>marker_205_363169.png</t>
        </is>
      </c>
      <c r="L200" s="11">
        <f>HYPERLINK("1\1\" &amp; K200, "Ver Imagen")</f>
        <v/>
      </c>
      <c r="M200" t="inlineStr">
        <is>
          <t>Moda</t>
        </is>
      </c>
    </row>
    <row r="201">
      <c r="A201" t="n">
        <v>200</v>
      </c>
      <c r="B201" t="inlineStr">
        <is>
          <t>A-497_2C__431</t>
        </is>
      </c>
      <c r="C201" s="1" t="n">
        <v>37.2240967685</v>
      </c>
      <c r="D201" s="1" t="n">
        <v>-7.02335079397</v>
      </c>
      <c r="E201" s="3" t="n">
        <v>1</v>
      </c>
      <c r="F201" s="2" t="n">
        <v>1</v>
      </c>
      <c r="G201" s="4" t="n">
        <v>2</v>
      </c>
      <c r="H201" s="13" t="n"/>
      <c r="I201" s="15" t="n"/>
      <c r="J201" s="19" t="n">
        <v>1</v>
      </c>
      <c r="K201" s="2" t="inlineStr">
        <is>
          <t>marker_230_363215.png</t>
        </is>
      </c>
      <c r="L201" s="11">
        <f>HYPERLINK("1\1\" &amp; K201, "Ver Imagen")</f>
        <v/>
      </c>
      <c r="M201" t="inlineStr">
        <is>
          <t>Moda</t>
        </is>
      </c>
    </row>
    <row r="202">
      <c r="A202" t="n">
        <v>201</v>
      </c>
      <c r="B202" t="inlineStr">
        <is>
          <t>A-497_2C__432</t>
        </is>
      </c>
      <c r="C202" s="1" t="n">
        <v>37.2238980268</v>
      </c>
      <c r="D202" s="1" t="n">
        <v>-7.0233324848</v>
      </c>
      <c r="E202" s="3" t="n">
        <v>1</v>
      </c>
      <c r="F202" s="2" t="n">
        <v>1</v>
      </c>
      <c r="G202" s="4" t="n">
        <v>2</v>
      </c>
      <c r="H202" s="13" t="n"/>
      <c r="I202" s="15" t="n"/>
      <c r="J202" s="19" t="n">
        <v>1</v>
      </c>
      <c r="K202" s="2" t="inlineStr">
        <is>
          <t>marker_822_363224.png</t>
        </is>
      </c>
      <c r="L202" s="11">
        <f>HYPERLINK("1\1\" &amp; K202, "Ver Imagen")</f>
        <v/>
      </c>
      <c r="M202" t="inlineStr">
        <is>
          <t>Moda</t>
        </is>
      </c>
    </row>
    <row r="203">
      <c r="A203" t="n">
        <v>202</v>
      </c>
      <c r="B203" t="inlineStr">
        <is>
          <t>A-497_2C__504</t>
        </is>
      </c>
      <c r="C203" s="1" t="n">
        <v>37.2094067195</v>
      </c>
      <c r="D203" s="1" t="n">
        <v>-7.02346636901</v>
      </c>
      <c r="E203" s="3" t="n">
        <v>1</v>
      </c>
      <c r="F203" s="2" t="n">
        <v>1</v>
      </c>
      <c r="G203" s="4" t="n">
        <v>2</v>
      </c>
      <c r="H203" s="13" t="n"/>
      <c r="I203" s="15" t="n"/>
      <c r="J203" s="19" t="n">
        <v>1</v>
      </c>
      <c r="K203" s="2" t="inlineStr">
        <is>
          <t>marker_809_364100.png</t>
        </is>
      </c>
      <c r="L203" s="11">
        <f>HYPERLINK("1\1\" &amp; K203, "Ver Imagen")</f>
        <v/>
      </c>
      <c r="M203" t="inlineStr">
        <is>
          <t>Moda</t>
        </is>
      </c>
    </row>
    <row r="204">
      <c r="A204" t="n">
        <v>203</v>
      </c>
      <c r="B204" t="inlineStr">
        <is>
          <t>A-497_2C__505</t>
        </is>
      </c>
      <c r="C204" s="1" t="n">
        <v>37.2092259211</v>
      </c>
      <c r="D204" s="1" t="n">
        <v>-7.02337297549</v>
      </c>
      <c r="E204" s="3" t="n">
        <v>1</v>
      </c>
      <c r="F204" s="2" t="n">
        <v>1</v>
      </c>
      <c r="G204" s="4" t="n">
        <v>2</v>
      </c>
      <c r="H204" s="13" t="n"/>
      <c r="I204" s="15" t="n"/>
      <c r="J204" s="19" t="n">
        <v>1</v>
      </c>
      <c r="K204" s="2" t="inlineStr">
        <is>
          <t>marker_679_364110.png</t>
        </is>
      </c>
      <c r="L204" s="11">
        <f>HYPERLINK("1\1\" &amp; K204, "Ver Imagen")</f>
        <v/>
      </c>
      <c r="M204" t="inlineStr">
        <is>
          <t>Moda</t>
        </is>
      </c>
    </row>
    <row r="205">
      <c r="A205" t="n">
        <v>204</v>
      </c>
      <c r="B205" t="inlineStr">
        <is>
          <t>A-497_2C__506</t>
        </is>
      </c>
      <c r="C205" s="1" t="n">
        <v>37.2090523099</v>
      </c>
      <c r="D205" s="1" t="n">
        <v>-7.0232755116</v>
      </c>
      <c r="E205" s="3" t="n">
        <v>1</v>
      </c>
      <c r="F205" s="2" t="n">
        <v>1</v>
      </c>
      <c r="G205" s="4" t="n">
        <v>2</v>
      </c>
      <c r="H205" s="13" t="n"/>
      <c r="I205" s="15" t="n"/>
      <c r="J205" s="19" t="n">
        <v>1</v>
      </c>
      <c r="K205" s="2" t="inlineStr">
        <is>
          <t>marker_569_364120.png</t>
        </is>
      </c>
      <c r="L205" s="11">
        <f>HYPERLINK("1\1\" &amp; K205, "Ver Imagen")</f>
        <v/>
      </c>
      <c r="M205" t="inlineStr">
        <is>
          <t>Moda</t>
        </is>
      </c>
    </row>
    <row r="206">
      <c r="A206" t="n">
        <v>205</v>
      </c>
      <c r="B206" t="inlineStr">
        <is>
          <t>A-497_2C__531</t>
        </is>
      </c>
      <c r="C206" s="1" t="n">
        <v>37.2056282418</v>
      </c>
      <c r="D206" s="1" t="n">
        <v>-7.01869828829</v>
      </c>
      <c r="E206" s="3" t="n">
        <v>1</v>
      </c>
      <c r="F206" s="2" t="n">
        <v>1</v>
      </c>
      <c r="G206" s="4" t="n">
        <v>2</v>
      </c>
      <c r="H206" s="13" t="n"/>
      <c r="I206" s="15" t="n"/>
      <c r="J206" s="19" t="n">
        <v>1</v>
      </c>
      <c r="K206" s="2" t="inlineStr">
        <is>
          <t>marker_430_364444.png</t>
        </is>
      </c>
      <c r="L206" s="11">
        <f>HYPERLINK("1\1\" &amp; K206, "Ver Imagen")</f>
        <v/>
      </c>
      <c r="M206" t="inlineStr">
        <is>
          <t>Moda</t>
        </is>
      </c>
    </row>
    <row r="207">
      <c r="A207" t="n">
        <v>206</v>
      </c>
      <c r="B207" t="inlineStr">
        <is>
          <t>A-497_2C__534</t>
        </is>
      </c>
      <c r="C207" s="1" t="n">
        <v>37.2054353088</v>
      </c>
      <c r="D207" s="1" t="n">
        <v>-7.01808255262</v>
      </c>
      <c r="E207" s="3" t="n">
        <v>1</v>
      </c>
      <c r="F207" s="2" t="n">
        <v>1</v>
      </c>
      <c r="G207" s="4" t="n">
        <v>2</v>
      </c>
      <c r="H207" s="13" t="n"/>
      <c r="I207" s="15" t="n"/>
      <c r="J207" s="19" t="n">
        <v>1</v>
      </c>
      <c r="K207" s="2" t="inlineStr">
        <is>
          <t>marker_457_364474.png</t>
        </is>
      </c>
      <c r="L207" s="11">
        <f>HYPERLINK("1\1\" &amp; K207, "Ver Imagen")</f>
        <v/>
      </c>
      <c r="M207" t="inlineStr">
        <is>
          <t>Moda</t>
        </is>
      </c>
    </row>
    <row r="208">
      <c r="A208" t="n">
        <v>207</v>
      </c>
      <c r="B208" t="inlineStr">
        <is>
          <t>A-497_2C__536</t>
        </is>
      </c>
      <c r="C208" s="1" t="n">
        <v>37.2052894381</v>
      </c>
      <c r="D208" s="1" t="n">
        <v>-7.01756356003</v>
      </c>
      <c r="E208" s="3" t="n">
        <v>1</v>
      </c>
      <c r="F208" s="2" t="n">
        <v>1</v>
      </c>
      <c r="G208" s="4" t="n">
        <v>2</v>
      </c>
      <c r="H208" s="13" t="n"/>
      <c r="I208" s="15" t="n"/>
      <c r="J208" s="19" t="n">
        <v>1</v>
      </c>
      <c r="K208" s="2" t="inlineStr">
        <is>
          <t>marker_551_364492.png</t>
        </is>
      </c>
      <c r="L208" s="11">
        <f>HYPERLINK("1\1\" &amp; K208, "Ver Imagen")</f>
        <v/>
      </c>
      <c r="M208" t="inlineStr">
        <is>
          <t>Moda</t>
        </is>
      </c>
    </row>
    <row r="209">
      <c r="A209" t="n">
        <v>208</v>
      </c>
      <c r="B209" t="inlineStr">
        <is>
          <t>A-497_2C__537</t>
        </is>
      </c>
      <c r="C209" s="1" t="n">
        <v>37.2052325344</v>
      </c>
      <c r="D209" s="1" t="n">
        <v>-7.01734578742</v>
      </c>
      <c r="E209" s="3" t="n">
        <v>1</v>
      </c>
      <c r="F209" s="2" t="n">
        <v>1</v>
      </c>
      <c r="G209" s="4" t="n">
        <v>2</v>
      </c>
      <c r="H209" s="13" t="n"/>
      <c r="I209" s="15" t="n"/>
      <c r="J209" s="19" t="n">
        <v>1</v>
      </c>
      <c r="K209" s="2" t="inlineStr">
        <is>
          <t>marker_734_364511.png</t>
        </is>
      </c>
      <c r="L209" s="11">
        <f>HYPERLINK("1\1\" &amp; K209, "Ver Imagen")</f>
        <v/>
      </c>
      <c r="M209" t="inlineStr">
        <is>
          <t>Moda</t>
        </is>
      </c>
    </row>
    <row r="210">
      <c r="A210" t="n">
        <v>209</v>
      </c>
      <c r="B210" t="inlineStr">
        <is>
          <t>A-497__448</t>
        </is>
      </c>
      <c r="C210" s="1" t="n">
        <v>37.2216489259</v>
      </c>
      <c r="D210" s="1" t="n">
        <v>-7.02293178401</v>
      </c>
      <c r="E210" s="3" t="n">
        <v>1</v>
      </c>
      <c r="F210" s="2" t="n">
        <v>1</v>
      </c>
      <c r="G210" s="4" t="n">
        <v>2</v>
      </c>
      <c r="H210" s="13" t="n"/>
      <c r="I210" s="15" t="n"/>
      <c r="J210" s="19" t="n">
        <v>1</v>
      </c>
      <c r="K210" s="2" t="inlineStr">
        <is>
          <t>marker_907_376709.png</t>
        </is>
      </c>
      <c r="L210" s="11">
        <f>HYPERLINK("1\1\" &amp; K210, "Ver Imagen")</f>
        <v/>
      </c>
      <c r="M210" t="inlineStr">
        <is>
          <t>Moda</t>
        </is>
      </c>
    </row>
    <row r="211">
      <c r="A211" t="n">
        <v>210</v>
      </c>
      <c r="B211" t="inlineStr">
        <is>
          <t>A-497__443</t>
        </is>
      </c>
      <c r="C211" s="1" t="n">
        <v>37.2226225195</v>
      </c>
      <c r="D211" s="1" t="n">
        <v>-7.02302601904</v>
      </c>
      <c r="E211" s="3" t="n">
        <v>1</v>
      </c>
      <c r="F211" s="2" t="n">
        <v>1</v>
      </c>
      <c r="G211" s="4" t="n">
        <v>2</v>
      </c>
      <c r="H211" s="13" t="n"/>
      <c r="I211" s="15" t="n"/>
      <c r="J211" s="19" t="n">
        <v>1</v>
      </c>
      <c r="K211" s="2" t="inlineStr">
        <is>
          <t>marker_704_376774.png</t>
        </is>
      </c>
      <c r="L211" s="11">
        <f>HYPERLINK("1\1\" &amp; K211, "Ver Imagen")</f>
        <v/>
      </c>
      <c r="M211" t="inlineStr">
        <is>
          <t>Moda</t>
        </is>
      </c>
    </row>
    <row r="212">
      <c r="A212" t="n">
        <v>211</v>
      </c>
      <c r="B212" t="inlineStr">
        <is>
          <t>A-497__419</t>
        </is>
      </c>
      <c r="C212" s="1" t="n">
        <v>37.2273351676</v>
      </c>
      <c r="D212" s="1" t="n">
        <v>-7.02227432904</v>
      </c>
      <c r="E212" s="3" t="n">
        <v>2</v>
      </c>
      <c r="F212" s="2" t="n">
        <v>1</v>
      </c>
      <c r="G212" s="4" t="n">
        <v>1</v>
      </c>
      <c r="H212" s="13" t="n"/>
      <c r="I212" s="15" t="n"/>
      <c r="J212" s="19" t="n">
        <v>1</v>
      </c>
      <c r="K212" s="2" t="inlineStr">
        <is>
          <t>marker_990_377021.png</t>
        </is>
      </c>
      <c r="L212" s="11">
        <f>HYPERLINK("1\1\" &amp; K212, "Ver Imagen")</f>
        <v/>
      </c>
      <c r="M212" t="inlineStr">
        <is>
          <t>Moda</t>
        </is>
      </c>
    </row>
    <row r="213">
      <c r="A213" t="n">
        <v>212</v>
      </c>
      <c r="B213" t="inlineStr">
        <is>
          <t>A-497__417</t>
        </is>
      </c>
      <c r="C213" s="1" t="n">
        <v>37.2276250433</v>
      </c>
      <c r="D213" s="1" t="n">
        <v>-7.02205868186</v>
      </c>
      <c r="E213" s="3" t="n">
        <v>2</v>
      </c>
      <c r="F213" s="2" t="n">
        <v>1</v>
      </c>
      <c r="G213" s="4" t="n">
        <v>1</v>
      </c>
      <c r="H213" s="13" t="n"/>
      <c r="I213" s="15" t="n"/>
      <c r="J213" s="19" t="n">
        <v>1</v>
      </c>
      <c r="K213" s="2" t="inlineStr">
        <is>
          <t>marker_986_377040.png</t>
        </is>
      </c>
      <c r="L213" s="11">
        <f>HYPERLINK("1\1\" &amp; K213, "Ver Imagen")</f>
        <v/>
      </c>
      <c r="M213" t="inlineStr">
        <is>
          <t>Moda</t>
        </is>
      </c>
    </row>
    <row r="214">
      <c r="A214" t="n">
        <v>213</v>
      </c>
      <c r="B214" t="inlineStr">
        <is>
          <t>A-497__413</t>
        </is>
      </c>
      <c r="C214" s="1" t="n">
        <v>37.2283785917</v>
      </c>
      <c r="D214" s="1" t="n">
        <v>-7.02149246304</v>
      </c>
      <c r="E214" s="3" t="n">
        <v>1</v>
      </c>
      <c r="F214" s="2" t="n">
        <v>1</v>
      </c>
      <c r="G214" s="4" t="n">
        <v>2</v>
      </c>
      <c r="H214" s="13" t="n"/>
      <c r="I214" s="15" t="n"/>
      <c r="J214" s="19" t="n">
        <v>1</v>
      </c>
      <c r="K214" s="2" t="inlineStr">
        <is>
          <t>marker_689_377075.png</t>
        </is>
      </c>
      <c r="L214" s="11">
        <f>HYPERLINK("1\1\" &amp; K214, "Ver Imagen")</f>
        <v/>
      </c>
      <c r="M214" t="inlineStr">
        <is>
          <t>Moda</t>
        </is>
      </c>
    </row>
    <row r="215">
      <c r="A215" t="n">
        <v>214</v>
      </c>
      <c r="B215" t="inlineStr">
        <is>
          <t>A-497__408</t>
        </is>
      </c>
      <c r="C215" s="1" t="n">
        <v>37.2292101764</v>
      </c>
      <c r="D215" s="1" t="n">
        <v>-7.02085702326</v>
      </c>
      <c r="E215" s="3" t="n">
        <v>1</v>
      </c>
      <c r="F215" s="2" t="n">
        <v>1</v>
      </c>
      <c r="G215" s="4" t="n">
        <v>2</v>
      </c>
      <c r="H215" s="13" t="n"/>
      <c r="I215" s="15" t="n"/>
      <c r="J215" s="19" t="n">
        <v>1</v>
      </c>
      <c r="K215" s="2" t="inlineStr">
        <is>
          <t>marker_961_377117.png</t>
        </is>
      </c>
      <c r="L215" s="11">
        <f>HYPERLINK("1\1\" &amp; K215, "Ver Imagen")</f>
        <v/>
      </c>
      <c r="M215" t="inlineStr">
        <is>
          <t>Moda</t>
        </is>
      </c>
    </row>
    <row r="216">
      <c r="A216" t="n">
        <v>215</v>
      </c>
      <c r="B216" t="inlineStr">
        <is>
          <t>A-497__188</t>
        </is>
      </c>
      <c r="C216" s="1" t="n">
        <v>37.2648821431</v>
      </c>
      <c r="D216" s="1" t="n">
        <v>-6.99890172409</v>
      </c>
      <c r="E216" s="3" t="n">
        <v>1</v>
      </c>
      <c r="F216" s="2" t="n">
        <v>2</v>
      </c>
      <c r="G216" s="4" t="n">
        <v>1</v>
      </c>
      <c r="H216" s="13" t="n"/>
      <c r="I216" s="15" t="n"/>
      <c r="J216" s="19" t="n">
        <v>1</v>
      </c>
      <c r="K216" s="2" t="inlineStr">
        <is>
          <t>marker_566_379542.png</t>
        </is>
      </c>
      <c r="L216" s="11">
        <f>HYPERLINK("1\1\" &amp; K216, "Ver Imagen")</f>
        <v/>
      </c>
      <c r="M216" t="inlineStr">
        <is>
          <t>Moda</t>
        </is>
      </c>
    </row>
    <row r="217">
      <c r="A217" t="n">
        <v>216</v>
      </c>
      <c r="B217" t="inlineStr">
        <is>
          <t>A-497__185</t>
        </is>
      </c>
      <c r="C217" s="1" t="n">
        <v>37.2650146792</v>
      </c>
      <c r="D217" s="1" t="n">
        <v>-6.99814422857</v>
      </c>
      <c r="E217" s="3" t="n">
        <v>1</v>
      </c>
      <c r="F217" s="2" t="n">
        <v>2</v>
      </c>
      <c r="G217" s="4" t="n">
        <v>1</v>
      </c>
      <c r="H217" s="13" t="n"/>
      <c r="I217" s="15" t="n"/>
      <c r="J217" s="19" t="n">
        <v>1</v>
      </c>
      <c r="K217" s="2" t="inlineStr">
        <is>
          <t>marker_506_379584.png</t>
        </is>
      </c>
      <c r="L217" s="11">
        <f>HYPERLINK("1\1\" &amp; K217, "Ver Imagen")</f>
        <v/>
      </c>
      <c r="M217" t="inlineStr">
        <is>
          <t>Moda</t>
        </is>
      </c>
    </row>
    <row r="218">
      <c r="A218" t="n">
        <v>217</v>
      </c>
      <c r="B218" t="inlineStr">
        <is>
          <t>A-497__179</t>
        </is>
      </c>
      <c r="C218" s="1" t="n">
        <v>37.2652846739</v>
      </c>
      <c r="D218" s="1" t="n">
        <v>-6.99664990496</v>
      </c>
      <c r="E218" s="3" t="n">
        <v>1</v>
      </c>
      <c r="F218" s="2" t="n">
        <v>2</v>
      </c>
      <c r="G218" s="4" t="n">
        <v>1</v>
      </c>
      <c r="H218" s="13" t="n"/>
      <c r="I218" s="15" t="n"/>
      <c r="J218" s="19" t="n">
        <v>1</v>
      </c>
      <c r="K218" s="2" t="inlineStr">
        <is>
          <t>marker_940_379652.png</t>
        </is>
      </c>
      <c r="L218" s="11">
        <f>HYPERLINK("1\1\" &amp; K218, "Ver Imagen")</f>
        <v/>
      </c>
      <c r="M218" t="inlineStr">
        <is>
          <t>Moda</t>
        </is>
      </c>
    </row>
    <row r="219">
      <c r="A219" t="n">
        <v>218</v>
      </c>
      <c r="B219" t="inlineStr">
        <is>
          <t>A-497__174</t>
        </is>
      </c>
      <c r="C219" s="1" t="n">
        <v>37.2655055725</v>
      </c>
      <c r="D219" s="1" t="n">
        <v>-6.99539286519</v>
      </c>
      <c r="E219" s="3" t="n">
        <v>1</v>
      </c>
      <c r="F219" s="2" t="n">
        <v>2</v>
      </c>
      <c r="G219" s="4" t="n">
        <v>1</v>
      </c>
      <c r="H219" s="13" t="n"/>
      <c r="I219" s="15" t="n"/>
      <c r="J219" s="19" t="n">
        <v>1</v>
      </c>
      <c r="K219" s="2" t="inlineStr">
        <is>
          <t>marker_434_379714.png</t>
        </is>
      </c>
      <c r="L219" s="11">
        <f>HYPERLINK("1\1\" &amp; K219, "Ver Imagen")</f>
        <v/>
      </c>
      <c r="M219" t="inlineStr">
        <is>
          <t>Moda</t>
        </is>
      </c>
    </row>
    <row r="220">
      <c r="A220" t="n">
        <v>219</v>
      </c>
      <c r="B220" t="inlineStr">
        <is>
          <t>A-490__515</t>
        </is>
      </c>
      <c r="C220" s="1" t="n">
        <v>37.4871447966</v>
      </c>
      <c r="D220" s="1" t="n">
        <v>-7.24268274272</v>
      </c>
      <c r="E220" s="3" t="n">
        <v>1</v>
      </c>
      <c r="F220" s="2" t="n">
        <v>1</v>
      </c>
      <c r="G220" s="4" t="n">
        <v>2</v>
      </c>
      <c r="H220" s="13" t="n"/>
      <c r="I220" s="15" t="n"/>
      <c r="J220" s="19" t="n">
        <v>1</v>
      </c>
      <c r="K220" s="2" t="inlineStr">
        <is>
          <t>marker_269_817901.png</t>
        </is>
      </c>
      <c r="L220" s="11">
        <f>HYPERLINK("1\1\" &amp; K220, "Ver Imagen")</f>
        <v/>
      </c>
      <c r="M220" t="inlineStr">
        <is>
          <t>Moda</t>
        </is>
      </c>
    </row>
    <row r="221">
      <c r="A221" t="n">
        <v>220</v>
      </c>
      <c r="B221" t="inlineStr">
        <is>
          <t>A-490__443</t>
        </is>
      </c>
      <c r="C221" s="1" t="n">
        <v>37.4839254581</v>
      </c>
      <c r="D221" s="1" t="n">
        <v>-7.22493053017</v>
      </c>
      <c r="E221" s="3" t="n">
        <v>1</v>
      </c>
      <c r="F221" s="2" t="n">
        <v>1</v>
      </c>
      <c r="G221" s="4" t="n">
        <v>2</v>
      </c>
      <c r="H221" s="13" t="n"/>
      <c r="I221" s="15" t="n"/>
      <c r="J221" s="19" t="n">
        <v>1</v>
      </c>
      <c r="K221" s="2" t="inlineStr">
        <is>
          <t>marker_155_754718.png</t>
        </is>
      </c>
      <c r="L221" s="11">
        <f>HYPERLINK("1\1\" &amp; K221, "Ver Imagen")</f>
        <v/>
      </c>
      <c r="M221" t="inlineStr">
        <is>
          <t>Moda</t>
        </is>
      </c>
    </row>
    <row r="222">
      <c r="A222" t="n">
        <v>221</v>
      </c>
      <c r="B222" t="inlineStr">
        <is>
          <t>A-490__444</t>
        </is>
      </c>
      <c r="C222" s="1" t="n">
        <v>37.4839712286</v>
      </c>
      <c r="D222" s="1" t="n">
        <v>-7.22516622673</v>
      </c>
      <c r="E222" s="3" t="n">
        <v>1</v>
      </c>
      <c r="F222" s="2" t="n">
        <v>1</v>
      </c>
      <c r="G222" s="4" t="n">
        <v>2</v>
      </c>
      <c r="H222" s="13" t="n"/>
      <c r="I222" s="15" t="n"/>
      <c r="J222" s="19" t="n">
        <v>1</v>
      </c>
      <c r="K222" s="2" t="inlineStr">
        <is>
          <t>marker_742_754738.png</t>
        </is>
      </c>
      <c r="L222" s="11">
        <f>HYPERLINK("1\1\" &amp; K222, "Ver Imagen")</f>
        <v/>
      </c>
      <c r="M222" t="inlineStr">
        <is>
          <t>Moda</t>
        </is>
      </c>
    </row>
    <row r="223">
      <c r="A223" t="n">
        <v>222</v>
      </c>
      <c r="B223" t="inlineStr">
        <is>
          <t>A-490__450</t>
        </is>
      </c>
      <c r="C223" s="1" t="n">
        <v>37.4842434589</v>
      </c>
      <c r="D223" s="1" t="n">
        <v>-7.22658213172</v>
      </c>
      <c r="E223" s="3" t="n">
        <v>1</v>
      </c>
      <c r="F223" s="2" t="n">
        <v>1</v>
      </c>
      <c r="G223" s="4" t="n">
        <v>2</v>
      </c>
      <c r="H223" s="13" t="n"/>
      <c r="I223" s="15" t="n"/>
      <c r="J223" s="19" t="n">
        <v>1</v>
      </c>
      <c r="K223" s="2" t="inlineStr">
        <is>
          <t>marker_301_755035.png</t>
        </is>
      </c>
      <c r="L223" s="11">
        <f>HYPERLINK("1\1\" &amp; K223, "Ver Imagen")</f>
        <v/>
      </c>
      <c r="M223" t="inlineStr">
        <is>
          <t>Moda</t>
        </is>
      </c>
    </row>
    <row r="224">
      <c r="A224" t="n">
        <v>223</v>
      </c>
      <c r="B224" t="inlineStr">
        <is>
          <t>A-490__451</t>
        </is>
      </c>
      <c r="C224" s="1" t="n">
        <v>37.4843163953</v>
      </c>
      <c r="D224" s="1" t="n">
        <v>-7.22695551447</v>
      </c>
      <c r="E224" s="3" t="n">
        <v>1</v>
      </c>
      <c r="F224" s="2" t="n">
        <v>1</v>
      </c>
      <c r="G224" s="4" t="n">
        <v>2</v>
      </c>
      <c r="H224" s="13" t="n"/>
      <c r="I224" s="15" t="n"/>
      <c r="J224" s="19" t="n">
        <v>1</v>
      </c>
      <c r="K224" s="2" t="inlineStr">
        <is>
          <t>marker_943_755051.png</t>
        </is>
      </c>
      <c r="L224" s="11">
        <f>HYPERLINK("1\1\" &amp; K224, "Ver Imagen")</f>
        <v/>
      </c>
      <c r="M224" t="inlineStr">
        <is>
          <t>Moda</t>
        </is>
      </c>
    </row>
    <row r="225">
      <c r="A225" t="n">
        <v>224</v>
      </c>
      <c r="B225" t="inlineStr">
        <is>
          <t>A-490__453</t>
        </is>
      </c>
      <c r="C225" s="1" t="n">
        <v>37.4843929002</v>
      </c>
      <c r="D225" s="1" t="n">
        <v>-7.22733997354</v>
      </c>
      <c r="E225" s="3" t="n">
        <v>1</v>
      </c>
      <c r="F225" s="2" t="n">
        <v>1</v>
      </c>
      <c r="G225" s="4" t="n">
        <v>2</v>
      </c>
      <c r="H225" s="13" t="n"/>
      <c r="I225" s="15" t="n"/>
      <c r="J225" s="19" t="n">
        <v>1</v>
      </c>
      <c r="K225" s="2" t="inlineStr">
        <is>
          <t>marker_156_755097.png</t>
        </is>
      </c>
      <c r="L225" s="11">
        <f>HYPERLINK("1\1\" &amp; K225, "Ver Imagen")</f>
        <v/>
      </c>
      <c r="M225" t="inlineStr">
        <is>
          <t>Moda</t>
        </is>
      </c>
    </row>
    <row r="226">
      <c r="A226" t="n">
        <v>225</v>
      </c>
      <c r="B226" t="inlineStr">
        <is>
          <t>A-490__463</t>
        </is>
      </c>
      <c r="C226" s="1" t="n">
        <v>37.4848786675</v>
      </c>
      <c r="D226" s="1" t="n">
        <v>-7.22982237332</v>
      </c>
      <c r="E226" s="3" t="n">
        <v>1</v>
      </c>
      <c r="F226" s="2" t="n">
        <v>1</v>
      </c>
      <c r="G226" s="4" t="n">
        <v>2</v>
      </c>
      <c r="H226" s="13" t="n"/>
      <c r="I226" s="15" t="n"/>
      <c r="J226" s="19" t="n">
        <v>1</v>
      </c>
      <c r="K226" s="2" t="inlineStr">
        <is>
          <t>marker_465_755271.png</t>
        </is>
      </c>
      <c r="L226" s="11">
        <f>HYPERLINK("1\1\" &amp; K226, "Ver Imagen")</f>
        <v/>
      </c>
      <c r="M226" t="inlineStr">
        <is>
          <t>Moda</t>
        </is>
      </c>
    </row>
    <row r="227">
      <c r="A227" t="n">
        <v>226</v>
      </c>
      <c r="B227" t="inlineStr">
        <is>
          <t>A-490__468</t>
        </is>
      </c>
      <c r="C227" s="1" t="n">
        <v>37.4851193975</v>
      </c>
      <c r="D227" s="1" t="n">
        <v>-7.23106448122</v>
      </c>
      <c r="E227" s="3" t="n">
        <v>1</v>
      </c>
      <c r="F227" s="2" t="n">
        <v>1</v>
      </c>
      <c r="G227" s="4" t="n">
        <v>2</v>
      </c>
      <c r="H227" s="13" t="n"/>
      <c r="I227" s="15" t="n"/>
      <c r="J227" s="19" t="n">
        <v>1</v>
      </c>
      <c r="K227" s="2" t="inlineStr">
        <is>
          <t>marker_273_755360.png</t>
        </is>
      </c>
      <c r="L227" s="11">
        <f>HYPERLINK("1\1\" &amp; K227, "Ver Imagen")</f>
        <v/>
      </c>
      <c r="M227" t="inlineStr">
        <is>
          <t>Moda</t>
        </is>
      </c>
    </row>
    <row r="228">
      <c r="A228" t="n">
        <v>227</v>
      </c>
      <c r="B228" t="inlineStr">
        <is>
          <t>A-490__469</t>
        </is>
      </c>
      <c r="C228" s="1" t="n">
        <v>37.4851589039</v>
      </c>
      <c r="D228" s="1" t="n">
        <v>-7.23126900745</v>
      </c>
      <c r="E228" s="3" t="n">
        <v>1</v>
      </c>
      <c r="F228" s="2" t="n">
        <v>1</v>
      </c>
      <c r="G228" s="4" t="n">
        <v>2</v>
      </c>
      <c r="H228" s="13" t="n"/>
      <c r="I228" s="15" t="n"/>
      <c r="J228" s="19" t="n">
        <v>1</v>
      </c>
      <c r="K228" s="2" t="inlineStr">
        <is>
          <t>marker_521_755378.png</t>
        </is>
      </c>
      <c r="L228" s="11">
        <f>HYPERLINK("1\1\" &amp; K228, "Ver Imagen")</f>
        <v/>
      </c>
      <c r="M228" t="inlineStr">
        <is>
          <t>Moda</t>
        </is>
      </c>
    </row>
    <row r="229">
      <c r="A229" t="n">
        <v>228</v>
      </c>
      <c r="B229" t="inlineStr">
        <is>
          <t>A-490__473</t>
        </is>
      </c>
      <c r="C229" s="1" t="n">
        <v>37.485354665</v>
      </c>
      <c r="D229" s="1" t="n">
        <v>-7.23230115944</v>
      </c>
      <c r="E229" s="3" t="n">
        <v>1</v>
      </c>
      <c r="F229" s="2" t="n">
        <v>1</v>
      </c>
      <c r="G229" s="4" t="n">
        <v>2</v>
      </c>
      <c r="H229" s="13" t="n"/>
      <c r="I229" s="15" t="n"/>
      <c r="J229" s="19" t="n">
        <v>1</v>
      </c>
      <c r="K229" s="2" t="inlineStr">
        <is>
          <t>marker_562_755450.png</t>
        </is>
      </c>
      <c r="L229" s="11">
        <f>HYPERLINK("1\1\" &amp; K229, "Ver Imagen")</f>
        <v/>
      </c>
      <c r="M229" t="inlineStr">
        <is>
          <t>Moda</t>
        </is>
      </c>
    </row>
    <row r="230">
      <c r="A230" t="n">
        <v>229</v>
      </c>
      <c r="B230" t="inlineStr">
        <is>
          <t>A-490__492</t>
        </is>
      </c>
      <c r="C230" s="1" t="n">
        <v>37.4862564151</v>
      </c>
      <c r="D230" s="1" t="n">
        <v>-7.2369854072</v>
      </c>
      <c r="E230" s="3" t="n">
        <v>1</v>
      </c>
      <c r="F230" s="2" t="n">
        <v>1</v>
      </c>
      <c r="G230" s="4" t="n">
        <v>2</v>
      </c>
      <c r="H230" s="13" t="n"/>
      <c r="I230" s="15" t="n"/>
      <c r="J230" s="19" t="n">
        <v>1</v>
      </c>
      <c r="K230" s="2" t="inlineStr">
        <is>
          <t>marker_481_755796.png</t>
        </is>
      </c>
      <c r="L230" s="11">
        <f>HYPERLINK("1\1\" &amp; K230, "Ver Imagen")</f>
        <v/>
      </c>
      <c r="M230" t="inlineStr">
        <is>
          <t>Moda</t>
        </is>
      </c>
    </row>
    <row r="231">
      <c r="A231" t="n">
        <v>230</v>
      </c>
      <c r="B231" t="inlineStr">
        <is>
          <t>A-490__539</t>
        </is>
      </c>
      <c r="C231" s="1" t="n">
        <v>37.4893515618</v>
      </c>
      <c r="D231" s="1" t="n">
        <v>-7.24804590351</v>
      </c>
      <c r="E231" s="3" t="n">
        <v>1</v>
      </c>
      <c r="F231" s="2" t="n">
        <v>1</v>
      </c>
      <c r="G231" s="4" t="n">
        <v>2</v>
      </c>
      <c r="H231" s="13" t="n"/>
      <c r="I231" s="15" t="n"/>
      <c r="J231" s="19" t="n">
        <v>1</v>
      </c>
      <c r="K231" s="2" t="inlineStr">
        <is>
          <t>marker_175_818333.png</t>
        </is>
      </c>
      <c r="L231" s="11">
        <f>HYPERLINK("1\1\" &amp; K231, "Ver Imagen")</f>
        <v/>
      </c>
      <c r="M231" t="inlineStr">
        <is>
          <t>Moda</t>
        </is>
      </c>
    </row>
    <row r="232">
      <c r="A232" t="n">
        <v>231</v>
      </c>
      <c r="B232" t="inlineStr">
        <is>
          <t>A-490__547</t>
        </is>
      </c>
      <c r="C232" s="1" t="n">
        <v>37.4905306565</v>
      </c>
      <c r="D232" s="1" t="n">
        <v>-7.24946375203</v>
      </c>
      <c r="E232" s="3" t="n">
        <v>1</v>
      </c>
      <c r="F232" s="2" t="n">
        <v>1</v>
      </c>
      <c r="G232" s="4" t="n">
        <v>2</v>
      </c>
      <c r="H232" s="13" t="n"/>
      <c r="I232" s="15" t="n"/>
      <c r="J232" s="19" t="n">
        <v>1</v>
      </c>
      <c r="K232" s="2" t="inlineStr">
        <is>
          <t>marker_636_818479.png</t>
        </is>
      </c>
      <c r="L232" s="11">
        <f>HYPERLINK("1\1\" &amp; K232, "Ver Imagen")</f>
        <v/>
      </c>
      <c r="M232" t="inlineStr">
        <is>
          <t>Moda</t>
        </is>
      </c>
    </row>
    <row r="233">
      <c r="A233" t="n">
        <v>232</v>
      </c>
      <c r="B233" t="inlineStr">
        <is>
          <t>A-490__591</t>
        </is>
      </c>
      <c r="C233" s="1" t="n">
        <v>37.4906821749</v>
      </c>
      <c r="D233" s="1" t="n">
        <v>-7.26020025126</v>
      </c>
      <c r="E233" s="3" t="n">
        <v>1</v>
      </c>
      <c r="F233" s="2" t="n">
        <v>1</v>
      </c>
      <c r="G233" s="4" t="n">
        <v>2</v>
      </c>
      <c r="H233" s="13" t="n"/>
      <c r="I233" s="15" t="n"/>
      <c r="J233" s="19" t="n">
        <v>1</v>
      </c>
      <c r="K233" s="2" t="inlineStr">
        <is>
          <t>marker_483_819640.png</t>
        </is>
      </c>
      <c r="L233" s="11">
        <f>HYPERLINK("1\1\" &amp; K233, "Ver Imagen")</f>
        <v/>
      </c>
      <c r="M233" t="inlineStr">
        <is>
          <t>Moda</t>
        </is>
      </c>
    </row>
    <row r="234">
      <c r="A234" t="n">
        <v>233</v>
      </c>
      <c r="B234" t="inlineStr">
        <is>
          <t>A-490__610</t>
        </is>
      </c>
      <c r="C234" s="1" t="n">
        <v>37.4932226273</v>
      </c>
      <c r="D234" s="1" t="n">
        <v>-7.26371030414</v>
      </c>
      <c r="E234" s="3" t="n">
        <v>1</v>
      </c>
      <c r="F234" s="2" t="n">
        <v>1</v>
      </c>
      <c r="G234" s="4" t="n">
        <v>2</v>
      </c>
      <c r="H234" s="13" t="n"/>
      <c r="I234" s="15" t="n"/>
      <c r="J234" s="19" t="n">
        <v>1</v>
      </c>
      <c r="K234" s="2" t="inlineStr">
        <is>
          <t>marker_572_820205.png</t>
        </is>
      </c>
      <c r="L234" s="11">
        <f>HYPERLINK("1\1\" &amp; K234, "Ver Imagen")</f>
        <v/>
      </c>
      <c r="M234" t="inlineStr">
        <is>
          <t>Moda</t>
        </is>
      </c>
    </row>
    <row r="235">
      <c r="A235" t="n">
        <v>234</v>
      </c>
      <c r="B235" t="inlineStr">
        <is>
          <t>A-492__203</t>
        </is>
      </c>
      <c r="C235" s="1" t="n">
        <v>37.2789952435</v>
      </c>
      <c r="D235" s="1" t="n">
        <v>-7.03042812589</v>
      </c>
      <c r="E235" s="3" t="n">
        <v>1</v>
      </c>
      <c r="F235" s="2" t="n">
        <v>1</v>
      </c>
      <c r="G235" s="4" t="n">
        <v>2</v>
      </c>
      <c r="H235" s="13" t="n"/>
      <c r="I235" s="15" t="n"/>
      <c r="J235" s="19" t="n">
        <v>1</v>
      </c>
      <c r="K235" s="2" t="inlineStr">
        <is>
          <t>marker_331_831958.png</t>
        </is>
      </c>
      <c r="L235" s="11">
        <f>HYPERLINK("1\1\" &amp; K235, "Ver Imagen")</f>
        <v/>
      </c>
      <c r="M235" t="inlineStr">
        <is>
          <t>Moda</t>
        </is>
      </c>
    </row>
    <row r="236">
      <c r="A236" t="n">
        <v>235</v>
      </c>
      <c r="B236" t="inlineStr">
        <is>
          <t>A-492__238</t>
        </is>
      </c>
      <c r="C236" s="1" t="n">
        <v>37.2841039243</v>
      </c>
      <c r="D236" s="1" t="n">
        <v>-7.03583984014</v>
      </c>
      <c r="E236" s="3" t="n">
        <v>1</v>
      </c>
      <c r="F236" s="2" t="n">
        <v>1</v>
      </c>
      <c r="G236" s="4" t="n">
        <v>2</v>
      </c>
      <c r="H236" s="13" t="n"/>
      <c r="I236" s="15" t="n"/>
      <c r="J236" s="19" t="n">
        <v>1</v>
      </c>
      <c r="K236" s="2" t="inlineStr">
        <is>
          <t>marker_993_835921.png</t>
        </is>
      </c>
      <c r="L236" s="11">
        <f>HYPERLINK("1\1\" &amp; K236, "Ver Imagen")</f>
        <v/>
      </c>
      <c r="M236" t="inlineStr">
        <is>
          <t>Moda</t>
        </is>
      </c>
    </row>
    <row r="237">
      <c r="A237" t="n">
        <v>236</v>
      </c>
      <c r="B237" t="inlineStr">
        <is>
          <t>A-492__245</t>
        </is>
      </c>
      <c r="C237" s="1" t="n">
        <v>37.284227425</v>
      </c>
      <c r="D237" s="1" t="n">
        <v>-7.03760289554</v>
      </c>
      <c r="E237" s="3" t="n">
        <v>1</v>
      </c>
      <c r="F237" s="2" t="n">
        <v>1</v>
      </c>
      <c r="G237" s="4" t="n">
        <v>2</v>
      </c>
      <c r="H237" s="13" t="n"/>
      <c r="I237" s="15" t="n"/>
      <c r="J237" s="19" t="n">
        <v>1</v>
      </c>
      <c r="K237" s="2" t="inlineStr">
        <is>
          <t>marker_605_836032.png</t>
        </is>
      </c>
      <c r="L237" s="11">
        <f>HYPERLINK("1\1\" &amp; K237, "Ver Imagen")</f>
        <v/>
      </c>
      <c r="M237" t="inlineStr">
        <is>
          <t>Moda</t>
        </is>
      </c>
    </row>
    <row r="238">
      <c r="A238" t="n">
        <v>237</v>
      </c>
      <c r="B238" t="inlineStr">
        <is>
          <t>A-492__247</t>
        </is>
      </c>
      <c r="C238" s="1" t="n">
        <v>37.2843356131</v>
      </c>
      <c r="D238" s="1" t="n">
        <v>-7.03805521116</v>
      </c>
      <c r="E238" s="3" t="n">
        <v>1</v>
      </c>
      <c r="F238" s="2" t="n">
        <v>1</v>
      </c>
      <c r="G238" s="4" t="n">
        <v>2</v>
      </c>
      <c r="H238" s="13" t="n"/>
      <c r="I238" s="15" t="n"/>
      <c r="J238" s="19" t="n">
        <v>1</v>
      </c>
      <c r="K238" s="2" t="inlineStr">
        <is>
          <t>marker_275_836056.png</t>
        </is>
      </c>
      <c r="L238" s="11">
        <f>HYPERLINK("1\1\" &amp; K238, "Ver Imagen")</f>
        <v/>
      </c>
      <c r="M238" t="inlineStr">
        <is>
          <t>Moda</t>
        </is>
      </c>
    </row>
    <row r="239">
      <c r="A239" t="n">
        <v>238</v>
      </c>
      <c r="B239" t="inlineStr">
        <is>
          <t>A-492__248</t>
        </is>
      </c>
      <c r="C239" s="1" t="n">
        <v>37.2843948222</v>
      </c>
      <c r="D239" s="1" t="n">
        <v>-7.03828970217</v>
      </c>
      <c r="E239" s="3" t="n">
        <v>1</v>
      </c>
      <c r="F239" s="2" t="n">
        <v>1</v>
      </c>
      <c r="G239" s="4" t="n">
        <v>2</v>
      </c>
      <c r="H239" s="13" t="n"/>
      <c r="I239" s="15" t="n"/>
      <c r="J239" s="19" t="n">
        <v>1</v>
      </c>
      <c r="K239" s="2" t="inlineStr">
        <is>
          <t>marker_940_836074.png</t>
        </is>
      </c>
      <c r="L239" s="11">
        <f>HYPERLINK("1\1\" &amp; K239, "Ver Imagen")</f>
        <v/>
      </c>
      <c r="M239" t="inlineStr">
        <is>
          <t>Moda</t>
        </is>
      </c>
    </row>
    <row r="240">
      <c r="A240" t="n">
        <v>239</v>
      </c>
      <c r="B240" t="inlineStr">
        <is>
          <t>A-492__261</t>
        </is>
      </c>
      <c r="C240" s="1" t="n">
        <v>37.2856848167</v>
      </c>
      <c r="D240" s="1" t="n">
        <v>-7.04112571008</v>
      </c>
      <c r="E240" s="3" t="n">
        <v>1</v>
      </c>
      <c r="F240" s="2" t="n">
        <v>1</v>
      </c>
      <c r="G240" s="4" t="n">
        <v>2</v>
      </c>
      <c r="H240" s="13" t="n"/>
      <c r="I240" s="15" t="n"/>
      <c r="J240" s="19" t="n">
        <v>1</v>
      </c>
      <c r="K240" s="2" t="inlineStr">
        <is>
          <t>marker_761_836595.png</t>
        </is>
      </c>
      <c r="L240" s="11">
        <f>HYPERLINK("1\1\" &amp; K240, "Ver Imagen")</f>
        <v/>
      </c>
      <c r="M240" t="inlineStr">
        <is>
          <t>Moda</t>
        </is>
      </c>
    </row>
    <row r="241">
      <c r="A241" t="n">
        <v>240</v>
      </c>
      <c r="B241" t="inlineStr">
        <is>
          <t>A-492__262</t>
        </is>
      </c>
      <c r="C241" s="1" t="n">
        <v>37.2858226484</v>
      </c>
      <c r="D241" s="1" t="n">
        <v>-7.0412578183</v>
      </c>
      <c r="E241" s="3" t="n">
        <v>1</v>
      </c>
      <c r="F241" s="2" t="n">
        <v>1</v>
      </c>
      <c r="G241" s="4" t="n">
        <v>2</v>
      </c>
      <c r="H241" s="13" t="n"/>
      <c r="I241" s="15" t="n"/>
      <c r="J241" s="19" t="n">
        <v>1</v>
      </c>
      <c r="K241" s="2" t="inlineStr">
        <is>
          <t>marker_410_836609.png</t>
        </is>
      </c>
      <c r="L241" s="11">
        <f>HYPERLINK("1\1\" &amp; K241, "Ver Imagen")</f>
        <v/>
      </c>
      <c r="M241" t="inlineStr">
        <is>
          <t>Moda</t>
        </is>
      </c>
    </row>
    <row r="242">
      <c r="A242" t="n">
        <v>241</v>
      </c>
      <c r="B242" t="inlineStr">
        <is>
          <t>A-492__283</t>
        </is>
      </c>
      <c r="C242" s="1" t="n">
        <v>37.2893614867</v>
      </c>
      <c r="D242" s="1" t="n">
        <v>-7.04401660296</v>
      </c>
      <c r="E242" s="3" t="n">
        <v>1</v>
      </c>
      <c r="F242" s="2" t="n">
        <v>1</v>
      </c>
      <c r="G242" s="4" t="n">
        <v>2</v>
      </c>
      <c r="H242" s="13" t="n"/>
      <c r="I242" s="15" t="n"/>
      <c r="J242" s="19" t="n">
        <v>1</v>
      </c>
      <c r="K242" s="2" t="inlineStr">
        <is>
          <t>marker_341_837338.png</t>
        </is>
      </c>
      <c r="L242" s="11">
        <f>HYPERLINK("1\1\" &amp; K242, "Ver Imagen")</f>
        <v/>
      </c>
      <c r="M242" t="inlineStr">
        <is>
          <t>Moda</t>
        </is>
      </c>
    </row>
    <row r="243">
      <c r="A243" t="n">
        <v>242</v>
      </c>
      <c r="B243" t="inlineStr">
        <is>
          <t>A-492__315</t>
        </is>
      </c>
      <c r="C243" s="1" t="n">
        <v>37.294643174</v>
      </c>
      <c r="D243" s="1" t="n">
        <v>-7.04815605967</v>
      </c>
      <c r="E243" s="3" t="n">
        <v>1</v>
      </c>
      <c r="F243" s="2" t="n">
        <v>1</v>
      </c>
      <c r="G243" s="4" t="n">
        <v>2</v>
      </c>
      <c r="H243" s="13" t="n"/>
      <c r="I243" s="15" t="n"/>
      <c r="J243" s="19" t="n">
        <v>1</v>
      </c>
      <c r="K243" s="2" t="inlineStr">
        <is>
          <t>marker_795_837727.png</t>
        </is>
      </c>
      <c r="L243" s="11">
        <f>HYPERLINK("1\1\" &amp; K243, "Ver Imagen")</f>
        <v/>
      </c>
      <c r="M243" t="inlineStr">
        <is>
          <t>Moda</t>
        </is>
      </c>
    </row>
    <row r="244">
      <c r="A244" t="n">
        <v>243</v>
      </c>
      <c r="B244" t="inlineStr">
        <is>
          <t>A-492__370</t>
        </is>
      </c>
      <c r="C244" s="1" t="n">
        <v>37.3028933211</v>
      </c>
      <c r="D244" s="1" t="n">
        <v>-7.05662122262</v>
      </c>
      <c r="E244" s="3" t="n">
        <v>1</v>
      </c>
      <c r="F244" s="2" t="n">
        <v>1</v>
      </c>
      <c r="G244" s="4" t="n">
        <v>2</v>
      </c>
      <c r="H244" s="13" t="n"/>
      <c r="I244" s="15" t="n"/>
      <c r="J244" s="19" t="n">
        <v>1</v>
      </c>
      <c r="K244" s="2" t="inlineStr">
        <is>
          <t>marker_651_838758.png</t>
        </is>
      </c>
      <c r="L244" s="11">
        <f>HYPERLINK("1\1\" &amp; K244, "Ver Imagen")</f>
        <v/>
      </c>
      <c r="M244" t="inlineStr">
        <is>
          <t>Moda</t>
        </is>
      </c>
    </row>
    <row r="245">
      <c r="A245" t="n">
        <v>244</v>
      </c>
      <c r="B245" t="inlineStr">
        <is>
          <t>A-492__373</t>
        </is>
      </c>
      <c r="C245" s="1" t="n">
        <v>37.3034567897</v>
      </c>
      <c r="D245" s="1" t="n">
        <v>-7.05671069204</v>
      </c>
      <c r="E245" s="3" t="n">
        <v>1</v>
      </c>
      <c r="F245" s="2" t="n">
        <v>1</v>
      </c>
      <c r="G245" s="4" t="n">
        <v>2</v>
      </c>
      <c r="H245" s="13" t="n"/>
      <c r="I245" s="15" t="n"/>
      <c r="J245" s="19" t="n">
        <v>1</v>
      </c>
      <c r="K245" s="2" t="inlineStr">
        <is>
          <t>marker_861_838793.png</t>
        </is>
      </c>
      <c r="L245" s="11">
        <f>HYPERLINK("1\1\" &amp; K245, "Ver Imagen")</f>
        <v/>
      </c>
      <c r="M245" t="inlineStr">
        <is>
          <t>Moda</t>
        </is>
      </c>
    </row>
    <row r="246">
      <c r="A246" t="n">
        <v>245</v>
      </c>
      <c r="B246" t="inlineStr">
        <is>
          <t>A-492__380</t>
        </is>
      </c>
      <c r="C246" s="1" t="n">
        <v>37.3049026577</v>
      </c>
      <c r="D246" s="1" t="n">
        <v>-7.05674004601</v>
      </c>
      <c r="E246" s="3" t="n">
        <v>1</v>
      </c>
      <c r="F246" s="2" t="n">
        <v>1</v>
      </c>
      <c r="G246" s="4" t="n">
        <v>2</v>
      </c>
      <c r="H246" s="13" t="n"/>
      <c r="I246" s="15" t="n"/>
      <c r="J246" s="19" t="n">
        <v>1</v>
      </c>
      <c r="K246" s="2" t="inlineStr">
        <is>
          <t>marker_348_838891.png</t>
        </is>
      </c>
      <c r="L246" s="11">
        <f>HYPERLINK("1\1\" &amp; K246, "Ver Imagen")</f>
        <v/>
      </c>
      <c r="M246" t="inlineStr">
        <is>
          <t>Moda</t>
        </is>
      </c>
    </row>
    <row r="247">
      <c r="A247" t="n">
        <v>246</v>
      </c>
      <c r="B247" t="inlineStr">
        <is>
          <t>A-492__381</t>
        </is>
      </c>
      <c r="C247" s="1" t="n">
        <v>37.3050946954</v>
      </c>
      <c r="D247" s="1" t="n">
        <v>-7.0567362267</v>
      </c>
      <c r="E247" s="3" t="n">
        <v>1</v>
      </c>
      <c r="F247" s="2" t="n">
        <v>1</v>
      </c>
      <c r="G247" s="4" t="n">
        <v>2</v>
      </c>
      <c r="H247" s="13" t="n"/>
      <c r="I247" s="15" t="n"/>
      <c r="J247" s="19" t="n">
        <v>1</v>
      </c>
      <c r="K247" s="2" t="inlineStr">
        <is>
          <t>marker_579_838903.png</t>
        </is>
      </c>
      <c r="L247" s="11">
        <f>HYPERLINK("1\1\" &amp; K247, "Ver Imagen")</f>
        <v/>
      </c>
      <c r="M247" t="inlineStr">
        <is>
          <t>Moda</t>
        </is>
      </c>
    </row>
    <row r="248">
      <c r="A248" t="n">
        <v>247</v>
      </c>
      <c r="B248" t="inlineStr">
        <is>
          <t>A-492__407</t>
        </is>
      </c>
      <c r="C248" s="1" t="n">
        <v>37.3100827353</v>
      </c>
      <c r="D248" s="1" t="n">
        <v>-7.0583043278</v>
      </c>
      <c r="E248" s="3" t="n">
        <v>1</v>
      </c>
      <c r="F248" s="2" t="n">
        <v>1</v>
      </c>
      <c r="G248" s="4" t="n">
        <v>2</v>
      </c>
      <c r="H248" s="13" t="n"/>
      <c r="I248" s="15" t="n"/>
      <c r="J248" s="19" t="n">
        <v>1</v>
      </c>
      <c r="K248" s="2" t="inlineStr">
        <is>
          <t>marker_455_839258.png</t>
        </is>
      </c>
      <c r="L248" s="11">
        <f>HYPERLINK("1\1\" &amp; K248, "Ver Imagen")</f>
        <v/>
      </c>
      <c r="M248" t="inlineStr">
        <is>
          <t>Moda</t>
        </is>
      </c>
    </row>
    <row r="249">
      <c r="A249" t="n">
        <v>248</v>
      </c>
      <c r="B249" t="inlineStr">
        <is>
          <t>A-492__435</t>
        </is>
      </c>
      <c r="C249" s="1" t="n">
        <v>37.3139435427</v>
      </c>
      <c r="D249" s="1" t="n">
        <v>-7.06348773163</v>
      </c>
      <c r="E249" s="3" t="n">
        <v>1</v>
      </c>
      <c r="F249" s="2" t="n">
        <v>1</v>
      </c>
      <c r="G249" s="4" t="n">
        <v>2</v>
      </c>
      <c r="H249" s="13" t="n"/>
      <c r="I249" s="15" t="n"/>
      <c r="J249" s="19" t="n">
        <v>1</v>
      </c>
      <c r="K249" s="2" t="inlineStr">
        <is>
          <t>marker_596_839586.png</t>
        </is>
      </c>
      <c r="L249" s="11">
        <f>HYPERLINK("1\1\" &amp; K249, "Ver Imagen")</f>
        <v/>
      </c>
      <c r="M249" t="inlineStr">
        <is>
          <t>Moda</t>
        </is>
      </c>
    </row>
    <row r="250">
      <c r="A250" t="n">
        <v>249</v>
      </c>
      <c r="B250" t="inlineStr">
        <is>
          <t>A-492__437</t>
        </is>
      </c>
      <c r="C250" s="1" t="n">
        <v>37.3141400177</v>
      </c>
      <c r="D250" s="1" t="n">
        <v>-7.06385801686</v>
      </c>
      <c r="E250" s="3" t="n">
        <v>1</v>
      </c>
      <c r="F250" s="2" t="n">
        <v>1</v>
      </c>
      <c r="G250" s="4" t="n">
        <v>2</v>
      </c>
      <c r="H250" s="13" t="n"/>
      <c r="I250" s="15" t="n"/>
      <c r="J250" s="19" t="n">
        <v>1</v>
      </c>
      <c r="K250" s="2" t="inlineStr">
        <is>
          <t>marker_994_839617.png</t>
        </is>
      </c>
      <c r="L250" s="11">
        <f>HYPERLINK("1\1\" &amp; K250, "Ver Imagen")</f>
        <v/>
      </c>
      <c r="M250" t="inlineStr">
        <is>
          <t>Moda</t>
        </is>
      </c>
    </row>
    <row r="251">
      <c r="A251" t="n">
        <v>250</v>
      </c>
      <c r="B251" t="inlineStr">
        <is>
          <t>A-492__439</t>
        </is>
      </c>
      <c r="C251" s="1" t="n">
        <v>37.3143827941</v>
      </c>
      <c r="D251" s="1" t="n">
        <v>-7.06431034611</v>
      </c>
      <c r="E251" s="3" t="n">
        <v>1</v>
      </c>
      <c r="F251" s="2" t="n">
        <v>1</v>
      </c>
      <c r="G251" s="4" t="n">
        <v>2</v>
      </c>
      <c r="H251" s="13" t="n"/>
      <c r="I251" s="15" t="n"/>
      <c r="J251" s="19" t="n">
        <v>1</v>
      </c>
      <c r="K251" s="2" t="inlineStr">
        <is>
          <t>marker_471_839642.png</t>
        </is>
      </c>
      <c r="L251" s="11">
        <f>HYPERLINK("1\1\" &amp; K251, "Ver Imagen")</f>
        <v/>
      </c>
      <c r="M251" t="inlineStr">
        <is>
          <t>Moda</t>
        </is>
      </c>
    </row>
    <row r="252">
      <c r="A252" t="n">
        <v>251</v>
      </c>
      <c r="B252" t="inlineStr">
        <is>
          <t>A-492__446</t>
        </is>
      </c>
      <c r="C252" s="1" t="n">
        <v>37.3151130136</v>
      </c>
      <c r="D252" s="1" t="n">
        <v>-7.06579998385</v>
      </c>
      <c r="E252" s="3" t="n">
        <v>1</v>
      </c>
      <c r="F252" s="2" t="n">
        <v>1</v>
      </c>
      <c r="G252" s="4" t="n">
        <v>2</v>
      </c>
      <c r="H252" s="13" t="n"/>
      <c r="I252" s="15" t="n"/>
      <c r="J252" s="19" t="n">
        <v>1</v>
      </c>
      <c r="K252" s="2" t="inlineStr">
        <is>
          <t>marker_877_839774.png</t>
        </is>
      </c>
      <c r="L252" s="11">
        <f>HYPERLINK("1\1\" &amp; K252, "Ver Imagen")</f>
        <v/>
      </c>
      <c r="M252" t="inlineStr">
        <is>
          <t>Moda</t>
        </is>
      </c>
    </row>
    <row r="253">
      <c r="A253" t="n">
        <v>252</v>
      </c>
      <c r="B253" t="inlineStr">
        <is>
          <t>A-492__447</t>
        </is>
      </c>
      <c r="C253" s="1" t="n">
        <v>37.3151885288</v>
      </c>
      <c r="D253" s="1" t="n">
        <v>-7.0660510212</v>
      </c>
      <c r="E253" s="3" t="n">
        <v>1</v>
      </c>
      <c r="F253" s="2" t="n">
        <v>1</v>
      </c>
      <c r="G253" s="4" t="n">
        <v>2</v>
      </c>
      <c r="H253" s="13" t="n"/>
      <c r="I253" s="15" t="n"/>
      <c r="J253" s="19" t="n">
        <v>1</v>
      </c>
      <c r="K253" s="2" t="inlineStr">
        <is>
          <t>marker_508_839784.png</t>
        </is>
      </c>
      <c r="L253" s="11">
        <f>HYPERLINK("1\1\" &amp; K253, "Ver Imagen")</f>
        <v/>
      </c>
      <c r="M253" t="inlineStr">
        <is>
          <t>Moda</t>
        </is>
      </c>
    </row>
    <row r="254">
      <c r="A254" t="n">
        <v>253</v>
      </c>
      <c r="B254" t="inlineStr">
        <is>
          <t>A-492__448</t>
        </is>
      </c>
      <c r="C254" s="1" t="n">
        <v>37.3152448568</v>
      </c>
      <c r="D254" s="1" t="n">
        <v>-7.06626954712</v>
      </c>
      <c r="E254" s="3" t="n">
        <v>1</v>
      </c>
      <c r="F254" s="2" t="n">
        <v>1</v>
      </c>
      <c r="G254" s="4" t="n">
        <v>2</v>
      </c>
      <c r="H254" s="13" t="n"/>
      <c r="I254" s="15" t="n"/>
      <c r="J254" s="19" t="n">
        <v>1</v>
      </c>
      <c r="K254" s="2" t="inlineStr">
        <is>
          <t>marker_542_839794.png</t>
        </is>
      </c>
      <c r="L254" s="11">
        <f>HYPERLINK("1\1\" &amp; K254, "Ver Imagen")</f>
        <v/>
      </c>
      <c r="M254" t="inlineStr">
        <is>
          <t>Moda</t>
        </is>
      </c>
    </row>
    <row r="255">
      <c r="A255" t="n">
        <v>254</v>
      </c>
      <c r="B255" t="inlineStr">
        <is>
          <t>A-492__449</t>
        </is>
      </c>
      <c r="C255" s="1" t="n">
        <v>37.3153120401</v>
      </c>
      <c r="D255" s="1" t="n">
        <v>-7.06654845964</v>
      </c>
      <c r="E255" s="3" t="n">
        <v>1</v>
      </c>
      <c r="F255" s="2" t="n">
        <v>1</v>
      </c>
      <c r="G255" s="4" t="n">
        <v>2</v>
      </c>
      <c r="H255" s="13" t="n"/>
      <c r="I255" s="15" t="n"/>
      <c r="J255" s="19" t="n">
        <v>1</v>
      </c>
      <c r="K255" s="2" t="inlineStr">
        <is>
          <t>marker_594_839804.png</t>
        </is>
      </c>
      <c r="L255" s="11">
        <f>HYPERLINK("1\1\" &amp; K255, "Ver Imagen")</f>
        <v/>
      </c>
      <c r="M255" t="inlineStr">
        <is>
          <t>Moda</t>
        </is>
      </c>
    </row>
    <row r="256">
      <c r="A256" t="n">
        <v>255</v>
      </c>
      <c r="B256" t="inlineStr">
        <is>
          <t>A-492__450</t>
        </is>
      </c>
      <c r="C256" s="1" t="n">
        <v>37.3153734357</v>
      </c>
      <c r="D256" s="1" t="n">
        <v>-7.06681175384</v>
      </c>
      <c r="E256" s="3" t="n">
        <v>1</v>
      </c>
      <c r="F256" s="2" t="n">
        <v>1</v>
      </c>
      <c r="G256" s="4" t="n">
        <v>2</v>
      </c>
      <c r="H256" s="13" t="n"/>
      <c r="I256" s="15" t="n"/>
      <c r="J256" s="19" t="n">
        <v>1</v>
      </c>
      <c r="K256" s="2" t="inlineStr">
        <is>
          <t>marker_243_839814.png</t>
        </is>
      </c>
      <c r="L256" s="11">
        <f>HYPERLINK("1\1\" &amp; K256, "Ver Imagen")</f>
        <v/>
      </c>
      <c r="M256" t="inlineStr">
        <is>
          <t>Moda</t>
        </is>
      </c>
    </row>
    <row r="257">
      <c r="A257" t="n">
        <v>256</v>
      </c>
      <c r="B257" t="inlineStr">
        <is>
          <t>A-495R__79</t>
        </is>
      </c>
      <c r="C257" s="1" t="n">
        <v>37.4598334199</v>
      </c>
      <c r="D257" s="1" t="n">
        <v>-7.11505064855</v>
      </c>
      <c r="E257" s="3" t="n">
        <v>1</v>
      </c>
      <c r="F257" s="2" t="n">
        <v>1</v>
      </c>
      <c r="G257" s="4" t="n">
        <v>2</v>
      </c>
      <c r="H257" s="13" t="n"/>
      <c r="I257" s="15" t="n"/>
      <c r="J257" s="19" t="n">
        <v>1</v>
      </c>
      <c r="K257" s="2" t="inlineStr">
        <is>
          <t>marker_298_935106.png</t>
        </is>
      </c>
      <c r="L257" s="11">
        <f>HYPERLINK("1\1\" &amp; K257, "Ver Imagen")</f>
        <v/>
      </c>
      <c r="M257" t="inlineStr">
        <is>
          <t>Moda</t>
        </is>
      </c>
    </row>
    <row r="258">
      <c r="A258" t="n">
        <v>257</v>
      </c>
      <c r="B258" t="inlineStr">
        <is>
          <t>A-495R__77</t>
        </is>
      </c>
      <c r="C258" s="1" t="n">
        <v>37.459407171</v>
      </c>
      <c r="D258" s="1" t="n">
        <v>-7.11492347357</v>
      </c>
      <c r="E258" s="3" t="n">
        <v>1</v>
      </c>
      <c r="F258" s="2" t="n">
        <v>1</v>
      </c>
      <c r="G258" s="4" t="n">
        <v>2</v>
      </c>
      <c r="H258" s="13" t="n"/>
      <c r="I258" s="15" t="n"/>
      <c r="J258" s="19" t="n">
        <v>1</v>
      </c>
      <c r="K258" s="2" t="inlineStr">
        <is>
          <t>marker_756_935135.png</t>
        </is>
      </c>
      <c r="L258" s="11">
        <f>HYPERLINK("1\1\" &amp; K258, "Ver Imagen")</f>
        <v/>
      </c>
      <c r="M258" t="inlineStr">
        <is>
          <t>Moda</t>
        </is>
      </c>
    </row>
    <row r="259">
      <c r="A259" t="n">
        <v>258</v>
      </c>
      <c r="B259" t="inlineStr">
        <is>
          <t>A-495R__76</t>
        </is>
      </c>
      <c r="C259" s="1" t="n">
        <v>37.4592190973</v>
      </c>
      <c r="D259" s="1" t="n">
        <v>-7.11487127413</v>
      </c>
      <c r="E259" s="3" t="n">
        <v>1</v>
      </c>
      <c r="F259" s="2" t="n">
        <v>1</v>
      </c>
      <c r="G259" s="4" t="n">
        <v>2</v>
      </c>
      <c r="H259" s="13" t="n"/>
      <c r="I259" s="15" t="n"/>
      <c r="J259" s="19" t="n">
        <v>1</v>
      </c>
      <c r="K259" s="2" t="inlineStr">
        <is>
          <t>marker_690_935145.png</t>
        </is>
      </c>
      <c r="L259" s="11">
        <f>HYPERLINK("1\1\" &amp; K259, "Ver Imagen")</f>
        <v/>
      </c>
      <c r="M259" t="inlineStr">
        <is>
          <t>Moda</t>
        </is>
      </c>
    </row>
    <row r="260">
      <c r="A260" t="n">
        <v>259</v>
      </c>
      <c r="B260" t="inlineStr">
        <is>
          <t>A-495R__75</t>
        </is>
      </c>
      <c r="C260" s="1" t="n">
        <v>37.4590435811</v>
      </c>
      <c r="D260" s="1" t="n">
        <v>-7.11481909506</v>
      </c>
      <c r="E260" s="3" t="n">
        <v>1</v>
      </c>
      <c r="F260" s="2" t="n">
        <v>1</v>
      </c>
      <c r="G260" s="4" t="n">
        <v>2</v>
      </c>
      <c r="H260" s="13" t="n"/>
      <c r="I260" s="15" t="n"/>
      <c r="J260" s="19" t="n">
        <v>1</v>
      </c>
      <c r="K260" s="2" t="inlineStr">
        <is>
          <t>marker_376_935159.png</t>
        </is>
      </c>
      <c r="L260" s="11">
        <f>HYPERLINK("1\1\" &amp; K260, "Ver Imagen")</f>
        <v/>
      </c>
      <c r="M260" t="inlineStr">
        <is>
          <t>Moda</t>
        </is>
      </c>
    </row>
    <row r="261">
      <c r="A261" t="n">
        <v>260</v>
      </c>
      <c r="B261" t="inlineStr">
        <is>
          <t>A-5052__116</t>
        </is>
      </c>
      <c r="C261" s="1" t="n">
        <v>37.2167797197</v>
      </c>
      <c r="D261" s="1" t="n">
        <v>-7.09692212907</v>
      </c>
      <c r="E261" s="3" t="n">
        <v>1</v>
      </c>
      <c r="F261" s="2" t="n">
        <v>1</v>
      </c>
      <c r="G261" s="4" t="n">
        <v>2</v>
      </c>
      <c r="H261" s="13" t="n"/>
      <c r="I261" s="15" t="n"/>
      <c r="J261" s="19" t="n">
        <v>1</v>
      </c>
      <c r="K261" s="2" t="inlineStr">
        <is>
          <t>marker_459_957895.png</t>
        </is>
      </c>
      <c r="L261" s="11">
        <f>HYPERLINK("1\1\" &amp; K261, "Ver Imagen")</f>
        <v/>
      </c>
      <c r="M261" t="inlineStr">
        <is>
          <t>Moda</t>
        </is>
      </c>
    </row>
    <row r="262">
      <c r="A262" t="n">
        <v>261</v>
      </c>
      <c r="B262" t="inlineStr">
        <is>
          <t>A-5052__241</t>
        </is>
      </c>
      <c r="C262" s="1" t="n">
        <v>37.2133168525</v>
      </c>
      <c r="D262" s="1" t="n">
        <v>-7.06583851517</v>
      </c>
      <c r="E262" s="3" t="n">
        <v>1</v>
      </c>
      <c r="F262" s="2" t="n">
        <v>1</v>
      </c>
      <c r="G262" s="4" t="n">
        <v>2</v>
      </c>
      <c r="H262" s="13" t="n"/>
      <c r="I262" s="15" t="n"/>
      <c r="J262" s="19" t="n">
        <v>1</v>
      </c>
      <c r="K262" s="2" t="inlineStr">
        <is>
          <t>marker_347_959965.png</t>
        </is>
      </c>
      <c r="L262" s="11">
        <f>HYPERLINK("1\1\" &amp; K262, "Ver Imagen")</f>
        <v/>
      </c>
      <c r="M262" t="inlineStr">
        <is>
          <t>Moda</t>
        </is>
      </c>
    </row>
    <row r="263">
      <c r="A263" t="n">
        <v>262</v>
      </c>
      <c r="B263" t="inlineStr">
        <is>
          <t>A-5052__324</t>
        </is>
      </c>
      <c r="C263" s="1" t="n">
        <v>37.2113819218</v>
      </c>
      <c r="D263" s="1" t="n">
        <v>-7.04575107624</v>
      </c>
      <c r="E263" s="3" t="n">
        <v>1</v>
      </c>
      <c r="F263" s="2" t="n">
        <v>1</v>
      </c>
      <c r="G263" s="4" t="n">
        <v>2</v>
      </c>
      <c r="H263" s="13" t="n"/>
      <c r="I263" s="15" t="n"/>
      <c r="J263" s="19" t="n">
        <v>1</v>
      </c>
      <c r="K263" s="2" t="inlineStr">
        <is>
          <t>marker_294_961314.png</t>
        </is>
      </c>
      <c r="L263" s="11">
        <f>HYPERLINK("1\1\" &amp; K263, "Ver Imagen")</f>
        <v/>
      </c>
      <c r="M263" t="inlineStr">
        <is>
          <t>Moda</t>
        </is>
      </c>
    </row>
    <row r="264">
      <c r="A264" t="n">
        <v>263</v>
      </c>
      <c r="B264" t="inlineStr">
        <is>
          <t>A-495_1__133</t>
        </is>
      </c>
      <c r="C264" s="1" t="n">
        <v>37.4735585683</v>
      </c>
      <c r="D264" s="1" t="n">
        <v>-7.12631792804</v>
      </c>
      <c r="E264" s="3" t="n">
        <v>2</v>
      </c>
      <c r="F264" s="2" t="n">
        <v>1</v>
      </c>
      <c r="G264" s="4" t="n">
        <v>1</v>
      </c>
      <c r="H264" s="13" t="n"/>
      <c r="I264" s="15" t="n"/>
      <c r="J264" s="19" t="n">
        <v>1</v>
      </c>
      <c r="K264" s="2" t="inlineStr">
        <is>
          <t>marker_791_384440.png</t>
        </is>
      </c>
      <c r="L264" s="11">
        <f>HYPERLINK("1\1\" &amp; K264, "Ver Imagen")</f>
        <v/>
      </c>
      <c r="M264" t="inlineStr">
        <is>
          <t>Moda</t>
        </is>
      </c>
    </row>
    <row r="265">
      <c r="A265" t="n">
        <v>264</v>
      </c>
      <c r="B265" t="inlineStr">
        <is>
          <t>A-490__68</t>
        </is>
      </c>
      <c r="C265" s="1" t="n">
        <v>37.448423712</v>
      </c>
      <c r="D265" s="1" t="n">
        <v>-7.14264618638</v>
      </c>
      <c r="E265" s="3" t="n">
        <v>2</v>
      </c>
      <c r="F265" s="2" t="n">
        <v>2</v>
      </c>
      <c r="G265" s="4" t="n">
        <v>2</v>
      </c>
      <c r="H265" s="13" t="n"/>
      <c r="I265" s="15" t="n"/>
      <c r="J265" s="19" t="n">
        <v>2</v>
      </c>
      <c r="K265" s="2" t="inlineStr">
        <is>
          <t>marker_512_738103.png</t>
        </is>
      </c>
      <c r="L265" s="11">
        <f>HYPERLINK("2\0\" &amp; K265, "Ver Imagen")</f>
        <v/>
      </c>
      <c r="M265" t="inlineStr">
        <is>
          <t>Moda</t>
        </is>
      </c>
    </row>
    <row r="266">
      <c r="A266" t="n">
        <v>265</v>
      </c>
      <c r="B266" t="inlineStr">
        <is>
          <t>A-490__269</t>
        </is>
      </c>
      <c r="C266" s="1" t="n">
        <v>37.4679609874</v>
      </c>
      <c r="D266" s="1" t="n">
        <v>-7.18589862007</v>
      </c>
      <c r="E266" s="3" t="n">
        <v>2</v>
      </c>
      <c r="F266" s="2" t="n">
        <v>2</v>
      </c>
      <c r="G266" s="4" t="n">
        <v>2</v>
      </c>
      <c r="H266" s="13" t="n"/>
      <c r="I266" s="15" t="n"/>
      <c r="J266" s="19" t="n">
        <v>2</v>
      </c>
      <c r="K266" s="2" t="inlineStr">
        <is>
          <t>marker_724_749880.png</t>
        </is>
      </c>
      <c r="L266" s="11">
        <f>HYPERLINK("2\0\" &amp; K266, "Ver Imagen")</f>
        <v/>
      </c>
      <c r="M266" t="inlineStr">
        <is>
          <t>Moda</t>
        </is>
      </c>
    </row>
    <row r="267">
      <c r="A267" t="n">
        <v>266</v>
      </c>
      <c r="B267" t="inlineStr">
        <is>
          <t>A-490__363</t>
        </is>
      </c>
      <c r="C267" s="1" t="n">
        <v>37.4781623426</v>
      </c>
      <c r="D267" s="1" t="n">
        <v>-7.20608171505</v>
      </c>
      <c r="E267" s="3" t="n">
        <v>2</v>
      </c>
      <c r="F267" s="2" t="n">
        <v>2</v>
      </c>
      <c r="G267" s="4" t="n">
        <v>2</v>
      </c>
      <c r="H267" s="13" t="n"/>
      <c r="I267" s="15" t="n"/>
      <c r="J267" s="19" t="n">
        <v>2</v>
      </c>
      <c r="K267" s="2" t="inlineStr">
        <is>
          <t>marker_518_751962.png</t>
        </is>
      </c>
      <c r="L267" s="11">
        <f>HYPERLINK("2\0\" &amp; K267, "Ver Imagen")</f>
        <v/>
      </c>
      <c r="M267" t="inlineStr">
        <is>
          <t>Moda</t>
        </is>
      </c>
    </row>
    <row r="268">
      <c r="A268" t="n">
        <v>267</v>
      </c>
      <c r="B268" t="inlineStr">
        <is>
          <t>A-490__418</t>
        </is>
      </c>
      <c r="C268" s="1" t="n">
        <v>37.4827287986</v>
      </c>
      <c r="D268" s="1" t="n">
        <v>-7.21878945837</v>
      </c>
      <c r="E268" s="3" t="n">
        <v>2</v>
      </c>
      <c r="F268" s="2" t="n">
        <v>2</v>
      </c>
      <c r="G268" s="4" t="n">
        <v>2</v>
      </c>
      <c r="H268" s="13" t="n"/>
      <c r="I268" s="15" t="n"/>
      <c r="J268" s="19" t="n">
        <v>2</v>
      </c>
      <c r="K268" s="2" t="inlineStr">
        <is>
          <t>marker_329_754266.png</t>
        </is>
      </c>
      <c r="L268" s="11">
        <f>HYPERLINK("2\0\" &amp; K268, "Ver Imagen")</f>
        <v/>
      </c>
      <c r="M268" t="inlineStr">
        <is>
          <t>Moda</t>
        </is>
      </c>
    </row>
    <row r="269">
      <c r="A269" t="n">
        <v>268</v>
      </c>
      <c r="B269" t="inlineStr">
        <is>
          <t>A-490__439</t>
        </is>
      </c>
      <c r="C269" s="1" t="n">
        <v>37.4837397814</v>
      </c>
      <c r="D269" s="1" t="n">
        <v>-7.22395911839</v>
      </c>
      <c r="E269" s="3" t="n">
        <v>2</v>
      </c>
      <c r="F269" s="2" t="n">
        <v>2</v>
      </c>
      <c r="G269" s="4" t="n">
        <v>2</v>
      </c>
      <c r="H269" s="13" t="n"/>
      <c r="I269" s="15" t="n"/>
      <c r="J269" s="19" t="n">
        <v>2</v>
      </c>
      <c r="K269" s="2" t="inlineStr">
        <is>
          <t>marker_633_754637.png</t>
        </is>
      </c>
      <c r="L269" s="11">
        <f>HYPERLINK("2\0\" &amp; K269, "Ver Imagen")</f>
        <v/>
      </c>
      <c r="M269" t="inlineStr">
        <is>
          <t>Moda</t>
        </is>
      </c>
    </row>
    <row r="270">
      <c r="A270" t="n">
        <v>269</v>
      </c>
      <c r="B270" t="inlineStr">
        <is>
          <t>A-490__446</t>
        </is>
      </c>
      <c r="C270" s="1" t="n">
        <v>37.4840611264</v>
      </c>
      <c r="D270" s="1" t="n">
        <v>-7.22562426692</v>
      </c>
      <c r="E270" s="3" t="n">
        <v>2</v>
      </c>
      <c r="F270" s="2" t="n">
        <v>2</v>
      </c>
      <c r="G270" s="4" t="n">
        <v>2</v>
      </c>
      <c r="H270" s="13" t="n"/>
      <c r="I270" s="15" t="n"/>
      <c r="J270" s="19" t="n">
        <v>2</v>
      </c>
      <c r="K270" s="2" t="inlineStr">
        <is>
          <t>marker_242_754904.png</t>
        </is>
      </c>
      <c r="L270" s="11">
        <f>HYPERLINK("2\0\" &amp; K270, "Ver Imagen")</f>
        <v/>
      </c>
      <c r="M270" t="inlineStr">
        <is>
          <t>Moda</t>
        </is>
      </c>
    </row>
    <row r="271">
      <c r="A271" t="n">
        <v>270</v>
      </c>
      <c r="B271" t="inlineStr">
        <is>
          <t>A-490__448</t>
        </is>
      </c>
      <c r="C271" s="1" t="n">
        <v>37.4841493276</v>
      </c>
      <c r="D271" s="1" t="n">
        <v>-7.22608015338</v>
      </c>
      <c r="E271" s="3" t="n">
        <v>2</v>
      </c>
      <c r="F271" s="2" t="n">
        <v>2</v>
      </c>
      <c r="G271" s="4" t="n">
        <v>2</v>
      </c>
      <c r="H271" s="13" t="n"/>
      <c r="I271" s="15" t="n"/>
      <c r="J271" s="19" t="n">
        <v>2</v>
      </c>
      <c r="K271" s="2" t="inlineStr">
        <is>
          <t>marker_282_754987.png</t>
        </is>
      </c>
      <c r="L271" s="11">
        <f>HYPERLINK("2\0\" &amp; K271, "Ver Imagen")</f>
        <v/>
      </c>
      <c r="M271" t="inlineStr">
        <is>
          <t>Moda</t>
        </is>
      </c>
    </row>
    <row r="272">
      <c r="A272" t="n">
        <v>271</v>
      </c>
      <c r="B272" t="inlineStr">
        <is>
          <t>A-490__449</t>
        </is>
      </c>
      <c r="C272" s="1" t="n">
        <v>37.4842006509</v>
      </c>
      <c r="D272" s="1" t="n">
        <v>-7.22635336184</v>
      </c>
      <c r="E272" s="3" t="n">
        <v>2</v>
      </c>
      <c r="F272" s="2" t="n">
        <v>2</v>
      </c>
      <c r="G272" s="4" t="n">
        <v>2</v>
      </c>
      <c r="H272" s="13" t="n"/>
      <c r="I272" s="15" t="n"/>
      <c r="J272" s="19" t="n">
        <v>2</v>
      </c>
      <c r="K272" s="2" t="inlineStr">
        <is>
          <t>marker_386_755003.png</t>
        </is>
      </c>
      <c r="L272" s="11">
        <f>HYPERLINK("2\0\" &amp; K272, "Ver Imagen")</f>
        <v/>
      </c>
      <c r="M272" t="inlineStr">
        <is>
          <t>Moda</t>
        </is>
      </c>
    </row>
    <row r="273">
      <c r="A273" t="n">
        <v>272</v>
      </c>
      <c r="B273" t="inlineStr">
        <is>
          <t>A-490__457</t>
        </is>
      </c>
      <c r="C273" s="1" t="n">
        <v>37.4846006899</v>
      </c>
      <c r="D273" s="1" t="n">
        <v>-7.22839225504</v>
      </c>
      <c r="E273" s="3" t="n">
        <v>2</v>
      </c>
      <c r="F273" s="2" t="n">
        <v>2</v>
      </c>
      <c r="G273" s="4" t="n">
        <v>2</v>
      </c>
      <c r="H273" s="13" t="n"/>
      <c r="I273" s="15" t="n"/>
      <c r="J273" s="19" t="n">
        <v>2</v>
      </c>
      <c r="K273" s="2" t="inlineStr">
        <is>
          <t>marker_349_755165.png</t>
        </is>
      </c>
      <c r="L273" s="11">
        <f>HYPERLINK("2\0\" &amp; K273, "Ver Imagen")</f>
        <v/>
      </c>
      <c r="M273" t="inlineStr">
        <is>
          <t>Moda</t>
        </is>
      </c>
    </row>
    <row r="274">
      <c r="A274" t="n">
        <v>273</v>
      </c>
      <c r="B274" t="inlineStr">
        <is>
          <t>A-490__459</t>
        </is>
      </c>
      <c r="C274" s="1" t="n">
        <v>37.484683681</v>
      </c>
      <c r="D274" s="1" t="n">
        <v>-7.22881641769</v>
      </c>
      <c r="E274" s="3" t="n">
        <v>2</v>
      </c>
      <c r="F274" s="2" t="n">
        <v>2</v>
      </c>
      <c r="G274" s="4" t="n">
        <v>2</v>
      </c>
      <c r="H274" s="13" t="n"/>
      <c r="I274" s="15" t="n"/>
      <c r="J274" s="19" t="n">
        <v>2</v>
      </c>
      <c r="K274" s="2" t="inlineStr">
        <is>
          <t>marker_154_755199.png</t>
        </is>
      </c>
      <c r="L274" s="11">
        <f>HYPERLINK("2\0\" &amp; K274, "Ver Imagen")</f>
        <v/>
      </c>
      <c r="M274" t="inlineStr">
        <is>
          <t>Moda</t>
        </is>
      </c>
    </row>
    <row r="275">
      <c r="A275" t="n">
        <v>274</v>
      </c>
      <c r="B275" t="inlineStr">
        <is>
          <t>A-490__461</t>
        </is>
      </c>
      <c r="C275" s="1" t="n">
        <v>37.4847802852</v>
      </c>
      <c r="D275" s="1" t="n">
        <v>-7.22931698332</v>
      </c>
      <c r="E275" s="3" t="n">
        <v>2</v>
      </c>
      <c r="F275" s="2" t="n">
        <v>2</v>
      </c>
      <c r="G275" s="4" t="n">
        <v>2</v>
      </c>
      <c r="H275" s="13" t="n"/>
      <c r="I275" s="15" t="n"/>
      <c r="J275" s="19" t="n">
        <v>2</v>
      </c>
      <c r="K275" s="2" t="inlineStr">
        <is>
          <t>marker_680_755233.png</t>
        </is>
      </c>
      <c r="L275" s="11">
        <f>HYPERLINK("2\0\" &amp; K275, "Ver Imagen")</f>
        <v/>
      </c>
      <c r="M275" t="inlineStr">
        <is>
          <t>Moda</t>
        </is>
      </c>
    </row>
    <row r="276">
      <c r="A276" t="n">
        <v>275</v>
      </c>
      <c r="B276" t="inlineStr">
        <is>
          <t>A-490__471</t>
        </is>
      </c>
      <c r="C276" s="1" t="n">
        <v>37.4852683887</v>
      </c>
      <c r="D276" s="1" t="n">
        <v>-7.23184713925</v>
      </c>
      <c r="E276" s="3" t="n">
        <v>2</v>
      </c>
      <c r="F276" s="2" t="n">
        <v>2</v>
      </c>
      <c r="G276" s="4" t="n">
        <v>2</v>
      </c>
      <c r="H276" s="13" t="n"/>
      <c r="I276" s="15" t="n"/>
      <c r="J276" s="19" t="n">
        <v>2</v>
      </c>
      <c r="K276" s="2" t="inlineStr">
        <is>
          <t>marker_143_755416.png</t>
        </is>
      </c>
      <c r="L276" s="11">
        <f>HYPERLINK("2\0\" &amp; K276, "Ver Imagen")</f>
        <v/>
      </c>
      <c r="M276" t="inlineStr">
        <is>
          <t>Moda</t>
        </is>
      </c>
    </row>
    <row r="277">
      <c r="A277" t="n">
        <v>276</v>
      </c>
      <c r="B277" t="inlineStr">
        <is>
          <t>A-490__482</t>
        </is>
      </c>
      <c r="C277" s="1" t="n">
        <v>37.4857774625</v>
      </c>
      <c r="D277" s="1" t="n">
        <v>-7.23453318716</v>
      </c>
      <c r="E277" s="3" t="n">
        <v>2</v>
      </c>
      <c r="F277" s="2" t="n">
        <v>2</v>
      </c>
      <c r="G277" s="4" t="n">
        <v>2</v>
      </c>
      <c r="H277" s="13" t="n"/>
      <c r="I277" s="15" t="n"/>
      <c r="J277" s="19" t="n">
        <v>2</v>
      </c>
      <c r="K277" s="2" t="inlineStr">
        <is>
          <t>marker_228_755620.png</t>
        </is>
      </c>
      <c r="L277" s="11">
        <f>HYPERLINK("2\0\" &amp; K277, "Ver Imagen")</f>
        <v/>
      </c>
      <c r="M277" t="inlineStr">
        <is>
          <t>Moda</t>
        </is>
      </c>
    </row>
    <row r="278">
      <c r="A278" t="n">
        <v>277</v>
      </c>
      <c r="B278" t="inlineStr">
        <is>
          <t>A-490__483</t>
        </is>
      </c>
      <c r="C278" s="1" t="n">
        <v>37.4858302279</v>
      </c>
      <c r="D278" s="1" t="n">
        <v>-7.23480409484</v>
      </c>
      <c r="E278" s="3" t="n">
        <v>2</v>
      </c>
      <c r="F278" s="2" t="n">
        <v>2</v>
      </c>
      <c r="G278" s="4" t="n">
        <v>2</v>
      </c>
      <c r="H278" s="13" t="n"/>
      <c r="I278" s="15" t="n"/>
      <c r="J278" s="19" t="n">
        <v>2</v>
      </c>
      <c r="K278" s="2" t="inlineStr">
        <is>
          <t>marker_472_755634.png</t>
        </is>
      </c>
      <c r="L278" s="11">
        <f>HYPERLINK("2\0\" &amp; K278, "Ver Imagen")</f>
        <v/>
      </c>
      <c r="M278" t="inlineStr">
        <is>
          <t>Moda</t>
        </is>
      </c>
    </row>
    <row r="279">
      <c r="A279" t="n">
        <v>278</v>
      </c>
      <c r="B279" t="inlineStr">
        <is>
          <t>A-490__485</t>
        </is>
      </c>
      <c r="C279" s="1" t="n">
        <v>37.4859207909</v>
      </c>
      <c r="D279" s="1" t="n">
        <v>-7.23526307682</v>
      </c>
      <c r="E279" s="3" t="n">
        <v>2</v>
      </c>
      <c r="F279" s="2" t="n">
        <v>2</v>
      </c>
      <c r="G279" s="4" t="n">
        <v>2</v>
      </c>
      <c r="H279" s="13" t="n"/>
      <c r="I279" s="15" t="n"/>
      <c r="J279" s="19" t="n">
        <v>2</v>
      </c>
      <c r="K279" s="2" t="inlineStr">
        <is>
          <t>marker_553_755672.png</t>
        </is>
      </c>
      <c r="L279" s="11">
        <f>HYPERLINK("2\0\" &amp; K279, "Ver Imagen")</f>
        <v/>
      </c>
      <c r="M279" t="inlineStr">
        <is>
          <t>Moda</t>
        </is>
      </c>
    </row>
    <row r="280">
      <c r="A280" t="n">
        <v>279</v>
      </c>
      <c r="B280" t="inlineStr">
        <is>
          <t>A-490__486</t>
        </is>
      </c>
      <c r="C280" s="1" t="n">
        <v>37.4859643936</v>
      </c>
      <c r="D280" s="1" t="n">
        <v>-7.23548255156</v>
      </c>
      <c r="E280" s="3" t="n">
        <v>2</v>
      </c>
      <c r="F280" s="2" t="n">
        <v>2</v>
      </c>
      <c r="G280" s="4" t="n">
        <v>2</v>
      </c>
      <c r="H280" s="13" t="n"/>
      <c r="I280" s="15" t="n"/>
      <c r="J280" s="19" t="n">
        <v>2</v>
      </c>
      <c r="K280" s="2" t="inlineStr">
        <is>
          <t>marker_161_755689.png</t>
        </is>
      </c>
      <c r="L280" s="11">
        <f>HYPERLINK("2\0\" &amp; K280, "Ver Imagen")</f>
        <v/>
      </c>
      <c r="M280" t="inlineStr">
        <is>
          <t>Moda</t>
        </is>
      </c>
    </row>
    <row r="281">
      <c r="A281" t="n">
        <v>280</v>
      </c>
      <c r="B281" t="inlineStr">
        <is>
          <t>A-490__499</t>
        </is>
      </c>
      <c r="C281" s="1" t="n">
        <v>37.4865876247</v>
      </c>
      <c r="D281" s="1" t="n">
        <v>-7.23872835192</v>
      </c>
      <c r="E281" s="3" t="n">
        <v>2</v>
      </c>
      <c r="F281" s="2" t="n">
        <v>2</v>
      </c>
      <c r="G281" s="4" t="n">
        <v>2</v>
      </c>
      <c r="H281" s="13" t="n"/>
      <c r="I281" s="15" t="n"/>
      <c r="J281" s="19" t="n">
        <v>2</v>
      </c>
      <c r="K281" s="2" t="inlineStr">
        <is>
          <t>marker_154_817552.png</t>
        </is>
      </c>
      <c r="L281" s="11">
        <f>HYPERLINK("2\0\" &amp; K281, "Ver Imagen")</f>
        <v/>
      </c>
      <c r="M281" t="inlineStr">
        <is>
          <t>Moda</t>
        </is>
      </c>
    </row>
    <row r="282">
      <c r="A282" t="n">
        <v>281</v>
      </c>
      <c r="B282" t="inlineStr">
        <is>
          <t>A-490__510</t>
        </is>
      </c>
      <c r="C282" s="1" t="n">
        <v>37.4870336287</v>
      </c>
      <c r="D282" s="1" t="n">
        <v>-7.24145796569</v>
      </c>
      <c r="E282" s="3" t="n">
        <v>2</v>
      </c>
      <c r="F282" s="2" t="n">
        <v>2</v>
      </c>
      <c r="G282" s="4" t="n">
        <v>2</v>
      </c>
      <c r="H282" s="13" t="n"/>
      <c r="I282" s="15" t="n"/>
      <c r="J282" s="19" t="n">
        <v>2</v>
      </c>
      <c r="K282" s="2" t="inlineStr">
        <is>
          <t>marker_168_817773.png</t>
        </is>
      </c>
      <c r="L282" s="11">
        <f>HYPERLINK("2\0\" &amp; K282, "Ver Imagen")</f>
        <v/>
      </c>
      <c r="M282" t="inlineStr">
        <is>
          <t>Moda</t>
        </is>
      </c>
    </row>
    <row r="283">
      <c r="A283" t="n">
        <v>282</v>
      </c>
      <c r="B283" t="inlineStr">
        <is>
          <t>A-490__513</t>
        </is>
      </c>
      <c r="C283" s="1" t="n">
        <v>37.4871008081</v>
      </c>
      <c r="D283" s="1" t="n">
        <v>-7.24219832721</v>
      </c>
      <c r="E283" s="3" t="n">
        <v>2</v>
      </c>
      <c r="F283" s="2" t="n">
        <v>2</v>
      </c>
      <c r="G283" s="4" t="n">
        <v>2</v>
      </c>
      <c r="H283" s="13" t="n"/>
      <c r="I283" s="15" t="n"/>
      <c r="J283" s="19" t="n">
        <v>2</v>
      </c>
      <c r="K283" s="2" t="inlineStr">
        <is>
          <t>marker_509_817870.png</t>
        </is>
      </c>
      <c r="L283" s="11">
        <f>HYPERLINK("2\0\" &amp; K283, "Ver Imagen")</f>
        <v/>
      </c>
      <c r="M283" t="inlineStr">
        <is>
          <t>Moda</t>
        </is>
      </c>
    </row>
    <row r="284">
      <c r="A284" t="n">
        <v>283</v>
      </c>
      <c r="B284" t="inlineStr">
        <is>
          <t>A-490__522</t>
        </is>
      </c>
      <c r="C284" s="1" t="n">
        <v>37.4875929047</v>
      </c>
      <c r="D284" s="1" t="n">
        <v>-7.24437575193</v>
      </c>
      <c r="E284" s="3" t="n">
        <v>2</v>
      </c>
      <c r="F284" s="2" t="n">
        <v>2</v>
      </c>
      <c r="G284" s="4" t="n">
        <v>2</v>
      </c>
      <c r="H284" s="13" t="n"/>
      <c r="I284" s="15" t="n"/>
      <c r="J284" s="19" t="n">
        <v>2</v>
      </c>
      <c r="K284" s="2" t="inlineStr">
        <is>
          <t>marker_864_818086.png</t>
        </is>
      </c>
      <c r="L284" s="11">
        <f>HYPERLINK("2\0\" &amp; K284, "Ver Imagen")</f>
        <v/>
      </c>
      <c r="M284" t="inlineStr">
        <is>
          <t>Moda</t>
        </is>
      </c>
    </row>
    <row r="285">
      <c r="A285" t="n">
        <v>284</v>
      </c>
      <c r="B285" t="inlineStr">
        <is>
          <t>A-490__541</t>
        </is>
      </c>
      <c r="C285" s="1" t="n">
        <v>37.4896609185</v>
      </c>
      <c r="D285" s="1" t="n">
        <v>-7.24839515687</v>
      </c>
      <c r="E285" s="3" t="n">
        <v>2</v>
      </c>
      <c r="F285" s="2" t="n">
        <v>2</v>
      </c>
      <c r="G285" s="4" t="n">
        <v>2</v>
      </c>
      <c r="H285" s="13" t="n"/>
      <c r="I285" s="15" t="n"/>
      <c r="J285" s="19" t="n">
        <v>2</v>
      </c>
      <c r="K285" s="2" t="inlineStr">
        <is>
          <t>marker_448_818359.png</t>
        </is>
      </c>
      <c r="L285" s="11">
        <f>HYPERLINK("2\0\" &amp; K285, "Ver Imagen")</f>
        <v/>
      </c>
      <c r="M285" t="inlineStr">
        <is>
          <t>Moda</t>
        </is>
      </c>
    </row>
    <row r="286">
      <c r="A286" t="n">
        <v>285</v>
      </c>
      <c r="B286" t="inlineStr">
        <is>
          <t>A-490__593</t>
        </is>
      </c>
      <c r="C286" s="1" t="n">
        <v>37.4910080403</v>
      </c>
      <c r="D286" s="1" t="n">
        <v>-7.26052994375</v>
      </c>
      <c r="E286" s="3" t="n">
        <v>2</v>
      </c>
      <c r="F286" s="2" t="n">
        <v>2</v>
      </c>
      <c r="G286" s="4" t="n">
        <v>2</v>
      </c>
      <c r="H286" s="13" t="n"/>
      <c r="I286" s="15" t="n"/>
      <c r="J286" s="19" t="n">
        <v>2</v>
      </c>
      <c r="K286" s="2" t="inlineStr">
        <is>
          <t>marker_790_819665.png</t>
        </is>
      </c>
      <c r="L286" s="11">
        <f>HYPERLINK("2\0\" &amp; K286, "Ver Imagen")</f>
        <v/>
      </c>
      <c r="M286" t="inlineStr">
        <is>
          <t>Moda</t>
        </is>
      </c>
    </row>
    <row r="287">
      <c r="A287" t="n">
        <v>286</v>
      </c>
      <c r="B287" t="inlineStr">
        <is>
          <t>A-492__48</t>
        </is>
      </c>
      <c r="C287" s="1" t="n">
        <v>37.2791732547</v>
      </c>
      <c r="D287" s="1" t="n">
        <v>-6.99510404562</v>
      </c>
      <c r="E287" s="3" t="n">
        <v>2</v>
      </c>
      <c r="F287" s="2" t="n">
        <v>2</v>
      </c>
      <c r="G287" s="4" t="n">
        <v>2</v>
      </c>
      <c r="H287" s="13" t="n"/>
      <c r="I287" s="15" t="n"/>
      <c r="J287" s="19" t="n">
        <v>2</v>
      </c>
      <c r="K287" s="2" t="inlineStr">
        <is>
          <t>marker_456_822972.png</t>
        </is>
      </c>
      <c r="L287" s="11">
        <f>HYPERLINK("2\0\" &amp; K287, "Ver Imagen")</f>
        <v/>
      </c>
      <c r="M287" t="inlineStr">
        <is>
          <t>Moda</t>
        </is>
      </c>
    </row>
    <row r="288">
      <c r="A288" t="n">
        <v>287</v>
      </c>
      <c r="B288" t="inlineStr">
        <is>
          <t>A-492__49</t>
        </is>
      </c>
      <c r="C288" s="1" t="n">
        <v>37.2792358625</v>
      </c>
      <c r="D288" s="1" t="n">
        <v>-6.99535624059</v>
      </c>
      <c r="E288" s="3" t="n">
        <v>2</v>
      </c>
      <c r="F288" s="2" t="n">
        <v>2</v>
      </c>
      <c r="G288" s="4" t="n">
        <v>2</v>
      </c>
      <c r="H288" s="13" t="n"/>
      <c r="I288" s="15" t="n"/>
      <c r="J288" s="19" t="n">
        <v>2</v>
      </c>
      <c r="K288" s="2" t="inlineStr">
        <is>
          <t>marker_570_822991.png</t>
        </is>
      </c>
      <c r="L288" s="11">
        <f>HYPERLINK("2\0\" &amp; K288, "Ver Imagen")</f>
        <v/>
      </c>
      <c r="M288" t="inlineStr">
        <is>
          <t>Moda</t>
        </is>
      </c>
    </row>
    <row r="289">
      <c r="A289" t="n">
        <v>288</v>
      </c>
      <c r="B289" t="inlineStr">
        <is>
          <t>A-492__81</t>
        </is>
      </c>
      <c r="C289" s="1" t="n">
        <v>37.2806625701</v>
      </c>
      <c r="D289" s="1" t="n">
        <v>-7.0027589523</v>
      </c>
      <c r="E289" s="3" t="n">
        <v>2</v>
      </c>
      <c r="F289" s="2" t="n">
        <v>2</v>
      </c>
      <c r="G289" s="4" t="n">
        <v>2</v>
      </c>
      <c r="H289" s="13" t="n"/>
      <c r="I289" s="15" t="n"/>
      <c r="J289" s="19" t="n">
        <v>2</v>
      </c>
      <c r="K289" s="2" t="inlineStr">
        <is>
          <t>marker_282_823501.png</t>
        </is>
      </c>
      <c r="L289" s="11">
        <f>HYPERLINK("2\0\" &amp; K289, "Ver Imagen")</f>
        <v/>
      </c>
      <c r="M289" t="inlineStr">
        <is>
          <t>Moda</t>
        </is>
      </c>
    </row>
    <row r="290">
      <c r="A290" t="n">
        <v>289</v>
      </c>
      <c r="B290" t="inlineStr">
        <is>
          <t>A-492__144</t>
        </is>
      </c>
      <c r="C290" s="1" t="n">
        <v>37.2753580363</v>
      </c>
      <c r="D290" s="1" t="n">
        <v>-7.01672993536</v>
      </c>
      <c r="E290" s="3" t="n">
        <v>2</v>
      </c>
      <c r="F290" s="2" t="n">
        <v>2</v>
      </c>
      <c r="G290" s="4" t="n">
        <v>2</v>
      </c>
      <c r="H290" s="13" t="n"/>
      <c r="I290" s="15" t="n"/>
      <c r="J290" s="19" t="n">
        <v>2</v>
      </c>
      <c r="K290" s="2" t="inlineStr">
        <is>
          <t>marker_917_824724.png</t>
        </is>
      </c>
      <c r="L290" s="11">
        <f>HYPERLINK("2\0\" &amp; K290, "Ver Imagen")</f>
        <v/>
      </c>
      <c r="M290" t="inlineStr">
        <is>
          <t>Moda</t>
        </is>
      </c>
    </row>
    <row r="291">
      <c r="A291" t="n">
        <v>290</v>
      </c>
      <c r="B291" t="inlineStr">
        <is>
          <t>A-492__204</t>
        </is>
      </c>
      <c r="C291" s="1" t="n">
        <v>37.27917279</v>
      </c>
      <c r="D291" s="1" t="n">
        <v>-7.03059207396</v>
      </c>
      <c r="E291" s="3" t="n">
        <v>2</v>
      </c>
      <c r="F291" s="2" t="n">
        <v>2</v>
      </c>
      <c r="G291" s="4" t="n">
        <v>2</v>
      </c>
      <c r="H291" s="13" t="n"/>
      <c r="I291" s="15" t="n"/>
      <c r="J291" s="19" t="n">
        <v>2</v>
      </c>
      <c r="K291" s="2" t="inlineStr">
        <is>
          <t>marker_137_831968.png</t>
        </is>
      </c>
      <c r="L291" s="11">
        <f>HYPERLINK("2\0\" &amp; K291, "Ver Imagen")</f>
        <v/>
      </c>
      <c r="M291" t="inlineStr">
        <is>
          <t>Moda</t>
        </is>
      </c>
    </row>
    <row r="292">
      <c r="A292" t="n">
        <v>291</v>
      </c>
      <c r="B292" t="inlineStr">
        <is>
          <t>A-492__207</t>
        </is>
      </c>
      <c r="C292" s="1" t="n">
        <v>37.2796356629</v>
      </c>
      <c r="D292" s="1" t="n">
        <v>-7.0310154924</v>
      </c>
      <c r="E292" s="3" t="n">
        <v>2</v>
      </c>
      <c r="F292" s="2" t="n">
        <v>2</v>
      </c>
      <c r="G292" s="4" t="n">
        <v>2</v>
      </c>
      <c r="H292" s="13" t="n"/>
      <c r="I292" s="15" t="n"/>
      <c r="J292" s="19" t="n">
        <v>2</v>
      </c>
      <c r="K292" s="2" t="inlineStr">
        <is>
          <t>marker_132_832006.png</t>
        </is>
      </c>
      <c r="L292" s="11">
        <f>HYPERLINK("2\0\" &amp; K292, "Ver Imagen")</f>
        <v/>
      </c>
      <c r="M292" t="inlineStr">
        <is>
          <t>Moda</t>
        </is>
      </c>
    </row>
    <row r="293">
      <c r="A293" t="n">
        <v>292</v>
      </c>
      <c r="B293" t="inlineStr">
        <is>
          <t>A-492__208</t>
        </is>
      </c>
      <c r="C293" s="1" t="n">
        <v>37.2798401967</v>
      </c>
      <c r="D293" s="1" t="n">
        <v>-7.03119666723</v>
      </c>
      <c r="E293" s="3" t="n">
        <v>2</v>
      </c>
      <c r="F293" s="2" t="n">
        <v>2</v>
      </c>
      <c r="G293" s="4" t="n">
        <v>2</v>
      </c>
      <c r="H293" s="13" t="n"/>
      <c r="I293" s="15" t="n"/>
      <c r="J293" s="19" t="n">
        <v>2</v>
      </c>
      <c r="K293" s="2" t="inlineStr">
        <is>
          <t>marker_822_832017.png</t>
        </is>
      </c>
      <c r="L293" s="11">
        <f>HYPERLINK("2\0\" &amp; K293, "Ver Imagen")</f>
        <v/>
      </c>
      <c r="M293" t="inlineStr">
        <is>
          <t>Moda</t>
        </is>
      </c>
    </row>
    <row r="294">
      <c r="A294" t="n">
        <v>293</v>
      </c>
      <c r="B294" t="inlineStr">
        <is>
          <t>A-492__226</t>
        </is>
      </c>
      <c r="C294" s="1" t="n">
        <v>37.2830703631</v>
      </c>
      <c r="D294" s="1" t="n">
        <v>-7.033156645</v>
      </c>
      <c r="E294" s="3" t="n">
        <v>2</v>
      </c>
      <c r="F294" s="2" t="n">
        <v>2</v>
      </c>
      <c r="G294" s="4" t="n">
        <v>2</v>
      </c>
      <c r="H294" s="13" t="n"/>
      <c r="I294" s="15" t="n"/>
      <c r="J294" s="19" t="n">
        <v>2</v>
      </c>
      <c r="K294" s="2" t="inlineStr">
        <is>
          <t>marker_268_835726.png</t>
        </is>
      </c>
      <c r="L294" s="11">
        <f>HYPERLINK("2\0\" &amp; K294, "Ver Imagen")</f>
        <v/>
      </c>
      <c r="M294" t="inlineStr">
        <is>
          <t>Moda</t>
        </is>
      </c>
    </row>
    <row r="295">
      <c r="A295" t="n">
        <v>294</v>
      </c>
      <c r="B295" t="inlineStr">
        <is>
          <t>A-492__256</t>
        </is>
      </c>
      <c r="C295" s="1" t="n">
        <v>37.2850090245</v>
      </c>
      <c r="D295" s="1" t="n">
        <v>-7.04018263233</v>
      </c>
      <c r="E295" s="3" t="n">
        <v>2</v>
      </c>
      <c r="F295" s="2" t="n">
        <v>2</v>
      </c>
      <c r="G295" s="4" t="n">
        <v>2</v>
      </c>
      <c r="H295" s="13" t="n"/>
      <c r="I295" s="15" t="n"/>
      <c r="J295" s="19" t="n">
        <v>2</v>
      </c>
      <c r="K295" s="2" t="inlineStr">
        <is>
          <t>marker_746_836185.png</t>
        </is>
      </c>
      <c r="L295" s="11">
        <f>HYPERLINK("2\0\" &amp; K295, "Ver Imagen")</f>
        <v/>
      </c>
      <c r="M295" t="inlineStr">
        <is>
          <t>Moda</t>
        </is>
      </c>
    </row>
    <row r="296">
      <c r="A296" t="n">
        <v>295</v>
      </c>
      <c r="B296" t="inlineStr">
        <is>
          <t>A-492__257</t>
        </is>
      </c>
      <c r="C296" s="1" t="n">
        <v>37.2851096447</v>
      </c>
      <c r="D296" s="1" t="n">
        <v>-7.04036555956</v>
      </c>
      <c r="E296" s="3" t="n">
        <v>2</v>
      </c>
      <c r="F296" s="2" t="n">
        <v>2</v>
      </c>
      <c r="G296" s="4" t="n">
        <v>2</v>
      </c>
      <c r="H296" s="13" t="n"/>
      <c r="I296" s="15" t="n"/>
      <c r="J296" s="19" t="n">
        <v>2</v>
      </c>
      <c r="K296" s="2" t="inlineStr">
        <is>
          <t>marker_536_836229.png</t>
        </is>
      </c>
      <c r="L296" s="11">
        <f>HYPERLINK("2\0\" &amp; K296, "Ver Imagen")</f>
        <v/>
      </c>
      <c r="M296" t="inlineStr">
        <is>
          <t>Moda</t>
        </is>
      </c>
    </row>
    <row r="297">
      <c r="A297" t="n">
        <v>296</v>
      </c>
      <c r="B297" t="inlineStr">
        <is>
          <t>A-492__309</t>
        </is>
      </c>
      <c r="C297" s="1" t="n">
        <v>37.2938491494</v>
      </c>
      <c r="D297" s="1" t="n">
        <v>-7.04707226432</v>
      </c>
      <c r="E297" s="3" t="n">
        <v>2</v>
      </c>
      <c r="F297" s="2" t="n">
        <v>2</v>
      </c>
      <c r="G297" s="4" t="n">
        <v>2</v>
      </c>
      <c r="H297" s="13" t="n"/>
      <c r="I297" s="15" t="n"/>
      <c r="J297" s="19" t="n">
        <v>2</v>
      </c>
      <c r="K297" s="2" t="inlineStr">
        <is>
          <t>marker_486_837660.png</t>
        </is>
      </c>
      <c r="L297" s="11">
        <f>HYPERLINK("2\0\" &amp; K297, "Ver Imagen")</f>
        <v/>
      </c>
      <c r="M297" t="inlineStr">
        <is>
          <t>Moda</t>
        </is>
      </c>
    </row>
    <row r="298">
      <c r="A298" t="n">
        <v>297</v>
      </c>
      <c r="B298" t="inlineStr">
        <is>
          <t>A-492__313</t>
        </is>
      </c>
      <c r="C298" s="1" t="n">
        <v>37.2943679532</v>
      </c>
      <c r="D298" s="1" t="n">
        <v>-7.04778574505</v>
      </c>
      <c r="E298" s="3" t="n">
        <v>2</v>
      </c>
      <c r="F298" s="2" t="n">
        <v>2</v>
      </c>
      <c r="G298" s="4" t="n">
        <v>2</v>
      </c>
      <c r="H298" s="13" t="n"/>
      <c r="I298" s="15" t="n"/>
      <c r="J298" s="19" t="n">
        <v>2</v>
      </c>
      <c r="K298" s="2" t="inlineStr">
        <is>
          <t>marker_575_837705.png</t>
        </is>
      </c>
      <c r="L298" s="11">
        <f>HYPERLINK("2\0\" &amp; K298, "Ver Imagen")</f>
        <v/>
      </c>
      <c r="M298" t="inlineStr">
        <is>
          <t>Moda</t>
        </is>
      </c>
    </row>
    <row r="299">
      <c r="A299" t="n">
        <v>298</v>
      </c>
      <c r="B299" t="inlineStr">
        <is>
          <t>A-492__314</t>
        </is>
      </c>
      <c r="C299" s="1" t="n">
        <v>37.2945018619</v>
      </c>
      <c r="D299" s="1" t="n">
        <v>-7.04796621242</v>
      </c>
      <c r="E299" s="3" t="n">
        <v>2</v>
      </c>
      <c r="F299" s="2" t="n">
        <v>2</v>
      </c>
      <c r="G299" s="4" t="n">
        <v>2</v>
      </c>
      <c r="H299" s="13" t="n"/>
      <c r="I299" s="15" t="n"/>
      <c r="J299" s="19" t="n">
        <v>2</v>
      </c>
      <c r="K299" s="2" t="inlineStr">
        <is>
          <t>marker_375_837717.png</t>
        </is>
      </c>
      <c r="L299" s="11">
        <f>HYPERLINK("2\0\" &amp; K299, "Ver Imagen")</f>
        <v/>
      </c>
      <c r="M299" t="inlineStr">
        <is>
          <t>Moda</t>
        </is>
      </c>
    </row>
    <row r="300">
      <c r="A300" t="n">
        <v>299</v>
      </c>
      <c r="B300" t="inlineStr">
        <is>
          <t>A-492__327</t>
        </is>
      </c>
      <c r="C300" s="1" t="n">
        <v>37.2964078702</v>
      </c>
      <c r="D300" s="1" t="n">
        <v>-7.05025742072</v>
      </c>
      <c r="E300" s="3" t="n">
        <v>2</v>
      </c>
      <c r="F300" s="2" t="n">
        <v>2</v>
      </c>
      <c r="G300" s="4" t="n">
        <v>2</v>
      </c>
      <c r="H300" s="13" t="n"/>
      <c r="I300" s="15" t="n"/>
      <c r="J300" s="19" t="n">
        <v>2</v>
      </c>
      <c r="K300" s="2" t="inlineStr">
        <is>
          <t>marker_432_838045.png</t>
        </is>
      </c>
      <c r="L300" s="11">
        <f>HYPERLINK("2\0\" &amp; K300, "Ver Imagen")</f>
        <v/>
      </c>
      <c r="M300" t="inlineStr">
        <is>
          <t>Moda</t>
        </is>
      </c>
    </row>
    <row r="301">
      <c r="A301" t="n">
        <v>300</v>
      </c>
      <c r="B301" t="inlineStr">
        <is>
          <t>A-492__331</t>
        </is>
      </c>
      <c r="C301" s="1" t="n">
        <v>37.2969201782</v>
      </c>
      <c r="D301" s="1" t="n">
        <v>-7.05111600859</v>
      </c>
      <c r="E301" s="3" t="n">
        <v>2</v>
      </c>
      <c r="F301" s="2" t="n">
        <v>2</v>
      </c>
      <c r="G301" s="4" t="n">
        <v>2</v>
      </c>
      <c r="H301" s="13" t="n"/>
      <c r="I301" s="15" t="n"/>
      <c r="J301" s="19" t="n">
        <v>2</v>
      </c>
      <c r="K301" s="2" t="inlineStr">
        <is>
          <t>marker_894_838096.png</t>
        </is>
      </c>
      <c r="L301" s="11">
        <f>HYPERLINK("2\0\" &amp; K301, "Ver Imagen")</f>
        <v/>
      </c>
      <c r="M301" t="inlineStr">
        <is>
          <t>Moda</t>
        </is>
      </c>
    </row>
    <row r="302">
      <c r="A302" t="n">
        <v>301</v>
      </c>
      <c r="B302" t="inlineStr">
        <is>
          <t>A-492__332</t>
        </is>
      </c>
      <c r="C302" s="1" t="n">
        <v>37.2970052408</v>
      </c>
      <c r="D302" s="1" t="n">
        <v>-7.0513168243</v>
      </c>
      <c r="E302" s="3" t="n">
        <v>2</v>
      </c>
      <c r="F302" s="2" t="n">
        <v>2</v>
      </c>
      <c r="G302" s="4" t="n">
        <v>2</v>
      </c>
      <c r="H302" s="13" t="n"/>
      <c r="I302" s="15" t="n"/>
      <c r="J302" s="19" t="n">
        <v>2</v>
      </c>
      <c r="K302" s="2" t="inlineStr">
        <is>
          <t>marker_356_838109.png</t>
        </is>
      </c>
      <c r="L302" s="11">
        <f>HYPERLINK("2\0\" &amp; K302, "Ver Imagen")</f>
        <v/>
      </c>
      <c r="M302" t="inlineStr">
        <is>
          <t>Moda</t>
        </is>
      </c>
    </row>
    <row r="303">
      <c r="A303" t="n">
        <v>302</v>
      </c>
      <c r="B303" t="inlineStr">
        <is>
          <t>A-492__345</t>
        </is>
      </c>
      <c r="C303" s="1" t="n">
        <v>37.2984185272</v>
      </c>
      <c r="D303" s="1" t="n">
        <v>-7.05392510126</v>
      </c>
      <c r="E303" s="3" t="n">
        <v>2</v>
      </c>
      <c r="F303" s="2" t="n">
        <v>2</v>
      </c>
      <c r="G303" s="4" t="n">
        <v>2</v>
      </c>
      <c r="H303" s="13" t="n"/>
      <c r="I303" s="15" t="n"/>
      <c r="J303" s="19" t="n">
        <v>2</v>
      </c>
      <c r="K303" s="2" t="inlineStr">
        <is>
          <t>marker_320_838297.png</t>
        </is>
      </c>
      <c r="L303" s="11">
        <f>HYPERLINK("2\0\" &amp; K303, "Ver Imagen")</f>
        <v/>
      </c>
      <c r="M303" t="inlineStr">
        <is>
          <t>Moda</t>
        </is>
      </c>
    </row>
    <row r="304">
      <c r="A304" t="n">
        <v>303</v>
      </c>
      <c r="B304" t="inlineStr">
        <is>
          <t>A-492__348</t>
        </is>
      </c>
      <c r="C304" s="1" t="n">
        <v>37.298973885</v>
      </c>
      <c r="D304" s="1" t="n">
        <v>-7.05427702237</v>
      </c>
      <c r="E304" s="3" t="n">
        <v>2</v>
      </c>
      <c r="F304" s="2" t="n">
        <v>2</v>
      </c>
      <c r="G304" s="4" t="n">
        <v>2</v>
      </c>
      <c r="H304" s="13" t="n"/>
      <c r="I304" s="15" t="n"/>
      <c r="J304" s="19" t="n">
        <v>2</v>
      </c>
      <c r="K304" s="2" t="inlineStr">
        <is>
          <t>marker_104_838337.png</t>
        </is>
      </c>
      <c r="L304" s="11">
        <f>HYPERLINK("2\0\" &amp; K304, "Ver Imagen")</f>
        <v/>
      </c>
      <c r="M304" t="inlineStr">
        <is>
          <t>Moda</t>
        </is>
      </c>
    </row>
    <row r="305">
      <c r="A305" t="n">
        <v>304</v>
      </c>
      <c r="B305" t="inlineStr">
        <is>
          <t>A-492__350</t>
        </is>
      </c>
      <c r="C305" s="1" t="n">
        <v>37.2993093758</v>
      </c>
      <c r="D305" s="1" t="n">
        <v>-7.05450514158</v>
      </c>
      <c r="E305" s="3" t="n">
        <v>2</v>
      </c>
      <c r="F305" s="2" t="n">
        <v>2</v>
      </c>
      <c r="G305" s="4" t="n">
        <v>2</v>
      </c>
      <c r="H305" s="13" t="n"/>
      <c r="I305" s="15" t="n"/>
      <c r="J305" s="19" t="n">
        <v>2</v>
      </c>
      <c r="K305" s="2" t="inlineStr">
        <is>
          <t>marker_321_838366.png</t>
        </is>
      </c>
      <c r="L305" s="11">
        <f>HYPERLINK("2\0\" &amp; K305, "Ver Imagen")</f>
        <v/>
      </c>
      <c r="M305" t="inlineStr">
        <is>
          <t>Moda</t>
        </is>
      </c>
    </row>
    <row r="306">
      <c r="A306" t="n">
        <v>305</v>
      </c>
      <c r="B306" t="inlineStr">
        <is>
          <t>A-492__352</t>
        </is>
      </c>
      <c r="C306" s="1" t="n">
        <v>37.2996360172</v>
      </c>
      <c r="D306" s="1" t="n">
        <v>-7.05480195805</v>
      </c>
      <c r="E306" s="3" t="n">
        <v>2</v>
      </c>
      <c r="F306" s="2" t="n">
        <v>2</v>
      </c>
      <c r="G306" s="4" t="n">
        <v>2</v>
      </c>
      <c r="H306" s="13" t="n"/>
      <c r="I306" s="15" t="n"/>
      <c r="J306" s="19" t="n">
        <v>2</v>
      </c>
      <c r="K306" s="2" t="inlineStr">
        <is>
          <t>marker_891_838385.png</t>
        </is>
      </c>
      <c r="L306" s="11">
        <f>HYPERLINK("2\0\" &amp; K306, "Ver Imagen")</f>
        <v/>
      </c>
      <c r="M306" t="inlineStr">
        <is>
          <t>Moda</t>
        </is>
      </c>
    </row>
    <row r="307">
      <c r="A307" t="n">
        <v>306</v>
      </c>
      <c r="B307" t="inlineStr">
        <is>
          <t>A-492__355</t>
        </is>
      </c>
      <c r="C307" s="1" t="n">
        <v>37.30009858</v>
      </c>
      <c r="D307" s="1" t="n">
        <v>-7.05535223307</v>
      </c>
      <c r="E307" s="3" t="n">
        <v>2</v>
      </c>
      <c r="F307" s="2" t="n">
        <v>2</v>
      </c>
      <c r="G307" s="4" t="n">
        <v>2</v>
      </c>
      <c r="H307" s="13" t="n"/>
      <c r="I307" s="15" t="n"/>
      <c r="J307" s="19" t="n">
        <v>2</v>
      </c>
      <c r="K307" s="2" t="inlineStr">
        <is>
          <t>marker_521_838576.png</t>
        </is>
      </c>
      <c r="L307" s="11">
        <f>HYPERLINK("2\0\" &amp; K307, "Ver Imagen")</f>
        <v/>
      </c>
      <c r="M307" t="inlineStr">
        <is>
          <t>Moda</t>
        </is>
      </c>
    </row>
    <row r="308">
      <c r="A308" t="n">
        <v>307</v>
      </c>
      <c r="B308" t="inlineStr">
        <is>
          <t>A-492__405</t>
        </is>
      </c>
      <c r="C308" s="1" t="n">
        <v>37.3097695649</v>
      </c>
      <c r="D308" s="1" t="n">
        <v>-7.05804899079</v>
      </c>
      <c r="E308" s="3" t="n">
        <v>2</v>
      </c>
      <c r="F308" s="2" t="n">
        <v>2</v>
      </c>
      <c r="G308" s="4" t="n">
        <v>2</v>
      </c>
      <c r="H308" s="13" t="n"/>
      <c r="I308" s="15" t="n"/>
      <c r="J308" s="19" t="n">
        <v>2</v>
      </c>
      <c r="K308" s="2" t="inlineStr">
        <is>
          <t>marker_334_839237.png</t>
        </is>
      </c>
      <c r="L308" s="11">
        <f>HYPERLINK("2\0\" &amp; K308, "Ver Imagen")</f>
        <v/>
      </c>
      <c r="M308" t="inlineStr">
        <is>
          <t>Moda</t>
        </is>
      </c>
    </row>
    <row r="309">
      <c r="A309" t="n">
        <v>308</v>
      </c>
      <c r="B309" t="inlineStr">
        <is>
          <t>A-492__418</t>
        </is>
      </c>
      <c r="C309" s="1" t="n">
        <v>37.3118790455</v>
      </c>
      <c r="D309" s="1" t="n">
        <v>-7.06001541352</v>
      </c>
      <c r="E309" s="3" t="n">
        <v>2</v>
      </c>
      <c r="F309" s="2" t="n">
        <v>2</v>
      </c>
      <c r="G309" s="4" t="n">
        <v>2</v>
      </c>
      <c r="H309" s="13" t="n"/>
      <c r="I309" s="15" t="n"/>
      <c r="J309" s="19" t="n">
        <v>2</v>
      </c>
      <c r="K309" s="2" t="inlineStr">
        <is>
          <t>marker_782_839377.png</t>
        </is>
      </c>
      <c r="L309" s="11">
        <f>HYPERLINK("2\0\" &amp; K309, "Ver Imagen")</f>
        <v/>
      </c>
      <c r="M309" t="inlineStr">
        <is>
          <t>Moda</t>
        </is>
      </c>
    </row>
    <row r="310">
      <c r="A310" t="n">
        <v>309</v>
      </c>
      <c r="B310" t="inlineStr">
        <is>
          <t>A-492__434</t>
        </is>
      </c>
      <c r="C310" s="1" t="n">
        <v>37.3138468155</v>
      </c>
      <c r="D310" s="1" t="n">
        <v>-7.06330573705</v>
      </c>
      <c r="E310" s="3" t="n">
        <v>2</v>
      </c>
      <c r="F310" s="2" t="n">
        <v>2</v>
      </c>
      <c r="G310" s="4" t="n">
        <v>2</v>
      </c>
      <c r="H310" s="13" t="n"/>
      <c r="I310" s="15" t="n"/>
      <c r="J310" s="19" t="n">
        <v>2</v>
      </c>
      <c r="K310" s="2" t="inlineStr">
        <is>
          <t>marker_563_839575.png</t>
        </is>
      </c>
      <c r="L310" s="11">
        <f>HYPERLINK("2\0\" &amp; K310, "Ver Imagen")</f>
        <v/>
      </c>
      <c r="M310" t="inlineStr">
        <is>
          <t>Moda</t>
        </is>
      </c>
    </row>
    <row r="311">
      <c r="A311" t="n">
        <v>310</v>
      </c>
      <c r="B311" t="inlineStr">
        <is>
          <t>A-492__438</t>
        </is>
      </c>
      <c r="C311" s="1" t="n">
        <v>37.3142771088</v>
      </c>
      <c r="D311" s="1" t="n">
        <v>-7.06411449224</v>
      </c>
      <c r="E311" s="3" t="n">
        <v>2</v>
      </c>
      <c r="F311" s="2" t="n">
        <v>2</v>
      </c>
      <c r="G311" s="4" t="n">
        <v>2</v>
      </c>
      <c r="H311" s="13" t="n"/>
      <c r="I311" s="15" t="n"/>
      <c r="J311" s="19" t="n">
        <v>2</v>
      </c>
      <c r="K311" s="2" t="inlineStr">
        <is>
          <t>marker_653_839629.png</t>
        </is>
      </c>
      <c r="L311" s="11">
        <f>HYPERLINK("2\0\" &amp; K311, "Ver Imagen")</f>
        <v/>
      </c>
      <c r="M311" t="inlineStr">
        <is>
          <t>Moda</t>
        </is>
      </c>
    </row>
    <row r="312">
      <c r="A312" t="n">
        <v>311</v>
      </c>
      <c r="B312" t="inlineStr">
        <is>
          <t>A-492__451</t>
        </is>
      </c>
      <c r="C312" s="1" t="n">
        <v>37.3154254025</v>
      </c>
      <c r="D312" s="1" t="n">
        <v>-7.06703982642</v>
      </c>
      <c r="E312" s="3" t="n">
        <v>2</v>
      </c>
      <c r="F312" s="2" t="n">
        <v>2</v>
      </c>
      <c r="G312" s="4" t="n">
        <v>2</v>
      </c>
      <c r="H312" s="13" t="n"/>
      <c r="I312" s="15" t="n"/>
      <c r="J312" s="19" t="n">
        <v>2</v>
      </c>
      <c r="K312" s="2" t="inlineStr">
        <is>
          <t>marker_380_839829.png</t>
        </is>
      </c>
      <c r="L312" s="11">
        <f>HYPERLINK("2\0\" &amp; K312, "Ver Imagen")</f>
        <v/>
      </c>
      <c r="M312" t="inlineStr">
        <is>
          <t>Moda</t>
        </is>
      </c>
    </row>
    <row r="313">
      <c r="A313" t="n">
        <v>312</v>
      </c>
      <c r="B313" t="inlineStr">
        <is>
          <t>A-492__455</t>
        </is>
      </c>
      <c r="C313" s="1" t="n">
        <v>37.315654531</v>
      </c>
      <c r="D313" s="1" t="n">
        <v>-7.06803394631</v>
      </c>
      <c r="E313" s="3" t="n">
        <v>2</v>
      </c>
      <c r="F313" s="2" t="n">
        <v>2</v>
      </c>
      <c r="G313" s="4" t="n">
        <v>2</v>
      </c>
      <c r="H313" s="13" t="n"/>
      <c r="I313" s="15" t="n"/>
      <c r="J313" s="19" t="n">
        <v>2</v>
      </c>
      <c r="K313" s="2" t="inlineStr">
        <is>
          <t>marker_425_839868.png</t>
        </is>
      </c>
      <c r="L313" s="11">
        <f>HYPERLINK("2\0\" &amp; K313, "Ver Imagen")</f>
        <v/>
      </c>
      <c r="M313" t="inlineStr">
        <is>
          <t>Moda</t>
        </is>
      </c>
    </row>
    <row r="314">
      <c r="A314" t="n">
        <v>313</v>
      </c>
      <c r="B314" t="inlineStr">
        <is>
          <t>A-492__476</t>
        </is>
      </c>
      <c r="C314" s="1" t="n">
        <v>37.3185657897</v>
      </c>
      <c r="D314" s="1" t="n">
        <v>-7.07135394474</v>
      </c>
      <c r="E314" s="3" t="n">
        <v>2</v>
      </c>
      <c r="F314" s="2" t="n">
        <v>2</v>
      </c>
      <c r="G314" s="4" t="n">
        <v>2</v>
      </c>
      <c r="H314" s="13" t="n"/>
      <c r="I314" s="15" t="n"/>
      <c r="J314" s="19" t="n">
        <v>2</v>
      </c>
      <c r="K314" s="2" t="inlineStr">
        <is>
          <t>marker_147_840112.png</t>
        </is>
      </c>
      <c r="L314" s="11">
        <f>HYPERLINK("2\0\" &amp; K314, "Ver Imagen")</f>
        <v/>
      </c>
      <c r="M314" t="inlineStr">
        <is>
          <t>Moda</t>
        </is>
      </c>
    </row>
    <row r="315">
      <c r="A315" t="n">
        <v>314</v>
      </c>
      <c r="B315" t="inlineStr">
        <is>
          <t>A-497__23</t>
        </is>
      </c>
      <c r="C315" s="1" t="n">
        <v>37.2674654213</v>
      </c>
      <c r="D315" s="1" t="n">
        <v>-6.96150475179</v>
      </c>
      <c r="E315" s="3" t="n">
        <v>2</v>
      </c>
      <c r="F315" s="2" t="n">
        <v>2</v>
      </c>
      <c r="G315" s="4" t="n">
        <v>2</v>
      </c>
      <c r="H315" s="13" t="n"/>
      <c r="I315" s="15" t="n"/>
      <c r="J315" s="19" t="n">
        <v>2</v>
      </c>
      <c r="K315" s="2" t="inlineStr">
        <is>
          <t>marker_931_943740.png</t>
        </is>
      </c>
      <c r="L315" s="11">
        <f>HYPERLINK("2\0\" &amp; K315, "Ver Imagen")</f>
        <v/>
      </c>
      <c r="M315" t="inlineStr">
        <is>
          <t>Moda</t>
        </is>
      </c>
    </row>
    <row r="316">
      <c r="A316" t="n">
        <v>315</v>
      </c>
      <c r="B316" t="inlineStr">
        <is>
          <t>A-497__20</t>
        </is>
      </c>
      <c r="C316" s="1" t="n">
        <v>37.2674099937</v>
      </c>
      <c r="D316" s="1" t="n">
        <v>-6.96075382507</v>
      </c>
      <c r="E316" s="3" t="n">
        <v>2</v>
      </c>
      <c r="F316" s="2" t="n">
        <v>2</v>
      </c>
      <c r="G316" s="4" t="n">
        <v>2</v>
      </c>
      <c r="H316" s="13" t="n"/>
      <c r="I316" s="15" t="n"/>
      <c r="J316" s="19" t="n">
        <v>2</v>
      </c>
      <c r="K316" s="2" t="inlineStr">
        <is>
          <t>marker_529_943777.png</t>
        </is>
      </c>
      <c r="L316" s="11">
        <f>HYPERLINK("2\0\" &amp; K316, "Ver Imagen")</f>
        <v/>
      </c>
      <c r="M316" t="inlineStr">
        <is>
          <t>Moda</t>
        </is>
      </c>
    </row>
    <row r="317">
      <c r="A317" t="n">
        <v>316</v>
      </c>
      <c r="B317" t="inlineStr">
        <is>
          <t>A-497__18</t>
        </is>
      </c>
      <c r="C317" s="1" t="n">
        <v>37.2673318683</v>
      </c>
      <c r="D317" s="1" t="n">
        <v>-6.96026609421</v>
      </c>
      <c r="E317" s="3" t="n">
        <v>2</v>
      </c>
      <c r="F317" s="2" t="n">
        <v>2</v>
      </c>
      <c r="G317" s="4" t="n">
        <v>2</v>
      </c>
      <c r="H317" s="13" t="n"/>
      <c r="I317" s="15" t="n"/>
      <c r="J317" s="19" t="n">
        <v>2</v>
      </c>
      <c r="K317" s="2" t="inlineStr">
        <is>
          <t>marker_198_943797.png</t>
        </is>
      </c>
      <c r="L317" s="11">
        <f>HYPERLINK("2\0\" &amp; K317, "Ver Imagen")</f>
        <v/>
      </c>
      <c r="M317" t="inlineStr">
        <is>
          <t>Moda</t>
        </is>
      </c>
    </row>
    <row r="318">
      <c r="A318" t="n">
        <v>317</v>
      </c>
      <c r="B318" t="inlineStr">
        <is>
          <t>A-5050__147</t>
        </is>
      </c>
      <c r="C318" s="1" t="n">
        <v>37.1933785279</v>
      </c>
      <c r="D318" s="1" t="n">
        <v>-6.99623215348</v>
      </c>
      <c r="E318" s="3" t="n">
        <v>2</v>
      </c>
      <c r="F318" s="2" t="n">
        <v>2</v>
      </c>
      <c r="G318" s="4" t="n">
        <v>2</v>
      </c>
      <c r="H318" s="13" t="n"/>
      <c r="I318" s="15" t="n"/>
      <c r="J318" s="19" t="n">
        <v>2</v>
      </c>
      <c r="K318" s="2" t="inlineStr">
        <is>
          <t>marker_369_945433.png</t>
        </is>
      </c>
      <c r="L318" s="11">
        <f>HYPERLINK("2\0\" &amp; K318, "Ver Imagen")</f>
        <v/>
      </c>
      <c r="M318" t="inlineStr">
        <is>
          <t>Moda</t>
        </is>
      </c>
    </row>
    <row r="319">
      <c r="A319" t="n">
        <v>318</v>
      </c>
      <c r="B319" t="inlineStr">
        <is>
          <t>A-5050__145</t>
        </is>
      </c>
      <c r="C319" s="1" t="n">
        <v>37.1935640796</v>
      </c>
      <c r="D319" s="1" t="n">
        <v>-6.99665717127</v>
      </c>
      <c r="E319" s="3" t="n">
        <v>2</v>
      </c>
      <c r="F319" s="2" t="n">
        <v>2</v>
      </c>
      <c r="G319" s="4" t="n">
        <v>2</v>
      </c>
      <c r="H319" s="13" t="n"/>
      <c r="I319" s="15" t="n"/>
      <c r="J319" s="19" t="n">
        <v>2</v>
      </c>
      <c r="K319" s="2" t="inlineStr">
        <is>
          <t>marker_340_945513.png</t>
        </is>
      </c>
      <c r="L319" s="11">
        <f>HYPERLINK("2\0\" &amp; K319, "Ver Imagen")</f>
        <v/>
      </c>
      <c r="M319" t="inlineStr">
        <is>
          <t>Moda</t>
        </is>
      </c>
    </row>
    <row r="320">
      <c r="A320" t="n">
        <v>319</v>
      </c>
      <c r="B320" t="inlineStr">
        <is>
          <t>A-5050__140</t>
        </is>
      </c>
      <c r="C320" s="1" t="n">
        <v>37.194048099</v>
      </c>
      <c r="D320" s="1" t="n">
        <v>-6.99782554332</v>
      </c>
      <c r="E320" s="3" t="n">
        <v>2</v>
      </c>
      <c r="F320" s="2" t="n">
        <v>2</v>
      </c>
      <c r="G320" s="4" t="n">
        <v>2</v>
      </c>
      <c r="H320" s="13" t="n"/>
      <c r="I320" s="15" t="n"/>
      <c r="J320" s="19" t="n">
        <v>2</v>
      </c>
      <c r="K320" s="2" t="inlineStr">
        <is>
          <t>marker_381_945839.png</t>
        </is>
      </c>
      <c r="L320" s="11">
        <f>HYPERLINK("2\0\" &amp; K320, "Ver Imagen")</f>
        <v/>
      </c>
      <c r="M320" t="inlineStr">
        <is>
          <t>Moda</t>
        </is>
      </c>
    </row>
    <row r="321">
      <c r="A321" t="n">
        <v>320</v>
      </c>
      <c r="B321" t="inlineStr">
        <is>
          <t>A-5050__139</t>
        </is>
      </c>
      <c r="C321" s="1" t="n">
        <v>37.1941437971</v>
      </c>
      <c r="D321" s="1" t="n">
        <v>-6.99805769661</v>
      </c>
      <c r="E321" s="3" t="n">
        <v>2</v>
      </c>
      <c r="F321" s="2" t="n">
        <v>2</v>
      </c>
      <c r="G321" s="4" t="n">
        <v>2</v>
      </c>
      <c r="H321" s="13" t="n"/>
      <c r="I321" s="15" t="n"/>
      <c r="J321" s="19" t="n">
        <v>2</v>
      </c>
      <c r="K321" s="2" t="inlineStr">
        <is>
          <t>marker_602_945848.png</t>
        </is>
      </c>
      <c r="L321" s="11">
        <f>HYPERLINK("2\0\" &amp; K321, "Ver Imagen")</f>
        <v/>
      </c>
      <c r="M321" t="inlineStr">
        <is>
          <t>Moda</t>
        </is>
      </c>
    </row>
    <row r="322">
      <c r="A322" t="n">
        <v>321</v>
      </c>
      <c r="B322" t="inlineStr">
        <is>
          <t>A-5050__137</t>
        </is>
      </c>
      <c r="C322" s="1" t="n">
        <v>37.1943309</v>
      </c>
      <c r="D322" s="1" t="n">
        <v>-6.99850778507</v>
      </c>
      <c r="E322" s="3" t="n">
        <v>2</v>
      </c>
      <c r="F322" s="2" t="n">
        <v>2</v>
      </c>
      <c r="G322" s="4" t="n">
        <v>2</v>
      </c>
      <c r="H322" s="13" t="n"/>
      <c r="I322" s="15" t="n"/>
      <c r="J322" s="19" t="n">
        <v>2</v>
      </c>
      <c r="K322" s="2" t="inlineStr">
        <is>
          <t>marker_437_945873.png</t>
        </is>
      </c>
      <c r="L322" s="11">
        <f>HYPERLINK("2\0\" &amp; K322, "Ver Imagen")</f>
        <v/>
      </c>
      <c r="M322" t="inlineStr">
        <is>
          <t>Moda</t>
        </is>
      </c>
    </row>
    <row r="323">
      <c r="A323" t="n">
        <v>322</v>
      </c>
      <c r="B323" t="inlineStr">
        <is>
          <t>A-5050__136</t>
        </is>
      </c>
      <c r="C323" s="1" t="n">
        <v>37.1944251923</v>
      </c>
      <c r="D323" s="1" t="n">
        <v>-6.99873586921</v>
      </c>
      <c r="E323" s="3" t="n">
        <v>2</v>
      </c>
      <c r="F323" s="2" t="n">
        <v>2</v>
      </c>
      <c r="G323" s="4" t="n">
        <v>2</v>
      </c>
      <c r="H323" s="13" t="n"/>
      <c r="I323" s="15" t="n"/>
      <c r="J323" s="19" t="n">
        <v>2</v>
      </c>
      <c r="K323" s="2" t="inlineStr">
        <is>
          <t>marker_136_945885.png</t>
        </is>
      </c>
      <c r="L323" s="11">
        <f>HYPERLINK("2\0\" &amp; K323, "Ver Imagen")</f>
        <v/>
      </c>
      <c r="M323" t="inlineStr">
        <is>
          <t>Moda</t>
        </is>
      </c>
    </row>
    <row r="324">
      <c r="A324" t="n">
        <v>323</v>
      </c>
      <c r="B324" t="inlineStr">
        <is>
          <t>A-5050__134</t>
        </is>
      </c>
      <c r="C324" s="1" t="n">
        <v>37.1946073008</v>
      </c>
      <c r="D324" s="1" t="n">
        <v>-6.99917660888</v>
      </c>
      <c r="E324" s="3" t="n">
        <v>2</v>
      </c>
      <c r="F324" s="2" t="n">
        <v>2</v>
      </c>
      <c r="G324" s="4" t="n">
        <v>2</v>
      </c>
      <c r="H324" s="13" t="n"/>
      <c r="I324" s="15" t="n"/>
      <c r="J324" s="19" t="n">
        <v>2</v>
      </c>
      <c r="K324" s="2" t="inlineStr">
        <is>
          <t>marker_493_945905.png</t>
        </is>
      </c>
      <c r="L324" s="11">
        <f>HYPERLINK("2\0\" &amp; K324, "Ver Imagen")</f>
        <v/>
      </c>
      <c r="M324" t="inlineStr">
        <is>
          <t>Moda</t>
        </is>
      </c>
    </row>
    <row r="325">
      <c r="A325" t="n">
        <v>324</v>
      </c>
      <c r="B325" t="inlineStr">
        <is>
          <t>A-5050__129</t>
        </is>
      </c>
      <c r="C325" s="1" t="n">
        <v>37.1950634812</v>
      </c>
      <c r="D325" s="1" t="n">
        <v>-7.00030277652</v>
      </c>
      <c r="E325" s="3" t="n">
        <v>2</v>
      </c>
      <c r="F325" s="2" t="n">
        <v>2</v>
      </c>
      <c r="G325" s="4" t="n">
        <v>2</v>
      </c>
      <c r="H325" s="13" t="n"/>
      <c r="I325" s="15" t="n"/>
      <c r="J325" s="19" t="n">
        <v>2</v>
      </c>
      <c r="K325" s="2" t="inlineStr">
        <is>
          <t>marker_522_945957.png</t>
        </is>
      </c>
      <c r="L325" s="11">
        <f>HYPERLINK("2\0\" &amp; K325, "Ver Imagen")</f>
        <v/>
      </c>
      <c r="M325" t="inlineStr">
        <is>
          <t>Moda</t>
        </is>
      </c>
    </row>
    <row r="326">
      <c r="A326" t="n">
        <v>325</v>
      </c>
      <c r="B326" t="inlineStr">
        <is>
          <t>A-5050__125</t>
        </is>
      </c>
      <c r="C326" s="1" t="n">
        <v>37.1954363856</v>
      </c>
      <c r="D326" s="1" t="n">
        <v>-7.00120715736</v>
      </c>
      <c r="E326" s="3" t="n">
        <v>2</v>
      </c>
      <c r="F326" s="2" t="n">
        <v>2</v>
      </c>
      <c r="G326" s="4" t="n">
        <v>2</v>
      </c>
      <c r="H326" s="13" t="n"/>
      <c r="I326" s="15" t="n"/>
      <c r="J326" s="19" t="n">
        <v>2</v>
      </c>
      <c r="K326" s="2" t="inlineStr">
        <is>
          <t>marker_976_946364.png</t>
        </is>
      </c>
      <c r="L326" s="11">
        <f>HYPERLINK("2\0\" &amp; K326, "Ver Imagen")</f>
        <v/>
      </c>
      <c r="M326" t="inlineStr">
        <is>
          <t>Moda</t>
        </is>
      </c>
    </row>
    <row r="327">
      <c r="A327" t="n">
        <v>326</v>
      </c>
      <c r="B327" t="inlineStr">
        <is>
          <t>A-5050__65</t>
        </is>
      </c>
      <c r="C327" s="1" t="n">
        <v>37.202033041</v>
      </c>
      <c r="D327" s="1" t="n">
        <v>-7.0138701088</v>
      </c>
      <c r="E327" s="3" t="n">
        <v>2</v>
      </c>
      <c r="F327" s="2" t="n">
        <v>2</v>
      </c>
      <c r="G327" s="4" t="n">
        <v>2</v>
      </c>
      <c r="H327" s="13" t="n"/>
      <c r="I327" s="15" t="n"/>
      <c r="J327" s="19" t="n">
        <v>2</v>
      </c>
      <c r="K327" s="2" t="inlineStr">
        <is>
          <t>marker_656_948975.png</t>
        </is>
      </c>
      <c r="L327" s="11">
        <f>HYPERLINK("2\0\" &amp; K327, "Ver Imagen")</f>
        <v/>
      </c>
      <c r="M327" t="inlineStr">
        <is>
          <t>Moda</t>
        </is>
      </c>
    </row>
    <row r="328">
      <c r="A328" t="n">
        <v>327</v>
      </c>
      <c r="B328" t="inlineStr">
        <is>
          <t>A-5050__48</t>
        </is>
      </c>
      <c r="C328" s="1" t="n">
        <v>37.2042073625</v>
      </c>
      <c r="D328" s="1" t="n">
        <v>-7.01721276543</v>
      </c>
      <c r="E328" s="3" t="n">
        <v>2</v>
      </c>
      <c r="F328" s="2" t="n">
        <v>2</v>
      </c>
      <c r="G328" s="4" t="n">
        <v>2</v>
      </c>
      <c r="H328" s="13" t="n"/>
      <c r="I328" s="15" t="n"/>
      <c r="J328" s="19" t="n">
        <v>2</v>
      </c>
      <c r="K328" s="2" t="inlineStr">
        <is>
          <t>marker_528_949172.png</t>
        </is>
      </c>
      <c r="L328" s="11">
        <f>HYPERLINK("2\0\" &amp; K328, "Ver Imagen")</f>
        <v/>
      </c>
      <c r="M328" t="inlineStr">
        <is>
          <t>Moda</t>
        </is>
      </c>
    </row>
    <row r="329">
      <c r="A329" t="n">
        <v>328</v>
      </c>
      <c r="B329" t="inlineStr">
        <is>
          <t>A-5050__19</t>
        </is>
      </c>
      <c r="C329" s="1" t="n">
        <v>37.2080157454</v>
      </c>
      <c r="D329" s="1" t="n">
        <v>-7.02275194111</v>
      </c>
      <c r="E329" s="3" t="n">
        <v>2</v>
      </c>
      <c r="F329" s="2" t="n">
        <v>2</v>
      </c>
      <c r="G329" s="4" t="n">
        <v>2</v>
      </c>
      <c r="H329" s="13" t="n"/>
      <c r="I329" s="15" t="n"/>
      <c r="J329" s="19" t="n">
        <v>2</v>
      </c>
      <c r="K329" s="2" t="inlineStr">
        <is>
          <t>marker_778_949468.png</t>
        </is>
      </c>
      <c r="L329" s="11">
        <f>HYPERLINK("2\0\" &amp; K329, "Ver Imagen")</f>
        <v/>
      </c>
      <c r="M329" t="inlineStr">
        <is>
          <t>Moda</t>
        </is>
      </c>
    </row>
    <row r="330">
      <c r="A330" t="n">
        <v>329</v>
      </c>
      <c r="B330" t="inlineStr">
        <is>
          <t>A-5050__18</t>
        </is>
      </c>
      <c r="C330" s="1" t="n">
        <v>37.2081176211</v>
      </c>
      <c r="D330" s="1" t="n">
        <v>-7.02296429249</v>
      </c>
      <c r="E330" s="3" t="n">
        <v>2</v>
      </c>
      <c r="F330" s="2" t="n">
        <v>2</v>
      </c>
      <c r="G330" s="4" t="n">
        <v>2</v>
      </c>
      <c r="H330" s="13" t="n"/>
      <c r="I330" s="15" t="n"/>
      <c r="J330" s="19" t="n">
        <v>2</v>
      </c>
      <c r="K330" s="2" t="inlineStr">
        <is>
          <t>marker_397_949514.png</t>
        </is>
      </c>
      <c r="L330" s="11">
        <f>HYPERLINK("2\0\" &amp; K330, "Ver Imagen")</f>
        <v/>
      </c>
      <c r="M330" t="inlineStr">
        <is>
          <t>Moda</t>
        </is>
      </c>
    </row>
    <row r="331">
      <c r="A331" t="n">
        <v>330</v>
      </c>
      <c r="B331" t="inlineStr">
        <is>
          <t>A-5052__15</t>
        </is>
      </c>
      <c r="C331" s="1" t="n">
        <v>37.2179892476</v>
      </c>
      <c r="D331" s="1" t="n">
        <v>-7.12226186187</v>
      </c>
      <c r="E331" s="3" t="n">
        <v>2</v>
      </c>
      <c r="F331" s="2" t="n">
        <v>2</v>
      </c>
      <c r="G331" s="4" t="n">
        <v>2</v>
      </c>
      <c r="H331" s="13" t="n"/>
      <c r="I331" s="15" t="n"/>
      <c r="J331" s="19" t="n">
        <v>2</v>
      </c>
      <c r="K331" s="2" t="inlineStr">
        <is>
          <t>marker_917_950157.png</t>
        </is>
      </c>
      <c r="L331" s="11">
        <f>HYPERLINK("2\0\" &amp; K331, "Ver Imagen")</f>
        <v/>
      </c>
      <c r="M331" t="inlineStr">
        <is>
          <t>Moda</t>
        </is>
      </c>
    </row>
    <row r="332">
      <c r="A332" t="n">
        <v>331</v>
      </c>
      <c r="B332" t="inlineStr">
        <is>
          <t>A-5052__17</t>
        </is>
      </c>
      <c r="C332" s="1" t="n">
        <v>37.2178971399</v>
      </c>
      <c r="D332" s="1" t="n">
        <v>-7.12178579769</v>
      </c>
      <c r="E332" s="3" t="n">
        <v>2</v>
      </c>
      <c r="F332" s="2" t="n">
        <v>2</v>
      </c>
      <c r="G332" s="4" t="n">
        <v>2</v>
      </c>
      <c r="H332" s="13" t="n"/>
      <c r="I332" s="15" t="n"/>
      <c r="J332" s="19" t="n">
        <v>2</v>
      </c>
      <c r="K332" s="2" t="inlineStr">
        <is>
          <t>marker_259_950185.png</t>
        </is>
      </c>
      <c r="L332" s="11">
        <f>HYPERLINK("2\0\" &amp; K332, "Ver Imagen")</f>
        <v/>
      </c>
      <c r="M332" t="inlineStr">
        <is>
          <t>Moda</t>
        </is>
      </c>
    </row>
    <row r="333">
      <c r="A333" t="n">
        <v>332</v>
      </c>
      <c r="B333" t="inlineStr">
        <is>
          <t>A-5052__28</t>
        </is>
      </c>
      <c r="C333" s="1" t="n">
        <v>37.2181311539</v>
      </c>
      <c r="D333" s="1" t="n">
        <v>-7.11900182533</v>
      </c>
      <c r="E333" s="3" t="n">
        <v>2</v>
      </c>
      <c r="F333" s="2" t="n">
        <v>2</v>
      </c>
      <c r="G333" s="4" t="n">
        <v>2</v>
      </c>
      <c r="H333" s="13" t="n"/>
      <c r="I333" s="15" t="n"/>
      <c r="J333" s="19" t="n">
        <v>2</v>
      </c>
      <c r="K333" s="2" t="inlineStr">
        <is>
          <t>marker_576_951575.png</t>
        </is>
      </c>
      <c r="L333" s="11">
        <f>HYPERLINK("2\0\" &amp; K333, "Ver Imagen")</f>
        <v/>
      </c>
      <c r="M333" t="inlineStr">
        <is>
          <t>Moda</t>
        </is>
      </c>
    </row>
    <row r="334">
      <c r="A334" t="n">
        <v>333</v>
      </c>
      <c r="B334" t="inlineStr">
        <is>
          <t>A-5052__48</t>
        </is>
      </c>
      <c r="C334" s="1" t="n">
        <v>37.2175156969</v>
      </c>
      <c r="D334" s="1" t="n">
        <v>-7.1140023929</v>
      </c>
      <c r="E334" s="3" t="n">
        <v>2</v>
      </c>
      <c r="F334" s="2" t="n">
        <v>2</v>
      </c>
      <c r="G334" s="4" t="n">
        <v>2</v>
      </c>
      <c r="H334" s="13" t="n"/>
      <c r="I334" s="15" t="n"/>
      <c r="J334" s="19" t="n">
        <v>2</v>
      </c>
      <c r="K334" s="2" t="inlineStr">
        <is>
          <t>marker_602_956903.png</t>
        </is>
      </c>
      <c r="L334" s="11">
        <f>HYPERLINK("2\0\" &amp; K334, "Ver Imagen")</f>
        <v/>
      </c>
      <c r="M334" t="inlineStr">
        <is>
          <t>Moda</t>
        </is>
      </c>
    </row>
    <row r="335">
      <c r="A335" t="n">
        <v>334</v>
      </c>
      <c r="B335" t="inlineStr">
        <is>
          <t>A-5052__49</t>
        </is>
      </c>
      <c r="C335" s="1" t="n">
        <v>37.2175035662</v>
      </c>
      <c r="D335" s="1" t="n">
        <v>-7.11378196786</v>
      </c>
      <c r="E335" s="3" t="n">
        <v>2</v>
      </c>
      <c r="F335" s="2" t="n">
        <v>2</v>
      </c>
      <c r="G335" s="4" t="n">
        <v>2</v>
      </c>
      <c r="H335" s="13" t="n"/>
      <c r="I335" s="15" t="n"/>
      <c r="J335" s="19" t="n">
        <v>2</v>
      </c>
      <c r="K335" s="2" t="inlineStr">
        <is>
          <t>marker_253_956913.png</t>
        </is>
      </c>
      <c r="L335" s="11">
        <f>HYPERLINK("2\0\" &amp; K335, "Ver Imagen")</f>
        <v/>
      </c>
      <c r="M335" t="inlineStr">
        <is>
          <t>Moda</t>
        </is>
      </c>
    </row>
    <row r="336">
      <c r="A336" t="n">
        <v>335</v>
      </c>
      <c r="B336" t="inlineStr">
        <is>
          <t>A-5052__50</t>
        </is>
      </c>
      <c r="C336" s="1" t="n">
        <v>37.217502368</v>
      </c>
      <c r="D336" s="1" t="n">
        <v>-7.1135175574</v>
      </c>
      <c r="E336" s="3" t="n">
        <v>2</v>
      </c>
      <c r="F336" s="2" t="n">
        <v>2</v>
      </c>
      <c r="G336" s="4" t="n">
        <v>2</v>
      </c>
      <c r="H336" s="13" t="n"/>
      <c r="I336" s="15" t="n"/>
      <c r="J336" s="19" t="n">
        <v>2</v>
      </c>
      <c r="K336" s="2" t="inlineStr">
        <is>
          <t>marker_412_956923.png</t>
        </is>
      </c>
      <c r="L336" s="11">
        <f>HYPERLINK("2\0\" &amp; K336, "Ver Imagen")</f>
        <v/>
      </c>
      <c r="M336" t="inlineStr">
        <is>
          <t>Moda</t>
        </is>
      </c>
    </row>
    <row r="337">
      <c r="A337" t="n">
        <v>336</v>
      </c>
      <c r="B337" t="inlineStr">
        <is>
          <t>A-5052__51</t>
        </is>
      </c>
      <c r="C337" s="1" t="n">
        <v>37.217510964</v>
      </c>
      <c r="D337" s="1" t="n">
        <v>-7.11323750294</v>
      </c>
      <c r="E337" s="3" t="n">
        <v>2</v>
      </c>
      <c r="F337" s="2" t="n">
        <v>2</v>
      </c>
      <c r="G337" s="4" t="n">
        <v>2</v>
      </c>
      <c r="H337" s="13" t="n"/>
      <c r="I337" s="15" t="n"/>
      <c r="J337" s="19" t="n">
        <v>2</v>
      </c>
      <c r="K337" s="2" t="inlineStr">
        <is>
          <t>marker_196_956934.png</t>
        </is>
      </c>
      <c r="L337" s="11">
        <f>HYPERLINK("2\0\" &amp; K337, "Ver Imagen")</f>
        <v/>
      </c>
      <c r="M337" t="inlineStr">
        <is>
          <t>Moda</t>
        </is>
      </c>
    </row>
    <row r="338">
      <c r="A338" t="n">
        <v>337</v>
      </c>
      <c r="B338" t="inlineStr">
        <is>
          <t>A-5052__52</t>
        </is>
      </c>
      <c r="C338" s="1" t="n">
        <v>37.2175238765</v>
      </c>
      <c r="D338" s="1" t="n">
        <v>-7.11297957337</v>
      </c>
      <c r="E338" s="3" t="n">
        <v>2</v>
      </c>
      <c r="F338" s="2" t="n">
        <v>2</v>
      </c>
      <c r="G338" s="4" t="n">
        <v>2</v>
      </c>
      <c r="H338" s="13" t="n"/>
      <c r="I338" s="15" t="n"/>
      <c r="J338" s="19" t="n">
        <v>2</v>
      </c>
      <c r="K338" s="2" t="inlineStr">
        <is>
          <t>marker_137_956945.png</t>
        </is>
      </c>
      <c r="L338" s="11">
        <f>HYPERLINK("2\0\" &amp; K338, "Ver Imagen")</f>
        <v/>
      </c>
      <c r="M338" t="inlineStr">
        <is>
          <t>Moda</t>
        </is>
      </c>
    </row>
    <row r="339">
      <c r="A339" t="n">
        <v>338</v>
      </c>
      <c r="B339" t="inlineStr">
        <is>
          <t>A-5052__54</t>
        </is>
      </c>
      <c r="C339" s="1" t="n">
        <v>37.2175491574</v>
      </c>
      <c r="D339" s="1" t="n">
        <v>-7.11248287213</v>
      </c>
      <c r="E339" s="3" t="n">
        <v>2</v>
      </c>
      <c r="F339" s="2" t="n">
        <v>2</v>
      </c>
      <c r="G339" s="4" t="n">
        <v>2</v>
      </c>
      <c r="H339" s="13" t="n"/>
      <c r="I339" s="15" t="n"/>
      <c r="J339" s="19" t="n">
        <v>2</v>
      </c>
      <c r="K339" s="2" t="inlineStr">
        <is>
          <t>marker_266_956969.png</t>
        </is>
      </c>
      <c r="L339" s="11">
        <f>HYPERLINK("2\0\" &amp; K339, "Ver Imagen")</f>
        <v/>
      </c>
      <c r="M339" t="inlineStr">
        <is>
          <t>Moda</t>
        </is>
      </c>
    </row>
    <row r="340">
      <c r="A340" t="n">
        <v>339</v>
      </c>
      <c r="B340" t="inlineStr">
        <is>
          <t>A-5052__58</t>
        </is>
      </c>
      <c r="C340" s="1" t="n">
        <v>37.2175937949</v>
      </c>
      <c r="D340" s="1" t="n">
        <v>-7.11145760135</v>
      </c>
      <c r="E340" s="3" t="n">
        <v>2</v>
      </c>
      <c r="F340" s="2" t="n">
        <v>2</v>
      </c>
      <c r="G340" s="4" t="n">
        <v>2</v>
      </c>
      <c r="H340" s="13" t="n"/>
      <c r="I340" s="15" t="n"/>
      <c r="J340" s="19" t="n">
        <v>2</v>
      </c>
      <c r="K340" s="2" t="inlineStr">
        <is>
          <t>marker_368_957017.png</t>
        </is>
      </c>
      <c r="L340" s="11">
        <f>HYPERLINK("2\0\" &amp; K340, "Ver Imagen")</f>
        <v/>
      </c>
      <c r="M340" t="inlineStr">
        <is>
          <t>Moda</t>
        </is>
      </c>
    </row>
    <row r="341">
      <c r="A341" t="n">
        <v>340</v>
      </c>
      <c r="B341" t="inlineStr">
        <is>
          <t>A-5052__69</t>
        </is>
      </c>
      <c r="C341" s="1" t="n">
        <v>37.2175636072</v>
      </c>
      <c r="D341" s="1" t="n">
        <v>-7.10870962551</v>
      </c>
      <c r="E341" s="3" t="n">
        <v>2</v>
      </c>
      <c r="F341" s="2" t="n">
        <v>2</v>
      </c>
      <c r="G341" s="4" t="n">
        <v>2</v>
      </c>
      <c r="H341" s="13" t="n"/>
      <c r="I341" s="15" t="n"/>
      <c r="J341" s="19" t="n">
        <v>2</v>
      </c>
      <c r="K341" s="2" t="inlineStr">
        <is>
          <t>marker_938_957166.png</t>
        </is>
      </c>
      <c r="L341" s="11">
        <f>HYPERLINK("2\0\" &amp; K341, "Ver Imagen")</f>
        <v/>
      </c>
      <c r="M341" t="inlineStr">
        <is>
          <t>Moda</t>
        </is>
      </c>
    </row>
    <row r="342">
      <c r="A342" t="n">
        <v>341</v>
      </c>
      <c r="B342" t="inlineStr">
        <is>
          <t>A-5052__76</t>
        </is>
      </c>
      <c r="C342" s="1" t="n">
        <v>37.2173022666</v>
      </c>
      <c r="D342" s="1" t="n">
        <v>-7.10694147429</v>
      </c>
      <c r="E342" s="3" t="n">
        <v>2</v>
      </c>
      <c r="F342" s="2" t="n">
        <v>2</v>
      </c>
      <c r="G342" s="4" t="n">
        <v>2</v>
      </c>
      <c r="H342" s="13" t="n"/>
      <c r="I342" s="15" t="n"/>
      <c r="J342" s="19" t="n">
        <v>2</v>
      </c>
      <c r="K342" s="2" t="inlineStr">
        <is>
          <t>marker_243_957244.png</t>
        </is>
      </c>
      <c r="L342" s="11">
        <f>HYPERLINK("2\0\" &amp; K342, "Ver Imagen")</f>
        <v/>
      </c>
      <c r="M342" t="inlineStr">
        <is>
          <t>Moda</t>
        </is>
      </c>
    </row>
    <row r="343">
      <c r="A343" t="n">
        <v>342</v>
      </c>
      <c r="B343" t="inlineStr">
        <is>
          <t>A-5052__82</t>
        </is>
      </c>
      <c r="C343" s="1" t="n">
        <v>37.2171043096</v>
      </c>
      <c r="D343" s="1" t="n">
        <v>-7.1054224056</v>
      </c>
      <c r="E343" s="3" t="n">
        <v>2</v>
      </c>
      <c r="F343" s="2" t="n">
        <v>2</v>
      </c>
      <c r="G343" s="4" t="n">
        <v>2</v>
      </c>
      <c r="H343" s="13" t="n"/>
      <c r="I343" s="15" t="n"/>
      <c r="J343" s="19" t="n">
        <v>2</v>
      </c>
      <c r="K343" s="2" t="inlineStr">
        <is>
          <t>marker_917_957310.png</t>
        </is>
      </c>
      <c r="L343" s="11">
        <f>HYPERLINK("2\0\" &amp; K343, "Ver Imagen")</f>
        <v/>
      </c>
      <c r="M343" t="inlineStr">
        <is>
          <t>Moda</t>
        </is>
      </c>
    </row>
    <row r="344">
      <c r="A344" t="n">
        <v>343</v>
      </c>
      <c r="B344" t="inlineStr">
        <is>
          <t>A-5052__83</t>
        </is>
      </c>
      <c r="C344" s="1" t="n">
        <v>37.2170827938</v>
      </c>
      <c r="D344" s="1" t="n">
        <v>-7.10520836079</v>
      </c>
      <c r="E344" s="3" t="n">
        <v>2</v>
      </c>
      <c r="F344" s="2" t="n">
        <v>2</v>
      </c>
      <c r="G344" s="4" t="n">
        <v>2</v>
      </c>
      <c r="H344" s="13" t="n"/>
      <c r="I344" s="15" t="n"/>
      <c r="J344" s="19" t="n">
        <v>2</v>
      </c>
      <c r="K344" s="2" t="inlineStr">
        <is>
          <t>marker_329_957322.png</t>
        </is>
      </c>
      <c r="L344" s="11">
        <f>HYPERLINK("2\0\" &amp; K344, "Ver Imagen")</f>
        <v/>
      </c>
      <c r="M344" t="inlineStr">
        <is>
          <t>Moda</t>
        </is>
      </c>
    </row>
    <row r="345">
      <c r="A345" t="n">
        <v>344</v>
      </c>
      <c r="B345" t="inlineStr">
        <is>
          <t>A-5052__98</t>
        </is>
      </c>
      <c r="C345" s="1" t="n">
        <v>37.2167911148</v>
      </c>
      <c r="D345" s="1" t="n">
        <v>-7.10143628798</v>
      </c>
      <c r="E345" s="3" t="n">
        <v>2</v>
      </c>
      <c r="F345" s="2" t="n">
        <v>2</v>
      </c>
      <c r="G345" s="4" t="n">
        <v>2</v>
      </c>
      <c r="H345" s="13" t="n"/>
      <c r="I345" s="15" t="n"/>
      <c r="J345" s="19" t="n">
        <v>2</v>
      </c>
      <c r="K345" s="2" t="inlineStr">
        <is>
          <t>marker_492_957635.png</t>
        </is>
      </c>
      <c r="L345" s="11">
        <f>HYPERLINK("2\0\" &amp; K345, "Ver Imagen")</f>
        <v/>
      </c>
      <c r="M345" t="inlineStr">
        <is>
          <t>Moda</t>
        </is>
      </c>
    </row>
    <row r="346">
      <c r="A346" t="n">
        <v>345</v>
      </c>
      <c r="B346" t="inlineStr">
        <is>
          <t>A-5052__102</t>
        </is>
      </c>
      <c r="C346" s="1" t="n">
        <v>37.2169750801</v>
      </c>
      <c r="D346" s="1" t="n">
        <v>-7.1004355094</v>
      </c>
      <c r="E346" s="3" t="n">
        <v>2</v>
      </c>
      <c r="F346" s="2" t="n">
        <v>2</v>
      </c>
      <c r="G346" s="4" t="n">
        <v>2</v>
      </c>
      <c r="H346" s="13" t="n"/>
      <c r="I346" s="15" t="n"/>
      <c r="J346" s="19" t="n">
        <v>2</v>
      </c>
      <c r="K346" s="2" t="inlineStr">
        <is>
          <t>marker_801_957690.png</t>
        </is>
      </c>
      <c r="L346" s="11">
        <f>HYPERLINK("2\0\" &amp; K346, "Ver Imagen")</f>
        <v/>
      </c>
      <c r="M346" t="inlineStr">
        <is>
          <t>Moda</t>
        </is>
      </c>
    </row>
    <row r="347">
      <c r="A347" t="n">
        <v>346</v>
      </c>
      <c r="B347" t="inlineStr">
        <is>
          <t>A-5052__105</t>
        </is>
      </c>
      <c r="C347" s="1" t="n">
        <v>37.2170460368</v>
      </c>
      <c r="D347" s="1" t="n">
        <v>-7.09968711039</v>
      </c>
      <c r="E347" s="3" t="n">
        <v>2</v>
      </c>
      <c r="F347" s="2" t="n">
        <v>2</v>
      </c>
      <c r="G347" s="4" t="n">
        <v>2</v>
      </c>
      <c r="H347" s="13" t="n"/>
      <c r="I347" s="15" t="n"/>
      <c r="J347" s="19" t="n">
        <v>2</v>
      </c>
      <c r="K347" s="2" t="inlineStr">
        <is>
          <t>marker_277_957733.png</t>
        </is>
      </c>
      <c r="L347" s="11">
        <f>HYPERLINK("2\0\" &amp; K347, "Ver Imagen")</f>
        <v/>
      </c>
      <c r="M347" t="inlineStr">
        <is>
          <t>Moda</t>
        </is>
      </c>
    </row>
    <row r="348">
      <c r="A348" t="n">
        <v>347</v>
      </c>
      <c r="B348" t="inlineStr">
        <is>
          <t>A-5052__112</t>
        </is>
      </c>
      <c r="C348" s="1" t="n">
        <v>37.2168833951</v>
      </c>
      <c r="D348" s="1" t="n">
        <v>-7.09794443032</v>
      </c>
      <c r="E348" s="3" t="n">
        <v>2</v>
      </c>
      <c r="F348" s="2" t="n">
        <v>2</v>
      </c>
      <c r="G348" s="4" t="n">
        <v>2</v>
      </c>
      <c r="H348" s="13" t="n"/>
      <c r="I348" s="15" t="n"/>
      <c r="J348" s="19" t="n">
        <v>2</v>
      </c>
      <c r="K348" s="2" t="inlineStr">
        <is>
          <t>marker_251_957819.png</t>
        </is>
      </c>
      <c r="L348" s="11">
        <f>HYPERLINK("2\0\" &amp; K348, "Ver Imagen")</f>
        <v/>
      </c>
      <c r="M348" t="inlineStr">
        <is>
          <t>Moda</t>
        </is>
      </c>
    </row>
    <row r="349">
      <c r="A349" t="n">
        <v>348</v>
      </c>
      <c r="B349" t="inlineStr">
        <is>
          <t>A-5052__119</t>
        </is>
      </c>
      <c r="C349" s="1" t="n">
        <v>37.216710484</v>
      </c>
      <c r="D349" s="1" t="n">
        <v>-7.0961581775</v>
      </c>
      <c r="E349" s="3" t="n">
        <v>2</v>
      </c>
      <c r="F349" s="2" t="n">
        <v>2</v>
      </c>
      <c r="G349" s="4" t="n">
        <v>2</v>
      </c>
      <c r="H349" s="13" t="n"/>
      <c r="I349" s="15" t="n"/>
      <c r="J349" s="19" t="n">
        <v>2</v>
      </c>
      <c r="K349" s="2" t="inlineStr">
        <is>
          <t>marker_903_957924.png</t>
        </is>
      </c>
      <c r="L349" s="11">
        <f>HYPERLINK("2\0\" &amp; K349, "Ver Imagen")</f>
        <v/>
      </c>
      <c r="M349" t="inlineStr">
        <is>
          <t>Moda</t>
        </is>
      </c>
    </row>
    <row r="350">
      <c r="A350" t="n">
        <v>349</v>
      </c>
      <c r="B350" t="inlineStr">
        <is>
          <t>A-5052__127</t>
        </is>
      </c>
      <c r="C350" s="1" t="n">
        <v>37.2166445141</v>
      </c>
      <c r="D350" s="1" t="n">
        <v>-7.09415185846</v>
      </c>
      <c r="E350" s="3" t="n">
        <v>2</v>
      </c>
      <c r="F350" s="2" t="n">
        <v>2</v>
      </c>
      <c r="G350" s="4" t="n">
        <v>2</v>
      </c>
      <c r="H350" s="13" t="n"/>
      <c r="I350" s="15" t="n"/>
      <c r="J350" s="19" t="n">
        <v>2</v>
      </c>
      <c r="K350" s="2" t="inlineStr">
        <is>
          <t>marker_841_958048.png</t>
        </is>
      </c>
      <c r="L350" s="11">
        <f>HYPERLINK("2\0\" &amp; K350, "Ver Imagen")</f>
        <v/>
      </c>
      <c r="M350" t="inlineStr">
        <is>
          <t>Moda</t>
        </is>
      </c>
    </row>
    <row r="351">
      <c r="A351" t="n">
        <v>350</v>
      </c>
      <c r="B351" t="inlineStr">
        <is>
          <t>A-5052__129</t>
        </is>
      </c>
      <c r="C351" s="1" t="n">
        <v>37.2166332885</v>
      </c>
      <c r="D351" s="1" t="n">
        <v>-7.09363553386</v>
      </c>
      <c r="E351" s="3" t="n">
        <v>2</v>
      </c>
      <c r="F351" s="2" t="n">
        <v>2</v>
      </c>
      <c r="G351" s="4" t="n">
        <v>2</v>
      </c>
      <c r="H351" s="13" t="n"/>
      <c r="I351" s="15" t="n"/>
      <c r="J351" s="19" t="n">
        <v>2</v>
      </c>
      <c r="K351" s="2" t="inlineStr">
        <is>
          <t>marker_961_958083.png</t>
        </is>
      </c>
      <c r="L351" s="11">
        <f>HYPERLINK("2\0\" &amp; K351, "Ver Imagen")</f>
        <v/>
      </c>
      <c r="M351" t="inlineStr">
        <is>
          <t>Moda</t>
        </is>
      </c>
    </row>
    <row r="352">
      <c r="A352" t="n">
        <v>351</v>
      </c>
      <c r="B352" t="inlineStr">
        <is>
          <t>A-5052__132</t>
        </is>
      </c>
      <c r="C352" s="1" t="n">
        <v>37.2165337042</v>
      </c>
      <c r="D352" s="1" t="n">
        <v>-7.09289485836</v>
      </c>
      <c r="E352" s="3" t="n">
        <v>2</v>
      </c>
      <c r="F352" s="2" t="n">
        <v>2</v>
      </c>
      <c r="G352" s="4" t="n">
        <v>2</v>
      </c>
      <c r="H352" s="13" t="n"/>
      <c r="I352" s="15" t="n"/>
      <c r="J352" s="19" t="n">
        <v>2</v>
      </c>
      <c r="K352" s="2" t="inlineStr">
        <is>
          <t>marker_568_958132.png</t>
        </is>
      </c>
      <c r="L352" s="11">
        <f>HYPERLINK("2\0\" &amp; K352, "Ver Imagen")</f>
        <v/>
      </c>
      <c r="M352" t="inlineStr">
        <is>
          <t>Moda</t>
        </is>
      </c>
    </row>
    <row r="353">
      <c r="A353" t="n">
        <v>352</v>
      </c>
      <c r="B353" t="inlineStr">
        <is>
          <t>A-5052__156</t>
        </is>
      </c>
      <c r="C353" s="1" t="n">
        <v>37.2160189524</v>
      </c>
      <c r="D353" s="1" t="n">
        <v>-7.08689279101</v>
      </c>
      <c r="E353" s="3" t="n">
        <v>2</v>
      </c>
      <c r="F353" s="2" t="n">
        <v>2</v>
      </c>
      <c r="G353" s="4" t="n">
        <v>2</v>
      </c>
      <c r="H353" s="13" t="n"/>
      <c r="I353" s="15" t="n"/>
      <c r="J353" s="19" t="n">
        <v>2</v>
      </c>
      <c r="K353" s="2" t="inlineStr">
        <is>
          <t>marker_184_958619.png</t>
        </is>
      </c>
      <c r="L353" s="11">
        <f>HYPERLINK("2\0\" &amp; K353, "Ver Imagen")</f>
        <v/>
      </c>
      <c r="M353" t="inlineStr">
        <is>
          <t>Moda</t>
        </is>
      </c>
    </row>
    <row r="354">
      <c r="A354" t="n">
        <v>353</v>
      </c>
      <c r="B354" t="inlineStr">
        <is>
          <t>A-5052__157</t>
        </is>
      </c>
      <c r="C354" s="1" t="n">
        <v>37.2160231172</v>
      </c>
      <c r="D354" s="1" t="n">
        <v>-7.08659855065</v>
      </c>
      <c r="E354" s="3" t="n">
        <v>2</v>
      </c>
      <c r="F354" s="2" t="n">
        <v>2</v>
      </c>
      <c r="G354" s="4" t="n">
        <v>2</v>
      </c>
      <c r="H354" s="13" t="n"/>
      <c r="I354" s="15" t="n"/>
      <c r="J354" s="19" t="n">
        <v>2</v>
      </c>
      <c r="K354" s="2" t="inlineStr">
        <is>
          <t>marker_348_958629.png</t>
        </is>
      </c>
      <c r="L354" s="11">
        <f>HYPERLINK("2\0\" &amp; K354, "Ver Imagen")</f>
        <v/>
      </c>
      <c r="M354" t="inlineStr">
        <is>
          <t>Moda</t>
        </is>
      </c>
    </row>
    <row r="355">
      <c r="A355" t="n">
        <v>354</v>
      </c>
      <c r="B355" t="inlineStr">
        <is>
          <t>A-5052__159</t>
        </is>
      </c>
      <c r="C355" s="1" t="n">
        <v>37.2160535866</v>
      </c>
      <c r="D355" s="1" t="n">
        <v>-7.08610182083</v>
      </c>
      <c r="E355" s="3" t="n">
        <v>2</v>
      </c>
      <c r="F355" s="2" t="n">
        <v>2</v>
      </c>
      <c r="G355" s="4" t="n">
        <v>2</v>
      </c>
      <c r="H355" s="13" t="n"/>
      <c r="I355" s="15" t="n"/>
      <c r="J355" s="19" t="n">
        <v>2</v>
      </c>
      <c r="K355" s="2" t="inlineStr">
        <is>
          <t>marker_444_958672.png</t>
        </is>
      </c>
      <c r="L355" s="11">
        <f>HYPERLINK("2\0\" &amp; K355, "Ver Imagen")</f>
        <v/>
      </c>
      <c r="M355" t="inlineStr">
        <is>
          <t>Moda</t>
        </is>
      </c>
    </row>
    <row r="356">
      <c r="A356" t="n">
        <v>355</v>
      </c>
      <c r="B356" t="inlineStr">
        <is>
          <t>A-5052__163</t>
        </is>
      </c>
      <c r="C356" s="1" t="n">
        <v>37.2161766835</v>
      </c>
      <c r="D356" s="1" t="n">
        <v>-7.08513422696</v>
      </c>
      <c r="E356" s="3" t="n">
        <v>2</v>
      </c>
      <c r="F356" s="2" t="n">
        <v>2</v>
      </c>
      <c r="G356" s="4" t="n">
        <v>2</v>
      </c>
      <c r="H356" s="13" t="n"/>
      <c r="I356" s="15" t="n"/>
      <c r="J356" s="19" t="n">
        <v>2</v>
      </c>
      <c r="K356" s="2" t="inlineStr">
        <is>
          <t>marker_788_958713.png</t>
        </is>
      </c>
      <c r="L356" s="11">
        <f>HYPERLINK("2\0\" &amp; K356, "Ver Imagen")</f>
        <v/>
      </c>
      <c r="M356" t="inlineStr">
        <is>
          <t>Moda</t>
        </is>
      </c>
    </row>
    <row r="357">
      <c r="A357" t="n">
        <v>356</v>
      </c>
      <c r="B357" t="inlineStr">
        <is>
          <t>A-5052__177</t>
        </is>
      </c>
      <c r="C357" s="1" t="n">
        <v>37.2155940344</v>
      </c>
      <c r="D357" s="1" t="n">
        <v>-7.08173651753</v>
      </c>
      <c r="E357" s="3" t="n">
        <v>2</v>
      </c>
      <c r="F357" s="2" t="n">
        <v>2</v>
      </c>
      <c r="G357" s="4" t="n">
        <v>2</v>
      </c>
      <c r="H357" s="13" t="n"/>
      <c r="I357" s="15" t="n"/>
      <c r="J357" s="19" t="n">
        <v>2</v>
      </c>
      <c r="K357" s="2" t="inlineStr">
        <is>
          <t>marker_202_959044.png</t>
        </is>
      </c>
      <c r="L357" s="11">
        <f>HYPERLINK("2\0\" &amp; K357, "Ver Imagen")</f>
        <v/>
      </c>
      <c r="M357" t="inlineStr">
        <is>
          <t>Moda</t>
        </is>
      </c>
    </row>
    <row r="358">
      <c r="A358" t="n">
        <v>357</v>
      </c>
      <c r="B358" t="inlineStr">
        <is>
          <t>A-5052__178</t>
        </is>
      </c>
      <c r="C358" s="1" t="n">
        <v>37.2155234357</v>
      </c>
      <c r="D358" s="1" t="n">
        <v>-7.08148231761</v>
      </c>
      <c r="E358" s="3" t="n">
        <v>2</v>
      </c>
      <c r="F358" s="2" t="n">
        <v>2</v>
      </c>
      <c r="G358" s="4" t="n">
        <v>2</v>
      </c>
      <c r="H358" s="13" t="n"/>
      <c r="I358" s="15" t="n"/>
      <c r="J358" s="19" t="n">
        <v>2</v>
      </c>
      <c r="K358" s="2" t="inlineStr">
        <is>
          <t>marker_984_959053.png</t>
        </is>
      </c>
      <c r="L358" s="11">
        <f>HYPERLINK("2\0\" &amp; K358, "Ver Imagen")</f>
        <v/>
      </c>
      <c r="M358" t="inlineStr">
        <is>
          <t>Moda</t>
        </is>
      </c>
    </row>
    <row r="359">
      <c r="A359" t="n">
        <v>358</v>
      </c>
      <c r="B359" t="inlineStr">
        <is>
          <t>A-5052__183</t>
        </is>
      </c>
      <c r="C359" s="1" t="n">
        <v>37.2151881614</v>
      </c>
      <c r="D359" s="1" t="n">
        <v>-7.08032007</v>
      </c>
      <c r="E359" s="3" t="n">
        <v>2</v>
      </c>
      <c r="F359" s="2" t="n">
        <v>2</v>
      </c>
      <c r="G359" s="4" t="n">
        <v>2</v>
      </c>
      <c r="H359" s="13" t="n"/>
      <c r="I359" s="15" t="n"/>
      <c r="J359" s="19" t="n">
        <v>2</v>
      </c>
      <c r="K359" s="2" t="inlineStr">
        <is>
          <t>marker_941_959200.png</t>
        </is>
      </c>
      <c r="L359" s="11">
        <f>HYPERLINK("2\0\" &amp; K359, "Ver Imagen")</f>
        <v/>
      </c>
      <c r="M359" t="inlineStr">
        <is>
          <t>Moda</t>
        </is>
      </c>
    </row>
    <row r="360">
      <c r="A360" t="n">
        <v>359</v>
      </c>
      <c r="B360" t="inlineStr">
        <is>
          <t>A-5052__184</t>
        </is>
      </c>
      <c r="C360" s="1" t="n">
        <v>37.2151114895</v>
      </c>
      <c r="D360" s="1" t="n">
        <v>-7.08003806805</v>
      </c>
      <c r="E360" s="3" t="n">
        <v>2</v>
      </c>
      <c r="F360" s="2" t="n">
        <v>2</v>
      </c>
      <c r="G360" s="4" t="n">
        <v>2</v>
      </c>
      <c r="H360" s="13" t="n"/>
      <c r="I360" s="15" t="n"/>
      <c r="J360" s="19" t="n">
        <v>2</v>
      </c>
      <c r="K360" s="2" t="inlineStr">
        <is>
          <t>marker_445_959209.png</t>
        </is>
      </c>
      <c r="L360" s="11">
        <f>HYPERLINK("2\0\" &amp; K360, "Ver Imagen")</f>
        <v/>
      </c>
      <c r="M360" t="inlineStr">
        <is>
          <t>Moda</t>
        </is>
      </c>
    </row>
    <row r="361">
      <c r="A361" t="n">
        <v>360</v>
      </c>
      <c r="B361" t="inlineStr">
        <is>
          <t>A-5052__185</t>
        </is>
      </c>
      <c r="C361" s="1" t="n">
        <v>37.2150443926</v>
      </c>
      <c r="D361" s="1" t="n">
        <v>-7.07977839136</v>
      </c>
      <c r="E361" s="3" t="n">
        <v>2</v>
      </c>
      <c r="F361" s="2" t="n">
        <v>2</v>
      </c>
      <c r="G361" s="4" t="n">
        <v>2</v>
      </c>
      <c r="H361" s="13" t="n"/>
      <c r="I361" s="15" t="n"/>
      <c r="J361" s="19" t="n">
        <v>2</v>
      </c>
      <c r="K361" s="2" t="inlineStr">
        <is>
          <t>marker_952_959226.png</t>
        </is>
      </c>
      <c r="L361" s="11">
        <f>HYPERLINK("2\0\" &amp; K361, "Ver Imagen")</f>
        <v/>
      </c>
      <c r="M361" t="inlineStr">
        <is>
          <t>Moda</t>
        </is>
      </c>
    </row>
    <row r="362">
      <c r="A362" t="n">
        <v>361</v>
      </c>
      <c r="B362" t="inlineStr">
        <is>
          <t>A-5052__186</t>
        </is>
      </c>
      <c r="C362" s="1" t="n">
        <v>37.2149920756</v>
      </c>
      <c r="D362" s="1" t="n">
        <v>-7.07955583802</v>
      </c>
      <c r="E362" s="3" t="n">
        <v>2</v>
      </c>
      <c r="F362" s="2" t="n">
        <v>2</v>
      </c>
      <c r="G362" s="4" t="n">
        <v>2</v>
      </c>
      <c r="H362" s="13" t="n"/>
      <c r="I362" s="15" t="n"/>
      <c r="J362" s="19" t="n">
        <v>2</v>
      </c>
      <c r="K362" s="2" t="inlineStr">
        <is>
          <t>marker_637_959268.png</t>
        </is>
      </c>
      <c r="L362" s="11">
        <f>HYPERLINK("2\0\" &amp; K362, "Ver Imagen")</f>
        <v/>
      </c>
      <c r="M362" t="inlineStr">
        <is>
          <t>Moda</t>
        </is>
      </c>
    </row>
    <row r="363">
      <c r="A363" t="n">
        <v>362</v>
      </c>
      <c r="B363" t="inlineStr">
        <is>
          <t>A-5052__235</t>
        </is>
      </c>
      <c r="C363" s="1" t="n">
        <v>37.2133777287</v>
      </c>
      <c r="D363" s="1" t="n">
        <v>-7.06736797335</v>
      </c>
      <c r="E363" s="3" t="n">
        <v>2</v>
      </c>
      <c r="F363" s="2" t="n">
        <v>2</v>
      </c>
      <c r="G363" s="4" t="n">
        <v>2</v>
      </c>
      <c r="H363" s="13" t="n"/>
      <c r="I363" s="15" t="n"/>
      <c r="J363" s="19" t="n">
        <v>2</v>
      </c>
      <c r="K363" s="2" t="inlineStr">
        <is>
          <t>marker_408_959884.png</t>
        </is>
      </c>
      <c r="L363" s="11">
        <f>HYPERLINK("2\0\" &amp; K363, "Ver Imagen")</f>
        <v/>
      </c>
      <c r="M363" t="inlineStr">
        <is>
          <t>Moda</t>
        </is>
      </c>
    </row>
    <row r="364">
      <c r="A364" t="n">
        <v>363</v>
      </c>
      <c r="B364" t="inlineStr">
        <is>
          <t>A-5052__237</t>
        </is>
      </c>
      <c r="C364" s="1" t="n">
        <v>37.2133571755</v>
      </c>
      <c r="D364" s="1" t="n">
        <v>-7.06686498174</v>
      </c>
      <c r="E364" s="3" t="n">
        <v>2</v>
      </c>
      <c r="F364" s="2" t="n">
        <v>2</v>
      </c>
      <c r="G364" s="4" t="n">
        <v>2</v>
      </c>
      <c r="H364" s="13" t="n"/>
      <c r="I364" s="15" t="n"/>
      <c r="J364" s="19" t="n">
        <v>2</v>
      </c>
      <c r="K364" s="2" t="inlineStr">
        <is>
          <t>marker_182_959915.png</t>
        </is>
      </c>
      <c r="L364" s="11">
        <f>HYPERLINK("2\0\" &amp; K364, "Ver Imagen")</f>
        <v/>
      </c>
      <c r="M364" t="inlineStr">
        <is>
          <t>Moda</t>
        </is>
      </c>
    </row>
    <row r="365">
      <c r="A365" t="n">
        <v>364</v>
      </c>
      <c r="B365" t="inlineStr">
        <is>
          <t>A-5052__254</t>
        </is>
      </c>
      <c r="C365" s="1" t="n">
        <v>37.2131748753</v>
      </c>
      <c r="D365" s="1" t="n">
        <v>-7.06267194525</v>
      </c>
      <c r="E365" s="3" t="n">
        <v>2</v>
      </c>
      <c r="F365" s="2" t="n">
        <v>2</v>
      </c>
      <c r="G365" s="4" t="n">
        <v>2</v>
      </c>
      <c r="H365" s="13" t="n"/>
      <c r="I365" s="15" t="n"/>
      <c r="J365" s="19" t="n">
        <v>2</v>
      </c>
      <c r="K365" s="2" t="inlineStr">
        <is>
          <t>marker_703_960135.png</t>
        </is>
      </c>
      <c r="L365" s="11">
        <f>HYPERLINK("2\0\" &amp; K365, "Ver Imagen")</f>
        <v/>
      </c>
      <c r="M365" t="inlineStr">
        <is>
          <t>Moda</t>
        </is>
      </c>
    </row>
    <row r="366">
      <c r="A366" t="n">
        <v>365</v>
      </c>
      <c r="B366" t="inlineStr">
        <is>
          <t>A-5052__259</t>
        </is>
      </c>
      <c r="C366" s="1" t="n">
        <v>37.2128946629</v>
      </c>
      <c r="D366" s="1" t="n">
        <v>-7.06146139097</v>
      </c>
      <c r="E366" s="3" t="n">
        <v>2</v>
      </c>
      <c r="F366" s="2" t="n">
        <v>2</v>
      </c>
      <c r="G366" s="4" t="n">
        <v>2</v>
      </c>
      <c r="H366" s="13" t="n"/>
      <c r="I366" s="15" t="n"/>
      <c r="J366" s="19" t="n">
        <v>2</v>
      </c>
      <c r="K366" s="2" t="inlineStr">
        <is>
          <t>marker_501_960188.png</t>
        </is>
      </c>
      <c r="L366" s="11">
        <f>HYPERLINK("2\0\" &amp; K366, "Ver Imagen")</f>
        <v/>
      </c>
      <c r="M366" t="inlineStr">
        <is>
          <t>Moda</t>
        </is>
      </c>
    </row>
    <row r="367">
      <c r="A367" t="n">
        <v>366</v>
      </c>
      <c r="B367" t="inlineStr">
        <is>
          <t>A-5052__262</t>
        </is>
      </c>
      <c r="C367" s="1" t="n">
        <v>37.2126270339</v>
      </c>
      <c r="D367" s="1" t="n">
        <v>-7.06072434074</v>
      </c>
      <c r="E367" s="3" t="n">
        <v>2</v>
      </c>
      <c r="F367" s="2" t="n">
        <v>2</v>
      </c>
      <c r="G367" s="4" t="n">
        <v>2</v>
      </c>
      <c r="H367" s="13" t="n"/>
      <c r="I367" s="15" t="n"/>
      <c r="J367" s="19" t="n">
        <v>2</v>
      </c>
      <c r="K367" s="2" t="inlineStr">
        <is>
          <t>marker_721_960224.png</t>
        </is>
      </c>
      <c r="L367" s="11">
        <f>HYPERLINK("2\0\" &amp; K367, "Ver Imagen")</f>
        <v/>
      </c>
      <c r="M367" t="inlineStr">
        <is>
          <t>Moda</t>
        </is>
      </c>
    </row>
    <row r="368">
      <c r="A368" t="n">
        <v>367</v>
      </c>
      <c r="B368" t="inlineStr">
        <is>
          <t>A-5052__265</t>
        </is>
      </c>
      <c r="C368" s="1" t="n">
        <v>37.2123793718</v>
      </c>
      <c r="D368" s="1" t="n">
        <v>-7.06005907452</v>
      </c>
      <c r="E368" s="3" t="n">
        <v>2</v>
      </c>
      <c r="F368" s="2" t="n">
        <v>2</v>
      </c>
      <c r="G368" s="4" t="n">
        <v>2</v>
      </c>
      <c r="H368" s="13" t="n"/>
      <c r="I368" s="15" t="n"/>
      <c r="J368" s="19" t="n">
        <v>2</v>
      </c>
      <c r="K368" s="2" t="inlineStr">
        <is>
          <t>marker_468_960259.png</t>
        </is>
      </c>
      <c r="L368" s="11">
        <f>HYPERLINK("2\0\" &amp; K368, "Ver Imagen")</f>
        <v/>
      </c>
      <c r="M368" t="inlineStr">
        <is>
          <t>Moda</t>
        </is>
      </c>
    </row>
    <row r="369">
      <c r="A369" t="n">
        <v>368</v>
      </c>
      <c r="B369" t="inlineStr">
        <is>
          <t>A-5052__268</t>
        </is>
      </c>
      <c r="C369" s="1" t="n">
        <v>37.2121235269</v>
      </c>
      <c r="D369" s="1" t="n">
        <v>-7.05937562621</v>
      </c>
      <c r="E369" s="3" t="n">
        <v>2</v>
      </c>
      <c r="F369" s="2" t="n">
        <v>2</v>
      </c>
      <c r="G369" s="4" t="n">
        <v>2</v>
      </c>
      <c r="H369" s="13" t="n"/>
      <c r="I369" s="15" t="n"/>
      <c r="J369" s="19" t="n">
        <v>2</v>
      </c>
      <c r="K369" s="2" t="inlineStr">
        <is>
          <t>marker_328_960294.png</t>
        </is>
      </c>
      <c r="L369" s="11">
        <f>HYPERLINK("2\0\" &amp; K369, "Ver Imagen")</f>
        <v/>
      </c>
      <c r="M369" t="inlineStr">
        <is>
          <t>Moda</t>
        </is>
      </c>
    </row>
    <row r="370">
      <c r="A370" t="n">
        <v>369</v>
      </c>
      <c r="B370" t="inlineStr">
        <is>
          <t>A-5052__281</t>
        </is>
      </c>
      <c r="C370" s="1" t="n">
        <v>37.2112500387</v>
      </c>
      <c r="D370" s="1" t="n">
        <v>-7.05627745116</v>
      </c>
      <c r="E370" s="3" t="n">
        <v>2</v>
      </c>
      <c r="F370" s="2" t="n">
        <v>2</v>
      </c>
      <c r="G370" s="4" t="n">
        <v>2</v>
      </c>
      <c r="H370" s="13" t="n"/>
      <c r="I370" s="15" t="n"/>
      <c r="J370" s="19" t="n">
        <v>2</v>
      </c>
      <c r="K370" s="2" t="inlineStr">
        <is>
          <t>marker_967_960526.png</t>
        </is>
      </c>
      <c r="L370" s="11">
        <f>HYPERLINK("2\0\" &amp; K370, "Ver Imagen")</f>
        <v/>
      </c>
      <c r="M370" t="inlineStr">
        <is>
          <t>Moda</t>
        </is>
      </c>
    </row>
    <row r="371">
      <c r="A371" t="n">
        <v>370</v>
      </c>
      <c r="B371" t="inlineStr">
        <is>
          <t>A-5052__283</t>
        </is>
      </c>
      <c r="C371" s="1" t="n">
        <v>37.2111919563</v>
      </c>
      <c r="D371" s="1" t="n">
        <v>-7.0557783951</v>
      </c>
      <c r="E371" s="3" t="n">
        <v>2</v>
      </c>
      <c r="F371" s="2" t="n">
        <v>2</v>
      </c>
      <c r="G371" s="4" t="n">
        <v>2</v>
      </c>
      <c r="H371" s="13" t="n"/>
      <c r="I371" s="15" t="n"/>
      <c r="J371" s="19" t="n">
        <v>2</v>
      </c>
      <c r="K371" s="2" t="inlineStr">
        <is>
          <t>marker_116_960561.png</t>
        </is>
      </c>
      <c r="L371" s="11">
        <f>HYPERLINK("2\0\" &amp; K371, "Ver Imagen")</f>
        <v/>
      </c>
      <c r="M371" t="inlineStr">
        <is>
          <t>Moda</t>
        </is>
      </c>
    </row>
    <row r="372">
      <c r="A372" t="n">
        <v>371</v>
      </c>
      <c r="B372" t="inlineStr">
        <is>
          <t>A-5052__290</t>
        </is>
      </c>
      <c r="C372" s="1" t="n">
        <v>37.2109544858</v>
      </c>
      <c r="D372" s="1" t="n">
        <v>-7.05402409766</v>
      </c>
      <c r="E372" s="3" t="n">
        <v>2</v>
      </c>
      <c r="F372" s="2" t="n">
        <v>2</v>
      </c>
      <c r="G372" s="4" t="n">
        <v>2</v>
      </c>
      <c r="H372" s="13" t="n"/>
      <c r="I372" s="15" t="n"/>
      <c r="J372" s="19" t="n">
        <v>2</v>
      </c>
      <c r="K372" s="2" t="inlineStr">
        <is>
          <t>marker_871_960653.png</t>
        </is>
      </c>
      <c r="L372" s="11">
        <f>HYPERLINK("2\0\" &amp; K372, "Ver Imagen")</f>
        <v/>
      </c>
      <c r="M372" t="inlineStr">
        <is>
          <t>Moda</t>
        </is>
      </c>
    </row>
    <row r="373">
      <c r="A373" t="n">
        <v>372</v>
      </c>
      <c r="B373" t="inlineStr">
        <is>
          <t>A-5052__302</t>
        </is>
      </c>
      <c r="C373" s="1" t="n">
        <v>37.2109358187</v>
      </c>
      <c r="D373" s="1" t="n">
        <v>-7.05104161112</v>
      </c>
      <c r="E373" s="3" t="n">
        <v>2</v>
      </c>
      <c r="F373" s="2" t="n">
        <v>2</v>
      </c>
      <c r="G373" s="4" t="n">
        <v>2</v>
      </c>
      <c r="H373" s="13" t="n"/>
      <c r="I373" s="15" t="n"/>
      <c r="J373" s="19" t="n">
        <v>2</v>
      </c>
      <c r="K373" s="2" t="inlineStr">
        <is>
          <t>marker_302_960944.png</t>
        </is>
      </c>
      <c r="L373" s="11">
        <f>HYPERLINK("2\0\" &amp; K373, "Ver Imagen")</f>
        <v/>
      </c>
      <c r="M373" t="inlineStr">
        <is>
          <t>Moda</t>
        </is>
      </c>
    </row>
    <row r="374">
      <c r="A374" t="n">
        <v>373</v>
      </c>
      <c r="B374" t="inlineStr">
        <is>
          <t>A-5052__303</t>
        </is>
      </c>
      <c r="C374" s="1" t="n">
        <v>37.211000702</v>
      </c>
      <c r="D374" s="1" t="n">
        <v>-7.05082896519</v>
      </c>
      <c r="E374" s="3" t="n">
        <v>2</v>
      </c>
      <c r="F374" s="2" t="n">
        <v>2</v>
      </c>
      <c r="G374" s="4" t="n">
        <v>2</v>
      </c>
      <c r="H374" s="13" t="n"/>
      <c r="I374" s="15" t="n"/>
      <c r="J374" s="19" t="n">
        <v>2</v>
      </c>
      <c r="K374" s="2" t="inlineStr">
        <is>
          <t>marker_293_960957.png</t>
        </is>
      </c>
      <c r="L374" s="11">
        <f>HYPERLINK("2\0\" &amp; K374, "Ver Imagen")</f>
        <v/>
      </c>
      <c r="M374" t="inlineStr">
        <is>
          <t>Moda</t>
        </is>
      </c>
    </row>
    <row r="375">
      <c r="A375" t="n">
        <v>374</v>
      </c>
      <c r="B375" t="inlineStr">
        <is>
          <t>A-5052__308</t>
        </is>
      </c>
      <c r="C375" s="1" t="n">
        <v>37.2115000426</v>
      </c>
      <c r="D375" s="1" t="n">
        <v>-7.04969746569</v>
      </c>
      <c r="E375" s="3" t="n">
        <v>2</v>
      </c>
      <c r="F375" s="2" t="n">
        <v>2</v>
      </c>
      <c r="G375" s="4" t="n">
        <v>2</v>
      </c>
      <c r="H375" s="13" t="n"/>
      <c r="I375" s="15" t="n"/>
      <c r="J375" s="19" t="n">
        <v>2</v>
      </c>
      <c r="K375" s="2" t="inlineStr">
        <is>
          <t>marker_146_961067.png</t>
        </is>
      </c>
      <c r="L375" s="11">
        <f>HYPERLINK("2\0\" &amp; K375, "Ver Imagen")</f>
        <v/>
      </c>
      <c r="M375" t="inlineStr">
        <is>
          <t>Moda</t>
        </is>
      </c>
    </row>
    <row r="376">
      <c r="A376" t="n">
        <v>375</v>
      </c>
      <c r="B376" t="inlineStr">
        <is>
          <t>A-5052__309</t>
        </is>
      </c>
      <c r="C376" s="1" t="n">
        <v>37.2115754744</v>
      </c>
      <c r="D376" s="1" t="n">
        <v>-7.04947796728</v>
      </c>
      <c r="E376" s="3" t="n">
        <v>2</v>
      </c>
      <c r="F376" s="2" t="n">
        <v>2</v>
      </c>
      <c r="G376" s="4" t="n">
        <v>2</v>
      </c>
      <c r="H376" s="13" t="n"/>
      <c r="I376" s="15" t="n"/>
      <c r="J376" s="19" t="n">
        <v>2</v>
      </c>
      <c r="K376" s="2" t="inlineStr">
        <is>
          <t>marker_718_961087.png</t>
        </is>
      </c>
      <c r="L376" s="11">
        <f>HYPERLINK("2\0\" &amp; K376, "Ver Imagen")</f>
        <v/>
      </c>
      <c r="M376" t="inlineStr">
        <is>
          <t>Moda</t>
        </is>
      </c>
    </row>
    <row r="377">
      <c r="A377" t="n">
        <v>376</v>
      </c>
      <c r="B377" t="inlineStr">
        <is>
          <t>A-5052__310</t>
        </is>
      </c>
      <c r="C377" s="1" t="n">
        <v>37.211648704</v>
      </c>
      <c r="D377" s="1" t="n">
        <v>-7.04921425881</v>
      </c>
      <c r="E377" s="3" t="n">
        <v>2</v>
      </c>
      <c r="F377" s="2" t="n">
        <v>2</v>
      </c>
      <c r="G377" s="4" t="n">
        <v>2</v>
      </c>
      <c r="H377" s="13" t="n"/>
      <c r="I377" s="15" t="n"/>
      <c r="J377" s="19" t="n">
        <v>2</v>
      </c>
      <c r="K377" s="2" t="inlineStr">
        <is>
          <t>marker_689_961109.png</t>
        </is>
      </c>
      <c r="L377" s="11">
        <f>HYPERLINK("2\0\" &amp; K377, "Ver Imagen")</f>
        <v/>
      </c>
      <c r="M377" t="inlineStr">
        <is>
          <t>Moda</t>
        </is>
      </c>
    </row>
    <row r="378">
      <c r="A378" t="n">
        <v>377</v>
      </c>
      <c r="B378" t="inlineStr">
        <is>
          <t>A-5052__318</t>
        </is>
      </c>
      <c r="C378" s="1" t="n">
        <v>37.2116569339</v>
      </c>
      <c r="D378" s="1" t="n">
        <v>-7.04722897597</v>
      </c>
      <c r="E378" s="3" t="n">
        <v>2</v>
      </c>
      <c r="F378" s="2" t="n">
        <v>2</v>
      </c>
      <c r="G378" s="4" t="n">
        <v>2</v>
      </c>
      <c r="H378" s="13" t="n"/>
      <c r="I378" s="15" t="n"/>
      <c r="J378" s="19" t="n">
        <v>2</v>
      </c>
      <c r="K378" s="2" t="inlineStr">
        <is>
          <t>marker_411_961230.png</t>
        </is>
      </c>
      <c r="L378" s="11">
        <f>HYPERLINK("2\0\" &amp; K378, "Ver Imagen")</f>
        <v/>
      </c>
      <c r="M378" t="inlineStr">
        <is>
          <t>Moda</t>
        </is>
      </c>
    </row>
    <row r="379">
      <c r="A379" t="n">
        <v>378</v>
      </c>
      <c r="B379" t="inlineStr">
        <is>
          <t>A-5052__321</t>
        </is>
      </c>
      <c r="C379" s="1" t="n">
        <v>37.211520651</v>
      </c>
      <c r="D379" s="1" t="n">
        <v>-7.0465041837</v>
      </c>
      <c r="E379" s="3" t="n">
        <v>2</v>
      </c>
      <c r="F379" s="2" t="n">
        <v>2</v>
      </c>
      <c r="G379" s="4" t="n">
        <v>2</v>
      </c>
      <c r="H379" s="13" t="n"/>
      <c r="I379" s="15" t="n"/>
      <c r="J379" s="19" t="n">
        <v>2</v>
      </c>
      <c r="K379" s="2" t="inlineStr">
        <is>
          <t>marker_815_961281.png</t>
        </is>
      </c>
      <c r="L379" s="11">
        <f>HYPERLINK("2\0\" &amp; K379, "Ver Imagen")</f>
        <v/>
      </c>
      <c r="M379" t="inlineStr">
        <is>
          <t>Moda</t>
        </is>
      </c>
    </row>
    <row r="380">
      <c r="A380" t="n">
        <v>379</v>
      </c>
      <c r="B380" t="inlineStr">
        <is>
          <t>A-5052__332</t>
        </is>
      </c>
      <c r="C380" s="1" t="n">
        <v>37.2107810119</v>
      </c>
      <c r="D380" s="1" t="n">
        <v>-7.0438400084</v>
      </c>
      <c r="E380" s="3" t="n">
        <v>2</v>
      </c>
      <c r="F380" s="2" t="n">
        <v>2</v>
      </c>
      <c r="G380" s="4" t="n">
        <v>2</v>
      </c>
      <c r="H380" s="13" t="n"/>
      <c r="I380" s="15" t="n"/>
      <c r="J380" s="19" t="n">
        <v>2</v>
      </c>
      <c r="K380" s="2" t="inlineStr">
        <is>
          <t>marker_397_961521.png</t>
        </is>
      </c>
      <c r="L380" s="11">
        <f>HYPERLINK("2\0\" &amp; K380, "Ver Imagen")</f>
        <v/>
      </c>
      <c r="M380" t="inlineStr">
        <is>
          <t>Moda</t>
        </is>
      </c>
    </row>
    <row r="381">
      <c r="A381" t="n">
        <v>380</v>
      </c>
      <c r="B381" t="inlineStr">
        <is>
          <t>A-5052__339</t>
        </is>
      </c>
      <c r="C381" s="1" t="n">
        <v>37.2101876904</v>
      </c>
      <c r="D381" s="1" t="n">
        <v>-7.04224664669</v>
      </c>
      <c r="E381" s="3" t="n">
        <v>2</v>
      </c>
      <c r="F381" s="2" t="n">
        <v>2</v>
      </c>
      <c r="G381" s="4" t="n">
        <v>2</v>
      </c>
      <c r="H381" s="13" t="n"/>
      <c r="I381" s="15" t="n"/>
      <c r="J381" s="19" t="n">
        <v>2</v>
      </c>
      <c r="K381" s="2" t="inlineStr">
        <is>
          <t>marker_932_961609.png</t>
        </is>
      </c>
      <c r="L381" s="11">
        <f>HYPERLINK("2\0\" &amp; K381, "Ver Imagen")</f>
        <v/>
      </c>
      <c r="M381" t="inlineStr">
        <is>
          <t>Moda</t>
        </is>
      </c>
    </row>
    <row r="382">
      <c r="A382" t="n">
        <v>381</v>
      </c>
      <c r="B382" t="inlineStr">
        <is>
          <t>A-5052__343</t>
        </is>
      </c>
      <c r="C382" s="1" t="n">
        <v>37.209853896</v>
      </c>
      <c r="D382" s="1" t="n">
        <v>-7.04134701979</v>
      </c>
      <c r="E382" s="3" t="n">
        <v>2</v>
      </c>
      <c r="F382" s="2" t="n">
        <v>2</v>
      </c>
      <c r="G382" s="4" t="n">
        <v>2</v>
      </c>
      <c r="H382" s="13" t="n"/>
      <c r="I382" s="15" t="n"/>
      <c r="J382" s="19" t="n">
        <v>2</v>
      </c>
      <c r="K382" s="2" t="inlineStr">
        <is>
          <t>marker_219_961656.png</t>
        </is>
      </c>
      <c r="L382" s="11">
        <f>HYPERLINK("2\0\" &amp; K382, "Ver Imagen")</f>
        <v/>
      </c>
      <c r="M382" t="inlineStr">
        <is>
          <t>Moda</t>
        </is>
      </c>
    </row>
    <row r="383">
      <c r="A383" t="n">
        <v>382</v>
      </c>
      <c r="B383" t="inlineStr">
        <is>
          <t>A-5052__345</t>
        </is>
      </c>
      <c r="C383" s="1" t="n">
        <v>37.2096779666</v>
      </c>
      <c r="D383" s="1" t="n">
        <v>-7.04088586639</v>
      </c>
      <c r="E383" s="3" t="n">
        <v>2</v>
      </c>
      <c r="F383" s="2" t="n">
        <v>2</v>
      </c>
      <c r="G383" s="4" t="n">
        <v>2</v>
      </c>
      <c r="H383" s="13" t="n"/>
      <c r="I383" s="15" t="n"/>
      <c r="J383" s="19" t="n">
        <v>2</v>
      </c>
      <c r="K383" s="2" t="inlineStr">
        <is>
          <t>marker_861_961676.png</t>
        </is>
      </c>
      <c r="L383" s="11">
        <f>HYPERLINK("2\0\" &amp; K383, "Ver Imagen")</f>
        <v/>
      </c>
      <c r="M383" t="inlineStr">
        <is>
          <t>Moda</t>
        </is>
      </c>
    </row>
    <row r="384">
      <c r="A384" t="n">
        <v>383</v>
      </c>
      <c r="B384" t="inlineStr">
        <is>
          <t>A-5052__347</t>
        </is>
      </c>
      <c r="C384" s="1" t="n">
        <v>37.2095244594</v>
      </c>
      <c r="D384" s="1" t="n">
        <v>-7.04047391424</v>
      </c>
      <c r="E384" s="3" t="n">
        <v>2</v>
      </c>
      <c r="F384" s="2" t="n">
        <v>2</v>
      </c>
      <c r="G384" s="4" t="n">
        <v>2</v>
      </c>
      <c r="H384" s="13" t="n"/>
      <c r="I384" s="15" t="n"/>
      <c r="J384" s="19" t="n">
        <v>2</v>
      </c>
      <c r="K384" s="2" t="inlineStr">
        <is>
          <t>marker_985_961714.png</t>
        </is>
      </c>
      <c r="L384" s="11">
        <f>HYPERLINK("2\0\" &amp; K384, "Ver Imagen")</f>
        <v/>
      </c>
      <c r="M384" t="inlineStr">
        <is>
          <t>Moda</t>
        </is>
      </c>
    </row>
    <row r="385">
      <c r="A385" t="n">
        <v>384</v>
      </c>
      <c r="B385" t="inlineStr">
        <is>
          <t>A-5052__420</t>
        </is>
      </c>
      <c r="C385" s="1" t="n">
        <v>37.20311067</v>
      </c>
      <c r="D385" s="1" t="n">
        <v>-7.02381001747</v>
      </c>
      <c r="E385" s="3" t="n">
        <v>2</v>
      </c>
      <c r="F385" s="2" t="n">
        <v>2</v>
      </c>
      <c r="G385" s="4" t="n">
        <v>2</v>
      </c>
      <c r="H385" s="13" t="n"/>
      <c r="I385" s="15" t="n"/>
      <c r="J385" s="19" t="n">
        <v>2</v>
      </c>
      <c r="K385" s="2" t="inlineStr">
        <is>
          <t>marker_837_962875.png</t>
        </is>
      </c>
      <c r="L385" s="11">
        <f>HYPERLINK("2\0\" &amp; K385, "Ver Imagen")</f>
        <v/>
      </c>
      <c r="M385" t="inlineStr">
        <is>
          <t>Moda</t>
        </is>
      </c>
    </row>
    <row r="386">
      <c r="A386" t="n">
        <v>385</v>
      </c>
      <c r="B386" t="inlineStr">
        <is>
          <t>A-5052__457</t>
        </is>
      </c>
      <c r="C386" s="1" t="n">
        <v>37.1998753303</v>
      </c>
      <c r="D386" s="1" t="n">
        <v>-7.01536193219</v>
      </c>
      <c r="E386" s="3" t="n">
        <v>2</v>
      </c>
      <c r="F386" s="2" t="n">
        <v>2</v>
      </c>
      <c r="G386" s="4" t="n">
        <v>2</v>
      </c>
      <c r="H386" s="13" t="n"/>
      <c r="I386" s="15" t="n"/>
      <c r="J386" s="19" t="n">
        <v>2</v>
      </c>
      <c r="K386" s="2" t="inlineStr">
        <is>
          <t>marker_730_963252.png</t>
        </is>
      </c>
      <c r="L386" s="11">
        <f>HYPERLINK("2\0\" &amp; K386, "Ver Imagen")</f>
        <v/>
      </c>
      <c r="M386" t="inlineStr">
        <is>
          <t>Moda</t>
        </is>
      </c>
    </row>
    <row r="387">
      <c r="A387" t="n">
        <v>386</v>
      </c>
      <c r="B387" t="inlineStr">
        <is>
          <t>A-5052__469</t>
        </is>
      </c>
      <c r="C387" s="1" t="n">
        <v>37.1988230341</v>
      </c>
      <c r="D387" s="1" t="n">
        <v>-7.01262495912</v>
      </c>
      <c r="E387" s="3" t="n">
        <v>2</v>
      </c>
      <c r="F387" s="2" t="n">
        <v>2</v>
      </c>
      <c r="G387" s="4" t="n">
        <v>2</v>
      </c>
      <c r="H387" s="13" t="n"/>
      <c r="I387" s="15" t="n"/>
      <c r="J387" s="19" t="n">
        <v>2</v>
      </c>
      <c r="K387" s="2" t="inlineStr">
        <is>
          <t>marker_977_963382.png</t>
        </is>
      </c>
      <c r="L387" s="11">
        <f>HYPERLINK("2\0\" &amp; K387, "Ver Imagen")</f>
        <v/>
      </c>
      <c r="M387" t="inlineStr">
        <is>
          <t>Moda</t>
        </is>
      </c>
    </row>
    <row r="388">
      <c r="A388" t="n">
        <v>387</v>
      </c>
      <c r="B388" t="inlineStr">
        <is>
          <t>A-5052__470</t>
        </is>
      </c>
      <c r="C388" s="1" t="n">
        <v>37.198737503</v>
      </c>
      <c r="D388" s="1" t="n">
        <v>-7.0124110669</v>
      </c>
      <c r="E388" s="3" t="n">
        <v>2</v>
      </c>
      <c r="F388" s="2" t="n">
        <v>2</v>
      </c>
      <c r="G388" s="4" t="n">
        <v>2</v>
      </c>
      <c r="H388" s="13" t="n"/>
      <c r="I388" s="15" t="n"/>
      <c r="J388" s="19" t="n">
        <v>2</v>
      </c>
      <c r="K388" s="2" t="inlineStr">
        <is>
          <t>marker_795_963390.png</t>
        </is>
      </c>
      <c r="L388" s="11">
        <f>HYPERLINK("2\0\" &amp; K388, "Ver Imagen")</f>
        <v/>
      </c>
      <c r="M388" t="inlineStr">
        <is>
          <t>Moda</t>
        </is>
      </c>
    </row>
    <row r="389">
      <c r="A389" t="n">
        <v>388</v>
      </c>
      <c r="B389" t="inlineStr">
        <is>
          <t>A-5052__472</t>
        </is>
      </c>
      <c r="C389" s="1" t="n">
        <v>37.1985579572</v>
      </c>
      <c r="D389" s="1" t="n">
        <v>-7.01194910985</v>
      </c>
      <c r="E389" s="3" t="n">
        <v>2</v>
      </c>
      <c r="F389" s="2" t="n">
        <v>2</v>
      </c>
      <c r="G389" s="4" t="n">
        <v>2</v>
      </c>
      <c r="H389" s="13" t="n"/>
      <c r="I389" s="15" t="n"/>
      <c r="J389" s="19" t="n">
        <v>2</v>
      </c>
      <c r="K389" s="2" t="inlineStr">
        <is>
          <t>marker_355_963408.png</t>
        </is>
      </c>
      <c r="L389" s="11">
        <f>HYPERLINK("2\0\" &amp; K389, "Ver Imagen")</f>
        <v/>
      </c>
      <c r="M389" t="inlineStr">
        <is>
          <t>Moda</t>
        </is>
      </c>
    </row>
    <row r="390">
      <c r="A390" t="n">
        <v>389</v>
      </c>
      <c r="B390" t="inlineStr">
        <is>
          <t>A-5052__473</t>
        </is>
      </c>
      <c r="C390" s="1" t="n">
        <v>37.1984690844</v>
      </c>
      <c r="D390" s="1" t="n">
        <v>-7.01171804037</v>
      </c>
      <c r="E390" s="3" t="n">
        <v>2</v>
      </c>
      <c r="F390" s="2" t="n">
        <v>2</v>
      </c>
      <c r="G390" s="4" t="n">
        <v>2</v>
      </c>
      <c r="H390" s="13" t="n"/>
      <c r="I390" s="15" t="n"/>
      <c r="J390" s="19" t="n">
        <v>2</v>
      </c>
      <c r="K390" s="2" t="inlineStr">
        <is>
          <t>marker_652_963422.png</t>
        </is>
      </c>
      <c r="L390" s="11">
        <f>HYPERLINK("2\0\" &amp; K390, "Ver Imagen")</f>
        <v/>
      </c>
      <c r="M390" t="inlineStr">
        <is>
          <t>Moda</t>
        </is>
      </c>
    </row>
    <row r="391">
      <c r="A391" t="n">
        <v>390</v>
      </c>
      <c r="B391" t="inlineStr">
        <is>
          <t>A-5052__477</t>
        </is>
      </c>
      <c r="C391" s="1" t="n">
        <v>37.1981065359</v>
      </c>
      <c r="D391" s="1" t="n">
        <v>-7.0107820947</v>
      </c>
      <c r="E391" s="3" t="n">
        <v>2</v>
      </c>
      <c r="F391" s="2" t="n">
        <v>2</v>
      </c>
      <c r="G391" s="4" t="n">
        <v>2</v>
      </c>
      <c r="H391" s="13" t="n"/>
      <c r="I391" s="15" t="n"/>
      <c r="J391" s="19" t="n">
        <v>2</v>
      </c>
      <c r="K391" s="2" t="inlineStr">
        <is>
          <t>marker_761_963459.png</t>
        </is>
      </c>
      <c r="L391" s="11">
        <f>HYPERLINK("2\0\" &amp; K391, "Ver Imagen")</f>
        <v/>
      </c>
      <c r="M391" t="inlineStr">
        <is>
          <t>Moda</t>
        </is>
      </c>
    </row>
    <row r="392">
      <c r="A392" t="n">
        <v>391</v>
      </c>
      <c r="B392" t="inlineStr">
        <is>
          <t>A-5052__482</t>
        </is>
      </c>
      <c r="C392" s="1" t="n">
        <v>37.1976828241</v>
      </c>
      <c r="D392" s="1" t="n">
        <v>-7.00968656361</v>
      </c>
      <c r="E392" s="3" t="n">
        <v>2</v>
      </c>
      <c r="F392" s="2" t="n">
        <v>2</v>
      </c>
      <c r="G392" s="4" t="n">
        <v>2</v>
      </c>
      <c r="H392" s="13" t="n"/>
      <c r="I392" s="15" t="n"/>
      <c r="J392" s="19" t="n">
        <v>2</v>
      </c>
      <c r="K392" s="2" t="inlineStr">
        <is>
          <t>marker_343_963512.png</t>
        </is>
      </c>
      <c r="L392" s="11">
        <f>HYPERLINK("2\0\" &amp; K392, "Ver Imagen")</f>
        <v/>
      </c>
      <c r="M392" t="inlineStr">
        <is>
          <t>Moda</t>
        </is>
      </c>
    </row>
    <row r="393">
      <c r="A393" t="n">
        <v>392</v>
      </c>
      <c r="B393" t="inlineStr">
        <is>
          <t>A-5052__484</t>
        </is>
      </c>
      <c r="C393" s="1" t="n">
        <v>37.1975057039</v>
      </c>
      <c r="D393" s="1" t="n">
        <v>-7.0091928487</v>
      </c>
      <c r="E393" s="3" t="n">
        <v>2</v>
      </c>
      <c r="F393" s="2" t="n">
        <v>2</v>
      </c>
      <c r="G393" s="4" t="n">
        <v>2</v>
      </c>
      <c r="H393" s="13" t="n"/>
      <c r="I393" s="15" t="n"/>
      <c r="J393" s="19" t="n">
        <v>2</v>
      </c>
      <c r="K393" s="2" t="inlineStr">
        <is>
          <t>marker_952_963532.png</t>
        </is>
      </c>
      <c r="L393" s="11">
        <f>HYPERLINK("2\0\" &amp; K393, "Ver Imagen")</f>
        <v/>
      </c>
      <c r="M393" t="inlineStr">
        <is>
          <t>Moda</t>
        </is>
      </c>
    </row>
    <row r="394">
      <c r="A394" t="n">
        <v>393</v>
      </c>
      <c r="B394" t="inlineStr">
        <is>
          <t>A-5052__490</t>
        </is>
      </c>
      <c r="C394" s="1" t="n">
        <v>37.1972787343</v>
      </c>
      <c r="D394" s="1" t="n">
        <v>-7.00772036934</v>
      </c>
      <c r="E394" s="3" t="n">
        <v>2</v>
      </c>
      <c r="F394" s="2" t="n">
        <v>2</v>
      </c>
      <c r="G394" s="4" t="n">
        <v>2</v>
      </c>
      <c r="H394" s="13" t="n"/>
      <c r="I394" s="15" t="n"/>
      <c r="J394" s="19" t="n">
        <v>2</v>
      </c>
      <c r="K394" s="2" t="inlineStr">
        <is>
          <t>marker_170_963589.png</t>
        </is>
      </c>
      <c r="L394" s="11">
        <f>HYPERLINK("2\0\" &amp; K394, "Ver Imagen")</f>
        <v/>
      </c>
      <c r="M394" t="inlineStr">
        <is>
          <t>Moda</t>
        </is>
      </c>
    </row>
    <row r="395">
      <c r="A395" t="n">
        <v>394</v>
      </c>
      <c r="B395" t="inlineStr">
        <is>
          <t>A-5052__491</t>
        </is>
      </c>
      <c r="C395" s="1" t="n">
        <v>37.197255701</v>
      </c>
      <c r="D395" s="1" t="n">
        <v>-7.00745893514</v>
      </c>
      <c r="E395" s="3" t="n">
        <v>2</v>
      </c>
      <c r="F395" s="2" t="n">
        <v>2</v>
      </c>
      <c r="G395" s="4" t="n">
        <v>2</v>
      </c>
      <c r="H395" s="13" t="n"/>
      <c r="I395" s="15" t="n"/>
      <c r="J395" s="19" t="n">
        <v>2</v>
      </c>
      <c r="K395" s="2" t="inlineStr">
        <is>
          <t>marker_236_963597.png</t>
        </is>
      </c>
      <c r="L395" s="11">
        <f>HYPERLINK("2\0\" &amp; K395, "Ver Imagen")</f>
        <v/>
      </c>
      <c r="M395" t="inlineStr">
        <is>
          <t>Moda</t>
        </is>
      </c>
    </row>
    <row r="396">
      <c r="A396" t="n">
        <v>395</v>
      </c>
      <c r="B396" t="inlineStr">
        <is>
          <t>A-5052__492</t>
        </is>
      </c>
      <c r="C396" s="1" t="n">
        <v>37.1972321064</v>
      </c>
      <c r="D396" s="1" t="n">
        <v>-7.00721039834</v>
      </c>
      <c r="E396" s="3" t="n">
        <v>2</v>
      </c>
      <c r="F396" s="2" t="n">
        <v>2</v>
      </c>
      <c r="G396" s="4" t="n">
        <v>2</v>
      </c>
      <c r="H396" s="13" t="n"/>
      <c r="I396" s="15" t="n"/>
      <c r="J396" s="19" t="n">
        <v>2</v>
      </c>
      <c r="K396" s="2" t="inlineStr">
        <is>
          <t>marker_754_963606.png</t>
        </is>
      </c>
      <c r="L396" s="11">
        <f>HYPERLINK("2\0\" &amp; K396, "Ver Imagen")</f>
        <v/>
      </c>
      <c r="M396" t="inlineStr">
        <is>
          <t>Moda</t>
        </is>
      </c>
    </row>
    <row r="397">
      <c r="A397" t="n">
        <v>396</v>
      </c>
      <c r="B397" t="inlineStr">
        <is>
          <t>A-5052__496</t>
        </is>
      </c>
      <c r="C397" s="1" t="n">
        <v>37.1971049624</v>
      </c>
      <c r="D397" s="1" t="n">
        <v>-7.00623753647</v>
      </c>
      <c r="E397" s="3" t="n">
        <v>2</v>
      </c>
      <c r="F397" s="2" t="n">
        <v>2</v>
      </c>
      <c r="G397" s="4" t="n">
        <v>2</v>
      </c>
      <c r="H397" s="13" t="n"/>
      <c r="I397" s="15" t="n"/>
      <c r="J397" s="19" t="n">
        <v>2</v>
      </c>
      <c r="K397" s="2" t="inlineStr">
        <is>
          <t>marker_118_963642.png</t>
        </is>
      </c>
      <c r="L397" s="11">
        <f>HYPERLINK("2\0\" &amp; K397, "Ver Imagen")</f>
        <v/>
      </c>
      <c r="M397" t="inlineStr">
        <is>
          <t>Moda</t>
        </is>
      </c>
    </row>
    <row r="398">
      <c r="A398" t="n">
        <v>397</v>
      </c>
      <c r="B398" t="inlineStr">
        <is>
          <t>A-5053__375</t>
        </is>
      </c>
      <c r="C398" s="1" t="n">
        <v>37.2874602768</v>
      </c>
      <c r="D398" s="1" t="n">
        <v>-7.14121038098</v>
      </c>
      <c r="E398" s="3" t="n">
        <v>2</v>
      </c>
      <c r="F398" s="2" t="n">
        <v>2</v>
      </c>
      <c r="G398" s="4" t="n">
        <v>2</v>
      </c>
      <c r="H398" s="13" t="n"/>
      <c r="I398" s="15" t="n"/>
      <c r="J398" s="19" t="n">
        <v>2</v>
      </c>
      <c r="K398" s="2" t="inlineStr">
        <is>
          <t>marker_113_963908.png</t>
        </is>
      </c>
      <c r="L398" s="11">
        <f>HYPERLINK("2\0\" &amp; K398, "Ver Imagen")</f>
        <v/>
      </c>
      <c r="M398" t="inlineStr">
        <is>
          <t>Moda</t>
        </is>
      </c>
    </row>
    <row r="399">
      <c r="A399" t="n">
        <v>398</v>
      </c>
      <c r="B399" t="inlineStr">
        <is>
          <t>A-5053__374</t>
        </is>
      </c>
      <c r="C399" s="1" t="n">
        <v>37.2872598744</v>
      </c>
      <c r="D399" s="1" t="n">
        <v>-7.14122270222</v>
      </c>
      <c r="E399" s="3" t="n">
        <v>2</v>
      </c>
      <c r="F399" s="2" t="n">
        <v>2</v>
      </c>
      <c r="G399" s="4" t="n">
        <v>2</v>
      </c>
      <c r="H399" s="13" t="n"/>
      <c r="I399" s="15" t="n"/>
      <c r="J399" s="19" t="n">
        <v>2</v>
      </c>
      <c r="K399" s="2" t="inlineStr">
        <is>
          <t>marker_702_963918.png</t>
        </is>
      </c>
      <c r="L399" s="11">
        <f>HYPERLINK("2\0\" &amp; K399, "Ver Imagen")</f>
        <v/>
      </c>
      <c r="M399" t="inlineStr">
        <is>
          <t>Moda</t>
        </is>
      </c>
    </row>
    <row r="400">
      <c r="A400" t="n">
        <v>399</v>
      </c>
      <c r="B400" t="inlineStr">
        <is>
          <t>A-5053__372</t>
        </is>
      </c>
      <c r="C400" s="1" t="n">
        <v>37.2868544604</v>
      </c>
      <c r="D400" s="1" t="n">
        <v>-7.14132494453</v>
      </c>
      <c r="E400" s="3" t="n">
        <v>2</v>
      </c>
      <c r="F400" s="2" t="n">
        <v>2</v>
      </c>
      <c r="G400" s="4" t="n">
        <v>2</v>
      </c>
      <c r="H400" s="13" t="n"/>
      <c r="I400" s="15" t="n"/>
      <c r="J400" s="19" t="n">
        <v>2</v>
      </c>
      <c r="K400" s="2" t="inlineStr">
        <is>
          <t>marker_552_963936.png</t>
        </is>
      </c>
      <c r="L400" s="11">
        <f>HYPERLINK("2\0\" &amp; K400, "Ver Imagen")</f>
        <v/>
      </c>
      <c r="M400" t="inlineStr">
        <is>
          <t>Moda</t>
        </is>
      </c>
    </row>
    <row r="401">
      <c r="A401" t="n">
        <v>400</v>
      </c>
      <c r="B401" t="inlineStr">
        <is>
          <t>A-5053__370</t>
        </is>
      </c>
      <c r="C401" s="1" t="n">
        <v>37.2864964625</v>
      </c>
      <c r="D401" s="1" t="n">
        <v>-7.14149633478</v>
      </c>
      <c r="E401" s="3" t="n">
        <v>2</v>
      </c>
      <c r="F401" s="2" t="n">
        <v>2</v>
      </c>
      <c r="G401" s="4" t="n">
        <v>2</v>
      </c>
      <c r="H401" s="13" t="n"/>
      <c r="I401" s="15" t="n"/>
      <c r="J401" s="19" t="n">
        <v>2</v>
      </c>
      <c r="K401" s="2" t="inlineStr">
        <is>
          <t>marker_546_963958.png</t>
        </is>
      </c>
      <c r="L401" s="11">
        <f>HYPERLINK("2\0\" &amp; K401, "Ver Imagen")</f>
        <v/>
      </c>
      <c r="M401" t="inlineStr">
        <is>
          <t>Moda</t>
        </is>
      </c>
    </row>
    <row r="402">
      <c r="A402" t="n">
        <v>401</v>
      </c>
      <c r="B402" t="inlineStr">
        <is>
          <t>A-5053__357</t>
        </is>
      </c>
      <c r="C402" s="1" t="n">
        <v>37.2843735271</v>
      </c>
      <c r="D402" s="1" t="n">
        <v>-7.14320895636</v>
      </c>
      <c r="E402" s="3" t="n">
        <v>2</v>
      </c>
      <c r="F402" s="2" t="n">
        <v>2</v>
      </c>
      <c r="G402" s="4" t="n">
        <v>2</v>
      </c>
      <c r="H402" s="13" t="n"/>
      <c r="I402" s="15" t="n"/>
      <c r="J402" s="19" t="n">
        <v>2</v>
      </c>
      <c r="K402" s="2" t="inlineStr">
        <is>
          <t>marker_154_964103.png</t>
        </is>
      </c>
      <c r="L402" s="11">
        <f>HYPERLINK("2\0\" &amp; K402, "Ver Imagen")</f>
        <v/>
      </c>
      <c r="M402" t="inlineStr">
        <is>
          <t>Moda</t>
        </is>
      </c>
    </row>
    <row r="403">
      <c r="A403" t="n">
        <v>402</v>
      </c>
      <c r="B403" t="inlineStr">
        <is>
          <t>A-5053__356</t>
        </is>
      </c>
      <c r="C403" s="1" t="n">
        <v>37.2841973642</v>
      </c>
      <c r="D403" s="1" t="n">
        <v>-7.14331837462</v>
      </c>
      <c r="E403" s="3" t="n">
        <v>2</v>
      </c>
      <c r="F403" s="2" t="n">
        <v>2</v>
      </c>
      <c r="G403" s="4" t="n">
        <v>2</v>
      </c>
      <c r="H403" s="13" t="n"/>
      <c r="I403" s="15" t="n"/>
      <c r="J403" s="19" t="n">
        <v>2</v>
      </c>
      <c r="K403" s="2" t="inlineStr">
        <is>
          <t>marker_611_964112.png</t>
        </is>
      </c>
      <c r="L403" s="11">
        <f>HYPERLINK("2\0\" &amp; K403, "Ver Imagen")</f>
        <v/>
      </c>
      <c r="M403" t="inlineStr">
        <is>
          <t>Moda</t>
        </is>
      </c>
    </row>
    <row r="404">
      <c r="A404" t="n">
        <v>403</v>
      </c>
      <c r="B404" t="inlineStr">
        <is>
          <t>A-5053__355</t>
        </is>
      </c>
      <c r="C404" s="1" t="n">
        <v>37.2840037426</v>
      </c>
      <c r="D404" s="1" t="n">
        <v>-7.14343604805</v>
      </c>
      <c r="E404" s="3" t="n">
        <v>2</v>
      </c>
      <c r="F404" s="2" t="n">
        <v>2</v>
      </c>
      <c r="G404" s="4" t="n">
        <v>2</v>
      </c>
      <c r="H404" s="13" t="n"/>
      <c r="I404" s="15" t="n"/>
      <c r="J404" s="19" t="n">
        <v>2</v>
      </c>
      <c r="K404" s="2" t="inlineStr">
        <is>
          <t>marker_816_964123.png</t>
        </is>
      </c>
      <c r="L404" s="11">
        <f>HYPERLINK("2\0\" &amp; K404, "Ver Imagen")</f>
        <v/>
      </c>
      <c r="M404" t="inlineStr">
        <is>
          <t>Moda</t>
        </is>
      </c>
    </row>
    <row r="405">
      <c r="A405" t="n">
        <v>404</v>
      </c>
      <c r="B405" t="inlineStr">
        <is>
          <t>A-5053__353</t>
        </is>
      </c>
      <c r="C405" s="1" t="n">
        <v>37.2836347323</v>
      </c>
      <c r="D405" s="1" t="n">
        <v>-7.14364064097</v>
      </c>
      <c r="E405" s="3" t="n">
        <v>2</v>
      </c>
      <c r="F405" s="2" t="n">
        <v>2</v>
      </c>
      <c r="G405" s="4" t="n">
        <v>2</v>
      </c>
      <c r="H405" s="13" t="n"/>
      <c r="I405" s="15" t="n"/>
      <c r="J405" s="19" t="n">
        <v>2</v>
      </c>
      <c r="K405" s="2" t="inlineStr">
        <is>
          <t>marker_672_964145.png</t>
        </is>
      </c>
      <c r="L405" s="11">
        <f>HYPERLINK("2\0\" &amp; K405, "Ver Imagen")</f>
        <v/>
      </c>
      <c r="M405" t="inlineStr">
        <is>
          <t>Moda</t>
        </is>
      </c>
    </row>
    <row r="406">
      <c r="A406" t="n">
        <v>405</v>
      </c>
      <c r="B406" t="inlineStr">
        <is>
          <t>A-5053__352</t>
        </is>
      </c>
      <c r="C406" s="1" t="n">
        <v>37.2834531997</v>
      </c>
      <c r="D406" s="1" t="n">
        <v>-7.14373112853</v>
      </c>
      <c r="E406" s="3" t="n">
        <v>2</v>
      </c>
      <c r="F406" s="2" t="n">
        <v>2</v>
      </c>
      <c r="G406" s="4" t="n">
        <v>2</v>
      </c>
      <c r="H406" s="13" t="n"/>
      <c r="I406" s="15" t="n"/>
      <c r="J406" s="19" t="n">
        <v>2</v>
      </c>
      <c r="K406" s="2" t="inlineStr">
        <is>
          <t>marker_189_964154.png</t>
        </is>
      </c>
      <c r="L406" s="11">
        <f>HYPERLINK("2\0\" &amp; K406, "Ver Imagen")</f>
        <v/>
      </c>
      <c r="M406" t="inlineStr">
        <is>
          <t>Moda</t>
        </is>
      </c>
    </row>
    <row r="407">
      <c r="A407" t="n">
        <v>406</v>
      </c>
      <c r="B407" t="inlineStr">
        <is>
          <t>A-5053__350</t>
        </is>
      </c>
      <c r="C407" s="1" t="n">
        <v>37.2830851964</v>
      </c>
      <c r="D407" s="1" t="n">
        <v>-7.14389718548</v>
      </c>
      <c r="E407" s="3" t="n">
        <v>2</v>
      </c>
      <c r="F407" s="2" t="n">
        <v>2</v>
      </c>
      <c r="G407" s="4" t="n">
        <v>2</v>
      </c>
      <c r="H407" s="13" t="n"/>
      <c r="I407" s="15" t="n"/>
      <c r="J407" s="19" t="n">
        <v>2</v>
      </c>
      <c r="K407" s="2" t="inlineStr">
        <is>
          <t>marker_878_964174.png</t>
        </is>
      </c>
      <c r="L407" s="11">
        <f>HYPERLINK("2\0\" &amp; K407, "Ver Imagen")</f>
        <v/>
      </c>
      <c r="M407" t="inlineStr">
        <is>
          <t>Moda</t>
        </is>
      </c>
    </row>
    <row r="408">
      <c r="A408" t="n">
        <v>407</v>
      </c>
      <c r="B408" t="inlineStr">
        <is>
          <t>A-5053__349</t>
        </is>
      </c>
      <c r="C408" s="1" t="n">
        <v>37.2828897493</v>
      </c>
      <c r="D408" s="1" t="n">
        <v>-7.14397668771</v>
      </c>
      <c r="E408" s="3" t="n">
        <v>2</v>
      </c>
      <c r="F408" s="2" t="n">
        <v>2</v>
      </c>
      <c r="G408" s="4" t="n">
        <v>2</v>
      </c>
      <c r="H408" s="13" t="n"/>
      <c r="I408" s="15" t="n"/>
      <c r="J408" s="19" t="n">
        <v>2</v>
      </c>
      <c r="K408" s="2" t="inlineStr">
        <is>
          <t>marker_643_964184.png</t>
        </is>
      </c>
      <c r="L408" s="11">
        <f>HYPERLINK("2\0\" &amp; K408, "Ver Imagen")</f>
        <v/>
      </c>
      <c r="M408" t="inlineStr">
        <is>
          <t>Moda</t>
        </is>
      </c>
    </row>
    <row r="409">
      <c r="A409" t="n">
        <v>408</v>
      </c>
      <c r="B409" t="inlineStr">
        <is>
          <t>A-5053__347</t>
        </is>
      </c>
      <c r="C409" s="1" t="n">
        <v>37.2824867555</v>
      </c>
      <c r="D409" s="1" t="n">
        <v>-7.1441391957</v>
      </c>
      <c r="E409" s="3" t="n">
        <v>2</v>
      </c>
      <c r="F409" s="2" t="n">
        <v>2</v>
      </c>
      <c r="G409" s="4" t="n">
        <v>2</v>
      </c>
      <c r="H409" s="13" t="n"/>
      <c r="I409" s="15" t="n"/>
      <c r="J409" s="19" t="n">
        <v>2</v>
      </c>
      <c r="K409" s="2" t="inlineStr">
        <is>
          <t>marker_916_964203.png</t>
        </is>
      </c>
      <c r="L409" s="11">
        <f>HYPERLINK("2\0\" &amp; K409, "Ver Imagen")</f>
        <v/>
      </c>
      <c r="M409" t="inlineStr">
        <is>
          <t>Moda</t>
        </is>
      </c>
    </row>
    <row r="410">
      <c r="A410" t="n">
        <v>409</v>
      </c>
      <c r="B410" t="inlineStr">
        <is>
          <t>A-5053__346</t>
        </is>
      </c>
      <c r="C410" s="1" t="n">
        <v>37.2823062192</v>
      </c>
      <c r="D410" s="1" t="n">
        <v>-7.14421226969</v>
      </c>
      <c r="E410" s="3" t="n">
        <v>2</v>
      </c>
      <c r="F410" s="2" t="n">
        <v>2</v>
      </c>
      <c r="G410" s="4" t="n">
        <v>2</v>
      </c>
      <c r="H410" s="13" t="n"/>
      <c r="I410" s="15" t="n"/>
      <c r="J410" s="19" t="n">
        <v>2</v>
      </c>
      <c r="K410" s="2" t="inlineStr">
        <is>
          <t>marker_484_964213.png</t>
        </is>
      </c>
      <c r="L410" s="11">
        <f>HYPERLINK("2\0\" &amp; K410, "Ver Imagen")</f>
        <v/>
      </c>
      <c r="M410" t="inlineStr">
        <is>
          <t>Moda</t>
        </is>
      </c>
    </row>
    <row r="411">
      <c r="A411" t="n">
        <v>410</v>
      </c>
      <c r="B411" t="inlineStr">
        <is>
          <t>A-5053__343</t>
        </is>
      </c>
      <c r="C411" s="1" t="n">
        <v>37.2817262166</v>
      </c>
      <c r="D411" s="1" t="n">
        <v>-7.14446389888</v>
      </c>
      <c r="E411" s="3" t="n">
        <v>2</v>
      </c>
      <c r="F411" s="2" t="n">
        <v>2</v>
      </c>
      <c r="G411" s="4" t="n">
        <v>2</v>
      </c>
      <c r="H411" s="13" t="n"/>
      <c r="I411" s="15" t="n"/>
      <c r="J411" s="19" t="n">
        <v>2</v>
      </c>
      <c r="K411" s="2" t="inlineStr">
        <is>
          <t>marker_392_964243.png</t>
        </is>
      </c>
      <c r="L411" s="11">
        <f>HYPERLINK("2\0\" &amp; K411, "Ver Imagen")</f>
        <v/>
      </c>
      <c r="M411" t="inlineStr">
        <is>
          <t>Moda</t>
        </is>
      </c>
    </row>
    <row r="412">
      <c r="A412" t="n">
        <v>411</v>
      </c>
      <c r="B412" t="inlineStr">
        <is>
          <t>A-5053__342</t>
        </is>
      </c>
      <c r="C412" s="1" t="n">
        <v>37.2815477542</v>
      </c>
      <c r="D412" s="1" t="n">
        <v>-7.14455403887</v>
      </c>
      <c r="E412" s="3" t="n">
        <v>2</v>
      </c>
      <c r="F412" s="2" t="n">
        <v>2</v>
      </c>
      <c r="G412" s="4" t="n">
        <v>2</v>
      </c>
      <c r="H412" s="13" t="n"/>
      <c r="I412" s="15" t="n"/>
      <c r="J412" s="19" t="n">
        <v>2</v>
      </c>
      <c r="K412" s="2" t="inlineStr">
        <is>
          <t>marker_868_964252.png</t>
        </is>
      </c>
      <c r="L412" s="11">
        <f>HYPERLINK("2\0\" &amp; K412, "Ver Imagen")</f>
        <v/>
      </c>
      <c r="M412" t="inlineStr">
        <is>
          <t>Moda</t>
        </is>
      </c>
    </row>
    <row r="413">
      <c r="A413" t="n">
        <v>412</v>
      </c>
      <c r="B413" t="inlineStr">
        <is>
          <t>A-5053__340</t>
        </is>
      </c>
      <c r="C413" s="1" t="n">
        <v>37.2811522849</v>
      </c>
      <c r="D413" s="1" t="n">
        <v>-7.1447825649</v>
      </c>
      <c r="E413" s="3" t="n">
        <v>2</v>
      </c>
      <c r="F413" s="2" t="n">
        <v>2</v>
      </c>
      <c r="G413" s="4" t="n">
        <v>2</v>
      </c>
      <c r="H413" s="13" t="n"/>
      <c r="I413" s="15" t="n"/>
      <c r="J413" s="19" t="n">
        <v>2</v>
      </c>
      <c r="K413" s="2" t="inlineStr">
        <is>
          <t>marker_912_964273.png</t>
        </is>
      </c>
      <c r="L413" s="11">
        <f>HYPERLINK("2\0\" &amp; K413, "Ver Imagen")</f>
        <v/>
      </c>
      <c r="M413" t="inlineStr">
        <is>
          <t>Moda</t>
        </is>
      </c>
    </row>
    <row r="414">
      <c r="A414" t="n">
        <v>413</v>
      </c>
      <c r="B414" t="inlineStr">
        <is>
          <t>A-5053__334</t>
        </is>
      </c>
      <c r="C414" s="1" t="n">
        <v>37.2801706014</v>
      </c>
      <c r="D414" s="1" t="n">
        <v>-7.14561329228</v>
      </c>
      <c r="E414" s="3" t="n">
        <v>2</v>
      </c>
      <c r="F414" s="2" t="n">
        <v>2</v>
      </c>
      <c r="G414" s="4" t="n">
        <v>2</v>
      </c>
      <c r="H414" s="13" t="n"/>
      <c r="I414" s="15" t="n"/>
      <c r="J414" s="19" t="n">
        <v>2</v>
      </c>
      <c r="K414" s="2" t="inlineStr">
        <is>
          <t>marker_825_964411.png</t>
        </is>
      </c>
      <c r="L414" s="11">
        <f>HYPERLINK("2\0\" &amp; K414, "Ver Imagen")</f>
        <v/>
      </c>
      <c r="M414" t="inlineStr">
        <is>
          <t>Moda</t>
        </is>
      </c>
    </row>
    <row r="415">
      <c r="A415" t="n">
        <v>414</v>
      </c>
      <c r="B415" t="inlineStr">
        <is>
          <t>A-5053__317</t>
        </is>
      </c>
      <c r="C415" s="1" t="n">
        <v>37.2775434651</v>
      </c>
      <c r="D415" s="1" t="n">
        <v>-7.14353014318</v>
      </c>
      <c r="E415" s="3" t="n">
        <v>2</v>
      </c>
      <c r="F415" s="2" t="n">
        <v>2</v>
      </c>
      <c r="G415" s="4" t="n">
        <v>2</v>
      </c>
      <c r="H415" s="13" t="n"/>
      <c r="I415" s="15" t="n"/>
      <c r="J415" s="19" t="n">
        <v>2</v>
      </c>
      <c r="K415" s="2" t="inlineStr">
        <is>
          <t>marker_954_964606.png</t>
        </is>
      </c>
      <c r="L415" s="11">
        <f>HYPERLINK("2\0\" &amp; K415, "Ver Imagen")</f>
        <v/>
      </c>
      <c r="M415" t="inlineStr">
        <is>
          <t>Moda</t>
        </is>
      </c>
    </row>
    <row r="416">
      <c r="A416" t="n">
        <v>415</v>
      </c>
      <c r="B416" t="inlineStr">
        <is>
          <t>A-5053__312</t>
        </is>
      </c>
      <c r="C416" s="1" t="n">
        <v>37.2766457878</v>
      </c>
      <c r="D416" s="1" t="n">
        <v>-7.1430983416</v>
      </c>
      <c r="E416" s="3" t="n">
        <v>2</v>
      </c>
      <c r="F416" s="2" t="n">
        <v>2</v>
      </c>
      <c r="G416" s="4" t="n">
        <v>2</v>
      </c>
      <c r="H416" s="13" t="n"/>
      <c r="I416" s="15" t="n"/>
      <c r="J416" s="19" t="n">
        <v>2</v>
      </c>
      <c r="K416" s="2" t="inlineStr">
        <is>
          <t>marker_221_964653.png</t>
        </is>
      </c>
      <c r="L416" s="11">
        <f>HYPERLINK("2\0\" &amp; K416, "Ver Imagen")</f>
        <v/>
      </c>
      <c r="M416" t="inlineStr">
        <is>
          <t>Moda</t>
        </is>
      </c>
    </row>
    <row r="417">
      <c r="A417" t="n">
        <v>416</v>
      </c>
      <c r="B417" t="inlineStr">
        <is>
          <t>A-5053__311</t>
        </is>
      </c>
      <c r="C417" s="1" t="n">
        <v>37.2764051704</v>
      </c>
      <c r="D417" s="1" t="n">
        <v>-7.14301967871</v>
      </c>
      <c r="E417" s="3" t="n">
        <v>2</v>
      </c>
      <c r="F417" s="2" t="n">
        <v>2</v>
      </c>
      <c r="G417" s="4" t="n">
        <v>2</v>
      </c>
      <c r="H417" s="13" t="n"/>
      <c r="I417" s="15" t="n"/>
      <c r="J417" s="19" t="n">
        <v>2</v>
      </c>
      <c r="K417" s="2" t="inlineStr">
        <is>
          <t>marker_814_964662.png</t>
        </is>
      </c>
      <c r="L417" s="11">
        <f>HYPERLINK("2\0\" &amp; K417, "Ver Imagen")</f>
        <v/>
      </c>
      <c r="M417" t="inlineStr">
        <is>
          <t>Moda</t>
        </is>
      </c>
    </row>
    <row r="418">
      <c r="A418" t="n">
        <v>417</v>
      </c>
      <c r="B418" t="inlineStr">
        <is>
          <t>A-5053__310</t>
        </is>
      </c>
      <c r="C418" s="1" t="n">
        <v>37.2762261293</v>
      </c>
      <c r="D418" s="1" t="n">
        <v>-7.14296833599</v>
      </c>
      <c r="E418" s="3" t="n">
        <v>2</v>
      </c>
      <c r="F418" s="2" t="n">
        <v>2</v>
      </c>
      <c r="G418" s="4" t="n">
        <v>2</v>
      </c>
      <c r="H418" s="13" t="n"/>
      <c r="I418" s="15" t="n"/>
      <c r="J418" s="19" t="n">
        <v>2</v>
      </c>
      <c r="K418" s="2" t="inlineStr">
        <is>
          <t>marker_131_964670.png</t>
        </is>
      </c>
      <c r="L418" s="11">
        <f>HYPERLINK("2\0\" &amp; K418, "Ver Imagen")</f>
        <v/>
      </c>
      <c r="M418" t="inlineStr">
        <is>
          <t>Moda</t>
        </is>
      </c>
    </row>
    <row r="419">
      <c r="A419" t="n">
        <v>418</v>
      </c>
      <c r="B419" t="inlineStr">
        <is>
          <t>A-5053__309</t>
        </is>
      </c>
      <c r="C419" s="1" t="n">
        <v>37.2760229734</v>
      </c>
      <c r="D419" s="1" t="n">
        <v>-7.1429136245</v>
      </c>
      <c r="E419" s="3" t="n">
        <v>2</v>
      </c>
      <c r="F419" s="2" t="n">
        <v>2</v>
      </c>
      <c r="G419" s="4" t="n">
        <v>2</v>
      </c>
      <c r="H419" s="13" t="n"/>
      <c r="I419" s="15" t="n"/>
      <c r="J419" s="19" t="n">
        <v>2</v>
      </c>
      <c r="K419" s="2" t="inlineStr">
        <is>
          <t>marker_686_964680.png</t>
        </is>
      </c>
      <c r="L419" s="11">
        <f>HYPERLINK("2\0\" &amp; K419, "Ver Imagen")</f>
        <v/>
      </c>
      <c r="M419" t="inlineStr">
        <is>
          <t>Moda</t>
        </is>
      </c>
    </row>
    <row r="420">
      <c r="A420" t="n">
        <v>419</v>
      </c>
      <c r="B420" t="inlineStr">
        <is>
          <t>A-5053__308</t>
        </is>
      </c>
      <c r="C420" s="1" t="n">
        <v>37.2758548593</v>
      </c>
      <c r="D420" s="1" t="n">
        <v>-7.14286939485</v>
      </c>
      <c r="E420" s="3" t="n">
        <v>2</v>
      </c>
      <c r="F420" s="2" t="n">
        <v>2</v>
      </c>
      <c r="G420" s="4" t="n">
        <v>2</v>
      </c>
      <c r="H420" s="13" t="n"/>
      <c r="I420" s="15" t="n"/>
      <c r="J420" s="19" t="n">
        <v>2</v>
      </c>
      <c r="K420" s="2" t="inlineStr">
        <is>
          <t>marker_472_964689.png</t>
        </is>
      </c>
      <c r="L420" s="11">
        <f>HYPERLINK("2\0\" &amp; K420, "Ver Imagen")</f>
        <v/>
      </c>
      <c r="M420" t="inlineStr">
        <is>
          <t>Moda</t>
        </is>
      </c>
    </row>
    <row r="421">
      <c r="A421" t="n">
        <v>420</v>
      </c>
      <c r="B421" t="inlineStr">
        <is>
          <t>A-5053__307</t>
        </is>
      </c>
      <c r="C421" s="1" t="n">
        <v>37.2756465164</v>
      </c>
      <c r="D421" s="1" t="n">
        <v>-7.14281543734</v>
      </c>
      <c r="E421" s="3" t="n">
        <v>2</v>
      </c>
      <c r="F421" s="2" t="n">
        <v>2</v>
      </c>
      <c r="G421" s="4" t="n">
        <v>2</v>
      </c>
      <c r="H421" s="13" t="n"/>
      <c r="I421" s="15" t="n"/>
      <c r="J421" s="19" t="n">
        <v>2</v>
      </c>
      <c r="K421" s="2" t="inlineStr">
        <is>
          <t>marker_723_964698.png</t>
        </is>
      </c>
      <c r="L421" s="11">
        <f>HYPERLINK("2\0\" &amp; K421, "Ver Imagen")</f>
        <v/>
      </c>
      <c r="M421" t="inlineStr">
        <is>
          <t>Moda</t>
        </is>
      </c>
    </row>
    <row r="422">
      <c r="A422" t="n">
        <v>421</v>
      </c>
      <c r="B422" t="inlineStr">
        <is>
          <t>A-5053__304</t>
        </is>
      </c>
      <c r="C422" s="1" t="n">
        <v>37.2750290216</v>
      </c>
      <c r="D422" s="1" t="n">
        <v>-7.14265266562</v>
      </c>
      <c r="E422" s="3" t="n">
        <v>2</v>
      </c>
      <c r="F422" s="2" t="n">
        <v>2</v>
      </c>
      <c r="G422" s="4" t="n">
        <v>2</v>
      </c>
      <c r="H422" s="13" t="n"/>
      <c r="I422" s="15" t="n"/>
      <c r="J422" s="19" t="n">
        <v>2</v>
      </c>
      <c r="K422" s="2" t="inlineStr">
        <is>
          <t>marker_348_964731.png</t>
        </is>
      </c>
      <c r="L422" s="11">
        <f>HYPERLINK("2\0\" &amp; K422, "Ver Imagen")</f>
        <v/>
      </c>
      <c r="M422" t="inlineStr">
        <is>
          <t>Moda</t>
        </is>
      </c>
    </row>
    <row r="423">
      <c r="A423" t="n">
        <v>422</v>
      </c>
      <c r="B423" t="inlineStr">
        <is>
          <t>A-5053__289</t>
        </is>
      </c>
      <c r="C423" s="1" t="n">
        <v>37.2722332853</v>
      </c>
      <c r="D423" s="1" t="n">
        <v>-7.1413302444</v>
      </c>
      <c r="E423" s="3" t="n">
        <v>2</v>
      </c>
      <c r="F423" s="2" t="n">
        <v>2</v>
      </c>
      <c r="G423" s="4" t="n">
        <v>2</v>
      </c>
      <c r="H423" s="13" t="n"/>
      <c r="I423" s="15" t="n"/>
      <c r="J423" s="19" t="n">
        <v>2</v>
      </c>
      <c r="K423" s="2" t="inlineStr">
        <is>
          <t>marker_705_964967.png</t>
        </is>
      </c>
      <c r="L423" s="11">
        <f>HYPERLINK("2\0\" &amp; K423, "Ver Imagen")</f>
        <v/>
      </c>
      <c r="M423" t="inlineStr">
        <is>
          <t>Moda</t>
        </is>
      </c>
    </row>
    <row r="424">
      <c r="A424" t="n">
        <v>423</v>
      </c>
      <c r="B424" t="inlineStr">
        <is>
          <t>A-5053__241</t>
        </is>
      </c>
      <c r="C424" s="1" t="n">
        <v>37.2659105985</v>
      </c>
      <c r="D424" s="1" t="n">
        <v>-7.13279459613</v>
      </c>
      <c r="E424" s="3" t="n">
        <v>2</v>
      </c>
      <c r="F424" s="2" t="n">
        <v>2</v>
      </c>
      <c r="G424" s="4" t="n">
        <v>2</v>
      </c>
      <c r="H424" s="13" t="n"/>
      <c r="I424" s="15" t="n"/>
      <c r="J424" s="19" t="n">
        <v>2</v>
      </c>
      <c r="K424" s="2" t="inlineStr">
        <is>
          <t>marker_493_965490.png</t>
        </is>
      </c>
      <c r="L424" s="11">
        <f>HYPERLINK("2\0\" &amp; K424, "Ver Imagen")</f>
        <v/>
      </c>
      <c r="M424" t="inlineStr">
        <is>
          <t>Moda</t>
        </is>
      </c>
    </row>
    <row r="425">
      <c r="A425" t="n">
        <v>424</v>
      </c>
      <c r="B425" t="inlineStr">
        <is>
          <t>A-5053__238</t>
        </is>
      </c>
      <c r="C425" s="1" t="n">
        <v>37.265382946</v>
      </c>
      <c r="D425" s="1" t="n">
        <v>-7.13246071192</v>
      </c>
      <c r="E425" s="3" t="n">
        <v>2</v>
      </c>
      <c r="F425" s="2" t="n">
        <v>2</v>
      </c>
      <c r="G425" s="4" t="n">
        <v>2</v>
      </c>
      <c r="H425" s="13" t="n"/>
      <c r="I425" s="15" t="n"/>
      <c r="J425" s="19" t="n">
        <v>2</v>
      </c>
      <c r="K425" s="2" t="inlineStr">
        <is>
          <t>marker_656_965518.png</t>
        </is>
      </c>
      <c r="L425" s="11">
        <f>HYPERLINK("2\0\" &amp; K425, "Ver Imagen")</f>
        <v/>
      </c>
      <c r="M425" t="inlineStr">
        <is>
          <t>Moda</t>
        </is>
      </c>
    </row>
    <row r="426">
      <c r="A426" t="n">
        <v>425</v>
      </c>
      <c r="B426" t="inlineStr">
        <is>
          <t>A-5053__232</t>
        </is>
      </c>
      <c r="C426" s="1" t="n">
        <v>37.2642980952</v>
      </c>
      <c r="D426" s="1" t="n">
        <v>-7.13178288359</v>
      </c>
      <c r="E426" s="3" t="n">
        <v>2</v>
      </c>
      <c r="F426" s="2" t="n">
        <v>2</v>
      </c>
      <c r="G426" s="4" t="n">
        <v>2</v>
      </c>
      <c r="H426" s="13" t="n"/>
      <c r="I426" s="15" t="n"/>
      <c r="J426" s="19" t="n">
        <v>2</v>
      </c>
      <c r="K426" s="2" t="inlineStr">
        <is>
          <t>marker_735_965576.png</t>
        </is>
      </c>
      <c r="L426" s="11">
        <f>HYPERLINK("2\0\" &amp; K426, "Ver Imagen")</f>
        <v/>
      </c>
      <c r="M426" t="inlineStr">
        <is>
          <t>Moda</t>
        </is>
      </c>
    </row>
    <row r="427">
      <c r="A427" t="n">
        <v>426</v>
      </c>
      <c r="B427" t="inlineStr">
        <is>
          <t>A-5053__228</t>
        </is>
      </c>
      <c r="C427" s="1" t="n">
        <v>37.2635950957</v>
      </c>
      <c r="D427" s="1" t="n">
        <v>-7.13134017392</v>
      </c>
      <c r="E427" s="3" t="n">
        <v>2</v>
      </c>
      <c r="F427" s="2" t="n">
        <v>2</v>
      </c>
      <c r="G427" s="4" t="n">
        <v>2</v>
      </c>
      <c r="H427" s="13" t="n"/>
      <c r="I427" s="15" t="n"/>
      <c r="J427" s="19" t="n">
        <v>2</v>
      </c>
      <c r="K427" s="2" t="inlineStr">
        <is>
          <t>marker_479_965611.png</t>
        </is>
      </c>
      <c r="L427" s="11">
        <f>HYPERLINK("2\0\" &amp; K427, "Ver Imagen")</f>
        <v/>
      </c>
      <c r="M427" t="inlineStr">
        <is>
          <t>Moda</t>
        </is>
      </c>
    </row>
    <row r="428">
      <c r="A428" t="n">
        <v>427</v>
      </c>
      <c r="B428" t="inlineStr">
        <is>
          <t>A-5053__226</t>
        </is>
      </c>
      <c r="C428" s="1" t="n">
        <v>37.2632441296</v>
      </c>
      <c r="D428" s="1" t="n">
        <v>-7.1311171315</v>
      </c>
      <c r="E428" s="3" t="n">
        <v>2</v>
      </c>
      <c r="F428" s="2" t="n">
        <v>2</v>
      </c>
      <c r="G428" s="4" t="n">
        <v>2</v>
      </c>
      <c r="H428" s="13" t="n"/>
      <c r="I428" s="15" t="n"/>
      <c r="J428" s="19" t="n">
        <v>2</v>
      </c>
      <c r="K428" s="2" t="inlineStr">
        <is>
          <t>marker_513_965637.png</t>
        </is>
      </c>
      <c r="L428" s="11">
        <f>HYPERLINK("2\0\" &amp; K428, "Ver Imagen")</f>
        <v/>
      </c>
      <c r="M428" t="inlineStr">
        <is>
          <t>Moda</t>
        </is>
      </c>
    </row>
    <row r="429">
      <c r="A429" t="n">
        <v>428</v>
      </c>
      <c r="B429" t="inlineStr">
        <is>
          <t>A-5053__225</t>
        </is>
      </c>
      <c r="C429" s="1" t="n">
        <v>37.2630347276</v>
      </c>
      <c r="D429" s="1" t="n">
        <v>-7.13098556477</v>
      </c>
      <c r="E429" s="3" t="n">
        <v>2</v>
      </c>
      <c r="F429" s="2" t="n">
        <v>2</v>
      </c>
      <c r="G429" s="4" t="n">
        <v>2</v>
      </c>
      <c r="H429" s="13" t="n"/>
      <c r="I429" s="15" t="n"/>
      <c r="J429" s="19" t="n">
        <v>2</v>
      </c>
      <c r="K429" s="2" t="inlineStr">
        <is>
          <t>marker_600_965646.png</t>
        </is>
      </c>
      <c r="L429" s="11">
        <f>HYPERLINK("2\0\" &amp; K429, "Ver Imagen")</f>
        <v/>
      </c>
      <c r="M429" t="inlineStr">
        <is>
          <t>Moda</t>
        </is>
      </c>
    </row>
    <row r="430">
      <c r="A430" t="n">
        <v>429</v>
      </c>
      <c r="B430" t="inlineStr">
        <is>
          <t>A-5053__202</t>
        </is>
      </c>
      <c r="C430" s="1" t="n">
        <v>37.2588865609</v>
      </c>
      <c r="D430" s="1" t="n">
        <v>-7.12838498143</v>
      </c>
      <c r="E430" s="3" t="n">
        <v>2</v>
      </c>
      <c r="F430" s="2" t="n">
        <v>2</v>
      </c>
      <c r="G430" s="4" t="n">
        <v>2</v>
      </c>
      <c r="H430" s="13" t="n"/>
      <c r="I430" s="15" t="n"/>
      <c r="J430" s="19" t="n">
        <v>2</v>
      </c>
      <c r="K430" s="2" t="inlineStr">
        <is>
          <t>marker_869_965868.png</t>
        </is>
      </c>
      <c r="L430" s="11">
        <f>HYPERLINK("2\0\" &amp; K430, "Ver Imagen")</f>
        <v/>
      </c>
      <c r="M430" t="inlineStr">
        <is>
          <t>Moda</t>
        </is>
      </c>
    </row>
    <row r="431">
      <c r="A431" t="n">
        <v>430</v>
      </c>
      <c r="B431" t="inlineStr">
        <is>
          <t>A-5053__200</t>
        </is>
      </c>
      <c r="C431" s="1" t="n">
        <v>37.2585148345</v>
      </c>
      <c r="D431" s="1" t="n">
        <v>-7.12814715836</v>
      </c>
      <c r="E431" s="3" t="n">
        <v>2</v>
      </c>
      <c r="F431" s="2" t="n">
        <v>2</v>
      </c>
      <c r="G431" s="4" t="n">
        <v>2</v>
      </c>
      <c r="H431" s="13" t="n"/>
      <c r="I431" s="15" t="n"/>
      <c r="J431" s="19" t="n">
        <v>2</v>
      </c>
      <c r="K431" s="2" t="inlineStr">
        <is>
          <t>marker_507_965884.png</t>
        </is>
      </c>
      <c r="L431" s="11">
        <f>HYPERLINK("2\0\" &amp; K431, "Ver Imagen")</f>
        <v/>
      </c>
      <c r="M431" t="inlineStr">
        <is>
          <t>Moda</t>
        </is>
      </c>
    </row>
    <row r="432">
      <c r="A432" t="n">
        <v>431</v>
      </c>
      <c r="B432" t="inlineStr">
        <is>
          <t>A-5053__198</t>
        </is>
      </c>
      <c r="C432" s="1" t="n">
        <v>37.2581698076</v>
      </c>
      <c r="D432" s="1" t="n">
        <v>-7.12792699872</v>
      </c>
      <c r="E432" s="3" t="n">
        <v>2</v>
      </c>
      <c r="F432" s="2" t="n">
        <v>2</v>
      </c>
      <c r="G432" s="4" t="n">
        <v>2</v>
      </c>
      <c r="H432" s="13" t="n"/>
      <c r="I432" s="15" t="n"/>
      <c r="J432" s="19" t="n">
        <v>2</v>
      </c>
      <c r="K432" s="2" t="inlineStr">
        <is>
          <t>marker_290_965902.png</t>
        </is>
      </c>
      <c r="L432" s="11">
        <f>HYPERLINK("2\0\" &amp; K432, "Ver Imagen")</f>
        <v/>
      </c>
      <c r="M432" t="inlineStr">
        <is>
          <t>Moda</t>
        </is>
      </c>
    </row>
    <row r="433">
      <c r="A433" t="n">
        <v>432</v>
      </c>
      <c r="B433" t="inlineStr">
        <is>
          <t>A-5053__196</t>
        </is>
      </c>
      <c r="C433" s="1" t="n">
        <v>37.2578076883</v>
      </c>
      <c r="D433" s="1" t="n">
        <v>-7.12769821338</v>
      </c>
      <c r="E433" s="3" t="n">
        <v>2</v>
      </c>
      <c r="F433" s="2" t="n">
        <v>2</v>
      </c>
      <c r="G433" s="4" t="n">
        <v>2</v>
      </c>
      <c r="H433" s="13" t="n"/>
      <c r="I433" s="15" t="n"/>
      <c r="J433" s="19" t="n">
        <v>2</v>
      </c>
      <c r="K433" s="2" t="inlineStr">
        <is>
          <t>marker_165_965931.png</t>
        </is>
      </c>
      <c r="L433" s="11">
        <f>HYPERLINK("2\0\" &amp; K433, "Ver Imagen")</f>
        <v/>
      </c>
      <c r="M433" t="inlineStr">
        <is>
          <t>Moda</t>
        </is>
      </c>
    </row>
    <row r="434">
      <c r="A434" t="n">
        <v>433</v>
      </c>
      <c r="B434" t="inlineStr">
        <is>
          <t>A-5053__195</t>
        </is>
      </c>
      <c r="C434" s="1" t="n">
        <v>37.2575957928</v>
      </c>
      <c r="D434" s="1" t="n">
        <v>-7.12756508846</v>
      </c>
      <c r="E434" s="3" t="n">
        <v>2</v>
      </c>
      <c r="F434" s="2" t="n">
        <v>2</v>
      </c>
      <c r="G434" s="4" t="n">
        <v>2</v>
      </c>
      <c r="H434" s="13" t="n"/>
      <c r="I434" s="15" t="n"/>
      <c r="J434" s="19" t="n">
        <v>2</v>
      </c>
      <c r="K434" s="2" t="inlineStr">
        <is>
          <t>marker_260_965941.png</t>
        </is>
      </c>
      <c r="L434" s="11">
        <f>HYPERLINK("2\0\" &amp; K434, "Ver Imagen")</f>
        <v/>
      </c>
      <c r="M434" t="inlineStr">
        <is>
          <t>Moda</t>
        </is>
      </c>
    </row>
    <row r="435">
      <c r="A435" t="n">
        <v>434</v>
      </c>
      <c r="B435" t="inlineStr">
        <is>
          <t>A-5053__194</t>
        </is>
      </c>
      <c r="C435" s="1" t="n">
        <v>37.2574553601</v>
      </c>
      <c r="D435" s="1" t="n">
        <v>-7.12747625637</v>
      </c>
      <c r="E435" s="3" t="n">
        <v>2</v>
      </c>
      <c r="F435" s="2" t="n">
        <v>2</v>
      </c>
      <c r="G435" s="4" t="n">
        <v>2</v>
      </c>
      <c r="H435" s="13" t="n"/>
      <c r="I435" s="15" t="n"/>
      <c r="J435" s="19" t="n">
        <v>2</v>
      </c>
      <c r="K435" s="2" t="inlineStr">
        <is>
          <t>marker_500_965949.png</t>
        </is>
      </c>
      <c r="L435" s="11">
        <f>HYPERLINK("2\0\" &amp; K435, "Ver Imagen")</f>
        <v/>
      </c>
      <c r="M435" t="inlineStr">
        <is>
          <t>Moda</t>
        </is>
      </c>
    </row>
    <row r="436">
      <c r="A436" t="n">
        <v>435</v>
      </c>
      <c r="B436" t="inlineStr">
        <is>
          <t>A-5053__193</t>
        </is>
      </c>
      <c r="C436" s="1" t="n">
        <v>37.2572645127</v>
      </c>
      <c r="D436" s="1" t="n">
        <v>-7.12735579956</v>
      </c>
      <c r="E436" s="3" t="n">
        <v>2</v>
      </c>
      <c r="F436" s="2" t="n">
        <v>2</v>
      </c>
      <c r="G436" s="4" t="n">
        <v>2</v>
      </c>
      <c r="H436" s="13" t="n"/>
      <c r="I436" s="15" t="n"/>
      <c r="J436" s="19" t="n">
        <v>2</v>
      </c>
      <c r="K436" s="2" t="inlineStr">
        <is>
          <t>marker_720_965957.png</t>
        </is>
      </c>
      <c r="L436" s="11">
        <f>HYPERLINK("2\0\" &amp; K436, "Ver Imagen")</f>
        <v/>
      </c>
      <c r="M436" t="inlineStr">
        <is>
          <t>Moda</t>
        </is>
      </c>
    </row>
    <row r="437">
      <c r="A437" t="n">
        <v>436</v>
      </c>
      <c r="B437" t="inlineStr">
        <is>
          <t>A-5053__192</t>
        </is>
      </c>
      <c r="C437" s="1" t="n">
        <v>37.2570975534</v>
      </c>
      <c r="D437" s="1" t="n">
        <v>-7.1272521368</v>
      </c>
      <c r="E437" s="3" t="n">
        <v>2</v>
      </c>
      <c r="F437" s="2" t="n">
        <v>2</v>
      </c>
      <c r="G437" s="4" t="n">
        <v>2</v>
      </c>
      <c r="H437" s="13" t="n"/>
      <c r="I437" s="15" t="n"/>
      <c r="J437" s="19" t="n">
        <v>2</v>
      </c>
      <c r="K437" s="2" t="inlineStr">
        <is>
          <t>marker_332_965967.png</t>
        </is>
      </c>
      <c r="L437" s="11">
        <f>HYPERLINK("2\0\" &amp; K437, "Ver Imagen")</f>
        <v/>
      </c>
      <c r="M437" t="inlineStr">
        <is>
          <t>Moda</t>
        </is>
      </c>
    </row>
    <row r="438">
      <c r="A438" t="n">
        <v>437</v>
      </c>
      <c r="B438" t="inlineStr">
        <is>
          <t>A-5053__191</t>
        </is>
      </c>
      <c r="C438" s="1" t="n">
        <v>37.2568985247</v>
      </c>
      <c r="D438" s="1" t="n">
        <v>-7.12713340138</v>
      </c>
      <c r="E438" s="3" t="n">
        <v>2</v>
      </c>
      <c r="F438" s="2" t="n">
        <v>2</v>
      </c>
      <c r="G438" s="4" t="n">
        <v>2</v>
      </c>
      <c r="H438" s="13" t="n"/>
      <c r="I438" s="15" t="n"/>
      <c r="J438" s="19" t="n">
        <v>2</v>
      </c>
      <c r="K438" s="2" t="inlineStr">
        <is>
          <t>marker_305_965975.png</t>
        </is>
      </c>
      <c r="L438" s="11">
        <f>HYPERLINK("2\0\" &amp; K438, "Ver Imagen")</f>
        <v/>
      </c>
      <c r="M438" t="inlineStr">
        <is>
          <t>Moda</t>
        </is>
      </c>
    </row>
    <row r="439">
      <c r="A439" t="n">
        <v>438</v>
      </c>
      <c r="B439" t="inlineStr">
        <is>
          <t>A-5053__190</t>
        </is>
      </c>
      <c r="C439" s="1" t="n">
        <v>37.2567073897</v>
      </c>
      <c r="D439" s="1" t="n">
        <v>-7.12702839723</v>
      </c>
      <c r="E439" s="3" t="n">
        <v>2</v>
      </c>
      <c r="F439" s="2" t="n">
        <v>2</v>
      </c>
      <c r="G439" s="4" t="n">
        <v>2</v>
      </c>
      <c r="H439" s="13" t="n"/>
      <c r="I439" s="15" t="n"/>
      <c r="J439" s="19" t="n">
        <v>2</v>
      </c>
      <c r="K439" s="2" t="inlineStr">
        <is>
          <t>marker_403_965986.png</t>
        </is>
      </c>
      <c r="L439" s="11">
        <f>HYPERLINK("2\0\" &amp; K439, "Ver Imagen")</f>
        <v/>
      </c>
      <c r="M439" t="inlineStr">
        <is>
          <t>Moda</t>
        </is>
      </c>
    </row>
    <row r="440">
      <c r="A440" t="n">
        <v>439</v>
      </c>
      <c r="B440" t="inlineStr">
        <is>
          <t>A-5053__189</t>
        </is>
      </c>
      <c r="C440" s="1" t="n">
        <v>37.2564811036</v>
      </c>
      <c r="D440" s="1" t="n">
        <v>-7.12691831712</v>
      </c>
      <c r="E440" s="3" t="n">
        <v>2</v>
      </c>
      <c r="F440" s="2" t="n">
        <v>2</v>
      </c>
      <c r="G440" s="4" t="n">
        <v>2</v>
      </c>
      <c r="H440" s="13" t="n"/>
      <c r="I440" s="15" t="n"/>
      <c r="J440" s="19" t="n">
        <v>2</v>
      </c>
      <c r="K440" s="2" t="inlineStr">
        <is>
          <t>marker_352_965996.png</t>
        </is>
      </c>
      <c r="L440" s="11">
        <f>HYPERLINK("2\0\" &amp; K440, "Ver Imagen")</f>
        <v/>
      </c>
      <c r="M440" t="inlineStr">
        <is>
          <t>Moda</t>
        </is>
      </c>
    </row>
    <row r="441">
      <c r="A441" t="n">
        <v>440</v>
      </c>
      <c r="B441" t="inlineStr">
        <is>
          <t>A-5053__188</t>
        </is>
      </c>
      <c r="C441" s="1" t="n">
        <v>37.2563147065</v>
      </c>
      <c r="D441" s="1" t="n">
        <v>-7.1268461712</v>
      </c>
      <c r="E441" s="3" t="n">
        <v>2</v>
      </c>
      <c r="F441" s="2" t="n">
        <v>2</v>
      </c>
      <c r="G441" s="4" t="n">
        <v>2</v>
      </c>
      <c r="H441" s="13" t="n"/>
      <c r="I441" s="15" t="n"/>
      <c r="J441" s="19" t="n">
        <v>2</v>
      </c>
      <c r="K441" s="2" t="inlineStr">
        <is>
          <t>marker_528_966005.png</t>
        </is>
      </c>
      <c r="L441" s="11">
        <f>HYPERLINK("2\0\" &amp; K441, "Ver Imagen")</f>
        <v/>
      </c>
      <c r="M441" t="inlineStr">
        <is>
          <t>Moda</t>
        </is>
      </c>
    </row>
    <row r="442">
      <c r="A442" t="n">
        <v>441</v>
      </c>
      <c r="B442" t="inlineStr">
        <is>
          <t>A-5053__187</t>
        </is>
      </c>
      <c r="C442" s="1" t="n">
        <v>37.2561424332</v>
      </c>
      <c r="D442" s="1" t="n">
        <v>-7.12677918591</v>
      </c>
      <c r="E442" s="3" t="n">
        <v>2</v>
      </c>
      <c r="F442" s="2" t="n">
        <v>2</v>
      </c>
      <c r="G442" s="4" t="n">
        <v>2</v>
      </c>
      <c r="H442" s="13" t="n"/>
      <c r="I442" s="15" t="n"/>
      <c r="J442" s="19" t="n">
        <v>2</v>
      </c>
      <c r="K442" s="2" t="inlineStr">
        <is>
          <t>marker_352_966017.png</t>
        </is>
      </c>
      <c r="L442" s="11">
        <f>HYPERLINK("2\0\" &amp; K442, "Ver Imagen")</f>
        <v/>
      </c>
      <c r="M442" t="inlineStr">
        <is>
          <t>Moda</t>
        </is>
      </c>
    </row>
    <row r="443">
      <c r="A443" t="n">
        <v>442</v>
      </c>
      <c r="B443" t="inlineStr">
        <is>
          <t>A-5053__186</t>
        </is>
      </c>
      <c r="C443" s="1" t="n">
        <v>37.2559179486</v>
      </c>
      <c r="D443" s="1" t="n">
        <v>-7.12670481717</v>
      </c>
      <c r="E443" s="3" t="n">
        <v>2</v>
      </c>
      <c r="F443" s="2" t="n">
        <v>2</v>
      </c>
      <c r="G443" s="4" t="n">
        <v>2</v>
      </c>
      <c r="H443" s="13" t="n"/>
      <c r="I443" s="15" t="n"/>
      <c r="J443" s="19" t="n">
        <v>2</v>
      </c>
      <c r="K443" s="2" t="inlineStr">
        <is>
          <t>marker_788_966031.png</t>
        </is>
      </c>
      <c r="L443" s="11">
        <f>HYPERLINK("2\0\" &amp; K443, "Ver Imagen")</f>
        <v/>
      </c>
      <c r="M443" t="inlineStr">
        <is>
          <t>Moda</t>
        </is>
      </c>
    </row>
    <row r="444">
      <c r="A444" t="n">
        <v>443</v>
      </c>
      <c r="B444" t="inlineStr">
        <is>
          <t>A-5053__185</t>
        </is>
      </c>
      <c r="C444" s="1" t="n">
        <v>37.2557504989</v>
      </c>
      <c r="D444" s="1" t="n">
        <v>-7.12665964054</v>
      </c>
      <c r="E444" s="3" t="n">
        <v>2</v>
      </c>
      <c r="F444" s="2" t="n">
        <v>2</v>
      </c>
      <c r="G444" s="4" t="n">
        <v>2</v>
      </c>
      <c r="H444" s="13" t="n"/>
      <c r="I444" s="15" t="n"/>
      <c r="J444" s="19" t="n">
        <v>2</v>
      </c>
      <c r="K444" s="2" t="inlineStr">
        <is>
          <t>marker_343_966040.png</t>
        </is>
      </c>
      <c r="L444" s="11">
        <f>HYPERLINK("2\0\" &amp; K444, "Ver Imagen")</f>
        <v/>
      </c>
      <c r="M444" t="inlineStr">
        <is>
          <t>Moda</t>
        </is>
      </c>
    </row>
    <row r="445">
      <c r="A445" t="n">
        <v>444</v>
      </c>
      <c r="B445" t="inlineStr">
        <is>
          <t>A-5053__184</t>
        </is>
      </c>
      <c r="C445" s="1" t="n">
        <v>37.2555414774</v>
      </c>
      <c r="D445" s="1" t="n">
        <v>-7.1266177918</v>
      </c>
      <c r="E445" s="3" t="n">
        <v>2</v>
      </c>
      <c r="F445" s="2" t="n">
        <v>2</v>
      </c>
      <c r="G445" s="4" t="n">
        <v>2</v>
      </c>
      <c r="H445" s="13" t="n"/>
      <c r="I445" s="15" t="n"/>
      <c r="J445" s="19" t="n">
        <v>2</v>
      </c>
      <c r="K445" s="2" t="inlineStr">
        <is>
          <t>marker_718_966050.png</t>
        </is>
      </c>
      <c r="L445" s="11">
        <f>HYPERLINK("2\0\" &amp; K445, "Ver Imagen")</f>
        <v/>
      </c>
      <c r="M445" t="inlineStr">
        <is>
          <t>Moda</t>
        </is>
      </c>
    </row>
    <row r="446">
      <c r="A446" t="n">
        <v>445</v>
      </c>
      <c r="B446" t="inlineStr">
        <is>
          <t>A-5053__183</t>
        </is>
      </c>
      <c r="C446" s="1" t="n">
        <v>37.2553743248</v>
      </c>
      <c r="D446" s="1" t="n">
        <v>-7.12659500204</v>
      </c>
      <c r="E446" s="3" t="n">
        <v>2</v>
      </c>
      <c r="F446" s="2" t="n">
        <v>2</v>
      </c>
      <c r="G446" s="4" t="n">
        <v>2</v>
      </c>
      <c r="H446" s="13" t="n"/>
      <c r="I446" s="15" t="n"/>
      <c r="J446" s="19" t="n">
        <v>2</v>
      </c>
      <c r="K446" s="2" t="inlineStr">
        <is>
          <t>marker_248_966061.png</t>
        </is>
      </c>
      <c r="L446" s="11">
        <f>HYPERLINK("2\0\" &amp; K446, "Ver Imagen")</f>
        <v/>
      </c>
      <c r="M446" t="inlineStr">
        <is>
          <t>Moda</t>
        </is>
      </c>
    </row>
    <row r="447">
      <c r="A447" t="n">
        <v>446</v>
      </c>
      <c r="B447" t="inlineStr">
        <is>
          <t>A-5053__182</t>
        </is>
      </c>
      <c r="C447" s="1" t="n">
        <v>37.2551595154</v>
      </c>
      <c r="D447" s="1" t="n">
        <v>-7.12657782862</v>
      </c>
      <c r="E447" s="3" t="n">
        <v>2</v>
      </c>
      <c r="F447" s="2" t="n">
        <v>2</v>
      </c>
      <c r="G447" s="4" t="n">
        <v>2</v>
      </c>
      <c r="H447" s="13" t="n"/>
      <c r="I447" s="15" t="n"/>
      <c r="J447" s="19" t="n">
        <v>2</v>
      </c>
      <c r="K447" s="2" t="inlineStr">
        <is>
          <t>marker_478_966070.png</t>
        </is>
      </c>
      <c r="L447" s="11">
        <f>HYPERLINK("2\0\" &amp; K447, "Ver Imagen")</f>
        <v/>
      </c>
      <c r="M447" t="inlineStr">
        <is>
          <t>Moda</t>
        </is>
      </c>
    </row>
    <row r="448">
      <c r="A448" t="n">
        <v>447</v>
      </c>
      <c r="B448" t="inlineStr">
        <is>
          <t>A-5053__181</t>
        </is>
      </c>
      <c r="C448" s="1" t="n">
        <v>37.254935169</v>
      </c>
      <c r="D448" s="1" t="n">
        <v>-7.1265747494</v>
      </c>
      <c r="E448" s="3" t="n">
        <v>2</v>
      </c>
      <c r="F448" s="2" t="n">
        <v>2</v>
      </c>
      <c r="G448" s="4" t="n">
        <v>2</v>
      </c>
      <c r="H448" s="13" t="n"/>
      <c r="I448" s="15" t="n"/>
      <c r="J448" s="19" t="n">
        <v>2</v>
      </c>
      <c r="K448" s="2" t="inlineStr">
        <is>
          <t>marker_555_966079.png</t>
        </is>
      </c>
      <c r="L448" s="11">
        <f>HYPERLINK("2\0\" &amp; K448, "Ver Imagen")</f>
        <v/>
      </c>
      <c r="M448" t="inlineStr">
        <is>
          <t>Moda</t>
        </is>
      </c>
    </row>
    <row r="449">
      <c r="A449" t="n">
        <v>448</v>
      </c>
      <c r="B449" t="inlineStr">
        <is>
          <t>A-5053__180</t>
        </is>
      </c>
      <c r="C449" s="1" t="n">
        <v>37.254754631</v>
      </c>
      <c r="D449" s="1" t="n">
        <v>-7.12658355974</v>
      </c>
      <c r="E449" s="3" t="n">
        <v>2</v>
      </c>
      <c r="F449" s="2" t="n">
        <v>2</v>
      </c>
      <c r="G449" s="4" t="n">
        <v>2</v>
      </c>
      <c r="H449" s="13" t="n"/>
      <c r="I449" s="15" t="n"/>
      <c r="J449" s="19" t="n">
        <v>2</v>
      </c>
      <c r="K449" s="2" t="inlineStr">
        <is>
          <t>marker_523_966089.png</t>
        </is>
      </c>
      <c r="L449" s="11">
        <f>HYPERLINK("2\0\" &amp; K449, "Ver Imagen")</f>
        <v/>
      </c>
      <c r="M449" t="inlineStr">
        <is>
          <t>Moda</t>
        </is>
      </c>
    </row>
    <row r="450">
      <c r="A450" t="n">
        <v>449</v>
      </c>
      <c r="B450" t="inlineStr">
        <is>
          <t>A-5053__179</t>
        </is>
      </c>
      <c r="C450" s="1" t="n">
        <v>37.2545491791</v>
      </c>
      <c r="D450" s="1" t="n">
        <v>-7.12660293983</v>
      </c>
      <c r="E450" s="3" t="n">
        <v>2</v>
      </c>
      <c r="F450" s="2" t="n">
        <v>2</v>
      </c>
      <c r="G450" s="4" t="n">
        <v>2</v>
      </c>
      <c r="H450" s="13" t="n"/>
      <c r="I450" s="15" t="n"/>
      <c r="J450" s="19" t="n">
        <v>2</v>
      </c>
      <c r="K450" s="2" t="inlineStr">
        <is>
          <t>marker_268_966099.png</t>
        </is>
      </c>
      <c r="L450" s="11">
        <f>HYPERLINK("2\0\" &amp; K450, "Ver Imagen")</f>
        <v/>
      </c>
      <c r="M450" t="inlineStr">
        <is>
          <t>Moda</t>
        </is>
      </c>
    </row>
    <row r="451">
      <c r="A451" t="n">
        <v>450</v>
      </c>
      <c r="B451" t="inlineStr">
        <is>
          <t>A-5053__177</t>
        </is>
      </c>
      <c r="C451" s="1" t="n">
        <v>37.2541133734</v>
      </c>
      <c r="D451" s="1" t="n">
        <v>-7.12665960972</v>
      </c>
      <c r="E451" s="3" t="n">
        <v>2</v>
      </c>
      <c r="F451" s="2" t="n">
        <v>2</v>
      </c>
      <c r="G451" s="4" t="n">
        <v>2</v>
      </c>
      <c r="H451" s="13" t="n"/>
      <c r="I451" s="15" t="n"/>
      <c r="J451" s="19" t="n">
        <v>2</v>
      </c>
      <c r="K451" s="2" t="inlineStr">
        <is>
          <t>marker_321_966119.png</t>
        </is>
      </c>
      <c r="L451" s="11">
        <f>HYPERLINK("2\0\" &amp; K451, "Ver Imagen")</f>
        <v/>
      </c>
      <c r="M451" t="inlineStr">
        <is>
          <t>Moda</t>
        </is>
      </c>
    </row>
    <row r="452">
      <c r="A452" t="n">
        <v>451</v>
      </c>
      <c r="B452" t="inlineStr">
        <is>
          <t>A-5053__176</t>
        </is>
      </c>
      <c r="C452" s="1" t="n">
        <v>37.253922476</v>
      </c>
      <c r="D452" s="1" t="n">
        <v>-7.12668720837</v>
      </c>
      <c r="E452" s="3" t="n">
        <v>2</v>
      </c>
      <c r="F452" s="2" t="n">
        <v>2</v>
      </c>
      <c r="G452" s="4" t="n">
        <v>2</v>
      </c>
      <c r="H452" s="13" t="n"/>
      <c r="I452" s="15" t="n"/>
      <c r="J452" s="19" t="n">
        <v>2</v>
      </c>
      <c r="K452" s="2" t="inlineStr">
        <is>
          <t>marker_298_966128.png</t>
        </is>
      </c>
      <c r="L452" s="11">
        <f>HYPERLINK("2\0\" &amp; K452, "Ver Imagen")</f>
        <v/>
      </c>
      <c r="M452" t="inlineStr">
        <is>
          <t>Moda</t>
        </is>
      </c>
    </row>
    <row r="453">
      <c r="A453" t="n">
        <v>452</v>
      </c>
      <c r="B453" t="inlineStr">
        <is>
          <t>A-5053__175</t>
        </is>
      </c>
      <c r="C453" s="1" t="n">
        <v>37.2537585716</v>
      </c>
      <c r="D453" s="1" t="n">
        <v>-7.12671117421</v>
      </c>
      <c r="E453" s="3" t="n">
        <v>2</v>
      </c>
      <c r="F453" s="2" t="n">
        <v>2</v>
      </c>
      <c r="G453" s="4" t="n">
        <v>2</v>
      </c>
      <c r="H453" s="13" t="n"/>
      <c r="I453" s="15" t="n"/>
      <c r="J453" s="19" t="n">
        <v>2</v>
      </c>
      <c r="K453" s="2" t="inlineStr">
        <is>
          <t>marker_339_966143.png</t>
        </is>
      </c>
      <c r="L453" s="11">
        <f>HYPERLINK("2\0\" &amp; K453, "Ver Imagen")</f>
        <v/>
      </c>
      <c r="M453" t="inlineStr">
        <is>
          <t>Moda</t>
        </is>
      </c>
    </row>
    <row r="454">
      <c r="A454" t="n">
        <v>453</v>
      </c>
      <c r="B454" t="inlineStr">
        <is>
          <t>A-5053__173</t>
        </is>
      </c>
      <c r="C454" s="1" t="n">
        <v>37.253339343</v>
      </c>
      <c r="D454" s="1" t="n">
        <v>-7.12677342987</v>
      </c>
      <c r="E454" s="3" t="n">
        <v>2</v>
      </c>
      <c r="F454" s="2" t="n">
        <v>2</v>
      </c>
      <c r="G454" s="4" t="n">
        <v>2</v>
      </c>
      <c r="H454" s="13" t="n"/>
      <c r="I454" s="15" t="n"/>
      <c r="J454" s="19" t="n">
        <v>2</v>
      </c>
      <c r="K454" s="2" t="inlineStr">
        <is>
          <t>marker_929_966160.png</t>
        </is>
      </c>
      <c r="L454" s="11">
        <f>HYPERLINK("2\0\" &amp; K454, "Ver Imagen")</f>
        <v/>
      </c>
      <c r="M454" t="inlineStr">
        <is>
          <t>Moda</t>
        </is>
      </c>
    </row>
    <row r="455">
      <c r="A455" t="n">
        <v>454</v>
      </c>
      <c r="B455" t="inlineStr">
        <is>
          <t>A-5053__172</t>
        </is>
      </c>
      <c r="C455" s="1" t="n">
        <v>37.253121652</v>
      </c>
      <c r="D455" s="1" t="n">
        <v>-7.12680723642</v>
      </c>
      <c r="E455" s="3" t="n">
        <v>2</v>
      </c>
      <c r="F455" s="2" t="n">
        <v>2</v>
      </c>
      <c r="G455" s="4" t="n">
        <v>2</v>
      </c>
      <c r="H455" s="13" t="n"/>
      <c r="I455" s="15" t="n"/>
      <c r="J455" s="19" t="n">
        <v>2</v>
      </c>
      <c r="K455" s="2" t="inlineStr">
        <is>
          <t>marker_209_966169.png</t>
        </is>
      </c>
      <c r="L455" s="11">
        <f>HYPERLINK("2\0\" &amp; K455, "Ver Imagen")</f>
        <v/>
      </c>
      <c r="M455" t="inlineStr">
        <is>
          <t>Moda</t>
        </is>
      </c>
    </row>
    <row r="456">
      <c r="A456" t="n">
        <v>455</v>
      </c>
      <c r="B456" t="inlineStr">
        <is>
          <t>A-5053__171</t>
        </is>
      </c>
      <c r="C456" s="1" t="n">
        <v>37.2529046029</v>
      </c>
      <c r="D456" s="1" t="n">
        <v>-7.1268418021</v>
      </c>
      <c r="E456" s="3" t="n">
        <v>2</v>
      </c>
      <c r="F456" s="2" t="n">
        <v>2</v>
      </c>
      <c r="G456" s="4" t="n">
        <v>2</v>
      </c>
      <c r="H456" s="13" t="n"/>
      <c r="I456" s="15" t="n"/>
      <c r="J456" s="19" t="n">
        <v>2</v>
      </c>
      <c r="K456" s="2" t="inlineStr">
        <is>
          <t>marker_622_966178.png</t>
        </is>
      </c>
      <c r="L456" s="11">
        <f>HYPERLINK("2\0\" &amp; K456, "Ver Imagen")</f>
        <v/>
      </c>
      <c r="M456" t="inlineStr">
        <is>
          <t>Moda</t>
        </is>
      </c>
    </row>
    <row r="457">
      <c r="A457" t="n">
        <v>456</v>
      </c>
      <c r="B457" t="inlineStr">
        <is>
          <t>A-5053__170</t>
        </is>
      </c>
      <c r="C457" s="1" t="n">
        <v>37.2527289633</v>
      </c>
      <c r="D457" s="1" t="n">
        <v>-7.12686942943</v>
      </c>
      <c r="E457" s="3" t="n">
        <v>2</v>
      </c>
      <c r="F457" s="2" t="n">
        <v>2</v>
      </c>
      <c r="G457" s="4" t="n">
        <v>2</v>
      </c>
      <c r="H457" s="13" t="n"/>
      <c r="I457" s="15" t="n"/>
      <c r="J457" s="19" t="n">
        <v>2</v>
      </c>
      <c r="K457" s="2" t="inlineStr">
        <is>
          <t>marker_576_966187.png</t>
        </is>
      </c>
      <c r="L457" s="11">
        <f>HYPERLINK("2\0\" &amp; K457, "Ver Imagen")</f>
        <v/>
      </c>
      <c r="M457" t="inlineStr">
        <is>
          <t>Moda</t>
        </is>
      </c>
    </row>
    <row r="458">
      <c r="A458" t="n">
        <v>457</v>
      </c>
      <c r="B458" t="inlineStr">
        <is>
          <t>A-5053__169</t>
        </is>
      </c>
      <c r="C458" s="1" t="n">
        <v>37.2525588788</v>
      </c>
      <c r="D458" s="1" t="n">
        <v>-7.12689534229</v>
      </c>
      <c r="E458" s="3" t="n">
        <v>2</v>
      </c>
      <c r="F458" s="2" t="n">
        <v>2</v>
      </c>
      <c r="G458" s="4" t="n">
        <v>2</v>
      </c>
      <c r="H458" s="13" t="n"/>
      <c r="I458" s="15" t="n"/>
      <c r="J458" s="19" t="n">
        <v>2</v>
      </c>
      <c r="K458" s="2" t="inlineStr">
        <is>
          <t>marker_288_966197.png</t>
        </is>
      </c>
      <c r="L458" s="11">
        <f>HYPERLINK("2\0\" &amp; K458, "Ver Imagen")</f>
        <v/>
      </c>
      <c r="M458" t="inlineStr">
        <is>
          <t>Moda</t>
        </is>
      </c>
    </row>
    <row r="459">
      <c r="A459" t="n">
        <v>458</v>
      </c>
      <c r="B459" t="inlineStr">
        <is>
          <t>A-5053__168</t>
        </is>
      </c>
      <c r="C459" s="1" t="n">
        <v>37.2523334219</v>
      </c>
      <c r="D459" s="1" t="n">
        <v>-7.12692899232</v>
      </c>
      <c r="E459" s="3" t="n">
        <v>2</v>
      </c>
      <c r="F459" s="2" t="n">
        <v>2</v>
      </c>
      <c r="G459" s="4" t="n">
        <v>2</v>
      </c>
      <c r="H459" s="13" t="n"/>
      <c r="I459" s="15" t="n"/>
      <c r="J459" s="19" t="n">
        <v>2</v>
      </c>
      <c r="K459" s="2" t="inlineStr">
        <is>
          <t>marker_714_966206.png</t>
        </is>
      </c>
      <c r="L459" s="11">
        <f>HYPERLINK("2\0\" &amp; K459, "Ver Imagen")</f>
        <v/>
      </c>
      <c r="M459" t="inlineStr">
        <is>
          <t>Moda</t>
        </is>
      </c>
    </row>
    <row r="460">
      <c r="A460" t="n">
        <v>459</v>
      </c>
      <c r="B460" t="inlineStr">
        <is>
          <t>A-5053__167</t>
        </is>
      </c>
      <c r="C460" s="1" t="n">
        <v>37.2521218754</v>
      </c>
      <c r="D460" s="1" t="n">
        <v>-7.12696015101</v>
      </c>
      <c r="E460" s="3" t="n">
        <v>2</v>
      </c>
      <c r="F460" s="2" t="n">
        <v>2</v>
      </c>
      <c r="G460" s="4" t="n">
        <v>2</v>
      </c>
      <c r="H460" s="13" t="n"/>
      <c r="I460" s="15" t="n"/>
      <c r="J460" s="19" t="n">
        <v>2</v>
      </c>
      <c r="K460" s="2" t="inlineStr">
        <is>
          <t>marker_781_966221.png</t>
        </is>
      </c>
      <c r="L460" s="11">
        <f>HYPERLINK("2\0\" &amp; K460, "Ver Imagen")</f>
        <v/>
      </c>
      <c r="M460" t="inlineStr">
        <is>
          <t>Moda</t>
        </is>
      </c>
    </row>
    <row r="461">
      <c r="A461" t="n">
        <v>460</v>
      </c>
      <c r="B461" t="inlineStr">
        <is>
          <t>A-5053__166</t>
        </is>
      </c>
      <c r="C461" s="1" t="n">
        <v>37.2519070597</v>
      </c>
      <c r="D461" s="1" t="n">
        <v>-7.12699199881</v>
      </c>
      <c r="E461" s="3" t="n">
        <v>2</v>
      </c>
      <c r="F461" s="2" t="n">
        <v>2</v>
      </c>
      <c r="G461" s="4" t="n">
        <v>2</v>
      </c>
      <c r="H461" s="13" t="n"/>
      <c r="I461" s="15" t="n"/>
      <c r="J461" s="19" t="n">
        <v>2</v>
      </c>
      <c r="K461" s="2" t="inlineStr">
        <is>
          <t>marker_463_966231.png</t>
        </is>
      </c>
      <c r="L461" s="11">
        <f>HYPERLINK("2\0\" &amp; K461, "Ver Imagen")</f>
        <v/>
      </c>
      <c r="M461" t="inlineStr">
        <is>
          <t>Moda</t>
        </is>
      </c>
    </row>
    <row r="462">
      <c r="A462" t="n">
        <v>461</v>
      </c>
      <c r="B462" t="inlineStr">
        <is>
          <t>A-5053__164</t>
        </is>
      </c>
      <c r="C462" s="1" t="n">
        <v>37.2515579653</v>
      </c>
      <c r="D462" s="1" t="n">
        <v>-7.12704561918</v>
      </c>
      <c r="E462" s="3" t="n">
        <v>2</v>
      </c>
      <c r="F462" s="2" t="n">
        <v>2</v>
      </c>
      <c r="G462" s="4" t="n">
        <v>2</v>
      </c>
      <c r="H462" s="13" t="n"/>
      <c r="I462" s="15" t="n"/>
      <c r="J462" s="19" t="n">
        <v>2</v>
      </c>
      <c r="K462" s="2" t="inlineStr">
        <is>
          <t>marker_910_966248.png</t>
        </is>
      </c>
      <c r="L462" s="11">
        <f>HYPERLINK("2\0\" &amp; K462, "Ver Imagen")</f>
        <v/>
      </c>
      <c r="M462" t="inlineStr">
        <is>
          <t>Moda</t>
        </is>
      </c>
    </row>
    <row r="463">
      <c r="A463" t="n">
        <v>462</v>
      </c>
      <c r="B463" t="inlineStr">
        <is>
          <t>A-5053__163</t>
        </is>
      </c>
      <c r="C463" s="1" t="n">
        <v>37.2513383126</v>
      </c>
      <c r="D463" s="1" t="n">
        <v>-7.12707881397</v>
      </c>
      <c r="E463" s="3" t="n">
        <v>2</v>
      </c>
      <c r="F463" s="2" t="n">
        <v>2</v>
      </c>
      <c r="G463" s="4" t="n">
        <v>2</v>
      </c>
      <c r="H463" s="13" t="n"/>
      <c r="I463" s="15" t="n"/>
      <c r="J463" s="19" t="n">
        <v>2</v>
      </c>
      <c r="K463" s="2" t="inlineStr">
        <is>
          <t>marker_112_966257.png</t>
        </is>
      </c>
      <c r="L463" s="11">
        <f>HYPERLINK("2\0\" &amp; K463, "Ver Imagen")</f>
        <v/>
      </c>
      <c r="M463" t="inlineStr">
        <is>
          <t>Moda</t>
        </is>
      </c>
    </row>
    <row r="464">
      <c r="A464" t="n">
        <v>463</v>
      </c>
      <c r="B464" t="inlineStr">
        <is>
          <t>A-5053__162</t>
        </is>
      </c>
      <c r="C464" s="1" t="n">
        <v>37.2511213843</v>
      </c>
      <c r="D464" s="1" t="n">
        <v>-7.12711075535</v>
      </c>
      <c r="E464" s="3" t="n">
        <v>2</v>
      </c>
      <c r="F464" s="2" t="n">
        <v>2</v>
      </c>
      <c r="G464" s="4" t="n">
        <v>2</v>
      </c>
      <c r="H464" s="13" t="n"/>
      <c r="I464" s="15" t="n"/>
      <c r="J464" s="19" t="n">
        <v>2</v>
      </c>
      <c r="K464" s="2" t="inlineStr">
        <is>
          <t>marker_400_966267.png</t>
        </is>
      </c>
      <c r="L464" s="11">
        <f>HYPERLINK("2\0\" &amp; K464, "Ver Imagen")</f>
        <v/>
      </c>
      <c r="M464" t="inlineStr">
        <is>
          <t>Moda</t>
        </is>
      </c>
    </row>
    <row r="465">
      <c r="A465" t="n">
        <v>464</v>
      </c>
      <c r="B465" t="inlineStr">
        <is>
          <t>A-5053__161</t>
        </is>
      </c>
      <c r="C465" s="1" t="n">
        <v>37.2509019479</v>
      </c>
      <c r="D465" s="1" t="n">
        <v>-7.12714303236</v>
      </c>
      <c r="E465" s="3" t="n">
        <v>2</v>
      </c>
      <c r="F465" s="2" t="n">
        <v>2</v>
      </c>
      <c r="G465" s="4" t="n">
        <v>2</v>
      </c>
      <c r="H465" s="13" t="n"/>
      <c r="I465" s="15" t="n"/>
      <c r="J465" s="19" t="n">
        <v>2</v>
      </c>
      <c r="K465" s="2" t="inlineStr">
        <is>
          <t>marker_254_966278.png</t>
        </is>
      </c>
      <c r="L465" s="11">
        <f>HYPERLINK("2\0\" &amp; K465, "Ver Imagen")</f>
        <v/>
      </c>
      <c r="M465" t="inlineStr">
        <is>
          <t>Moda</t>
        </is>
      </c>
    </row>
    <row r="466">
      <c r="A466" t="n">
        <v>465</v>
      </c>
      <c r="B466" t="inlineStr">
        <is>
          <t>A-5053__160</t>
        </is>
      </c>
      <c r="C466" s="1" t="n">
        <v>37.2506977829</v>
      </c>
      <c r="D466" s="1" t="n">
        <v>-7.12717355185</v>
      </c>
      <c r="E466" s="3" t="n">
        <v>2</v>
      </c>
      <c r="F466" s="2" t="n">
        <v>2</v>
      </c>
      <c r="G466" s="4" t="n">
        <v>2</v>
      </c>
      <c r="H466" s="13" t="n"/>
      <c r="I466" s="15" t="n"/>
      <c r="J466" s="19" t="n">
        <v>2</v>
      </c>
      <c r="K466" s="2" t="inlineStr">
        <is>
          <t>marker_767_966286.png</t>
        </is>
      </c>
      <c r="L466" s="11">
        <f>HYPERLINK("2\0\" &amp; K466, "Ver Imagen")</f>
        <v/>
      </c>
      <c r="M466" t="inlineStr">
        <is>
          <t>Moda</t>
        </is>
      </c>
    </row>
    <row r="467">
      <c r="A467" t="n">
        <v>466</v>
      </c>
      <c r="B467" t="inlineStr">
        <is>
          <t>A-5053__158</t>
        </is>
      </c>
      <c r="C467" s="1" t="n">
        <v>37.2502904975</v>
      </c>
      <c r="D467" s="1" t="n">
        <v>-7.12723470609</v>
      </c>
      <c r="E467" s="3" t="n">
        <v>2</v>
      </c>
      <c r="F467" s="2" t="n">
        <v>2</v>
      </c>
      <c r="G467" s="4" t="n">
        <v>2</v>
      </c>
      <c r="H467" s="13" t="n"/>
      <c r="I467" s="15" t="n"/>
      <c r="J467" s="19" t="n">
        <v>2</v>
      </c>
      <c r="K467" s="2" t="inlineStr">
        <is>
          <t>marker_616_966304.png</t>
        </is>
      </c>
      <c r="L467" s="11">
        <f>HYPERLINK("2\0\" &amp; K467, "Ver Imagen")</f>
        <v/>
      </c>
      <c r="M467" t="inlineStr">
        <is>
          <t>Moda</t>
        </is>
      </c>
    </row>
    <row r="468">
      <c r="A468" t="n">
        <v>467</v>
      </c>
      <c r="B468" t="inlineStr">
        <is>
          <t>A-5053__155</t>
        </is>
      </c>
      <c r="C468" s="1" t="n">
        <v>37.2497011534</v>
      </c>
      <c r="D468" s="1" t="n">
        <v>-7.12732583037</v>
      </c>
      <c r="E468" s="3" t="n">
        <v>2</v>
      </c>
      <c r="F468" s="2" t="n">
        <v>2</v>
      </c>
      <c r="G468" s="4" t="n">
        <v>2</v>
      </c>
      <c r="H468" s="13" t="n"/>
      <c r="I468" s="15" t="n"/>
      <c r="J468" s="19" t="n">
        <v>2</v>
      </c>
      <c r="K468" s="2" t="inlineStr">
        <is>
          <t>marker_438_966332.png</t>
        </is>
      </c>
      <c r="L468" s="11">
        <f>HYPERLINK("2\0\" &amp; K468, "Ver Imagen")</f>
        <v/>
      </c>
      <c r="M468" t="inlineStr">
        <is>
          <t>Moda</t>
        </is>
      </c>
    </row>
    <row r="469">
      <c r="A469" t="n">
        <v>468</v>
      </c>
      <c r="B469" t="inlineStr">
        <is>
          <t>A-5053__151</t>
        </is>
      </c>
      <c r="C469" s="1" t="n">
        <v>37.2488939985</v>
      </c>
      <c r="D469" s="1" t="n">
        <v>-7.12744854839</v>
      </c>
      <c r="E469" s="3" t="n">
        <v>2</v>
      </c>
      <c r="F469" s="2" t="n">
        <v>2</v>
      </c>
      <c r="G469" s="4" t="n">
        <v>2</v>
      </c>
      <c r="H469" s="13" t="n"/>
      <c r="I469" s="15" t="n"/>
      <c r="J469" s="19" t="n">
        <v>2</v>
      </c>
      <c r="K469" s="2" t="inlineStr">
        <is>
          <t>marker_518_966380.png</t>
        </is>
      </c>
      <c r="L469" s="11">
        <f>HYPERLINK("2\0\" &amp; K469, "Ver Imagen")</f>
        <v/>
      </c>
      <c r="M469" t="inlineStr">
        <is>
          <t>Moda</t>
        </is>
      </c>
    </row>
    <row r="470">
      <c r="A470" t="n">
        <v>469</v>
      </c>
      <c r="B470" t="inlineStr">
        <is>
          <t>A-5053__150</t>
        </is>
      </c>
      <c r="C470" s="1" t="n">
        <v>37.2487121766</v>
      </c>
      <c r="D470" s="1" t="n">
        <v>-7.12747540777</v>
      </c>
      <c r="E470" s="3" t="n">
        <v>2</v>
      </c>
      <c r="F470" s="2" t="n">
        <v>2</v>
      </c>
      <c r="G470" s="4" t="n">
        <v>2</v>
      </c>
      <c r="H470" s="13" t="n"/>
      <c r="I470" s="15" t="n"/>
      <c r="J470" s="19" t="n">
        <v>2</v>
      </c>
      <c r="K470" s="2" t="inlineStr">
        <is>
          <t>marker_747_966387.png</t>
        </is>
      </c>
      <c r="L470" s="11">
        <f>HYPERLINK("2\0\" &amp; K470, "Ver Imagen")</f>
        <v/>
      </c>
      <c r="M470" t="inlineStr">
        <is>
          <t>Moda</t>
        </is>
      </c>
    </row>
    <row r="471">
      <c r="A471" t="n">
        <v>470</v>
      </c>
      <c r="B471" t="inlineStr">
        <is>
          <t>A-5053__137</t>
        </is>
      </c>
      <c r="C471" s="1" t="n">
        <v>37.2460949938</v>
      </c>
      <c r="D471" s="1" t="n">
        <v>-7.12786096745</v>
      </c>
      <c r="E471" s="3" t="n">
        <v>2</v>
      </c>
      <c r="F471" s="2" t="n">
        <v>2</v>
      </c>
      <c r="G471" s="4" t="n">
        <v>2</v>
      </c>
      <c r="H471" s="13" t="n"/>
      <c r="I471" s="15" t="n"/>
      <c r="J471" s="19" t="n">
        <v>2</v>
      </c>
      <c r="K471" s="2" t="inlineStr">
        <is>
          <t>marker_320_966513.png</t>
        </is>
      </c>
      <c r="L471" s="11">
        <f>HYPERLINK("2\0\" &amp; K471, "Ver Imagen")</f>
        <v/>
      </c>
      <c r="M471" t="inlineStr">
        <is>
          <t>Moda</t>
        </is>
      </c>
    </row>
    <row r="472">
      <c r="A472" t="n">
        <v>471</v>
      </c>
      <c r="B472" t="inlineStr">
        <is>
          <t>A-5053__136</t>
        </is>
      </c>
      <c r="C472" s="1" t="n">
        <v>37.2458987123</v>
      </c>
      <c r="D472" s="1" t="n">
        <v>-7.12788957835</v>
      </c>
      <c r="E472" s="3" t="n">
        <v>2</v>
      </c>
      <c r="F472" s="2" t="n">
        <v>2</v>
      </c>
      <c r="G472" s="4" t="n">
        <v>2</v>
      </c>
      <c r="H472" s="13" t="n"/>
      <c r="I472" s="15" t="n"/>
      <c r="J472" s="19" t="n">
        <v>2</v>
      </c>
      <c r="K472" s="2" t="inlineStr">
        <is>
          <t>marker_267_966521.png</t>
        </is>
      </c>
      <c r="L472" s="11">
        <f>HYPERLINK("2\0\" &amp; K472, "Ver Imagen")</f>
        <v/>
      </c>
      <c r="M472" t="inlineStr">
        <is>
          <t>Moda</t>
        </is>
      </c>
    </row>
    <row r="473">
      <c r="A473" t="n">
        <v>472</v>
      </c>
      <c r="B473" t="inlineStr">
        <is>
          <t>A-5053__135</t>
        </is>
      </c>
      <c r="C473" s="1" t="n">
        <v>37.2456749232</v>
      </c>
      <c r="D473" s="1" t="n">
        <v>-7.12792232426</v>
      </c>
      <c r="E473" s="3" t="n">
        <v>2</v>
      </c>
      <c r="F473" s="2" t="n">
        <v>2</v>
      </c>
      <c r="G473" s="4" t="n">
        <v>2</v>
      </c>
      <c r="H473" s="13" t="n"/>
      <c r="I473" s="15" t="n"/>
      <c r="J473" s="19" t="n">
        <v>2</v>
      </c>
      <c r="K473" s="2" t="inlineStr">
        <is>
          <t>marker_976_966528.png</t>
        </is>
      </c>
      <c r="L473" s="11">
        <f>HYPERLINK("2\0\" &amp; K473, "Ver Imagen")</f>
        <v/>
      </c>
      <c r="M473" t="inlineStr">
        <is>
          <t>Moda</t>
        </is>
      </c>
    </row>
    <row r="474">
      <c r="A474" t="n">
        <v>473</v>
      </c>
      <c r="B474" t="inlineStr">
        <is>
          <t>A-5053__133</t>
        </is>
      </c>
      <c r="C474" s="1" t="n">
        <v>37.2452911963</v>
      </c>
      <c r="D474" s="1" t="n">
        <v>-7.12797907952</v>
      </c>
      <c r="E474" s="3" t="n">
        <v>2</v>
      </c>
      <c r="F474" s="2" t="n">
        <v>2</v>
      </c>
      <c r="G474" s="4" t="n">
        <v>2</v>
      </c>
      <c r="H474" s="13" t="n"/>
      <c r="I474" s="15" t="n"/>
      <c r="J474" s="19" t="n">
        <v>2</v>
      </c>
      <c r="K474" s="2" t="inlineStr">
        <is>
          <t>marker_504_966547.png</t>
        </is>
      </c>
      <c r="L474" s="11">
        <f>HYPERLINK("2\0\" &amp; K474, "Ver Imagen")</f>
        <v/>
      </c>
      <c r="M474" t="inlineStr">
        <is>
          <t>Moda</t>
        </is>
      </c>
    </row>
    <row r="475">
      <c r="A475" t="n">
        <v>474</v>
      </c>
      <c r="B475" t="inlineStr">
        <is>
          <t>A-5053__132</t>
        </is>
      </c>
      <c r="C475" s="1" t="n">
        <v>37.2450580373</v>
      </c>
      <c r="D475" s="1" t="n">
        <v>-7.12801342587</v>
      </c>
      <c r="E475" s="3" t="n">
        <v>2</v>
      </c>
      <c r="F475" s="2" t="n">
        <v>2</v>
      </c>
      <c r="G475" s="4" t="n">
        <v>2</v>
      </c>
      <c r="H475" s="13" t="n"/>
      <c r="I475" s="15" t="n"/>
      <c r="J475" s="19" t="n">
        <v>2</v>
      </c>
      <c r="K475" s="2" t="inlineStr">
        <is>
          <t>marker_666_966555.png</t>
        </is>
      </c>
      <c r="L475" s="11">
        <f>HYPERLINK("2\0\" &amp; K475, "Ver Imagen")</f>
        <v/>
      </c>
      <c r="M475" t="inlineStr">
        <is>
          <t>Moda</t>
        </is>
      </c>
    </row>
    <row r="476">
      <c r="A476" t="n">
        <v>475</v>
      </c>
      <c r="B476" t="inlineStr">
        <is>
          <t>A-5053__131</t>
        </is>
      </c>
      <c r="C476" s="1" t="n">
        <v>37.2448907596</v>
      </c>
      <c r="D476" s="1" t="n">
        <v>-7.12803802033</v>
      </c>
      <c r="E476" s="3" t="n">
        <v>2</v>
      </c>
      <c r="F476" s="2" t="n">
        <v>2</v>
      </c>
      <c r="G476" s="4" t="n">
        <v>2</v>
      </c>
      <c r="H476" s="13" t="n"/>
      <c r="I476" s="15" t="n"/>
      <c r="J476" s="19" t="n">
        <v>2</v>
      </c>
      <c r="K476" s="2" t="inlineStr">
        <is>
          <t>marker_533_966563.png</t>
        </is>
      </c>
      <c r="L476" s="11">
        <f>HYPERLINK("2\0\" &amp; K476, "Ver Imagen")</f>
        <v/>
      </c>
      <c r="M476" t="inlineStr">
        <is>
          <t>Moda</t>
        </is>
      </c>
    </row>
    <row r="477">
      <c r="A477" t="n">
        <v>476</v>
      </c>
      <c r="B477" t="inlineStr">
        <is>
          <t>A-5053__127</t>
        </is>
      </c>
      <c r="C477" s="1" t="n">
        <v>37.2440768316</v>
      </c>
      <c r="D477" s="1" t="n">
        <v>-7.1281533926</v>
      </c>
      <c r="E477" s="3" t="n">
        <v>2</v>
      </c>
      <c r="F477" s="2" t="n">
        <v>2</v>
      </c>
      <c r="G477" s="4" t="n">
        <v>2</v>
      </c>
      <c r="H477" s="13" t="n"/>
      <c r="I477" s="15" t="n"/>
      <c r="J477" s="19" t="n">
        <v>2</v>
      </c>
      <c r="K477" s="2" t="inlineStr">
        <is>
          <t>marker_377_019497.png</t>
        </is>
      </c>
      <c r="L477" s="11">
        <f>HYPERLINK("2\0\" &amp; K477, "Ver Imagen")</f>
        <v/>
      </c>
      <c r="M477" t="inlineStr">
        <is>
          <t>Moda</t>
        </is>
      </c>
    </row>
    <row r="478">
      <c r="A478" t="n">
        <v>477</v>
      </c>
      <c r="B478" t="inlineStr">
        <is>
          <t>A-5053__126</t>
        </is>
      </c>
      <c r="C478" s="1" t="n">
        <v>37.2438707772</v>
      </c>
      <c r="D478" s="1" t="n">
        <v>-7.12818350503</v>
      </c>
      <c r="E478" s="3" t="n">
        <v>2</v>
      </c>
      <c r="F478" s="2" t="n">
        <v>2</v>
      </c>
      <c r="G478" s="4" t="n">
        <v>2</v>
      </c>
      <c r="H478" s="13" t="n"/>
      <c r="I478" s="15" t="n"/>
      <c r="J478" s="19" t="n">
        <v>2</v>
      </c>
      <c r="K478" s="2" t="inlineStr">
        <is>
          <t>marker_674_019532.png</t>
        </is>
      </c>
      <c r="L478" s="11">
        <f>HYPERLINK("2\0\" &amp; K478, "Ver Imagen")</f>
        <v/>
      </c>
      <c r="M478" t="inlineStr">
        <is>
          <t>Moda</t>
        </is>
      </c>
    </row>
    <row r="479">
      <c r="A479" t="n">
        <v>478</v>
      </c>
      <c r="B479" t="inlineStr">
        <is>
          <t>A-5053__125</t>
        </is>
      </c>
      <c r="C479" s="1" t="n">
        <v>37.2436626832</v>
      </c>
      <c r="D479" s="1" t="n">
        <v>-7.12821489675</v>
      </c>
      <c r="E479" s="3" t="n">
        <v>2</v>
      </c>
      <c r="F479" s="2" t="n">
        <v>2</v>
      </c>
      <c r="G479" s="4" t="n">
        <v>2</v>
      </c>
      <c r="H479" s="13" t="n"/>
      <c r="I479" s="15" t="n"/>
      <c r="J479" s="19" t="n">
        <v>2</v>
      </c>
      <c r="K479" s="2" t="inlineStr">
        <is>
          <t>marker_304_019541.png</t>
        </is>
      </c>
      <c r="L479" s="11">
        <f>HYPERLINK("2\0\" &amp; K479, "Ver Imagen")</f>
        <v/>
      </c>
      <c r="M479" t="inlineStr">
        <is>
          <t>Moda</t>
        </is>
      </c>
    </row>
    <row r="480">
      <c r="A480" t="n">
        <v>479</v>
      </c>
      <c r="B480" t="inlineStr">
        <is>
          <t>A-5053__119</t>
        </is>
      </c>
      <c r="C480" s="1" t="n">
        <v>37.2424500769</v>
      </c>
      <c r="D480" s="1" t="n">
        <v>-7.12839897439</v>
      </c>
      <c r="E480" s="3" t="n">
        <v>2</v>
      </c>
      <c r="F480" s="2" t="n">
        <v>2</v>
      </c>
      <c r="G480" s="4" t="n">
        <v>2</v>
      </c>
      <c r="H480" s="13" t="n"/>
      <c r="I480" s="15" t="n"/>
      <c r="J480" s="19" t="n">
        <v>2</v>
      </c>
      <c r="K480" s="2" t="inlineStr">
        <is>
          <t>marker_523_019612.png</t>
        </is>
      </c>
      <c r="L480" s="11">
        <f>HYPERLINK("2\0\" &amp; K480, "Ver Imagen")</f>
        <v/>
      </c>
      <c r="M480" t="inlineStr">
        <is>
          <t>Moda</t>
        </is>
      </c>
    </row>
    <row r="481">
      <c r="A481" t="n">
        <v>480</v>
      </c>
      <c r="B481" t="inlineStr">
        <is>
          <t>A-5053__116</t>
        </is>
      </c>
      <c r="C481" s="1" t="n">
        <v>37.2418773805</v>
      </c>
      <c r="D481" s="1" t="n">
        <v>-7.12848734361</v>
      </c>
      <c r="E481" s="3" t="n">
        <v>2</v>
      </c>
      <c r="F481" s="2" t="n">
        <v>2</v>
      </c>
      <c r="G481" s="4" t="n">
        <v>2</v>
      </c>
      <c r="H481" s="13" t="n"/>
      <c r="I481" s="15" t="n"/>
      <c r="J481" s="19" t="n">
        <v>2</v>
      </c>
      <c r="K481" s="2" t="inlineStr">
        <is>
          <t>marker_984_019641.png</t>
        </is>
      </c>
      <c r="L481" s="11">
        <f>HYPERLINK("2\0\" &amp; K481, "Ver Imagen")</f>
        <v/>
      </c>
      <c r="M481" t="inlineStr">
        <is>
          <t>Moda</t>
        </is>
      </c>
    </row>
    <row r="482">
      <c r="A482" t="n">
        <v>481</v>
      </c>
      <c r="B482" t="inlineStr">
        <is>
          <t>A-5053__115</t>
        </is>
      </c>
      <c r="C482" s="1" t="n">
        <v>37.2416686037</v>
      </c>
      <c r="D482" s="1" t="n">
        <v>-7.12851787006</v>
      </c>
      <c r="E482" s="3" t="n">
        <v>2</v>
      </c>
      <c r="F482" s="2" t="n">
        <v>2</v>
      </c>
      <c r="G482" s="4" t="n">
        <v>2</v>
      </c>
      <c r="H482" s="13" t="n"/>
      <c r="I482" s="15" t="n"/>
      <c r="J482" s="19" t="n">
        <v>2</v>
      </c>
      <c r="K482" s="2" t="inlineStr">
        <is>
          <t>marker_889_019653.png</t>
        </is>
      </c>
      <c r="L482" s="11">
        <f>HYPERLINK("2\0\" &amp; K482, "Ver Imagen")</f>
        <v/>
      </c>
      <c r="M482" t="inlineStr">
        <is>
          <t>Moda</t>
        </is>
      </c>
    </row>
    <row r="483">
      <c r="A483" t="n">
        <v>482</v>
      </c>
      <c r="B483" t="inlineStr">
        <is>
          <t>A-5053__114</t>
        </is>
      </c>
      <c r="C483" s="1" t="n">
        <v>37.2414802511</v>
      </c>
      <c r="D483" s="1" t="n">
        <v>-7.12854337793</v>
      </c>
      <c r="E483" s="3" t="n">
        <v>2</v>
      </c>
      <c r="F483" s="2" t="n">
        <v>2</v>
      </c>
      <c r="G483" s="4" t="n">
        <v>2</v>
      </c>
      <c r="H483" s="13" t="n"/>
      <c r="I483" s="15" t="n"/>
      <c r="J483" s="19" t="n">
        <v>2</v>
      </c>
      <c r="K483" s="2" t="inlineStr">
        <is>
          <t>marker_513_019665.png</t>
        </is>
      </c>
      <c r="L483" s="11">
        <f>HYPERLINK("2\0\" &amp; K483, "Ver Imagen")</f>
        <v/>
      </c>
      <c r="M483" t="inlineStr">
        <is>
          <t>Moda</t>
        </is>
      </c>
    </row>
    <row r="484">
      <c r="A484" t="n">
        <v>483</v>
      </c>
      <c r="B484" t="inlineStr">
        <is>
          <t>A-5053__107</t>
        </is>
      </c>
      <c r="C484" s="1" t="n">
        <v>37.2400313195</v>
      </c>
      <c r="D484" s="1" t="n">
        <v>-7.12856896959</v>
      </c>
      <c r="E484" s="3" t="n">
        <v>2</v>
      </c>
      <c r="F484" s="2" t="n">
        <v>2</v>
      </c>
      <c r="G484" s="4" t="n">
        <v>2</v>
      </c>
      <c r="H484" s="13" t="n"/>
      <c r="I484" s="15" t="n"/>
      <c r="J484" s="19" t="n">
        <v>2</v>
      </c>
      <c r="K484" s="2" t="inlineStr">
        <is>
          <t>marker_349_019734.png</t>
        </is>
      </c>
      <c r="L484" s="11">
        <f>HYPERLINK("2\0\" &amp; K484, "Ver Imagen")</f>
        <v/>
      </c>
      <c r="M484" t="inlineStr">
        <is>
          <t>Moda</t>
        </is>
      </c>
    </row>
    <row r="485">
      <c r="A485" t="n">
        <v>484</v>
      </c>
      <c r="B485" t="inlineStr">
        <is>
          <t>A-5053__106</t>
        </is>
      </c>
      <c r="C485" s="1" t="n">
        <v>37.239849725</v>
      </c>
      <c r="D485" s="1" t="n">
        <v>-7.12855428261</v>
      </c>
      <c r="E485" s="3" t="n">
        <v>2</v>
      </c>
      <c r="F485" s="2" t="n">
        <v>2</v>
      </c>
      <c r="G485" s="4" t="n">
        <v>2</v>
      </c>
      <c r="H485" s="13" t="n"/>
      <c r="I485" s="15" t="n"/>
      <c r="J485" s="19" t="n">
        <v>2</v>
      </c>
      <c r="K485" s="2" t="inlineStr">
        <is>
          <t>marker_389_019758.png</t>
        </is>
      </c>
      <c r="L485" s="11">
        <f>HYPERLINK("2\0\" &amp; K485, "Ver Imagen")</f>
        <v/>
      </c>
      <c r="M485" t="inlineStr">
        <is>
          <t>Moda</t>
        </is>
      </c>
    </row>
    <row r="486">
      <c r="A486" t="n">
        <v>485</v>
      </c>
      <c r="B486" t="inlineStr">
        <is>
          <t>A-5053__104</t>
        </is>
      </c>
      <c r="C486" s="1" t="n">
        <v>37.2394444708</v>
      </c>
      <c r="D486" s="1" t="n">
        <v>-7.12851982229</v>
      </c>
      <c r="E486" s="3" t="n">
        <v>2</v>
      </c>
      <c r="F486" s="2" t="n">
        <v>2</v>
      </c>
      <c r="G486" s="4" t="n">
        <v>2</v>
      </c>
      <c r="H486" s="13" t="n"/>
      <c r="I486" s="15" t="n"/>
      <c r="J486" s="19" t="n">
        <v>2</v>
      </c>
      <c r="K486" s="2" t="inlineStr">
        <is>
          <t>marker_790_019777.png</t>
        </is>
      </c>
      <c r="L486" s="11">
        <f>HYPERLINK("2\0\" &amp; K486, "Ver Imagen")</f>
        <v/>
      </c>
      <c r="M486" t="inlineStr">
        <is>
          <t>Moda</t>
        </is>
      </c>
    </row>
    <row r="487">
      <c r="A487" t="n">
        <v>486</v>
      </c>
      <c r="B487" t="inlineStr">
        <is>
          <t>A-5053__103</t>
        </is>
      </c>
      <c r="C487" s="1" t="n">
        <v>37.2392706066</v>
      </c>
      <c r="D487" s="1" t="n">
        <v>-7.12850333216</v>
      </c>
      <c r="E487" s="3" t="n">
        <v>2</v>
      </c>
      <c r="F487" s="2" t="n">
        <v>2</v>
      </c>
      <c r="G487" s="4" t="n">
        <v>2</v>
      </c>
      <c r="H487" s="13" t="n"/>
      <c r="I487" s="15" t="n"/>
      <c r="J487" s="19" t="n">
        <v>2</v>
      </c>
      <c r="K487" s="2" t="inlineStr">
        <is>
          <t>marker_841_019786.png</t>
        </is>
      </c>
      <c r="L487" s="11">
        <f>HYPERLINK("2\0\" &amp; K487, "Ver Imagen")</f>
        <v/>
      </c>
      <c r="M487" t="inlineStr">
        <is>
          <t>Moda</t>
        </is>
      </c>
    </row>
    <row r="488">
      <c r="A488" t="n">
        <v>487</v>
      </c>
      <c r="B488" t="inlineStr">
        <is>
          <t>A-5053__102</t>
        </is>
      </c>
      <c r="C488" s="1" t="n">
        <v>37.239037026</v>
      </c>
      <c r="D488" s="1" t="n">
        <v>-7.12847911291</v>
      </c>
      <c r="E488" s="3" t="n">
        <v>2</v>
      </c>
      <c r="F488" s="2" t="n">
        <v>2</v>
      </c>
      <c r="G488" s="4" t="n">
        <v>2</v>
      </c>
      <c r="H488" s="13" t="n"/>
      <c r="I488" s="15" t="n"/>
      <c r="J488" s="19" t="n">
        <v>2</v>
      </c>
      <c r="K488" s="2" t="inlineStr">
        <is>
          <t>marker_740_019794.png</t>
        </is>
      </c>
      <c r="L488" s="11">
        <f>HYPERLINK("2\0\" &amp; K488, "Ver Imagen")</f>
        <v/>
      </c>
      <c r="M488" t="inlineStr">
        <is>
          <t>Moda</t>
        </is>
      </c>
    </row>
    <row r="489">
      <c r="A489" t="n">
        <v>488</v>
      </c>
      <c r="B489" t="inlineStr">
        <is>
          <t>A-5053__101</t>
        </is>
      </c>
      <c r="C489" s="1" t="n">
        <v>37.2388544517</v>
      </c>
      <c r="D489" s="1" t="n">
        <v>-7.12845971616</v>
      </c>
      <c r="E489" s="3" t="n">
        <v>2</v>
      </c>
      <c r="F489" s="2" t="n">
        <v>2</v>
      </c>
      <c r="G489" s="4" t="n">
        <v>2</v>
      </c>
      <c r="H489" s="13" t="n"/>
      <c r="I489" s="15" t="n"/>
      <c r="J489" s="19" t="n">
        <v>2</v>
      </c>
      <c r="K489" s="2" t="inlineStr">
        <is>
          <t>marker_311_019803.png</t>
        </is>
      </c>
      <c r="L489" s="11">
        <f>HYPERLINK("2\0\" &amp; K489, "Ver Imagen")</f>
        <v/>
      </c>
      <c r="M489" t="inlineStr">
        <is>
          <t>Moda</t>
        </is>
      </c>
    </row>
    <row r="490">
      <c r="A490" t="n">
        <v>489</v>
      </c>
      <c r="B490" t="inlineStr">
        <is>
          <t>A-5053__92</t>
        </is>
      </c>
      <c r="C490" s="1" t="n">
        <v>37.2370056734</v>
      </c>
      <c r="D490" s="1" t="n">
        <v>-7.1282790658</v>
      </c>
      <c r="E490" s="3" t="n">
        <v>2</v>
      </c>
      <c r="F490" s="2" t="n">
        <v>2</v>
      </c>
      <c r="G490" s="4" t="n">
        <v>2</v>
      </c>
      <c r="H490" s="13" t="n"/>
      <c r="I490" s="15" t="n"/>
      <c r="J490" s="19" t="n">
        <v>2</v>
      </c>
      <c r="K490" s="2" t="inlineStr">
        <is>
          <t>marker_712_019888.png</t>
        </is>
      </c>
      <c r="L490" s="11">
        <f>HYPERLINK("2\0\" &amp; K490, "Ver Imagen")</f>
        <v/>
      </c>
      <c r="M490" t="inlineStr">
        <is>
          <t>Moda</t>
        </is>
      </c>
    </row>
    <row r="491">
      <c r="A491" t="n">
        <v>490</v>
      </c>
      <c r="B491" t="inlineStr">
        <is>
          <t>A-5053__91</t>
        </is>
      </c>
      <c r="C491" s="1" t="n">
        <v>37.236817738</v>
      </c>
      <c r="D491" s="1" t="n">
        <v>-7.12826193059</v>
      </c>
      <c r="E491" s="3" t="n">
        <v>2</v>
      </c>
      <c r="F491" s="2" t="n">
        <v>2</v>
      </c>
      <c r="G491" s="4" t="n">
        <v>2</v>
      </c>
      <c r="H491" s="13" t="n"/>
      <c r="I491" s="15" t="n"/>
      <c r="J491" s="19" t="n">
        <v>2</v>
      </c>
      <c r="K491" s="2" t="inlineStr">
        <is>
          <t>marker_419_019902.png</t>
        </is>
      </c>
      <c r="L491" s="11">
        <f>HYPERLINK("2\0\" &amp; K491, "Ver Imagen")</f>
        <v/>
      </c>
      <c r="M491" t="inlineStr">
        <is>
          <t>Moda</t>
        </is>
      </c>
    </row>
    <row r="492">
      <c r="A492" t="n">
        <v>491</v>
      </c>
      <c r="B492" t="inlineStr">
        <is>
          <t>A-5053__87</t>
        </is>
      </c>
      <c r="C492" s="1" t="n">
        <v>37.2360035579</v>
      </c>
      <c r="D492" s="1" t="n">
        <v>-7.12818524117</v>
      </c>
      <c r="E492" s="3" t="n">
        <v>2</v>
      </c>
      <c r="F492" s="2" t="n">
        <v>2</v>
      </c>
      <c r="G492" s="4" t="n">
        <v>2</v>
      </c>
      <c r="H492" s="13" t="n"/>
      <c r="I492" s="15" t="n"/>
      <c r="J492" s="19" t="n">
        <v>2</v>
      </c>
      <c r="K492" s="2" t="inlineStr">
        <is>
          <t>marker_153_019943.png</t>
        </is>
      </c>
      <c r="L492" s="11">
        <f>HYPERLINK("2\0\" &amp; K492, "Ver Imagen")</f>
        <v/>
      </c>
      <c r="M492" t="inlineStr">
        <is>
          <t>Moda</t>
        </is>
      </c>
    </row>
    <row r="493">
      <c r="A493" t="n">
        <v>492</v>
      </c>
      <c r="B493" t="inlineStr">
        <is>
          <t>A-5053__86</t>
        </is>
      </c>
      <c r="C493" s="1" t="n">
        <v>37.2358004273</v>
      </c>
      <c r="D493" s="1" t="n">
        <v>-7.12816137231</v>
      </c>
      <c r="E493" s="3" t="n">
        <v>2</v>
      </c>
      <c r="F493" s="2" t="n">
        <v>2</v>
      </c>
      <c r="G493" s="4" t="n">
        <v>2</v>
      </c>
      <c r="H493" s="13" t="n"/>
      <c r="I493" s="15" t="n"/>
      <c r="J493" s="19" t="n">
        <v>2</v>
      </c>
      <c r="K493" s="2" t="inlineStr">
        <is>
          <t>marker_117_019954.png</t>
        </is>
      </c>
      <c r="L493" s="11">
        <f>HYPERLINK("2\0\" &amp; K493, "Ver Imagen")</f>
        <v/>
      </c>
      <c r="M493" t="inlineStr">
        <is>
          <t>Moda</t>
        </is>
      </c>
    </row>
    <row r="494">
      <c r="A494" t="n">
        <v>493</v>
      </c>
      <c r="B494" t="inlineStr">
        <is>
          <t>A-5053__85</t>
        </is>
      </c>
      <c r="C494" s="1" t="n">
        <v>37.2356274405</v>
      </c>
      <c r="D494" s="1" t="n">
        <v>-7.12813649885</v>
      </c>
      <c r="E494" s="3" t="n">
        <v>2</v>
      </c>
      <c r="F494" s="2" t="n">
        <v>2</v>
      </c>
      <c r="G494" s="4" t="n">
        <v>2</v>
      </c>
      <c r="H494" s="13" t="n"/>
      <c r="I494" s="15" t="n"/>
      <c r="J494" s="19" t="n">
        <v>2</v>
      </c>
      <c r="K494" s="2" t="inlineStr">
        <is>
          <t>marker_665_019965.png</t>
        </is>
      </c>
      <c r="L494" s="11">
        <f>HYPERLINK("2\0\" &amp; K494, "Ver Imagen")</f>
        <v/>
      </c>
      <c r="M494" t="inlineStr">
        <is>
          <t>Moda</t>
        </is>
      </c>
    </row>
    <row r="495">
      <c r="A495" t="n">
        <v>494</v>
      </c>
      <c r="B495" t="inlineStr">
        <is>
          <t>A-5053__83</t>
        </is>
      </c>
      <c r="C495" s="1" t="n">
        <v>37.2352189137</v>
      </c>
      <c r="D495" s="1" t="n">
        <v>-7.1280424194</v>
      </c>
      <c r="E495" s="3" t="n">
        <v>2</v>
      </c>
      <c r="F495" s="2" t="n">
        <v>2</v>
      </c>
      <c r="G495" s="4" t="n">
        <v>2</v>
      </c>
      <c r="H495" s="13" t="n"/>
      <c r="I495" s="15" t="n"/>
      <c r="J495" s="19" t="n">
        <v>2</v>
      </c>
      <c r="K495" s="2" t="inlineStr">
        <is>
          <t>marker_122_019983.png</t>
        </is>
      </c>
      <c r="L495" s="11">
        <f>HYPERLINK("2\0\" &amp; K495, "Ver Imagen")</f>
        <v/>
      </c>
      <c r="M495" t="inlineStr">
        <is>
          <t>Moda</t>
        </is>
      </c>
    </row>
    <row r="496">
      <c r="A496" t="n">
        <v>495</v>
      </c>
      <c r="B496" t="inlineStr">
        <is>
          <t>A-5053__82</t>
        </is>
      </c>
      <c r="C496" s="1" t="n">
        <v>37.2350069682</v>
      </c>
      <c r="D496" s="1" t="n">
        <v>-7.12796663062</v>
      </c>
      <c r="E496" s="3" t="n">
        <v>2</v>
      </c>
      <c r="F496" s="2" t="n">
        <v>2</v>
      </c>
      <c r="G496" s="4" t="n">
        <v>2</v>
      </c>
      <c r="H496" s="13" t="n"/>
      <c r="I496" s="15" t="n"/>
      <c r="J496" s="19" t="n">
        <v>2</v>
      </c>
      <c r="K496" s="2" t="inlineStr">
        <is>
          <t>marker_123_019992.png</t>
        </is>
      </c>
      <c r="L496" s="11">
        <f>HYPERLINK("2\0\" &amp; K496, "Ver Imagen")</f>
        <v/>
      </c>
      <c r="M496" t="inlineStr">
        <is>
          <t>Moda</t>
        </is>
      </c>
    </row>
    <row r="497">
      <c r="A497" t="n">
        <v>496</v>
      </c>
      <c r="B497" t="inlineStr">
        <is>
          <t>A-5053__79</t>
        </is>
      </c>
      <c r="C497" s="1" t="n">
        <v>37.23443027</v>
      </c>
      <c r="D497" s="1" t="n">
        <v>-7.12770813553</v>
      </c>
      <c r="E497" s="3" t="n">
        <v>2</v>
      </c>
      <c r="F497" s="2" t="n">
        <v>2</v>
      </c>
      <c r="G497" s="4" t="n">
        <v>2</v>
      </c>
      <c r="H497" s="13" t="n"/>
      <c r="I497" s="15" t="n"/>
      <c r="J497" s="19" t="n">
        <v>2</v>
      </c>
      <c r="K497" s="2" t="inlineStr">
        <is>
          <t>marker_969_020020.png</t>
        </is>
      </c>
      <c r="L497" s="11">
        <f>HYPERLINK("2\0\" &amp; K497, "Ver Imagen")</f>
        <v/>
      </c>
      <c r="M497" t="inlineStr">
        <is>
          <t>Moda</t>
        </is>
      </c>
    </row>
    <row r="498">
      <c r="A498" t="n">
        <v>497</v>
      </c>
      <c r="B498" t="inlineStr">
        <is>
          <t>A-5053__78</t>
        </is>
      </c>
      <c r="C498" s="1" t="n">
        <v>37.2342616602</v>
      </c>
      <c r="D498" s="1" t="n">
        <v>-7.12762922738</v>
      </c>
      <c r="E498" s="3" t="n">
        <v>2</v>
      </c>
      <c r="F498" s="2" t="n">
        <v>2</v>
      </c>
      <c r="G498" s="4" t="n">
        <v>2</v>
      </c>
      <c r="H498" s="13" t="n"/>
      <c r="I498" s="15" t="n"/>
      <c r="J498" s="19" t="n">
        <v>2</v>
      </c>
      <c r="K498" s="2" t="inlineStr">
        <is>
          <t>marker_922_020029.png</t>
        </is>
      </c>
      <c r="L498" s="11">
        <f>HYPERLINK("2\0\" &amp; K498, "Ver Imagen")</f>
        <v/>
      </c>
      <c r="M498" t="inlineStr">
        <is>
          <t>Moda</t>
        </is>
      </c>
    </row>
    <row r="499">
      <c r="A499" t="n">
        <v>498</v>
      </c>
      <c r="B499" t="inlineStr">
        <is>
          <t>A-5053__77</t>
        </is>
      </c>
      <c r="C499" s="1" t="n">
        <v>37.2340598454</v>
      </c>
      <c r="D499" s="1" t="n">
        <v>-7.12753814612</v>
      </c>
      <c r="E499" s="3" t="n">
        <v>2</v>
      </c>
      <c r="F499" s="2" t="n">
        <v>2</v>
      </c>
      <c r="G499" s="4" t="n">
        <v>2</v>
      </c>
      <c r="H499" s="13" t="n"/>
      <c r="I499" s="15" t="n"/>
      <c r="J499" s="19" t="n">
        <v>2</v>
      </c>
      <c r="K499" s="2" t="inlineStr">
        <is>
          <t>marker_329_020040.png</t>
        </is>
      </c>
      <c r="L499" s="11">
        <f>HYPERLINK("2\0\" &amp; K499, "Ver Imagen")</f>
        <v/>
      </c>
      <c r="M499" t="inlineStr">
        <is>
          <t>Moda</t>
        </is>
      </c>
    </row>
    <row r="500">
      <c r="A500" t="n">
        <v>499</v>
      </c>
      <c r="B500" t="inlineStr">
        <is>
          <t>A-5053__76</t>
        </is>
      </c>
      <c r="C500" s="1" t="n">
        <v>37.2338494468</v>
      </c>
      <c r="D500" s="1" t="n">
        <v>-7.12745244614</v>
      </c>
      <c r="E500" s="3" t="n">
        <v>2</v>
      </c>
      <c r="F500" s="2" t="n">
        <v>2</v>
      </c>
      <c r="G500" s="4" t="n">
        <v>2</v>
      </c>
      <c r="H500" s="13" t="n"/>
      <c r="I500" s="15" t="n"/>
      <c r="J500" s="19" t="n">
        <v>2</v>
      </c>
      <c r="K500" s="2" t="inlineStr">
        <is>
          <t>marker_419_020246.png</t>
        </is>
      </c>
      <c r="L500" s="11">
        <f>HYPERLINK("2\0\" &amp; K500, "Ver Imagen")</f>
        <v/>
      </c>
      <c r="M500" t="inlineStr">
        <is>
          <t>Moda</t>
        </is>
      </c>
    </row>
    <row r="501">
      <c r="A501" t="n">
        <v>500</v>
      </c>
      <c r="B501" t="inlineStr">
        <is>
          <t>A-5053__75</t>
        </is>
      </c>
      <c r="C501" s="1" t="n">
        <v>37.2337044386</v>
      </c>
      <c r="D501" s="1" t="n">
        <v>-7.12740180636</v>
      </c>
      <c r="E501" s="3" t="n">
        <v>2</v>
      </c>
      <c r="F501" s="2" t="n">
        <v>2</v>
      </c>
      <c r="G501" s="4" t="n">
        <v>2</v>
      </c>
      <c r="H501" s="13" t="n"/>
      <c r="I501" s="15" t="n"/>
      <c r="J501" s="19" t="n">
        <v>2</v>
      </c>
      <c r="K501" s="2" t="inlineStr">
        <is>
          <t>marker_273_020256.png</t>
        </is>
      </c>
      <c r="L501" s="11">
        <f>HYPERLINK("2\0\" &amp; K501, "Ver Imagen")</f>
        <v/>
      </c>
      <c r="M501" t="inlineStr">
        <is>
          <t>Moda</t>
        </is>
      </c>
    </row>
    <row r="502">
      <c r="A502" t="n">
        <v>501</v>
      </c>
      <c r="B502" t="inlineStr">
        <is>
          <t>A-5053__74</t>
        </is>
      </c>
      <c r="C502" s="1" t="n">
        <v>37.2334856634</v>
      </c>
      <c r="D502" s="1" t="n">
        <v>-7.12733834307</v>
      </c>
      <c r="E502" s="3" t="n">
        <v>2</v>
      </c>
      <c r="F502" s="2" t="n">
        <v>2</v>
      </c>
      <c r="G502" s="4" t="n">
        <v>2</v>
      </c>
      <c r="H502" s="13" t="n"/>
      <c r="I502" s="15" t="n"/>
      <c r="J502" s="19" t="n">
        <v>2</v>
      </c>
      <c r="K502" s="2" t="inlineStr">
        <is>
          <t>marker_470_020265.png</t>
        </is>
      </c>
      <c r="L502" s="11">
        <f>HYPERLINK("2\0\" &amp; K502, "Ver Imagen")</f>
        <v/>
      </c>
      <c r="M502" t="inlineStr">
        <is>
          <t>Moda</t>
        </is>
      </c>
    </row>
    <row r="503">
      <c r="A503" t="n">
        <v>502</v>
      </c>
      <c r="B503" t="inlineStr">
        <is>
          <t>A-5053__73</t>
        </is>
      </c>
      <c r="C503" s="1" t="n">
        <v>37.2332892417</v>
      </c>
      <c r="D503" s="1" t="n">
        <v>-7.12729269379</v>
      </c>
      <c r="E503" s="3" t="n">
        <v>2</v>
      </c>
      <c r="F503" s="2" t="n">
        <v>2</v>
      </c>
      <c r="G503" s="4" t="n">
        <v>2</v>
      </c>
      <c r="H503" s="13" t="n"/>
      <c r="I503" s="15" t="n"/>
      <c r="J503" s="19" t="n">
        <v>2</v>
      </c>
      <c r="K503" s="2" t="inlineStr">
        <is>
          <t>marker_881_020275.png</t>
        </is>
      </c>
      <c r="L503" s="11">
        <f>HYPERLINK("2\0\" &amp; K503, "Ver Imagen")</f>
        <v/>
      </c>
      <c r="M503" t="inlineStr">
        <is>
          <t>Moda</t>
        </is>
      </c>
    </row>
    <row r="504">
      <c r="A504" t="n">
        <v>503</v>
      </c>
      <c r="B504" t="inlineStr">
        <is>
          <t>A-5053__72</t>
        </is>
      </c>
      <c r="C504" s="1" t="n">
        <v>37.2331158318</v>
      </c>
      <c r="D504" s="1" t="n">
        <v>-7.12726023358</v>
      </c>
      <c r="E504" s="3" t="n">
        <v>2</v>
      </c>
      <c r="F504" s="2" t="n">
        <v>2</v>
      </c>
      <c r="G504" s="4" t="n">
        <v>2</v>
      </c>
      <c r="H504" s="13" t="n"/>
      <c r="I504" s="15" t="n"/>
      <c r="J504" s="19" t="n">
        <v>2</v>
      </c>
      <c r="K504" s="2" t="inlineStr">
        <is>
          <t>marker_733_020283.png</t>
        </is>
      </c>
      <c r="L504" s="11">
        <f>HYPERLINK("2\0\" &amp; K504, "Ver Imagen")</f>
        <v/>
      </c>
      <c r="M504" t="inlineStr">
        <is>
          <t>Moda</t>
        </is>
      </c>
    </row>
    <row r="505">
      <c r="A505" t="n">
        <v>504</v>
      </c>
      <c r="B505" t="inlineStr">
        <is>
          <t>A-5053__70</t>
        </is>
      </c>
      <c r="C505" s="1" t="n">
        <v>37.2326797121</v>
      </c>
      <c r="D505" s="1" t="n">
        <v>-7.12720156018</v>
      </c>
      <c r="E505" s="3" t="n">
        <v>2</v>
      </c>
      <c r="F505" s="2" t="n">
        <v>2</v>
      </c>
      <c r="G505" s="4" t="n">
        <v>2</v>
      </c>
      <c r="H505" s="13" t="n"/>
      <c r="I505" s="15" t="n"/>
      <c r="J505" s="19" t="n">
        <v>2</v>
      </c>
      <c r="K505" s="2" t="inlineStr">
        <is>
          <t>marker_480_020304.png</t>
        </is>
      </c>
      <c r="L505" s="11">
        <f>HYPERLINK("2\0\" &amp; K505, "Ver Imagen")</f>
        <v/>
      </c>
      <c r="M505" t="inlineStr">
        <is>
          <t>Moda</t>
        </is>
      </c>
    </row>
    <row r="506">
      <c r="A506" t="n">
        <v>505</v>
      </c>
      <c r="B506" t="inlineStr">
        <is>
          <t>A-5053__69</t>
        </is>
      </c>
      <c r="C506" s="1" t="n">
        <v>37.2324985633</v>
      </c>
      <c r="D506" s="1" t="n">
        <v>-7.12718260581</v>
      </c>
      <c r="E506" s="3" t="n">
        <v>2</v>
      </c>
      <c r="F506" s="2" t="n">
        <v>2</v>
      </c>
      <c r="G506" s="4" t="n">
        <v>2</v>
      </c>
      <c r="H506" s="13" t="n"/>
      <c r="I506" s="15" t="n"/>
      <c r="J506" s="19" t="n">
        <v>2</v>
      </c>
      <c r="K506" s="2" t="inlineStr">
        <is>
          <t>marker_288_020717.png</t>
        </is>
      </c>
      <c r="L506" s="11">
        <f>HYPERLINK("2\0\" &amp; K506, "Ver Imagen")</f>
        <v/>
      </c>
      <c r="M506" t="inlineStr">
        <is>
          <t>Moda</t>
        </is>
      </c>
    </row>
    <row r="507">
      <c r="A507" t="n">
        <v>506</v>
      </c>
      <c r="B507" t="inlineStr">
        <is>
          <t>A-5053__68</t>
        </is>
      </c>
      <c r="C507" s="1" t="n">
        <v>37.2322901955</v>
      </c>
      <c r="D507" s="1" t="n">
        <v>-7.12716383246</v>
      </c>
      <c r="E507" s="3" t="n">
        <v>2</v>
      </c>
      <c r="F507" s="2" t="n">
        <v>2</v>
      </c>
      <c r="G507" s="4" t="n">
        <v>2</v>
      </c>
      <c r="H507" s="13" t="n"/>
      <c r="I507" s="15" t="n"/>
      <c r="J507" s="19" t="n">
        <v>2</v>
      </c>
      <c r="K507" s="2" t="inlineStr">
        <is>
          <t>marker_929_020726.png</t>
        </is>
      </c>
      <c r="L507" s="11">
        <f>HYPERLINK("2\0\" &amp; K507, "Ver Imagen")</f>
        <v/>
      </c>
      <c r="M507" t="inlineStr">
        <is>
          <t>Moda</t>
        </is>
      </c>
    </row>
    <row r="508">
      <c r="A508" t="n">
        <v>507</v>
      </c>
      <c r="B508" t="inlineStr">
        <is>
          <t>A-5053__67</t>
        </is>
      </c>
      <c r="C508" s="1" t="n">
        <v>37.2320471985</v>
      </c>
      <c r="D508" s="1" t="n">
        <v>-7.12714333265</v>
      </c>
      <c r="E508" s="3" t="n">
        <v>2</v>
      </c>
      <c r="F508" s="2" t="n">
        <v>2</v>
      </c>
      <c r="G508" s="4" t="n">
        <v>2</v>
      </c>
      <c r="H508" s="13" t="n"/>
      <c r="I508" s="15" t="n"/>
      <c r="J508" s="19" t="n">
        <v>2</v>
      </c>
      <c r="K508" s="2" t="inlineStr">
        <is>
          <t>marker_350_020735.png</t>
        </is>
      </c>
      <c r="L508" s="11">
        <f>HYPERLINK("2\0\" &amp; K508, "Ver Imagen")</f>
        <v/>
      </c>
      <c r="M508" t="inlineStr">
        <is>
          <t>Moda</t>
        </is>
      </c>
    </row>
    <row r="509">
      <c r="A509" t="n">
        <v>508</v>
      </c>
      <c r="B509" t="inlineStr">
        <is>
          <t>A-5053__66</t>
        </is>
      </c>
      <c r="C509" s="1" t="n">
        <v>37.2318654786</v>
      </c>
      <c r="D509" s="1" t="n">
        <v>-7.1271281702</v>
      </c>
      <c r="E509" s="3" t="n">
        <v>2</v>
      </c>
      <c r="F509" s="2" t="n">
        <v>2</v>
      </c>
      <c r="G509" s="4" t="n">
        <v>2</v>
      </c>
      <c r="H509" s="13" t="n"/>
      <c r="I509" s="15" t="n"/>
      <c r="J509" s="19" t="n">
        <v>2</v>
      </c>
      <c r="K509" s="2" t="inlineStr">
        <is>
          <t>marker_443_020745.png</t>
        </is>
      </c>
      <c r="L509" s="11">
        <f>HYPERLINK("2\0\" &amp; K509, "Ver Imagen")</f>
        <v/>
      </c>
      <c r="M509" t="inlineStr">
        <is>
          <t>Moda</t>
        </is>
      </c>
    </row>
    <row r="510">
      <c r="A510" t="n">
        <v>509</v>
      </c>
      <c r="B510" t="inlineStr">
        <is>
          <t>A-5053__58</t>
        </is>
      </c>
      <c r="C510" s="1" t="n">
        <v>37.2302141295</v>
      </c>
      <c r="D510" s="1" t="n">
        <v>-7.12698120007</v>
      </c>
      <c r="E510" s="3" t="n">
        <v>2</v>
      </c>
      <c r="F510" s="2" t="n">
        <v>2</v>
      </c>
      <c r="G510" s="4" t="n">
        <v>2</v>
      </c>
      <c r="H510" s="13" t="n"/>
      <c r="I510" s="15" t="n"/>
      <c r="J510" s="19" t="n">
        <v>2</v>
      </c>
      <c r="K510" s="2" t="inlineStr">
        <is>
          <t>marker_267_020903.png</t>
        </is>
      </c>
      <c r="L510" s="11">
        <f>HYPERLINK("2\0\" &amp; K510, "Ver Imagen")</f>
        <v/>
      </c>
      <c r="M510" t="inlineStr">
        <is>
          <t>Moda</t>
        </is>
      </c>
    </row>
    <row r="511">
      <c r="A511" t="n">
        <v>510</v>
      </c>
      <c r="B511" t="inlineStr">
        <is>
          <t>A-5053__57</t>
        </is>
      </c>
      <c r="C511" s="1" t="n">
        <v>37.2300422473</v>
      </c>
      <c r="D511" s="1" t="n">
        <v>-7.12696493883</v>
      </c>
      <c r="E511" s="3" t="n">
        <v>2</v>
      </c>
      <c r="F511" s="2" t="n">
        <v>2</v>
      </c>
      <c r="G511" s="4" t="n">
        <v>2</v>
      </c>
      <c r="H511" s="13" t="n"/>
      <c r="I511" s="15" t="n"/>
      <c r="J511" s="19" t="n">
        <v>2</v>
      </c>
      <c r="K511" s="2" t="inlineStr">
        <is>
          <t>marker_120_020913.png</t>
        </is>
      </c>
      <c r="L511" s="11">
        <f>HYPERLINK("2\0\" &amp; K511, "Ver Imagen")</f>
        <v/>
      </c>
      <c r="M511" t="inlineStr">
        <is>
          <t>Moda</t>
        </is>
      </c>
    </row>
    <row r="512">
      <c r="A512" t="n">
        <v>511</v>
      </c>
      <c r="B512" t="inlineStr">
        <is>
          <t>A-5053__21</t>
        </is>
      </c>
      <c r="C512" s="1" t="n">
        <v>37.2229911163</v>
      </c>
      <c r="D512" s="1" t="n">
        <v>-7.12501178291</v>
      </c>
      <c r="E512" s="3" t="n">
        <v>2</v>
      </c>
      <c r="F512" s="2" t="n">
        <v>2</v>
      </c>
      <c r="G512" s="4" t="n">
        <v>2</v>
      </c>
      <c r="H512" s="13" t="n"/>
      <c r="I512" s="15" t="n"/>
      <c r="J512" s="19" t="n">
        <v>2</v>
      </c>
      <c r="K512" s="2" t="inlineStr">
        <is>
          <t>marker_337_022893.png</t>
        </is>
      </c>
      <c r="L512" s="11">
        <f>HYPERLINK("2\0\" &amp; K512, "Ver Imagen")</f>
        <v/>
      </c>
      <c r="M512" t="inlineStr">
        <is>
          <t>Moda</t>
        </is>
      </c>
    </row>
    <row r="513">
      <c r="A513" t="n">
        <v>512</v>
      </c>
      <c r="B513" t="inlineStr">
        <is>
          <t>A-5053__18</t>
        </is>
      </c>
      <c r="C513" s="1" t="n">
        <v>37.2223679059</v>
      </c>
      <c r="D513" s="1" t="n">
        <v>-7.12506603434</v>
      </c>
      <c r="E513" s="3" t="n">
        <v>2</v>
      </c>
      <c r="F513" s="2" t="n">
        <v>2</v>
      </c>
      <c r="G513" s="4" t="n">
        <v>2</v>
      </c>
      <c r="H513" s="13" t="n"/>
      <c r="I513" s="15" t="n"/>
      <c r="J513" s="19" t="n">
        <v>2</v>
      </c>
      <c r="K513" s="2" t="inlineStr">
        <is>
          <t>marker_162_025019.png</t>
        </is>
      </c>
      <c r="L513" s="11">
        <f>HYPERLINK("2\0\" &amp; K513, "Ver Imagen")</f>
        <v/>
      </c>
      <c r="M513" t="inlineStr">
        <is>
          <t>Moda</t>
        </is>
      </c>
    </row>
    <row r="514">
      <c r="A514" t="n">
        <v>513</v>
      </c>
      <c r="B514" t="inlineStr">
        <is>
          <t>A-5053__17</t>
        </is>
      </c>
      <c r="C514" s="1" t="n">
        <v>37.2221683981</v>
      </c>
      <c r="D514" s="1" t="n">
        <v>-7.1251072002</v>
      </c>
      <c r="E514" s="3" t="n">
        <v>2</v>
      </c>
      <c r="F514" s="2" t="n">
        <v>2</v>
      </c>
      <c r="G514" s="4" t="n">
        <v>2</v>
      </c>
      <c r="H514" s="13" t="n"/>
      <c r="I514" s="15" t="n"/>
      <c r="J514" s="19" t="n">
        <v>2</v>
      </c>
      <c r="K514" s="2" t="inlineStr">
        <is>
          <t>marker_178_025031.png</t>
        </is>
      </c>
      <c r="L514" s="11">
        <f>HYPERLINK("2\0\" &amp; K514, "Ver Imagen")</f>
        <v/>
      </c>
      <c r="M514" t="inlineStr">
        <is>
          <t>Moda</t>
        </is>
      </c>
    </row>
    <row r="515">
      <c r="A515" t="n">
        <v>514</v>
      </c>
      <c r="B515" t="inlineStr">
        <is>
          <t>A-495__15</t>
        </is>
      </c>
      <c r="C515" s="1" t="n">
        <v>37.4438234144</v>
      </c>
      <c r="D515" s="1" t="n">
        <v>-7.09669797566</v>
      </c>
      <c r="E515" s="3" t="n">
        <v>2</v>
      </c>
      <c r="F515" s="2" t="n">
        <v>2</v>
      </c>
      <c r="G515" s="4" t="n">
        <v>2</v>
      </c>
      <c r="H515" s="13" t="n"/>
      <c r="I515" s="15" t="n"/>
      <c r="J515" s="19" t="n">
        <v>2</v>
      </c>
      <c r="K515" s="2" t="inlineStr">
        <is>
          <t>marker_284_381213.png</t>
        </is>
      </c>
      <c r="L515" s="11">
        <f>HYPERLINK("2\0\" &amp; K515, "Ver Imagen")</f>
        <v/>
      </c>
      <c r="M515" t="inlineStr">
        <is>
          <t>Moda</t>
        </is>
      </c>
    </row>
    <row r="516">
      <c r="A516" t="n">
        <v>515</v>
      </c>
      <c r="B516" t="inlineStr">
        <is>
          <t>A-495__23</t>
        </is>
      </c>
      <c r="C516" s="1" t="n">
        <v>37.4431503028</v>
      </c>
      <c r="D516" s="1" t="n">
        <v>-7.09484888193</v>
      </c>
      <c r="E516" s="3" t="n">
        <v>2</v>
      </c>
      <c r="F516" s="2" t="n">
        <v>2</v>
      </c>
      <c r="G516" s="4" t="n">
        <v>2</v>
      </c>
      <c r="H516" s="13" t="n"/>
      <c r="I516" s="15" t="n"/>
      <c r="J516" s="19" t="n">
        <v>2</v>
      </c>
      <c r="K516" s="2" t="inlineStr">
        <is>
          <t>marker_526_381326.png</t>
        </is>
      </c>
      <c r="L516" s="11">
        <f>HYPERLINK("2\0\" &amp; K516, "Ver Imagen")</f>
        <v/>
      </c>
      <c r="M516" t="inlineStr">
        <is>
          <t>Moda</t>
        </is>
      </c>
    </row>
    <row r="517">
      <c r="A517" t="n">
        <v>516</v>
      </c>
      <c r="B517" t="inlineStr">
        <is>
          <t>A-495__30</t>
        </is>
      </c>
      <c r="C517" s="1" t="n">
        <v>37.4425382929</v>
      </c>
      <c r="D517" s="1" t="n">
        <v>-7.09325377364</v>
      </c>
      <c r="E517" s="3" t="n">
        <v>2</v>
      </c>
      <c r="F517" s="2" t="n">
        <v>2</v>
      </c>
      <c r="G517" s="4" t="n">
        <v>2</v>
      </c>
      <c r="H517" s="13" t="n"/>
      <c r="I517" s="15" t="n"/>
      <c r="J517" s="19" t="n">
        <v>2</v>
      </c>
      <c r="K517" s="2" t="inlineStr">
        <is>
          <t>marker_370_381396.png</t>
        </is>
      </c>
      <c r="L517" s="11">
        <f>HYPERLINK("2\0\" &amp; K517, "Ver Imagen")</f>
        <v/>
      </c>
      <c r="M517" t="inlineStr">
        <is>
          <t>Moda</t>
        </is>
      </c>
    </row>
    <row r="518">
      <c r="A518" t="n">
        <v>517</v>
      </c>
      <c r="B518" t="inlineStr">
        <is>
          <t>A-495__33</t>
        </is>
      </c>
      <c r="C518" s="1" t="n">
        <v>37.4422795214</v>
      </c>
      <c r="D518" s="1" t="n">
        <v>-7.09259031694</v>
      </c>
      <c r="E518" s="3" t="n">
        <v>2</v>
      </c>
      <c r="F518" s="2" t="n">
        <v>2</v>
      </c>
      <c r="G518" s="4" t="n">
        <v>2</v>
      </c>
      <c r="H518" s="13" t="n"/>
      <c r="I518" s="15" t="n"/>
      <c r="J518" s="19" t="n">
        <v>2</v>
      </c>
      <c r="K518" s="2" t="inlineStr">
        <is>
          <t>marker_540_381436.png</t>
        </is>
      </c>
      <c r="L518" s="11">
        <f>HYPERLINK("2\0\" &amp; K518, "Ver Imagen")</f>
        <v/>
      </c>
      <c r="M518" t="inlineStr">
        <is>
          <t>Moda</t>
        </is>
      </c>
    </row>
    <row r="519">
      <c r="A519" t="n">
        <v>518</v>
      </c>
      <c r="B519" t="inlineStr">
        <is>
          <t>A-495__97</t>
        </is>
      </c>
      <c r="C519" s="1" t="n">
        <v>37.4364338712</v>
      </c>
      <c r="D519" s="1" t="n">
        <v>-7.07823276683</v>
      </c>
      <c r="E519" s="3" t="n">
        <v>2</v>
      </c>
      <c r="F519" s="2" t="n">
        <v>2</v>
      </c>
      <c r="G519" s="4" t="n">
        <v>2</v>
      </c>
      <c r="H519" s="13" t="n"/>
      <c r="I519" s="15" t="n"/>
      <c r="J519" s="19" t="n">
        <v>2</v>
      </c>
      <c r="K519" s="2" t="inlineStr">
        <is>
          <t>marker_163_382127.png</t>
        </is>
      </c>
      <c r="L519" s="11">
        <f>HYPERLINK("2\0\" &amp; K519, "Ver Imagen")</f>
        <v/>
      </c>
      <c r="M519" t="inlineStr">
        <is>
          <t>Moda</t>
        </is>
      </c>
    </row>
    <row r="520">
      <c r="A520" t="n">
        <v>519</v>
      </c>
      <c r="B520" t="inlineStr">
        <is>
          <t>A-495__99</t>
        </is>
      </c>
      <c r="C520" s="1" t="n">
        <v>37.4362778963</v>
      </c>
      <c r="D520" s="1" t="n">
        <v>-7.07779012968</v>
      </c>
      <c r="E520" s="3" t="n">
        <v>2</v>
      </c>
      <c r="F520" s="2" t="n">
        <v>2</v>
      </c>
      <c r="G520" s="4" t="n">
        <v>2</v>
      </c>
      <c r="H520" s="13" t="n"/>
      <c r="I520" s="15" t="n"/>
      <c r="J520" s="19" t="n">
        <v>2</v>
      </c>
      <c r="K520" s="2" t="inlineStr">
        <is>
          <t>marker_155_382145.png</t>
        </is>
      </c>
      <c r="L520" s="11">
        <f>HYPERLINK("2\0\" &amp; K520, "Ver Imagen")</f>
        <v/>
      </c>
      <c r="M520" t="inlineStr">
        <is>
          <t>Moda</t>
        </is>
      </c>
    </row>
    <row r="521">
      <c r="A521" t="n">
        <v>520</v>
      </c>
      <c r="B521" t="inlineStr">
        <is>
          <t>A-495__100</t>
        </is>
      </c>
      <c r="C521" s="1" t="n">
        <v>37.4362007321</v>
      </c>
      <c r="D521" s="1" t="n">
        <v>-7.07756880101</v>
      </c>
      <c r="E521" s="3" t="n">
        <v>2</v>
      </c>
      <c r="F521" s="2" t="n">
        <v>2</v>
      </c>
      <c r="G521" s="4" t="n">
        <v>2</v>
      </c>
      <c r="H521" s="13" t="n"/>
      <c r="I521" s="15" t="n"/>
      <c r="J521" s="19" t="n">
        <v>2</v>
      </c>
      <c r="K521" s="2" t="inlineStr">
        <is>
          <t>marker_307_382154.png</t>
        </is>
      </c>
      <c r="L521" s="11">
        <f>HYPERLINK("2\0\" &amp; K521, "Ver Imagen")</f>
        <v/>
      </c>
      <c r="M521" t="inlineStr">
        <is>
          <t>Moda</t>
        </is>
      </c>
    </row>
    <row r="522">
      <c r="A522" t="n">
        <v>521</v>
      </c>
      <c r="B522" t="inlineStr">
        <is>
          <t>A-5059__77</t>
        </is>
      </c>
      <c r="C522" s="1" t="n">
        <v>37.2218048181</v>
      </c>
      <c r="D522" s="1" t="n">
        <v>-7.05494013698</v>
      </c>
      <c r="E522" s="3" t="n">
        <v>2</v>
      </c>
      <c r="F522" s="2" t="n">
        <v>2</v>
      </c>
      <c r="G522" s="4" t="n">
        <v>2</v>
      </c>
      <c r="H522" s="13" t="n"/>
      <c r="I522" s="15" t="n"/>
      <c r="J522" s="19" t="n">
        <v>2</v>
      </c>
      <c r="K522" s="2" t="inlineStr">
        <is>
          <t>marker_915_378778.png</t>
        </is>
      </c>
      <c r="L522" s="11">
        <f>HYPERLINK("2\0\" &amp; K522, "Ver Imagen")</f>
        <v/>
      </c>
      <c r="M522" t="inlineStr">
        <is>
          <t>Moda</t>
        </is>
      </c>
    </row>
    <row r="523">
      <c r="A523" t="n">
        <v>522</v>
      </c>
      <c r="B523" t="inlineStr">
        <is>
          <t>A-5059__75</t>
        </is>
      </c>
      <c r="C523" s="1" t="n">
        <v>37.2220986624</v>
      </c>
      <c r="D523" s="1" t="n">
        <v>-7.055281388</v>
      </c>
      <c r="E523" s="3" t="n">
        <v>2</v>
      </c>
      <c r="F523" s="2" t="n">
        <v>2</v>
      </c>
      <c r="G523" s="4" t="n">
        <v>2</v>
      </c>
      <c r="H523" s="13" t="n"/>
      <c r="I523" s="15" t="n"/>
      <c r="J523" s="19" t="n">
        <v>2</v>
      </c>
      <c r="K523" s="2" t="inlineStr">
        <is>
          <t>marker_898_378801.png</t>
        </is>
      </c>
      <c r="L523" s="11">
        <f>HYPERLINK("2\0\" &amp; K523, "Ver Imagen")</f>
        <v/>
      </c>
      <c r="M523" t="inlineStr">
        <is>
          <t>Moda</t>
        </is>
      </c>
    </row>
    <row r="524">
      <c r="A524" t="n">
        <v>523</v>
      </c>
      <c r="B524" t="inlineStr">
        <is>
          <t>A-5059__69</t>
        </is>
      </c>
      <c r="C524" s="1" t="n">
        <v>37.2232112244</v>
      </c>
      <c r="D524" s="1" t="n">
        <v>-7.05589478691</v>
      </c>
      <c r="E524" s="3" t="n">
        <v>2</v>
      </c>
      <c r="F524" s="2" t="n">
        <v>2</v>
      </c>
      <c r="G524" s="4" t="n">
        <v>2</v>
      </c>
      <c r="H524" s="13" t="n"/>
      <c r="I524" s="15" t="n"/>
      <c r="J524" s="19" t="n">
        <v>2</v>
      </c>
      <c r="K524" s="2" t="inlineStr">
        <is>
          <t>marker_933_378856.png</t>
        </is>
      </c>
      <c r="L524" s="11">
        <f>HYPERLINK("2\0\" &amp; K524, "Ver Imagen")</f>
        <v/>
      </c>
      <c r="M524" t="inlineStr">
        <is>
          <t>Moda</t>
        </is>
      </c>
    </row>
    <row r="525">
      <c r="A525" t="n">
        <v>524</v>
      </c>
      <c r="B525" t="inlineStr">
        <is>
          <t>A-5059__66</t>
        </is>
      </c>
      <c r="C525" s="1" t="n">
        <v>37.2237814203</v>
      </c>
      <c r="D525" s="1" t="n">
        <v>-7.05615941728</v>
      </c>
      <c r="E525" s="3" t="n">
        <v>2</v>
      </c>
      <c r="F525" s="2" t="n">
        <v>2</v>
      </c>
      <c r="G525" s="4" t="n">
        <v>2</v>
      </c>
      <c r="H525" s="13" t="n"/>
      <c r="I525" s="15" t="n"/>
      <c r="J525" s="19" t="n">
        <v>2</v>
      </c>
      <c r="K525" s="2" t="inlineStr">
        <is>
          <t>marker_883_378884.png</t>
        </is>
      </c>
      <c r="L525" s="11">
        <f>HYPERLINK("2\0\" &amp; K525, "Ver Imagen")</f>
        <v/>
      </c>
      <c r="M525" t="inlineStr">
        <is>
          <t>Moda</t>
        </is>
      </c>
    </row>
    <row r="526">
      <c r="A526" t="n">
        <v>525</v>
      </c>
      <c r="B526" t="inlineStr">
        <is>
          <t>A-5059__59</t>
        </is>
      </c>
      <c r="C526" s="1" t="n">
        <v>37.2247923319</v>
      </c>
      <c r="D526" s="1" t="n">
        <v>-7.05735756225</v>
      </c>
      <c r="E526" s="3" t="n">
        <v>2</v>
      </c>
      <c r="F526" s="2" t="n">
        <v>2</v>
      </c>
      <c r="G526" s="4" t="n">
        <v>2</v>
      </c>
      <c r="H526" s="13" t="n"/>
      <c r="I526" s="15" t="n"/>
      <c r="J526" s="19" t="n">
        <v>2</v>
      </c>
      <c r="K526" s="2" t="inlineStr">
        <is>
          <t>marker_750_378956.png</t>
        </is>
      </c>
      <c r="L526" s="11">
        <f>HYPERLINK("2\0\" &amp; K526, "Ver Imagen")</f>
        <v/>
      </c>
      <c r="M526" t="inlineStr">
        <is>
          <t>Moda</t>
        </is>
      </c>
    </row>
    <row r="527">
      <c r="A527" t="n">
        <v>526</v>
      </c>
      <c r="B527" t="inlineStr">
        <is>
          <t>A-5059__58</t>
        </is>
      </c>
      <c r="C527" s="1" t="n">
        <v>37.2249087306</v>
      </c>
      <c r="D527" s="1" t="n">
        <v>-7.05755307278</v>
      </c>
      <c r="E527" s="3" t="n">
        <v>2</v>
      </c>
      <c r="F527" s="2" t="n">
        <v>2</v>
      </c>
      <c r="G527" s="4" t="n">
        <v>2</v>
      </c>
      <c r="H527" s="13" t="n"/>
      <c r="I527" s="15" t="n"/>
      <c r="J527" s="19" t="n">
        <v>2</v>
      </c>
      <c r="K527" s="2" t="inlineStr">
        <is>
          <t>marker_713_378964.png</t>
        </is>
      </c>
      <c r="L527" s="11">
        <f>HYPERLINK("2\0\" &amp; K527, "Ver Imagen")</f>
        <v/>
      </c>
      <c r="M527" t="inlineStr">
        <is>
          <t>Moda</t>
        </is>
      </c>
    </row>
    <row r="528">
      <c r="A528" t="n">
        <v>527</v>
      </c>
      <c r="B528" t="inlineStr">
        <is>
          <t>A-5059__54</t>
        </is>
      </c>
      <c r="C528" s="1" t="n">
        <v>37.2253989862</v>
      </c>
      <c r="D528" s="1" t="n">
        <v>-7.05838127619</v>
      </c>
      <c r="E528" s="3" t="n">
        <v>2</v>
      </c>
      <c r="F528" s="2" t="n">
        <v>2</v>
      </c>
      <c r="G528" s="4" t="n">
        <v>2</v>
      </c>
      <c r="H528" s="13" t="n"/>
      <c r="I528" s="15" t="n"/>
      <c r="J528" s="19" t="n">
        <v>2</v>
      </c>
      <c r="K528" s="2" t="inlineStr">
        <is>
          <t>marker_709_379054.png</t>
        </is>
      </c>
      <c r="L528" s="11">
        <f>HYPERLINK("2\0\" &amp; K528, "Ver Imagen")</f>
        <v/>
      </c>
      <c r="M528" t="inlineStr">
        <is>
          <t>Moda</t>
        </is>
      </c>
    </row>
    <row r="529">
      <c r="A529" t="n">
        <v>528</v>
      </c>
      <c r="B529" t="inlineStr">
        <is>
          <t>A-5059__53</t>
        </is>
      </c>
      <c r="C529" s="1" t="n">
        <v>37.2255180126</v>
      </c>
      <c r="D529" s="1" t="n">
        <v>-7.05858243765</v>
      </c>
      <c r="E529" s="3" t="n">
        <v>2</v>
      </c>
      <c r="F529" s="2" t="n">
        <v>2</v>
      </c>
      <c r="G529" s="4" t="n">
        <v>2</v>
      </c>
      <c r="H529" s="13" t="n"/>
      <c r="I529" s="15" t="n"/>
      <c r="J529" s="19" t="n">
        <v>2</v>
      </c>
      <c r="K529" s="2" t="inlineStr">
        <is>
          <t>marker_775_379066.png</t>
        </is>
      </c>
      <c r="L529" s="11">
        <f>HYPERLINK("2\0\" &amp; K529, "Ver Imagen")</f>
        <v/>
      </c>
      <c r="M529" t="inlineStr">
        <is>
          <t>Moda</t>
        </is>
      </c>
    </row>
    <row r="530">
      <c r="A530" t="n">
        <v>529</v>
      </c>
      <c r="B530" t="inlineStr">
        <is>
          <t>A-5059__52</t>
        </is>
      </c>
      <c r="C530" s="1" t="n">
        <v>37.2256360867</v>
      </c>
      <c r="D530" s="1" t="n">
        <v>-7.05878241248</v>
      </c>
      <c r="E530" s="3" t="n">
        <v>2</v>
      </c>
      <c r="F530" s="2" t="n">
        <v>2</v>
      </c>
      <c r="G530" s="4" t="n">
        <v>2</v>
      </c>
      <c r="H530" s="13" t="n"/>
      <c r="I530" s="15" t="n"/>
      <c r="J530" s="19" t="n">
        <v>2</v>
      </c>
      <c r="K530" s="2" t="inlineStr">
        <is>
          <t>marker_860_379075.png</t>
        </is>
      </c>
      <c r="L530" s="11">
        <f>HYPERLINK("2\0\" &amp; K530, "Ver Imagen")</f>
        <v/>
      </c>
      <c r="M530" t="inlineStr">
        <is>
          <t>Moda</t>
        </is>
      </c>
    </row>
    <row r="531">
      <c r="A531" t="n">
        <v>530</v>
      </c>
      <c r="B531" t="inlineStr">
        <is>
          <t>A-5059__51</t>
        </is>
      </c>
      <c r="C531" s="1" t="n">
        <v>37.2257600547</v>
      </c>
      <c r="D531" s="1" t="n">
        <v>-7.0589930421</v>
      </c>
      <c r="E531" s="3" t="n">
        <v>2</v>
      </c>
      <c r="F531" s="2" t="n">
        <v>2</v>
      </c>
      <c r="G531" s="4" t="n">
        <v>2</v>
      </c>
      <c r="H531" s="13" t="n"/>
      <c r="I531" s="15" t="n"/>
      <c r="J531" s="19" t="n">
        <v>2</v>
      </c>
      <c r="K531" s="2" t="inlineStr">
        <is>
          <t>marker_812_379084.png</t>
        </is>
      </c>
      <c r="L531" s="11">
        <f>HYPERLINK("2\0\" &amp; K531, "Ver Imagen")</f>
        <v/>
      </c>
      <c r="M531" t="inlineStr">
        <is>
          <t>Moda</t>
        </is>
      </c>
    </row>
    <row r="532">
      <c r="A532" t="n">
        <v>531</v>
      </c>
      <c r="B532" t="inlineStr">
        <is>
          <t>A-5059__48</t>
        </is>
      </c>
      <c r="C532" s="1" t="n">
        <v>37.2261206347</v>
      </c>
      <c r="D532" s="1" t="n">
        <v>-7.05960526612</v>
      </c>
      <c r="E532" s="3" t="n">
        <v>2</v>
      </c>
      <c r="F532" s="2" t="n">
        <v>2</v>
      </c>
      <c r="G532" s="4" t="n">
        <v>2</v>
      </c>
      <c r="H532" s="13" t="n"/>
      <c r="I532" s="15" t="n"/>
      <c r="J532" s="19" t="n">
        <v>2</v>
      </c>
      <c r="K532" s="2" t="inlineStr">
        <is>
          <t>marker_687_379114.png</t>
        </is>
      </c>
      <c r="L532" s="11">
        <f>HYPERLINK("2\0\" &amp; K532, "Ver Imagen")</f>
        <v/>
      </c>
      <c r="M532" t="inlineStr">
        <is>
          <t>Moda</t>
        </is>
      </c>
    </row>
    <row r="533">
      <c r="A533" t="n">
        <v>532</v>
      </c>
      <c r="B533" t="inlineStr">
        <is>
          <t>A-5059__47</t>
        </is>
      </c>
      <c r="C533" s="1" t="n">
        <v>37.2262402166</v>
      </c>
      <c r="D533" s="1" t="n">
        <v>-7.05980960118</v>
      </c>
      <c r="E533" s="3" t="n">
        <v>2</v>
      </c>
      <c r="F533" s="2" t="n">
        <v>2</v>
      </c>
      <c r="G533" s="4" t="n">
        <v>2</v>
      </c>
      <c r="H533" s="13" t="n"/>
      <c r="I533" s="15" t="n"/>
      <c r="J533" s="19" t="n">
        <v>2</v>
      </c>
      <c r="K533" s="2" t="inlineStr">
        <is>
          <t>marker_867_379123.png</t>
        </is>
      </c>
      <c r="L533" s="11">
        <f>HYPERLINK("2\0\" &amp; K533, "Ver Imagen")</f>
        <v/>
      </c>
      <c r="M533" t="inlineStr">
        <is>
          <t>Moda</t>
        </is>
      </c>
    </row>
    <row r="534">
      <c r="A534" t="n">
        <v>533</v>
      </c>
      <c r="B534" t="inlineStr">
        <is>
          <t>A-495__139</t>
        </is>
      </c>
      <c r="C534" s="1" t="n">
        <v>37.4345108432</v>
      </c>
      <c r="D534" s="1" t="n">
        <v>-7.06836220707</v>
      </c>
      <c r="E534" s="3" t="n">
        <v>2</v>
      </c>
      <c r="F534" s="2" t="n">
        <v>2</v>
      </c>
      <c r="G534" s="4" t="n">
        <v>2</v>
      </c>
      <c r="H534" s="13" t="n"/>
      <c r="I534" s="15" t="n"/>
      <c r="J534" s="19" t="n">
        <v>2</v>
      </c>
      <c r="K534" s="2" t="inlineStr">
        <is>
          <t>marker_983_382569.png</t>
        </is>
      </c>
      <c r="L534" s="11">
        <f>HYPERLINK("2\0\" &amp; K534, "Ver Imagen")</f>
        <v/>
      </c>
      <c r="M534" t="inlineStr">
        <is>
          <t>Moda</t>
        </is>
      </c>
    </row>
    <row r="535">
      <c r="A535" t="n">
        <v>534</v>
      </c>
      <c r="B535" t="inlineStr">
        <is>
          <t>A-5059__37</t>
        </is>
      </c>
      <c r="C535" s="1" t="n">
        <v>37.2278750521</v>
      </c>
      <c r="D535" s="1" t="n">
        <v>-7.06116877749</v>
      </c>
      <c r="E535" s="3" t="n">
        <v>2</v>
      </c>
      <c r="F535" s="2" t="n">
        <v>2</v>
      </c>
      <c r="G535" s="4" t="n">
        <v>2</v>
      </c>
      <c r="H535" s="13" t="n"/>
      <c r="I535" s="15" t="n"/>
      <c r="J535" s="19" t="n">
        <v>2</v>
      </c>
      <c r="K535" s="2" t="inlineStr">
        <is>
          <t>marker_685_379340.png</t>
        </is>
      </c>
      <c r="L535" s="11">
        <f>HYPERLINK("2\0\" &amp; K535, "Ver Imagen")</f>
        <v/>
      </c>
      <c r="M535" t="inlineStr">
        <is>
          <t>Moda</t>
        </is>
      </c>
    </row>
    <row r="536">
      <c r="A536" t="n">
        <v>535</v>
      </c>
      <c r="B536" t="inlineStr">
        <is>
          <t>A-5059__36</t>
        </is>
      </c>
      <c r="C536" s="1" t="n">
        <v>37.2280411057</v>
      </c>
      <c r="D536" s="1" t="n">
        <v>-7.0612999717</v>
      </c>
      <c r="E536" s="3" t="n">
        <v>2</v>
      </c>
      <c r="F536" s="2" t="n">
        <v>2</v>
      </c>
      <c r="G536" s="4" t="n">
        <v>2</v>
      </c>
      <c r="H536" s="13" t="n"/>
      <c r="I536" s="15" t="n"/>
      <c r="J536" s="19" t="n">
        <v>2</v>
      </c>
      <c r="K536" s="2" t="inlineStr">
        <is>
          <t>marker_438_379348.png</t>
        </is>
      </c>
      <c r="L536" s="11">
        <f>HYPERLINK("2\0\" &amp; K536, "Ver Imagen")</f>
        <v/>
      </c>
      <c r="M536" t="inlineStr">
        <is>
          <t>Moda</t>
        </is>
      </c>
    </row>
    <row r="537">
      <c r="A537" t="n">
        <v>536</v>
      </c>
      <c r="B537" t="inlineStr">
        <is>
          <t>A-5059__32</t>
        </is>
      </c>
      <c r="C537" s="1" t="n">
        <v>37.2286454674</v>
      </c>
      <c r="D537" s="1" t="n">
        <v>-7.06197728921</v>
      </c>
      <c r="E537" s="3" t="n">
        <v>2</v>
      </c>
      <c r="F537" s="2" t="n">
        <v>2</v>
      </c>
      <c r="G537" s="4" t="n">
        <v>2</v>
      </c>
      <c r="H537" s="13" t="n"/>
      <c r="I537" s="15" t="n"/>
      <c r="J537" s="19" t="n">
        <v>2</v>
      </c>
      <c r="K537" s="2" t="inlineStr">
        <is>
          <t>marker_652_379387.png</t>
        </is>
      </c>
      <c r="L537" s="11">
        <f>HYPERLINK("2\0\" &amp; K537, "Ver Imagen")</f>
        <v/>
      </c>
      <c r="M537" t="inlineStr">
        <is>
          <t>Moda</t>
        </is>
      </c>
    </row>
    <row r="538">
      <c r="A538" t="n">
        <v>537</v>
      </c>
      <c r="B538" t="inlineStr">
        <is>
          <t>A-5059__31</t>
        </is>
      </c>
      <c r="C538" s="1" t="n">
        <v>37.2287918156</v>
      </c>
      <c r="D538" s="1" t="n">
        <v>-7.06215264338</v>
      </c>
      <c r="E538" s="3" t="n">
        <v>2</v>
      </c>
      <c r="F538" s="2" t="n">
        <v>2</v>
      </c>
      <c r="G538" s="4" t="n">
        <v>2</v>
      </c>
      <c r="H538" s="13" t="n"/>
      <c r="I538" s="15" t="n"/>
      <c r="J538" s="19" t="n">
        <v>2</v>
      </c>
      <c r="K538" s="2" t="inlineStr">
        <is>
          <t>marker_417_379395.png</t>
        </is>
      </c>
      <c r="L538" s="11">
        <f>HYPERLINK("2\0\" &amp; K538, "Ver Imagen")</f>
        <v/>
      </c>
      <c r="M538" t="inlineStr">
        <is>
          <t>Moda</t>
        </is>
      </c>
    </row>
    <row r="539">
      <c r="A539" t="n">
        <v>538</v>
      </c>
      <c r="B539" t="inlineStr">
        <is>
          <t>A-495__146</t>
        </is>
      </c>
      <c r="C539" s="1" t="n">
        <v>37.4338231166</v>
      </c>
      <c r="D539" s="1" t="n">
        <v>-7.06682025858</v>
      </c>
      <c r="E539" s="3" t="n">
        <v>2</v>
      </c>
      <c r="F539" s="2" t="n">
        <v>2</v>
      </c>
      <c r="G539" s="4" t="n">
        <v>2</v>
      </c>
      <c r="H539" s="13" t="n"/>
      <c r="I539" s="15" t="n"/>
      <c r="J539" s="19" t="n">
        <v>2</v>
      </c>
      <c r="K539" s="2" t="inlineStr">
        <is>
          <t>marker_547_382633.png</t>
        </is>
      </c>
      <c r="L539" s="11">
        <f>HYPERLINK("2\0\" &amp; K539, "Ver Imagen")</f>
        <v/>
      </c>
      <c r="M539" t="inlineStr">
        <is>
          <t>Moda</t>
        </is>
      </c>
    </row>
    <row r="540">
      <c r="A540" t="n">
        <v>539</v>
      </c>
      <c r="B540" t="inlineStr">
        <is>
          <t>A-495__155</t>
        </is>
      </c>
      <c r="C540" s="1" t="n">
        <v>37.4328996419</v>
      </c>
      <c r="D540" s="1" t="n">
        <v>-7.06480518302</v>
      </c>
      <c r="E540" s="3" t="n">
        <v>2</v>
      </c>
      <c r="F540" s="2" t="n">
        <v>2</v>
      </c>
      <c r="G540" s="4" t="n">
        <v>2</v>
      </c>
      <c r="H540" s="13" t="n"/>
      <c r="I540" s="15" t="n"/>
      <c r="J540" s="19" t="n">
        <v>2</v>
      </c>
      <c r="K540" s="2" t="inlineStr">
        <is>
          <t>marker_619_382732.png</t>
        </is>
      </c>
      <c r="L540" s="11">
        <f>HYPERLINK("2\0\" &amp; K540, "Ver Imagen")</f>
        <v/>
      </c>
      <c r="M540" t="inlineStr">
        <is>
          <t>Moda</t>
        </is>
      </c>
    </row>
    <row r="541">
      <c r="A541" t="n">
        <v>540</v>
      </c>
      <c r="B541" t="inlineStr">
        <is>
          <t>A-5058__2</t>
        </is>
      </c>
      <c r="C541" s="1" t="n">
        <v>37.2252480303</v>
      </c>
      <c r="D541" s="1" t="n">
        <v>-7.0277473525</v>
      </c>
      <c r="E541" s="3" t="n">
        <v>2</v>
      </c>
      <c r="F541" s="2" t="n">
        <v>2</v>
      </c>
      <c r="G541" s="4" t="n">
        <v>2</v>
      </c>
      <c r="H541" s="13" t="n"/>
      <c r="I541" s="15" t="n"/>
      <c r="J541" s="19" t="n">
        <v>2</v>
      </c>
      <c r="K541" s="2" t="inlineStr">
        <is>
          <t>marker_149_379799.png</t>
        </is>
      </c>
      <c r="L541" s="11">
        <f>HYPERLINK("2\0\" &amp; K541, "Ver Imagen")</f>
        <v/>
      </c>
      <c r="M541" t="inlineStr">
        <is>
          <t>Moda</t>
        </is>
      </c>
    </row>
    <row r="542">
      <c r="A542" t="n">
        <v>541</v>
      </c>
      <c r="B542" t="inlineStr">
        <is>
          <t>A-5058__5</t>
        </is>
      </c>
      <c r="C542" s="1" t="n">
        <v>37.2252910756</v>
      </c>
      <c r="D542" s="1" t="n">
        <v>-7.0285056531</v>
      </c>
      <c r="E542" s="3" t="n">
        <v>2</v>
      </c>
      <c r="F542" s="2" t="n">
        <v>2</v>
      </c>
      <c r="G542" s="4" t="n">
        <v>2</v>
      </c>
      <c r="H542" s="13" t="n"/>
      <c r="I542" s="15" t="n"/>
      <c r="J542" s="19" t="n">
        <v>2</v>
      </c>
      <c r="K542" s="2" t="inlineStr">
        <is>
          <t>marker_145_379851.png</t>
        </is>
      </c>
      <c r="L542" s="11">
        <f>HYPERLINK("2\0\" &amp; K542, "Ver Imagen")</f>
        <v/>
      </c>
      <c r="M542" t="inlineStr">
        <is>
          <t>Moda</t>
        </is>
      </c>
    </row>
    <row r="543">
      <c r="A543" t="n">
        <v>542</v>
      </c>
      <c r="B543" t="inlineStr">
        <is>
          <t>A-5058__6</t>
        </is>
      </c>
      <c r="C543" s="1" t="n">
        <v>37.22530782</v>
      </c>
      <c r="D543" s="1" t="n">
        <v>-7.02878231786</v>
      </c>
      <c r="E543" s="3" t="n">
        <v>2</v>
      </c>
      <c r="F543" s="2" t="n">
        <v>2</v>
      </c>
      <c r="G543" s="4" t="n">
        <v>2</v>
      </c>
      <c r="H543" s="13" t="n"/>
      <c r="I543" s="15" t="n"/>
      <c r="J543" s="19" t="n">
        <v>2</v>
      </c>
      <c r="K543" s="2" t="inlineStr">
        <is>
          <t>marker_924_379860.png</t>
        </is>
      </c>
      <c r="L543" s="11">
        <f>HYPERLINK("2\0\" &amp; K543, "Ver Imagen")</f>
        <v/>
      </c>
      <c r="M543" t="inlineStr">
        <is>
          <t>Moda</t>
        </is>
      </c>
    </row>
    <row r="544">
      <c r="A544" t="n">
        <v>543</v>
      </c>
      <c r="B544" t="inlineStr">
        <is>
          <t>A-5058__26</t>
        </is>
      </c>
      <c r="C544" s="1" t="n">
        <v>37.2248306718</v>
      </c>
      <c r="D544" s="1" t="n">
        <v>-7.03373858799</v>
      </c>
      <c r="E544" s="3" t="n">
        <v>2</v>
      </c>
      <c r="F544" s="2" t="n">
        <v>2</v>
      </c>
      <c r="G544" s="4" t="n">
        <v>2</v>
      </c>
      <c r="H544" s="13" t="n"/>
      <c r="I544" s="15" t="n"/>
      <c r="J544" s="19" t="n">
        <v>2</v>
      </c>
      <c r="K544" s="2" t="inlineStr">
        <is>
          <t>marker_497_380147.png</t>
        </is>
      </c>
      <c r="L544" s="11">
        <f>HYPERLINK("2\0\" &amp; K544, "Ver Imagen")</f>
        <v/>
      </c>
      <c r="M544" t="inlineStr">
        <is>
          <t>Moda</t>
        </is>
      </c>
    </row>
    <row r="545">
      <c r="A545" t="n">
        <v>544</v>
      </c>
      <c r="B545" t="inlineStr">
        <is>
          <t>A-495__163</t>
        </is>
      </c>
      <c r="C545" s="1" t="n">
        <v>37.4321037257</v>
      </c>
      <c r="D545" s="1" t="n">
        <v>-7.06308269402</v>
      </c>
      <c r="E545" s="3" t="n">
        <v>2</v>
      </c>
      <c r="F545" s="2" t="n">
        <v>2</v>
      </c>
      <c r="G545" s="4" t="n">
        <v>2</v>
      </c>
      <c r="H545" s="13" t="n"/>
      <c r="I545" s="15" t="n"/>
      <c r="J545" s="19" t="n">
        <v>2</v>
      </c>
      <c r="K545" s="2" t="inlineStr">
        <is>
          <t>marker_795_382840.png</t>
        </is>
      </c>
      <c r="L545" s="11">
        <f>HYPERLINK("2\0\" &amp; K545, "Ver Imagen")</f>
        <v/>
      </c>
      <c r="M545" t="inlineStr">
        <is>
          <t>Moda</t>
        </is>
      </c>
    </row>
    <row r="546">
      <c r="A546" t="n">
        <v>545</v>
      </c>
      <c r="B546" t="inlineStr">
        <is>
          <t>A-5058__29</t>
        </is>
      </c>
      <c r="C546" s="1" t="n">
        <v>37.2246155848</v>
      </c>
      <c r="D546" s="1" t="n">
        <v>-7.03444720452</v>
      </c>
      <c r="E546" s="3" t="n">
        <v>2</v>
      </c>
      <c r="F546" s="2" t="n">
        <v>2</v>
      </c>
      <c r="G546" s="4" t="n">
        <v>2</v>
      </c>
      <c r="H546" s="13" t="n"/>
      <c r="I546" s="15" t="n"/>
      <c r="J546" s="19" t="n">
        <v>2</v>
      </c>
      <c r="K546" s="2" t="inlineStr">
        <is>
          <t>marker_398_380181.png</t>
        </is>
      </c>
      <c r="L546" s="11">
        <f>HYPERLINK("2\0\" &amp; K546, "Ver Imagen")</f>
        <v/>
      </c>
      <c r="M546" t="inlineStr">
        <is>
          <t>Moda</t>
        </is>
      </c>
    </row>
    <row r="547">
      <c r="A547" t="n">
        <v>546</v>
      </c>
      <c r="B547" t="inlineStr">
        <is>
          <t>A-5058__38</t>
        </is>
      </c>
      <c r="C547" s="1" t="n">
        <v>37.224575943</v>
      </c>
      <c r="D547" s="1" t="n">
        <v>-7.03648997683</v>
      </c>
      <c r="E547" s="3" t="n">
        <v>2</v>
      </c>
      <c r="F547" s="2" t="n">
        <v>2</v>
      </c>
      <c r="G547" s="4" t="n">
        <v>2</v>
      </c>
      <c r="H547" s="13" t="n"/>
      <c r="I547" s="15" t="n"/>
      <c r="J547" s="19" t="n">
        <v>2</v>
      </c>
      <c r="K547" s="2" t="inlineStr">
        <is>
          <t>marker_619_380274.png</t>
        </is>
      </c>
      <c r="L547" s="11">
        <f>HYPERLINK("2\0\" &amp; K547, "Ver Imagen")</f>
        <v/>
      </c>
      <c r="M547" t="inlineStr">
        <is>
          <t>Moda</t>
        </is>
      </c>
    </row>
    <row r="548">
      <c r="A548" t="n">
        <v>547</v>
      </c>
      <c r="B548" t="inlineStr">
        <is>
          <t>A-5058__39</t>
        </is>
      </c>
      <c r="C548" s="1" t="n">
        <v>37.2245866652</v>
      </c>
      <c r="D548" s="1" t="n">
        <v>-7.03672925335</v>
      </c>
      <c r="E548" s="3" t="n">
        <v>2</v>
      </c>
      <c r="F548" s="2" t="n">
        <v>2</v>
      </c>
      <c r="G548" s="4" t="n">
        <v>2</v>
      </c>
      <c r="H548" s="13" t="n"/>
      <c r="I548" s="15" t="n"/>
      <c r="J548" s="19" t="n">
        <v>2</v>
      </c>
      <c r="K548" s="2" t="inlineStr">
        <is>
          <t>marker_610_380286.png</t>
        </is>
      </c>
      <c r="L548" s="11">
        <f>HYPERLINK("2\0\" &amp; K548, "Ver Imagen")</f>
        <v/>
      </c>
      <c r="M548" t="inlineStr">
        <is>
          <t>Moda</t>
        </is>
      </c>
    </row>
    <row r="549">
      <c r="A549" t="n">
        <v>548</v>
      </c>
      <c r="B549" t="inlineStr">
        <is>
          <t>A-5058__40</t>
        </is>
      </c>
      <c r="C549" s="1" t="n">
        <v>37.2245994083</v>
      </c>
      <c r="D549" s="1" t="n">
        <v>-7.03699825878</v>
      </c>
      <c r="E549" s="3" t="n">
        <v>2</v>
      </c>
      <c r="F549" s="2" t="n">
        <v>2</v>
      </c>
      <c r="G549" s="4" t="n">
        <v>2</v>
      </c>
      <c r="H549" s="13" t="n"/>
      <c r="I549" s="15" t="n"/>
      <c r="J549" s="19" t="n">
        <v>2</v>
      </c>
      <c r="K549" s="2" t="inlineStr">
        <is>
          <t>marker_154_380296.png</t>
        </is>
      </c>
      <c r="L549" s="11">
        <f>HYPERLINK("2\0\" &amp; K549, "Ver Imagen")</f>
        <v/>
      </c>
      <c r="M549" t="inlineStr">
        <is>
          <t>Moda</t>
        </is>
      </c>
    </row>
    <row r="550">
      <c r="A550" t="n">
        <v>549</v>
      </c>
      <c r="B550" t="inlineStr">
        <is>
          <t>A-495__170</t>
        </is>
      </c>
      <c r="C550" s="1" t="n">
        <v>37.4313819344</v>
      </c>
      <c r="D550" s="1" t="n">
        <v>-7.06151426692</v>
      </c>
      <c r="E550" s="3" t="n">
        <v>2</v>
      </c>
      <c r="F550" s="2" t="n">
        <v>2</v>
      </c>
      <c r="G550" s="4" t="n">
        <v>2</v>
      </c>
      <c r="H550" s="13" t="n"/>
      <c r="I550" s="15" t="n"/>
      <c r="J550" s="19" t="n">
        <v>2</v>
      </c>
      <c r="K550" s="2" t="inlineStr">
        <is>
          <t>marker_887_382911.png</t>
        </is>
      </c>
      <c r="L550" s="11">
        <f>HYPERLINK("2\0\" &amp; K550, "Ver Imagen")</f>
        <v/>
      </c>
      <c r="M550" t="inlineStr">
        <is>
          <t>Moda</t>
        </is>
      </c>
    </row>
    <row r="551">
      <c r="A551" t="n">
        <v>550</v>
      </c>
      <c r="B551" t="inlineStr">
        <is>
          <t>A-5058__45</t>
        </is>
      </c>
      <c r="C551" s="1" t="n">
        <v>37.2246684183</v>
      </c>
      <c r="D551" s="1" t="n">
        <v>-7.03827123131</v>
      </c>
      <c r="E551" s="3" t="n">
        <v>2</v>
      </c>
      <c r="F551" s="2" t="n">
        <v>2</v>
      </c>
      <c r="G551" s="4" t="n">
        <v>2</v>
      </c>
      <c r="H551" s="13" t="n"/>
      <c r="I551" s="15" t="n"/>
      <c r="J551" s="19" t="n">
        <v>2</v>
      </c>
      <c r="K551" s="2" t="inlineStr">
        <is>
          <t>marker_610_380473.png</t>
        </is>
      </c>
      <c r="L551" s="11">
        <f>HYPERLINK("2\0\" &amp; K551, "Ver Imagen")</f>
        <v/>
      </c>
      <c r="M551" t="inlineStr">
        <is>
          <t>Moda</t>
        </is>
      </c>
    </row>
    <row r="552">
      <c r="A552" t="n">
        <v>551</v>
      </c>
      <c r="B552" t="inlineStr">
        <is>
          <t>A-5058__46</t>
        </is>
      </c>
      <c r="C552" s="1" t="n">
        <v>37.224690285</v>
      </c>
      <c r="D552" s="1" t="n">
        <v>-7.03851704007</v>
      </c>
      <c r="E552" s="3" t="n">
        <v>2</v>
      </c>
      <c r="F552" s="2" t="n">
        <v>2</v>
      </c>
      <c r="G552" s="4" t="n">
        <v>2</v>
      </c>
      <c r="H552" s="13" t="n"/>
      <c r="I552" s="15" t="n"/>
      <c r="J552" s="19" t="n">
        <v>2</v>
      </c>
      <c r="K552" s="2" t="inlineStr">
        <is>
          <t>marker_536_380488.png</t>
        </is>
      </c>
      <c r="L552" s="11">
        <f>HYPERLINK("2\0\" &amp; K552, "Ver Imagen")</f>
        <v/>
      </c>
      <c r="M552" t="inlineStr">
        <is>
          <t>Moda</t>
        </is>
      </c>
    </row>
    <row r="553">
      <c r="A553" t="n">
        <v>552</v>
      </c>
      <c r="B553" t="inlineStr">
        <is>
          <t>A-5058__51</t>
        </is>
      </c>
      <c r="C553" s="1" t="n">
        <v>37.2249064789</v>
      </c>
      <c r="D553" s="1" t="n">
        <v>-7.03975251656</v>
      </c>
      <c r="E553" s="3" t="n">
        <v>2</v>
      </c>
      <c r="F553" s="2" t="n">
        <v>2</v>
      </c>
      <c r="G553" s="4" t="n">
        <v>2</v>
      </c>
      <c r="H553" s="13" t="n"/>
      <c r="I553" s="15" t="n"/>
      <c r="J553" s="19" t="n">
        <v>2</v>
      </c>
      <c r="K553" s="2" t="inlineStr">
        <is>
          <t>marker_178_380543.png</t>
        </is>
      </c>
      <c r="L553" s="11">
        <f>HYPERLINK("2\0\" &amp; K553, "Ver Imagen")</f>
        <v/>
      </c>
      <c r="M553" t="inlineStr">
        <is>
          <t>Moda</t>
        </is>
      </c>
    </row>
    <row r="554">
      <c r="A554" t="n">
        <v>553</v>
      </c>
      <c r="B554" t="inlineStr">
        <is>
          <t>A-5058__53</t>
        </is>
      </c>
      <c r="C554" s="1" t="n">
        <v>37.225028771</v>
      </c>
      <c r="D554" s="1" t="n">
        <v>-7.04025401857</v>
      </c>
      <c r="E554" s="3" t="n">
        <v>2</v>
      </c>
      <c r="F554" s="2" t="n">
        <v>2</v>
      </c>
      <c r="G554" s="4" t="n">
        <v>2</v>
      </c>
      <c r="H554" s="13" t="n"/>
      <c r="I554" s="15" t="n"/>
      <c r="J554" s="19" t="n">
        <v>2</v>
      </c>
      <c r="K554" s="2" t="inlineStr">
        <is>
          <t>marker_280_380560.png</t>
        </is>
      </c>
      <c r="L554" s="11">
        <f>HYPERLINK("2\0\" &amp; K554, "Ver Imagen")</f>
        <v/>
      </c>
      <c r="M554" t="inlineStr">
        <is>
          <t>Moda</t>
        </is>
      </c>
    </row>
    <row r="555">
      <c r="A555" t="n">
        <v>554</v>
      </c>
      <c r="B555" t="inlineStr">
        <is>
          <t>A-5058__54</t>
        </is>
      </c>
      <c r="C555" s="1" t="n">
        <v>37.22508697</v>
      </c>
      <c r="D555" s="1" t="n">
        <v>-7.04047692088</v>
      </c>
      <c r="E555" s="3" t="n">
        <v>2</v>
      </c>
      <c r="F555" s="2" t="n">
        <v>2</v>
      </c>
      <c r="G555" s="4" t="n">
        <v>2</v>
      </c>
      <c r="H555" s="13" t="n"/>
      <c r="I555" s="15" t="n"/>
      <c r="J555" s="19" t="n">
        <v>2</v>
      </c>
      <c r="K555" s="2" t="inlineStr">
        <is>
          <t>marker_354_380579.png</t>
        </is>
      </c>
      <c r="L555" s="11">
        <f>HYPERLINK("2\0\" &amp; K555, "Ver Imagen")</f>
        <v/>
      </c>
      <c r="M555" t="inlineStr">
        <is>
          <t>Moda</t>
        </is>
      </c>
    </row>
    <row r="556">
      <c r="A556" t="n">
        <v>555</v>
      </c>
      <c r="B556" t="inlineStr">
        <is>
          <t>A-5058__55</t>
        </is>
      </c>
      <c r="C556" s="1" t="n">
        <v>37.2251477688</v>
      </c>
      <c r="D556" s="1" t="n">
        <v>-7.04069393086</v>
      </c>
      <c r="E556" s="3" t="n">
        <v>2</v>
      </c>
      <c r="F556" s="2" t="n">
        <v>2</v>
      </c>
      <c r="G556" s="4" t="n">
        <v>2</v>
      </c>
      <c r="H556" s="13" t="n"/>
      <c r="I556" s="15" t="n"/>
      <c r="J556" s="19" t="n">
        <v>2</v>
      </c>
      <c r="K556" s="2" t="inlineStr">
        <is>
          <t>marker_748_380589.png</t>
        </is>
      </c>
      <c r="L556" s="11">
        <f>HYPERLINK("2\0\" &amp; K556, "Ver Imagen")</f>
        <v/>
      </c>
      <c r="M556" t="inlineStr">
        <is>
          <t>Moda</t>
        </is>
      </c>
    </row>
    <row r="557">
      <c r="A557" t="n">
        <v>556</v>
      </c>
      <c r="B557" t="inlineStr">
        <is>
          <t>A-5058__155</t>
        </is>
      </c>
      <c r="C557" s="1" t="n">
        <v>37.2340742055</v>
      </c>
      <c r="D557" s="1" t="n">
        <v>-7.06256255485</v>
      </c>
      <c r="E557" s="3" t="n">
        <v>2</v>
      </c>
      <c r="F557" s="2" t="n">
        <v>2</v>
      </c>
      <c r="G557" s="4" t="n">
        <v>2</v>
      </c>
      <c r="H557" s="13" t="n"/>
      <c r="I557" s="15" t="n"/>
      <c r="J557" s="19" t="n">
        <v>2</v>
      </c>
      <c r="K557" s="2" t="inlineStr">
        <is>
          <t>marker_312_381759.png</t>
        </is>
      </c>
      <c r="L557" s="11">
        <f>HYPERLINK("2\0\" &amp; K557, "Ver Imagen")</f>
        <v/>
      </c>
      <c r="M557" t="inlineStr">
        <is>
          <t>Moda</t>
        </is>
      </c>
    </row>
    <row r="558">
      <c r="A558" t="n">
        <v>557</v>
      </c>
      <c r="B558" t="inlineStr">
        <is>
          <t>A-5058__187</t>
        </is>
      </c>
      <c r="C558" s="1" t="n">
        <v>37.2341744169</v>
      </c>
      <c r="D558" s="1" t="n">
        <v>-7.0702943755</v>
      </c>
      <c r="E558" s="3" t="n">
        <v>2</v>
      </c>
      <c r="F558" s="2" t="n">
        <v>2</v>
      </c>
      <c r="G558" s="4" t="n">
        <v>2</v>
      </c>
      <c r="H558" s="13" t="n"/>
      <c r="I558" s="15" t="n"/>
      <c r="J558" s="19" t="n">
        <v>2</v>
      </c>
      <c r="K558" s="2" t="inlineStr">
        <is>
          <t>marker_212_382749.png</t>
        </is>
      </c>
      <c r="L558" s="11">
        <f>HYPERLINK("2\0\" &amp; K558, "Ver Imagen")</f>
        <v/>
      </c>
      <c r="M558" t="inlineStr">
        <is>
          <t>Moda</t>
        </is>
      </c>
    </row>
    <row r="559">
      <c r="A559" t="n">
        <v>558</v>
      </c>
      <c r="B559" t="inlineStr">
        <is>
          <t>A-5058__355</t>
        </is>
      </c>
      <c r="C559" s="1" t="n">
        <v>37.252324204</v>
      </c>
      <c r="D559" s="1" t="n">
        <v>-7.10448330142</v>
      </c>
      <c r="E559" s="3" t="n">
        <v>2</v>
      </c>
      <c r="F559" s="2" t="n">
        <v>2</v>
      </c>
      <c r="G559" s="4" t="n">
        <v>2</v>
      </c>
      <c r="H559" s="13" t="n"/>
      <c r="I559" s="15" t="n"/>
      <c r="J559" s="19" t="n">
        <v>2</v>
      </c>
      <c r="K559" s="2" t="inlineStr">
        <is>
          <t>marker_606_384916.png</t>
        </is>
      </c>
      <c r="L559" s="11">
        <f>HYPERLINK("2\0\" &amp; K559, "Ver Imagen")</f>
        <v/>
      </c>
      <c r="M559" t="inlineStr">
        <is>
          <t>Moda</t>
        </is>
      </c>
    </row>
    <row r="560">
      <c r="A560" t="n">
        <v>559</v>
      </c>
      <c r="B560" t="inlineStr">
        <is>
          <t>A-495_1__189</t>
        </is>
      </c>
      <c r="C560" s="1" t="n">
        <v>37.4837549312</v>
      </c>
      <c r="D560" s="1" t="n">
        <v>-7.12966778717</v>
      </c>
      <c r="E560" s="3" t="n">
        <v>2</v>
      </c>
      <c r="F560" s="2" t="n">
        <v>2</v>
      </c>
      <c r="G560" s="4" t="n">
        <v>2</v>
      </c>
      <c r="H560" s="13" t="n"/>
      <c r="I560" s="15" t="n"/>
      <c r="J560" s="19" t="n">
        <v>2</v>
      </c>
      <c r="K560" s="2" t="inlineStr">
        <is>
          <t>marker_832_383736.png</t>
        </is>
      </c>
      <c r="L560" s="11">
        <f>HYPERLINK("2\0\" &amp; K560, "Ver Imagen")</f>
        <v/>
      </c>
      <c r="M560" t="inlineStr">
        <is>
          <t>Moda</t>
        </is>
      </c>
    </row>
    <row r="561">
      <c r="A561" t="n">
        <v>560</v>
      </c>
      <c r="B561" t="inlineStr">
        <is>
          <t>A-495_1__184</t>
        </is>
      </c>
      <c r="C561" s="1" t="n">
        <v>37.4829816521</v>
      </c>
      <c r="D561" s="1" t="n">
        <v>-7.12891321393</v>
      </c>
      <c r="E561" s="3" t="n">
        <v>2</v>
      </c>
      <c r="F561" s="2" t="n">
        <v>2</v>
      </c>
      <c r="G561" s="4" t="n">
        <v>2</v>
      </c>
      <c r="H561" s="13" t="n"/>
      <c r="I561" s="15" t="n"/>
      <c r="J561" s="19" t="n">
        <v>2</v>
      </c>
      <c r="K561" s="2" t="inlineStr">
        <is>
          <t>marker_827_383784.png</t>
        </is>
      </c>
      <c r="L561" s="11">
        <f>HYPERLINK("2\0\" &amp; K561, "Ver Imagen")</f>
        <v/>
      </c>
      <c r="M561" t="inlineStr">
        <is>
          <t>Moda</t>
        </is>
      </c>
    </row>
    <row r="562">
      <c r="A562" t="n">
        <v>561</v>
      </c>
      <c r="B562" t="inlineStr">
        <is>
          <t>A-495_1__180</t>
        </is>
      </c>
      <c r="C562" s="1" t="n">
        <v>37.4822583253</v>
      </c>
      <c r="D562" s="1" t="n">
        <v>-7.12842244541</v>
      </c>
      <c r="E562" s="3" t="n">
        <v>2</v>
      </c>
      <c r="F562" s="2" t="n">
        <v>2</v>
      </c>
      <c r="G562" s="4" t="n">
        <v>2</v>
      </c>
      <c r="H562" s="13" t="n"/>
      <c r="I562" s="15" t="n"/>
      <c r="J562" s="19" t="n">
        <v>2</v>
      </c>
      <c r="K562" s="2" t="inlineStr">
        <is>
          <t>marker_594_383820.png</t>
        </is>
      </c>
      <c r="L562" s="11">
        <f>HYPERLINK("2\0\" &amp; K562, "Ver Imagen")</f>
        <v/>
      </c>
      <c r="M562" t="inlineStr">
        <is>
          <t>Moda</t>
        </is>
      </c>
    </row>
    <row r="563">
      <c r="A563" t="n">
        <v>562</v>
      </c>
      <c r="B563" t="inlineStr">
        <is>
          <t>A-495_1__175</t>
        </is>
      </c>
      <c r="C563" s="1" t="n">
        <v>37.4813257898</v>
      </c>
      <c r="D563" s="1" t="n">
        <v>-7.12791568247</v>
      </c>
      <c r="E563" s="3" t="n">
        <v>2</v>
      </c>
      <c r="F563" s="2" t="n">
        <v>2</v>
      </c>
      <c r="G563" s="4" t="n">
        <v>2</v>
      </c>
      <c r="H563" s="13" t="n"/>
      <c r="I563" s="15" t="n"/>
      <c r="J563" s="19" t="n">
        <v>2</v>
      </c>
      <c r="K563" s="2" t="inlineStr">
        <is>
          <t>marker_213_383943.png</t>
        </is>
      </c>
      <c r="L563" s="11">
        <f>HYPERLINK("2\0\" &amp; K563, "Ver Imagen")</f>
        <v/>
      </c>
      <c r="M563" t="inlineStr">
        <is>
          <t>Moda</t>
        </is>
      </c>
    </row>
    <row r="564">
      <c r="A564" t="n">
        <v>563</v>
      </c>
      <c r="B564" t="inlineStr">
        <is>
          <t>A-495_1__173</t>
        </is>
      </c>
      <c r="C564" s="1" t="n">
        <v>37.4809360266</v>
      </c>
      <c r="D564" s="1" t="n">
        <v>-7.12779956441</v>
      </c>
      <c r="E564" s="3" t="n">
        <v>2</v>
      </c>
      <c r="F564" s="2" t="n">
        <v>2</v>
      </c>
      <c r="G564" s="4" t="n">
        <v>2</v>
      </c>
      <c r="H564" s="13" t="n"/>
      <c r="I564" s="15" t="n"/>
      <c r="J564" s="19" t="n">
        <v>2</v>
      </c>
      <c r="K564" s="2" t="inlineStr">
        <is>
          <t>marker_641_383960.png</t>
        </is>
      </c>
      <c r="L564" s="11">
        <f>HYPERLINK("2\0\" &amp; K564, "Ver Imagen")</f>
        <v/>
      </c>
      <c r="M564" t="inlineStr">
        <is>
          <t>Moda</t>
        </is>
      </c>
    </row>
    <row r="565">
      <c r="A565" t="n">
        <v>564</v>
      </c>
      <c r="B565" t="inlineStr">
        <is>
          <t>A-495_1__85</t>
        </is>
      </c>
      <c r="C565" s="1" t="n">
        <v>37.4646988984</v>
      </c>
      <c r="D565" s="1" t="n">
        <v>-7.12341941892</v>
      </c>
      <c r="E565" s="3" t="n">
        <v>2</v>
      </c>
      <c r="F565" s="2" t="n">
        <v>2</v>
      </c>
      <c r="G565" s="4" t="n">
        <v>2</v>
      </c>
      <c r="H565" s="13" t="n"/>
      <c r="I565" s="15" t="n"/>
      <c r="J565" s="19" t="n">
        <v>2</v>
      </c>
      <c r="K565" s="2" t="inlineStr">
        <is>
          <t>marker_568_385192.png</t>
        </is>
      </c>
      <c r="L565" s="11">
        <f>HYPERLINK("2\0\" &amp; K565, "Ver Imagen")</f>
        <v/>
      </c>
      <c r="M565" t="inlineStr">
        <is>
          <t>Moda</t>
        </is>
      </c>
    </row>
    <row r="566">
      <c r="A566" t="n">
        <v>565</v>
      </c>
      <c r="B566" t="inlineStr">
        <is>
          <t>A-495_1__72</t>
        </is>
      </c>
      <c r="C566" s="1" t="n">
        <v>37.4621907929</v>
      </c>
      <c r="D566" s="1" t="n">
        <v>-7.1243069922</v>
      </c>
      <c r="E566" s="3" t="n">
        <v>2</v>
      </c>
      <c r="F566" s="2" t="n">
        <v>2</v>
      </c>
      <c r="G566" s="4" t="n">
        <v>2</v>
      </c>
      <c r="H566" s="13" t="n"/>
      <c r="I566" s="15" t="n"/>
      <c r="J566" s="19" t="n">
        <v>2</v>
      </c>
      <c r="K566" s="2" t="inlineStr">
        <is>
          <t>marker_737_385309.png</t>
        </is>
      </c>
      <c r="L566" s="11">
        <f>HYPERLINK("2\0\" &amp; K566, "Ver Imagen")</f>
        <v/>
      </c>
      <c r="M566" t="inlineStr">
        <is>
          <t>Moda</t>
        </is>
      </c>
    </row>
    <row r="567">
      <c r="A567" t="n">
        <v>566</v>
      </c>
      <c r="B567" t="inlineStr">
        <is>
          <t>A-495_1__65</t>
        </is>
      </c>
      <c r="C567" s="1" t="n">
        <v>37.4608015763</v>
      </c>
      <c r="D567" s="1" t="n">
        <v>-7.12464476614</v>
      </c>
      <c r="E567" s="3" t="n">
        <v>2</v>
      </c>
      <c r="F567" s="2" t="n">
        <v>2</v>
      </c>
      <c r="G567" s="4" t="n">
        <v>2</v>
      </c>
      <c r="H567" s="13" t="n"/>
      <c r="I567" s="15" t="n"/>
      <c r="J567" s="19" t="n">
        <v>2</v>
      </c>
      <c r="K567" s="2" t="inlineStr">
        <is>
          <t>marker_342_385373.png</t>
        </is>
      </c>
      <c r="L567" s="11">
        <f>HYPERLINK("2\0\" &amp; K567, "Ver Imagen")</f>
        <v/>
      </c>
      <c r="M567" t="inlineStr">
        <is>
          <t>Moda</t>
        </is>
      </c>
    </row>
    <row r="568">
      <c r="A568" t="n">
        <v>567</v>
      </c>
      <c r="B568" t="inlineStr">
        <is>
          <t>A-495_1__64</t>
        </is>
      </c>
      <c r="C568" s="1" t="n">
        <v>37.460572504</v>
      </c>
      <c r="D568" s="1" t="n">
        <v>-7.12471259685</v>
      </c>
      <c r="E568" s="3" t="n">
        <v>2</v>
      </c>
      <c r="F568" s="2" t="n">
        <v>2</v>
      </c>
      <c r="G568" s="4" t="n">
        <v>2</v>
      </c>
      <c r="H568" s="13" t="n"/>
      <c r="I568" s="15" t="n"/>
      <c r="J568" s="19" t="n">
        <v>2</v>
      </c>
      <c r="K568" s="2" t="inlineStr">
        <is>
          <t>marker_842_385382.png</t>
        </is>
      </c>
      <c r="L568" s="11">
        <f>HYPERLINK("2\0\" &amp; K568, "Ver Imagen")</f>
        <v/>
      </c>
      <c r="M568" t="inlineStr">
        <is>
          <t>Moda</t>
        </is>
      </c>
    </row>
    <row r="569">
      <c r="A569" t="n">
        <v>568</v>
      </c>
      <c r="B569" t="inlineStr">
        <is>
          <t>A-495_1__63</t>
        </is>
      </c>
      <c r="C569" s="1" t="n">
        <v>37.4603461712</v>
      </c>
      <c r="D569" s="1" t="n">
        <v>-7.12478335314</v>
      </c>
      <c r="E569" s="3" t="n">
        <v>2</v>
      </c>
      <c r="F569" s="2" t="n">
        <v>2</v>
      </c>
      <c r="G569" s="4" t="n">
        <v>2</v>
      </c>
      <c r="H569" s="13" t="n"/>
      <c r="I569" s="15" t="n"/>
      <c r="J569" s="19" t="n">
        <v>2</v>
      </c>
      <c r="K569" s="2" t="inlineStr">
        <is>
          <t>marker_973_385391.png</t>
        </is>
      </c>
      <c r="L569" s="11">
        <f>HYPERLINK("2\0\" &amp; K569, "Ver Imagen")</f>
        <v/>
      </c>
      <c r="M569" t="inlineStr">
        <is>
          <t>Moda</t>
        </is>
      </c>
    </row>
    <row r="570">
      <c r="A570" t="n">
        <v>569</v>
      </c>
      <c r="B570" t="inlineStr">
        <is>
          <t>A-495_1__57</t>
        </is>
      </c>
      <c r="C570" s="1" t="n">
        <v>37.4591767065</v>
      </c>
      <c r="D570" s="1" t="n">
        <v>-7.12519665313</v>
      </c>
      <c r="E570" s="3" t="n">
        <v>2</v>
      </c>
      <c r="F570" s="2" t="n">
        <v>2</v>
      </c>
      <c r="G570" s="4" t="n">
        <v>2</v>
      </c>
      <c r="H570" s="13" t="n"/>
      <c r="I570" s="15" t="n"/>
      <c r="J570" s="19" t="n">
        <v>2</v>
      </c>
      <c r="K570" s="2" t="inlineStr">
        <is>
          <t>marker_833_385499.png</t>
        </is>
      </c>
      <c r="L570" s="11">
        <f>HYPERLINK("2\0\" &amp; K570, "Ver Imagen")</f>
        <v/>
      </c>
      <c r="M570" t="inlineStr">
        <is>
          <t>Moda</t>
        </is>
      </c>
    </row>
    <row r="571">
      <c r="A571" t="n">
        <v>570</v>
      </c>
      <c r="B571" t="inlineStr">
        <is>
          <t>A-495_1__56</t>
        </is>
      </c>
      <c r="C571" s="1" t="n">
        <v>37.4589741402</v>
      </c>
      <c r="D571" s="1" t="n">
        <v>-7.12527034953</v>
      </c>
      <c r="E571" s="3" t="n">
        <v>2</v>
      </c>
      <c r="F571" s="2" t="n">
        <v>2</v>
      </c>
      <c r="G571" s="4" t="n">
        <v>2</v>
      </c>
      <c r="H571" s="13" t="n"/>
      <c r="I571" s="15" t="n"/>
      <c r="J571" s="19" t="n">
        <v>2</v>
      </c>
      <c r="K571" s="2" t="inlineStr">
        <is>
          <t>marker_203_385509.png</t>
        </is>
      </c>
      <c r="L571" s="11">
        <f>HYPERLINK("2\0\" &amp; K571, "Ver Imagen")</f>
        <v/>
      </c>
      <c r="M571" t="inlineStr">
        <is>
          <t>Moda</t>
        </is>
      </c>
    </row>
    <row r="572">
      <c r="A572" t="n">
        <v>571</v>
      </c>
      <c r="B572" t="inlineStr">
        <is>
          <t>A-495_1__54</t>
        </is>
      </c>
      <c r="C572" s="1" t="n">
        <v>37.4586526525</v>
      </c>
      <c r="D572" s="1" t="n">
        <v>-7.125385956</v>
      </c>
      <c r="E572" s="3" t="n">
        <v>2</v>
      </c>
      <c r="F572" s="2" t="n">
        <v>2</v>
      </c>
      <c r="G572" s="4" t="n">
        <v>2</v>
      </c>
      <c r="H572" s="13" t="n"/>
      <c r="I572" s="15" t="n"/>
      <c r="J572" s="19" t="n">
        <v>2</v>
      </c>
      <c r="K572" s="2" t="inlineStr">
        <is>
          <t>marker_987_385527.png</t>
        </is>
      </c>
      <c r="L572" s="11">
        <f>HYPERLINK("2\0\" &amp; K572, "Ver Imagen")</f>
        <v/>
      </c>
      <c r="M572" t="inlineStr">
        <is>
          <t>Moda</t>
        </is>
      </c>
    </row>
    <row r="573">
      <c r="A573" t="n">
        <v>572</v>
      </c>
      <c r="B573" t="inlineStr">
        <is>
          <t>A-495_1__50</t>
        </is>
      </c>
      <c r="C573" s="1" t="n">
        <v>37.457853999</v>
      </c>
      <c r="D573" s="1" t="n">
        <v>-7.12567812547</v>
      </c>
      <c r="E573" s="3" t="n">
        <v>2</v>
      </c>
      <c r="F573" s="2" t="n">
        <v>2</v>
      </c>
      <c r="G573" s="4" t="n">
        <v>2</v>
      </c>
      <c r="H573" s="13" t="n"/>
      <c r="I573" s="15" t="n"/>
      <c r="J573" s="19" t="n">
        <v>2</v>
      </c>
      <c r="K573" s="2" t="inlineStr">
        <is>
          <t>marker_518_385561.png</t>
        </is>
      </c>
      <c r="L573" s="11">
        <f>HYPERLINK("2\0\" &amp; K573, "Ver Imagen")</f>
        <v/>
      </c>
      <c r="M573" t="inlineStr">
        <is>
          <t>Moda</t>
        </is>
      </c>
    </row>
    <row r="574">
      <c r="A574" t="n">
        <v>573</v>
      </c>
      <c r="B574" t="inlineStr">
        <is>
          <t>A-495_1__48</t>
        </is>
      </c>
      <c r="C574" s="1" t="n">
        <v>37.4574552001</v>
      </c>
      <c r="D574" s="1" t="n">
        <v>-7.12581919618</v>
      </c>
      <c r="E574" s="3" t="n">
        <v>2</v>
      </c>
      <c r="F574" s="2" t="n">
        <v>2</v>
      </c>
      <c r="G574" s="4" t="n">
        <v>2</v>
      </c>
      <c r="H574" s="13" t="n"/>
      <c r="I574" s="15" t="n"/>
      <c r="J574" s="19" t="n">
        <v>2</v>
      </c>
      <c r="K574" s="2" t="inlineStr">
        <is>
          <t>marker_921_385579.png</t>
        </is>
      </c>
      <c r="L574" s="11">
        <f>HYPERLINK("2\0\" &amp; K574, "Ver Imagen")</f>
        <v/>
      </c>
      <c r="M574" t="inlineStr">
        <is>
          <t>Moda</t>
        </is>
      </c>
    </row>
    <row r="575">
      <c r="A575" t="n">
        <v>574</v>
      </c>
      <c r="B575" t="inlineStr">
        <is>
          <t>A-495_1__47</t>
        </is>
      </c>
      <c r="C575" s="1" t="n">
        <v>37.4572872634</v>
      </c>
      <c r="D575" s="1" t="n">
        <v>-7.12588017273</v>
      </c>
      <c r="E575" s="3" t="n">
        <v>2</v>
      </c>
      <c r="F575" s="2" t="n">
        <v>2</v>
      </c>
      <c r="G575" s="4" t="n">
        <v>2</v>
      </c>
      <c r="H575" s="13" t="n"/>
      <c r="I575" s="15" t="n"/>
      <c r="J575" s="19" t="n">
        <v>2</v>
      </c>
      <c r="K575" s="2" t="inlineStr">
        <is>
          <t>marker_136_385588.png</t>
        </is>
      </c>
      <c r="L575" s="11">
        <f>HYPERLINK("2\0\" &amp; K575, "Ver Imagen")</f>
        <v/>
      </c>
      <c r="M575" t="inlineStr">
        <is>
          <t>Moda</t>
        </is>
      </c>
    </row>
    <row r="576">
      <c r="A576" t="n">
        <v>575</v>
      </c>
      <c r="B576" t="inlineStr">
        <is>
          <t>A-495_1__39</t>
        </is>
      </c>
      <c r="C576" s="1" t="n">
        <v>37.455712431</v>
      </c>
      <c r="D576" s="1" t="n">
        <v>-7.12646446694</v>
      </c>
      <c r="E576" s="3" t="n">
        <v>2</v>
      </c>
      <c r="F576" s="2" t="n">
        <v>2</v>
      </c>
      <c r="G576" s="4" t="n">
        <v>2</v>
      </c>
      <c r="H576" s="13" t="n"/>
      <c r="I576" s="15" t="n"/>
      <c r="J576" s="19" t="n">
        <v>2</v>
      </c>
      <c r="K576" s="2" t="inlineStr">
        <is>
          <t>marker_319_385664.png</t>
        </is>
      </c>
      <c r="L576" s="11">
        <f>HYPERLINK("2\0\" &amp; K576, "Ver Imagen")</f>
        <v/>
      </c>
      <c r="M576" t="inlineStr">
        <is>
          <t>Moda</t>
        </is>
      </c>
    </row>
    <row r="577">
      <c r="A577" t="n">
        <v>576</v>
      </c>
      <c r="B577" t="inlineStr">
        <is>
          <t>A-495_1__36</t>
        </is>
      </c>
      <c r="C577" s="1" t="n">
        <v>37.4551647546</v>
      </c>
      <c r="D577" s="1" t="n">
        <v>-7.12666611016</v>
      </c>
      <c r="E577" s="3" t="n">
        <v>2</v>
      </c>
      <c r="F577" s="2" t="n">
        <v>2</v>
      </c>
      <c r="G577" s="4" t="n">
        <v>2</v>
      </c>
      <c r="H577" s="13" t="n"/>
      <c r="I577" s="15" t="n"/>
      <c r="J577" s="19" t="n">
        <v>2</v>
      </c>
      <c r="K577" s="2" t="inlineStr">
        <is>
          <t>marker_165_385692.png</t>
        </is>
      </c>
      <c r="L577" s="11">
        <f>HYPERLINK("2\0\" &amp; K577, "Ver Imagen")</f>
        <v/>
      </c>
      <c r="M577" t="inlineStr">
        <is>
          <t>Moda</t>
        </is>
      </c>
    </row>
    <row r="578">
      <c r="A578" t="n">
        <v>577</v>
      </c>
      <c r="B578" t="inlineStr">
        <is>
          <t>A-495_1__31</t>
        </is>
      </c>
      <c r="C578" s="1" t="n">
        <v>37.4541493593</v>
      </c>
      <c r="D578" s="1" t="n">
        <v>-7.12703510884</v>
      </c>
      <c r="E578" s="3" t="n">
        <v>2</v>
      </c>
      <c r="F578" s="2" t="n">
        <v>2</v>
      </c>
      <c r="G578" s="4" t="n">
        <v>2</v>
      </c>
      <c r="H578" s="13" t="n"/>
      <c r="I578" s="15" t="n"/>
      <c r="J578" s="19" t="n">
        <v>2</v>
      </c>
      <c r="K578" s="2" t="inlineStr">
        <is>
          <t>marker_366_385862.png</t>
        </is>
      </c>
      <c r="L578" s="11">
        <f>HYPERLINK("2\0\" &amp; K578, "Ver Imagen")</f>
        <v/>
      </c>
      <c r="M578" t="inlineStr">
        <is>
          <t>Moda</t>
        </is>
      </c>
    </row>
    <row r="579">
      <c r="A579" t="n">
        <v>578</v>
      </c>
      <c r="B579" t="inlineStr">
        <is>
          <t>A-495_1__27</t>
        </is>
      </c>
      <c r="C579" s="1" t="n">
        <v>37.4533974866</v>
      </c>
      <c r="D579" s="1" t="n">
        <v>-7.1272650498</v>
      </c>
      <c r="E579" s="3" t="n">
        <v>2</v>
      </c>
      <c r="F579" s="2" t="n">
        <v>2</v>
      </c>
      <c r="G579" s="4" t="n">
        <v>2</v>
      </c>
      <c r="H579" s="13" t="n"/>
      <c r="I579" s="15" t="n"/>
      <c r="J579" s="19" t="n">
        <v>2</v>
      </c>
      <c r="K579" s="2" t="inlineStr">
        <is>
          <t>marker_975_385908.png</t>
        </is>
      </c>
      <c r="L579" s="11">
        <f>HYPERLINK("2\0\" &amp; K579, "Ver Imagen")</f>
        <v/>
      </c>
      <c r="M579" t="inlineStr">
        <is>
          <t>Moda</t>
        </is>
      </c>
    </row>
    <row r="580">
      <c r="A580" t="n">
        <v>579</v>
      </c>
      <c r="B580" t="inlineStr">
        <is>
          <t>A-495_1__19</t>
        </is>
      </c>
      <c r="C580" s="1" t="n">
        <v>37.4518016038</v>
      </c>
      <c r="D580" s="1" t="n">
        <v>-7.12746726119</v>
      </c>
      <c r="E580" s="3" t="n">
        <v>2</v>
      </c>
      <c r="F580" s="2" t="n">
        <v>2</v>
      </c>
      <c r="G580" s="4" t="n">
        <v>2</v>
      </c>
      <c r="H580" s="13" t="n"/>
      <c r="I580" s="15" t="n"/>
      <c r="J580" s="19" t="n">
        <v>2</v>
      </c>
      <c r="K580" s="2" t="inlineStr">
        <is>
          <t>marker_410_386134.png</t>
        </is>
      </c>
      <c r="L580" s="11">
        <f>HYPERLINK("2\0\" &amp; K580, "Ver Imagen")</f>
        <v/>
      </c>
      <c r="M580" t="inlineStr">
        <is>
          <t>Moda</t>
        </is>
      </c>
    </row>
    <row r="581">
      <c r="A581" t="n">
        <v>580</v>
      </c>
      <c r="B581" t="inlineStr">
        <is>
          <t>A-495_1__18</t>
        </is>
      </c>
      <c r="C581" s="1" t="n">
        <v>37.4515725938</v>
      </c>
      <c r="D581" s="1" t="n">
        <v>-7.12746362102</v>
      </c>
      <c r="E581" s="3" t="n">
        <v>2</v>
      </c>
      <c r="F581" s="2" t="n">
        <v>2</v>
      </c>
      <c r="G581" s="4" t="n">
        <v>2</v>
      </c>
      <c r="H581" s="13" t="n"/>
      <c r="I581" s="15" t="n"/>
      <c r="J581" s="19" t="n">
        <v>2</v>
      </c>
      <c r="K581" s="2" t="inlineStr">
        <is>
          <t>marker_277_386142.png</t>
        </is>
      </c>
      <c r="L581" s="11">
        <f>HYPERLINK("2\0\" &amp; K581, "Ver Imagen")</f>
        <v/>
      </c>
      <c r="M581" t="inlineStr">
        <is>
          <t>Moda</t>
        </is>
      </c>
    </row>
    <row r="582">
      <c r="A582" t="n">
        <v>581</v>
      </c>
      <c r="B582" t="inlineStr">
        <is>
          <t>A-499__1</t>
        </is>
      </c>
      <c r="C582" s="1" t="n">
        <v>37.4869648967</v>
      </c>
      <c r="D582" s="1" t="n">
        <v>-7.28020417248</v>
      </c>
      <c r="E582" s="3" t="n">
        <v>2</v>
      </c>
      <c r="F582" s="2" t="n">
        <v>2</v>
      </c>
      <c r="G582" s="4" t="n">
        <v>2</v>
      </c>
      <c r="H582" s="13" t="n"/>
      <c r="I582" s="15" t="n"/>
      <c r="J582" s="19" t="n">
        <v>2</v>
      </c>
      <c r="K582" s="2" t="inlineStr">
        <is>
          <t>marker_119_529185.png</t>
        </is>
      </c>
      <c r="L582" s="11">
        <f>HYPERLINK("2\0\" &amp; K582, "Ver Imagen")</f>
        <v/>
      </c>
      <c r="M582" t="inlineStr">
        <is>
          <t>Moda</t>
        </is>
      </c>
    </row>
    <row r="583">
      <c r="A583" t="n">
        <v>582</v>
      </c>
      <c r="B583" t="inlineStr">
        <is>
          <t>A-499__2</t>
        </is>
      </c>
      <c r="C583" s="1" t="n">
        <v>37.4871421812</v>
      </c>
      <c r="D583" s="1" t="n">
        <v>-7.28011070816</v>
      </c>
      <c r="E583" s="3" t="n">
        <v>2</v>
      </c>
      <c r="F583" s="2" t="n">
        <v>2</v>
      </c>
      <c r="G583" s="4" t="n">
        <v>2</v>
      </c>
      <c r="H583" s="13" t="n"/>
      <c r="I583" s="15" t="n"/>
      <c r="J583" s="19" t="n">
        <v>2</v>
      </c>
      <c r="K583" s="2" t="inlineStr">
        <is>
          <t>marker_388_529195.png</t>
        </is>
      </c>
      <c r="L583" s="11">
        <f>HYPERLINK("2\0\" &amp; K583, "Ver Imagen")</f>
        <v/>
      </c>
      <c r="M583" t="inlineStr">
        <is>
          <t>Moda</t>
        </is>
      </c>
    </row>
    <row r="584">
      <c r="A584" t="n">
        <v>583</v>
      </c>
      <c r="B584" t="inlineStr">
        <is>
          <t>A-499__5</t>
        </is>
      </c>
      <c r="C584" s="1" t="n">
        <v>37.4877433537</v>
      </c>
      <c r="D584" s="1" t="n">
        <v>-7.27979843945</v>
      </c>
      <c r="E584" s="3" t="n">
        <v>2</v>
      </c>
      <c r="F584" s="2" t="n">
        <v>2</v>
      </c>
      <c r="G584" s="4" t="n">
        <v>2</v>
      </c>
      <c r="H584" s="13" t="n"/>
      <c r="I584" s="15" t="n"/>
      <c r="J584" s="19" t="n">
        <v>2</v>
      </c>
      <c r="K584" s="2" t="inlineStr">
        <is>
          <t>marker_421_529223.png</t>
        </is>
      </c>
      <c r="L584" s="11">
        <f>HYPERLINK("2\0\" &amp; K584, "Ver Imagen")</f>
        <v/>
      </c>
      <c r="M584" t="inlineStr">
        <is>
          <t>Moda</t>
        </is>
      </c>
    </row>
    <row r="585">
      <c r="A585" t="n">
        <v>584</v>
      </c>
      <c r="B585" t="inlineStr">
        <is>
          <t>A-499__6</t>
        </is>
      </c>
      <c r="C585" s="1" t="n">
        <v>37.4879175556</v>
      </c>
      <c r="D585" s="1" t="n">
        <v>-7.27970792768</v>
      </c>
      <c r="E585" s="3" t="n">
        <v>2</v>
      </c>
      <c r="F585" s="2" t="n">
        <v>2</v>
      </c>
      <c r="G585" s="4" t="n">
        <v>2</v>
      </c>
      <c r="H585" s="13" t="n"/>
      <c r="I585" s="15" t="n"/>
      <c r="J585" s="19" t="n">
        <v>2</v>
      </c>
      <c r="K585" s="2" t="inlineStr">
        <is>
          <t>marker_504_529237.png</t>
        </is>
      </c>
      <c r="L585" s="11">
        <f>HYPERLINK("2\0\" &amp; K585, "Ver Imagen")</f>
        <v/>
      </c>
      <c r="M585" t="inlineStr">
        <is>
          <t>Moda</t>
        </is>
      </c>
    </row>
    <row r="586">
      <c r="A586" t="n">
        <v>585</v>
      </c>
      <c r="B586" t="inlineStr">
        <is>
          <t>A-499__8</t>
        </is>
      </c>
      <c r="C586" s="1" t="n">
        <v>37.4882973864</v>
      </c>
      <c r="D586" s="1" t="n">
        <v>-7.27950911768</v>
      </c>
      <c r="E586" s="3" t="n">
        <v>2</v>
      </c>
      <c r="F586" s="2" t="n">
        <v>2</v>
      </c>
      <c r="G586" s="4" t="n">
        <v>2</v>
      </c>
      <c r="H586" s="13" t="n"/>
      <c r="I586" s="15" t="n"/>
      <c r="J586" s="19" t="n">
        <v>2</v>
      </c>
      <c r="K586" s="2" t="inlineStr">
        <is>
          <t>marker_595_529282.png</t>
        </is>
      </c>
      <c r="L586" s="11">
        <f>HYPERLINK("2\0\" &amp; K586, "Ver Imagen")</f>
        <v/>
      </c>
      <c r="M586" t="inlineStr">
        <is>
          <t>Moda</t>
        </is>
      </c>
    </row>
    <row r="587">
      <c r="A587" t="n">
        <v>586</v>
      </c>
      <c r="B587" t="inlineStr">
        <is>
          <t>A-499__9</t>
        </is>
      </c>
      <c r="C587" s="1" t="n">
        <v>37.4884876855</v>
      </c>
      <c r="D587" s="1" t="n">
        <v>-7.27940983213</v>
      </c>
      <c r="E587" s="3" t="n">
        <v>2</v>
      </c>
      <c r="F587" s="2" t="n">
        <v>2</v>
      </c>
      <c r="G587" s="4" t="n">
        <v>2</v>
      </c>
      <c r="H587" s="13" t="n"/>
      <c r="I587" s="15" t="n"/>
      <c r="J587" s="19" t="n">
        <v>2</v>
      </c>
      <c r="K587" s="2" t="inlineStr">
        <is>
          <t>marker_333_529294.png</t>
        </is>
      </c>
      <c r="L587" s="11">
        <f>HYPERLINK("2\0\" &amp; K587, "Ver Imagen")</f>
        <v/>
      </c>
      <c r="M587" t="inlineStr">
        <is>
          <t>Moda</t>
        </is>
      </c>
    </row>
    <row r="588">
      <c r="A588" t="n">
        <v>587</v>
      </c>
      <c r="B588" t="inlineStr">
        <is>
          <t>A-499__13</t>
        </is>
      </c>
      <c r="C588" s="1" t="n">
        <v>37.4892002552</v>
      </c>
      <c r="D588" s="1" t="n">
        <v>-7.27904030256</v>
      </c>
      <c r="E588" s="3" t="n">
        <v>2</v>
      </c>
      <c r="F588" s="2" t="n">
        <v>2</v>
      </c>
      <c r="G588" s="4" t="n">
        <v>2</v>
      </c>
      <c r="H588" s="13" t="n"/>
      <c r="I588" s="15" t="n"/>
      <c r="J588" s="19" t="n">
        <v>2</v>
      </c>
      <c r="K588" s="2" t="inlineStr">
        <is>
          <t>marker_432_529330.png</t>
        </is>
      </c>
      <c r="L588" s="11">
        <f>HYPERLINK("2\0\" &amp; K588, "Ver Imagen")</f>
        <v/>
      </c>
      <c r="M588" t="inlineStr">
        <is>
          <t>Moda</t>
        </is>
      </c>
    </row>
    <row r="589">
      <c r="A589" t="n">
        <v>588</v>
      </c>
      <c r="B589" t="inlineStr">
        <is>
          <t>A-499__14</t>
        </is>
      </c>
      <c r="C589" s="1" t="n">
        <v>37.4893922792</v>
      </c>
      <c r="D589" s="1" t="n">
        <v>-7.27893909539</v>
      </c>
      <c r="E589" s="3" t="n">
        <v>2</v>
      </c>
      <c r="F589" s="2" t="n">
        <v>2</v>
      </c>
      <c r="G589" s="4" t="n">
        <v>2</v>
      </c>
      <c r="H589" s="13" t="n"/>
      <c r="I589" s="15" t="n"/>
      <c r="J589" s="19" t="n">
        <v>2</v>
      </c>
      <c r="K589" s="2" t="inlineStr">
        <is>
          <t>marker_978_529343.png</t>
        </is>
      </c>
      <c r="L589" s="11">
        <f>HYPERLINK("2\0\" &amp; K589, "Ver Imagen")</f>
        <v/>
      </c>
      <c r="M589" t="inlineStr">
        <is>
          <t>Moda</t>
        </is>
      </c>
    </row>
    <row r="590">
      <c r="A590" t="n">
        <v>589</v>
      </c>
      <c r="B590" t="inlineStr">
        <is>
          <t>A-499__15</t>
        </is>
      </c>
      <c r="C590" s="1" t="n">
        <v>37.4895675975</v>
      </c>
      <c r="D590" s="1" t="n">
        <v>-7.27884625695</v>
      </c>
      <c r="E590" s="3" t="n">
        <v>2</v>
      </c>
      <c r="F590" s="2" t="n">
        <v>2</v>
      </c>
      <c r="G590" s="4" t="n">
        <v>2</v>
      </c>
      <c r="H590" s="13" t="n"/>
      <c r="I590" s="15" t="n"/>
      <c r="J590" s="19" t="n">
        <v>2</v>
      </c>
      <c r="K590" s="2" t="inlineStr">
        <is>
          <t>marker_854_529357.png</t>
        </is>
      </c>
      <c r="L590" s="11">
        <f>HYPERLINK("2\0\" &amp; K590, "Ver Imagen")</f>
        <v/>
      </c>
      <c r="M590" t="inlineStr">
        <is>
          <t>Moda</t>
        </is>
      </c>
    </row>
    <row r="591">
      <c r="A591" t="n">
        <v>590</v>
      </c>
      <c r="B591" t="inlineStr">
        <is>
          <t>A-499__16</t>
        </is>
      </c>
      <c r="C591" s="1" t="n">
        <v>37.4898042138</v>
      </c>
      <c r="D591" s="1" t="n">
        <v>-7.27872193491</v>
      </c>
      <c r="E591" s="3" t="n">
        <v>2</v>
      </c>
      <c r="F591" s="2" t="n">
        <v>2</v>
      </c>
      <c r="G591" s="4" t="n">
        <v>2</v>
      </c>
      <c r="H591" s="13" t="n"/>
      <c r="I591" s="15" t="n"/>
      <c r="J591" s="19" t="n">
        <v>2</v>
      </c>
      <c r="K591" s="2" t="inlineStr">
        <is>
          <t>marker_181_529395.png</t>
        </is>
      </c>
      <c r="L591" s="11">
        <f>HYPERLINK("2\0\" &amp; K591, "Ver Imagen")</f>
        <v/>
      </c>
      <c r="M591" t="inlineStr">
        <is>
          <t>Moda</t>
        </is>
      </c>
    </row>
    <row r="592">
      <c r="A592" t="n">
        <v>591</v>
      </c>
      <c r="B592" t="inlineStr">
        <is>
          <t>A-499__17</t>
        </is>
      </c>
      <c r="C592" s="1" t="n">
        <v>37.4899746598</v>
      </c>
      <c r="D592" s="1" t="n">
        <v>-7.27863224077</v>
      </c>
      <c r="E592" s="3" t="n">
        <v>2</v>
      </c>
      <c r="F592" s="2" t="n">
        <v>2</v>
      </c>
      <c r="G592" s="4" t="n">
        <v>2</v>
      </c>
      <c r="H592" s="13" t="n"/>
      <c r="I592" s="15" t="n"/>
      <c r="J592" s="19" t="n">
        <v>2</v>
      </c>
      <c r="K592" s="2" t="inlineStr">
        <is>
          <t>marker_433_529405.png</t>
        </is>
      </c>
      <c r="L592" s="11">
        <f>HYPERLINK("2\0\" &amp; K592, "Ver Imagen")</f>
        <v/>
      </c>
      <c r="M592" t="inlineStr">
        <is>
          <t>Moda</t>
        </is>
      </c>
    </row>
    <row r="593">
      <c r="A593" t="n">
        <v>592</v>
      </c>
      <c r="B593" t="inlineStr">
        <is>
          <t>A-499__18</t>
        </is>
      </c>
      <c r="C593" s="1" t="n">
        <v>37.4901442008</v>
      </c>
      <c r="D593" s="1" t="n">
        <v>-7.27854297462</v>
      </c>
      <c r="E593" s="3" t="n">
        <v>2</v>
      </c>
      <c r="F593" s="2" t="n">
        <v>2</v>
      </c>
      <c r="G593" s="4" t="n">
        <v>2</v>
      </c>
      <c r="H593" s="13" t="n"/>
      <c r="I593" s="15" t="n"/>
      <c r="J593" s="19" t="n">
        <v>2</v>
      </c>
      <c r="K593" s="2" t="inlineStr">
        <is>
          <t>marker_192_529413.png</t>
        </is>
      </c>
      <c r="L593" s="11">
        <f>HYPERLINK("2\0\" &amp; K593, "Ver Imagen")</f>
        <v/>
      </c>
      <c r="M593" t="inlineStr">
        <is>
          <t>Moda</t>
        </is>
      </c>
    </row>
    <row r="594">
      <c r="A594" t="n">
        <v>593</v>
      </c>
      <c r="B594" t="inlineStr">
        <is>
          <t>A-499__19</t>
        </is>
      </c>
      <c r="C594" s="1" t="n">
        <v>37.4903148137</v>
      </c>
      <c r="D594" s="1" t="n">
        <v>-7.2784538187</v>
      </c>
      <c r="E594" s="3" t="n">
        <v>2</v>
      </c>
      <c r="F594" s="2" t="n">
        <v>2</v>
      </c>
      <c r="G594" s="4" t="n">
        <v>2</v>
      </c>
      <c r="H594" s="13" t="n"/>
      <c r="I594" s="15" t="n"/>
      <c r="J594" s="19" t="n">
        <v>2</v>
      </c>
      <c r="K594" s="2" t="inlineStr">
        <is>
          <t>marker_181_529422.png</t>
        </is>
      </c>
      <c r="L594" s="11">
        <f>HYPERLINK("2\0\" &amp; K594, "Ver Imagen")</f>
        <v/>
      </c>
      <c r="M594" t="inlineStr">
        <is>
          <t>Moda</t>
        </is>
      </c>
    </row>
    <row r="595">
      <c r="A595" t="n">
        <v>594</v>
      </c>
      <c r="B595" t="inlineStr">
        <is>
          <t>A-499__20</t>
        </is>
      </c>
      <c r="C595" s="1" t="n">
        <v>37.4905229019</v>
      </c>
      <c r="D595" s="1" t="n">
        <v>-7.27834664421</v>
      </c>
      <c r="E595" s="3" t="n">
        <v>2</v>
      </c>
      <c r="F595" s="2" t="n">
        <v>2</v>
      </c>
      <c r="G595" s="4" t="n">
        <v>2</v>
      </c>
      <c r="H595" s="13" t="n"/>
      <c r="I595" s="15" t="n"/>
      <c r="J595" s="19" t="n">
        <v>2</v>
      </c>
      <c r="K595" s="2" t="inlineStr">
        <is>
          <t>marker_290_529430.png</t>
        </is>
      </c>
      <c r="L595" s="11">
        <f>HYPERLINK("2\0\" &amp; K595, "Ver Imagen")</f>
        <v/>
      </c>
      <c r="M595" t="inlineStr">
        <is>
          <t>Moda</t>
        </is>
      </c>
    </row>
    <row r="596">
      <c r="A596" t="n">
        <v>595</v>
      </c>
      <c r="B596" t="inlineStr">
        <is>
          <t>A-499__21</t>
        </is>
      </c>
      <c r="C596" s="1" t="n">
        <v>37.4907262886</v>
      </c>
      <c r="D596" s="1" t="n">
        <v>-7.27824520355</v>
      </c>
      <c r="E596" s="3" t="n">
        <v>2</v>
      </c>
      <c r="F596" s="2" t="n">
        <v>2</v>
      </c>
      <c r="G596" s="4" t="n">
        <v>2</v>
      </c>
      <c r="H596" s="13" t="n"/>
      <c r="I596" s="15" t="n"/>
      <c r="J596" s="19" t="n">
        <v>2</v>
      </c>
      <c r="K596" s="2" t="inlineStr">
        <is>
          <t>marker_136_529439.png</t>
        </is>
      </c>
      <c r="L596" s="11">
        <f>HYPERLINK("2\0\" &amp; K596, "Ver Imagen")</f>
        <v/>
      </c>
      <c r="M596" t="inlineStr">
        <is>
          <t>Moda</t>
        </is>
      </c>
    </row>
    <row r="597">
      <c r="A597" t="n">
        <v>596</v>
      </c>
      <c r="B597" t="inlineStr">
        <is>
          <t>A-499__22</t>
        </is>
      </c>
      <c r="C597" s="1" t="n">
        <v>37.4908940481</v>
      </c>
      <c r="D597" s="1" t="n">
        <v>-7.2781646929</v>
      </c>
      <c r="E597" s="3" t="n">
        <v>2</v>
      </c>
      <c r="F597" s="2" t="n">
        <v>2</v>
      </c>
      <c r="G597" s="4" t="n">
        <v>2</v>
      </c>
      <c r="H597" s="13" t="n"/>
      <c r="I597" s="15" t="n"/>
      <c r="J597" s="19" t="n">
        <v>2</v>
      </c>
      <c r="K597" s="2" t="inlineStr">
        <is>
          <t>marker_596_529446.png</t>
        </is>
      </c>
      <c r="L597" s="11">
        <f>HYPERLINK("2\0\" &amp; K597, "Ver Imagen")</f>
        <v/>
      </c>
      <c r="M597" t="inlineStr">
        <is>
          <t>Moda</t>
        </is>
      </c>
    </row>
    <row r="598">
      <c r="A598" t="n">
        <v>597</v>
      </c>
      <c r="B598" t="inlineStr">
        <is>
          <t>A-499__23</t>
        </is>
      </c>
      <c r="C598" s="1" t="n">
        <v>37.4910908981</v>
      </c>
      <c r="D598" s="1" t="n">
        <v>-7.2780739283</v>
      </c>
      <c r="E598" s="3" t="n">
        <v>2</v>
      </c>
      <c r="F598" s="2" t="n">
        <v>2</v>
      </c>
      <c r="G598" s="4" t="n">
        <v>2</v>
      </c>
      <c r="H598" s="13" t="n"/>
      <c r="I598" s="15" t="n"/>
      <c r="J598" s="19" t="n">
        <v>2</v>
      </c>
      <c r="K598" s="2" t="inlineStr">
        <is>
          <t>marker_137_529454.png</t>
        </is>
      </c>
      <c r="L598" s="11">
        <f>HYPERLINK("2\0\" &amp; K598, "Ver Imagen")</f>
        <v/>
      </c>
      <c r="M598" t="inlineStr">
        <is>
          <t>Moda</t>
        </is>
      </c>
    </row>
    <row r="599">
      <c r="A599" t="n">
        <v>598</v>
      </c>
      <c r="B599" t="inlineStr">
        <is>
          <t>A-499__24</t>
        </is>
      </c>
      <c r="C599" s="1" t="n">
        <v>37.4912992615</v>
      </c>
      <c r="D599" s="1" t="n">
        <v>-7.27798113999</v>
      </c>
      <c r="E599" s="3" t="n">
        <v>2</v>
      </c>
      <c r="F599" s="2" t="n">
        <v>2</v>
      </c>
      <c r="G599" s="4" t="n">
        <v>2</v>
      </c>
      <c r="H599" s="13" t="n"/>
      <c r="I599" s="15" t="n"/>
      <c r="J599" s="19" t="n">
        <v>2</v>
      </c>
      <c r="K599" s="2" t="inlineStr">
        <is>
          <t>marker_192_529464.png</t>
        </is>
      </c>
      <c r="L599" s="11">
        <f>HYPERLINK("2\0\" &amp; K599, "Ver Imagen")</f>
        <v/>
      </c>
      <c r="M599" t="inlineStr">
        <is>
          <t>Moda</t>
        </is>
      </c>
    </row>
    <row r="600">
      <c r="A600" t="n">
        <v>599</v>
      </c>
      <c r="B600" t="inlineStr">
        <is>
          <t>A-499__26</t>
        </is>
      </c>
      <c r="C600" s="1" t="n">
        <v>37.4916809412</v>
      </c>
      <c r="D600" s="1" t="n">
        <v>-7.27781565676</v>
      </c>
      <c r="E600" s="3" t="n">
        <v>2</v>
      </c>
      <c r="F600" s="2" t="n">
        <v>2</v>
      </c>
      <c r="G600" s="4" t="n">
        <v>2</v>
      </c>
      <c r="H600" s="13" t="n"/>
      <c r="I600" s="15" t="n"/>
      <c r="J600" s="19" t="n">
        <v>2</v>
      </c>
      <c r="K600" s="2" t="inlineStr">
        <is>
          <t>marker_568_529503.png</t>
        </is>
      </c>
      <c r="L600" s="11">
        <f>HYPERLINK("2\0\" &amp; K600, "Ver Imagen")</f>
        <v/>
      </c>
      <c r="M600" t="inlineStr">
        <is>
          <t>Moda</t>
        </is>
      </c>
    </row>
    <row r="601">
      <c r="A601" t="n">
        <v>600</v>
      </c>
      <c r="B601" t="inlineStr">
        <is>
          <t>A-499__27</t>
        </is>
      </c>
      <c r="C601" s="1" t="n">
        <v>37.491870467</v>
      </c>
      <c r="D601" s="1" t="n">
        <v>-7.27773575579</v>
      </c>
      <c r="E601" s="3" t="n">
        <v>2</v>
      </c>
      <c r="F601" s="2" t="n">
        <v>2</v>
      </c>
      <c r="G601" s="4" t="n">
        <v>2</v>
      </c>
      <c r="H601" s="13" t="n"/>
      <c r="I601" s="15" t="n"/>
      <c r="J601" s="19" t="n">
        <v>2</v>
      </c>
      <c r="K601" s="2" t="inlineStr">
        <is>
          <t>marker_893_529510.png</t>
        </is>
      </c>
      <c r="L601" s="11">
        <f>HYPERLINK("2\0\" &amp; K601, "Ver Imagen")</f>
        <v/>
      </c>
      <c r="M601" t="inlineStr">
        <is>
          <t>Moda</t>
        </is>
      </c>
    </row>
    <row r="602">
      <c r="A602" t="n">
        <v>601</v>
      </c>
      <c r="B602" t="inlineStr">
        <is>
          <t>A-499__29</t>
        </is>
      </c>
      <c r="C602" s="1" t="n">
        <v>37.4922288943</v>
      </c>
      <c r="D602" s="1" t="n">
        <v>-7.27758932546</v>
      </c>
      <c r="E602" s="3" t="n">
        <v>2</v>
      </c>
      <c r="F602" s="2" t="n">
        <v>2</v>
      </c>
      <c r="G602" s="4" t="n">
        <v>2</v>
      </c>
      <c r="H602" s="13" t="n"/>
      <c r="I602" s="15" t="n"/>
      <c r="J602" s="19" t="n">
        <v>2</v>
      </c>
      <c r="K602" s="2" t="inlineStr">
        <is>
          <t>marker_117_529535.png</t>
        </is>
      </c>
      <c r="L602" s="11">
        <f>HYPERLINK("2\0\" &amp; K602, "Ver Imagen")</f>
        <v/>
      </c>
      <c r="M602" t="inlineStr">
        <is>
          <t>Moda</t>
        </is>
      </c>
    </row>
    <row r="603">
      <c r="A603" t="n">
        <v>602</v>
      </c>
      <c r="B603" t="inlineStr">
        <is>
          <t>A-499__30</t>
        </is>
      </c>
      <c r="C603" s="1" t="n">
        <v>37.4924202598</v>
      </c>
      <c r="D603" s="1" t="n">
        <v>-7.27751440636</v>
      </c>
      <c r="E603" s="3" t="n">
        <v>2</v>
      </c>
      <c r="F603" s="2" t="n">
        <v>2</v>
      </c>
      <c r="G603" s="4" t="n">
        <v>2</v>
      </c>
      <c r="H603" s="13" t="n"/>
      <c r="I603" s="15" t="n"/>
      <c r="J603" s="19" t="n">
        <v>2</v>
      </c>
      <c r="K603" s="2" t="inlineStr">
        <is>
          <t>marker_786_529544.png</t>
        </is>
      </c>
      <c r="L603" s="11">
        <f>HYPERLINK("2\0\" &amp; K603, "Ver Imagen")</f>
        <v/>
      </c>
      <c r="M603" t="inlineStr">
        <is>
          <t>Moda</t>
        </is>
      </c>
    </row>
    <row r="604">
      <c r="A604" t="n">
        <v>603</v>
      </c>
      <c r="B604" t="inlineStr">
        <is>
          <t>A-499__34</t>
        </is>
      </c>
      <c r="C604" s="1" t="n">
        <v>37.4932186378</v>
      </c>
      <c r="D604" s="1" t="n">
        <v>-7.27723699683</v>
      </c>
      <c r="E604" s="3" t="n">
        <v>2</v>
      </c>
      <c r="F604" s="2" t="n">
        <v>2</v>
      </c>
      <c r="G604" s="4" t="n">
        <v>2</v>
      </c>
      <c r="H604" s="13" t="n"/>
      <c r="I604" s="15" t="n"/>
      <c r="J604" s="19" t="n">
        <v>2</v>
      </c>
      <c r="K604" s="2" t="inlineStr">
        <is>
          <t>marker_262_529963.png</t>
        </is>
      </c>
      <c r="L604" s="11">
        <f>HYPERLINK("2\0\" &amp; K604, "Ver Imagen")</f>
        <v/>
      </c>
      <c r="M604" t="inlineStr">
        <is>
          <t>Moda</t>
        </is>
      </c>
    </row>
    <row r="605">
      <c r="A605" t="n">
        <v>604</v>
      </c>
      <c r="B605" t="inlineStr">
        <is>
          <t>A-499__38</t>
        </is>
      </c>
      <c r="C605" s="1" t="n">
        <v>37.4940022377</v>
      </c>
      <c r="D605" s="1" t="n">
        <v>-7.27697373377</v>
      </c>
      <c r="E605" s="3" t="n">
        <v>2</v>
      </c>
      <c r="F605" s="2" t="n">
        <v>2</v>
      </c>
      <c r="G605" s="4" t="n">
        <v>2</v>
      </c>
      <c r="H605" s="13" t="n"/>
      <c r="I605" s="15" t="n"/>
      <c r="J605" s="19" t="n">
        <v>2</v>
      </c>
      <c r="K605" s="2" t="inlineStr">
        <is>
          <t>marker_930_530004.png</t>
        </is>
      </c>
      <c r="L605" s="11">
        <f>HYPERLINK("2\0\" &amp; K605, "Ver Imagen")</f>
        <v/>
      </c>
      <c r="M605" t="inlineStr">
        <is>
          <t>Moda</t>
        </is>
      </c>
    </row>
    <row r="606">
      <c r="A606" t="n">
        <v>605</v>
      </c>
      <c r="B606" t="inlineStr">
        <is>
          <t>A-499__39</t>
        </is>
      </c>
      <c r="C606" s="1" t="n">
        <v>37.4941744293</v>
      </c>
      <c r="D606" s="1" t="n">
        <v>-7.27691698071</v>
      </c>
      <c r="E606" s="3" t="n">
        <v>2</v>
      </c>
      <c r="F606" s="2" t="n">
        <v>2</v>
      </c>
      <c r="G606" s="4" t="n">
        <v>2</v>
      </c>
      <c r="H606" s="13" t="n"/>
      <c r="I606" s="15" t="n"/>
      <c r="J606" s="19" t="n">
        <v>2</v>
      </c>
      <c r="K606" s="2" t="inlineStr">
        <is>
          <t>marker_172_530011.png</t>
        </is>
      </c>
      <c r="L606" s="11">
        <f>HYPERLINK("2\0\" &amp; K606, "Ver Imagen")</f>
        <v/>
      </c>
      <c r="M606" t="inlineStr">
        <is>
          <t>Moda</t>
        </is>
      </c>
    </row>
    <row r="607">
      <c r="A607" t="n">
        <v>606</v>
      </c>
      <c r="B607" t="inlineStr">
        <is>
          <t>A-499__41</t>
        </is>
      </c>
      <c r="C607" s="1" t="n">
        <v>37.4945802078</v>
      </c>
      <c r="D607" s="1" t="n">
        <v>-7.27678475173</v>
      </c>
      <c r="E607" s="3" t="n">
        <v>2</v>
      </c>
      <c r="F607" s="2" t="n">
        <v>2</v>
      </c>
      <c r="G607" s="4" t="n">
        <v>2</v>
      </c>
      <c r="H607" s="13" t="n"/>
      <c r="I607" s="15" t="n"/>
      <c r="J607" s="19" t="n">
        <v>2</v>
      </c>
      <c r="K607" s="2" t="inlineStr">
        <is>
          <t>marker_680_530033.png</t>
        </is>
      </c>
      <c r="L607" s="11">
        <f>HYPERLINK("2\0\" &amp; K607, "Ver Imagen")</f>
        <v/>
      </c>
      <c r="M607" t="inlineStr">
        <is>
          <t>Moda</t>
        </is>
      </c>
    </row>
    <row r="608">
      <c r="A608" t="n">
        <v>607</v>
      </c>
      <c r="B608" t="inlineStr">
        <is>
          <t>A-499__48</t>
        </is>
      </c>
      <c r="C608" s="1" t="n">
        <v>37.4955840257</v>
      </c>
      <c r="D608" s="1" t="n">
        <v>-7.27577461047</v>
      </c>
      <c r="E608" s="3" t="n">
        <v>2</v>
      </c>
      <c r="F608" s="2" t="n">
        <v>2</v>
      </c>
      <c r="G608" s="4" t="n">
        <v>2</v>
      </c>
      <c r="H608" s="13" t="n"/>
      <c r="I608" s="15" t="n"/>
      <c r="J608" s="19" t="n">
        <v>2</v>
      </c>
      <c r="K608" s="2" t="inlineStr">
        <is>
          <t>marker_461_534843.png</t>
        </is>
      </c>
      <c r="L608" s="11">
        <f>HYPERLINK("2\0\" &amp; K608, "Ver Imagen")</f>
        <v/>
      </c>
      <c r="M608" t="inlineStr">
        <is>
          <t>Moda</t>
        </is>
      </c>
    </row>
    <row r="609">
      <c r="A609" t="n">
        <v>608</v>
      </c>
      <c r="B609" t="inlineStr">
        <is>
          <t>A-499__55</t>
        </is>
      </c>
      <c r="C609" s="1" t="n">
        <v>37.4957018354</v>
      </c>
      <c r="D609" s="1" t="n">
        <v>-7.27400619493</v>
      </c>
      <c r="E609" s="3" t="n">
        <v>2</v>
      </c>
      <c r="F609" s="2" t="n">
        <v>2</v>
      </c>
      <c r="G609" s="4" t="n">
        <v>2</v>
      </c>
      <c r="H609" s="13" t="n"/>
      <c r="I609" s="15" t="n"/>
      <c r="J609" s="19" t="n">
        <v>2</v>
      </c>
      <c r="K609" s="2" t="inlineStr">
        <is>
          <t>marker_868_534945.png</t>
        </is>
      </c>
      <c r="L609" s="11">
        <f>HYPERLINK("2\0\" &amp; K609, "Ver Imagen")</f>
        <v/>
      </c>
      <c r="M609" t="inlineStr">
        <is>
          <t>Moda</t>
        </is>
      </c>
    </row>
    <row r="610">
      <c r="A610" t="n">
        <v>609</v>
      </c>
      <c r="B610" t="inlineStr">
        <is>
          <t>A-499__62</t>
        </is>
      </c>
      <c r="C610" s="1" t="n">
        <v>37.4954299356</v>
      </c>
      <c r="D610" s="1" t="n">
        <v>-7.27226593936</v>
      </c>
      <c r="E610" s="3" t="n">
        <v>2</v>
      </c>
      <c r="F610" s="2" t="n">
        <v>2</v>
      </c>
      <c r="G610" s="4" t="n">
        <v>2</v>
      </c>
      <c r="H610" s="13" t="n"/>
      <c r="I610" s="15" t="n"/>
      <c r="J610" s="19" t="n">
        <v>2</v>
      </c>
      <c r="K610" s="2" t="inlineStr">
        <is>
          <t>marker_142_535089.png</t>
        </is>
      </c>
      <c r="L610" s="11">
        <f>HYPERLINK("2\0\" &amp; K610, "Ver Imagen")</f>
        <v/>
      </c>
      <c r="M610" t="inlineStr">
        <is>
          <t>Moda</t>
        </is>
      </c>
    </row>
    <row r="611">
      <c r="A611" t="n">
        <v>610</v>
      </c>
      <c r="B611" t="inlineStr">
        <is>
          <t>A-499__63</t>
        </is>
      </c>
      <c r="C611" s="1" t="n">
        <v>37.4953932655</v>
      </c>
      <c r="D611" s="1" t="n">
        <v>-7.27201943087</v>
      </c>
      <c r="E611" s="3" t="n">
        <v>2</v>
      </c>
      <c r="F611" s="2" t="n">
        <v>2</v>
      </c>
      <c r="G611" s="4" t="n">
        <v>2</v>
      </c>
      <c r="H611" s="13" t="n"/>
      <c r="I611" s="15" t="n"/>
      <c r="J611" s="19" t="n">
        <v>2</v>
      </c>
      <c r="K611" s="2" t="inlineStr">
        <is>
          <t>marker_510_535099.png</t>
        </is>
      </c>
      <c r="L611" s="11">
        <f>HYPERLINK("2\0\" &amp; K611, "Ver Imagen")</f>
        <v/>
      </c>
      <c r="M611" t="inlineStr">
        <is>
          <t>Moda</t>
        </is>
      </c>
    </row>
    <row r="612">
      <c r="A612" t="n">
        <v>611</v>
      </c>
      <c r="B612" t="inlineStr">
        <is>
          <t>A-499__64</t>
        </is>
      </c>
      <c r="C612" s="1" t="n">
        <v>37.4953541945</v>
      </c>
      <c r="D612" s="1" t="n">
        <v>-7.27171484407</v>
      </c>
      <c r="E612" s="3" t="n">
        <v>2</v>
      </c>
      <c r="F612" s="2" t="n">
        <v>2</v>
      </c>
      <c r="G612" s="4" t="n">
        <v>2</v>
      </c>
      <c r="H612" s="13" t="n"/>
      <c r="I612" s="15" t="n"/>
      <c r="J612" s="19" t="n">
        <v>2</v>
      </c>
      <c r="K612" s="2" t="inlineStr">
        <is>
          <t>marker_271_535115.png</t>
        </is>
      </c>
      <c r="L612" s="11">
        <f>HYPERLINK("2\0\" &amp; K612, "Ver Imagen")</f>
        <v/>
      </c>
      <c r="M612" t="inlineStr">
        <is>
          <t>Moda</t>
        </is>
      </c>
    </row>
    <row r="613">
      <c r="A613" t="n">
        <v>612</v>
      </c>
      <c r="B613" t="inlineStr">
        <is>
          <t>A-499__97</t>
        </is>
      </c>
      <c r="C613" s="1" t="n">
        <v>37.498215201</v>
      </c>
      <c r="D613" s="1" t="n">
        <v>-7.2677137218</v>
      </c>
      <c r="E613" s="3" t="n">
        <v>2</v>
      </c>
      <c r="F613" s="2" t="n">
        <v>2</v>
      </c>
      <c r="G613" s="4" t="n">
        <v>2</v>
      </c>
      <c r="H613" s="13" t="n"/>
      <c r="I613" s="15" t="n"/>
      <c r="J613" s="19" t="n">
        <v>2</v>
      </c>
      <c r="K613" s="2" t="inlineStr">
        <is>
          <t>marker_612_793164.png</t>
        </is>
      </c>
      <c r="L613" s="11">
        <f>HYPERLINK("2\0\" &amp; K613, "Ver Imagen")</f>
        <v/>
      </c>
      <c r="M613" t="inlineStr">
        <is>
          <t>Moda</t>
        </is>
      </c>
    </row>
    <row r="614">
      <c r="A614" t="n">
        <v>613</v>
      </c>
      <c r="B614" t="inlineStr">
        <is>
          <t>A-499__98</t>
        </is>
      </c>
      <c r="C614" s="1" t="n">
        <v>37.4984057998</v>
      </c>
      <c r="D614" s="1" t="n">
        <v>-7.26764846377</v>
      </c>
      <c r="E614" s="3" t="n">
        <v>2</v>
      </c>
      <c r="F614" s="2" t="n">
        <v>2</v>
      </c>
      <c r="G614" s="4" t="n">
        <v>2</v>
      </c>
      <c r="H614" s="13" t="n"/>
      <c r="I614" s="15" t="n"/>
      <c r="J614" s="19" t="n">
        <v>2</v>
      </c>
      <c r="K614" s="2" t="inlineStr">
        <is>
          <t>marker_606_793179.png</t>
        </is>
      </c>
      <c r="L614" s="11">
        <f>HYPERLINK("2\0\" &amp; K614, "Ver Imagen")</f>
        <v/>
      </c>
      <c r="M614" t="inlineStr">
        <is>
          <t>Moda</t>
        </is>
      </c>
    </row>
    <row r="615">
      <c r="A615" t="n">
        <v>614</v>
      </c>
      <c r="B615" t="inlineStr">
        <is>
          <t>A-499__102</t>
        </is>
      </c>
      <c r="C615" s="1" t="n">
        <v>37.4991813975</v>
      </c>
      <c r="D615" s="1" t="n">
        <v>-7.26738040902</v>
      </c>
      <c r="E615" s="3" t="n">
        <v>2</v>
      </c>
      <c r="F615" s="2" t="n">
        <v>2</v>
      </c>
      <c r="G615" s="4" t="n">
        <v>2</v>
      </c>
      <c r="H615" s="13" t="n"/>
      <c r="I615" s="15" t="n"/>
      <c r="J615" s="19" t="n">
        <v>2</v>
      </c>
      <c r="K615" s="2" t="inlineStr">
        <is>
          <t>marker_605_793257.png</t>
        </is>
      </c>
      <c r="L615" s="11">
        <f>HYPERLINK("2\0\" &amp; K615, "Ver Imagen")</f>
        <v/>
      </c>
      <c r="M615" t="inlineStr">
        <is>
          <t>Moda</t>
        </is>
      </c>
    </row>
    <row r="616">
      <c r="A616" t="n">
        <v>615</v>
      </c>
      <c r="B616" t="inlineStr">
        <is>
          <t>A-499__103</t>
        </is>
      </c>
      <c r="C616" s="1" t="n">
        <v>37.4993996374</v>
      </c>
      <c r="D616" s="1" t="n">
        <v>-7.26730589565</v>
      </c>
      <c r="E616" s="3" t="n">
        <v>2</v>
      </c>
      <c r="F616" s="2" t="n">
        <v>2</v>
      </c>
      <c r="G616" s="4" t="n">
        <v>2</v>
      </c>
      <c r="H616" s="13" t="n"/>
      <c r="I616" s="15" t="n"/>
      <c r="J616" s="19" t="n">
        <v>2</v>
      </c>
      <c r="K616" s="2" t="inlineStr">
        <is>
          <t>marker_539_793279.png</t>
        </is>
      </c>
      <c r="L616" s="11">
        <f>HYPERLINK("2\0\" &amp; K616, "Ver Imagen")</f>
        <v/>
      </c>
      <c r="M616" t="inlineStr">
        <is>
          <t>Moda</t>
        </is>
      </c>
    </row>
    <row r="617">
      <c r="A617" t="n">
        <v>616</v>
      </c>
      <c r="B617" t="inlineStr">
        <is>
          <t>A-499__105</t>
        </is>
      </c>
      <c r="C617" s="1" t="n">
        <v>37.4997757312</v>
      </c>
      <c r="D617" s="1" t="n">
        <v>-7.26717723937</v>
      </c>
      <c r="E617" s="3" t="n">
        <v>2</v>
      </c>
      <c r="F617" s="2" t="n">
        <v>2</v>
      </c>
      <c r="G617" s="4" t="n">
        <v>2</v>
      </c>
      <c r="H617" s="13" t="n"/>
      <c r="I617" s="15" t="n"/>
      <c r="J617" s="19" t="n">
        <v>2</v>
      </c>
      <c r="K617" s="2" t="inlineStr">
        <is>
          <t>marker_929_793306.png</t>
        </is>
      </c>
      <c r="L617" s="11">
        <f>HYPERLINK("2\0\" &amp; K617, "Ver Imagen")</f>
        <v/>
      </c>
      <c r="M617" t="inlineStr">
        <is>
          <t>Moda</t>
        </is>
      </c>
    </row>
    <row r="618">
      <c r="A618" t="n">
        <v>617</v>
      </c>
      <c r="B618" t="inlineStr">
        <is>
          <t>A-499__106</t>
        </is>
      </c>
      <c r="C618" s="1" t="n">
        <v>37.4999860664</v>
      </c>
      <c r="D618" s="1" t="n">
        <v>-7.26710506435</v>
      </c>
      <c r="E618" s="3" t="n">
        <v>2</v>
      </c>
      <c r="F618" s="2" t="n">
        <v>2</v>
      </c>
      <c r="G618" s="4" t="n">
        <v>2</v>
      </c>
      <c r="H618" s="13" t="n"/>
      <c r="I618" s="15" t="n"/>
      <c r="J618" s="19" t="n">
        <v>2</v>
      </c>
      <c r="K618" s="2" t="inlineStr">
        <is>
          <t>marker_497_793317.png</t>
        </is>
      </c>
      <c r="L618" s="11">
        <f>HYPERLINK("2\0\" &amp; K618, "Ver Imagen")</f>
        <v/>
      </c>
      <c r="M618" t="inlineStr">
        <is>
          <t>Moda</t>
        </is>
      </c>
    </row>
    <row r="619">
      <c r="A619" t="n">
        <v>618</v>
      </c>
      <c r="B619" t="inlineStr">
        <is>
          <t>A-497__844</t>
        </is>
      </c>
      <c r="C619" s="1" t="n">
        <v>37.1995505486</v>
      </c>
      <c r="D619" s="1" t="n">
        <v>-6.98468250616</v>
      </c>
      <c r="E619" s="3" t="n">
        <v>2</v>
      </c>
      <c r="F619" s="2" t="n">
        <v>2</v>
      </c>
      <c r="G619" s="4" t="n">
        <v>2</v>
      </c>
      <c r="H619" s="13" t="n"/>
      <c r="I619" s="15" t="n"/>
      <c r="J619" s="19" t="n">
        <v>2</v>
      </c>
      <c r="K619" s="2" t="inlineStr">
        <is>
          <t>marker_304_367502.png</t>
        </is>
      </c>
      <c r="L619" s="11">
        <f>HYPERLINK("2\0\" &amp; K619, "Ver Imagen")</f>
        <v/>
      </c>
      <c r="M619" t="inlineStr">
        <is>
          <t>Moda</t>
        </is>
      </c>
    </row>
    <row r="620">
      <c r="A620" t="n">
        <v>619</v>
      </c>
      <c r="B620" t="inlineStr">
        <is>
          <t>A-497__843</t>
        </is>
      </c>
      <c r="C620" s="1" t="n">
        <v>37.1994836571</v>
      </c>
      <c r="D620" s="1" t="n">
        <v>-6.98443486555</v>
      </c>
      <c r="E620" s="3" t="n">
        <v>2</v>
      </c>
      <c r="F620" s="2" t="n">
        <v>2</v>
      </c>
      <c r="G620" s="4" t="n">
        <v>2</v>
      </c>
      <c r="H620" s="13" t="n"/>
      <c r="I620" s="15" t="n"/>
      <c r="J620" s="19" t="n">
        <v>2</v>
      </c>
      <c r="K620" s="2" t="inlineStr">
        <is>
          <t>marker_165_367511.png</t>
        </is>
      </c>
      <c r="L620" s="11">
        <f>HYPERLINK("2\0\" &amp; K620, "Ver Imagen")</f>
        <v/>
      </c>
      <c r="M620" t="inlineStr">
        <is>
          <t>Moda</t>
        </is>
      </c>
    </row>
    <row r="621">
      <c r="A621" t="n">
        <v>620</v>
      </c>
      <c r="B621" t="inlineStr">
        <is>
          <t>A-497__842</t>
        </is>
      </c>
      <c r="C621" s="1" t="n">
        <v>37.1994167839</v>
      </c>
      <c r="D621" s="1" t="n">
        <v>-6.98419229602</v>
      </c>
      <c r="E621" s="3" t="n">
        <v>2</v>
      </c>
      <c r="F621" s="2" t="n">
        <v>2</v>
      </c>
      <c r="G621" s="4" t="n">
        <v>2</v>
      </c>
      <c r="H621" s="13" t="n"/>
      <c r="I621" s="15" t="n"/>
      <c r="J621" s="19" t="n">
        <v>2</v>
      </c>
      <c r="K621" s="2" t="inlineStr">
        <is>
          <t>marker_862_367521.png</t>
        </is>
      </c>
      <c r="L621" s="11">
        <f>HYPERLINK("2\0\" &amp; K621, "Ver Imagen")</f>
        <v/>
      </c>
      <c r="M621" t="inlineStr">
        <is>
          <t>Moda</t>
        </is>
      </c>
    </row>
    <row r="622">
      <c r="A622" t="n">
        <v>621</v>
      </c>
      <c r="B622" t="inlineStr">
        <is>
          <t>A-497__837</t>
        </is>
      </c>
      <c r="C622" s="1" t="n">
        <v>37.1990590878</v>
      </c>
      <c r="D622" s="1" t="n">
        <v>-6.98302553245</v>
      </c>
      <c r="E622" s="3" t="n">
        <v>2</v>
      </c>
      <c r="F622" s="2" t="n">
        <v>2</v>
      </c>
      <c r="G622" s="4" t="n">
        <v>2</v>
      </c>
      <c r="H622" s="13" t="n"/>
      <c r="I622" s="15" t="n"/>
      <c r="J622" s="19" t="n">
        <v>2</v>
      </c>
      <c r="K622" s="2" t="inlineStr">
        <is>
          <t>marker_192_367577.png</t>
        </is>
      </c>
      <c r="L622" s="11">
        <f>HYPERLINK("2\0\" &amp; K622, "Ver Imagen")</f>
        <v/>
      </c>
      <c r="M622" t="inlineStr">
        <is>
          <t>Moda</t>
        </is>
      </c>
    </row>
    <row r="623">
      <c r="A623" t="n">
        <v>622</v>
      </c>
      <c r="B623" t="inlineStr">
        <is>
          <t>A-497__773</t>
        </is>
      </c>
      <c r="C623" s="1" t="n">
        <v>37.1881190403</v>
      </c>
      <c r="D623" s="1" t="n">
        <v>-6.97896409876</v>
      </c>
      <c r="E623" s="3" t="n">
        <v>2</v>
      </c>
      <c r="F623" s="2" t="n">
        <v>2</v>
      </c>
      <c r="G623" s="4" t="n">
        <v>2</v>
      </c>
      <c r="H623" s="13" t="n"/>
      <c r="I623" s="15" t="n"/>
      <c r="J623" s="19" t="n">
        <v>2</v>
      </c>
      <c r="K623" s="2" t="inlineStr">
        <is>
          <t>marker_401_368260.png</t>
        </is>
      </c>
      <c r="L623" s="11">
        <f>HYPERLINK("2\0\" &amp; K623, "Ver Imagen")</f>
        <v/>
      </c>
      <c r="M623" t="inlineStr">
        <is>
          <t>Moda</t>
        </is>
      </c>
    </row>
    <row r="624">
      <c r="A624" t="n">
        <v>623</v>
      </c>
      <c r="B624" t="inlineStr">
        <is>
          <t>A-497__772</t>
        </is>
      </c>
      <c r="C624" s="1" t="n">
        <v>37.187968173</v>
      </c>
      <c r="D624" s="1" t="n">
        <v>-6.9790709148</v>
      </c>
      <c r="E624" s="3" t="n">
        <v>2</v>
      </c>
      <c r="F624" s="2" t="n">
        <v>2</v>
      </c>
      <c r="G624" s="4" t="n">
        <v>2</v>
      </c>
      <c r="H624" s="13" t="n"/>
      <c r="I624" s="15" t="n"/>
      <c r="J624" s="19" t="n">
        <v>2</v>
      </c>
      <c r="K624" s="2" t="inlineStr">
        <is>
          <t>marker_144_368277.png</t>
        </is>
      </c>
      <c r="L624" s="11">
        <f>HYPERLINK("2\0\" &amp; K624, "Ver Imagen")</f>
        <v/>
      </c>
      <c r="M624" t="inlineStr">
        <is>
          <t>Moda</t>
        </is>
      </c>
    </row>
    <row r="625">
      <c r="A625" t="n">
        <v>624</v>
      </c>
      <c r="B625" t="inlineStr">
        <is>
          <t>A-499__108</t>
        </is>
      </c>
      <c r="C625" s="1" t="n">
        <v>37.5003642919</v>
      </c>
      <c r="D625" s="1" t="n">
        <v>-7.26697370348</v>
      </c>
      <c r="E625" s="3" t="n">
        <v>2</v>
      </c>
      <c r="F625" s="2" t="n">
        <v>2</v>
      </c>
      <c r="G625" s="4" t="n">
        <v>2</v>
      </c>
      <c r="H625" s="13" t="n"/>
      <c r="I625" s="15" t="n"/>
      <c r="J625" s="19" t="n">
        <v>2</v>
      </c>
      <c r="K625" s="2" t="inlineStr">
        <is>
          <t>marker_612_793346.png</t>
        </is>
      </c>
      <c r="L625" s="11">
        <f>HYPERLINK("2\0\" &amp; K625, "Ver Imagen")</f>
        <v/>
      </c>
      <c r="M625" t="inlineStr">
        <is>
          <t>Moda</t>
        </is>
      </c>
    </row>
    <row r="626">
      <c r="A626" t="n">
        <v>625</v>
      </c>
      <c r="B626" t="inlineStr">
        <is>
          <t>A-499__109</t>
        </is>
      </c>
      <c r="C626" s="1" t="n">
        <v>37.5005650882</v>
      </c>
      <c r="D626" s="1" t="n">
        <v>-7.26690434516</v>
      </c>
      <c r="E626" s="3" t="n">
        <v>2</v>
      </c>
      <c r="F626" s="2" t="n">
        <v>2</v>
      </c>
      <c r="G626" s="4" t="n">
        <v>2</v>
      </c>
      <c r="H626" s="13" t="n"/>
      <c r="I626" s="15" t="n"/>
      <c r="J626" s="19" t="n">
        <v>2</v>
      </c>
      <c r="K626" s="2" t="inlineStr">
        <is>
          <t>marker_215_793387.png</t>
        </is>
      </c>
      <c r="L626" s="11">
        <f>HYPERLINK("2\0\" &amp; K626, "Ver Imagen")</f>
        <v/>
      </c>
      <c r="M626" t="inlineStr">
        <is>
          <t>Moda</t>
        </is>
      </c>
    </row>
    <row r="627">
      <c r="A627" t="n">
        <v>626</v>
      </c>
      <c r="B627" t="inlineStr">
        <is>
          <t>A-499__110</t>
        </is>
      </c>
      <c r="C627" s="1" t="n">
        <v>37.5007825227</v>
      </c>
      <c r="D627" s="1" t="n">
        <v>-7.26683081768</v>
      </c>
      <c r="E627" s="3" t="n">
        <v>2</v>
      </c>
      <c r="F627" s="2" t="n">
        <v>2</v>
      </c>
      <c r="G627" s="4" t="n">
        <v>2</v>
      </c>
      <c r="H627" s="13" t="n"/>
      <c r="I627" s="15" t="n"/>
      <c r="J627" s="19" t="n">
        <v>2</v>
      </c>
      <c r="K627" s="2" t="inlineStr">
        <is>
          <t>marker_255_793402.png</t>
        </is>
      </c>
      <c r="L627" s="11">
        <f>HYPERLINK("2\0\" &amp; K627, "Ver Imagen")</f>
        <v/>
      </c>
      <c r="M627" t="inlineStr">
        <is>
          <t>Moda</t>
        </is>
      </c>
    </row>
    <row r="628">
      <c r="A628" t="n">
        <v>627</v>
      </c>
      <c r="B628" t="inlineStr">
        <is>
          <t>A-497_2C__10</t>
        </is>
      </c>
      <c r="C628" s="1" t="n">
        <v>37.2674379838</v>
      </c>
      <c r="D628" s="1" t="n">
        <v>-6.95950455725</v>
      </c>
      <c r="E628" s="3" t="n">
        <v>2</v>
      </c>
      <c r="F628" s="2" t="n">
        <v>2</v>
      </c>
      <c r="G628" s="4" t="n">
        <v>2</v>
      </c>
      <c r="H628" s="13" t="n"/>
      <c r="I628" s="15" t="n"/>
      <c r="J628" s="19" t="n">
        <v>2</v>
      </c>
      <c r="K628" s="2" t="inlineStr">
        <is>
          <t>marker_361_653985.png</t>
        </is>
      </c>
      <c r="L628" s="11">
        <f>HYPERLINK("2\0\" &amp; K628, "Ver Imagen")</f>
        <v/>
      </c>
      <c r="M628" t="inlineStr">
        <is>
          <t>Moda</t>
        </is>
      </c>
    </row>
    <row r="629">
      <c r="A629" t="n">
        <v>628</v>
      </c>
      <c r="B629" t="inlineStr">
        <is>
          <t>A-499__124</t>
        </is>
      </c>
      <c r="C629" s="1" t="n">
        <v>37.5034810907</v>
      </c>
      <c r="D629" s="1" t="n">
        <v>-7.26591310989</v>
      </c>
      <c r="E629" s="3" t="n">
        <v>2</v>
      </c>
      <c r="F629" s="2" t="n">
        <v>2</v>
      </c>
      <c r="G629" s="4" t="n">
        <v>2</v>
      </c>
      <c r="H629" s="13" t="n"/>
      <c r="I629" s="15" t="n"/>
      <c r="J629" s="19" t="n">
        <v>2</v>
      </c>
      <c r="K629" s="2" t="inlineStr">
        <is>
          <t>marker_717_793677.png</t>
        </is>
      </c>
      <c r="L629" s="11">
        <f>HYPERLINK("2\0\" &amp; K629, "Ver Imagen")</f>
        <v/>
      </c>
      <c r="M629" t="inlineStr">
        <is>
          <t>Moda</t>
        </is>
      </c>
    </row>
    <row r="630">
      <c r="A630" t="n">
        <v>629</v>
      </c>
      <c r="B630" t="inlineStr">
        <is>
          <t>A-499__125</t>
        </is>
      </c>
      <c r="C630" s="1" t="n">
        <v>37.5036881107</v>
      </c>
      <c r="D630" s="1" t="n">
        <v>-7.26584257702</v>
      </c>
      <c r="E630" s="3" t="n">
        <v>2</v>
      </c>
      <c r="F630" s="2" t="n">
        <v>2</v>
      </c>
      <c r="G630" s="4" t="n">
        <v>2</v>
      </c>
      <c r="H630" s="13" t="n"/>
      <c r="I630" s="15" t="n"/>
      <c r="J630" s="19" t="n">
        <v>2</v>
      </c>
      <c r="K630" s="2" t="inlineStr">
        <is>
          <t>marker_401_793696.png</t>
        </is>
      </c>
      <c r="L630" s="11">
        <f>HYPERLINK("2\0\" &amp; K630, "Ver Imagen")</f>
        <v/>
      </c>
      <c r="M630" t="inlineStr">
        <is>
          <t>Moda</t>
        </is>
      </c>
    </row>
    <row r="631">
      <c r="A631" t="n">
        <v>630</v>
      </c>
      <c r="B631" t="inlineStr">
        <is>
          <t>A-499__126</t>
        </is>
      </c>
      <c r="C631" s="1" t="n">
        <v>37.5038674685</v>
      </c>
      <c r="D631" s="1" t="n">
        <v>-7.26578182155</v>
      </c>
      <c r="E631" s="3" t="n">
        <v>2</v>
      </c>
      <c r="F631" s="2" t="n">
        <v>2</v>
      </c>
      <c r="G631" s="4" t="n">
        <v>2</v>
      </c>
      <c r="H631" s="13" t="n"/>
      <c r="I631" s="15" t="n"/>
      <c r="J631" s="19" t="n">
        <v>2</v>
      </c>
      <c r="K631" s="2" t="inlineStr">
        <is>
          <t>marker_175_793710.png</t>
        </is>
      </c>
      <c r="L631" s="11">
        <f>HYPERLINK("2\0\" &amp; K631, "Ver Imagen")</f>
        <v/>
      </c>
      <c r="M631" t="inlineStr">
        <is>
          <t>Moda</t>
        </is>
      </c>
    </row>
    <row r="632">
      <c r="A632" t="n">
        <v>631</v>
      </c>
      <c r="B632" t="inlineStr">
        <is>
          <t>A-499__127</t>
        </is>
      </c>
      <c r="C632" s="1" t="n">
        <v>37.504058019</v>
      </c>
      <c r="D632" s="1" t="n">
        <v>-7.2657176394</v>
      </c>
      <c r="E632" s="3" t="n">
        <v>2</v>
      </c>
      <c r="F632" s="2" t="n">
        <v>2</v>
      </c>
      <c r="G632" s="4" t="n">
        <v>2</v>
      </c>
      <c r="H632" s="13" t="n"/>
      <c r="I632" s="15" t="n"/>
      <c r="J632" s="19" t="n">
        <v>2</v>
      </c>
      <c r="K632" s="2" t="inlineStr">
        <is>
          <t>marker_550_793724.png</t>
        </is>
      </c>
      <c r="L632" s="11">
        <f>HYPERLINK("2\0\" &amp; K632, "Ver Imagen")</f>
        <v/>
      </c>
      <c r="M632" t="inlineStr">
        <is>
          <t>Moda</t>
        </is>
      </c>
    </row>
    <row r="633">
      <c r="A633" t="n">
        <v>632</v>
      </c>
      <c r="B633" t="inlineStr">
        <is>
          <t>A-499__133</t>
        </is>
      </c>
      <c r="C633" s="1" t="n">
        <v>37.5052506694</v>
      </c>
      <c r="D633" s="1" t="n">
        <v>-7.26532381858</v>
      </c>
      <c r="E633" s="3" t="n">
        <v>2</v>
      </c>
      <c r="F633" s="2" t="n">
        <v>2</v>
      </c>
      <c r="G633" s="4" t="n">
        <v>2</v>
      </c>
      <c r="H633" s="13" t="n"/>
      <c r="I633" s="15" t="n"/>
      <c r="J633" s="19" t="n">
        <v>2</v>
      </c>
      <c r="K633" s="2" t="inlineStr">
        <is>
          <t>marker_930_793847.png</t>
        </is>
      </c>
      <c r="L633" s="11">
        <f>HYPERLINK("2\0\" &amp; K633, "Ver Imagen")</f>
        <v/>
      </c>
      <c r="M633" t="inlineStr">
        <is>
          <t>Moda</t>
        </is>
      </c>
    </row>
    <row r="634">
      <c r="A634" t="n">
        <v>633</v>
      </c>
      <c r="B634" t="inlineStr">
        <is>
          <t>A-499__134</t>
        </is>
      </c>
      <c r="C634" s="1" t="n">
        <v>37.5054388825</v>
      </c>
      <c r="D634" s="1" t="n">
        <v>-7.26528506563</v>
      </c>
      <c r="E634" s="3" t="n">
        <v>2</v>
      </c>
      <c r="F634" s="2" t="n">
        <v>2</v>
      </c>
      <c r="G634" s="4" t="n">
        <v>2</v>
      </c>
      <c r="H634" s="13" t="n"/>
      <c r="I634" s="15" t="n"/>
      <c r="J634" s="19" t="n">
        <v>2</v>
      </c>
      <c r="K634" s="2" t="inlineStr">
        <is>
          <t>marker_182_793866.png</t>
        </is>
      </c>
      <c r="L634" s="11">
        <f>HYPERLINK("2\0\" &amp; K634, "Ver Imagen")</f>
        <v/>
      </c>
      <c r="M634" t="inlineStr">
        <is>
          <t>Moda</t>
        </is>
      </c>
    </row>
    <row r="635">
      <c r="A635" t="n">
        <v>634</v>
      </c>
      <c r="B635" t="inlineStr">
        <is>
          <t>A-499__135</t>
        </is>
      </c>
      <c r="C635" s="1" t="n">
        <v>37.5056540127</v>
      </c>
      <c r="D635" s="1" t="n">
        <v>-7.2652592967</v>
      </c>
      <c r="E635" s="3" t="n">
        <v>2</v>
      </c>
      <c r="F635" s="2" t="n">
        <v>2</v>
      </c>
      <c r="G635" s="4" t="n">
        <v>2</v>
      </c>
      <c r="H635" s="13" t="n"/>
      <c r="I635" s="15" t="n"/>
      <c r="J635" s="19" t="n">
        <v>2</v>
      </c>
      <c r="K635" s="2" t="inlineStr">
        <is>
          <t>marker_174_793910.png</t>
        </is>
      </c>
      <c r="L635" s="11">
        <f>HYPERLINK("2\0\" &amp; K635, "Ver Imagen")</f>
        <v/>
      </c>
      <c r="M635" t="inlineStr">
        <is>
          <t>Moda</t>
        </is>
      </c>
    </row>
    <row r="636">
      <c r="A636" t="n">
        <v>635</v>
      </c>
      <c r="B636" t="inlineStr">
        <is>
          <t>A-499__136</t>
        </is>
      </c>
      <c r="C636" s="1" t="n">
        <v>37.5058621955</v>
      </c>
      <c r="D636" s="1" t="n">
        <v>-7.26525386194</v>
      </c>
      <c r="E636" s="3" t="n">
        <v>2</v>
      </c>
      <c r="F636" s="2" t="n">
        <v>2</v>
      </c>
      <c r="G636" s="4" t="n">
        <v>2</v>
      </c>
      <c r="H636" s="13" t="n"/>
      <c r="I636" s="15" t="n"/>
      <c r="J636" s="19" t="n">
        <v>2</v>
      </c>
      <c r="K636" s="2" t="inlineStr">
        <is>
          <t>marker_749_793924.png</t>
        </is>
      </c>
      <c r="L636" s="11">
        <f>HYPERLINK("2\0\" &amp; K636, "Ver Imagen")</f>
        <v/>
      </c>
      <c r="M636" t="inlineStr">
        <is>
          <t>Moda</t>
        </is>
      </c>
    </row>
    <row r="637">
      <c r="A637" t="n">
        <v>636</v>
      </c>
      <c r="B637" t="inlineStr">
        <is>
          <t>A-499__138</t>
        </is>
      </c>
      <c r="C637" s="1" t="n">
        <v>37.5062343596</v>
      </c>
      <c r="D637" s="1" t="n">
        <v>-7.26529463964</v>
      </c>
      <c r="E637" s="3" t="n">
        <v>2</v>
      </c>
      <c r="F637" s="2" t="n">
        <v>2</v>
      </c>
      <c r="G637" s="4" t="n">
        <v>2</v>
      </c>
      <c r="H637" s="13" t="n"/>
      <c r="I637" s="15" t="n"/>
      <c r="J637" s="19" t="n">
        <v>2</v>
      </c>
      <c r="K637" s="2" t="inlineStr">
        <is>
          <t>marker_341_794038.png</t>
        </is>
      </c>
      <c r="L637" s="11">
        <f>HYPERLINK("2\0\" &amp; K637, "Ver Imagen")</f>
        <v/>
      </c>
      <c r="M637" t="inlineStr">
        <is>
          <t>Moda</t>
        </is>
      </c>
    </row>
    <row r="638">
      <c r="A638" t="n">
        <v>637</v>
      </c>
      <c r="B638" t="inlineStr">
        <is>
          <t>A-499__141</t>
        </is>
      </c>
      <c r="C638" s="1" t="n">
        <v>37.5068474271</v>
      </c>
      <c r="D638" s="1" t="n">
        <v>-7.26550748788</v>
      </c>
      <c r="E638" s="3" t="n">
        <v>2</v>
      </c>
      <c r="F638" s="2" t="n">
        <v>2</v>
      </c>
      <c r="G638" s="4" t="n">
        <v>2</v>
      </c>
      <c r="H638" s="13" t="n"/>
      <c r="I638" s="15" t="n"/>
      <c r="J638" s="19" t="n">
        <v>2</v>
      </c>
      <c r="K638" s="2" t="inlineStr">
        <is>
          <t>marker_974_794098.png</t>
        </is>
      </c>
      <c r="L638" s="11">
        <f>HYPERLINK("2\0\" &amp; K638, "Ver Imagen")</f>
        <v/>
      </c>
      <c r="M638" t="inlineStr">
        <is>
          <t>Moda</t>
        </is>
      </c>
    </row>
    <row r="639">
      <c r="A639" t="n">
        <v>638</v>
      </c>
      <c r="B639" t="inlineStr">
        <is>
          <t>A-499__143</t>
        </is>
      </c>
      <c r="C639" s="1" t="n">
        <v>37.507207549</v>
      </c>
      <c r="D639" s="1" t="n">
        <v>-7.26572957571</v>
      </c>
      <c r="E639" s="3" t="n">
        <v>2</v>
      </c>
      <c r="F639" s="2" t="n">
        <v>2</v>
      </c>
      <c r="G639" s="4" t="n">
        <v>2</v>
      </c>
      <c r="H639" s="13" t="n"/>
      <c r="I639" s="15" t="n"/>
      <c r="J639" s="19" t="n">
        <v>2</v>
      </c>
      <c r="K639" s="2" t="inlineStr">
        <is>
          <t>marker_629_794126.png</t>
        </is>
      </c>
      <c r="L639" s="11">
        <f>HYPERLINK("2\0\" &amp; K639, "Ver Imagen")</f>
        <v/>
      </c>
      <c r="M639" t="inlineStr">
        <is>
          <t>Moda</t>
        </is>
      </c>
    </row>
    <row r="640">
      <c r="A640" t="n">
        <v>639</v>
      </c>
      <c r="B640" t="inlineStr">
        <is>
          <t>A-499__150</t>
        </is>
      </c>
      <c r="C640" s="1" t="n">
        <v>37.5083960855</v>
      </c>
      <c r="D640" s="1" t="n">
        <v>-7.26667776598</v>
      </c>
      <c r="E640" s="3" t="n">
        <v>2</v>
      </c>
      <c r="F640" s="2" t="n">
        <v>2</v>
      </c>
      <c r="G640" s="4" t="n">
        <v>2</v>
      </c>
      <c r="H640" s="13" t="n"/>
      <c r="I640" s="15" t="n"/>
      <c r="J640" s="19" t="n">
        <v>2</v>
      </c>
      <c r="K640" s="2" t="inlineStr">
        <is>
          <t>marker_852_794308.png</t>
        </is>
      </c>
      <c r="L640" s="11">
        <f>HYPERLINK("2\0\" &amp; K640, "Ver Imagen")</f>
        <v/>
      </c>
      <c r="M640" t="inlineStr">
        <is>
          <t>Moda</t>
        </is>
      </c>
    </row>
    <row r="641">
      <c r="A641" t="n">
        <v>640</v>
      </c>
      <c r="B641" t="inlineStr">
        <is>
          <t>A-499__151</t>
        </is>
      </c>
      <c r="C641" s="1" t="n">
        <v>37.5085724862</v>
      </c>
      <c r="D641" s="1" t="n">
        <v>-7.26681210939</v>
      </c>
      <c r="E641" s="3" t="n">
        <v>2</v>
      </c>
      <c r="F641" s="2" t="n">
        <v>2</v>
      </c>
      <c r="G641" s="4" t="n">
        <v>2</v>
      </c>
      <c r="H641" s="13" t="n"/>
      <c r="I641" s="15" t="n"/>
      <c r="J641" s="19" t="n">
        <v>2</v>
      </c>
      <c r="K641" s="2" t="inlineStr">
        <is>
          <t>marker_297_794321.png</t>
        </is>
      </c>
      <c r="L641" s="11">
        <f>HYPERLINK("2\0\" &amp; K641, "Ver Imagen")</f>
        <v/>
      </c>
      <c r="M641" t="inlineStr">
        <is>
          <t>Moda</t>
        </is>
      </c>
    </row>
    <row r="642">
      <c r="A642" t="n">
        <v>641</v>
      </c>
      <c r="B642" t="inlineStr">
        <is>
          <t>A-499__152</t>
        </is>
      </c>
      <c r="C642" s="1" t="n">
        <v>37.5087369045</v>
      </c>
      <c r="D642" s="1" t="n">
        <v>-7.26693147884</v>
      </c>
      <c r="E642" s="3" t="n">
        <v>2</v>
      </c>
      <c r="F642" s="2" t="n">
        <v>2</v>
      </c>
      <c r="G642" s="4" t="n">
        <v>2</v>
      </c>
      <c r="H642" s="13" t="n"/>
      <c r="I642" s="15" t="n"/>
      <c r="J642" s="19" t="n">
        <v>2</v>
      </c>
      <c r="K642" s="2" t="inlineStr">
        <is>
          <t>marker_713_794336.png</t>
        </is>
      </c>
      <c r="L642" s="11">
        <f>HYPERLINK("2\0\" &amp; K642, "Ver Imagen")</f>
        <v/>
      </c>
      <c r="M642" t="inlineStr">
        <is>
          <t>Moda</t>
        </is>
      </c>
    </row>
    <row r="643">
      <c r="A643" t="n">
        <v>642</v>
      </c>
      <c r="B643" t="inlineStr">
        <is>
          <t>A-499__157</t>
        </is>
      </c>
      <c r="C643" s="1" t="n">
        <v>37.5096676531</v>
      </c>
      <c r="D643" s="1" t="n">
        <v>-7.26745290372</v>
      </c>
      <c r="E643" s="3" t="n">
        <v>2</v>
      </c>
      <c r="F643" s="2" t="n">
        <v>2</v>
      </c>
      <c r="G643" s="4" t="n">
        <v>2</v>
      </c>
      <c r="H643" s="13" t="n"/>
      <c r="I643" s="15" t="n"/>
      <c r="J643" s="19" t="n">
        <v>2</v>
      </c>
      <c r="K643" s="2" t="inlineStr">
        <is>
          <t>marker_278_794538.png</t>
        </is>
      </c>
      <c r="L643" s="11">
        <f>HYPERLINK("2\0\" &amp; K643, "Ver Imagen")</f>
        <v/>
      </c>
      <c r="M643" t="inlineStr">
        <is>
          <t>Moda</t>
        </is>
      </c>
    </row>
    <row r="644">
      <c r="A644" t="n">
        <v>643</v>
      </c>
      <c r="B644" t="inlineStr">
        <is>
          <t>A-499__167</t>
        </is>
      </c>
      <c r="C644" s="1" t="n">
        <v>37.511608316</v>
      </c>
      <c r="D644" s="1" t="n">
        <v>-7.26821021764</v>
      </c>
      <c r="E644" s="3" t="n">
        <v>2</v>
      </c>
      <c r="F644" s="2" t="n">
        <v>2</v>
      </c>
      <c r="G644" s="4" t="n">
        <v>2</v>
      </c>
      <c r="H644" s="13" t="n"/>
      <c r="I644" s="15" t="n"/>
      <c r="J644" s="19" t="n">
        <v>2</v>
      </c>
      <c r="K644" s="2" t="inlineStr">
        <is>
          <t>marker_315_794715.png</t>
        </is>
      </c>
      <c r="L644" s="11">
        <f>HYPERLINK("2\0\" &amp; K644, "Ver Imagen")</f>
        <v/>
      </c>
      <c r="M644" t="inlineStr">
        <is>
          <t>Moda</t>
        </is>
      </c>
    </row>
    <row r="645">
      <c r="A645" t="n">
        <v>644</v>
      </c>
      <c r="B645" t="inlineStr">
        <is>
          <t>A-499__169</t>
        </is>
      </c>
      <c r="C645" s="1" t="n">
        <v>37.5119917491</v>
      </c>
      <c r="D645" s="1" t="n">
        <v>-7.26837119286</v>
      </c>
      <c r="E645" s="3" t="n">
        <v>2</v>
      </c>
      <c r="F645" s="2" t="n">
        <v>2</v>
      </c>
      <c r="G645" s="4" t="n">
        <v>2</v>
      </c>
      <c r="H645" s="13" t="n"/>
      <c r="I645" s="15" t="n"/>
      <c r="J645" s="19" t="n">
        <v>2</v>
      </c>
      <c r="K645" s="2" t="inlineStr">
        <is>
          <t>marker_790_794785.png</t>
        </is>
      </c>
      <c r="L645" s="11">
        <f>HYPERLINK("2\0\" &amp; K645, "Ver Imagen")</f>
        <v/>
      </c>
      <c r="M645" t="inlineStr">
        <is>
          <t>Moda</t>
        </is>
      </c>
    </row>
    <row r="646">
      <c r="A646" t="n">
        <v>645</v>
      </c>
      <c r="B646" t="inlineStr">
        <is>
          <t>A-499__170</t>
        </is>
      </c>
      <c r="C646" s="1" t="n">
        <v>37.5121795457</v>
      </c>
      <c r="D646" s="1" t="n">
        <v>-7.26844770879</v>
      </c>
      <c r="E646" s="3" t="n">
        <v>2</v>
      </c>
      <c r="F646" s="2" t="n">
        <v>2</v>
      </c>
      <c r="G646" s="4" t="n">
        <v>2</v>
      </c>
      <c r="H646" s="13" t="n"/>
      <c r="I646" s="15" t="n"/>
      <c r="J646" s="19" t="n">
        <v>2</v>
      </c>
      <c r="K646" s="2" t="inlineStr">
        <is>
          <t>marker_577_795495.png</t>
        </is>
      </c>
      <c r="L646" s="11">
        <f>HYPERLINK("2\0\" &amp; K646, "Ver Imagen")</f>
        <v/>
      </c>
      <c r="M646" t="inlineStr">
        <is>
          <t>Moda</t>
        </is>
      </c>
    </row>
    <row r="647">
      <c r="A647" t="n">
        <v>646</v>
      </c>
      <c r="B647" t="inlineStr">
        <is>
          <t>A-499__171</t>
        </is>
      </c>
      <c r="C647" s="1" t="n">
        <v>37.512420092</v>
      </c>
      <c r="D647" s="1" t="n">
        <v>-7.26854589283</v>
      </c>
      <c r="E647" s="3" t="n">
        <v>2</v>
      </c>
      <c r="F647" s="2" t="n">
        <v>2</v>
      </c>
      <c r="G647" s="4" t="n">
        <v>2</v>
      </c>
      <c r="H647" s="13" t="n"/>
      <c r="I647" s="15" t="n"/>
      <c r="J647" s="19" t="n">
        <v>2</v>
      </c>
      <c r="K647" s="2" t="inlineStr">
        <is>
          <t>marker_356_795509.png</t>
        </is>
      </c>
      <c r="L647" s="11">
        <f>HYPERLINK("2\0\" &amp; K647, "Ver Imagen")</f>
        <v/>
      </c>
      <c r="M647" t="inlineStr">
        <is>
          <t>Moda</t>
        </is>
      </c>
    </row>
    <row r="648">
      <c r="A648" t="n">
        <v>647</v>
      </c>
      <c r="B648" t="inlineStr">
        <is>
          <t>A-499__172</t>
        </is>
      </c>
      <c r="C648" s="1" t="n">
        <v>37.5125755509</v>
      </c>
      <c r="D648" s="1" t="n">
        <v>-7.2686095749</v>
      </c>
      <c r="E648" s="3" t="n">
        <v>2</v>
      </c>
      <c r="F648" s="2" t="n">
        <v>2</v>
      </c>
      <c r="G648" s="4" t="n">
        <v>2</v>
      </c>
      <c r="H648" s="13" t="n"/>
      <c r="I648" s="15" t="n"/>
      <c r="J648" s="19" t="n">
        <v>2</v>
      </c>
      <c r="K648" s="2" t="inlineStr">
        <is>
          <t>marker_466_795519.png</t>
        </is>
      </c>
      <c r="L648" s="11">
        <f>HYPERLINK("2\0\" &amp; K648, "Ver Imagen")</f>
        <v/>
      </c>
      <c r="M648" t="inlineStr">
        <is>
          <t>Moda</t>
        </is>
      </c>
    </row>
    <row r="649">
      <c r="A649" t="n">
        <v>648</v>
      </c>
      <c r="B649" t="inlineStr">
        <is>
          <t>A-499__173</t>
        </is>
      </c>
      <c r="C649" s="1" t="n">
        <v>37.5127809293</v>
      </c>
      <c r="D649" s="1" t="n">
        <v>-7.26869177148</v>
      </c>
      <c r="E649" s="3" t="n">
        <v>2</v>
      </c>
      <c r="F649" s="2" t="n">
        <v>2</v>
      </c>
      <c r="G649" s="4" t="n">
        <v>2</v>
      </c>
      <c r="H649" s="13" t="n"/>
      <c r="I649" s="15" t="n"/>
      <c r="J649" s="19" t="n">
        <v>2</v>
      </c>
      <c r="K649" s="2" t="inlineStr">
        <is>
          <t>marker_784_795532.png</t>
        </is>
      </c>
      <c r="L649" s="11">
        <f>HYPERLINK("2\0\" &amp; K649, "Ver Imagen")</f>
        <v/>
      </c>
      <c r="M649" t="inlineStr">
        <is>
          <t>Moda</t>
        </is>
      </c>
    </row>
    <row r="650">
      <c r="A650" t="n">
        <v>649</v>
      </c>
      <c r="B650" t="inlineStr">
        <is>
          <t>A-499__181</t>
        </is>
      </c>
      <c r="C650" s="1" t="n">
        <v>37.5143400048</v>
      </c>
      <c r="D650" s="1" t="n">
        <v>-7.26895624369</v>
      </c>
      <c r="E650" s="3" t="n">
        <v>2</v>
      </c>
      <c r="F650" s="2" t="n">
        <v>2</v>
      </c>
      <c r="G650" s="4" t="n">
        <v>2</v>
      </c>
      <c r="H650" s="13" t="n"/>
      <c r="I650" s="15" t="n"/>
      <c r="J650" s="19" t="n">
        <v>2</v>
      </c>
      <c r="K650" s="2" t="inlineStr">
        <is>
          <t>marker_531_795637.png</t>
        </is>
      </c>
      <c r="L650" s="11">
        <f>HYPERLINK("2\0\" &amp; K650, "Ver Imagen")</f>
        <v/>
      </c>
      <c r="M650" t="inlineStr">
        <is>
          <t>Moda</t>
        </is>
      </c>
    </row>
    <row r="651">
      <c r="A651" t="n">
        <v>650</v>
      </c>
      <c r="B651" t="inlineStr">
        <is>
          <t>A-499__182</t>
        </is>
      </c>
      <c r="C651" s="1" t="n">
        <v>37.5145454068</v>
      </c>
      <c r="D651" s="1" t="n">
        <v>-7.26890357808</v>
      </c>
      <c r="E651" s="3" t="n">
        <v>2</v>
      </c>
      <c r="F651" s="2" t="n">
        <v>2</v>
      </c>
      <c r="G651" s="4" t="n">
        <v>2</v>
      </c>
      <c r="H651" s="13" t="n"/>
      <c r="I651" s="15" t="n"/>
      <c r="J651" s="19" t="n">
        <v>2</v>
      </c>
      <c r="K651" s="2" t="inlineStr">
        <is>
          <t>marker_995_795652.png</t>
        </is>
      </c>
      <c r="L651" s="11">
        <f>HYPERLINK("2\0\" &amp; K651, "Ver Imagen")</f>
        <v/>
      </c>
      <c r="M651" t="inlineStr">
        <is>
          <t>Moda</t>
        </is>
      </c>
    </row>
    <row r="652">
      <c r="A652" t="n">
        <v>651</v>
      </c>
      <c r="B652" t="inlineStr">
        <is>
          <t>A-499__184</t>
        </is>
      </c>
      <c r="C652" s="1" t="n">
        <v>37.514916668</v>
      </c>
      <c r="D652" s="1" t="n">
        <v>-7.26875722137</v>
      </c>
      <c r="E652" s="3" t="n">
        <v>2</v>
      </c>
      <c r="F652" s="2" t="n">
        <v>2</v>
      </c>
      <c r="G652" s="4" t="n">
        <v>2</v>
      </c>
      <c r="H652" s="13" t="n"/>
      <c r="I652" s="15" t="n"/>
      <c r="J652" s="19" t="n">
        <v>2</v>
      </c>
      <c r="K652" s="2" t="inlineStr">
        <is>
          <t>marker_771_795684.png</t>
        </is>
      </c>
      <c r="L652" s="11">
        <f>HYPERLINK("2\0\" &amp; K652, "Ver Imagen")</f>
        <v/>
      </c>
      <c r="M652" t="inlineStr">
        <is>
          <t>Moda</t>
        </is>
      </c>
    </row>
    <row r="653">
      <c r="A653" t="n">
        <v>652</v>
      </c>
      <c r="B653" t="inlineStr">
        <is>
          <t>A-499__185</t>
        </is>
      </c>
      <c r="C653" s="1" t="n">
        <v>37.5151133491</v>
      </c>
      <c r="D653" s="1" t="n">
        <v>-7.26864770044</v>
      </c>
      <c r="E653" s="3" t="n">
        <v>2</v>
      </c>
      <c r="F653" s="2" t="n">
        <v>2</v>
      </c>
      <c r="G653" s="4" t="n">
        <v>2</v>
      </c>
      <c r="H653" s="13" t="n"/>
      <c r="I653" s="15" t="n"/>
      <c r="J653" s="19" t="n">
        <v>2</v>
      </c>
      <c r="K653" s="2" t="inlineStr">
        <is>
          <t>marker_708_795699.png</t>
        </is>
      </c>
      <c r="L653" s="11">
        <f>HYPERLINK("2\0\" &amp; K653, "Ver Imagen")</f>
        <v/>
      </c>
      <c r="M653" t="inlineStr">
        <is>
          <t>Moda</t>
        </is>
      </c>
    </row>
    <row r="654">
      <c r="A654" t="n">
        <v>653</v>
      </c>
      <c r="B654" t="inlineStr">
        <is>
          <t>A-499__189</t>
        </is>
      </c>
      <c r="C654" s="1" t="n">
        <v>37.5157602261</v>
      </c>
      <c r="D654" s="1" t="n">
        <v>-7.26807165092</v>
      </c>
      <c r="E654" s="3" t="n">
        <v>2</v>
      </c>
      <c r="F654" s="2" t="n">
        <v>2</v>
      </c>
      <c r="G654" s="4" t="n">
        <v>2</v>
      </c>
      <c r="H654" s="13" t="n"/>
      <c r="I654" s="15" t="n"/>
      <c r="J654" s="19" t="n">
        <v>2</v>
      </c>
      <c r="K654" s="2" t="inlineStr">
        <is>
          <t>marker_382_795795.png</t>
        </is>
      </c>
      <c r="L654" s="11">
        <f>HYPERLINK("2\0\" &amp; K654, "Ver Imagen")</f>
        <v/>
      </c>
      <c r="M654" t="inlineStr">
        <is>
          <t>Moda</t>
        </is>
      </c>
    </row>
    <row r="655">
      <c r="A655" t="n">
        <v>654</v>
      </c>
      <c r="B655" t="inlineStr">
        <is>
          <t>A-499__194</t>
        </is>
      </c>
      <c r="C655" s="1" t="n">
        <v>37.516376912</v>
      </c>
      <c r="D655" s="1" t="n">
        <v>-7.26707841585</v>
      </c>
      <c r="E655" s="3" t="n">
        <v>2</v>
      </c>
      <c r="F655" s="2" t="n">
        <v>2</v>
      </c>
      <c r="G655" s="4" t="n">
        <v>2</v>
      </c>
      <c r="H655" s="13" t="n"/>
      <c r="I655" s="15" t="n"/>
      <c r="J655" s="19" t="n">
        <v>2</v>
      </c>
      <c r="K655" s="2" t="inlineStr">
        <is>
          <t>marker_543_795869.png</t>
        </is>
      </c>
      <c r="L655" s="11">
        <f>HYPERLINK("2\0\" &amp; K655, "Ver Imagen")</f>
        <v/>
      </c>
      <c r="M655" t="inlineStr">
        <is>
          <t>Moda</t>
        </is>
      </c>
    </row>
    <row r="656">
      <c r="A656" t="n">
        <v>655</v>
      </c>
      <c r="B656" t="inlineStr">
        <is>
          <t>A-499__195</t>
        </is>
      </c>
      <c r="C656" s="1" t="n">
        <v>37.5164866211</v>
      </c>
      <c r="D656" s="1" t="n">
        <v>-7.26686445587</v>
      </c>
      <c r="E656" s="3" t="n">
        <v>2</v>
      </c>
      <c r="F656" s="2" t="n">
        <v>2</v>
      </c>
      <c r="G656" s="4" t="n">
        <v>2</v>
      </c>
      <c r="H656" s="13" t="n"/>
      <c r="I656" s="15" t="n"/>
      <c r="J656" s="19" t="n">
        <v>2</v>
      </c>
      <c r="K656" s="2" t="inlineStr">
        <is>
          <t>marker_983_795888.png</t>
        </is>
      </c>
      <c r="L656" s="11">
        <f>HYPERLINK("2\0\" &amp; K656, "Ver Imagen")</f>
        <v/>
      </c>
      <c r="M656" t="inlineStr">
        <is>
          <t>Moda</t>
        </is>
      </c>
    </row>
    <row r="657">
      <c r="A657" t="n">
        <v>656</v>
      </c>
      <c r="B657" t="inlineStr">
        <is>
          <t>A-499__199</t>
        </is>
      </c>
      <c r="C657" s="1" t="n">
        <v>37.5169211377</v>
      </c>
      <c r="D657" s="1" t="n">
        <v>-7.26601858456</v>
      </c>
      <c r="E657" s="3" t="n">
        <v>2</v>
      </c>
      <c r="F657" s="2" t="n">
        <v>2</v>
      </c>
      <c r="G657" s="4" t="n">
        <v>2</v>
      </c>
      <c r="H657" s="13" t="n"/>
      <c r="I657" s="15" t="n"/>
      <c r="J657" s="19" t="n">
        <v>2</v>
      </c>
      <c r="K657" s="2" t="inlineStr">
        <is>
          <t>marker_893_796072.png</t>
        </is>
      </c>
      <c r="L657" s="11">
        <f>HYPERLINK("2\0\" &amp; K657, "Ver Imagen")</f>
        <v/>
      </c>
      <c r="M657" t="inlineStr">
        <is>
          <t>Moda</t>
        </is>
      </c>
    </row>
    <row r="658">
      <c r="A658" t="n">
        <v>657</v>
      </c>
      <c r="B658" t="inlineStr">
        <is>
          <t>A-499__200</t>
        </is>
      </c>
      <c r="C658" s="1" t="n">
        <v>37.5170445768</v>
      </c>
      <c r="D658" s="1" t="n">
        <v>-7.26577653348</v>
      </c>
      <c r="E658" s="3" t="n">
        <v>2</v>
      </c>
      <c r="F658" s="2" t="n">
        <v>2</v>
      </c>
      <c r="G658" s="4" t="n">
        <v>2</v>
      </c>
      <c r="H658" s="13" t="n"/>
      <c r="I658" s="15" t="n"/>
      <c r="J658" s="19" t="n">
        <v>2</v>
      </c>
      <c r="K658" s="2" t="inlineStr">
        <is>
          <t>marker_152_796087.png</t>
        </is>
      </c>
      <c r="L658" s="11">
        <f>HYPERLINK("2\0\" &amp; K658, "Ver Imagen")</f>
        <v/>
      </c>
      <c r="M658" t="inlineStr">
        <is>
          <t>Moda</t>
        </is>
      </c>
    </row>
    <row r="659">
      <c r="A659" t="n">
        <v>658</v>
      </c>
      <c r="B659" t="inlineStr">
        <is>
          <t>A-499__207</t>
        </is>
      </c>
      <c r="C659" s="1" t="n">
        <v>37.5177996431</v>
      </c>
      <c r="D659" s="1" t="n">
        <v>-7.26429463727</v>
      </c>
      <c r="E659" s="3" t="n">
        <v>2</v>
      </c>
      <c r="F659" s="2" t="n">
        <v>2</v>
      </c>
      <c r="G659" s="4" t="n">
        <v>2</v>
      </c>
      <c r="H659" s="13" t="n"/>
      <c r="I659" s="15" t="n"/>
      <c r="J659" s="19" t="n">
        <v>2</v>
      </c>
      <c r="K659" s="2" t="inlineStr">
        <is>
          <t>marker_394_796274.png</t>
        </is>
      </c>
      <c r="L659" s="11">
        <f>HYPERLINK("2\0\" &amp; K659, "Ver Imagen")</f>
        <v/>
      </c>
      <c r="M659" t="inlineStr">
        <is>
          <t>Moda</t>
        </is>
      </c>
    </row>
    <row r="660">
      <c r="A660" t="n">
        <v>659</v>
      </c>
      <c r="B660" t="inlineStr">
        <is>
          <t>A-499__208</t>
        </is>
      </c>
      <c r="C660" s="1" t="n">
        <v>37.5179166628</v>
      </c>
      <c r="D660" s="1" t="n">
        <v>-7.26406530048</v>
      </c>
      <c r="E660" s="3" t="n">
        <v>2</v>
      </c>
      <c r="F660" s="2" t="n">
        <v>2</v>
      </c>
      <c r="G660" s="4" t="n">
        <v>2</v>
      </c>
      <c r="H660" s="13" t="n"/>
      <c r="I660" s="15" t="n"/>
      <c r="J660" s="19" t="n">
        <v>2</v>
      </c>
      <c r="K660" s="2" t="inlineStr">
        <is>
          <t>marker_160_796286.png</t>
        </is>
      </c>
      <c r="L660" s="11">
        <f>HYPERLINK("2\0\" &amp; K660, "Ver Imagen")</f>
        <v/>
      </c>
      <c r="M660" t="inlineStr">
        <is>
          <t>Moda</t>
        </is>
      </c>
    </row>
    <row r="661">
      <c r="A661" t="n">
        <v>660</v>
      </c>
      <c r="B661" t="inlineStr">
        <is>
          <t>A-499__210</t>
        </is>
      </c>
      <c r="C661" s="1" t="n">
        <v>37.5181209063</v>
      </c>
      <c r="D661" s="1" t="n">
        <v>-7.26366496325</v>
      </c>
      <c r="E661" s="3" t="n">
        <v>2</v>
      </c>
      <c r="F661" s="2" t="n">
        <v>2</v>
      </c>
      <c r="G661" s="4" t="n">
        <v>2</v>
      </c>
      <c r="H661" s="13" t="n"/>
      <c r="I661" s="15" t="n"/>
      <c r="J661" s="19" t="n">
        <v>2</v>
      </c>
      <c r="K661" s="2" t="inlineStr">
        <is>
          <t>marker_514_796310.png</t>
        </is>
      </c>
      <c r="L661" s="11">
        <f>HYPERLINK("2\0\" &amp; K661, "Ver Imagen")</f>
        <v/>
      </c>
      <c r="M661" t="inlineStr">
        <is>
          <t>Moda</t>
        </is>
      </c>
    </row>
    <row r="662">
      <c r="A662" t="n">
        <v>661</v>
      </c>
      <c r="B662" t="inlineStr">
        <is>
          <t>A-499__211</t>
        </is>
      </c>
      <c r="C662" s="1" t="n">
        <v>37.5182366237</v>
      </c>
      <c r="D662" s="1" t="n">
        <v>-7.26343809542</v>
      </c>
      <c r="E662" s="3" t="n">
        <v>2</v>
      </c>
      <c r="F662" s="2" t="n">
        <v>2</v>
      </c>
      <c r="G662" s="4" t="n">
        <v>2</v>
      </c>
      <c r="H662" s="13" t="n"/>
      <c r="I662" s="15" t="n"/>
      <c r="J662" s="19" t="n">
        <v>2</v>
      </c>
      <c r="K662" s="2" t="inlineStr">
        <is>
          <t>marker_642_796322.png</t>
        </is>
      </c>
      <c r="L662" s="11">
        <f>HYPERLINK("2\0\" &amp; K662, "Ver Imagen")</f>
        <v/>
      </c>
      <c r="M662" t="inlineStr">
        <is>
          <t>Moda</t>
        </is>
      </c>
    </row>
    <row r="663">
      <c r="A663" t="n">
        <v>662</v>
      </c>
      <c r="B663" t="inlineStr">
        <is>
          <t>A-499__212</t>
        </is>
      </c>
      <c r="C663" s="1" t="n">
        <v>37.5183439615</v>
      </c>
      <c r="D663" s="1" t="n">
        <v>-7.26322806502</v>
      </c>
      <c r="E663" s="3" t="n">
        <v>2</v>
      </c>
      <c r="F663" s="2" t="n">
        <v>2</v>
      </c>
      <c r="G663" s="4" t="n">
        <v>2</v>
      </c>
      <c r="H663" s="13" t="n"/>
      <c r="I663" s="15" t="n"/>
      <c r="J663" s="19" t="n">
        <v>2</v>
      </c>
      <c r="K663" s="2" t="inlineStr">
        <is>
          <t>marker_617_796336.png</t>
        </is>
      </c>
      <c r="L663" s="11">
        <f>HYPERLINK("2\0\" &amp; K663, "Ver Imagen")</f>
        <v/>
      </c>
      <c r="M663" t="inlineStr">
        <is>
          <t>Moda</t>
        </is>
      </c>
    </row>
    <row r="664">
      <c r="A664" t="n">
        <v>663</v>
      </c>
      <c r="B664" t="inlineStr">
        <is>
          <t>A-499__215</t>
        </is>
      </c>
      <c r="C664" s="1" t="n">
        <v>37.518728689</v>
      </c>
      <c r="D664" s="1" t="n">
        <v>-7.26256454553</v>
      </c>
      <c r="E664" s="3" t="n">
        <v>2</v>
      </c>
      <c r="F664" s="2" t="n">
        <v>2</v>
      </c>
      <c r="G664" s="4" t="n">
        <v>2</v>
      </c>
      <c r="H664" s="13" t="n"/>
      <c r="I664" s="15" t="n"/>
      <c r="J664" s="19" t="n">
        <v>2</v>
      </c>
      <c r="K664" s="2" t="inlineStr">
        <is>
          <t>marker_986_796410.png</t>
        </is>
      </c>
      <c r="L664" s="11">
        <f>HYPERLINK("2\0\" &amp; K664, "Ver Imagen")</f>
        <v/>
      </c>
      <c r="M664" t="inlineStr">
        <is>
          <t>Moda</t>
        </is>
      </c>
    </row>
    <row r="665">
      <c r="A665" t="n">
        <v>664</v>
      </c>
      <c r="B665" t="inlineStr">
        <is>
          <t>A-499__217</t>
        </is>
      </c>
      <c r="C665" s="1" t="n">
        <v>37.5189751547</v>
      </c>
      <c r="D665" s="1" t="n">
        <v>-7.26225077516</v>
      </c>
      <c r="E665" s="3" t="n">
        <v>2</v>
      </c>
      <c r="F665" s="2" t="n">
        <v>2</v>
      </c>
      <c r="G665" s="4" t="n">
        <v>2</v>
      </c>
      <c r="H665" s="13" t="n"/>
      <c r="I665" s="15" t="n"/>
      <c r="J665" s="19" t="n">
        <v>2</v>
      </c>
      <c r="K665" s="2" t="inlineStr">
        <is>
          <t>marker_140_796435.png</t>
        </is>
      </c>
      <c r="L665" s="11">
        <f>HYPERLINK("2\0\" &amp; K665, "Ver Imagen")</f>
        <v/>
      </c>
      <c r="M665" t="inlineStr">
        <is>
          <t>Moda</t>
        </is>
      </c>
    </row>
    <row r="666">
      <c r="A666" t="n">
        <v>665</v>
      </c>
      <c r="B666" t="inlineStr">
        <is>
          <t>A-499__219</t>
        </is>
      </c>
      <c r="C666" s="1" t="n">
        <v>37.5192731976</v>
      </c>
      <c r="D666" s="1" t="n">
        <v>-7.26193870839</v>
      </c>
      <c r="E666" s="3" t="n">
        <v>2</v>
      </c>
      <c r="F666" s="2" t="n">
        <v>2</v>
      </c>
      <c r="G666" s="4" t="n">
        <v>2</v>
      </c>
      <c r="H666" s="13" t="n"/>
      <c r="I666" s="15" t="n"/>
      <c r="J666" s="19" t="n">
        <v>2</v>
      </c>
      <c r="K666" s="2" t="inlineStr">
        <is>
          <t>marker_375_796457.png</t>
        </is>
      </c>
      <c r="L666" s="11">
        <f>HYPERLINK("2\0\" &amp; K666, "Ver Imagen")</f>
        <v/>
      </c>
      <c r="M666" t="inlineStr">
        <is>
          <t>Moda</t>
        </is>
      </c>
    </row>
    <row r="667">
      <c r="A667" t="n">
        <v>666</v>
      </c>
      <c r="B667" t="inlineStr">
        <is>
          <t>A-499__221</t>
        </is>
      </c>
      <c r="C667" s="1" t="n">
        <v>37.5196076586</v>
      </c>
      <c r="D667" s="1" t="n">
        <v>-7.26162077665</v>
      </c>
      <c r="E667" s="3" t="n">
        <v>2</v>
      </c>
      <c r="F667" s="2" t="n">
        <v>2</v>
      </c>
      <c r="G667" s="4" t="n">
        <v>2</v>
      </c>
      <c r="H667" s="13" t="n"/>
      <c r="I667" s="15" t="n"/>
      <c r="J667" s="19" t="n">
        <v>2</v>
      </c>
      <c r="K667" s="2" t="inlineStr">
        <is>
          <t>marker_124_796482.png</t>
        </is>
      </c>
      <c r="L667" s="11">
        <f>HYPERLINK("2\0\" &amp; K667, "Ver Imagen")</f>
        <v/>
      </c>
      <c r="M667" t="inlineStr">
        <is>
          <t>Moda</t>
        </is>
      </c>
    </row>
    <row r="668">
      <c r="A668" t="n">
        <v>667</v>
      </c>
      <c r="B668" t="inlineStr">
        <is>
          <t>A-499__222</t>
        </is>
      </c>
      <c r="C668" s="1" t="n">
        <v>37.5197704704</v>
      </c>
      <c r="D668" s="1" t="n">
        <v>-7.26146854813</v>
      </c>
      <c r="E668" s="3" t="n">
        <v>2</v>
      </c>
      <c r="F668" s="2" t="n">
        <v>2</v>
      </c>
      <c r="G668" s="4" t="n">
        <v>2</v>
      </c>
      <c r="H668" s="13" t="n"/>
      <c r="I668" s="15" t="n"/>
      <c r="J668" s="19" t="n">
        <v>2</v>
      </c>
      <c r="K668" s="2" t="inlineStr">
        <is>
          <t>marker_708_796501.png</t>
        </is>
      </c>
      <c r="L668" s="11">
        <f>HYPERLINK("2\0\" &amp; K668, "Ver Imagen")</f>
        <v/>
      </c>
      <c r="M668" t="inlineStr">
        <is>
          <t>Moda</t>
        </is>
      </c>
    </row>
    <row r="669">
      <c r="A669" t="n">
        <v>668</v>
      </c>
      <c r="B669" t="inlineStr">
        <is>
          <t>A-499__223</t>
        </is>
      </c>
      <c r="C669" s="1" t="n">
        <v>37.5199325771</v>
      </c>
      <c r="D669" s="1" t="n">
        <v>-7.26131770848</v>
      </c>
      <c r="E669" s="3" t="n">
        <v>2</v>
      </c>
      <c r="F669" s="2" t="n">
        <v>2</v>
      </c>
      <c r="G669" s="4" t="n">
        <v>2</v>
      </c>
      <c r="H669" s="13" t="n"/>
      <c r="I669" s="15" t="n"/>
      <c r="J669" s="19" t="n">
        <v>2</v>
      </c>
      <c r="K669" s="2" t="inlineStr">
        <is>
          <t>marker_300_796514.png</t>
        </is>
      </c>
      <c r="L669" s="11">
        <f>HYPERLINK("2\0\" &amp; K669, "Ver Imagen")</f>
        <v/>
      </c>
      <c r="M669" t="inlineStr">
        <is>
          <t>Moda</t>
        </is>
      </c>
    </row>
    <row r="670">
      <c r="A670" t="n">
        <v>669</v>
      </c>
      <c r="B670" t="inlineStr">
        <is>
          <t>A-499__227</t>
        </is>
      </c>
      <c r="C670" s="1" t="n">
        <v>37.5205790787</v>
      </c>
      <c r="D670" s="1" t="n">
        <v>-7.26071161544</v>
      </c>
      <c r="E670" s="3" t="n">
        <v>2</v>
      </c>
      <c r="F670" s="2" t="n">
        <v>2</v>
      </c>
      <c r="G670" s="4" t="n">
        <v>2</v>
      </c>
      <c r="H670" s="13" t="n"/>
      <c r="I670" s="15" t="n"/>
      <c r="J670" s="19" t="n">
        <v>2</v>
      </c>
      <c r="K670" s="2" t="inlineStr">
        <is>
          <t>marker_133_796573.png</t>
        </is>
      </c>
      <c r="L670" s="11">
        <f>HYPERLINK("2\0\" &amp; K670, "Ver Imagen")</f>
        <v/>
      </c>
      <c r="M670" t="inlineStr">
        <is>
          <t>Moda</t>
        </is>
      </c>
    </row>
    <row r="671">
      <c r="A671" t="n">
        <v>670</v>
      </c>
      <c r="B671" t="inlineStr">
        <is>
          <t>A-499__229</t>
        </is>
      </c>
      <c r="C671" s="1" t="n">
        <v>37.5208983318</v>
      </c>
      <c r="D671" s="1" t="n">
        <v>-7.26041083498</v>
      </c>
      <c r="E671" s="3" t="n">
        <v>2</v>
      </c>
      <c r="F671" s="2" t="n">
        <v>2</v>
      </c>
      <c r="G671" s="4" t="n">
        <v>2</v>
      </c>
      <c r="H671" s="13" t="n"/>
      <c r="I671" s="15" t="n"/>
      <c r="J671" s="19" t="n">
        <v>2</v>
      </c>
      <c r="K671" s="2" t="inlineStr">
        <is>
          <t>marker_859_796604.png</t>
        </is>
      </c>
      <c r="L671" s="11">
        <f>HYPERLINK("2\0\" &amp; K671, "Ver Imagen")</f>
        <v/>
      </c>
      <c r="M671" t="inlineStr">
        <is>
          <t>Moda</t>
        </is>
      </c>
    </row>
    <row r="672">
      <c r="A672" t="n">
        <v>671</v>
      </c>
      <c r="B672" t="inlineStr">
        <is>
          <t>A-499__234</t>
        </is>
      </c>
      <c r="C672" s="1" t="n">
        <v>37.521749676</v>
      </c>
      <c r="D672" s="1" t="n">
        <v>-7.25970662721</v>
      </c>
      <c r="E672" s="3" t="n">
        <v>2</v>
      </c>
      <c r="F672" s="2" t="n">
        <v>2</v>
      </c>
      <c r="G672" s="4" t="n">
        <v>2</v>
      </c>
      <c r="H672" s="13" t="n"/>
      <c r="I672" s="15" t="n"/>
      <c r="J672" s="19" t="n">
        <v>2</v>
      </c>
      <c r="K672" s="2" t="inlineStr">
        <is>
          <t>marker_167_796690.png</t>
        </is>
      </c>
      <c r="L672" s="11">
        <f>HYPERLINK("2\0\" &amp; K672, "Ver Imagen")</f>
        <v/>
      </c>
      <c r="M672" t="inlineStr">
        <is>
          <t>Moda</t>
        </is>
      </c>
    </row>
    <row r="673">
      <c r="A673" t="n">
        <v>672</v>
      </c>
      <c r="B673" t="inlineStr">
        <is>
          <t>A-499__239</t>
        </is>
      </c>
      <c r="C673" s="1" t="n">
        <v>37.5227111286</v>
      </c>
      <c r="D673" s="1" t="n">
        <v>-7.25926665947</v>
      </c>
      <c r="E673" s="3" t="n">
        <v>2</v>
      </c>
      <c r="F673" s="2" t="n">
        <v>2</v>
      </c>
      <c r="G673" s="4" t="n">
        <v>2</v>
      </c>
      <c r="H673" s="13" t="n"/>
      <c r="I673" s="15" t="n"/>
      <c r="J673" s="19" t="n">
        <v>2</v>
      </c>
      <c r="K673" s="2" t="inlineStr">
        <is>
          <t>marker_432_796789.png</t>
        </is>
      </c>
      <c r="L673" s="11">
        <f>HYPERLINK("2\0\" &amp; K673, "Ver Imagen")</f>
        <v/>
      </c>
      <c r="M673" t="inlineStr">
        <is>
          <t>Moda</t>
        </is>
      </c>
    </row>
    <row r="674">
      <c r="A674" t="n">
        <v>673</v>
      </c>
      <c r="B674" t="inlineStr">
        <is>
          <t>A-499__244</t>
        </is>
      </c>
      <c r="C674" s="1" t="n">
        <v>37.5236614443</v>
      </c>
      <c r="D674" s="1" t="n">
        <v>-7.25882385258</v>
      </c>
      <c r="E674" s="3" t="n">
        <v>2</v>
      </c>
      <c r="F674" s="2" t="n">
        <v>2</v>
      </c>
      <c r="G674" s="4" t="n">
        <v>2</v>
      </c>
      <c r="H674" s="13" t="n"/>
      <c r="I674" s="15" t="n"/>
      <c r="J674" s="19" t="n">
        <v>2</v>
      </c>
      <c r="K674" s="2" t="inlineStr">
        <is>
          <t>marker_167_796915.png</t>
        </is>
      </c>
      <c r="L674" s="11">
        <f>HYPERLINK("2\0\" &amp; K674, "Ver Imagen")</f>
        <v/>
      </c>
      <c r="M674" t="inlineStr">
        <is>
          <t>Moda</t>
        </is>
      </c>
    </row>
    <row r="675">
      <c r="A675" t="n">
        <v>674</v>
      </c>
      <c r="B675" t="inlineStr">
        <is>
          <t>A-497_2C__50</t>
        </is>
      </c>
      <c r="C675" s="1" t="n">
        <v>37.2679839597</v>
      </c>
      <c r="D675" s="1" t="n">
        <v>-6.96963073551</v>
      </c>
      <c r="E675" s="3" t="n">
        <v>2</v>
      </c>
      <c r="F675" s="2" t="n">
        <v>2</v>
      </c>
      <c r="G675" s="4" t="n">
        <v>2</v>
      </c>
      <c r="H675" s="13" t="n"/>
      <c r="I675" s="15" t="n"/>
      <c r="J675" s="19" t="n">
        <v>2</v>
      </c>
      <c r="K675" s="2" t="inlineStr">
        <is>
          <t>marker_630_654754.png</t>
        </is>
      </c>
      <c r="L675" s="11">
        <f>HYPERLINK("2\0\" &amp; K675, "Ver Imagen")</f>
        <v/>
      </c>
      <c r="M675" t="inlineStr">
        <is>
          <t>Moda</t>
        </is>
      </c>
    </row>
    <row r="676">
      <c r="A676" t="n">
        <v>675</v>
      </c>
      <c r="B676" t="inlineStr">
        <is>
          <t>A-497_2C__53</t>
        </is>
      </c>
      <c r="C676" s="1" t="n">
        <v>37.2680737582</v>
      </c>
      <c r="D676" s="1" t="n">
        <v>-6.97038916434</v>
      </c>
      <c r="E676" s="3" t="n">
        <v>2</v>
      </c>
      <c r="F676" s="2" t="n">
        <v>2</v>
      </c>
      <c r="G676" s="4" t="n">
        <v>2</v>
      </c>
      <c r="H676" s="13" t="n"/>
      <c r="I676" s="15" t="n"/>
      <c r="J676" s="19" t="n">
        <v>2</v>
      </c>
      <c r="K676" s="2" t="inlineStr">
        <is>
          <t>marker_752_654783.png</t>
        </is>
      </c>
      <c r="L676" s="11">
        <f>HYPERLINK("2\0\" &amp; K676, "Ver Imagen")</f>
        <v/>
      </c>
      <c r="M676" t="inlineStr">
        <is>
          <t>Moda</t>
        </is>
      </c>
    </row>
    <row r="677">
      <c r="A677" t="n">
        <v>676</v>
      </c>
      <c r="B677" t="inlineStr">
        <is>
          <t>A-499__248</t>
        </is>
      </c>
      <c r="C677" s="1" t="n">
        <v>37.5243008498</v>
      </c>
      <c r="D677" s="1" t="n">
        <v>-7.25823804516</v>
      </c>
      <c r="E677" s="3" t="n">
        <v>2</v>
      </c>
      <c r="F677" s="2" t="n">
        <v>2</v>
      </c>
      <c r="G677" s="4" t="n">
        <v>2</v>
      </c>
      <c r="H677" s="13" t="n"/>
      <c r="I677" s="15" t="n"/>
      <c r="J677" s="19" t="n">
        <v>2</v>
      </c>
      <c r="K677" s="2" t="inlineStr">
        <is>
          <t>marker_495_796973.png</t>
        </is>
      </c>
      <c r="L677" s="11">
        <f>HYPERLINK("2\0\" &amp; K677, "Ver Imagen")</f>
        <v/>
      </c>
      <c r="M677" t="inlineStr">
        <is>
          <t>Moda</t>
        </is>
      </c>
    </row>
    <row r="678">
      <c r="A678" t="n">
        <v>677</v>
      </c>
      <c r="B678" t="inlineStr">
        <is>
          <t>A-499__249</t>
        </is>
      </c>
      <c r="C678" s="1" t="n">
        <v>37.5244346418</v>
      </c>
      <c r="D678" s="1" t="n">
        <v>-7.25806961701</v>
      </c>
      <c r="E678" s="3" t="n">
        <v>2</v>
      </c>
      <c r="F678" s="2" t="n">
        <v>2</v>
      </c>
      <c r="G678" s="4" t="n">
        <v>2</v>
      </c>
      <c r="H678" s="13" t="n"/>
      <c r="I678" s="15" t="n"/>
      <c r="J678" s="19" t="n">
        <v>2</v>
      </c>
      <c r="K678" s="2" t="inlineStr">
        <is>
          <t>marker_441_796984.png</t>
        </is>
      </c>
      <c r="L678" s="11">
        <f>HYPERLINK("2\0\" &amp; K678, "Ver Imagen")</f>
        <v/>
      </c>
      <c r="M678" t="inlineStr">
        <is>
          <t>Moda</t>
        </is>
      </c>
    </row>
    <row r="679">
      <c r="A679" t="n">
        <v>678</v>
      </c>
      <c r="B679" t="inlineStr">
        <is>
          <t>A-499__250</t>
        </is>
      </c>
      <c r="C679" s="1" t="n">
        <v>37.5245814065</v>
      </c>
      <c r="D679" s="1" t="n">
        <v>-7.25786478436</v>
      </c>
      <c r="E679" s="3" t="n">
        <v>2</v>
      </c>
      <c r="F679" s="2" t="n">
        <v>2</v>
      </c>
      <c r="G679" s="4" t="n">
        <v>2</v>
      </c>
      <c r="H679" s="13" t="n"/>
      <c r="I679" s="15" t="n"/>
      <c r="J679" s="19" t="n">
        <v>2</v>
      </c>
      <c r="K679" s="2" t="inlineStr">
        <is>
          <t>marker_813_796999.png</t>
        </is>
      </c>
      <c r="L679" s="11">
        <f>HYPERLINK("2\0\" &amp; K679, "Ver Imagen")</f>
        <v/>
      </c>
      <c r="M679" t="inlineStr">
        <is>
          <t>Moda</t>
        </is>
      </c>
    </row>
    <row r="680">
      <c r="A680" t="n">
        <v>679</v>
      </c>
      <c r="B680" t="inlineStr">
        <is>
          <t>A-499__251</t>
        </is>
      </c>
      <c r="C680" s="1" t="n">
        <v>37.5247135273</v>
      </c>
      <c r="D680" s="1" t="n">
        <v>-7.25766581785</v>
      </c>
      <c r="E680" s="3" t="n">
        <v>2</v>
      </c>
      <c r="F680" s="2" t="n">
        <v>2</v>
      </c>
      <c r="G680" s="4" t="n">
        <v>2</v>
      </c>
      <c r="H680" s="13" t="n"/>
      <c r="I680" s="15" t="n"/>
      <c r="J680" s="19" t="n">
        <v>2</v>
      </c>
      <c r="K680" s="2" t="inlineStr">
        <is>
          <t>marker_257_797020.png</t>
        </is>
      </c>
      <c r="L680" s="11">
        <f>HYPERLINK("2\0\" &amp; K680, "Ver Imagen")</f>
        <v/>
      </c>
      <c r="M680" t="inlineStr">
        <is>
          <t>Moda</t>
        </is>
      </c>
    </row>
    <row r="681">
      <c r="A681" t="n">
        <v>680</v>
      </c>
      <c r="B681" t="inlineStr">
        <is>
          <t>A-499__253</t>
        </is>
      </c>
      <c r="C681" s="1" t="n">
        <v>37.5249666358</v>
      </c>
      <c r="D681" s="1" t="n">
        <v>-7.25726746492</v>
      </c>
      <c r="E681" s="3" t="n">
        <v>2</v>
      </c>
      <c r="F681" s="2" t="n">
        <v>2</v>
      </c>
      <c r="G681" s="4" t="n">
        <v>2</v>
      </c>
      <c r="H681" s="13" t="n"/>
      <c r="I681" s="15" t="n"/>
      <c r="J681" s="19" t="n">
        <v>2</v>
      </c>
      <c r="K681" s="2" t="inlineStr">
        <is>
          <t>marker_408_797040.png</t>
        </is>
      </c>
      <c r="L681" s="11">
        <f>HYPERLINK("2\0\" &amp; K681, "Ver Imagen")</f>
        <v/>
      </c>
      <c r="M681" t="inlineStr">
        <is>
          <t>Moda</t>
        </is>
      </c>
    </row>
    <row r="682">
      <c r="A682" t="n">
        <v>681</v>
      </c>
      <c r="B682" t="inlineStr">
        <is>
          <t>A-499__254</t>
        </is>
      </c>
      <c r="C682" s="1" t="n">
        <v>37.5250835577</v>
      </c>
      <c r="D682" s="1" t="n">
        <v>-7.25708062021</v>
      </c>
      <c r="E682" s="3" t="n">
        <v>2</v>
      </c>
      <c r="F682" s="2" t="n">
        <v>2</v>
      </c>
      <c r="G682" s="4" t="n">
        <v>2</v>
      </c>
      <c r="H682" s="13" t="n"/>
      <c r="I682" s="15" t="n"/>
      <c r="J682" s="19" t="n">
        <v>2</v>
      </c>
      <c r="K682" s="2" t="inlineStr">
        <is>
          <t>marker_463_797051.png</t>
        </is>
      </c>
      <c r="L682" s="11">
        <f>HYPERLINK("2\0\" &amp; K682, "Ver Imagen")</f>
        <v/>
      </c>
      <c r="M682" t="inlineStr">
        <is>
          <t>Moda</t>
        </is>
      </c>
    </row>
    <row r="683">
      <c r="A683" t="n">
        <v>682</v>
      </c>
      <c r="B683" t="inlineStr">
        <is>
          <t>A-499__255</t>
        </is>
      </c>
      <c r="C683" s="1" t="n">
        <v>37.5252126792</v>
      </c>
      <c r="D683" s="1" t="n">
        <v>-7.25687420426</v>
      </c>
      <c r="E683" s="3" t="n">
        <v>2</v>
      </c>
      <c r="F683" s="2" t="n">
        <v>2</v>
      </c>
      <c r="G683" s="4" t="n">
        <v>2</v>
      </c>
      <c r="H683" s="13" t="n"/>
      <c r="I683" s="15" t="n"/>
      <c r="J683" s="19" t="n">
        <v>2</v>
      </c>
      <c r="K683" s="2" t="inlineStr">
        <is>
          <t>marker_435_797074.png</t>
        </is>
      </c>
      <c r="L683" s="11">
        <f>HYPERLINK("2\0\" &amp; K683, "Ver Imagen")</f>
        <v/>
      </c>
      <c r="M683" t="inlineStr">
        <is>
          <t>Moda</t>
        </is>
      </c>
    </row>
    <row r="684">
      <c r="A684" t="n">
        <v>683</v>
      </c>
      <c r="B684" t="inlineStr">
        <is>
          <t>A-499__257</t>
        </is>
      </c>
      <c r="C684" s="1" t="n">
        <v>37.5254597122</v>
      </c>
      <c r="D684" s="1" t="n">
        <v>-7.25647849977</v>
      </c>
      <c r="E684" s="3" t="n">
        <v>2</v>
      </c>
      <c r="F684" s="2" t="n">
        <v>2</v>
      </c>
      <c r="G684" s="4" t="n">
        <v>2</v>
      </c>
      <c r="H684" s="13" t="n"/>
      <c r="I684" s="15" t="n"/>
      <c r="J684" s="19" t="n">
        <v>2</v>
      </c>
      <c r="K684" s="2" t="inlineStr">
        <is>
          <t>marker_379_797222.png</t>
        </is>
      </c>
      <c r="L684" s="11">
        <f>HYPERLINK("2\0\" &amp; K684, "Ver Imagen")</f>
        <v/>
      </c>
      <c r="M684" t="inlineStr">
        <is>
          <t>Moda</t>
        </is>
      </c>
    </row>
    <row r="685">
      <c r="A685" t="n">
        <v>684</v>
      </c>
      <c r="B685" t="inlineStr">
        <is>
          <t>A-499__258</t>
        </is>
      </c>
      <c r="C685" s="1" t="n">
        <v>37.5256011807</v>
      </c>
      <c r="D685" s="1" t="n">
        <v>-7.25625355851</v>
      </c>
      <c r="E685" s="3" t="n">
        <v>2</v>
      </c>
      <c r="F685" s="2" t="n">
        <v>2</v>
      </c>
      <c r="G685" s="4" t="n">
        <v>2</v>
      </c>
      <c r="H685" s="13" t="n"/>
      <c r="I685" s="15" t="n"/>
      <c r="J685" s="19" t="n">
        <v>2</v>
      </c>
      <c r="K685" s="2" t="inlineStr">
        <is>
          <t>marker_861_797235.png</t>
        </is>
      </c>
      <c r="L685" s="11">
        <f>HYPERLINK("2\0\" &amp; K685, "Ver Imagen")</f>
        <v/>
      </c>
      <c r="M685" t="inlineStr">
        <is>
          <t>Moda</t>
        </is>
      </c>
    </row>
    <row r="686">
      <c r="A686" t="n">
        <v>685</v>
      </c>
      <c r="B686" t="inlineStr">
        <is>
          <t>A-499__260</t>
        </is>
      </c>
      <c r="C686" s="1" t="n">
        <v>37.5258540629</v>
      </c>
      <c r="D686" s="1" t="n">
        <v>-7.25588463278</v>
      </c>
      <c r="E686" s="3" t="n">
        <v>2</v>
      </c>
      <c r="F686" s="2" t="n">
        <v>2</v>
      </c>
      <c r="G686" s="4" t="n">
        <v>2</v>
      </c>
      <c r="H686" s="13" t="n"/>
      <c r="I686" s="15" t="n"/>
      <c r="J686" s="19" t="n">
        <v>2</v>
      </c>
      <c r="K686" s="2" t="inlineStr">
        <is>
          <t>marker_537_797261.png</t>
        </is>
      </c>
      <c r="L686" s="11">
        <f>HYPERLINK("2\0\" &amp; K686, "Ver Imagen")</f>
        <v/>
      </c>
      <c r="M686" t="inlineStr">
        <is>
          <t>Moda</t>
        </is>
      </c>
    </row>
    <row r="687">
      <c r="A687" t="n">
        <v>686</v>
      </c>
      <c r="B687" t="inlineStr">
        <is>
          <t>A-499__262</t>
        </is>
      </c>
      <c r="C687" s="1" t="n">
        <v>37.526159847</v>
      </c>
      <c r="D687" s="1" t="n">
        <v>-7.25554013365</v>
      </c>
      <c r="E687" s="3" t="n">
        <v>2</v>
      </c>
      <c r="F687" s="2" t="n">
        <v>2</v>
      </c>
      <c r="G687" s="4" t="n">
        <v>2</v>
      </c>
      <c r="H687" s="13" t="n"/>
      <c r="I687" s="15" t="n"/>
      <c r="J687" s="19" t="n">
        <v>2</v>
      </c>
      <c r="K687" s="2" t="inlineStr">
        <is>
          <t>marker_519_797282.png</t>
        </is>
      </c>
      <c r="L687" s="11">
        <f>HYPERLINK("2\0\" &amp; K687, "Ver Imagen")</f>
        <v/>
      </c>
      <c r="M687" t="inlineStr">
        <is>
          <t>Moda</t>
        </is>
      </c>
    </row>
    <row r="688">
      <c r="A688" t="n">
        <v>687</v>
      </c>
      <c r="B688" t="inlineStr">
        <is>
          <t>A-499__263</t>
        </is>
      </c>
      <c r="C688" s="1" t="n">
        <v>37.5263513464</v>
      </c>
      <c r="D688" s="1" t="n">
        <v>-7.25537900334</v>
      </c>
      <c r="E688" s="3" t="n">
        <v>2</v>
      </c>
      <c r="F688" s="2" t="n">
        <v>2</v>
      </c>
      <c r="G688" s="4" t="n">
        <v>2</v>
      </c>
      <c r="H688" s="13" t="n"/>
      <c r="I688" s="15" t="n"/>
      <c r="J688" s="19" t="n">
        <v>2</v>
      </c>
      <c r="K688" s="2" t="inlineStr">
        <is>
          <t>marker_359_797294.png</t>
        </is>
      </c>
      <c r="L688" s="11">
        <f>HYPERLINK("2\0\" &amp; K688, "Ver Imagen")</f>
        <v/>
      </c>
      <c r="M688" t="inlineStr">
        <is>
          <t>Moda</t>
        </is>
      </c>
    </row>
    <row r="689">
      <c r="A689" t="n">
        <v>688</v>
      </c>
      <c r="B689" t="inlineStr">
        <is>
          <t>A-499__264</t>
        </is>
      </c>
      <c r="C689" s="1" t="n">
        <v>37.5264956089</v>
      </c>
      <c r="D689" s="1" t="n">
        <v>-7.255275816</v>
      </c>
      <c r="E689" s="3" t="n">
        <v>2</v>
      </c>
      <c r="F689" s="2" t="n">
        <v>2</v>
      </c>
      <c r="G689" s="4" t="n">
        <v>2</v>
      </c>
      <c r="H689" s="13" t="n"/>
      <c r="I689" s="15" t="n"/>
      <c r="J689" s="19" t="n">
        <v>2</v>
      </c>
      <c r="K689" s="2" t="inlineStr">
        <is>
          <t>marker_748_797305.png</t>
        </is>
      </c>
      <c r="L689" s="11">
        <f>HYPERLINK("2\0\" &amp; K689, "Ver Imagen")</f>
        <v/>
      </c>
      <c r="M689" t="inlineStr">
        <is>
          <t>Moda</t>
        </is>
      </c>
    </row>
    <row r="690">
      <c r="A690" t="n">
        <v>689</v>
      </c>
      <c r="B690" t="inlineStr">
        <is>
          <t>A-499__265</t>
        </is>
      </c>
      <c r="C690" s="1" t="n">
        <v>37.526701056</v>
      </c>
      <c r="D690" s="1" t="n">
        <v>-7.25514460285</v>
      </c>
      <c r="E690" s="3" t="n">
        <v>2</v>
      </c>
      <c r="F690" s="2" t="n">
        <v>2</v>
      </c>
      <c r="G690" s="4" t="n">
        <v>2</v>
      </c>
      <c r="H690" s="13" t="n"/>
      <c r="I690" s="15" t="n"/>
      <c r="J690" s="19" t="n">
        <v>2</v>
      </c>
      <c r="K690" s="2" t="inlineStr">
        <is>
          <t>marker_896_797326.png</t>
        </is>
      </c>
      <c r="L690" s="11">
        <f>HYPERLINK("2\0\" &amp; K690, "Ver Imagen")</f>
        <v/>
      </c>
      <c r="M690" t="inlineStr">
        <is>
          <t>Moda</t>
        </is>
      </c>
    </row>
    <row r="691">
      <c r="A691" t="n">
        <v>690</v>
      </c>
      <c r="B691" t="inlineStr">
        <is>
          <t>A-499__267</t>
        </is>
      </c>
      <c r="C691" s="1" t="n">
        <v>37.5270490619</v>
      </c>
      <c r="D691" s="1" t="n">
        <v>-7.25494157784</v>
      </c>
      <c r="E691" s="3" t="n">
        <v>2</v>
      </c>
      <c r="F691" s="2" t="n">
        <v>2</v>
      </c>
      <c r="G691" s="4" t="n">
        <v>2</v>
      </c>
      <c r="H691" s="13" t="n"/>
      <c r="I691" s="15" t="n"/>
      <c r="J691" s="19" t="n">
        <v>2</v>
      </c>
      <c r="K691" s="2" t="inlineStr">
        <is>
          <t>marker_741_797353.png</t>
        </is>
      </c>
      <c r="L691" s="11">
        <f>HYPERLINK("2\0\" &amp; K691, "Ver Imagen")</f>
        <v/>
      </c>
      <c r="M691" t="inlineStr">
        <is>
          <t>Moda</t>
        </is>
      </c>
    </row>
    <row r="692">
      <c r="A692" t="n">
        <v>691</v>
      </c>
      <c r="B692" t="inlineStr">
        <is>
          <t>A-499__268</t>
        </is>
      </c>
      <c r="C692" s="1" t="n">
        <v>37.5272280816</v>
      </c>
      <c r="D692" s="1" t="n">
        <v>-7.25483934447</v>
      </c>
      <c r="E692" s="3" t="n">
        <v>2</v>
      </c>
      <c r="F692" s="2" t="n">
        <v>2</v>
      </c>
      <c r="G692" s="4" t="n">
        <v>2</v>
      </c>
      <c r="H692" s="13" t="n"/>
      <c r="I692" s="15" t="n"/>
      <c r="J692" s="19" t="n">
        <v>2</v>
      </c>
      <c r="K692" s="2" t="inlineStr">
        <is>
          <t>marker_824_797369.png</t>
        </is>
      </c>
      <c r="L692" s="11">
        <f>HYPERLINK("2\0\" &amp; K692, "Ver Imagen")</f>
        <v/>
      </c>
      <c r="M692" t="inlineStr">
        <is>
          <t>Moda</t>
        </is>
      </c>
    </row>
    <row r="693">
      <c r="A693" t="n">
        <v>692</v>
      </c>
      <c r="B693" t="inlineStr">
        <is>
          <t>A-497_2C__117</t>
        </is>
      </c>
      <c r="C693" s="1" t="n">
        <v>37.2718321826</v>
      </c>
      <c r="D693" s="1" t="n">
        <v>-6.98590853699</v>
      </c>
      <c r="E693" s="3" t="n">
        <v>2</v>
      </c>
      <c r="F693" s="2" t="n">
        <v>2</v>
      </c>
      <c r="G693" s="4" t="n">
        <v>2</v>
      </c>
      <c r="H693" s="13" t="n"/>
      <c r="I693" s="15" t="n"/>
      <c r="J693" s="19" t="n">
        <v>2</v>
      </c>
      <c r="K693" s="2" t="inlineStr">
        <is>
          <t>marker_826_655655.png</t>
        </is>
      </c>
      <c r="L693" s="11">
        <f>HYPERLINK("2\0\" &amp; K693, "Ver Imagen")</f>
        <v/>
      </c>
      <c r="M693" t="inlineStr">
        <is>
          <t>Moda</t>
        </is>
      </c>
    </row>
    <row r="694">
      <c r="A694" t="n">
        <v>693</v>
      </c>
      <c r="B694" t="inlineStr">
        <is>
          <t>A-497_2C__119</t>
        </is>
      </c>
      <c r="C694" s="1" t="n">
        <v>37.2718559091</v>
      </c>
      <c r="D694" s="1" t="n">
        <v>-6.98638875848</v>
      </c>
      <c r="E694" s="3" t="n">
        <v>2</v>
      </c>
      <c r="F694" s="2" t="n">
        <v>2</v>
      </c>
      <c r="G694" s="4" t="n">
        <v>2</v>
      </c>
      <c r="H694" s="13" t="n"/>
      <c r="I694" s="15" t="n"/>
      <c r="J694" s="19" t="n">
        <v>2</v>
      </c>
      <c r="K694" s="2" t="inlineStr">
        <is>
          <t>marker_900_655673.png</t>
        </is>
      </c>
      <c r="L694" s="11">
        <f>HYPERLINK("2\0\" &amp; K694, "Ver Imagen")</f>
        <v/>
      </c>
      <c r="M694" t="inlineStr">
        <is>
          <t>Moda</t>
        </is>
      </c>
    </row>
    <row r="695">
      <c r="A695" t="n">
        <v>694</v>
      </c>
      <c r="B695" t="inlineStr">
        <is>
          <t>A-497_2C__123</t>
        </is>
      </c>
      <c r="C695" s="1" t="n">
        <v>37.2717482126</v>
      </c>
      <c r="D695" s="1" t="n">
        <v>-6.98739540144</v>
      </c>
      <c r="E695" s="3" t="n">
        <v>2</v>
      </c>
      <c r="F695" s="2" t="n">
        <v>2</v>
      </c>
      <c r="G695" s="4" t="n">
        <v>2</v>
      </c>
      <c r="H695" s="13" t="n"/>
      <c r="I695" s="15" t="n"/>
      <c r="J695" s="19" t="n">
        <v>2</v>
      </c>
      <c r="K695" s="2" t="inlineStr">
        <is>
          <t>marker_208_655707.png</t>
        </is>
      </c>
      <c r="L695" s="11">
        <f>HYPERLINK("2\0\" &amp; K695, "Ver Imagen")</f>
        <v/>
      </c>
      <c r="M695" t="inlineStr">
        <is>
          <t>Moda</t>
        </is>
      </c>
    </row>
    <row r="696">
      <c r="A696" t="n">
        <v>695</v>
      </c>
      <c r="B696" t="inlineStr">
        <is>
          <t>A-497_2C__124</t>
        </is>
      </c>
      <c r="C696" s="1" t="n">
        <v>37.2716887221</v>
      </c>
      <c r="D696" s="1" t="n">
        <v>-6.98763666764</v>
      </c>
      <c r="E696" s="3" t="n">
        <v>2</v>
      </c>
      <c r="F696" s="2" t="n">
        <v>2</v>
      </c>
      <c r="G696" s="4" t="n">
        <v>2</v>
      </c>
      <c r="H696" s="13" t="n"/>
      <c r="I696" s="15" t="n"/>
      <c r="J696" s="19" t="n">
        <v>2</v>
      </c>
      <c r="K696" s="2" t="inlineStr">
        <is>
          <t>marker_161_655715.png</t>
        </is>
      </c>
      <c r="L696" s="11">
        <f>HYPERLINK("2\0\" &amp; K696, "Ver Imagen")</f>
        <v/>
      </c>
      <c r="M696" t="inlineStr">
        <is>
          <t>Moda</t>
        </is>
      </c>
    </row>
    <row r="697">
      <c r="A697" t="n">
        <v>696</v>
      </c>
      <c r="B697" t="inlineStr">
        <is>
          <t>A-497_2C__128</t>
        </is>
      </c>
      <c r="C697" s="1" t="n">
        <v>37.2712667395</v>
      </c>
      <c r="D697" s="1" t="n">
        <v>-6.98854198555</v>
      </c>
      <c r="E697" s="3" t="n">
        <v>2</v>
      </c>
      <c r="F697" s="2" t="n">
        <v>2</v>
      </c>
      <c r="G697" s="4" t="n">
        <v>2</v>
      </c>
      <c r="H697" s="13" t="n"/>
      <c r="I697" s="15" t="n"/>
      <c r="J697" s="19" t="n">
        <v>2</v>
      </c>
      <c r="K697" s="2" t="inlineStr">
        <is>
          <t>marker_287_655750.png</t>
        </is>
      </c>
      <c r="L697" s="11">
        <f>HYPERLINK("2\0\" &amp; K697, "Ver Imagen")</f>
        <v/>
      </c>
      <c r="M697" t="inlineStr">
        <is>
          <t>Moda</t>
        </is>
      </c>
    </row>
    <row r="698">
      <c r="A698" t="n">
        <v>697</v>
      </c>
      <c r="B698" t="inlineStr">
        <is>
          <t>A-497_2C__129</t>
        </is>
      </c>
      <c r="C698" s="1" t="n">
        <v>37.271140955</v>
      </c>
      <c r="D698" s="1" t="n">
        <v>-6.98871225774</v>
      </c>
      <c r="E698" s="3" t="n">
        <v>2</v>
      </c>
      <c r="F698" s="2" t="n">
        <v>2</v>
      </c>
      <c r="G698" s="4" t="n">
        <v>2</v>
      </c>
      <c r="H698" s="13" t="n"/>
      <c r="I698" s="15" t="n"/>
      <c r="J698" s="19" t="n">
        <v>2</v>
      </c>
      <c r="K698" s="2" t="inlineStr">
        <is>
          <t>marker_226_655758.png</t>
        </is>
      </c>
      <c r="L698" s="11">
        <f>HYPERLINK("2\0\" &amp; K698, "Ver Imagen")</f>
        <v/>
      </c>
      <c r="M698" t="inlineStr">
        <is>
          <t>Moda</t>
        </is>
      </c>
    </row>
    <row r="699">
      <c r="A699" t="n">
        <v>698</v>
      </c>
      <c r="B699" t="inlineStr">
        <is>
          <t>A-497_2C__131</t>
        </is>
      </c>
      <c r="C699" s="1" t="n">
        <v>37.2708255982</v>
      </c>
      <c r="D699" s="1" t="n">
        <v>-6.98903786286</v>
      </c>
      <c r="E699" s="3" t="n">
        <v>2</v>
      </c>
      <c r="F699" s="2" t="n">
        <v>2</v>
      </c>
      <c r="G699" s="4" t="n">
        <v>2</v>
      </c>
      <c r="H699" s="13" t="n"/>
      <c r="I699" s="15" t="n"/>
      <c r="J699" s="19" t="n">
        <v>2</v>
      </c>
      <c r="K699" s="2" t="inlineStr">
        <is>
          <t>marker_672_655782.png</t>
        </is>
      </c>
      <c r="L699" s="11">
        <f>HYPERLINK("2\0\" &amp; K699, "Ver Imagen")</f>
        <v/>
      </c>
      <c r="M699" t="inlineStr">
        <is>
          <t>Moda</t>
        </is>
      </c>
    </row>
    <row r="700">
      <c r="A700" t="n">
        <v>699</v>
      </c>
      <c r="B700" t="inlineStr">
        <is>
          <t>A-497_2C__132</t>
        </is>
      </c>
      <c r="C700" s="1" t="n">
        <v>37.2706539987</v>
      </c>
      <c r="D700" s="1" t="n">
        <v>-6.98918188699</v>
      </c>
      <c r="E700" s="3" t="n">
        <v>2</v>
      </c>
      <c r="F700" s="2" t="n">
        <v>2</v>
      </c>
      <c r="G700" s="4" t="n">
        <v>2</v>
      </c>
      <c r="H700" s="13" t="n"/>
      <c r="I700" s="15" t="n"/>
      <c r="J700" s="19" t="n">
        <v>2</v>
      </c>
      <c r="K700" s="2" t="inlineStr">
        <is>
          <t>marker_594_655792.png</t>
        </is>
      </c>
      <c r="L700" s="11">
        <f>HYPERLINK("2\0\" &amp; K700, "Ver Imagen")</f>
        <v/>
      </c>
      <c r="M700" t="inlineStr">
        <is>
          <t>Moda</t>
        </is>
      </c>
    </row>
    <row r="701">
      <c r="A701" t="n">
        <v>700</v>
      </c>
      <c r="B701" t="inlineStr">
        <is>
          <t>A-497_2C__145</t>
        </is>
      </c>
      <c r="C701" s="1" t="n">
        <v>37.2683811091</v>
      </c>
      <c r="D701" s="1" t="n">
        <v>-6.99078500663</v>
      </c>
      <c r="E701" s="3" t="n">
        <v>2</v>
      </c>
      <c r="F701" s="2" t="n">
        <v>2</v>
      </c>
      <c r="G701" s="4" t="n">
        <v>2</v>
      </c>
      <c r="H701" s="13" t="n"/>
      <c r="I701" s="15" t="n"/>
      <c r="J701" s="19" t="n">
        <v>2</v>
      </c>
      <c r="K701" s="2" t="inlineStr">
        <is>
          <t>marker_584_655913.png</t>
        </is>
      </c>
      <c r="L701" s="11">
        <f>HYPERLINK("2\0\" &amp; K701, "Ver Imagen")</f>
        <v/>
      </c>
      <c r="M701" t="inlineStr">
        <is>
          <t>Moda</t>
        </is>
      </c>
    </row>
    <row r="702">
      <c r="A702" t="n">
        <v>701</v>
      </c>
      <c r="B702" t="inlineStr">
        <is>
          <t>A-497__744</t>
        </is>
      </c>
      <c r="C702" s="1" t="n">
        <v>37.1881900742</v>
      </c>
      <c r="D702" s="1" t="n">
        <v>-6.97834103832</v>
      </c>
      <c r="E702" s="3" t="n">
        <v>2</v>
      </c>
      <c r="F702" s="2" t="n">
        <v>2</v>
      </c>
      <c r="G702" s="4" t="n">
        <v>2</v>
      </c>
      <c r="H702" s="13" t="n"/>
      <c r="I702" s="15" t="n"/>
      <c r="J702" s="19" t="n">
        <v>2</v>
      </c>
      <c r="K702" s="2" t="inlineStr">
        <is>
          <t>marker_150_368793.png</t>
        </is>
      </c>
      <c r="L702" s="11">
        <f>HYPERLINK("2\0\" &amp; K702, "Ver Imagen")</f>
        <v/>
      </c>
      <c r="M702" t="inlineStr">
        <is>
          <t>Moda</t>
        </is>
      </c>
    </row>
    <row r="703">
      <c r="A703" t="n">
        <v>702</v>
      </c>
      <c r="B703" t="inlineStr">
        <is>
          <t>A-497__743</t>
        </is>
      </c>
      <c r="C703" s="1" t="n">
        <v>37.1883649058</v>
      </c>
      <c r="D703" s="1" t="n">
        <v>-6.97835596558</v>
      </c>
      <c r="E703" s="3" t="n">
        <v>2</v>
      </c>
      <c r="F703" s="2" t="n">
        <v>2</v>
      </c>
      <c r="G703" s="4" t="n">
        <v>2</v>
      </c>
      <c r="H703" s="13" t="n"/>
      <c r="I703" s="15" t="n"/>
      <c r="J703" s="19" t="n">
        <v>2</v>
      </c>
      <c r="K703" s="2" t="inlineStr">
        <is>
          <t>marker_729_368807.png</t>
        </is>
      </c>
      <c r="L703" s="11">
        <f>HYPERLINK("2\0\" &amp; K703, "Ver Imagen")</f>
        <v/>
      </c>
      <c r="M703" t="inlineStr">
        <is>
          <t>Moda</t>
        </is>
      </c>
    </row>
    <row r="704">
      <c r="A704" t="n">
        <v>703</v>
      </c>
      <c r="B704" t="inlineStr">
        <is>
          <t>A-497_2C__160</t>
        </is>
      </c>
      <c r="C704" s="1" t="n">
        <v>37.2661594017</v>
      </c>
      <c r="D704" s="1" t="n">
        <v>-6.99326865079</v>
      </c>
      <c r="E704" s="3" t="n">
        <v>2</v>
      </c>
      <c r="F704" s="2" t="n">
        <v>2</v>
      </c>
      <c r="G704" s="4" t="n">
        <v>2</v>
      </c>
      <c r="H704" s="13" t="n"/>
      <c r="I704" s="15" t="n"/>
      <c r="J704" s="19" t="n">
        <v>2</v>
      </c>
      <c r="K704" s="2" t="inlineStr">
        <is>
          <t>marker_683_656102.png</t>
        </is>
      </c>
      <c r="L704" s="11">
        <f>HYPERLINK("2\0\" &amp; K704, "Ver Imagen")</f>
        <v/>
      </c>
      <c r="M704" t="inlineStr">
        <is>
          <t>Moda</t>
        </is>
      </c>
    </row>
    <row r="705">
      <c r="A705" t="n">
        <v>704</v>
      </c>
      <c r="B705" t="inlineStr">
        <is>
          <t>A-497__728</t>
        </is>
      </c>
      <c r="C705" s="1" t="n">
        <v>37.1913587471</v>
      </c>
      <c r="D705" s="1" t="n">
        <v>-6.97763112884</v>
      </c>
      <c r="E705" s="3" t="n">
        <v>2</v>
      </c>
      <c r="F705" s="2" t="n">
        <v>2</v>
      </c>
      <c r="G705" s="4" t="n">
        <v>2</v>
      </c>
      <c r="H705" s="13" t="n"/>
      <c r="I705" s="15" t="n"/>
      <c r="J705" s="19" t="n">
        <v>2</v>
      </c>
      <c r="K705" s="2" t="inlineStr">
        <is>
          <t>marker_306_368983.png</t>
        </is>
      </c>
      <c r="L705" s="11">
        <f>HYPERLINK("2\0\" &amp; K705, "Ver Imagen")</f>
        <v/>
      </c>
      <c r="M705" t="inlineStr">
        <is>
          <t>Moda</t>
        </is>
      </c>
    </row>
    <row r="706">
      <c r="A706" t="n">
        <v>705</v>
      </c>
      <c r="B706" t="inlineStr">
        <is>
          <t>A-497_2C__194</t>
        </is>
      </c>
      <c r="C706" s="1" t="n">
        <v>37.264513688</v>
      </c>
      <c r="D706" s="1" t="n">
        <v>-7.00164488041</v>
      </c>
      <c r="E706" s="3" t="n">
        <v>2</v>
      </c>
      <c r="F706" s="2" t="n">
        <v>2</v>
      </c>
      <c r="G706" s="4" t="n">
        <v>2</v>
      </c>
      <c r="H706" s="13" t="n"/>
      <c r="I706" s="15" t="n"/>
      <c r="J706" s="19" t="n">
        <v>2</v>
      </c>
      <c r="K706" s="2" t="inlineStr">
        <is>
          <t>marker_437_656463.png</t>
        </is>
      </c>
      <c r="L706" s="11">
        <f>HYPERLINK("2\0\" &amp; K706, "Ver Imagen")</f>
        <v/>
      </c>
      <c r="M706" t="inlineStr">
        <is>
          <t>Moda</t>
        </is>
      </c>
    </row>
    <row r="707">
      <c r="A707" t="n">
        <v>706</v>
      </c>
      <c r="B707" t="inlineStr">
        <is>
          <t>A-497_2C__196</t>
        </is>
      </c>
      <c r="C707" s="1" t="n">
        <v>37.2644175816</v>
      </c>
      <c r="D707" s="1" t="n">
        <v>-7.00217964909</v>
      </c>
      <c r="E707" s="3" t="n">
        <v>2</v>
      </c>
      <c r="F707" s="2" t="n">
        <v>2</v>
      </c>
      <c r="G707" s="4" t="n">
        <v>2</v>
      </c>
      <c r="H707" s="13" t="n"/>
      <c r="I707" s="15" t="n"/>
      <c r="J707" s="19" t="n">
        <v>2</v>
      </c>
      <c r="K707" s="2" t="inlineStr">
        <is>
          <t>marker_826_656480.png</t>
        </is>
      </c>
      <c r="L707" s="11">
        <f>HYPERLINK("2\0\" &amp; K707, "Ver Imagen")</f>
        <v/>
      </c>
      <c r="M707" t="inlineStr">
        <is>
          <t>Moda</t>
        </is>
      </c>
    </row>
    <row r="708">
      <c r="A708" t="n">
        <v>707</v>
      </c>
      <c r="B708" t="inlineStr">
        <is>
          <t>A-497__690</t>
        </is>
      </c>
      <c r="C708" s="1" t="n">
        <v>37.1981963556</v>
      </c>
      <c r="D708" s="1" t="n">
        <v>-6.98073506834</v>
      </c>
      <c r="E708" s="3" t="n">
        <v>2</v>
      </c>
      <c r="F708" s="2" t="n">
        <v>2</v>
      </c>
      <c r="G708" s="4" t="n">
        <v>2</v>
      </c>
      <c r="H708" s="13" t="n"/>
      <c r="I708" s="15" t="n"/>
      <c r="J708" s="19" t="n">
        <v>2</v>
      </c>
      <c r="K708" s="2" t="inlineStr">
        <is>
          <t>marker_726_370474.png</t>
        </is>
      </c>
      <c r="L708" s="11">
        <f>HYPERLINK("2\0\" &amp; K708, "Ver Imagen")</f>
        <v/>
      </c>
      <c r="M708" t="inlineStr">
        <is>
          <t>Moda</t>
        </is>
      </c>
    </row>
    <row r="709">
      <c r="A709" t="n">
        <v>708</v>
      </c>
      <c r="B709" t="inlineStr">
        <is>
          <t>A-497__682</t>
        </is>
      </c>
      <c r="C709" s="1" t="n">
        <v>37.1990405509</v>
      </c>
      <c r="D709" s="1" t="n">
        <v>-6.98250894387</v>
      </c>
      <c r="E709" s="3" t="n">
        <v>2</v>
      </c>
      <c r="F709" s="2" t="n">
        <v>2</v>
      </c>
      <c r="G709" s="4" t="n">
        <v>2</v>
      </c>
      <c r="H709" s="13" t="n"/>
      <c r="I709" s="15" t="n"/>
      <c r="J709" s="19" t="n">
        <v>2</v>
      </c>
      <c r="K709" s="2" t="inlineStr">
        <is>
          <t>marker_275_370556.png</t>
        </is>
      </c>
      <c r="L709" s="11">
        <f>HYPERLINK("2\0\" &amp; K709, "Ver Imagen")</f>
        <v/>
      </c>
      <c r="M709" t="inlineStr">
        <is>
          <t>Moda</t>
        </is>
      </c>
    </row>
    <row r="710">
      <c r="A710" t="n">
        <v>709</v>
      </c>
      <c r="B710" t="inlineStr">
        <is>
          <t>A-497__672</t>
        </is>
      </c>
      <c r="C710" s="1" t="n">
        <v>37.1997631006</v>
      </c>
      <c r="D710" s="1" t="n">
        <v>-6.98491557298</v>
      </c>
      <c r="E710" s="3" t="n">
        <v>2</v>
      </c>
      <c r="F710" s="2" t="n">
        <v>2</v>
      </c>
      <c r="G710" s="4" t="n">
        <v>2</v>
      </c>
      <c r="H710" s="13" t="n"/>
      <c r="I710" s="15" t="n"/>
      <c r="J710" s="19" t="n">
        <v>2</v>
      </c>
      <c r="K710" s="2" t="inlineStr">
        <is>
          <t>marker_721_371008.png</t>
        </is>
      </c>
      <c r="L710" s="11">
        <f>HYPERLINK("2\0\" &amp; K710, "Ver Imagen")</f>
        <v/>
      </c>
      <c r="M710" t="inlineStr">
        <is>
          <t>Moda</t>
        </is>
      </c>
    </row>
    <row r="711">
      <c r="A711" t="n">
        <v>710</v>
      </c>
      <c r="B711" t="inlineStr">
        <is>
          <t>A-497__671</t>
        </is>
      </c>
      <c r="C711" s="1" t="n">
        <v>37.1998273132</v>
      </c>
      <c r="D711" s="1" t="n">
        <v>-6.98516588688</v>
      </c>
      <c r="E711" s="3" t="n">
        <v>2</v>
      </c>
      <c r="F711" s="2" t="n">
        <v>2</v>
      </c>
      <c r="G711" s="4" t="n">
        <v>2</v>
      </c>
      <c r="H711" s="13" t="n"/>
      <c r="I711" s="15" t="n"/>
      <c r="J711" s="19" t="n">
        <v>2</v>
      </c>
      <c r="K711" s="2" t="inlineStr">
        <is>
          <t>marker_522_371017.png</t>
        </is>
      </c>
      <c r="L711" s="11">
        <f>HYPERLINK("2\0\" &amp; K711, "Ver Imagen")</f>
        <v/>
      </c>
      <c r="M711" t="inlineStr">
        <is>
          <t>Moda</t>
        </is>
      </c>
    </row>
    <row r="712">
      <c r="A712" t="n">
        <v>711</v>
      </c>
      <c r="B712" t="inlineStr">
        <is>
          <t>A-497_2C__234</t>
        </is>
      </c>
      <c r="C712" s="1" t="n">
        <v>37.2615009284</v>
      </c>
      <c r="D712" s="1" t="n">
        <v>-7.01071707915</v>
      </c>
      <c r="E712" s="3" t="n">
        <v>2</v>
      </c>
      <c r="F712" s="2" t="n">
        <v>2</v>
      </c>
      <c r="G712" s="4" t="n">
        <v>2</v>
      </c>
      <c r="H712" s="13" t="n"/>
      <c r="I712" s="15" t="n"/>
      <c r="J712" s="19" t="n">
        <v>2</v>
      </c>
      <c r="K712" s="2" t="inlineStr">
        <is>
          <t>marker_718_656918.png</t>
        </is>
      </c>
      <c r="L712" s="11">
        <f>HYPERLINK("2\0\" &amp; K712, "Ver Imagen")</f>
        <v/>
      </c>
      <c r="M712" t="inlineStr">
        <is>
          <t>Moda</t>
        </is>
      </c>
    </row>
    <row r="713">
      <c r="A713" t="n">
        <v>712</v>
      </c>
      <c r="B713" t="inlineStr">
        <is>
          <t>A-497_2C__237</t>
        </is>
      </c>
      <c r="C713" s="1" t="n">
        <v>37.2609814664</v>
      </c>
      <c r="D713" s="1" t="n">
        <v>-7.01108377156</v>
      </c>
      <c r="E713" s="3" t="n">
        <v>2</v>
      </c>
      <c r="F713" s="2" t="n">
        <v>2</v>
      </c>
      <c r="G713" s="4" t="n">
        <v>2</v>
      </c>
      <c r="H713" s="13" t="n"/>
      <c r="I713" s="15" t="n"/>
      <c r="J713" s="19" t="n">
        <v>2</v>
      </c>
      <c r="K713" s="2" t="inlineStr">
        <is>
          <t>marker_213_656942.png</t>
        </is>
      </c>
      <c r="L713" s="11">
        <f>HYPERLINK("2\0\" &amp; K713, "Ver Imagen")</f>
        <v/>
      </c>
      <c r="M713" t="inlineStr">
        <is>
          <t>Moda</t>
        </is>
      </c>
    </row>
    <row r="714">
      <c r="A714" t="n">
        <v>713</v>
      </c>
      <c r="B714" t="inlineStr">
        <is>
          <t>A-497_2C__244</t>
        </is>
      </c>
      <c r="C714" s="1" t="n">
        <v>37.2596932781</v>
      </c>
      <c r="D714" s="1" t="n">
        <v>-7.01190400476</v>
      </c>
      <c r="E714" s="3" t="n">
        <v>2</v>
      </c>
      <c r="F714" s="2" t="n">
        <v>2</v>
      </c>
      <c r="G714" s="4" t="n">
        <v>2</v>
      </c>
      <c r="H714" s="13" t="n"/>
      <c r="I714" s="15" t="n"/>
      <c r="J714" s="19" t="n">
        <v>2</v>
      </c>
      <c r="K714" s="2" t="inlineStr">
        <is>
          <t>marker_867_657059.png</t>
        </is>
      </c>
      <c r="L714" s="11">
        <f>HYPERLINK("2\0\" &amp; K714, "Ver Imagen")</f>
        <v/>
      </c>
      <c r="M714" t="inlineStr">
        <is>
          <t>Moda</t>
        </is>
      </c>
    </row>
    <row r="715">
      <c r="A715" t="n">
        <v>714</v>
      </c>
      <c r="B715" t="inlineStr">
        <is>
          <t>A-497_2C__245</t>
        </is>
      </c>
      <c r="C715" s="1" t="n">
        <v>37.2595079461</v>
      </c>
      <c r="D715" s="1" t="n">
        <v>-7.01202361866</v>
      </c>
      <c r="E715" s="3" t="n">
        <v>2</v>
      </c>
      <c r="F715" s="2" t="n">
        <v>2</v>
      </c>
      <c r="G715" s="4" t="n">
        <v>2</v>
      </c>
      <c r="H715" s="13" t="n"/>
      <c r="I715" s="15" t="n"/>
      <c r="J715" s="19" t="n">
        <v>2</v>
      </c>
      <c r="K715" s="2" t="inlineStr">
        <is>
          <t>marker_234_657067.png</t>
        </is>
      </c>
      <c r="L715" s="11">
        <f>HYPERLINK("2\0\" &amp; K715, "Ver Imagen")</f>
        <v/>
      </c>
      <c r="M715" t="inlineStr">
        <is>
          <t>Moda</t>
        </is>
      </c>
    </row>
    <row r="716">
      <c r="A716" t="n">
        <v>715</v>
      </c>
      <c r="B716" t="inlineStr">
        <is>
          <t>A-497_2C__246</t>
        </is>
      </c>
      <c r="C716" s="1" t="n">
        <v>37.2593681971</v>
      </c>
      <c r="D716" s="1" t="n">
        <v>-7.01211319838</v>
      </c>
      <c r="E716" s="3" t="n">
        <v>2</v>
      </c>
      <c r="F716" s="2" t="n">
        <v>2</v>
      </c>
      <c r="G716" s="4" t="n">
        <v>2</v>
      </c>
      <c r="H716" s="13" t="n"/>
      <c r="I716" s="15" t="n"/>
      <c r="J716" s="19" t="n">
        <v>2</v>
      </c>
      <c r="K716" s="2" t="inlineStr">
        <is>
          <t>marker_444_657077.png</t>
        </is>
      </c>
      <c r="L716" s="11">
        <f>HYPERLINK("2\0\" &amp; K716, "Ver Imagen")</f>
        <v/>
      </c>
      <c r="M716" t="inlineStr">
        <is>
          <t>Moda</t>
        </is>
      </c>
    </row>
    <row r="717">
      <c r="A717" t="n">
        <v>716</v>
      </c>
      <c r="B717" t="inlineStr">
        <is>
          <t>A-497_2C__247</t>
        </is>
      </c>
      <c r="C717" s="1" t="n">
        <v>37.2591808911</v>
      </c>
      <c r="D717" s="1" t="n">
        <v>-7.01223211361</v>
      </c>
      <c r="E717" s="3" t="n">
        <v>2</v>
      </c>
      <c r="F717" s="2" t="n">
        <v>2</v>
      </c>
      <c r="G717" s="4" t="n">
        <v>2</v>
      </c>
      <c r="H717" s="13" t="n"/>
      <c r="I717" s="15" t="n"/>
      <c r="J717" s="19" t="n">
        <v>2</v>
      </c>
      <c r="K717" s="2" t="inlineStr">
        <is>
          <t>marker_441_657086.png</t>
        </is>
      </c>
      <c r="L717" s="11">
        <f>HYPERLINK("2\0\" &amp; K717, "Ver Imagen")</f>
        <v/>
      </c>
      <c r="M717" t="inlineStr">
        <is>
          <t>Moda</t>
        </is>
      </c>
    </row>
    <row r="718">
      <c r="A718" t="n">
        <v>717</v>
      </c>
      <c r="B718" t="inlineStr">
        <is>
          <t>A-497_2C__248</t>
        </is>
      </c>
      <c r="C718" s="1" t="n">
        <v>37.2589848188</v>
      </c>
      <c r="D718" s="1" t="n">
        <v>-7.01235599132</v>
      </c>
      <c r="E718" s="3" t="n">
        <v>2</v>
      </c>
      <c r="F718" s="2" t="n">
        <v>2</v>
      </c>
      <c r="G718" s="4" t="n">
        <v>2</v>
      </c>
      <c r="H718" s="13" t="n"/>
      <c r="I718" s="15" t="n"/>
      <c r="J718" s="19" t="n">
        <v>2</v>
      </c>
      <c r="K718" s="2" t="inlineStr">
        <is>
          <t>marker_232_657095.png</t>
        </is>
      </c>
      <c r="L718" s="11">
        <f>HYPERLINK("2\0\" &amp; K718, "Ver Imagen")</f>
        <v/>
      </c>
      <c r="M718" t="inlineStr">
        <is>
          <t>Moda</t>
        </is>
      </c>
    </row>
    <row r="719">
      <c r="A719" t="n">
        <v>718</v>
      </c>
      <c r="B719" t="inlineStr">
        <is>
          <t>A-497__632</t>
        </is>
      </c>
      <c r="C719" s="1" t="n">
        <v>37.2018602379</v>
      </c>
      <c r="D719" s="1" t="n">
        <v>-6.99466634016</v>
      </c>
      <c r="E719" s="3" t="n">
        <v>2</v>
      </c>
      <c r="F719" s="2" t="n">
        <v>2</v>
      </c>
      <c r="G719" s="4" t="n">
        <v>2</v>
      </c>
      <c r="H719" s="13" t="n"/>
      <c r="I719" s="15" t="n"/>
      <c r="J719" s="19" t="n">
        <v>2</v>
      </c>
      <c r="K719" s="2" t="inlineStr">
        <is>
          <t>marker_677_371415.png</t>
        </is>
      </c>
      <c r="L719" s="11">
        <f>HYPERLINK("2\0\" &amp; K719, "Ver Imagen")</f>
        <v/>
      </c>
      <c r="M719" t="inlineStr">
        <is>
          <t>Moda</t>
        </is>
      </c>
    </row>
    <row r="720">
      <c r="A720" t="n">
        <v>719</v>
      </c>
      <c r="B720" t="inlineStr">
        <is>
          <t>A-497__564</t>
        </is>
      </c>
      <c r="C720" s="1" t="n">
        <v>37.2042296887</v>
      </c>
      <c r="D720" s="1" t="n">
        <v>-7.01159154026</v>
      </c>
      <c r="E720" s="3" t="n">
        <v>2</v>
      </c>
      <c r="F720" s="2" t="n">
        <v>2</v>
      </c>
      <c r="G720" s="4" t="n">
        <v>2</v>
      </c>
      <c r="H720" s="13" t="n"/>
      <c r="I720" s="15" t="n"/>
      <c r="J720" s="19" t="n">
        <v>2</v>
      </c>
      <c r="K720" s="2" t="inlineStr">
        <is>
          <t>marker_504_372107.png</t>
        </is>
      </c>
      <c r="L720" s="11">
        <f>HYPERLINK("2\0\" &amp; K720, "Ver Imagen")</f>
        <v/>
      </c>
      <c r="M720" t="inlineStr">
        <is>
          <t>Moda</t>
        </is>
      </c>
    </row>
    <row r="721">
      <c r="A721" t="n">
        <v>720</v>
      </c>
      <c r="B721" t="inlineStr">
        <is>
          <t>A-497_2C__299</t>
        </is>
      </c>
      <c r="C721" s="1" t="n">
        <v>37.2497249064</v>
      </c>
      <c r="D721" s="1" t="n">
        <v>-7.01812423693</v>
      </c>
      <c r="E721" s="3" t="n">
        <v>2</v>
      </c>
      <c r="F721" s="2" t="n">
        <v>2</v>
      </c>
      <c r="G721" s="4" t="n">
        <v>2</v>
      </c>
      <c r="H721" s="13" t="n"/>
      <c r="I721" s="15" t="n"/>
      <c r="J721" s="19" t="n">
        <v>2</v>
      </c>
      <c r="K721" s="2" t="inlineStr">
        <is>
          <t>marker_370_320162.png</t>
        </is>
      </c>
      <c r="L721" s="11">
        <f>HYPERLINK("2\0\" &amp; K721, "Ver Imagen")</f>
        <v/>
      </c>
      <c r="M721" t="inlineStr">
        <is>
          <t>Moda</t>
        </is>
      </c>
    </row>
    <row r="722">
      <c r="A722" t="n">
        <v>721</v>
      </c>
      <c r="B722" t="inlineStr">
        <is>
          <t>A-497_2C__300</t>
        </is>
      </c>
      <c r="C722" s="1" t="n">
        <v>37.2495511154</v>
      </c>
      <c r="D722" s="1" t="n">
        <v>-7.01817962932</v>
      </c>
      <c r="E722" s="3" t="n">
        <v>2</v>
      </c>
      <c r="F722" s="2" t="n">
        <v>2</v>
      </c>
      <c r="G722" s="4" t="n">
        <v>2</v>
      </c>
      <c r="H722" s="13" t="n"/>
      <c r="I722" s="15" t="n"/>
      <c r="J722" s="19" t="n">
        <v>2</v>
      </c>
      <c r="K722" s="2" t="inlineStr">
        <is>
          <t>marker_751_320173.png</t>
        </is>
      </c>
      <c r="L722" s="11">
        <f>HYPERLINK("2\0\" &amp; K722, "Ver Imagen")</f>
        <v/>
      </c>
      <c r="M722" t="inlineStr">
        <is>
          <t>Moda</t>
        </is>
      </c>
    </row>
    <row r="723">
      <c r="A723" t="n">
        <v>722</v>
      </c>
      <c r="B723" t="inlineStr">
        <is>
          <t>A-497_2C__301</t>
        </is>
      </c>
      <c r="C723" s="1" t="n">
        <v>37.2492940765</v>
      </c>
      <c r="D723" s="1" t="n">
        <v>-7.01824658857</v>
      </c>
      <c r="E723" s="3" t="n">
        <v>2</v>
      </c>
      <c r="F723" s="2" t="n">
        <v>2</v>
      </c>
      <c r="G723" s="4" t="n">
        <v>2</v>
      </c>
      <c r="H723" s="13" t="n"/>
      <c r="I723" s="15" t="n"/>
      <c r="J723" s="19" t="n">
        <v>2</v>
      </c>
      <c r="K723" s="2" t="inlineStr">
        <is>
          <t>marker_893_320183.png</t>
        </is>
      </c>
      <c r="L723" s="11">
        <f>HYPERLINK("2\0\" &amp; K723, "Ver Imagen")</f>
        <v/>
      </c>
      <c r="M723" t="inlineStr">
        <is>
          <t>Moda</t>
        </is>
      </c>
    </row>
    <row r="724">
      <c r="A724" t="n">
        <v>723</v>
      </c>
      <c r="B724" t="inlineStr">
        <is>
          <t>A-497_2C__302</t>
        </is>
      </c>
      <c r="C724" s="1" t="n">
        <v>37.2491184206</v>
      </c>
      <c r="D724" s="1" t="n">
        <v>-7.01828214544</v>
      </c>
      <c r="E724" s="3" t="n">
        <v>2</v>
      </c>
      <c r="F724" s="2" t="n">
        <v>2</v>
      </c>
      <c r="G724" s="4" t="n">
        <v>2</v>
      </c>
      <c r="H724" s="13" t="n"/>
      <c r="I724" s="15" t="n"/>
      <c r="J724" s="19" t="n">
        <v>2</v>
      </c>
      <c r="K724" s="2" t="inlineStr">
        <is>
          <t>marker_292_320191.png</t>
        </is>
      </c>
      <c r="L724" s="11">
        <f>HYPERLINK("2\0\" &amp; K724, "Ver Imagen")</f>
        <v/>
      </c>
      <c r="M724" t="inlineStr">
        <is>
          <t>Moda</t>
        </is>
      </c>
    </row>
    <row r="725">
      <c r="A725" t="n">
        <v>724</v>
      </c>
      <c r="B725" t="inlineStr">
        <is>
          <t>A-497__556</t>
        </is>
      </c>
      <c r="C725" s="1" t="n">
        <v>37.2045919546</v>
      </c>
      <c r="D725" s="1" t="n">
        <v>-7.01357906222</v>
      </c>
      <c r="E725" s="3" t="n">
        <v>2</v>
      </c>
      <c r="F725" s="2" t="n">
        <v>2</v>
      </c>
      <c r="G725" s="4" t="n">
        <v>2</v>
      </c>
      <c r="H725" s="13" t="n"/>
      <c r="I725" s="15" t="n"/>
      <c r="J725" s="19" t="n">
        <v>2</v>
      </c>
      <c r="K725" s="2" t="inlineStr">
        <is>
          <t>marker_908_372198.png</t>
        </is>
      </c>
      <c r="L725" s="11">
        <f>HYPERLINK("2\0\" &amp; K725, "Ver Imagen")</f>
        <v/>
      </c>
      <c r="M725" t="inlineStr">
        <is>
          <t>Moda</t>
        </is>
      </c>
    </row>
    <row r="726">
      <c r="A726" t="n">
        <v>725</v>
      </c>
      <c r="B726" t="inlineStr">
        <is>
          <t>A-497__548</t>
        </is>
      </c>
      <c r="C726" s="1" t="n">
        <v>37.2049821203</v>
      </c>
      <c r="D726" s="1" t="n">
        <v>-7.01554471849</v>
      </c>
      <c r="E726" s="3" t="n">
        <v>2</v>
      </c>
      <c r="F726" s="2" t="n">
        <v>2</v>
      </c>
      <c r="G726" s="4" t="n">
        <v>2</v>
      </c>
      <c r="H726" s="13" t="n"/>
      <c r="I726" s="15" t="n"/>
      <c r="J726" s="19" t="n">
        <v>2</v>
      </c>
      <c r="K726" s="2" t="inlineStr">
        <is>
          <t>marker_525_372296.png</t>
        </is>
      </c>
      <c r="L726" s="11">
        <f>HYPERLINK("2\0\" &amp; K726, "Ver Imagen")</f>
        <v/>
      </c>
      <c r="M726" t="inlineStr">
        <is>
          <t>Moda</t>
        </is>
      </c>
    </row>
    <row r="727">
      <c r="A727" t="n">
        <v>726</v>
      </c>
      <c r="B727" t="inlineStr">
        <is>
          <t>A-497_2C__410</t>
        </is>
      </c>
      <c r="C727" s="1" t="n">
        <v>37.2280806061</v>
      </c>
      <c r="D727" s="1" t="n">
        <v>-7.02191919966</v>
      </c>
      <c r="E727" s="3" t="n">
        <v>2</v>
      </c>
      <c r="F727" s="2" t="n">
        <v>2</v>
      </c>
      <c r="G727" s="4" t="n">
        <v>2</v>
      </c>
      <c r="H727" s="13" t="n"/>
      <c r="I727" s="15" t="n"/>
      <c r="J727" s="19" t="n">
        <v>2</v>
      </c>
      <c r="K727" s="2" t="inlineStr">
        <is>
          <t>marker_773_363008.png</t>
        </is>
      </c>
      <c r="L727" s="11">
        <f>HYPERLINK("2\0\" &amp; K727, "Ver Imagen")</f>
        <v/>
      </c>
      <c r="M727" t="inlineStr">
        <is>
          <t>Moda</t>
        </is>
      </c>
    </row>
    <row r="728">
      <c r="A728" t="n">
        <v>727</v>
      </c>
      <c r="B728" t="inlineStr">
        <is>
          <t>A-497_2C__412</t>
        </is>
      </c>
      <c r="C728" s="1" t="n">
        <v>37.2277374816</v>
      </c>
      <c r="D728" s="1" t="n">
        <v>-7.02218177041</v>
      </c>
      <c r="E728" s="3" t="n">
        <v>2</v>
      </c>
      <c r="F728" s="2" t="n">
        <v>2</v>
      </c>
      <c r="G728" s="4" t="n">
        <v>2</v>
      </c>
      <c r="H728" s="13" t="n"/>
      <c r="I728" s="15" t="n"/>
      <c r="J728" s="19" t="n">
        <v>2</v>
      </c>
      <c r="K728" s="2" t="inlineStr">
        <is>
          <t>marker_867_363034.png</t>
        </is>
      </c>
      <c r="L728" s="11">
        <f>HYPERLINK("2\0\" &amp; K728, "Ver Imagen")</f>
        <v/>
      </c>
      <c r="M728" t="inlineStr">
        <is>
          <t>Moda</t>
        </is>
      </c>
    </row>
    <row r="729">
      <c r="A729" t="n">
        <v>728</v>
      </c>
      <c r="B729" t="inlineStr">
        <is>
          <t>A-497_2C__414</t>
        </is>
      </c>
      <c r="C729" s="1" t="n">
        <v>37.2273819658</v>
      </c>
      <c r="D729" s="1" t="n">
        <v>-7.02244848377</v>
      </c>
      <c r="E729" s="3" t="n">
        <v>2</v>
      </c>
      <c r="F729" s="2" t="n">
        <v>2</v>
      </c>
      <c r="G729" s="4" t="n">
        <v>2</v>
      </c>
      <c r="H729" s="13" t="n"/>
      <c r="I729" s="15" t="n"/>
      <c r="J729" s="19" t="n">
        <v>2</v>
      </c>
      <c r="K729" s="2" t="inlineStr">
        <is>
          <t>marker_803_363054.png</t>
        </is>
      </c>
      <c r="L729" s="11">
        <f>HYPERLINK("2\0\" &amp; K729, "Ver Imagen")</f>
        <v/>
      </c>
      <c r="M729" t="inlineStr">
        <is>
          <t>Moda</t>
        </is>
      </c>
    </row>
    <row r="730">
      <c r="A730" t="n">
        <v>729</v>
      </c>
      <c r="B730" t="inlineStr">
        <is>
          <t>A-497_2C__415</t>
        </is>
      </c>
      <c r="C730" s="1" t="n">
        <v>37.227221905</v>
      </c>
      <c r="D730" s="1" t="n">
        <v>-7.02256439269</v>
      </c>
      <c r="E730" s="3" t="n">
        <v>2</v>
      </c>
      <c r="F730" s="2" t="n">
        <v>2</v>
      </c>
      <c r="G730" s="4" t="n">
        <v>2</v>
      </c>
      <c r="H730" s="13" t="n"/>
      <c r="I730" s="15" t="n"/>
      <c r="J730" s="19" t="n">
        <v>2</v>
      </c>
      <c r="K730" s="2" t="inlineStr">
        <is>
          <t>marker_103_363063.png</t>
        </is>
      </c>
      <c r="L730" s="11">
        <f>HYPERLINK("2\0\" &amp; K730, "Ver Imagen")</f>
        <v/>
      </c>
      <c r="M730" t="inlineStr">
        <is>
          <t>Moda</t>
        </is>
      </c>
    </row>
    <row r="731">
      <c r="A731" t="n">
        <v>730</v>
      </c>
      <c r="B731" t="inlineStr">
        <is>
          <t>A-497_2C__417</t>
        </is>
      </c>
      <c r="C731" s="1" t="n">
        <v>37.226833429</v>
      </c>
      <c r="D731" s="1" t="n">
        <v>-7.02281768123</v>
      </c>
      <c r="E731" s="3" t="n">
        <v>2</v>
      </c>
      <c r="F731" s="2" t="n">
        <v>2</v>
      </c>
      <c r="G731" s="4" t="n">
        <v>2</v>
      </c>
      <c r="H731" s="13" t="n"/>
      <c r="I731" s="15" t="n"/>
      <c r="J731" s="19" t="n">
        <v>2</v>
      </c>
      <c r="K731" s="2" t="inlineStr">
        <is>
          <t>marker_186_363085.png</t>
        </is>
      </c>
      <c r="L731" s="11">
        <f>HYPERLINK("2\0\" &amp; K731, "Ver Imagen")</f>
        <v/>
      </c>
      <c r="M731" t="inlineStr">
        <is>
          <t>Moda</t>
        </is>
      </c>
    </row>
    <row r="732">
      <c r="A732" t="n">
        <v>731</v>
      </c>
      <c r="B732" t="inlineStr">
        <is>
          <t>A-497_2C__420</t>
        </is>
      </c>
      <c r="C732" s="1" t="n">
        <v>37.2262781873</v>
      </c>
      <c r="D732" s="1" t="n">
        <v>-7.02309171218</v>
      </c>
      <c r="E732" s="3" t="n">
        <v>2</v>
      </c>
      <c r="F732" s="2" t="n">
        <v>2</v>
      </c>
      <c r="G732" s="4" t="n">
        <v>2</v>
      </c>
      <c r="H732" s="13" t="n"/>
      <c r="I732" s="15" t="n"/>
      <c r="J732" s="19" t="n">
        <v>2</v>
      </c>
      <c r="K732" s="2" t="inlineStr">
        <is>
          <t>marker_760_363114.png</t>
        </is>
      </c>
      <c r="L732" s="11">
        <f>HYPERLINK("2\0\" &amp; K732, "Ver Imagen")</f>
        <v/>
      </c>
      <c r="M732" t="inlineStr">
        <is>
          <t>Moda</t>
        </is>
      </c>
    </row>
    <row r="733">
      <c r="A733" t="n">
        <v>732</v>
      </c>
      <c r="B733" t="inlineStr">
        <is>
          <t>A-497__482</t>
        </is>
      </c>
      <c r="C733" s="1" t="n">
        <v>37.2147793917</v>
      </c>
      <c r="D733" s="1" t="n">
        <v>-7.02345090334</v>
      </c>
      <c r="E733" s="3" t="n">
        <v>2</v>
      </c>
      <c r="F733" s="2" t="n">
        <v>2</v>
      </c>
      <c r="G733" s="4" t="n">
        <v>2</v>
      </c>
      <c r="H733" s="13" t="n"/>
      <c r="I733" s="15" t="n"/>
      <c r="J733" s="19" t="n">
        <v>2</v>
      </c>
      <c r="K733" s="2" t="inlineStr">
        <is>
          <t>marker_275_376286.png</t>
        </is>
      </c>
      <c r="L733" s="11">
        <f>HYPERLINK("2\0\" &amp; K733, "Ver Imagen")</f>
        <v/>
      </c>
      <c r="M733" t="inlineStr">
        <is>
          <t>Moda</t>
        </is>
      </c>
    </row>
    <row r="734">
      <c r="A734" t="n">
        <v>733</v>
      </c>
      <c r="B734" t="inlineStr">
        <is>
          <t>A-497_2C__424</t>
        </is>
      </c>
      <c r="C734" s="1" t="n">
        <v>37.225463966</v>
      </c>
      <c r="D734" s="1" t="n">
        <v>-7.02333324334</v>
      </c>
      <c r="E734" s="3" t="n">
        <v>2</v>
      </c>
      <c r="F734" s="2" t="n">
        <v>2</v>
      </c>
      <c r="G734" s="4" t="n">
        <v>2</v>
      </c>
      <c r="H734" s="13" t="n"/>
      <c r="I734" s="15" t="n"/>
      <c r="J734" s="19" t="n">
        <v>2</v>
      </c>
      <c r="K734" s="2" t="inlineStr">
        <is>
          <t>marker_455_363152.png</t>
        </is>
      </c>
      <c r="L734" s="11">
        <f>HYPERLINK("2\0\" &amp; K734, "Ver Imagen")</f>
        <v/>
      </c>
      <c r="M734" t="inlineStr">
        <is>
          <t>Moda</t>
        </is>
      </c>
    </row>
    <row r="735">
      <c r="A735" t="n">
        <v>734</v>
      </c>
      <c r="B735" t="inlineStr">
        <is>
          <t>A-497__477</t>
        </is>
      </c>
      <c r="C735" s="1" t="n">
        <v>37.2157416497</v>
      </c>
      <c r="D735" s="1" t="n">
        <v>-7.02327723657</v>
      </c>
      <c r="E735" s="3" t="n">
        <v>2</v>
      </c>
      <c r="F735" s="2" t="n">
        <v>2</v>
      </c>
      <c r="G735" s="4" t="n">
        <v>2</v>
      </c>
      <c r="H735" s="13" t="n"/>
      <c r="I735" s="15" t="n"/>
      <c r="J735" s="19" t="n">
        <v>2</v>
      </c>
      <c r="K735" s="2" t="inlineStr">
        <is>
          <t>marker_294_376349.png</t>
        </is>
      </c>
      <c r="L735" s="11">
        <f>HYPERLINK("2\0\" &amp; K735, "Ver Imagen")</f>
        <v/>
      </c>
      <c r="M735" t="inlineStr">
        <is>
          <t>Moda</t>
        </is>
      </c>
    </row>
    <row r="736">
      <c r="A736" t="n">
        <v>735</v>
      </c>
      <c r="B736" t="inlineStr">
        <is>
          <t>A-497_2C__433</t>
        </is>
      </c>
      <c r="C736" s="1" t="n">
        <v>37.2236935465</v>
      </c>
      <c r="D736" s="1" t="n">
        <v>-7.02331271853</v>
      </c>
      <c r="E736" s="3" t="n">
        <v>2</v>
      </c>
      <c r="F736" s="2" t="n">
        <v>2</v>
      </c>
      <c r="G736" s="4" t="n">
        <v>2</v>
      </c>
      <c r="H736" s="13" t="n"/>
      <c r="I736" s="15" t="n"/>
      <c r="J736" s="19" t="n">
        <v>2</v>
      </c>
      <c r="K736" s="2" t="inlineStr">
        <is>
          <t>marker_816_363232.png</t>
        </is>
      </c>
      <c r="L736" s="11">
        <f>HYPERLINK("2\0\" &amp; K736, "Ver Imagen")</f>
        <v/>
      </c>
      <c r="M736" t="inlineStr">
        <is>
          <t>Moda</t>
        </is>
      </c>
    </row>
    <row r="737">
      <c r="A737" t="n">
        <v>736</v>
      </c>
      <c r="B737" t="inlineStr">
        <is>
          <t>A-497_2C__434</t>
        </is>
      </c>
      <c r="C737" s="1" t="n">
        <v>37.2234922353</v>
      </c>
      <c r="D737" s="1" t="n">
        <v>-7.02329367769</v>
      </c>
      <c r="E737" s="3" t="n">
        <v>2</v>
      </c>
      <c r="F737" s="2" t="n">
        <v>2</v>
      </c>
      <c r="G737" s="4" t="n">
        <v>2</v>
      </c>
      <c r="H737" s="13" t="n"/>
      <c r="I737" s="15" t="n"/>
      <c r="J737" s="19" t="n">
        <v>2</v>
      </c>
      <c r="K737" s="2" t="inlineStr">
        <is>
          <t>marker_501_363243.png</t>
        </is>
      </c>
      <c r="L737" s="11">
        <f>HYPERLINK("2\0\" &amp; K737, "Ver Imagen")</f>
        <v/>
      </c>
      <c r="M737" t="inlineStr">
        <is>
          <t>Moda</t>
        </is>
      </c>
    </row>
    <row r="738">
      <c r="A738" t="n">
        <v>737</v>
      </c>
      <c r="B738" t="inlineStr">
        <is>
          <t>A-497__464</t>
        </is>
      </c>
      <c r="C738" s="1" t="n">
        <v>37.2183622346</v>
      </c>
      <c r="D738" s="1" t="n">
        <v>-7.02283079647</v>
      </c>
      <c r="E738" s="3" t="n">
        <v>2</v>
      </c>
      <c r="F738" s="2" t="n">
        <v>2</v>
      </c>
      <c r="G738" s="4" t="n">
        <v>2</v>
      </c>
      <c r="H738" s="13" t="n"/>
      <c r="I738" s="15" t="n"/>
      <c r="J738" s="19" t="n">
        <v>2</v>
      </c>
      <c r="K738" s="2" t="inlineStr">
        <is>
          <t>marker_516_376531.png</t>
        </is>
      </c>
      <c r="L738" s="11">
        <f>HYPERLINK("2\0\" &amp; K738, "Ver Imagen")</f>
        <v/>
      </c>
      <c r="M738" t="inlineStr">
        <is>
          <t>Moda</t>
        </is>
      </c>
    </row>
    <row r="739">
      <c r="A739" t="n">
        <v>738</v>
      </c>
      <c r="B739" t="inlineStr">
        <is>
          <t>A-497__463</t>
        </is>
      </c>
      <c r="C739" s="1" t="n">
        <v>37.2185695372</v>
      </c>
      <c r="D739" s="1" t="n">
        <v>-7.0228084449</v>
      </c>
      <c r="E739" s="3" t="n">
        <v>2</v>
      </c>
      <c r="F739" s="2" t="n">
        <v>2</v>
      </c>
      <c r="G739" s="4" t="n">
        <v>2</v>
      </c>
      <c r="H739" s="13" t="n"/>
      <c r="I739" s="15" t="n"/>
      <c r="J739" s="19" t="n">
        <v>2</v>
      </c>
      <c r="K739" s="2" t="inlineStr">
        <is>
          <t>marker_465_376540.png</t>
        </is>
      </c>
      <c r="L739" s="11">
        <f>HYPERLINK("2\0\" &amp; K739, "Ver Imagen")</f>
        <v/>
      </c>
      <c r="M739" t="inlineStr">
        <is>
          <t>Moda</t>
        </is>
      </c>
    </row>
    <row r="740">
      <c r="A740" t="n">
        <v>739</v>
      </c>
      <c r="B740" t="inlineStr">
        <is>
          <t>A-497__462</t>
        </is>
      </c>
      <c r="C740" s="1" t="n">
        <v>37.2187648764</v>
      </c>
      <c r="D740" s="1" t="n">
        <v>-7.0227909707</v>
      </c>
      <c r="E740" s="3" t="n">
        <v>2</v>
      </c>
      <c r="F740" s="2" t="n">
        <v>2</v>
      </c>
      <c r="G740" s="4" t="n">
        <v>2</v>
      </c>
      <c r="H740" s="13" t="n"/>
      <c r="I740" s="15" t="n"/>
      <c r="J740" s="19" t="n">
        <v>2</v>
      </c>
      <c r="K740" s="2" t="inlineStr">
        <is>
          <t>marker_656_376549.png</t>
        </is>
      </c>
      <c r="L740" s="11">
        <f>HYPERLINK("2\0\" &amp; K740, "Ver Imagen")</f>
        <v/>
      </c>
      <c r="M740" t="inlineStr">
        <is>
          <t>Moda</t>
        </is>
      </c>
    </row>
    <row r="741">
      <c r="A741" t="n">
        <v>740</v>
      </c>
      <c r="B741" t="inlineStr">
        <is>
          <t>A-497__460</t>
        </is>
      </c>
      <c r="C741" s="1" t="n">
        <v>37.2191421092</v>
      </c>
      <c r="D741" s="1" t="n">
        <v>-7.02276997661</v>
      </c>
      <c r="E741" s="3" t="n">
        <v>2</v>
      </c>
      <c r="F741" s="2" t="n">
        <v>2</v>
      </c>
      <c r="G741" s="4" t="n">
        <v>2</v>
      </c>
      <c r="H741" s="13" t="n"/>
      <c r="I741" s="15" t="n"/>
      <c r="J741" s="19" t="n">
        <v>2</v>
      </c>
      <c r="K741" s="2" t="inlineStr">
        <is>
          <t>marker_806_376567.png</t>
        </is>
      </c>
      <c r="L741" s="11">
        <f>HYPERLINK("2\0\" &amp; K741, "Ver Imagen")</f>
        <v/>
      </c>
      <c r="M741" t="inlineStr">
        <is>
          <t>Moda</t>
        </is>
      </c>
    </row>
    <row r="742">
      <c r="A742" t="n">
        <v>741</v>
      </c>
      <c r="B742" t="inlineStr">
        <is>
          <t>A-497__459</t>
        </is>
      </c>
      <c r="C742" s="1" t="n">
        <v>37.2193841095</v>
      </c>
      <c r="D742" s="1" t="n">
        <v>-7.02276555513</v>
      </c>
      <c r="E742" s="3" t="n">
        <v>2</v>
      </c>
      <c r="F742" s="2" t="n">
        <v>2</v>
      </c>
      <c r="G742" s="4" t="n">
        <v>2</v>
      </c>
      <c r="H742" s="13" t="n"/>
      <c r="I742" s="15" t="n"/>
      <c r="J742" s="19" t="n">
        <v>2</v>
      </c>
      <c r="K742" s="2" t="inlineStr">
        <is>
          <t>marker_577_376578.png</t>
        </is>
      </c>
      <c r="L742" s="11">
        <f>HYPERLINK("2\0\" &amp; K742, "Ver Imagen")</f>
        <v/>
      </c>
      <c r="M742" t="inlineStr">
        <is>
          <t>Moda</t>
        </is>
      </c>
    </row>
    <row r="743">
      <c r="A743" t="n">
        <v>742</v>
      </c>
      <c r="B743" t="inlineStr">
        <is>
          <t>A-497_2C__500</t>
        </is>
      </c>
      <c r="C743" s="1" t="n">
        <v>37.2101946007</v>
      </c>
      <c r="D743" s="1" t="n">
        <v>-7.02378583216</v>
      </c>
      <c r="E743" s="3" t="n">
        <v>2</v>
      </c>
      <c r="F743" s="2" t="n">
        <v>2</v>
      </c>
      <c r="G743" s="4" t="n">
        <v>2</v>
      </c>
      <c r="H743" s="13" t="n"/>
      <c r="I743" s="15" t="n"/>
      <c r="J743" s="19" t="n">
        <v>2</v>
      </c>
      <c r="K743" s="2" t="inlineStr">
        <is>
          <t>marker_702_364063.png</t>
        </is>
      </c>
      <c r="L743" s="11">
        <f>HYPERLINK("2\0\" &amp; K743, "Ver Imagen")</f>
        <v/>
      </c>
      <c r="M743" t="inlineStr">
        <is>
          <t>Moda</t>
        </is>
      </c>
    </row>
    <row r="744">
      <c r="A744" t="n">
        <v>743</v>
      </c>
      <c r="B744" t="inlineStr">
        <is>
          <t>A-497__453</t>
        </is>
      </c>
      <c r="C744" s="1" t="n">
        <v>37.2206116898</v>
      </c>
      <c r="D744" s="1" t="n">
        <v>-7.02283320674</v>
      </c>
      <c r="E744" s="3" t="n">
        <v>2</v>
      </c>
      <c r="F744" s="2" t="n">
        <v>2</v>
      </c>
      <c r="G744" s="4" t="n">
        <v>2</v>
      </c>
      <c r="H744" s="13" t="n"/>
      <c r="I744" s="15" t="n"/>
      <c r="J744" s="19" t="n">
        <v>2</v>
      </c>
      <c r="K744" s="2" t="inlineStr">
        <is>
          <t>marker_506_376657.png</t>
        </is>
      </c>
      <c r="L744" s="11">
        <f>HYPERLINK("2\0\" &amp; K744, "Ver Imagen")</f>
        <v/>
      </c>
      <c r="M744" t="inlineStr">
        <is>
          <t>Moda</t>
        </is>
      </c>
    </row>
    <row r="745">
      <c r="A745" t="n">
        <v>744</v>
      </c>
      <c r="B745" t="inlineStr">
        <is>
          <t>A-497_2C__508</t>
        </is>
      </c>
      <c r="C745" s="1" t="n">
        <v>37.2087045085</v>
      </c>
      <c r="D745" s="1" t="n">
        <v>-7.02305545801</v>
      </c>
      <c r="E745" s="3" t="n">
        <v>2</v>
      </c>
      <c r="F745" s="2" t="n">
        <v>2</v>
      </c>
      <c r="G745" s="4" t="n">
        <v>2</v>
      </c>
      <c r="H745" s="13" t="n"/>
      <c r="I745" s="15" t="n"/>
      <c r="J745" s="19" t="n">
        <v>2</v>
      </c>
      <c r="K745" s="2" t="inlineStr">
        <is>
          <t>marker_493_364138.png</t>
        </is>
      </c>
      <c r="L745" s="11">
        <f>HYPERLINK("2\0\" &amp; K745, "Ver Imagen")</f>
        <v/>
      </c>
      <c r="M745" t="inlineStr">
        <is>
          <t>Moda</t>
        </is>
      </c>
    </row>
    <row r="746">
      <c r="A746" t="n">
        <v>745</v>
      </c>
      <c r="B746" t="inlineStr">
        <is>
          <t>A-497_2C__521</t>
        </is>
      </c>
      <c r="C746" s="1" t="n">
        <v>37.2066713444</v>
      </c>
      <c r="D746" s="1" t="n">
        <v>-7.02094224685</v>
      </c>
      <c r="E746" s="3" t="n">
        <v>2</v>
      </c>
      <c r="F746" s="2" t="n">
        <v>2</v>
      </c>
      <c r="G746" s="4" t="n">
        <v>2</v>
      </c>
      <c r="H746" s="13" t="n"/>
      <c r="I746" s="15" t="n"/>
      <c r="J746" s="19" t="n">
        <v>2</v>
      </c>
      <c r="K746" s="2" t="inlineStr">
        <is>
          <t>marker_238_364285.png</t>
        </is>
      </c>
      <c r="L746" s="11">
        <f>HYPERLINK("2\0\" &amp; K746, "Ver Imagen")</f>
        <v/>
      </c>
      <c r="M746" t="inlineStr">
        <is>
          <t>Moda</t>
        </is>
      </c>
    </row>
    <row r="747">
      <c r="A747" t="n">
        <v>746</v>
      </c>
      <c r="B747" t="inlineStr">
        <is>
          <t>A-497_2C__525</t>
        </is>
      </c>
      <c r="C747" s="1" t="n">
        <v>37.2061902217</v>
      </c>
      <c r="D747" s="1" t="n">
        <v>-7.0200890094</v>
      </c>
      <c r="E747" s="3" t="n">
        <v>2</v>
      </c>
      <c r="F747" s="2" t="n">
        <v>2</v>
      </c>
      <c r="G747" s="4" t="n">
        <v>2</v>
      </c>
      <c r="H747" s="13" t="n"/>
      <c r="I747" s="15" t="n"/>
      <c r="J747" s="19" t="n">
        <v>2</v>
      </c>
      <c r="K747" s="2" t="inlineStr">
        <is>
          <t>marker_315_364390.png</t>
        </is>
      </c>
      <c r="L747" s="11">
        <f>HYPERLINK("2\0\" &amp; K747, "Ver Imagen")</f>
        <v/>
      </c>
      <c r="M747" t="inlineStr">
        <is>
          <t>Moda</t>
        </is>
      </c>
    </row>
    <row r="748">
      <c r="A748" t="n">
        <v>747</v>
      </c>
      <c r="B748" t="inlineStr">
        <is>
          <t>A-497_2C__526</t>
        </is>
      </c>
      <c r="C748" s="1" t="n">
        <v>37.2060892228</v>
      </c>
      <c r="D748" s="1" t="n">
        <v>-7.01987796598</v>
      </c>
      <c r="E748" s="3" t="n">
        <v>2</v>
      </c>
      <c r="F748" s="2" t="n">
        <v>2</v>
      </c>
      <c r="G748" s="4" t="n">
        <v>2</v>
      </c>
      <c r="H748" s="13" t="n"/>
      <c r="I748" s="15" t="n"/>
      <c r="J748" s="19" t="n">
        <v>2</v>
      </c>
      <c r="K748" s="2" t="inlineStr">
        <is>
          <t>marker_691_364398.png</t>
        </is>
      </c>
      <c r="L748" s="11">
        <f>HYPERLINK("2\0\" &amp; K748, "Ver Imagen")</f>
        <v/>
      </c>
      <c r="M748" t="inlineStr">
        <is>
          <t>Moda</t>
        </is>
      </c>
    </row>
    <row r="749">
      <c r="A749" t="n">
        <v>748</v>
      </c>
      <c r="B749" t="inlineStr">
        <is>
          <t>A-497_2C__528</t>
        </is>
      </c>
      <c r="C749" s="1" t="n">
        <v>37.2059088012</v>
      </c>
      <c r="D749" s="1" t="n">
        <v>-7.01946184302</v>
      </c>
      <c r="E749" s="3" t="n">
        <v>2</v>
      </c>
      <c r="F749" s="2" t="n">
        <v>2</v>
      </c>
      <c r="G749" s="4" t="n">
        <v>2</v>
      </c>
      <c r="H749" s="13" t="n"/>
      <c r="I749" s="15" t="n"/>
      <c r="J749" s="19" t="n">
        <v>2</v>
      </c>
      <c r="K749" s="2" t="inlineStr">
        <is>
          <t>marker_311_364417.png</t>
        </is>
      </c>
      <c r="L749" s="11">
        <f>HYPERLINK("2\0\" &amp; K749, "Ver Imagen")</f>
        <v/>
      </c>
      <c r="M749" t="inlineStr">
        <is>
          <t>Moda</t>
        </is>
      </c>
    </row>
    <row r="750">
      <c r="A750" t="n">
        <v>749</v>
      </c>
      <c r="B750" t="inlineStr">
        <is>
          <t>A-497_2C__529</t>
        </is>
      </c>
      <c r="C750" s="1" t="n">
        <v>37.2058259173</v>
      </c>
      <c r="D750" s="1" t="n">
        <v>-7.01925256652</v>
      </c>
      <c r="E750" s="3" t="n">
        <v>2</v>
      </c>
      <c r="F750" s="2" t="n">
        <v>2</v>
      </c>
      <c r="G750" s="4" t="n">
        <v>2</v>
      </c>
      <c r="H750" s="13" t="n"/>
      <c r="I750" s="15" t="n"/>
      <c r="J750" s="19" t="n">
        <v>2</v>
      </c>
      <c r="K750" s="2" t="inlineStr">
        <is>
          <t>marker_753_364425.png</t>
        </is>
      </c>
      <c r="L750" s="11">
        <f>HYPERLINK("2\0\" &amp; K750, "Ver Imagen")</f>
        <v/>
      </c>
      <c r="M750" t="inlineStr">
        <is>
          <t>Moda</t>
        </is>
      </c>
    </row>
    <row r="751">
      <c r="A751" t="n">
        <v>750</v>
      </c>
      <c r="B751" t="inlineStr">
        <is>
          <t>A-497_2C__532</t>
        </is>
      </c>
      <c r="C751" s="1" t="n">
        <v>37.2055671378</v>
      </c>
      <c r="D751" s="1" t="n">
        <v>-7.0185110587</v>
      </c>
      <c r="E751" s="3" t="n">
        <v>2</v>
      </c>
      <c r="F751" s="2" t="n">
        <v>2</v>
      </c>
      <c r="G751" s="4" t="n">
        <v>2</v>
      </c>
      <c r="H751" s="13" t="n"/>
      <c r="I751" s="15" t="n"/>
      <c r="J751" s="19" t="n">
        <v>2</v>
      </c>
      <c r="K751" s="2" t="inlineStr">
        <is>
          <t>marker_523_364452.png</t>
        </is>
      </c>
      <c r="L751" s="11">
        <f>HYPERLINK("2\0\" &amp; K751, "Ver Imagen")</f>
        <v/>
      </c>
      <c r="M751" t="inlineStr">
        <is>
          <t>Moda</t>
        </is>
      </c>
    </row>
    <row r="752">
      <c r="A752" t="n">
        <v>751</v>
      </c>
      <c r="B752" t="inlineStr">
        <is>
          <t>A-497_2C__533</t>
        </is>
      </c>
      <c r="C752" s="1" t="n">
        <v>37.2054830172</v>
      </c>
      <c r="D752" s="1" t="n">
        <v>-7.01824180723</v>
      </c>
      <c r="E752" s="3" t="n">
        <v>2</v>
      </c>
      <c r="F752" s="2" t="n">
        <v>2</v>
      </c>
      <c r="G752" s="4" t="n">
        <v>2</v>
      </c>
      <c r="H752" s="13" t="n"/>
      <c r="I752" s="15" t="n"/>
      <c r="J752" s="19" t="n">
        <v>2</v>
      </c>
      <c r="K752" s="2" t="inlineStr">
        <is>
          <t>marker_576_364464.png</t>
        </is>
      </c>
      <c r="L752" s="11">
        <f>HYPERLINK("2\0\" &amp; K752, "Ver Imagen")</f>
        <v/>
      </c>
      <c r="M752" t="inlineStr">
        <is>
          <t>Moda</t>
        </is>
      </c>
    </row>
    <row r="753">
      <c r="A753" t="n">
        <v>752</v>
      </c>
      <c r="B753" t="inlineStr">
        <is>
          <t>A-497_2C__626</t>
        </is>
      </c>
      <c r="C753" s="1" t="n">
        <v>37.2018163405</v>
      </c>
      <c r="D753" s="1" t="n">
        <v>-6.99533535413</v>
      </c>
      <c r="E753" s="3" t="n">
        <v>2</v>
      </c>
      <c r="F753" s="2" t="n">
        <v>2</v>
      </c>
      <c r="G753" s="4" t="n">
        <v>2</v>
      </c>
      <c r="H753" s="13" t="n"/>
      <c r="I753" s="15" t="n"/>
      <c r="J753" s="19" t="n">
        <v>2</v>
      </c>
      <c r="K753" s="2" t="inlineStr">
        <is>
          <t>marker_276_367043.png</t>
        </is>
      </c>
      <c r="L753" s="11">
        <f>HYPERLINK("2\0\" &amp; K753, "Ver Imagen")</f>
        <v/>
      </c>
      <c r="M753" t="inlineStr">
        <is>
          <t>Moda</t>
        </is>
      </c>
    </row>
    <row r="754">
      <c r="A754" t="n">
        <v>753</v>
      </c>
      <c r="B754" t="inlineStr">
        <is>
          <t>A-497_2C__627</t>
        </is>
      </c>
      <c r="C754" s="1" t="n">
        <v>37.2017781021</v>
      </c>
      <c r="D754" s="1" t="n">
        <v>-6.99510254535</v>
      </c>
      <c r="E754" s="3" t="n">
        <v>2</v>
      </c>
      <c r="F754" s="2" t="n">
        <v>2</v>
      </c>
      <c r="G754" s="4" t="n">
        <v>2</v>
      </c>
      <c r="H754" s="13" t="n"/>
      <c r="I754" s="15" t="n"/>
      <c r="J754" s="19" t="n">
        <v>2</v>
      </c>
      <c r="K754" s="2" t="inlineStr">
        <is>
          <t>marker_745_367052.png</t>
        </is>
      </c>
      <c r="L754" s="11">
        <f>HYPERLINK("2\0\" &amp; K754, "Ver Imagen")</f>
        <v/>
      </c>
      <c r="M754" t="inlineStr">
        <is>
          <t>Moda</t>
        </is>
      </c>
    </row>
    <row r="755">
      <c r="A755" t="n">
        <v>754</v>
      </c>
      <c r="B755" t="inlineStr">
        <is>
          <t>A-497_2C__628</t>
        </is>
      </c>
      <c r="C755" s="1" t="n">
        <v>37.2017352758</v>
      </c>
      <c r="D755" s="1" t="n">
        <v>-6.9948488264</v>
      </c>
      <c r="E755" s="3" t="n">
        <v>2</v>
      </c>
      <c r="F755" s="2" t="n">
        <v>2</v>
      </c>
      <c r="G755" s="4" t="n">
        <v>2</v>
      </c>
      <c r="H755" s="13" t="n"/>
      <c r="I755" s="15" t="n"/>
      <c r="J755" s="19" t="n">
        <v>2</v>
      </c>
      <c r="K755" s="2" t="inlineStr">
        <is>
          <t>marker_521_367063.png</t>
        </is>
      </c>
      <c r="L755" s="11">
        <f>HYPERLINK("2\0\" &amp; K755, "Ver Imagen")</f>
        <v/>
      </c>
      <c r="M755" t="inlineStr">
        <is>
          <t>Moda</t>
        </is>
      </c>
    </row>
    <row r="756">
      <c r="A756" t="n">
        <v>755</v>
      </c>
      <c r="B756" t="inlineStr">
        <is>
          <t>A-497_2C__629</t>
        </is>
      </c>
      <c r="C756" s="1" t="n">
        <v>37.2016927956</v>
      </c>
      <c r="D756" s="1" t="n">
        <v>-6.99460420074</v>
      </c>
      <c r="E756" s="3" t="n">
        <v>2</v>
      </c>
      <c r="F756" s="2" t="n">
        <v>2</v>
      </c>
      <c r="G756" s="4" t="n">
        <v>2</v>
      </c>
      <c r="H756" s="13" t="n"/>
      <c r="I756" s="15" t="n"/>
      <c r="J756" s="19" t="n">
        <v>2</v>
      </c>
      <c r="K756" s="2" t="inlineStr">
        <is>
          <t>marker_843_367073.png</t>
        </is>
      </c>
      <c r="L756" s="11">
        <f>HYPERLINK("2\0\" &amp; K756, "Ver Imagen")</f>
        <v/>
      </c>
      <c r="M756" t="inlineStr">
        <is>
          <t>Moda</t>
        </is>
      </c>
    </row>
    <row r="757">
      <c r="A757" t="n">
        <v>756</v>
      </c>
      <c r="B757" t="inlineStr">
        <is>
          <t>A-497_2C__630</t>
        </is>
      </c>
      <c r="C757" s="1" t="n">
        <v>37.2016503262</v>
      </c>
      <c r="D757" s="1" t="n">
        <v>-6.99436577449</v>
      </c>
      <c r="E757" s="3" t="n">
        <v>2</v>
      </c>
      <c r="F757" s="2" t="n">
        <v>2</v>
      </c>
      <c r="G757" s="4" t="n">
        <v>2</v>
      </c>
      <c r="H757" s="13" t="n"/>
      <c r="I757" s="15" t="n"/>
      <c r="J757" s="19" t="n">
        <v>2</v>
      </c>
      <c r="K757" s="2" t="inlineStr">
        <is>
          <t>marker_894_367082.png</t>
        </is>
      </c>
      <c r="L757" s="11">
        <f>HYPERLINK("2\0\" &amp; K757, "Ver Imagen")</f>
        <v/>
      </c>
      <c r="M757" t="inlineStr">
        <is>
          <t>Moda</t>
        </is>
      </c>
    </row>
    <row r="758">
      <c r="A758" t="n">
        <v>757</v>
      </c>
      <c r="B758" t="inlineStr">
        <is>
          <t>A-497_2C__631</t>
        </is>
      </c>
      <c r="C758" s="1" t="n">
        <v>37.2016040422</v>
      </c>
      <c r="D758" s="1" t="n">
        <v>-6.99410253962</v>
      </c>
      <c r="E758" s="3" t="n">
        <v>2</v>
      </c>
      <c r="F758" s="2" t="n">
        <v>2</v>
      </c>
      <c r="G758" s="4" t="n">
        <v>2</v>
      </c>
      <c r="H758" s="13" t="n"/>
      <c r="I758" s="15" t="n"/>
      <c r="J758" s="19" t="n">
        <v>2</v>
      </c>
      <c r="K758" s="2" t="inlineStr">
        <is>
          <t>marker_472_367093.png</t>
        </is>
      </c>
      <c r="L758" s="11">
        <f>HYPERLINK("2\0\" &amp; K758, "Ver Imagen")</f>
        <v/>
      </c>
      <c r="M758" t="inlineStr">
        <is>
          <t>Moda</t>
        </is>
      </c>
    </row>
    <row r="759">
      <c r="A759" t="n">
        <v>758</v>
      </c>
      <c r="B759" t="inlineStr">
        <is>
          <t>A-497_2C__632</t>
        </is>
      </c>
      <c r="C759" s="1" t="n">
        <v>37.2015618009</v>
      </c>
      <c r="D759" s="1" t="n">
        <v>-6.99385739759</v>
      </c>
      <c r="E759" s="3" t="n">
        <v>2</v>
      </c>
      <c r="F759" s="2" t="n">
        <v>2</v>
      </c>
      <c r="G759" s="4" t="n">
        <v>2</v>
      </c>
      <c r="H759" s="13" t="n"/>
      <c r="I759" s="15" t="n"/>
      <c r="J759" s="19" t="n">
        <v>2</v>
      </c>
      <c r="K759" s="2" t="inlineStr">
        <is>
          <t>marker_659_367102.png</t>
        </is>
      </c>
      <c r="L759" s="11">
        <f>HYPERLINK("2\0\" &amp; K759, "Ver Imagen")</f>
        <v/>
      </c>
      <c r="M759" t="inlineStr">
        <is>
          <t>Moda</t>
        </is>
      </c>
    </row>
    <row r="760">
      <c r="A760" t="n">
        <v>759</v>
      </c>
      <c r="B760" t="inlineStr">
        <is>
          <t>A-497_2C__633</t>
        </is>
      </c>
      <c r="C760" s="1" t="n">
        <v>37.2015231527</v>
      </c>
      <c r="D760" s="1" t="n">
        <v>-6.99363595081</v>
      </c>
      <c r="E760" s="3" t="n">
        <v>2</v>
      </c>
      <c r="F760" s="2" t="n">
        <v>2</v>
      </c>
      <c r="G760" s="4" t="n">
        <v>2</v>
      </c>
      <c r="H760" s="13" t="n"/>
      <c r="I760" s="15" t="n"/>
      <c r="J760" s="19" t="n">
        <v>2</v>
      </c>
      <c r="K760" s="2" t="inlineStr">
        <is>
          <t>marker_237_367111.png</t>
        </is>
      </c>
      <c r="L760" s="11">
        <f>HYPERLINK("2\0\" &amp; K760, "Ver Imagen")</f>
        <v/>
      </c>
      <c r="M760" t="inlineStr">
        <is>
          <t>Moda</t>
        </is>
      </c>
    </row>
    <row r="761">
      <c r="A761" t="n">
        <v>760</v>
      </c>
      <c r="B761" t="inlineStr">
        <is>
          <t>A-497_2C__634</t>
        </is>
      </c>
      <c r="C761" s="1" t="n">
        <v>37.2014704758</v>
      </c>
      <c r="D761" s="1" t="n">
        <v>-6.99334198811</v>
      </c>
      <c r="E761" s="3" t="n">
        <v>2</v>
      </c>
      <c r="F761" s="2" t="n">
        <v>2</v>
      </c>
      <c r="G761" s="4" t="n">
        <v>2</v>
      </c>
      <c r="H761" s="13" t="n"/>
      <c r="I761" s="15" t="n"/>
      <c r="J761" s="19" t="n">
        <v>2</v>
      </c>
      <c r="K761" s="2" t="inlineStr">
        <is>
          <t>marker_226_367120.png</t>
        </is>
      </c>
      <c r="L761" s="11">
        <f>HYPERLINK("2\0\" &amp; K761, "Ver Imagen")</f>
        <v/>
      </c>
      <c r="M761" t="inlineStr">
        <is>
          <t>Moda</t>
        </is>
      </c>
    </row>
    <row r="762">
      <c r="A762" t="n">
        <v>761</v>
      </c>
      <c r="B762" t="inlineStr">
        <is>
          <t>A-497_2C__638</t>
        </is>
      </c>
      <c r="C762" s="1" t="n">
        <v>37.2012962158</v>
      </c>
      <c r="D762" s="1" t="n">
        <v>-6.99242106996</v>
      </c>
      <c r="E762" s="3" t="n">
        <v>2</v>
      </c>
      <c r="F762" s="2" t="n">
        <v>2</v>
      </c>
      <c r="G762" s="4" t="n">
        <v>2</v>
      </c>
      <c r="H762" s="13" t="n"/>
      <c r="I762" s="15" t="n"/>
      <c r="J762" s="19" t="n">
        <v>2</v>
      </c>
      <c r="K762" s="2" t="inlineStr">
        <is>
          <t>marker_262_367160.png</t>
        </is>
      </c>
      <c r="L762" s="11">
        <f>HYPERLINK("2\0\" &amp; K762, "Ver Imagen")</f>
        <v/>
      </c>
      <c r="M762" t="inlineStr">
        <is>
          <t>Moda</t>
        </is>
      </c>
    </row>
    <row r="763">
      <c r="A763" t="n">
        <v>762</v>
      </c>
      <c r="B763" t="inlineStr">
        <is>
          <t>A-497_2C__640</t>
        </is>
      </c>
      <c r="C763" s="1" t="n">
        <v>37.2011876959</v>
      </c>
      <c r="D763" s="1" t="n">
        <v>-6.99186071417</v>
      </c>
      <c r="E763" s="3" t="n">
        <v>2</v>
      </c>
      <c r="F763" s="2" t="n">
        <v>2</v>
      </c>
      <c r="G763" s="4" t="n">
        <v>2</v>
      </c>
      <c r="H763" s="13" t="n"/>
      <c r="I763" s="15" t="n"/>
      <c r="J763" s="19" t="n">
        <v>2</v>
      </c>
      <c r="K763" s="2" t="inlineStr">
        <is>
          <t>marker_877_367177.png</t>
        </is>
      </c>
      <c r="L763" s="11">
        <f>HYPERLINK("2\0\" &amp; K763, "Ver Imagen")</f>
        <v/>
      </c>
      <c r="M763" t="inlineStr">
        <is>
          <t>Moda</t>
        </is>
      </c>
    </row>
    <row r="764">
      <c r="A764" t="n">
        <v>763</v>
      </c>
      <c r="B764" t="inlineStr">
        <is>
          <t>A-497_2C__641</t>
        </is>
      </c>
      <c r="C764" s="1" t="n">
        <v>37.2011445585</v>
      </c>
      <c r="D764" s="1" t="n">
        <v>-6.99163972818</v>
      </c>
      <c r="E764" s="3" t="n">
        <v>2</v>
      </c>
      <c r="F764" s="2" t="n">
        <v>2</v>
      </c>
      <c r="G764" s="4" t="n">
        <v>2</v>
      </c>
      <c r="H764" s="13" t="n"/>
      <c r="I764" s="15" t="n"/>
      <c r="J764" s="19" t="n">
        <v>2</v>
      </c>
      <c r="K764" s="2" t="inlineStr">
        <is>
          <t>marker_818_367186.png</t>
        </is>
      </c>
      <c r="L764" s="11">
        <f>HYPERLINK("2\0\" &amp; K764, "Ver Imagen")</f>
        <v/>
      </c>
      <c r="M764" t="inlineStr">
        <is>
          <t>Moda</t>
        </is>
      </c>
    </row>
    <row r="765">
      <c r="A765" t="n">
        <v>764</v>
      </c>
      <c r="B765" t="inlineStr">
        <is>
          <t>A-497_2C__642</t>
        </is>
      </c>
      <c r="C765" s="1" t="n">
        <v>37.2010877405</v>
      </c>
      <c r="D765" s="1" t="n">
        <v>-6.99134855141</v>
      </c>
      <c r="E765" s="3" t="n">
        <v>2</v>
      </c>
      <c r="F765" s="2" t="n">
        <v>2</v>
      </c>
      <c r="G765" s="4" t="n">
        <v>2</v>
      </c>
      <c r="H765" s="13" t="n"/>
      <c r="I765" s="15" t="n"/>
      <c r="J765" s="19" t="n">
        <v>2</v>
      </c>
      <c r="K765" s="2" t="inlineStr">
        <is>
          <t>marker_167_367195.png</t>
        </is>
      </c>
      <c r="L765" s="11">
        <f>HYPERLINK("2\0\" &amp; K765, "Ver Imagen")</f>
        <v/>
      </c>
      <c r="M765" t="inlineStr">
        <is>
          <t>Moda</t>
        </is>
      </c>
    </row>
    <row r="766">
      <c r="A766" t="n">
        <v>765</v>
      </c>
      <c r="B766" t="inlineStr">
        <is>
          <t>A-497_2C__643</t>
        </is>
      </c>
      <c r="C766" s="1" t="n">
        <v>37.2010532149</v>
      </c>
      <c r="D766" s="1" t="n">
        <v>-6.9911712777</v>
      </c>
      <c r="E766" s="3" t="n">
        <v>2</v>
      </c>
      <c r="F766" s="2" t="n">
        <v>2</v>
      </c>
      <c r="G766" s="4" t="n">
        <v>2</v>
      </c>
      <c r="H766" s="13" t="n"/>
      <c r="I766" s="15" t="n"/>
      <c r="J766" s="19" t="n">
        <v>2</v>
      </c>
      <c r="K766" s="2" t="inlineStr">
        <is>
          <t>marker_329_367209.png</t>
        </is>
      </c>
      <c r="L766" s="11">
        <f>HYPERLINK("2\0\" &amp; K766, "Ver Imagen")</f>
        <v/>
      </c>
      <c r="M766" t="inlineStr">
        <is>
          <t>Moda</t>
        </is>
      </c>
    </row>
    <row r="767">
      <c r="A767" t="n">
        <v>766</v>
      </c>
      <c r="B767" t="inlineStr">
        <is>
          <t>A-497_2C__644</t>
        </is>
      </c>
      <c r="C767" s="1" t="n">
        <v>37.2010009208</v>
      </c>
      <c r="D767" s="1" t="n">
        <v>-6.99090683605</v>
      </c>
      <c r="E767" s="3" t="n">
        <v>2</v>
      </c>
      <c r="F767" s="2" t="n">
        <v>2</v>
      </c>
      <c r="G767" s="4" t="n">
        <v>2</v>
      </c>
      <c r="H767" s="13" t="n"/>
      <c r="I767" s="15" t="n"/>
      <c r="J767" s="19" t="n">
        <v>2</v>
      </c>
      <c r="K767" s="2" t="inlineStr">
        <is>
          <t>marker_922_367219.png</t>
        </is>
      </c>
      <c r="L767" s="11">
        <f>HYPERLINK("2\0\" &amp; K767, "Ver Imagen")</f>
        <v/>
      </c>
      <c r="M767" t="inlineStr">
        <is>
          <t>Moda</t>
        </is>
      </c>
    </row>
    <row r="768">
      <c r="A768" t="n">
        <v>767</v>
      </c>
      <c r="B768" t="inlineStr">
        <is>
          <t>A-497_2C__646</t>
        </is>
      </c>
      <c r="C768" s="1" t="n">
        <v>37.200894264</v>
      </c>
      <c r="D768" s="1" t="n">
        <v>-6.99039195777</v>
      </c>
      <c r="E768" s="3" t="n">
        <v>2</v>
      </c>
      <c r="F768" s="2" t="n">
        <v>2</v>
      </c>
      <c r="G768" s="4" t="n">
        <v>2</v>
      </c>
      <c r="H768" s="13" t="n"/>
      <c r="I768" s="15" t="n"/>
      <c r="J768" s="19" t="n">
        <v>2</v>
      </c>
      <c r="K768" s="2" t="inlineStr">
        <is>
          <t>marker_693_367239.png</t>
        </is>
      </c>
      <c r="L768" s="11">
        <f>HYPERLINK("2\0\" &amp; K768, "Ver Imagen")</f>
        <v/>
      </c>
      <c r="M768" t="inlineStr">
        <is>
          <t>Moda</t>
        </is>
      </c>
    </row>
    <row r="769">
      <c r="A769" t="n">
        <v>768</v>
      </c>
      <c r="B769" t="inlineStr">
        <is>
          <t>A-497_2C__650</t>
        </is>
      </c>
      <c r="C769" s="1" t="n">
        <v>37.2006832536</v>
      </c>
      <c r="D769" s="1" t="n">
        <v>-6.98942378811</v>
      </c>
      <c r="E769" s="3" t="n">
        <v>2</v>
      </c>
      <c r="F769" s="2" t="n">
        <v>2</v>
      </c>
      <c r="G769" s="4" t="n">
        <v>2</v>
      </c>
      <c r="H769" s="13" t="n"/>
      <c r="I769" s="15" t="n"/>
      <c r="J769" s="19" t="n">
        <v>2</v>
      </c>
      <c r="K769" s="2" t="inlineStr">
        <is>
          <t>marker_143_367278.png</t>
        </is>
      </c>
      <c r="L769" s="11">
        <f>HYPERLINK("2\0\" &amp; K769, "Ver Imagen")</f>
        <v/>
      </c>
      <c r="M769" t="inlineStr">
        <is>
          <t>Moda</t>
        </is>
      </c>
    </row>
    <row r="770">
      <c r="A770" t="n">
        <v>769</v>
      </c>
      <c r="B770" t="inlineStr">
        <is>
          <t>A-497_2C__652</t>
        </is>
      </c>
      <c r="C770" s="1" t="n">
        <v>37.2005801497</v>
      </c>
      <c r="D770" s="1" t="n">
        <v>-6.9889540661</v>
      </c>
      <c r="E770" s="3" t="n">
        <v>2</v>
      </c>
      <c r="F770" s="2" t="n">
        <v>2</v>
      </c>
      <c r="G770" s="4" t="n">
        <v>2</v>
      </c>
      <c r="H770" s="13" t="n"/>
      <c r="I770" s="15" t="n"/>
      <c r="J770" s="19" t="n">
        <v>2</v>
      </c>
      <c r="K770" s="2" t="inlineStr">
        <is>
          <t>marker_549_367297.png</t>
        </is>
      </c>
      <c r="L770" s="11">
        <f>HYPERLINK("2\0\" &amp; K770, "Ver Imagen")</f>
        <v/>
      </c>
      <c r="M770" t="inlineStr">
        <is>
          <t>Moda</t>
        </is>
      </c>
    </row>
    <row r="771">
      <c r="A771" t="n">
        <v>770</v>
      </c>
      <c r="B771" t="inlineStr">
        <is>
          <t>A-497_2C__653</t>
        </is>
      </c>
      <c r="C771" s="1" t="n">
        <v>37.2005313636</v>
      </c>
      <c r="D771" s="1" t="n">
        <v>-6.98873473837</v>
      </c>
      <c r="E771" s="3" t="n">
        <v>2</v>
      </c>
      <c r="F771" s="2" t="n">
        <v>2</v>
      </c>
      <c r="G771" s="4" t="n">
        <v>2</v>
      </c>
      <c r="H771" s="13" t="n"/>
      <c r="I771" s="15" t="n"/>
      <c r="J771" s="19" t="n">
        <v>2</v>
      </c>
      <c r="K771" s="2" t="inlineStr">
        <is>
          <t>marker_686_367307.png</t>
        </is>
      </c>
      <c r="L771" s="11">
        <f>HYPERLINK("2\0\" &amp; K771, "Ver Imagen")</f>
        <v/>
      </c>
      <c r="M771" t="inlineStr">
        <is>
          <t>Moda</t>
        </is>
      </c>
    </row>
    <row r="772">
      <c r="A772" t="n">
        <v>771</v>
      </c>
      <c r="B772" t="inlineStr">
        <is>
          <t>A-497_2C__654</t>
        </is>
      </c>
      <c r="C772" s="1" t="n">
        <v>37.2004616087</v>
      </c>
      <c r="D772" s="1" t="n">
        <v>-6.98842490934</v>
      </c>
      <c r="E772" s="3" t="n">
        <v>2</v>
      </c>
      <c r="F772" s="2" t="n">
        <v>2</v>
      </c>
      <c r="G772" s="4" t="n">
        <v>2</v>
      </c>
      <c r="H772" s="13" t="n"/>
      <c r="I772" s="15" t="n"/>
      <c r="J772" s="19" t="n">
        <v>2</v>
      </c>
      <c r="K772" s="2" t="inlineStr">
        <is>
          <t>marker_519_367318.png</t>
        </is>
      </c>
      <c r="L772" s="11">
        <f>HYPERLINK("2\0\" &amp; K772, "Ver Imagen")</f>
        <v/>
      </c>
      <c r="M772" t="inlineStr">
        <is>
          <t>Moda</t>
        </is>
      </c>
    </row>
    <row r="773">
      <c r="A773" t="n">
        <v>772</v>
      </c>
      <c r="B773" t="inlineStr">
        <is>
          <t>A-497_2C__655</t>
        </is>
      </c>
      <c r="C773" s="1" t="n">
        <v>37.200416101</v>
      </c>
      <c r="D773" s="1" t="n">
        <v>-6.98822469081</v>
      </c>
      <c r="E773" s="3" t="n">
        <v>2</v>
      </c>
      <c r="F773" s="2" t="n">
        <v>2</v>
      </c>
      <c r="G773" s="4" t="n">
        <v>2</v>
      </c>
      <c r="H773" s="13" t="n"/>
      <c r="I773" s="15" t="n"/>
      <c r="J773" s="19" t="n">
        <v>2</v>
      </c>
      <c r="K773" s="2" t="inlineStr">
        <is>
          <t>marker_110_367334.png</t>
        </is>
      </c>
      <c r="L773" s="11">
        <f>HYPERLINK("2\0\" &amp; K773, "Ver Imagen")</f>
        <v/>
      </c>
      <c r="M773" t="inlineStr">
        <is>
          <t>Moda</t>
        </is>
      </c>
    </row>
    <row r="774">
      <c r="A774" t="n">
        <v>773</v>
      </c>
      <c r="B774" t="inlineStr">
        <is>
          <t>A-497_2C__656</t>
        </is>
      </c>
      <c r="C774" s="1" t="n">
        <v>37.2003624877</v>
      </c>
      <c r="D774" s="1" t="n">
        <v>-6.98799047473</v>
      </c>
      <c r="E774" s="3" t="n">
        <v>2</v>
      </c>
      <c r="F774" s="2" t="n">
        <v>2</v>
      </c>
      <c r="G774" s="4" t="n">
        <v>2</v>
      </c>
      <c r="H774" s="13" t="n"/>
      <c r="I774" s="15" t="n"/>
      <c r="J774" s="19" t="n">
        <v>2</v>
      </c>
      <c r="K774" s="2" t="inlineStr">
        <is>
          <t>marker_978_367344.png</t>
        </is>
      </c>
      <c r="L774" s="11">
        <f>HYPERLINK("2\0\" &amp; K774, "Ver Imagen")</f>
        <v/>
      </c>
      <c r="M774" t="inlineStr">
        <is>
          <t>Moda</t>
        </is>
      </c>
    </row>
    <row r="775">
      <c r="A775" t="n">
        <v>774</v>
      </c>
      <c r="B775" t="inlineStr">
        <is>
          <t>A-497_2C__660</t>
        </is>
      </c>
      <c r="C775" s="1" t="n">
        <v>37.2001368579</v>
      </c>
      <c r="D775" s="1" t="n">
        <v>-6.98702012685</v>
      </c>
      <c r="E775" s="3" t="n">
        <v>2</v>
      </c>
      <c r="F775" s="2" t="n">
        <v>2</v>
      </c>
      <c r="G775" s="4" t="n">
        <v>2</v>
      </c>
      <c r="H775" s="13" t="n"/>
      <c r="I775" s="15" t="n"/>
      <c r="J775" s="19" t="n">
        <v>2</v>
      </c>
      <c r="K775" s="2" t="inlineStr">
        <is>
          <t>marker_114_367388.png</t>
        </is>
      </c>
      <c r="L775" s="11">
        <f>HYPERLINK("2\0\" &amp; K775, "Ver Imagen")</f>
        <v/>
      </c>
      <c r="M775" t="inlineStr">
        <is>
          <t>Moda</t>
        </is>
      </c>
    </row>
    <row r="776">
      <c r="A776" t="n">
        <v>775</v>
      </c>
      <c r="B776" t="inlineStr">
        <is>
          <t>A-497__447</t>
        </is>
      </c>
      <c r="C776" s="1" t="n">
        <v>37.2217986972</v>
      </c>
      <c r="D776" s="1" t="n">
        <v>-7.02294657143</v>
      </c>
      <c r="E776" s="3" t="n">
        <v>2</v>
      </c>
      <c r="F776" s="2" t="n">
        <v>2</v>
      </c>
      <c r="G776" s="4" t="n">
        <v>2</v>
      </c>
      <c r="H776" s="13" t="n"/>
      <c r="I776" s="15" t="n"/>
      <c r="J776" s="19" t="n">
        <v>2</v>
      </c>
      <c r="K776" s="2" t="inlineStr">
        <is>
          <t>marker_850_376725.png</t>
        </is>
      </c>
      <c r="L776" s="11">
        <f>HYPERLINK("2\0\" &amp; K776, "Ver Imagen")</f>
        <v/>
      </c>
      <c r="M776" t="inlineStr">
        <is>
          <t>Moda</t>
        </is>
      </c>
    </row>
    <row r="777">
      <c r="A777" t="n">
        <v>776</v>
      </c>
      <c r="B777" t="inlineStr">
        <is>
          <t>A-497__446</t>
        </is>
      </c>
      <c r="C777" s="1" t="n">
        <v>37.2219852383</v>
      </c>
      <c r="D777" s="1" t="n">
        <v>-7.02296485009</v>
      </c>
      <c r="E777" s="3" t="n">
        <v>2</v>
      </c>
      <c r="F777" s="2" t="n">
        <v>2</v>
      </c>
      <c r="G777" s="4" t="n">
        <v>2</v>
      </c>
      <c r="H777" s="13" t="n"/>
      <c r="I777" s="15" t="n"/>
      <c r="J777" s="19" t="n">
        <v>2</v>
      </c>
      <c r="K777" s="2" t="inlineStr">
        <is>
          <t>marker_380_376735.png</t>
        </is>
      </c>
      <c r="L777" s="11">
        <f>HYPERLINK("2\0\" &amp; K777, "Ver Imagen")</f>
        <v/>
      </c>
      <c r="M777" t="inlineStr">
        <is>
          <t>Moda</t>
        </is>
      </c>
    </row>
    <row r="778">
      <c r="A778" t="n">
        <v>777</v>
      </c>
      <c r="B778" t="inlineStr">
        <is>
          <t>A-497__445</t>
        </is>
      </c>
      <c r="C778" s="1" t="n">
        <v>37.2221837</v>
      </c>
      <c r="D778" s="1" t="n">
        <v>-7.02298416496</v>
      </c>
      <c r="E778" s="3" t="n">
        <v>2</v>
      </c>
      <c r="F778" s="2" t="n">
        <v>2</v>
      </c>
      <c r="G778" s="4" t="n">
        <v>2</v>
      </c>
      <c r="H778" s="13" t="n"/>
      <c r="I778" s="15" t="n"/>
      <c r="J778" s="19" t="n">
        <v>2</v>
      </c>
      <c r="K778" s="2" t="inlineStr">
        <is>
          <t>marker_915_376745.png</t>
        </is>
      </c>
      <c r="L778" s="11">
        <f>HYPERLINK("2\0\" &amp; K778, "Ver Imagen")</f>
        <v/>
      </c>
      <c r="M778" t="inlineStr">
        <is>
          <t>Moda</t>
        </is>
      </c>
    </row>
    <row r="779">
      <c r="A779" t="n">
        <v>778</v>
      </c>
      <c r="B779" t="inlineStr">
        <is>
          <t>A-497__444</t>
        </is>
      </c>
      <c r="C779" s="1" t="n">
        <v>37.2224138617</v>
      </c>
      <c r="D779" s="1" t="n">
        <v>-7.023006187</v>
      </c>
      <c r="E779" s="3" t="n">
        <v>2</v>
      </c>
      <c r="F779" s="2" t="n">
        <v>2</v>
      </c>
      <c r="G779" s="4" t="n">
        <v>2</v>
      </c>
      <c r="H779" s="13" t="n"/>
      <c r="I779" s="15" t="n"/>
      <c r="J779" s="19" t="n">
        <v>2</v>
      </c>
      <c r="K779" s="2" t="inlineStr">
        <is>
          <t>marker_297_376760.png</t>
        </is>
      </c>
      <c r="L779" s="11">
        <f>HYPERLINK("2\0\" &amp; K779, "Ver Imagen")</f>
        <v/>
      </c>
      <c r="M779" t="inlineStr">
        <is>
          <t>Moda</t>
        </is>
      </c>
    </row>
    <row r="780">
      <c r="A780" t="n">
        <v>779</v>
      </c>
      <c r="B780" t="inlineStr">
        <is>
          <t>A-497__442</t>
        </is>
      </c>
      <c r="C780" s="1" t="n">
        <v>37.2228280435</v>
      </c>
      <c r="D780" s="1" t="n">
        <v>-7.0230454072</v>
      </c>
      <c r="E780" s="3" t="n">
        <v>2</v>
      </c>
      <c r="F780" s="2" t="n">
        <v>2</v>
      </c>
      <c r="G780" s="4" t="n">
        <v>2</v>
      </c>
      <c r="H780" s="13" t="n"/>
      <c r="I780" s="15" t="n"/>
      <c r="J780" s="19" t="n">
        <v>2</v>
      </c>
      <c r="K780" s="2" t="inlineStr">
        <is>
          <t>marker_317_376785.png</t>
        </is>
      </c>
      <c r="L780" s="11">
        <f>HYPERLINK("2\0\" &amp; K780, "Ver Imagen")</f>
        <v/>
      </c>
      <c r="M780" t="inlineStr">
        <is>
          <t>Moda</t>
        </is>
      </c>
    </row>
    <row r="781">
      <c r="A781" t="n">
        <v>780</v>
      </c>
      <c r="B781" t="inlineStr">
        <is>
          <t>A-497__440</t>
        </is>
      </c>
      <c r="C781" s="1" t="n">
        <v>37.2232128838</v>
      </c>
      <c r="D781" s="1" t="n">
        <v>-7.02308107047</v>
      </c>
      <c r="E781" s="3" t="n">
        <v>2</v>
      </c>
      <c r="F781" s="2" t="n">
        <v>2</v>
      </c>
      <c r="G781" s="4" t="n">
        <v>2</v>
      </c>
      <c r="H781" s="13" t="n"/>
      <c r="I781" s="15" t="n"/>
      <c r="J781" s="19" t="n">
        <v>2</v>
      </c>
      <c r="K781" s="2" t="inlineStr">
        <is>
          <t>marker_928_376807.png</t>
        </is>
      </c>
      <c r="L781" s="11">
        <f>HYPERLINK("2\0\" &amp; K781, "Ver Imagen")</f>
        <v/>
      </c>
      <c r="M781" t="inlineStr">
        <is>
          <t>Moda</t>
        </is>
      </c>
    </row>
    <row r="782">
      <c r="A782" t="n">
        <v>781</v>
      </c>
      <c r="B782" t="inlineStr">
        <is>
          <t>A-497__439</t>
        </is>
      </c>
      <c r="C782" s="1" t="n">
        <v>37.2234056058</v>
      </c>
      <c r="D782" s="1" t="n">
        <v>-7.02309960337</v>
      </c>
      <c r="E782" s="3" t="n">
        <v>2</v>
      </c>
      <c r="F782" s="2" t="n">
        <v>2</v>
      </c>
      <c r="G782" s="4" t="n">
        <v>2</v>
      </c>
      <c r="H782" s="13" t="n"/>
      <c r="I782" s="15" t="n"/>
      <c r="J782" s="19" t="n">
        <v>2</v>
      </c>
      <c r="K782" s="2" t="inlineStr">
        <is>
          <t>marker_514_376816.png</t>
        </is>
      </c>
      <c r="L782" s="11">
        <f>HYPERLINK("2\0\" &amp; K782, "Ver Imagen")</f>
        <v/>
      </c>
      <c r="M782" t="inlineStr">
        <is>
          <t>Moda</t>
        </is>
      </c>
    </row>
    <row r="783">
      <c r="A783" t="n">
        <v>782</v>
      </c>
      <c r="B783" t="inlineStr">
        <is>
          <t>A-497__438</t>
        </is>
      </c>
      <c r="C783" s="1" t="n">
        <v>37.2236055589</v>
      </c>
      <c r="D783" s="1" t="n">
        <v>-7.02311956182</v>
      </c>
      <c r="E783" s="3" t="n">
        <v>2</v>
      </c>
      <c r="F783" s="2" t="n">
        <v>2</v>
      </c>
      <c r="G783" s="4" t="n">
        <v>2</v>
      </c>
      <c r="H783" s="13" t="n"/>
      <c r="I783" s="15" t="n"/>
      <c r="J783" s="19" t="n">
        <v>2</v>
      </c>
      <c r="K783" s="2" t="inlineStr">
        <is>
          <t>marker_892_376825.png</t>
        </is>
      </c>
      <c r="L783" s="11">
        <f>HYPERLINK("2\0\" &amp; K783, "Ver Imagen")</f>
        <v/>
      </c>
      <c r="M783" t="inlineStr">
        <is>
          <t>Moda</t>
        </is>
      </c>
    </row>
    <row r="784">
      <c r="A784" t="n">
        <v>783</v>
      </c>
      <c r="B784" t="inlineStr">
        <is>
          <t>A-497__436</t>
        </is>
      </c>
      <c r="C784" s="1" t="n">
        <v>37.2240168897</v>
      </c>
      <c r="D784" s="1" t="n">
        <v>-7.02316051284</v>
      </c>
      <c r="E784" s="3" t="n">
        <v>2</v>
      </c>
      <c r="F784" s="2" t="n">
        <v>2</v>
      </c>
      <c r="G784" s="4" t="n">
        <v>2</v>
      </c>
      <c r="H784" s="13" t="n"/>
      <c r="I784" s="15" t="n"/>
      <c r="J784" s="19" t="n">
        <v>2</v>
      </c>
      <c r="K784" s="2" t="inlineStr">
        <is>
          <t>marker_891_376842.png</t>
        </is>
      </c>
      <c r="L784" s="11">
        <f>HYPERLINK("2\0\" &amp; K784, "Ver Imagen")</f>
        <v/>
      </c>
      <c r="M784" t="inlineStr">
        <is>
          <t>Moda</t>
        </is>
      </c>
    </row>
    <row r="785">
      <c r="A785" t="n">
        <v>784</v>
      </c>
      <c r="B785" t="inlineStr">
        <is>
          <t>A-497__435</t>
        </is>
      </c>
      <c r="C785" s="1" t="n">
        <v>37.2242238227</v>
      </c>
      <c r="D785" s="1" t="n">
        <v>-7.023179993</v>
      </c>
      <c r="E785" s="3" t="n">
        <v>2</v>
      </c>
      <c r="F785" s="2" t="n">
        <v>2</v>
      </c>
      <c r="G785" s="4" t="n">
        <v>2</v>
      </c>
      <c r="H785" s="13" t="n"/>
      <c r="I785" s="15" t="n"/>
      <c r="J785" s="19" t="n">
        <v>2</v>
      </c>
      <c r="K785" s="2" t="inlineStr">
        <is>
          <t>marker_688_376852.png</t>
        </is>
      </c>
      <c r="L785" s="11">
        <f>HYPERLINK("2\0\" &amp; K785, "Ver Imagen")</f>
        <v/>
      </c>
      <c r="M785" t="inlineStr">
        <is>
          <t>Moda</t>
        </is>
      </c>
    </row>
    <row r="786">
      <c r="A786" t="n">
        <v>785</v>
      </c>
      <c r="B786" t="inlineStr">
        <is>
          <t>A-497__432</t>
        </is>
      </c>
      <c r="C786" s="1" t="n">
        <v>37.2248590423</v>
      </c>
      <c r="D786" s="1" t="n">
        <v>-7.02320904799</v>
      </c>
      <c r="E786" s="3" t="n">
        <v>2</v>
      </c>
      <c r="F786" s="2" t="n">
        <v>2</v>
      </c>
      <c r="G786" s="4" t="n">
        <v>2</v>
      </c>
      <c r="H786" s="13" t="n"/>
      <c r="I786" s="15" t="n"/>
      <c r="J786" s="19" t="n">
        <v>2</v>
      </c>
      <c r="K786" s="2" t="inlineStr">
        <is>
          <t>marker_834_376879.png</t>
        </is>
      </c>
      <c r="L786" s="11">
        <f>HYPERLINK("2\0\" &amp; K786, "Ver Imagen")</f>
        <v/>
      </c>
      <c r="M786" t="inlineStr">
        <is>
          <t>Moda</t>
        </is>
      </c>
    </row>
    <row r="787">
      <c r="A787" t="n">
        <v>786</v>
      </c>
      <c r="B787" t="inlineStr">
        <is>
          <t>A-497__431</t>
        </is>
      </c>
      <c r="C787" s="1" t="n">
        <v>37.2250485864</v>
      </c>
      <c r="D787" s="1" t="n">
        <v>-7.02320221607</v>
      </c>
      <c r="E787" s="3" t="n">
        <v>2</v>
      </c>
      <c r="F787" s="2" t="n">
        <v>2</v>
      </c>
      <c r="G787" s="4" t="n">
        <v>2</v>
      </c>
      <c r="H787" s="13" t="n"/>
      <c r="I787" s="15" t="n"/>
      <c r="J787" s="19" t="n">
        <v>2</v>
      </c>
      <c r="K787" s="2" t="inlineStr">
        <is>
          <t>marker_441_376898.png</t>
        </is>
      </c>
      <c r="L787" s="11">
        <f>HYPERLINK("2\0\" &amp; K787, "Ver Imagen")</f>
        <v/>
      </c>
      <c r="M787" t="inlineStr">
        <is>
          <t>Moda</t>
        </is>
      </c>
    </row>
    <row r="788">
      <c r="A788" t="n">
        <v>787</v>
      </c>
      <c r="B788" t="inlineStr">
        <is>
          <t>A-497__430</t>
        </is>
      </c>
      <c r="C788" s="1" t="n">
        <v>37.225248296</v>
      </c>
      <c r="D788" s="1" t="n">
        <v>-7.02318437367</v>
      </c>
      <c r="E788" s="3" t="n">
        <v>2</v>
      </c>
      <c r="F788" s="2" t="n">
        <v>2</v>
      </c>
      <c r="G788" s="4" t="n">
        <v>2</v>
      </c>
      <c r="H788" s="13" t="n"/>
      <c r="I788" s="15" t="n"/>
      <c r="J788" s="19" t="n">
        <v>2</v>
      </c>
      <c r="K788" s="2" t="inlineStr">
        <is>
          <t>marker_618_376909.png</t>
        </is>
      </c>
      <c r="L788" s="11">
        <f>HYPERLINK("2\0\" &amp; K788, "Ver Imagen")</f>
        <v/>
      </c>
      <c r="M788" t="inlineStr">
        <is>
          <t>Moda</t>
        </is>
      </c>
    </row>
    <row r="789">
      <c r="A789" t="n">
        <v>788</v>
      </c>
      <c r="B789" t="inlineStr">
        <is>
          <t>A-497__428</t>
        </is>
      </c>
      <c r="C789" s="1" t="n">
        <v>37.2256490527</v>
      </c>
      <c r="D789" s="1" t="n">
        <v>-7.02311565085</v>
      </c>
      <c r="E789" s="3" t="n">
        <v>2</v>
      </c>
      <c r="F789" s="2" t="n">
        <v>2</v>
      </c>
      <c r="G789" s="4" t="n">
        <v>2</v>
      </c>
      <c r="H789" s="13" t="n"/>
      <c r="I789" s="15" t="n"/>
      <c r="J789" s="19" t="n">
        <v>2</v>
      </c>
      <c r="K789" s="2" t="inlineStr">
        <is>
          <t>marker_444_376936.png</t>
        </is>
      </c>
      <c r="L789" s="11">
        <f>HYPERLINK("2\0\" &amp; K789, "Ver Imagen")</f>
        <v/>
      </c>
      <c r="M789" t="inlineStr">
        <is>
          <t>Moda</t>
        </is>
      </c>
    </row>
    <row r="790">
      <c r="A790" t="n">
        <v>789</v>
      </c>
      <c r="B790" t="inlineStr">
        <is>
          <t>A-497__426</t>
        </is>
      </c>
      <c r="C790" s="1" t="n">
        <v>37.2260110823</v>
      </c>
      <c r="D790" s="1" t="n">
        <v>-7.02301397575</v>
      </c>
      <c r="E790" s="3" t="n">
        <v>2</v>
      </c>
      <c r="F790" s="2" t="n">
        <v>2</v>
      </c>
      <c r="G790" s="4" t="n">
        <v>2</v>
      </c>
      <c r="H790" s="13" t="n"/>
      <c r="I790" s="15" t="n"/>
      <c r="J790" s="19" t="n">
        <v>2</v>
      </c>
      <c r="K790" s="2" t="inlineStr">
        <is>
          <t>marker_592_376953.png</t>
        </is>
      </c>
      <c r="L790" s="11">
        <f>HYPERLINK("2\0\" &amp; K790, "Ver Imagen")</f>
        <v/>
      </c>
      <c r="M790" t="inlineStr">
        <is>
          <t>Moda</t>
        </is>
      </c>
    </row>
    <row r="791">
      <c r="A791" t="n">
        <v>790</v>
      </c>
      <c r="B791" t="inlineStr">
        <is>
          <t>A-497__425</t>
        </is>
      </c>
      <c r="C791" s="1" t="n">
        <v>37.2262151637</v>
      </c>
      <c r="D791" s="1" t="n">
        <v>-7.02293831221</v>
      </c>
      <c r="E791" s="3" t="n">
        <v>2</v>
      </c>
      <c r="F791" s="2" t="n">
        <v>2</v>
      </c>
      <c r="G791" s="4" t="n">
        <v>2</v>
      </c>
      <c r="H791" s="13" t="n"/>
      <c r="I791" s="15" t="n"/>
      <c r="J791" s="19" t="n">
        <v>2</v>
      </c>
      <c r="K791" s="2" t="inlineStr">
        <is>
          <t>marker_711_376962.png</t>
        </is>
      </c>
      <c r="L791" s="11">
        <f>HYPERLINK("2\0\" &amp; K791, "Ver Imagen")</f>
        <v/>
      </c>
      <c r="M791" t="inlineStr">
        <is>
          <t>Moda</t>
        </is>
      </c>
    </row>
    <row r="792">
      <c r="A792" t="n">
        <v>791</v>
      </c>
      <c r="B792" t="inlineStr">
        <is>
          <t>A-497__423</t>
        </is>
      </c>
      <c r="C792" s="1" t="n">
        <v>37.2265998549</v>
      </c>
      <c r="D792" s="1" t="n">
        <v>-7.02275725992</v>
      </c>
      <c r="E792" s="3" t="n">
        <v>2</v>
      </c>
      <c r="F792" s="2" t="n">
        <v>2</v>
      </c>
      <c r="G792" s="4" t="n">
        <v>2</v>
      </c>
      <c r="H792" s="13" t="n"/>
      <c r="I792" s="15" t="n"/>
      <c r="J792" s="19" t="n">
        <v>2</v>
      </c>
      <c r="K792" s="2" t="inlineStr">
        <is>
          <t>marker_436_376986.png</t>
        </is>
      </c>
      <c r="L792" s="11">
        <f>HYPERLINK("2\0\" &amp; K792, "Ver Imagen")</f>
        <v/>
      </c>
      <c r="M792" t="inlineStr">
        <is>
          <t>Moda</t>
        </is>
      </c>
    </row>
    <row r="793">
      <c r="A793" t="n">
        <v>792</v>
      </c>
      <c r="B793" t="inlineStr">
        <is>
          <t>A-497__422</t>
        </is>
      </c>
      <c r="C793" s="1" t="n">
        <v>37.226779596</v>
      </c>
      <c r="D793" s="1" t="n">
        <v>-7.02265447805</v>
      </c>
      <c r="E793" s="3" t="n">
        <v>2</v>
      </c>
      <c r="F793" s="2" t="n">
        <v>2</v>
      </c>
      <c r="G793" s="4" t="n">
        <v>2</v>
      </c>
      <c r="H793" s="13" t="n"/>
      <c r="I793" s="15" t="n"/>
      <c r="J793" s="19" t="n">
        <v>2</v>
      </c>
      <c r="K793" s="2" t="inlineStr">
        <is>
          <t>marker_687_376994.png</t>
        </is>
      </c>
      <c r="L793" s="11">
        <f>HYPERLINK("2\0\" &amp; K793, "Ver Imagen")</f>
        <v/>
      </c>
      <c r="M793" t="inlineStr">
        <is>
          <t>Moda</t>
        </is>
      </c>
    </row>
    <row r="794">
      <c r="A794" t="n">
        <v>793</v>
      </c>
      <c r="B794" t="inlineStr">
        <is>
          <t>A-497__421</t>
        </is>
      </c>
      <c r="C794" s="1" t="n">
        <v>37.2269799607</v>
      </c>
      <c r="D794" s="1" t="n">
        <v>-7.02252608242</v>
      </c>
      <c r="E794" s="3" t="n">
        <v>2</v>
      </c>
      <c r="F794" s="2" t="n">
        <v>2</v>
      </c>
      <c r="G794" s="4" t="n">
        <v>2</v>
      </c>
      <c r="H794" s="13" t="n"/>
      <c r="I794" s="15" t="n"/>
      <c r="J794" s="19" t="n">
        <v>2</v>
      </c>
      <c r="K794" s="2" t="inlineStr">
        <is>
          <t>marker_745_377003.png</t>
        </is>
      </c>
      <c r="L794" s="11">
        <f>HYPERLINK("2\0\" &amp; K794, "Ver Imagen")</f>
        <v/>
      </c>
      <c r="M794" t="inlineStr">
        <is>
          <t>Moda</t>
        </is>
      </c>
    </row>
    <row r="795">
      <c r="A795" t="n">
        <v>794</v>
      </c>
      <c r="B795" t="inlineStr">
        <is>
          <t>A-497__418</t>
        </is>
      </c>
      <c r="C795" s="1" t="n">
        <v>37.2274954398</v>
      </c>
      <c r="D795" s="1" t="n">
        <v>-7.02215599194</v>
      </c>
      <c r="E795" s="3" t="n">
        <v>2</v>
      </c>
      <c r="F795" s="2" t="n">
        <v>2</v>
      </c>
      <c r="G795" s="4" t="n">
        <v>2</v>
      </c>
      <c r="H795" s="13" t="n"/>
      <c r="I795" s="15" t="n"/>
      <c r="J795" s="19" t="n">
        <v>2</v>
      </c>
      <c r="K795" s="2" t="inlineStr">
        <is>
          <t>marker_600_377030.png</t>
        </is>
      </c>
      <c r="L795" s="11">
        <f>HYPERLINK("2\0\" &amp; K795, "Ver Imagen")</f>
        <v/>
      </c>
      <c r="M795" t="inlineStr">
        <is>
          <t>Moda</t>
        </is>
      </c>
    </row>
    <row r="796">
      <c r="A796" t="n">
        <v>795</v>
      </c>
      <c r="B796" t="inlineStr">
        <is>
          <t>A-497__385</t>
        </is>
      </c>
      <c r="C796" s="1" t="n">
        <v>37.2332846752</v>
      </c>
      <c r="D796" s="1" t="n">
        <v>-7.018105148</v>
      </c>
      <c r="E796" s="3" t="n">
        <v>2</v>
      </c>
      <c r="F796" s="2" t="n">
        <v>2</v>
      </c>
      <c r="G796" s="4" t="n">
        <v>2</v>
      </c>
      <c r="H796" s="13" t="n"/>
      <c r="I796" s="15" t="n"/>
      <c r="J796" s="19" t="n">
        <v>2</v>
      </c>
      <c r="K796" s="2" t="inlineStr">
        <is>
          <t>marker_354_377326.png</t>
        </is>
      </c>
      <c r="L796" s="11">
        <f>HYPERLINK("2\0\" &amp; K796, "Ver Imagen")</f>
        <v/>
      </c>
      <c r="M796" t="inlineStr">
        <is>
          <t>Moda</t>
        </is>
      </c>
    </row>
    <row r="797">
      <c r="A797" t="n">
        <v>796</v>
      </c>
      <c r="B797" t="inlineStr">
        <is>
          <t>A-497__384</t>
        </is>
      </c>
      <c r="C797" s="1" t="n">
        <v>37.2334833036</v>
      </c>
      <c r="D797" s="1" t="n">
        <v>-7.01805900164</v>
      </c>
      <c r="E797" s="3" t="n">
        <v>2</v>
      </c>
      <c r="F797" s="2" t="n">
        <v>2</v>
      </c>
      <c r="G797" s="4" t="n">
        <v>2</v>
      </c>
      <c r="H797" s="13" t="n"/>
      <c r="I797" s="15" t="n"/>
      <c r="J797" s="19" t="n">
        <v>2</v>
      </c>
      <c r="K797" s="2" t="inlineStr">
        <is>
          <t>marker_895_377335.png</t>
        </is>
      </c>
      <c r="L797" s="11">
        <f>HYPERLINK("2\0\" &amp; K797, "Ver Imagen")</f>
        <v/>
      </c>
      <c r="M797" t="inlineStr">
        <is>
          <t>Moda</t>
        </is>
      </c>
    </row>
    <row r="798">
      <c r="A798" t="n">
        <v>797</v>
      </c>
      <c r="B798" t="inlineStr">
        <is>
          <t>A-497__383</t>
        </is>
      </c>
      <c r="C798" s="1" t="n">
        <v>37.233690187</v>
      </c>
      <c r="D798" s="1" t="n">
        <v>-7.01802440862</v>
      </c>
      <c r="E798" s="3" t="n">
        <v>2</v>
      </c>
      <c r="F798" s="2" t="n">
        <v>2</v>
      </c>
      <c r="G798" s="4" t="n">
        <v>2</v>
      </c>
      <c r="H798" s="13" t="n"/>
      <c r="I798" s="15" t="n"/>
      <c r="J798" s="19" t="n">
        <v>2</v>
      </c>
      <c r="K798" s="2" t="inlineStr">
        <is>
          <t>marker_663_377344.png</t>
        </is>
      </c>
      <c r="L798" s="11">
        <f>HYPERLINK("2\0\" &amp; K798, "Ver Imagen")</f>
        <v/>
      </c>
      <c r="M798" t="inlineStr">
        <is>
          <t>Moda</t>
        </is>
      </c>
    </row>
    <row r="799">
      <c r="A799" t="n">
        <v>798</v>
      </c>
      <c r="B799" t="inlineStr">
        <is>
          <t>A-497__382</t>
        </is>
      </c>
      <c r="C799" s="1" t="n">
        <v>37.2338952222</v>
      </c>
      <c r="D799" s="1" t="n">
        <v>-7.01800346156</v>
      </c>
      <c r="E799" s="3" t="n">
        <v>2</v>
      </c>
      <c r="F799" s="2" t="n">
        <v>2</v>
      </c>
      <c r="G799" s="4" t="n">
        <v>2</v>
      </c>
      <c r="H799" s="13" t="n"/>
      <c r="I799" s="15" t="n"/>
      <c r="J799" s="19" t="n">
        <v>2</v>
      </c>
      <c r="K799" s="2" t="inlineStr">
        <is>
          <t>marker_146_377353.png</t>
        </is>
      </c>
      <c r="L799" s="11">
        <f>HYPERLINK("2\0\" &amp; K799, "Ver Imagen")</f>
        <v/>
      </c>
      <c r="M799" t="inlineStr">
        <is>
          <t>Moda</t>
        </is>
      </c>
    </row>
    <row r="800">
      <c r="A800" t="n">
        <v>799</v>
      </c>
      <c r="B800" t="inlineStr">
        <is>
          <t>A-497__379</t>
        </is>
      </c>
      <c r="C800" s="1" t="n">
        <v>37.234503056</v>
      </c>
      <c r="D800" s="1" t="n">
        <v>-7.01801805002</v>
      </c>
      <c r="E800" s="3" t="n">
        <v>2</v>
      </c>
      <c r="F800" s="2" t="n">
        <v>2</v>
      </c>
      <c r="G800" s="4" t="n">
        <v>2</v>
      </c>
      <c r="H800" s="13" t="n"/>
      <c r="I800" s="15" t="n"/>
      <c r="J800" s="19" t="n">
        <v>2</v>
      </c>
      <c r="K800" s="2" t="inlineStr">
        <is>
          <t>marker_359_377378.png</t>
        </is>
      </c>
      <c r="L800" s="11">
        <f>HYPERLINK("2\0\" &amp; K800, "Ver Imagen")</f>
        <v/>
      </c>
      <c r="M800" t="inlineStr">
        <is>
          <t>Moda</t>
        </is>
      </c>
    </row>
    <row r="801">
      <c r="A801" t="n">
        <v>800</v>
      </c>
      <c r="B801" t="inlineStr">
        <is>
          <t>A-497__378</t>
        </is>
      </c>
      <c r="C801" s="1" t="n">
        <v>37.2346875686</v>
      </c>
      <c r="D801" s="1" t="n">
        <v>-7.01804497328</v>
      </c>
      <c r="E801" s="3" t="n">
        <v>2</v>
      </c>
      <c r="F801" s="2" t="n">
        <v>2</v>
      </c>
      <c r="G801" s="4" t="n">
        <v>2</v>
      </c>
      <c r="H801" s="13" t="n"/>
      <c r="I801" s="15" t="n"/>
      <c r="J801" s="19" t="n">
        <v>2</v>
      </c>
      <c r="K801" s="2" t="inlineStr">
        <is>
          <t>marker_440_377387.png</t>
        </is>
      </c>
      <c r="L801" s="11">
        <f>HYPERLINK("2\0\" &amp; K801, "Ver Imagen")</f>
        <v/>
      </c>
      <c r="M801" t="inlineStr">
        <is>
          <t>Moda</t>
        </is>
      </c>
    </row>
    <row r="802">
      <c r="A802" t="n">
        <v>801</v>
      </c>
      <c r="B802" t="inlineStr">
        <is>
          <t>A-497__377</t>
        </is>
      </c>
      <c r="C802" s="1" t="n">
        <v>37.234890496</v>
      </c>
      <c r="D802" s="1" t="n">
        <v>-7.01808422145</v>
      </c>
      <c r="E802" s="3" t="n">
        <v>2</v>
      </c>
      <c r="F802" s="2" t="n">
        <v>2</v>
      </c>
      <c r="G802" s="4" t="n">
        <v>2</v>
      </c>
      <c r="H802" s="13" t="n"/>
      <c r="I802" s="15" t="n"/>
      <c r="J802" s="19" t="n">
        <v>2</v>
      </c>
      <c r="K802" s="2" t="inlineStr">
        <is>
          <t>marker_143_377396.png</t>
        </is>
      </c>
      <c r="L802" s="11">
        <f>HYPERLINK("2\0\" &amp; K802, "Ver Imagen")</f>
        <v/>
      </c>
      <c r="M802" t="inlineStr">
        <is>
          <t>Moda</t>
        </is>
      </c>
    </row>
    <row r="803">
      <c r="A803" t="n">
        <v>802</v>
      </c>
      <c r="B803" t="inlineStr">
        <is>
          <t>A-497__375</t>
        </is>
      </c>
      <c r="C803" s="1" t="n">
        <v>37.2353167417</v>
      </c>
      <c r="D803" s="1" t="n">
        <v>-7.01818782956</v>
      </c>
      <c r="E803" s="3" t="n">
        <v>2</v>
      </c>
      <c r="F803" s="2" t="n">
        <v>2</v>
      </c>
      <c r="G803" s="4" t="n">
        <v>2</v>
      </c>
      <c r="H803" s="13" t="n"/>
      <c r="I803" s="15" t="n"/>
      <c r="J803" s="19" t="n">
        <v>2</v>
      </c>
      <c r="K803" s="2" t="inlineStr">
        <is>
          <t>marker_494_377413.png</t>
        </is>
      </c>
      <c r="L803" s="11">
        <f>HYPERLINK("2\0\" &amp; K803, "Ver Imagen")</f>
        <v/>
      </c>
      <c r="M803" t="inlineStr">
        <is>
          <t>Moda</t>
        </is>
      </c>
    </row>
    <row r="804">
      <c r="A804" t="n">
        <v>803</v>
      </c>
      <c r="B804" t="inlineStr">
        <is>
          <t>A-497__372</t>
        </is>
      </c>
      <c r="C804" s="1" t="n">
        <v>37.2358820855</v>
      </c>
      <c r="D804" s="1" t="n">
        <v>-7.01833592849</v>
      </c>
      <c r="E804" s="3" t="n">
        <v>2</v>
      </c>
      <c r="F804" s="2" t="n">
        <v>2</v>
      </c>
      <c r="G804" s="4" t="n">
        <v>2</v>
      </c>
      <c r="H804" s="13" t="n"/>
      <c r="I804" s="15" t="n"/>
      <c r="J804" s="19" t="n">
        <v>2</v>
      </c>
      <c r="K804" s="2" t="inlineStr">
        <is>
          <t>marker_460_377436.png</t>
        </is>
      </c>
      <c r="L804" s="11">
        <f>HYPERLINK("2\0\" &amp; K804, "Ver Imagen")</f>
        <v/>
      </c>
      <c r="M804" t="inlineStr">
        <is>
          <t>Moda</t>
        </is>
      </c>
    </row>
    <row r="805">
      <c r="A805" t="n">
        <v>804</v>
      </c>
      <c r="B805" t="inlineStr">
        <is>
          <t>A-497__371</t>
        </is>
      </c>
      <c r="C805" s="1" t="n">
        <v>37.236105023</v>
      </c>
      <c r="D805" s="1" t="n">
        <v>-7.0183927917</v>
      </c>
      <c r="E805" s="3" t="n">
        <v>2</v>
      </c>
      <c r="F805" s="2" t="n">
        <v>2</v>
      </c>
      <c r="G805" s="4" t="n">
        <v>2</v>
      </c>
      <c r="H805" s="13" t="n"/>
      <c r="I805" s="15" t="n"/>
      <c r="J805" s="19" t="n">
        <v>2</v>
      </c>
      <c r="K805" s="2" t="inlineStr">
        <is>
          <t>marker_787_377445.png</t>
        </is>
      </c>
      <c r="L805" s="11">
        <f>HYPERLINK("2\0\" &amp; K805, "Ver Imagen")</f>
        <v/>
      </c>
      <c r="M805" t="inlineStr">
        <is>
          <t>Moda</t>
        </is>
      </c>
    </row>
    <row r="806">
      <c r="A806" t="n">
        <v>805</v>
      </c>
      <c r="B806" t="inlineStr">
        <is>
          <t>A-497__366</t>
        </is>
      </c>
      <c r="C806" s="1" t="n">
        <v>37.237099866</v>
      </c>
      <c r="D806" s="1" t="n">
        <v>-7.01854814835</v>
      </c>
      <c r="E806" s="3" t="n">
        <v>2</v>
      </c>
      <c r="F806" s="2" t="n">
        <v>2</v>
      </c>
      <c r="G806" s="4" t="n">
        <v>2</v>
      </c>
      <c r="H806" s="13" t="n"/>
      <c r="I806" s="15" t="n"/>
      <c r="J806" s="19" t="n">
        <v>2</v>
      </c>
      <c r="K806" s="2" t="inlineStr">
        <is>
          <t>marker_381_377495.png</t>
        </is>
      </c>
      <c r="L806" s="11">
        <f>HYPERLINK("2\0\" &amp; K806, "Ver Imagen")</f>
        <v/>
      </c>
      <c r="M806" t="inlineStr">
        <is>
          <t>Moda</t>
        </is>
      </c>
    </row>
    <row r="807">
      <c r="A807" t="n">
        <v>806</v>
      </c>
      <c r="B807" t="inlineStr">
        <is>
          <t>A-497__365</t>
        </is>
      </c>
      <c r="C807" s="1" t="n">
        <v>37.2372885018</v>
      </c>
      <c r="D807" s="1" t="n">
        <v>-7.0185607561</v>
      </c>
      <c r="E807" s="3" t="n">
        <v>2</v>
      </c>
      <c r="F807" s="2" t="n">
        <v>2</v>
      </c>
      <c r="G807" s="4" t="n">
        <v>2</v>
      </c>
      <c r="H807" s="13" t="n"/>
      <c r="I807" s="15" t="n"/>
      <c r="J807" s="19" t="n">
        <v>2</v>
      </c>
      <c r="K807" s="2" t="inlineStr">
        <is>
          <t>marker_966_377504.png</t>
        </is>
      </c>
      <c r="L807" s="11">
        <f>HYPERLINK("2\0\" &amp; K807, "Ver Imagen")</f>
        <v/>
      </c>
      <c r="M807" t="inlineStr">
        <is>
          <t>Moda</t>
        </is>
      </c>
    </row>
    <row r="808">
      <c r="A808" t="n">
        <v>807</v>
      </c>
      <c r="B808" t="inlineStr">
        <is>
          <t>A-497__361</t>
        </is>
      </c>
      <c r="C808" s="1" t="n">
        <v>37.2381049781</v>
      </c>
      <c r="D808" s="1" t="n">
        <v>-7.01856402499</v>
      </c>
      <c r="E808" s="3" t="n">
        <v>2</v>
      </c>
      <c r="F808" s="2" t="n">
        <v>2</v>
      </c>
      <c r="G808" s="4" t="n">
        <v>2</v>
      </c>
      <c r="H808" s="13" t="n"/>
      <c r="I808" s="15" t="n"/>
      <c r="J808" s="19" t="n">
        <v>2</v>
      </c>
      <c r="K808" s="2" t="inlineStr">
        <is>
          <t>marker_866_377540.png</t>
        </is>
      </c>
      <c r="L808" s="11">
        <f>HYPERLINK("2\0\" &amp; K808, "Ver Imagen")</f>
        <v/>
      </c>
      <c r="M808" t="inlineStr">
        <is>
          <t>Moda</t>
        </is>
      </c>
    </row>
    <row r="809">
      <c r="A809" t="n">
        <v>808</v>
      </c>
      <c r="B809" t="inlineStr">
        <is>
          <t>A-497__360</t>
        </is>
      </c>
      <c r="C809" s="1" t="n">
        <v>37.2383197136</v>
      </c>
      <c r="D809" s="1" t="n">
        <v>-7.01855553724</v>
      </c>
      <c r="E809" s="3" t="n">
        <v>2</v>
      </c>
      <c r="F809" s="2" t="n">
        <v>2</v>
      </c>
      <c r="G809" s="4" t="n">
        <v>2</v>
      </c>
      <c r="H809" s="13" t="n"/>
      <c r="I809" s="15" t="n"/>
      <c r="J809" s="19" t="n">
        <v>2</v>
      </c>
      <c r="K809" s="2" t="inlineStr">
        <is>
          <t>marker_560_377550.png</t>
        </is>
      </c>
      <c r="L809" s="11">
        <f>HYPERLINK("2\0\" &amp; K809, "Ver Imagen")</f>
        <v/>
      </c>
      <c r="M809" t="inlineStr">
        <is>
          <t>Moda</t>
        </is>
      </c>
    </row>
    <row r="810">
      <c r="A810" t="n">
        <v>809</v>
      </c>
      <c r="B810" t="inlineStr">
        <is>
          <t>A-497__359</t>
        </is>
      </c>
      <c r="C810" s="1" t="n">
        <v>37.2385035259</v>
      </c>
      <c r="D810" s="1" t="n">
        <v>-7.0185475318</v>
      </c>
      <c r="E810" s="3" t="n">
        <v>2</v>
      </c>
      <c r="F810" s="2" t="n">
        <v>2</v>
      </c>
      <c r="G810" s="4" t="n">
        <v>2</v>
      </c>
      <c r="H810" s="13" t="n"/>
      <c r="I810" s="15" t="n"/>
      <c r="J810" s="19" t="n">
        <v>2</v>
      </c>
      <c r="K810" s="2" t="inlineStr">
        <is>
          <t>marker_552_377566.png</t>
        </is>
      </c>
      <c r="L810" s="11">
        <f>HYPERLINK("2\0\" &amp; K810, "Ver Imagen")</f>
        <v/>
      </c>
      <c r="M810" t="inlineStr">
        <is>
          <t>Moda</t>
        </is>
      </c>
    </row>
    <row r="811">
      <c r="A811" t="n">
        <v>810</v>
      </c>
      <c r="B811" t="inlineStr">
        <is>
          <t>A-497__358</t>
        </is>
      </c>
      <c r="C811" s="1" t="n">
        <v>37.2387077479</v>
      </c>
      <c r="D811" s="1" t="n">
        <v>-7.01853902832</v>
      </c>
      <c r="E811" s="3" t="n">
        <v>2</v>
      </c>
      <c r="F811" s="2" t="n">
        <v>2</v>
      </c>
      <c r="G811" s="4" t="n">
        <v>2</v>
      </c>
      <c r="H811" s="13" t="n"/>
      <c r="I811" s="15" t="n"/>
      <c r="J811" s="19" t="n">
        <v>2</v>
      </c>
      <c r="K811" s="2" t="inlineStr">
        <is>
          <t>marker_615_377577.png</t>
        </is>
      </c>
      <c r="L811" s="11">
        <f>HYPERLINK("2\0\" &amp; K811, "Ver Imagen")</f>
        <v/>
      </c>
      <c r="M811" t="inlineStr">
        <is>
          <t>Moda</t>
        </is>
      </c>
    </row>
    <row r="812">
      <c r="A812" t="n">
        <v>811</v>
      </c>
      <c r="B812" t="inlineStr">
        <is>
          <t>A-497__357</t>
        </is>
      </c>
      <c r="C812" s="1" t="n">
        <v>37.2389402213</v>
      </c>
      <c r="D812" s="1" t="n">
        <v>-7.01852975228</v>
      </c>
      <c r="E812" s="3" t="n">
        <v>2</v>
      </c>
      <c r="F812" s="2" t="n">
        <v>2</v>
      </c>
      <c r="G812" s="4" t="n">
        <v>2</v>
      </c>
      <c r="H812" s="13" t="n"/>
      <c r="I812" s="15" t="n"/>
      <c r="J812" s="19" t="n">
        <v>2</v>
      </c>
      <c r="K812" s="2" t="inlineStr">
        <is>
          <t>marker_468_377586.png</t>
        </is>
      </c>
      <c r="L812" s="11">
        <f>HYPERLINK("2\0\" &amp; K812, "Ver Imagen")</f>
        <v/>
      </c>
      <c r="M812" t="inlineStr">
        <is>
          <t>Moda</t>
        </is>
      </c>
    </row>
    <row r="813">
      <c r="A813" t="n">
        <v>812</v>
      </c>
      <c r="B813" t="inlineStr">
        <is>
          <t>A-497__356</t>
        </is>
      </c>
      <c r="C813" s="1" t="n">
        <v>37.2391316594</v>
      </c>
      <c r="D813" s="1" t="n">
        <v>-7.01852229203</v>
      </c>
      <c r="E813" s="3" t="n">
        <v>2</v>
      </c>
      <c r="F813" s="2" t="n">
        <v>2</v>
      </c>
      <c r="G813" s="4" t="n">
        <v>2</v>
      </c>
      <c r="H813" s="13" t="n"/>
      <c r="I813" s="15" t="n"/>
      <c r="J813" s="19" t="n">
        <v>2</v>
      </c>
      <c r="K813" s="2" t="inlineStr">
        <is>
          <t>marker_216_377594.png</t>
        </is>
      </c>
      <c r="L813" s="11">
        <f>HYPERLINK("2\0\" &amp; K813, "Ver Imagen")</f>
        <v/>
      </c>
      <c r="M813" t="inlineStr">
        <is>
          <t>Moda</t>
        </is>
      </c>
    </row>
    <row r="814">
      <c r="A814" t="n">
        <v>813</v>
      </c>
      <c r="B814" t="inlineStr">
        <is>
          <t>A-497__355</t>
        </is>
      </c>
      <c r="C814" s="1" t="n">
        <v>37.2393059877</v>
      </c>
      <c r="D814" s="1" t="n">
        <v>-7.01851497912</v>
      </c>
      <c r="E814" s="3" t="n">
        <v>2</v>
      </c>
      <c r="F814" s="2" t="n">
        <v>2</v>
      </c>
      <c r="G814" s="4" t="n">
        <v>2</v>
      </c>
      <c r="H814" s="13" t="n"/>
      <c r="I814" s="15" t="n"/>
      <c r="J814" s="19" t="n">
        <v>2</v>
      </c>
      <c r="K814" s="2" t="inlineStr">
        <is>
          <t>marker_470_377603.png</t>
        </is>
      </c>
      <c r="L814" s="11">
        <f>HYPERLINK("2\0\" &amp; K814, "Ver Imagen")</f>
        <v/>
      </c>
      <c r="M814" t="inlineStr">
        <is>
          <t>Moda</t>
        </is>
      </c>
    </row>
    <row r="815">
      <c r="A815" t="n">
        <v>814</v>
      </c>
      <c r="B815" t="inlineStr">
        <is>
          <t>A-497__354</t>
        </is>
      </c>
      <c r="C815" s="1" t="n">
        <v>37.239531142</v>
      </c>
      <c r="D815" s="1" t="n">
        <v>-7.01850474237</v>
      </c>
      <c r="E815" s="3" t="n">
        <v>2</v>
      </c>
      <c r="F815" s="2" t="n">
        <v>2</v>
      </c>
      <c r="G815" s="4" t="n">
        <v>2</v>
      </c>
      <c r="H815" s="13" t="n"/>
      <c r="I815" s="15" t="n"/>
      <c r="J815" s="19" t="n">
        <v>2</v>
      </c>
      <c r="K815" s="2" t="inlineStr">
        <is>
          <t>marker_246_377624.png</t>
        </is>
      </c>
      <c r="L815" s="11">
        <f>HYPERLINK("2\0\" &amp; K815, "Ver Imagen")</f>
        <v/>
      </c>
      <c r="M815" t="inlineStr">
        <is>
          <t>Moda</t>
        </is>
      </c>
    </row>
    <row r="816">
      <c r="A816" t="n">
        <v>815</v>
      </c>
      <c r="B816" t="inlineStr">
        <is>
          <t>A-497__353</t>
        </is>
      </c>
      <c r="C816" s="1" t="n">
        <v>37.2397247308</v>
      </c>
      <c r="D816" s="1" t="n">
        <v>-7.01849534729</v>
      </c>
      <c r="E816" s="3" t="n">
        <v>2</v>
      </c>
      <c r="F816" s="2" t="n">
        <v>2</v>
      </c>
      <c r="G816" s="4" t="n">
        <v>2</v>
      </c>
      <c r="H816" s="13" t="n"/>
      <c r="I816" s="15" t="n"/>
      <c r="J816" s="19" t="n">
        <v>2</v>
      </c>
      <c r="K816" s="2" t="inlineStr">
        <is>
          <t>marker_286_377633.png</t>
        </is>
      </c>
      <c r="L816" s="11">
        <f>HYPERLINK("2\0\" &amp; K816, "Ver Imagen")</f>
        <v/>
      </c>
      <c r="M816" t="inlineStr">
        <is>
          <t>Moda</t>
        </is>
      </c>
    </row>
    <row r="817">
      <c r="A817" t="n">
        <v>816</v>
      </c>
      <c r="B817" t="inlineStr">
        <is>
          <t>A-497__352</t>
        </is>
      </c>
      <c r="C817" s="1" t="n">
        <v>37.2399187511</v>
      </c>
      <c r="D817" s="1" t="n">
        <v>-7.01848615678</v>
      </c>
      <c r="E817" s="3" t="n">
        <v>2</v>
      </c>
      <c r="F817" s="2" t="n">
        <v>2</v>
      </c>
      <c r="G817" s="4" t="n">
        <v>2</v>
      </c>
      <c r="H817" s="13" t="n"/>
      <c r="I817" s="15" t="n"/>
      <c r="J817" s="19" t="n">
        <v>2</v>
      </c>
      <c r="K817" s="2" t="inlineStr">
        <is>
          <t>marker_282_377641.png</t>
        </is>
      </c>
      <c r="L817" s="11">
        <f>HYPERLINK("2\0\" &amp; K817, "Ver Imagen")</f>
        <v/>
      </c>
      <c r="M817" t="inlineStr">
        <is>
          <t>Moda</t>
        </is>
      </c>
    </row>
    <row r="818">
      <c r="A818" t="n">
        <v>817</v>
      </c>
      <c r="B818" t="inlineStr">
        <is>
          <t>A-497__351</t>
        </is>
      </c>
      <c r="C818" s="1" t="n">
        <v>37.2401123572</v>
      </c>
      <c r="D818" s="1" t="n">
        <v>-7.01847786614</v>
      </c>
      <c r="E818" s="3" t="n">
        <v>2</v>
      </c>
      <c r="F818" s="2" t="n">
        <v>2</v>
      </c>
      <c r="G818" s="4" t="n">
        <v>2</v>
      </c>
      <c r="H818" s="13" t="n"/>
      <c r="I818" s="15" t="n"/>
      <c r="J818" s="19" t="n">
        <v>2</v>
      </c>
      <c r="K818" s="2" t="inlineStr">
        <is>
          <t>marker_143_377653.png</t>
        </is>
      </c>
      <c r="L818" s="11">
        <f>HYPERLINK("2\0\" &amp; K818, "Ver Imagen")</f>
        <v/>
      </c>
      <c r="M818" t="inlineStr">
        <is>
          <t>Moda</t>
        </is>
      </c>
    </row>
    <row r="819">
      <c r="A819" t="n">
        <v>818</v>
      </c>
      <c r="B819" t="inlineStr">
        <is>
          <t>A-497__350</t>
        </is>
      </c>
      <c r="C819" s="1" t="n">
        <v>37.2403450966</v>
      </c>
      <c r="D819" s="1" t="n">
        <v>-7.01846867263</v>
      </c>
      <c r="E819" s="3" t="n">
        <v>2</v>
      </c>
      <c r="F819" s="2" t="n">
        <v>2</v>
      </c>
      <c r="G819" s="4" t="n">
        <v>2</v>
      </c>
      <c r="H819" s="13" t="n"/>
      <c r="I819" s="15" t="n"/>
      <c r="J819" s="19" t="n">
        <v>2</v>
      </c>
      <c r="K819" s="2" t="inlineStr">
        <is>
          <t>marker_480_377663.png</t>
        </is>
      </c>
      <c r="L819" s="11">
        <f>HYPERLINK("2\0\" &amp; K819, "Ver Imagen")</f>
        <v/>
      </c>
      <c r="M819" t="inlineStr">
        <is>
          <t>Moda</t>
        </is>
      </c>
    </row>
    <row r="820">
      <c r="A820" t="n">
        <v>819</v>
      </c>
      <c r="B820" t="inlineStr">
        <is>
          <t>A-497__349</t>
        </is>
      </c>
      <c r="C820" s="1" t="n">
        <v>37.2405530555</v>
      </c>
      <c r="D820" s="1" t="n">
        <v>-7.01846075481</v>
      </c>
      <c r="E820" s="3" t="n">
        <v>2</v>
      </c>
      <c r="F820" s="2" t="n">
        <v>2</v>
      </c>
      <c r="G820" s="4" t="n">
        <v>2</v>
      </c>
      <c r="H820" s="13" t="n"/>
      <c r="I820" s="15" t="n"/>
      <c r="J820" s="19" t="n">
        <v>2</v>
      </c>
      <c r="K820" s="2" t="inlineStr">
        <is>
          <t>marker_314_377671.png</t>
        </is>
      </c>
      <c r="L820" s="11">
        <f>HYPERLINK("2\0\" &amp; K820, "Ver Imagen")</f>
        <v/>
      </c>
      <c r="M820" t="inlineStr">
        <is>
          <t>Moda</t>
        </is>
      </c>
    </row>
    <row r="821">
      <c r="A821" t="n">
        <v>820</v>
      </c>
      <c r="B821" t="inlineStr">
        <is>
          <t>A-497__317</t>
        </is>
      </c>
      <c r="C821" s="1" t="n">
        <v>37.2470066483</v>
      </c>
      <c r="D821" s="1" t="n">
        <v>-7.01822542558</v>
      </c>
      <c r="E821" s="3" t="n">
        <v>2</v>
      </c>
      <c r="F821" s="2" t="n">
        <v>2</v>
      </c>
      <c r="G821" s="4" t="n">
        <v>2</v>
      </c>
      <c r="H821" s="13" t="n"/>
      <c r="I821" s="15" t="n"/>
      <c r="J821" s="19" t="n">
        <v>2</v>
      </c>
      <c r="K821" s="2" t="inlineStr">
        <is>
          <t>marker_732_377998.png</t>
        </is>
      </c>
      <c r="L821" s="11">
        <f>HYPERLINK("2\0\" &amp; K821, "Ver Imagen")</f>
        <v/>
      </c>
      <c r="M821" t="inlineStr">
        <is>
          <t>Moda</t>
        </is>
      </c>
    </row>
    <row r="822">
      <c r="A822" t="n">
        <v>821</v>
      </c>
      <c r="B822" t="inlineStr">
        <is>
          <t>A-497__314</t>
        </is>
      </c>
      <c r="C822" s="1" t="n">
        <v>37.2476099875</v>
      </c>
      <c r="D822" s="1" t="n">
        <v>-7.01820315372</v>
      </c>
      <c r="E822" s="3" t="n">
        <v>2</v>
      </c>
      <c r="F822" s="2" t="n">
        <v>2</v>
      </c>
      <c r="G822" s="4" t="n">
        <v>2</v>
      </c>
      <c r="H822" s="13" t="n"/>
      <c r="I822" s="15" t="n"/>
      <c r="J822" s="19" t="n">
        <v>2</v>
      </c>
      <c r="K822" s="2" t="inlineStr">
        <is>
          <t>marker_738_378029.png</t>
        </is>
      </c>
      <c r="L822" s="11">
        <f>HYPERLINK("2\0\" &amp; K822, "Ver Imagen")</f>
        <v/>
      </c>
      <c r="M822" t="inlineStr">
        <is>
          <t>Moda</t>
        </is>
      </c>
    </row>
    <row r="823">
      <c r="A823" t="n">
        <v>822</v>
      </c>
      <c r="B823" t="inlineStr">
        <is>
          <t>A-497__311</t>
        </is>
      </c>
      <c r="C823" s="1" t="n">
        <v>37.2482501481</v>
      </c>
      <c r="D823" s="1" t="n">
        <v>-7.01817247799</v>
      </c>
      <c r="E823" s="3" t="n">
        <v>2</v>
      </c>
      <c r="F823" s="2" t="n">
        <v>2</v>
      </c>
      <c r="G823" s="4" t="n">
        <v>2</v>
      </c>
      <c r="H823" s="13" t="n"/>
      <c r="I823" s="15" t="n"/>
      <c r="J823" s="19" t="n">
        <v>2</v>
      </c>
      <c r="K823" s="2" t="inlineStr">
        <is>
          <t>marker_359_378059.png</t>
        </is>
      </c>
      <c r="L823" s="11">
        <f>HYPERLINK("2\0\" &amp; K823, "Ver Imagen")</f>
        <v/>
      </c>
      <c r="M823" t="inlineStr">
        <is>
          <t>Moda</t>
        </is>
      </c>
    </row>
    <row r="824">
      <c r="A824" t="n">
        <v>823</v>
      </c>
      <c r="B824" t="inlineStr">
        <is>
          <t>A-497__306</t>
        </is>
      </c>
      <c r="C824" s="1" t="n">
        <v>37.2492356468</v>
      </c>
      <c r="D824" s="1" t="n">
        <v>-7.01806655235</v>
      </c>
      <c r="E824" s="3" t="n">
        <v>2</v>
      </c>
      <c r="F824" s="2" t="n">
        <v>2</v>
      </c>
      <c r="G824" s="4" t="n">
        <v>2</v>
      </c>
      <c r="H824" s="13" t="n"/>
      <c r="I824" s="15" t="n"/>
      <c r="J824" s="19" t="n">
        <v>2</v>
      </c>
      <c r="K824" s="2" t="inlineStr">
        <is>
          <t>marker_889_378139.png</t>
        </is>
      </c>
      <c r="L824" s="11">
        <f>HYPERLINK("2\0\" &amp; K824, "Ver Imagen")</f>
        <v/>
      </c>
      <c r="M824" t="inlineStr">
        <is>
          <t>Moda</t>
        </is>
      </c>
    </row>
    <row r="825">
      <c r="A825" t="n">
        <v>824</v>
      </c>
      <c r="B825" t="inlineStr">
        <is>
          <t>A-497__301</t>
        </is>
      </c>
      <c r="C825" s="1" t="n">
        <v>37.2502176124</v>
      </c>
      <c r="D825" s="1" t="n">
        <v>-7.0177096505</v>
      </c>
      <c r="E825" s="3" t="n">
        <v>2</v>
      </c>
      <c r="F825" s="2" t="n">
        <v>2</v>
      </c>
      <c r="G825" s="4" t="n">
        <v>2</v>
      </c>
      <c r="H825" s="13" t="n"/>
      <c r="I825" s="15" t="n"/>
      <c r="J825" s="19" t="n">
        <v>2</v>
      </c>
      <c r="K825" s="2" t="inlineStr">
        <is>
          <t>marker_815_378206.png</t>
        </is>
      </c>
      <c r="L825" s="11">
        <f>HYPERLINK("2\0\" &amp; K825, "Ver Imagen")</f>
        <v/>
      </c>
      <c r="M825" t="inlineStr">
        <is>
          <t>Moda</t>
        </is>
      </c>
    </row>
    <row r="826">
      <c r="A826" t="n">
        <v>825</v>
      </c>
      <c r="B826" t="inlineStr">
        <is>
          <t>A-497__299</t>
        </is>
      </c>
      <c r="C826" s="1" t="n">
        <v>37.2505596888</v>
      </c>
      <c r="D826" s="1" t="n">
        <v>-7.0175148193</v>
      </c>
      <c r="E826" s="3" t="n">
        <v>2</v>
      </c>
      <c r="F826" s="2" t="n">
        <v>2</v>
      </c>
      <c r="G826" s="4" t="n">
        <v>2</v>
      </c>
      <c r="H826" s="13" t="n"/>
      <c r="I826" s="15" t="n"/>
      <c r="J826" s="19" t="n">
        <v>2</v>
      </c>
      <c r="K826" s="2" t="inlineStr">
        <is>
          <t>marker_234_378229.png</t>
        </is>
      </c>
      <c r="L826" s="11">
        <f>HYPERLINK("2\0\" &amp; K826, "Ver Imagen")</f>
        <v/>
      </c>
      <c r="M826" t="inlineStr">
        <is>
          <t>Moda</t>
        </is>
      </c>
    </row>
    <row r="827">
      <c r="A827" t="n">
        <v>826</v>
      </c>
      <c r="B827" t="inlineStr">
        <is>
          <t>A-497__298</t>
        </is>
      </c>
      <c r="C827" s="1" t="n">
        <v>37.2507440932</v>
      </c>
      <c r="D827" s="1" t="n">
        <v>-7.01740083639</v>
      </c>
      <c r="E827" s="3" t="n">
        <v>2</v>
      </c>
      <c r="F827" s="2" t="n">
        <v>2</v>
      </c>
      <c r="G827" s="4" t="n">
        <v>2</v>
      </c>
      <c r="H827" s="13" t="n"/>
      <c r="I827" s="15" t="n"/>
      <c r="J827" s="19" t="n">
        <v>2</v>
      </c>
      <c r="K827" s="2" t="inlineStr">
        <is>
          <t>marker_185_378239.png</t>
        </is>
      </c>
      <c r="L827" s="11">
        <f>HYPERLINK("2\0\" &amp; K827, "Ver Imagen")</f>
        <v/>
      </c>
      <c r="M827" t="inlineStr">
        <is>
          <t>Moda</t>
        </is>
      </c>
    </row>
    <row r="828">
      <c r="A828" t="n">
        <v>827</v>
      </c>
      <c r="B828" t="inlineStr">
        <is>
          <t>A-497__297</t>
        </is>
      </c>
      <c r="C828" s="1" t="n">
        <v>37.2509135811</v>
      </c>
      <c r="D828" s="1" t="n">
        <v>-7.01729386903</v>
      </c>
      <c r="E828" s="3" t="n">
        <v>2</v>
      </c>
      <c r="F828" s="2" t="n">
        <v>2</v>
      </c>
      <c r="G828" s="4" t="n">
        <v>2</v>
      </c>
      <c r="H828" s="13" t="n"/>
      <c r="I828" s="15" t="n"/>
      <c r="J828" s="19" t="n">
        <v>2</v>
      </c>
      <c r="K828" s="2" t="inlineStr">
        <is>
          <t>marker_596_378254.png</t>
        </is>
      </c>
      <c r="L828" s="11">
        <f>HYPERLINK("2\0\" &amp; K828, "Ver Imagen")</f>
        <v/>
      </c>
      <c r="M828" t="inlineStr">
        <is>
          <t>Moda</t>
        </is>
      </c>
    </row>
    <row r="829">
      <c r="A829" t="n">
        <v>828</v>
      </c>
      <c r="B829" t="inlineStr">
        <is>
          <t>A-497__296</t>
        </is>
      </c>
      <c r="C829" s="1" t="n">
        <v>37.2511041925</v>
      </c>
      <c r="D829" s="1" t="n">
        <v>-7.01717219621</v>
      </c>
      <c r="E829" s="3" t="n">
        <v>2</v>
      </c>
      <c r="F829" s="2" t="n">
        <v>2</v>
      </c>
      <c r="G829" s="4" t="n">
        <v>2</v>
      </c>
      <c r="H829" s="13" t="n"/>
      <c r="I829" s="15" t="n"/>
      <c r="J829" s="19" t="n">
        <v>2</v>
      </c>
      <c r="K829" s="2" t="inlineStr">
        <is>
          <t>marker_676_378273.png</t>
        </is>
      </c>
      <c r="L829" s="11">
        <f>HYPERLINK("2\0\" &amp; K829, "Ver Imagen")</f>
        <v/>
      </c>
      <c r="M829" t="inlineStr">
        <is>
          <t>Moda</t>
        </is>
      </c>
    </row>
    <row r="830">
      <c r="A830" t="n">
        <v>829</v>
      </c>
      <c r="B830" t="inlineStr">
        <is>
          <t>A-497__295</t>
        </is>
      </c>
      <c r="C830" s="1" t="n">
        <v>37.2513084289</v>
      </c>
      <c r="D830" s="1" t="n">
        <v>-7.01704193533</v>
      </c>
      <c r="E830" s="3" t="n">
        <v>2</v>
      </c>
      <c r="F830" s="2" t="n">
        <v>2</v>
      </c>
      <c r="G830" s="4" t="n">
        <v>2</v>
      </c>
      <c r="H830" s="13" t="n"/>
      <c r="I830" s="15" t="n"/>
      <c r="J830" s="19" t="n">
        <v>2</v>
      </c>
      <c r="K830" s="2" t="inlineStr">
        <is>
          <t>marker_316_378293.png</t>
        </is>
      </c>
      <c r="L830" s="11">
        <f>HYPERLINK("2\0\" &amp; K830, "Ver Imagen")</f>
        <v/>
      </c>
      <c r="M830" t="inlineStr">
        <is>
          <t>Moda</t>
        </is>
      </c>
    </row>
    <row r="831">
      <c r="A831" t="n">
        <v>830</v>
      </c>
      <c r="B831" t="inlineStr">
        <is>
          <t>A-497__288</t>
        </is>
      </c>
      <c r="C831" s="1" t="n">
        <v>37.2525814031</v>
      </c>
      <c r="D831" s="1" t="n">
        <v>-7.01623452948</v>
      </c>
      <c r="E831" s="3" t="n">
        <v>2</v>
      </c>
      <c r="F831" s="2" t="n">
        <v>2</v>
      </c>
      <c r="G831" s="4" t="n">
        <v>2</v>
      </c>
      <c r="H831" s="13" t="n"/>
      <c r="I831" s="15" t="n"/>
      <c r="J831" s="19" t="n">
        <v>2</v>
      </c>
      <c r="K831" s="2" t="inlineStr">
        <is>
          <t>marker_453_378375.png</t>
        </is>
      </c>
      <c r="L831" s="11">
        <f>HYPERLINK("2\0\" &amp; K831, "Ver Imagen")</f>
        <v/>
      </c>
      <c r="M831" t="inlineStr">
        <is>
          <t>Moda</t>
        </is>
      </c>
    </row>
    <row r="832">
      <c r="A832" t="n">
        <v>831</v>
      </c>
      <c r="B832" t="inlineStr">
        <is>
          <t>A-497__283</t>
        </is>
      </c>
      <c r="C832" s="1" t="n">
        <v>37.2534438001</v>
      </c>
      <c r="D832" s="1" t="n">
        <v>-7.01568706283</v>
      </c>
      <c r="E832" s="3" t="n">
        <v>2</v>
      </c>
      <c r="F832" s="2" t="n">
        <v>2</v>
      </c>
      <c r="G832" s="4" t="n">
        <v>2</v>
      </c>
      <c r="H832" s="13" t="n"/>
      <c r="I832" s="15" t="n"/>
      <c r="J832" s="19" t="n">
        <v>2</v>
      </c>
      <c r="K832" s="2" t="inlineStr">
        <is>
          <t>marker_525_378437.png</t>
        </is>
      </c>
      <c r="L832" s="11">
        <f>HYPERLINK("2\0\" &amp; K832, "Ver Imagen")</f>
        <v/>
      </c>
      <c r="M832" t="inlineStr">
        <is>
          <t>Moda</t>
        </is>
      </c>
    </row>
    <row r="833">
      <c r="A833" t="n">
        <v>832</v>
      </c>
      <c r="B833" t="inlineStr">
        <is>
          <t>A-497__276</t>
        </is>
      </c>
      <c r="C833" s="1" t="n">
        <v>37.2547001236</v>
      </c>
      <c r="D833" s="1" t="n">
        <v>-7.01488173912</v>
      </c>
      <c r="E833" s="3" t="n">
        <v>2</v>
      </c>
      <c r="F833" s="2" t="n">
        <v>2</v>
      </c>
      <c r="G833" s="4" t="n">
        <v>2</v>
      </c>
      <c r="H833" s="13" t="n"/>
      <c r="I833" s="15" t="n"/>
      <c r="J833" s="19" t="n">
        <v>2</v>
      </c>
      <c r="K833" s="2" t="inlineStr">
        <is>
          <t>marker_911_378515.png</t>
        </is>
      </c>
      <c r="L833" s="11">
        <f>HYPERLINK("2\0\" &amp; K833, "Ver Imagen")</f>
        <v/>
      </c>
      <c r="M833" t="inlineStr">
        <is>
          <t>Moda</t>
        </is>
      </c>
    </row>
    <row r="834">
      <c r="A834" t="n">
        <v>833</v>
      </c>
      <c r="B834" t="inlineStr">
        <is>
          <t>A-497__255</t>
        </is>
      </c>
      <c r="C834" s="1" t="n">
        <v>37.2585146544</v>
      </c>
      <c r="D834" s="1" t="n">
        <v>-7.0124553423</v>
      </c>
      <c r="E834" s="3" t="n">
        <v>2</v>
      </c>
      <c r="F834" s="2" t="n">
        <v>2</v>
      </c>
      <c r="G834" s="4" t="n">
        <v>2</v>
      </c>
      <c r="H834" s="13" t="n"/>
      <c r="I834" s="15" t="n"/>
      <c r="J834" s="19" t="n">
        <v>2</v>
      </c>
      <c r="K834" s="2" t="inlineStr">
        <is>
          <t>marker_245_378732.png</t>
        </is>
      </c>
      <c r="L834" s="11">
        <f>HYPERLINK("2\0\" &amp; K834, "Ver Imagen")</f>
        <v/>
      </c>
      <c r="M834" t="inlineStr">
        <is>
          <t>Moda</t>
        </is>
      </c>
    </row>
    <row r="835">
      <c r="A835" t="n">
        <v>834</v>
      </c>
      <c r="B835" t="inlineStr">
        <is>
          <t>A-492__42</t>
        </is>
      </c>
      <c r="C835" s="1" t="n">
        <v>37.2786905833</v>
      </c>
      <c r="D835" s="1" t="n">
        <v>-6.99369461843</v>
      </c>
      <c r="E835" s="3" t="n">
        <v>1</v>
      </c>
      <c r="F835" s="2" t="n">
        <v>2</v>
      </c>
      <c r="G835" s="4" t="n">
        <v>2</v>
      </c>
      <c r="H835" s="13" t="n"/>
      <c r="I835" s="15" t="n"/>
      <c r="J835" s="19" t="n">
        <v>2</v>
      </c>
      <c r="K835" s="2" t="inlineStr">
        <is>
          <t>marker_797_822890.png</t>
        </is>
      </c>
      <c r="L835" s="11">
        <f>HYPERLINK("2\1\" &amp; K835, "Ver Imagen")</f>
        <v/>
      </c>
      <c r="M835" t="inlineStr">
        <is>
          <t>Moda</t>
        </is>
      </c>
    </row>
    <row r="836">
      <c r="A836" t="n">
        <v>835</v>
      </c>
      <c r="B836" t="inlineStr">
        <is>
          <t>A-492__43</t>
        </is>
      </c>
      <c r="C836" s="1" t="n">
        <v>37.2788052326</v>
      </c>
      <c r="D836" s="1" t="n">
        <v>-6.99393548374</v>
      </c>
      <c r="E836" s="3" t="n">
        <v>1</v>
      </c>
      <c r="F836" s="2" t="n">
        <v>2</v>
      </c>
      <c r="G836" s="4" t="n">
        <v>2</v>
      </c>
      <c r="H836" s="13" t="n"/>
      <c r="I836" s="15" t="n"/>
      <c r="J836" s="19" t="n">
        <v>2</v>
      </c>
      <c r="K836" s="2" t="inlineStr">
        <is>
          <t>marker_135_822905.png</t>
        </is>
      </c>
      <c r="L836" s="11">
        <f>HYPERLINK("2\1\" &amp; K836, "Ver Imagen")</f>
        <v/>
      </c>
      <c r="M836" t="inlineStr">
        <is>
          <t>Moda</t>
        </is>
      </c>
    </row>
    <row r="837">
      <c r="A837" t="n">
        <v>836</v>
      </c>
      <c r="B837" t="inlineStr">
        <is>
          <t>A-492__44</t>
        </is>
      </c>
      <c r="C837" s="1" t="n">
        <v>37.2788871305</v>
      </c>
      <c r="D837" s="1" t="n">
        <v>-6.9941380155</v>
      </c>
      <c r="E837" s="3" t="n">
        <v>1</v>
      </c>
      <c r="F837" s="2" t="n">
        <v>2</v>
      </c>
      <c r="G837" s="4" t="n">
        <v>2</v>
      </c>
      <c r="H837" s="13" t="n"/>
      <c r="I837" s="15" t="n"/>
      <c r="J837" s="19" t="n">
        <v>2</v>
      </c>
      <c r="K837" s="2" t="inlineStr">
        <is>
          <t>marker_240_822924.png</t>
        </is>
      </c>
      <c r="L837" s="11">
        <f>HYPERLINK("2\1\" &amp; K837, "Ver Imagen")</f>
        <v/>
      </c>
      <c r="M837" t="inlineStr">
        <is>
          <t>Moda</t>
        </is>
      </c>
    </row>
    <row r="838">
      <c r="A838" t="n">
        <v>837</v>
      </c>
      <c r="B838" t="inlineStr">
        <is>
          <t>A-492__53</t>
        </is>
      </c>
      <c r="C838" s="1" t="n">
        <v>37.2794597052</v>
      </c>
      <c r="D838" s="1" t="n">
        <v>-6.99630014056</v>
      </c>
      <c r="E838" s="3" t="n">
        <v>1</v>
      </c>
      <c r="F838" s="2" t="n">
        <v>2</v>
      </c>
      <c r="G838" s="4" t="n">
        <v>2</v>
      </c>
      <c r="H838" s="13" t="n"/>
      <c r="I838" s="15" t="n"/>
      <c r="J838" s="19" t="n">
        <v>2</v>
      </c>
      <c r="K838" s="2" t="inlineStr">
        <is>
          <t>marker_635_823043.png</t>
        </is>
      </c>
      <c r="L838" s="11">
        <f>HYPERLINK("2\1\" &amp; K838, "Ver Imagen")</f>
        <v/>
      </c>
      <c r="M838" t="inlineStr">
        <is>
          <t>Moda</t>
        </is>
      </c>
    </row>
    <row r="839">
      <c r="A839" t="n">
        <v>838</v>
      </c>
      <c r="B839" t="inlineStr">
        <is>
          <t>A-492__58</t>
        </is>
      </c>
      <c r="C839" s="1" t="n">
        <v>37.2797182137</v>
      </c>
      <c r="D839" s="1" t="n">
        <v>-6.99755677749</v>
      </c>
      <c r="E839" s="3" t="n">
        <v>1</v>
      </c>
      <c r="F839" s="2" t="n">
        <v>2</v>
      </c>
      <c r="G839" s="4" t="n">
        <v>2</v>
      </c>
      <c r="H839" s="13" t="n"/>
      <c r="I839" s="15" t="n"/>
      <c r="J839" s="19" t="n">
        <v>2</v>
      </c>
      <c r="K839" s="2" t="inlineStr">
        <is>
          <t>marker_808_823121.png</t>
        </is>
      </c>
      <c r="L839" s="11">
        <f>HYPERLINK("2\1\" &amp; K839, "Ver Imagen")</f>
        <v/>
      </c>
      <c r="M839" t="inlineStr">
        <is>
          <t>Moda</t>
        </is>
      </c>
    </row>
    <row r="840">
      <c r="A840" t="n">
        <v>839</v>
      </c>
      <c r="B840" t="inlineStr">
        <is>
          <t>A-492__59</t>
        </is>
      </c>
      <c r="C840" s="1" t="n">
        <v>37.2797631739</v>
      </c>
      <c r="D840" s="1" t="n">
        <v>-6.99779484912</v>
      </c>
      <c r="E840" s="3" t="n">
        <v>1</v>
      </c>
      <c r="F840" s="2" t="n">
        <v>2</v>
      </c>
      <c r="G840" s="4" t="n">
        <v>2</v>
      </c>
      <c r="H840" s="13" t="n"/>
      <c r="I840" s="15" t="n"/>
      <c r="J840" s="19" t="n">
        <v>2</v>
      </c>
      <c r="K840" s="2" t="inlineStr">
        <is>
          <t>marker_375_823132.png</t>
        </is>
      </c>
      <c r="L840" s="11">
        <f>HYPERLINK("2\1\" &amp; K840, "Ver Imagen")</f>
        <v/>
      </c>
      <c r="M840" t="inlineStr">
        <is>
          <t>Moda</t>
        </is>
      </c>
    </row>
    <row r="841">
      <c r="A841" t="n">
        <v>840</v>
      </c>
      <c r="B841" t="inlineStr">
        <is>
          <t>A-492__305</t>
        </is>
      </c>
      <c r="C841" s="1" t="n">
        <v>37.2932693274</v>
      </c>
      <c r="D841" s="1" t="n">
        <v>-7.04631648727</v>
      </c>
      <c r="E841" s="3" t="n">
        <v>1</v>
      </c>
      <c r="F841" s="2" t="n">
        <v>2</v>
      </c>
      <c r="G841" s="4" t="n">
        <v>2</v>
      </c>
      <c r="H841" s="13" t="n"/>
      <c r="I841" s="15" t="n"/>
      <c r="J841" s="19" t="n">
        <v>2</v>
      </c>
      <c r="K841" s="2" t="inlineStr">
        <is>
          <t>marker_486_837611.png</t>
        </is>
      </c>
      <c r="L841" s="11">
        <f>HYPERLINK("2\1\" &amp; K841, "Ver Imagen")</f>
        <v/>
      </c>
      <c r="M841" t="inlineStr">
        <is>
          <t>Moda</t>
        </is>
      </c>
    </row>
    <row r="842">
      <c r="A842" t="n">
        <v>841</v>
      </c>
      <c r="B842" t="inlineStr">
        <is>
          <t>A-495R__104</t>
        </is>
      </c>
      <c r="C842" s="1" t="n">
        <v>37.4639454225</v>
      </c>
      <c r="D842" s="1" t="n">
        <v>-7.1186096631</v>
      </c>
      <c r="E842" s="3" t="n">
        <v>1</v>
      </c>
      <c r="F842" s="2" t="n">
        <v>2</v>
      </c>
      <c r="G842" s="4" t="n">
        <v>2</v>
      </c>
      <c r="H842" s="13" t="n"/>
      <c r="I842" s="15" t="n"/>
      <c r="J842" s="19" t="n">
        <v>2</v>
      </c>
      <c r="K842" s="2" t="inlineStr">
        <is>
          <t>marker_318_895824.png</t>
        </is>
      </c>
      <c r="L842" s="11">
        <f>HYPERLINK("2\1\" &amp; K842, "Ver Imagen")</f>
        <v/>
      </c>
      <c r="M842" t="inlineStr">
        <is>
          <t>Moda</t>
        </is>
      </c>
    </row>
    <row r="843">
      <c r="A843" t="n">
        <v>842</v>
      </c>
      <c r="B843" t="inlineStr">
        <is>
          <t>A-495R__102</t>
        </is>
      </c>
      <c r="C843" s="1" t="n">
        <v>37.4636555763</v>
      </c>
      <c r="D843" s="1" t="n">
        <v>-7.11829904278</v>
      </c>
      <c r="E843" s="3" t="n">
        <v>1</v>
      </c>
      <c r="F843" s="2" t="n">
        <v>2</v>
      </c>
      <c r="G843" s="4" t="n">
        <v>2</v>
      </c>
      <c r="H843" s="13" t="n"/>
      <c r="I843" s="15" t="n"/>
      <c r="J843" s="19" t="n">
        <v>2</v>
      </c>
      <c r="K843" s="2" t="inlineStr">
        <is>
          <t>marker_940_896575.png</t>
        </is>
      </c>
      <c r="L843" s="11">
        <f>HYPERLINK("2\1\" &amp; K843, "Ver Imagen")</f>
        <v/>
      </c>
      <c r="M843" t="inlineStr">
        <is>
          <t>Moda</t>
        </is>
      </c>
    </row>
    <row r="844">
      <c r="A844" t="n">
        <v>843</v>
      </c>
      <c r="B844" t="inlineStr">
        <is>
          <t>A-495R__98</t>
        </is>
      </c>
      <c r="C844" s="1" t="n">
        <v>37.4629540331</v>
      </c>
      <c r="D844" s="1" t="n">
        <v>-7.11773601163</v>
      </c>
      <c r="E844" s="3" t="n">
        <v>1</v>
      </c>
      <c r="F844" s="2" t="n">
        <v>2</v>
      </c>
      <c r="G844" s="4" t="n">
        <v>2</v>
      </c>
      <c r="H844" s="13" t="n"/>
      <c r="I844" s="15" t="n"/>
      <c r="J844" s="19" t="n">
        <v>2</v>
      </c>
      <c r="K844" s="2" t="inlineStr">
        <is>
          <t>marker_898_906510.png</t>
        </is>
      </c>
      <c r="L844" s="11">
        <f>HYPERLINK("2\1\" &amp; K844, "Ver Imagen")</f>
        <v/>
      </c>
      <c r="M844" t="inlineStr">
        <is>
          <t>Moda</t>
        </is>
      </c>
    </row>
    <row r="845">
      <c r="A845" t="n">
        <v>844</v>
      </c>
      <c r="B845" t="inlineStr">
        <is>
          <t>A-495R__96</t>
        </is>
      </c>
      <c r="C845" s="1" t="n">
        <v>37.4625984905</v>
      </c>
      <c r="D845" s="1" t="n">
        <v>-7.11751239989</v>
      </c>
      <c r="E845" s="3" t="n">
        <v>1</v>
      </c>
      <c r="F845" s="2" t="n">
        <v>2</v>
      </c>
      <c r="G845" s="4" t="n">
        <v>2</v>
      </c>
      <c r="H845" s="13" t="n"/>
      <c r="I845" s="15" t="n"/>
      <c r="J845" s="19" t="n">
        <v>2</v>
      </c>
      <c r="K845" s="2" t="inlineStr">
        <is>
          <t>marker_387_906548.png</t>
        </is>
      </c>
      <c r="L845" s="11">
        <f>HYPERLINK("2\1\" &amp; K845, "Ver Imagen")</f>
        <v/>
      </c>
      <c r="M845" t="inlineStr">
        <is>
          <t>Moda</t>
        </is>
      </c>
    </row>
    <row r="846">
      <c r="A846" t="n">
        <v>845</v>
      </c>
      <c r="B846" t="inlineStr">
        <is>
          <t>A-495R__89</t>
        </is>
      </c>
      <c r="C846" s="1" t="n">
        <v>37.4614895475</v>
      </c>
      <c r="D846" s="1" t="n">
        <v>-7.11646630391</v>
      </c>
      <c r="E846" s="3" t="n">
        <v>1</v>
      </c>
      <c r="F846" s="2" t="n">
        <v>2</v>
      </c>
      <c r="G846" s="4" t="n">
        <v>2</v>
      </c>
      <c r="H846" s="13" t="n"/>
      <c r="I846" s="15" t="n"/>
      <c r="J846" s="19" t="n">
        <v>2</v>
      </c>
      <c r="K846" s="2" t="inlineStr">
        <is>
          <t>marker_164_906629.png</t>
        </is>
      </c>
      <c r="L846" s="11">
        <f>HYPERLINK("2\1\" &amp; K846, "Ver Imagen")</f>
        <v/>
      </c>
      <c r="M846" t="inlineStr">
        <is>
          <t>Moda</t>
        </is>
      </c>
    </row>
    <row r="847">
      <c r="A847" t="n">
        <v>846</v>
      </c>
      <c r="B847" t="inlineStr">
        <is>
          <t>A-495R__86</t>
        </is>
      </c>
      <c r="C847" s="1" t="n">
        <v>37.4610603031</v>
      </c>
      <c r="D847" s="1" t="n">
        <v>-7.1159471335</v>
      </c>
      <c r="E847" s="3" t="n">
        <v>1</v>
      </c>
      <c r="F847" s="2" t="n">
        <v>2</v>
      </c>
      <c r="G847" s="4" t="n">
        <v>2</v>
      </c>
      <c r="H847" s="13" t="n"/>
      <c r="I847" s="15" t="n"/>
      <c r="J847" s="19" t="n">
        <v>2</v>
      </c>
      <c r="K847" s="2" t="inlineStr">
        <is>
          <t>marker_569_906659.png</t>
        </is>
      </c>
      <c r="L847" s="11">
        <f>HYPERLINK("2\1\" &amp; K847, "Ver Imagen")</f>
        <v/>
      </c>
      <c r="M847" t="inlineStr">
        <is>
          <t>Moda</t>
        </is>
      </c>
    </row>
    <row r="848">
      <c r="A848" t="n">
        <v>847</v>
      </c>
      <c r="B848" t="inlineStr">
        <is>
          <t>A-495R__85</t>
        </is>
      </c>
      <c r="C848" s="1" t="n">
        <v>37.4609061271</v>
      </c>
      <c r="D848" s="1" t="n">
        <v>-7.11577916334</v>
      </c>
      <c r="E848" s="3" t="n">
        <v>1</v>
      </c>
      <c r="F848" s="2" t="n">
        <v>2</v>
      </c>
      <c r="G848" s="4" t="n">
        <v>2</v>
      </c>
      <c r="H848" s="13" t="n"/>
      <c r="I848" s="15" t="n"/>
      <c r="J848" s="19" t="n">
        <v>2</v>
      </c>
      <c r="K848" s="2" t="inlineStr">
        <is>
          <t>marker_185_906667.png</t>
        </is>
      </c>
      <c r="L848" s="11">
        <f>HYPERLINK("2\1\" &amp; K848, "Ver Imagen")</f>
        <v/>
      </c>
      <c r="M848" t="inlineStr">
        <is>
          <t>Moda</t>
        </is>
      </c>
    </row>
    <row r="849">
      <c r="A849" t="n">
        <v>848</v>
      </c>
      <c r="B849" t="inlineStr">
        <is>
          <t>A-495R__84</t>
        </is>
      </c>
      <c r="C849" s="1" t="n">
        <v>37.4607113219</v>
      </c>
      <c r="D849" s="1" t="n">
        <v>-7.11558643814</v>
      </c>
      <c r="E849" s="3" t="n">
        <v>1</v>
      </c>
      <c r="F849" s="2" t="n">
        <v>2</v>
      </c>
      <c r="G849" s="4" t="n">
        <v>2</v>
      </c>
      <c r="H849" s="13" t="n"/>
      <c r="I849" s="15" t="n"/>
      <c r="J849" s="19" t="n">
        <v>2</v>
      </c>
      <c r="K849" s="2" t="inlineStr">
        <is>
          <t>marker_105_906676.png</t>
        </is>
      </c>
      <c r="L849" s="11">
        <f>HYPERLINK("2\1\" &amp; K849, "Ver Imagen")</f>
        <v/>
      </c>
      <c r="M849" t="inlineStr">
        <is>
          <t>Moda</t>
        </is>
      </c>
    </row>
    <row r="850">
      <c r="A850" t="n">
        <v>849</v>
      </c>
      <c r="B850" t="inlineStr">
        <is>
          <t>A-495R__83</t>
        </is>
      </c>
      <c r="C850" s="1" t="n">
        <v>37.4605541921</v>
      </c>
      <c r="D850" s="1" t="n">
        <v>-7.11545385921</v>
      </c>
      <c r="E850" s="3" t="n">
        <v>1</v>
      </c>
      <c r="F850" s="2" t="n">
        <v>2</v>
      </c>
      <c r="G850" s="4" t="n">
        <v>2</v>
      </c>
      <c r="H850" s="13" t="n"/>
      <c r="I850" s="15" t="n"/>
      <c r="J850" s="19" t="n">
        <v>2</v>
      </c>
      <c r="K850" s="2" t="inlineStr">
        <is>
          <t>marker_932_906687.png</t>
        </is>
      </c>
      <c r="L850" s="11">
        <f>HYPERLINK("2\1\" &amp; K850, "Ver Imagen")</f>
        <v/>
      </c>
      <c r="M850" t="inlineStr">
        <is>
          <t>Moda</t>
        </is>
      </c>
    </row>
    <row r="851">
      <c r="A851" t="n">
        <v>850</v>
      </c>
      <c r="B851" t="inlineStr">
        <is>
          <t>A-495R__82</t>
        </is>
      </c>
      <c r="C851" s="1" t="n">
        <v>37.4603861769</v>
      </c>
      <c r="D851" s="1" t="n">
        <v>-7.11533620938</v>
      </c>
      <c r="E851" s="3" t="n">
        <v>1</v>
      </c>
      <c r="F851" s="2" t="n">
        <v>2</v>
      </c>
      <c r="G851" s="4" t="n">
        <v>2</v>
      </c>
      <c r="H851" s="13" t="n"/>
      <c r="I851" s="15" t="n"/>
      <c r="J851" s="19" t="n">
        <v>2</v>
      </c>
      <c r="K851" s="2" t="inlineStr">
        <is>
          <t>marker_114_906697.png</t>
        </is>
      </c>
      <c r="L851" s="11">
        <f>HYPERLINK("2\1\" &amp; K851, "Ver Imagen")</f>
        <v/>
      </c>
      <c r="M851" t="inlineStr">
        <is>
          <t>Moda</t>
        </is>
      </c>
    </row>
    <row r="852">
      <c r="A852" t="n">
        <v>851</v>
      </c>
      <c r="B852" t="inlineStr">
        <is>
          <t>A-495R__81</t>
        </is>
      </c>
      <c r="C852" s="1" t="n">
        <v>37.4602001226</v>
      </c>
      <c r="D852" s="1" t="n">
        <v>-7.11522394701</v>
      </c>
      <c r="E852" s="3" t="n">
        <v>1</v>
      </c>
      <c r="F852" s="2" t="n">
        <v>2</v>
      </c>
      <c r="G852" s="4" t="n">
        <v>2</v>
      </c>
      <c r="H852" s="13" t="n"/>
      <c r="I852" s="15" t="n"/>
      <c r="J852" s="19" t="n">
        <v>2</v>
      </c>
      <c r="K852" s="2" t="inlineStr">
        <is>
          <t>marker_900_906705.png</t>
        </is>
      </c>
      <c r="L852" s="11">
        <f>HYPERLINK("2\1\" &amp; K852, "Ver Imagen")</f>
        <v/>
      </c>
      <c r="M852" t="inlineStr">
        <is>
          <t>Moda</t>
        </is>
      </c>
    </row>
    <row r="853">
      <c r="A853" t="n">
        <v>852</v>
      </c>
      <c r="B853" t="inlineStr">
        <is>
          <t>A-495R__78</t>
        </is>
      </c>
      <c r="C853" s="1" t="n">
        <v>37.4596178008</v>
      </c>
      <c r="D853" s="1" t="n">
        <v>-7.11498082622</v>
      </c>
      <c r="E853" s="3" t="n">
        <v>1</v>
      </c>
      <c r="F853" s="2" t="n">
        <v>2</v>
      </c>
      <c r="G853" s="4" t="n">
        <v>2</v>
      </c>
      <c r="H853" s="13" t="n"/>
      <c r="I853" s="15" t="n"/>
      <c r="J853" s="19" t="n">
        <v>2</v>
      </c>
      <c r="K853" s="2" t="inlineStr">
        <is>
          <t>marker_212_906744.png</t>
        </is>
      </c>
      <c r="L853" s="11">
        <f>HYPERLINK("2\1\" &amp; K853, "Ver Imagen")</f>
        <v/>
      </c>
      <c r="M853" t="inlineStr">
        <is>
          <t>Moda</t>
        </is>
      </c>
    </row>
    <row r="854">
      <c r="A854" t="n">
        <v>853</v>
      </c>
      <c r="B854" t="inlineStr">
        <is>
          <t>A-495R__74</t>
        </is>
      </c>
      <c r="C854" s="1" t="n">
        <v>37.4588476746</v>
      </c>
      <c r="D854" s="1" t="n">
        <v>-7.11474921879</v>
      </c>
      <c r="E854" s="3" t="n">
        <v>1</v>
      </c>
      <c r="F854" s="2" t="n">
        <v>2</v>
      </c>
      <c r="G854" s="4" t="n">
        <v>2</v>
      </c>
      <c r="H854" s="13" t="n"/>
      <c r="I854" s="15" t="n"/>
      <c r="J854" s="19" t="n">
        <v>2</v>
      </c>
      <c r="K854" s="2" t="inlineStr">
        <is>
          <t>marker_911_935170.png</t>
        </is>
      </c>
      <c r="L854" s="11">
        <f>HYPERLINK("2\1\" &amp; K854, "Ver Imagen")</f>
        <v/>
      </c>
      <c r="M854" t="inlineStr">
        <is>
          <t>Moda</t>
        </is>
      </c>
    </row>
    <row r="855">
      <c r="A855" t="n">
        <v>854</v>
      </c>
      <c r="B855" t="inlineStr">
        <is>
          <t>A-495R__73</t>
        </is>
      </c>
      <c r="C855" s="1" t="n">
        <v>37.4586817433</v>
      </c>
      <c r="D855" s="1" t="n">
        <v>-7.11467350452</v>
      </c>
      <c r="E855" s="3" t="n">
        <v>1</v>
      </c>
      <c r="F855" s="2" t="n">
        <v>2</v>
      </c>
      <c r="G855" s="4" t="n">
        <v>2</v>
      </c>
      <c r="H855" s="13" t="n"/>
      <c r="I855" s="15" t="n"/>
      <c r="J855" s="19" t="n">
        <v>2</v>
      </c>
      <c r="K855" s="2" t="inlineStr">
        <is>
          <t>marker_373_935182.png</t>
        </is>
      </c>
      <c r="L855" s="11">
        <f>HYPERLINK("2\1\" &amp; K855, "Ver Imagen")</f>
        <v/>
      </c>
      <c r="M855" t="inlineStr">
        <is>
          <t>Moda</t>
        </is>
      </c>
    </row>
    <row r="856">
      <c r="A856" t="n">
        <v>855</v>
      </c>
      <c r="B856" t="inlineStr">
        <is>
          <t>A-5050__152</t>
        </is>
      </c>
      <c r="C856" s="1" t="n">
        <v>37.1929290907</v>
      </c>
      <c r="D856" s="1" t="n">
        <v>-6.9951238774</v>
      </c>
      <c r="E856" s="3" t="n">
        <v>1</v>
      </c>
      <c r="F856" s="2" t="n">
        <v>2</v>
      </c>
      <c r="G856" s="4" t="n">
        <v>2</v>
      </c>
      <c r="H856" s="13" t="n"/>
      <c r="I856" s="15" t="n"/>
      <c r="J856" s="19" t="n">
        <v>2</v>
      </c>
      <c r="K856" s="2" t="inlineStr">
        <is>
          <t>marker_745_945351.png</t>
        </is>
      </c>
      <c r="L856" s="11">
        <f>HYPERLINK("2\1\" &amp; K856, "Ver Imagen")</f>
        <v/>
      </c>
      <c r="M856" t="inlineStr">
        <is>
          <t>Moda</t>
        </is>
      </c>
    </row>
    <row r="857">
      <c r="A857" t="n">
        <v>856</v>
      </c>
      <c r="B857" t="inlineStr">
        <is>
          <t>A-5050__132</t>
        </is>
      </c>
      <c r="C857" s="1" t="n">
        <v>37.1947855806</v>
      </c>
      <c r="D857" s="1" t="n">
        <v>-6.99961493237</v>
      </c>
      <c r="E857" s="3" t="n">
        <v>1</v>
      </c>
      <c r="F857" s="2" t="n">
        <v>2</v>
      </c>
      <c r="G857" s="4" t="n">
        <v>2</v>
      </c>
      <c r="H857" s="13" t="n"/>
      <c r="I857" s="15" t="n"/>
      <c r="J857" s="19" t="n">
        <v>2</v>
      </c>
      <c r="K857" s="2" t="inlineStr">
        <is>
          <t>marker_804_945925.png</t>
        </is>
      </c>
      <c r="L857" s="11">
        <f>HYPERLINK("2\1\" &amp; K857, "Ver Imagen")</f>
        <v/>
      </c>
      <c r="M857" t="inlineStr">
        <is>
          <t>Moda</t>
        </is>
      </c>
    </row>
    <row r="858">
      <c r="A858" t="n">
        <v>857</v>
      </c>
      <c r="B858" t="inlineStr">
        <is>
          <t>A-5052__4</t>
        </is>
      </c>
      <c r="C858" s="1" t="n">
        <v>37.2184407744</v>
      </c>
      <c r="D858" s="1" t="n">
        <v>-7.12496584197</v>
      </c>
      <c r="E858" s="3" t="n">
        <v>1</v>
      </c>
      <c r="F858" s="2" t="n">
        <v>2</v>
      </c>
      <c r="G858" s="4" t="n">
        <v>2</v>
      </c>
      <c r="H858" s="13" t="n"/>
      <c r="I858" s="15" t="n"/>
      <c r="J858" s="19" t="n">
        <v>2</v>
      </c>
      <c r="K858" s="2" t="inlineStr">
        <is>
          <t>marker_893_949904.png</t>
        </is>
      </c>
      <c r="L858" s="11">
        <f>HYPERLINK("2\1\" &amp; K858, "Ver Imagen")</f>
        <v/>
      </c>
      <c r="M858" t="inlineStr">
        <is>
          <t>Moda</t>
        </is>
      </c>
    </row>
    <row r="859">
      <c r="A859" t="n">
        <v>858</v>
      </c>
      <c r="B859" t="inlineStr">
        <is>
          <t>A-5052__5</t>
        </is>
      </c>
      <c r="C859" s="1" t="n">
        <v>37.2184036945</v>
      </c>
      <c r="D859" s="1" t="n">
        <v>-7.12472093178</v>
      </c>
      <c r="E859" s="3" t="n">
        <v>1</v>
      </c>
      <c r="F859" s="2" t="n">
        <v>2</v>
      </c>
      <c r="G859" s="4" t="n">
        <v>2</v>
      </c>
      <c r="H859" s="13" t="n"/>
      <c r="I859" s="15" t="n"/>
      <c r="J859" s="19" t="n">
        <v>2</v>
      </c>
      <c r="K859" s="2" t="inlineStr">
        <is>
          <t>marker_380_949914.png</t>
        </is>
      </c>
      <c r="L859" s="11">
        <f>HYPERLINK("2\1\" &amp; K859, "Ver Imagen")</f>
        <v/>
      </c>
      <c r="M859" t="inlineStr">
        <is>
          <t>Moda</t>
        </is>
      </c>
    </row>
    <row r="860">
      <c r="A860" t="n">
        <v>859</v>
      </c>
      <c r="B860" t="inlineStr">
        <is>
          <t>A-5052__7</t>
        </is>
      </c>
      <c r="C860" s="1" t="n">
        <v>37.2183706786</v>
      </c>
      <c r="D860" s="1" t="n">
        <v>-7.12419982039</v>
      </c>
      <c r="E860" s="3" t="n">
        <v>1</v>
      </c>
      <c r="F860" s="2" t="n">
        <v>2</v>
      </c>
      <c r="G860" s="4" t="n">
        <v>2</v>
      </c>
      <c r="H860" s="13" t="n"/>
      <c r="I860" s="15" t="n"/>
      <c r="J860" s="19" t="n">
        <v>2</v>
      </c>
      <c r="K860" s="2" t="inlineStr">
        <is>
          <t>marker_294_949945.png</t>
        </is>
      </c>
      <c r="L860" s="11">
        <f>HYPERLINK("2\1\" &amp; K860, "Ver Imagen")</f>
        <v/>
      </c>
      <c r="M860" t="inlineStr">
        <is>
          <t>Moda</t>
        </is>
      </c>
    </row>
    <row r="861">
      <c r="A861" t="n">
        <v>860</v>
      </c>
      <c r="B861" t="inlineStr">
        <is>
          <t>A-5052__13</t>
        </is>
      </c>
      <c r="C861" s="1" t="n">
        <v>37.2181292234</v>
      </c>
      <c r="D861" s="1" t="n">
        <v>-7.12271604646</v>
      </c>
      <c r="E861" s="3" t="n">
        <v>1</v>
      </c>
      <c r="F861" s="2" t="n">
        <v>2</v>
      </c>
      <c r="G861" s="4" t="n">
        <v>2</v>
      </c>
      <c r="H861" s="13" t="n"/>
      <c r="I861" s="15" t="n"/>
      <c r="J861" s="19" t="n">
        <v>2</v>
      </c>
      <c r="K861" s="2" t="inlineStr">
        <is>
          <t>marker_807_950135.png</t>
        </is>
      </c>
      <c r="L861" s="11">
        <f>HYPERLINK("2\1\" &amp; K861, "Ver Imagen")</f>
        <v/>
      </c>
      <c r="M861" t="inlineStr">
        <is>
          <t>Moda</t>
        </is>
      </c>
    </row>
    <row r="862">
      <c r="A862" t="n">
        <v>861</v>
      </c>
      <c r="B862" t="inlineStr">
        <is>
          <t>A-5052__22</t>
        </is>
      </c>
      <c r="C862" s="1" t="n">
        <v>37.2180338209</v>
      </c>
      <c r="D862" s="1" t="n">
        <v>-7.12052209373</v>
      </c>
      <c r="E862" s="3" t="n">
        <v>1</v>
      </c>
      <c r="F862" s="2" t="n">
        <v>2</v>
      </c>
      <c r="G862" s="4" t="n">
        <v>2</v>
      </c>
      <c r="H862" s="13" t="n"/>
      <c r="I862" s="15" t="n"/>
      <c r="J862" s="19" t="n">
        <v>2</v>
      </c>
      <c r="K862" s="2" t="inlineStr">
        <is>
          <t>marker_715_951496.png</t>
        </is>
      </c>
      <c r="L862" s="11">
        <f>HYPERLINK("2\1\" &amp; K862, "Ver Imagen")</f>
        <v/>
      </c>
      <c r="M862" t="inlineStr">
        <is>
          <t>Moda</t>
        </is>
      </c>
    </row>
    <row r="863">
      <c r="A863" t="n">
        <v>862</v>
      </c>
      <c r="B863" t="inlineStr">
        <is>
          <t>A-5052__27</t>
        </is>
      </c>
      <c r="C863" s="1" t="n">
        <v>37.218123278</v>
      </c>
      <c r="D863" s="1" t="n">
        <v>-7.11924300987</v>
      </c>
      <c r="E863" s="3" t="n">
        <v>1</v>
      </c>
      <c r="F863" s="2" t="n">
        <v>2</v>
      </c>
      <c r="G863" s="4" t="n">
        <v>2</v>
      </c>
      <c r="H863" s="13" t="n"/>
      <c r="I863" s="15" t="n"/>
      <c r="J863" s="19" t="n">
        <v>2</v>
      </c>
      <c r="K863" s="2" t="inlineStr">
        <is>
          <t>marker_142_951564.png</t>
        </is>
      </c>
      <c r="L863" s="11">
        <f>HYPERLINK("2\1\" &amp; K863, "Ver Imagen")</f>
        <v/>
      </c>
      <c r="M863" t="inlineStr">
        <is>
          <t>Moda</t>
        </is>
      </c>
    </row>
    <row r="864">
      <c r="A864" t="n">
        <v>863</v>
      </c>
      <c r="B864" t="inlineStr">
        <is>
          <t>A-5052__34</t>
        </is>
      </c>
      <c r="C864" s="1" t="n">
        <v>37.2179657437</v>
      </c>
      <c r="D864" s="1" t="n">
        <v>-7.1174465506</v>
      </c>
      <c r="E864" s="3" t="n">
        <v>1</v>
      </c>
      <c r="F864" s="2" t="n">
        <v>2</v>
      </c>
      <c r="G864" s="4" t="n">
        <v>2</v>
      </c>
      <c r="H864" s="13" t="n"/>
      <c r="I864" s="15" t="n"/>
      <c r="J864" s="19" t="n">
        <v>2</v>
      </c>
      <c r="K864" s="2" t="inlineStr">
        <is>
          <t>marker_510_951749.png</t>
        </is>
      </c>
      <c r="L864" s="11">
        <f>HYPERLINK("2\1\" &amp; K864, "Ver Imagen")</f>
        <v/>
      </c>
      <c r="M864" t="inlineStr">
        <is>
          <t>Moda</t>
        </is>
      </c>
    </row>
    <row r="865">
      <c r="A865" t="n">
        <v>864</v>
      </c>
      <c r="B865" t="inlineStr">
        <is>
          <t>A-5052__43</t>
        </is>
      </c>
      <c r="C865" s="1" t="n">
        <v>37.2176629026</v>
      </c>
      <c r="D865" s="1" t="n">
        <v>-7.11523086551</v>
      </c>
      <c r="E865" s="3" t="n">
        <v>1</v>
      </c>
      <c r="F865" s="2" t="n">
        <v>2</v>
      </c>
      <c r="G865" s="4" t="n">
        <v>2</v>
      </c>
      <c r="H865" s="13" t="n"/>
      <c r="I865" s="15" t="n"/>
      <c r="J865" s="19" t="n">
        <v>2</v>
      </c>
      <c r="K865" s="2" t="inlineStr">
        <is>
          <t>marker_785_956844.png</t>
        </is>
      </c>
      <c r="L865" s="11">
        <f>HYPERLINK("2\1\" &amp; K865, "Ver Imagen")</f>
        <v/>
      </c>
      <c r="M865" t="inlineStr">
        <is>
          <t>Moda</t>
        </is>
      </c>
    </row>
    <row r="866">
      <c r="A866" t="n">
        <v>865</v>
      </c>
      <c r="B866" t="inlineStr">
        <is>
          <t>A-5052__44</t>
        </is>
      </c>
      <c r="C866" s="1" t="n">
        <v>37.21763133</v>
      </c>
      <c r="D866" s="1" t="n">
        <v>-7.11499958236</v>
      </c>
      <c r="E866" s="3" t="n">
        <v>1</v>
      </c>
      <c r="F866" s="2" t="n">
        <v>2</v>
      </c>
      <c r="G866" s="4" t="n">
        <v>2</v>
      </c>
      <c r="H866" s="13" t="n"/>
      <c r="I866" s="15" t="n"/>
      <c r="J866" s="19" t="n">
        <v>2</v>
      </c>
      <c r="K866" s="2" t="inlineStr">
        <is>
          <t>marker_631_956855.png</t>
        </is>
      </c>
      <c r="L866" s="11">
        <f>HYPERLINK("2\1\" &amp; K866, "Ver Imagen")</f>
        <v/>
      </c>
      <c r="M866" t="inlineStr">
        <is>
          <t>Moda</t>
        </is>
      </c>
    </row>
    <row r="867">
      <c r="A867" t="n">
        <v>866</v>
      </c>
      <c r="B867" t="inlineStr">
        <is>
          <t>A-5052__46</t>
        </is>
      </c>
      <c r="C867" s="1" t="n">
        <v>37.2175684342</v>
      </c>
      <c r="D867" s="1" t="n">
        <v>-7.11450559167</v>
      </c>
      <c r="E867" s="3" t="n">
        <v>1</v>
      </c>
      <c r="F867" s="2" t="n">
        <v>2</v>
      </c>
      <c r="G867" s="4" t="n">
        <v>2</v>
      </c>
      <c r="H867" s="13" t="n"/>
      <c r="I867" s="15" t="n"/>
      <c r="J867" s="19" t="n">
        <v>2</v>
      </c>
      <c r="K867" s="2" t="inlineStr">
        <is>
          <t>marker_193_956878.png</t>
        </is>
      </c>
      <c r="L867" s="11">
        <f>HYPERLINK("2\1\" &amp; K867, "Ver Imagen")</f>
        <v/>
      </c>
      <c r="M867" t="inlineStr">
        <is>
          <t>Moda</t>
        </is>
      </c>
    </row>
    <row r="868">
      <c r="A868" t="n">
        <v>867</v>
      </c>
      <c r="B868" t="inlineStr">
        <is>
          <t>A-5052__47</t>
        </is>
      </c>
      <c r="C868" s="1" t="n">
        <v>37.2175366611</v>
      </c>
      <c r="D868" s="1" t="n">
        <v>-7.11421819017</v>
      </c>
      <c r="E868" s="3" t="n">
        <v>1</v>
      </c>
      <c r="F868" s="2" t="n">
        <v>2</v>
      </c>
      <c r="G868" s="4" t="n">
        <v>2</v>
      </c>
      <c r="H868" s="13" t="n"/>
      <c r="I868" s="15" t="n"/>
      <c r="J868" s="19" t="n">
        <v>2</v>
      </c>
      <c r="K868" s="2" t="inlineStr">
        <is>
          <t>marker_244_956892.png</t>
        </is>
      </c>
      <c r="L868" s="11">
        <f>HYPERLINK("2\1\" &amp; K868, "Ver Imagen")</f>
        <v/>
      </c>
      <c r="M868" t="inlineStr">
        <is>
          <t>Moda</t>
        </is>
      </c>
    </row>
    <row r="869">
      <c r="A869" t="n">
        <v>868</v>
      </c>
      <c r="B869" t="inlineStr">
        <is>
          <t>A-5052__56</t>
        </is>
      </c>
      <c r="C869" s="1" t="n">
        <v>37.2175713343</v>
      </c>
      <c r="D869" s="1" t="n">
        <v>-7.11198770897</v>
      </c>
      <c r="E869" s="3" t="n">
        <v>1</v>
      </c>
      <c r="F869" s="2" t="n">
        <v>2</v>
      </c>
      <c r="G869" s="4" t="n">
        <v>2</v>
      </c>
      <c r="H869" s="13" t="n"/>
      <c r="I869" s="15" t="n"/>
      <c r="J869" s="19" t="n">
        <v>2</v>
      </c>
      <c r="K869" s="2" t="inlineStr">
        <is>
          <t>marker_751_956992.png</t>
        </is>
      </c>
      <c r="L869" s="11">
        <f>HYPERLINK("2\1\" &amp; K869, "Ver Imagen")</f>
        <v/>
      </c>
      <c r="M869" t="inlineStr">
        <is>
          <t>Moda</t>
        </is>
      </c>
    </row>
    <row r="870">
      <c r="A870" t="n">
        <v>869</v>
      </c>
      <c r="B870" t="inlineStr">
        <is>
          <t>A-5052__61</t>
        </is>
      </c>
      <c r="C870" s="1" t="n">
        <v>37.2176288057</v>
      </c>
      <c r="D870" s="1" t="n">
        <v>-7.1107175697</v>
      </c>
      <c r="E870" s="3" t="n">
        <v>1</v>
      </c>
      <c r="F870" s="2" t="n">
        <v>2</v>
      </c>
      <c r="G870" s="4" t="n">
        <v>2</v>
      </c>
      <c r="H870" s="13" t="n"/>
      <c r="I870" s="15" t="n"/>
      <c r="J870" s="19" t="n">
        <v>2</v>
      </c>
      <c r="K870" s="2" t="inlineStr">
        <is>
          <t>marker_959_957077.png</t>
        </is>
      </c>
      <c r="L870" s="11">
        <f>HYPERLINK("2\1\" &amp; K870, "Ver Imagen")</f>
        <v/>
      </c>
      <c r="M870" t="inlineStr">
        <is>
          <t>Moda</t>
        </is>
      </c>
    </row>
    <row r="871">
      <c r="A871" t="n">
        <v>870</v>
      </c>
      <c r="B871" t="inlineStr">
        <is>
          <t>A-5052__64</t>
        </is>
      </c>
      <c r="C871" s="1" t="n">
        <v>37.2176546955</v>
      </c>
      <c r="D871" s="1" t="n">
        <v>-7.10994987241</v>
      </c>
      <c r="E871" s="3" t="n">
        <v>1</v>
      </c>
      <c r="F871" s="2" t="n">
        <v>2</v>
      </c>
      <c r="G871" s="4" t="n">
        <v>2</v>
      </c>
      <c r="H871" s="13" t="n"/>
      <c r="I871" s="15" t="n"/>
      <c r="J871" s="19" t="n">
        <v>2</v>
      </c>
      <c r="K871" s="2" t="inlineStr">
        <is>
          <t>marker_302_957111.png</t>
        </is>
      </c>
      <c r="L871" s="11">
        <f>HYPERLINK("2\1\" &amp; K871, "Ver Imagen")</f>
        <v/>
      </c>
      <c r="M871" t="inlineStr">
        <is>
          <t>Moda</t>
        </is>
      </c>
    </row>
    <row r="872">
      <c r="A872" t="n">
        <v>871</v>
      </c>
      <c r="B872" t="inlineStr">
        <is>
          <t>A-5052__65</t>
        </is>
      </c>
      <c r="C872" s="1" t="n">
        <v>37.2176532581</v>
      </c>
      <c r="D872" s="1" t="n">
        <v>-7.10968209496</v>
      </c>
      <c r="E872" s="3" t="n">
        <v>1</v>
      </c>
      <c r="F872" s="2" t="n">
        <v>2</v>
      </c>
      <c r="G872" s="4" t="n">
        <v>2</v>
      </c>
      <c r="H872" s="13" t="n"/>
      <c r="I872" s="15" t="n"/>
      <c r="J872" s="19" t="n">
        <v>2</v>
      </c>
      <c r="K872" s="2" t="inlineStr">
        <is>
          <t>marker_498_957120.png</t>
        </is>
      </c>
      <c r="L872" s="11">
        <f>HYPERLINK("2\1\" &amp; K872, "Ver Imagen")</f>
        <v/>
      </c>
      <c r="M872" t="inlineStr">
        <is>
          <t>Moda</t>
        </is>
      </c>
    </row>
    <row r="873">
      <c r="A873" t="n">
        <v>872</v>
      </c>
      <c r="B873" t="inlineStr">
        <is>
          <t>A-5052__68</t>
        </is>
      </c>
      <c r="C873" s="1" t="n">
        <v>37.2175970981</v>
      </c>
      <c r="D873" s="1" t="n">
        <v>-7.10895468033</v>
      </c>
      <c r="E873" s="3" t="n">
        <v>1</v>
      </c>
      <c r="F873" s="2" t="n">
        <v>2</v>
      </c>
      <c r="G873" s="4" t="n">
        <v>2</v>
      </c>
      <c r="H873" s="13" t="n"/>
      <c r="I873" s="15" t="n"/>
      <c r="J873" s="19" t="n">
        <v>2</v>
      </c>
      <c r="K873" s="2" t="inlineStr">
        <is>
          <t>marker_871_957151.png</t>
        </is>
      </c>
      <c r="L873" s="11">
        <f>HYPERLINK("2\1\" &amp; K873, "Ver Imagen")</f>
        <v/>
      </c>
      <c r="M873" t="inlineStr">
        <is>
          <t>Moda</t>
        </is>
      </c>
    </row>
    <row r="874">
      <c r="A874" t="n">
        <v>873</v>
      </c>
      <c r="B874" t="inlineStr">
        <is>
          <t>A-5052__70</t>
        </is>
      </c>
      <c r="C874" s="1" t="n">
        <v>37.2175286684</v>
      </c>
      <c r="D874" s="1" t="n">
        <v>-7.1084601884</v>
      </c>
      <c r="E874" s="3" t="n">
        <v>1</v>
      </c>
      <c r="F874" s="2" t="n">
        <v>2</v>
      </c>
      <c r="G874" s="4" t="n">
        <v>2</v>
      </c>
      <c r="H874" s="13" t="n"/>
      <c r="I874" s="15" t="n"/>
      <c r="J874" s="19" t="n">
        <v>2</v>
      </c>
      <c r="K874" s="2" t="inlineStr">
        <is>
          <t>marker_574_957177.png</t>
        </is>
      </c>
      <c r="L874" s="11">
        <f>HYPERLINK("2\1\" &amp; K874, "Ver Imagen")</f>
        <v/>
      </c>
      <c r="M874" t="inlineStr">
        <is>
          <t>Moda</t>
        </is>
      </c>
    </row>
    <row r="875">
      <c r="A875" t="n">
        <v>874</v>
      </c>
      <c r="B875" t="inlineStr">
        <is>
          <t>A-5052__73</t>
        </is>
      </c>
      <c r="C875" s="1" t="n">
        <v>37.2174162031</v>
      </c>
      <c r="D875" s="1" t="n">
        <v>-7.1077097267</v>
      </c>
      <c r="E875" s="3" t="n">
        <v>1</v>
      </c>
      <c r="F875" s="2" t="n">
        <v>2</v>
      </c>
      <c r="G875" s="4" t="n">
        <v>2</v>
      </c>
      <c r="H875" s="13" t="n"/>
      <c r="I875" s="15" t="n"/>
      <c r="J875" s="19" t="n">
        <v>2</v>
      </c>
      <c r="K875" s="2" t="inlineStr">
        <is>
          <t>marker_818_957207.png</t>
        </is>
      </c>
      <c r="L875" s="11">
        <f>HYPERLINK("2\1\" &amp; K875, "Ver Imagen")</f>
        <v/>
      </c>
      <c r="M875" t="inlineStr">
        <is>
          <t>Moda</t>
        </is>
      </c>
    </row>
    <row r="876">
      <c r="A876" t="n">
        <v>875</v>
      </c>
      <c r="B876" t="inlineStr">
        <is>
          <t>A-5052__74</t>
        </is>
      </c>
      <c r="C876" s="1" t="n">
        <v>37.2173783343</v>
      </c>
      <c r="D876" s="1" t="n">
        <v>-7.10745690042</v>
      </c>
      <c r="E876" s="3" t="n">
        <v>1</v>
      </c>
      <c r="F876" s="2" t="n">
        <v>2</v>
      </c>
      <c r="G876" s="4" t="n">
        <v>2</v>
      </c>
      <c r="H876" s="13" t="n"/>
      <c r="I876" s="15" t="n"/>
      <c r="J876" s="19" t="n">
        <v>2</v>
      </c>
      <c r="K876" s="2" t="inlineStr">
        <is>
          <t>marker_867_957217.png</t>
        </is>
      </c>
      <c r="L876" s="11">
        <f>HYPERLINK("2\1\" &amp; K876, "Ver Imagen")</f>
        <v/>
      </c>
      <c r="M876" t="inlineStr">
        <is>
          <t>Moda</t>
        </is>
      </c>
    </row>
    <row r="877">
      <c r="A877" t="n">
        <v>876</v>
      </c>
      <c r="B877" t="inlineStr">
        <is>
          <t>A-5052__75</t>
        </is>
      </c>
      <c r="C877" s="1" t="n">
        <v>37.2173468237</v>
      </c>
      <c r="D877" s="1" t="n">
        <v>-7.10724042805</v>
      </c>
      <c r="E877" s="3" t="n">
        <v>1</v>
      </c>
      <c r="F877" s="2" t="n">
        <v>2</v>
      </c>
      <c r="G877" s="4" t="n">
        <v>2</v>
      </c>
      <c r="H877" s="13" t="n"/>
      <c r="I877" s="15" t="n"/>
      <c r="J877" s="19" t="n">
        <v>2</v>
      </c>
      <c r="K877" s="2" t="inlineStr">
        <is>
          <t>marker_220_957229.png</t>
        </is>
      </c>
      <c r="L877" s="11">
        <f>HYPERLINK("2\1\" &amp; K877, "Ver Imagen")</f>
        <v/>
      </c>
      <c r="M877" t="inlineStr">
        <is>
          <t>Moda</t>
        </is>
      </c>
    </row>
    <row r="878">
      <c r="A878" t="n">
        <v>877</v>
      </c>
      <c r="B878" t="inlineStr">
        <is>
          <t>A-5052__86</t>
        </is>
      </c>
      <c r="C878" s="1" t="n">
        <v>37.217013742</v>
      </c>
      <c r="D878" s="1" t="n">
        <v>-7.10445253903</v>
      </c>
      <c r="E878" s="3" t="n">
        <v>1</v>
      </c>
      <c r="F878" s="2" t="n">
        <v>2</v>
      </c>
      <c r="G878" s="4" t="n">
        <v>2</v>
      </c>
      <c r="H878" s="13" t="n"/>
      <c r="I878" s="15" t="n"/>
      <c r="J878" s="19" t="n">
        <v>2</v>
      </c>
      <c r="K878" s="2" t="inlineStr">
        <is>
          <t>marker_801_957444.png</t>
        </is>
      </c>
      <c r="L878" s="11">
        <f>HYPERLINK("2\1\" &amp; K878, "Ver Imagen")</f>
        <v/>
      </c>
      <c r="M878" t="inlineStr">
        <is>
          <t>Moda</t>
        </is>
      </c>
    </row>
    <row r="879">
      <c r="A879" t="n">
        <v>878</v>
      </c>
      <c r="B879" t="inlineStr">
        <is>
          <t>A-5052__87</t>
        </is>
      </c>
      <c r="C879" s="1" t="n">
        <v>37.2169908949</v>
      </c>
      <c r="D879" s="1" t="n">
        <v>-7.10418744633</v>
      </c>
      <c r="E879" s="3" t="n">
        <v>1</v>
      </c>
      <c r="F879" s="2" t="n">
        <v>2</v>
      </c>
      <c r="G879" s="4" t="n">
        <v>2</v>
      </c>
      <c r="H879" s="13" t="n"/>
      <c r="I879" s="15" t="n"/>
      <c r="J879" s="19" t="n">
        <v>2</v>
      </c>
      <c r="K879" s="2" t="inlineStr">
        <is>
          <t>marker_919_957466.png</t>
        </is>
      </c>
      <c r="L879" s="11">
        <f>HYPERLINK("2\1\" &amp; K879, "Ver Imagen")</f>
        <v/>
      </c>
      <c r="M879" t="inlineStr">
        <is>
          <t>Moda</t>
        </is>
      </c>
    </row>
    <row r="880">
      <c r="A880" t="n">
        <v>879</v>
      </c>
      <c r="B880" t="inlineStr">
        <is>
          <t>A-5052__88</t>
        </is>
      </c>
      <c r="C880" s="1" t="n">
        <v>37.2169706008</v>
      </c>
      <c r="D880" s="1" t="n">
        <v>-7.10396958365</v>
      </c>
      <c r="E880" s="3" t="n">
        <v>1</v>
      </c>
      <c r="F880" s="2" t="n">
        <v>2</v>
      </c>
      <c r="G880" s="4" t="n">
        <v>2</v>
      </c>
      <c r="H880" s="13" t="n"/>
      <c r="I880" s="15" t="n"/>
      <c r="J880" s="19" t="n">
        <v>2</v>
      </c>
      <c r="K880" s="2" t="inlineStr">
        <is>
          <t>marker_681_957477.png</t>
        </is>
      </c>
      <c r="L880" s="11">
        <f>HYPERLINK("2\1\" &amp; K880, "Ver Imagen")</f>
        <v/>
      </c>
      <c r="M880" t="inlineStr">
        <is>
          <t>Moda</t>
        </is>
      </c>
    </row>
    <row r="881">
      <c r="A881" t="n">
        <v>880</v>
      </c>
      <c r="B881" t="inlineStr">
        <is>
          <t>A-5052__93</t>
        </is>
      </c>
      <c r="C881" s="1" t="n">
        <v>37.2168646474</v>
      </c>
      <c r="D881" s="1" t="n">
        <v>-7.102712065</v>
      </c>
      <c r="E881" s="3" t="n">
        <v>1</v>
      </c>
      <c r="F881" s="2" t="n">
        <v>2</v>
      </c>
      <c r="G881" s="4" t="n">
        <v>2</v>
      </c>
      <c r="H881" s="13" t="n"/>
      <c r="I881" s="15" t="n"/>
      <c r="J881" s="19" t="n">
        <v>2</v>
      </c>
      <c r="K881" s="2" t="inlineStr">
        <is>
          <t>marker_949_957537.png</t>
        </is>
      </c>
      <c r="L881" s="11">
        <f>HYPERLINK("2\1\" &amp; K881, "Ver Imagen")</f>
        <v/>
      </c>
      <c r="M881" t="inlineStr">
        <is>
          <t>Moda</t>
        </is>
      </c>
    </row>
    <row r="882">
      <c r="A882" t="n">
        <v>881</v>
      </c>
      <c r="B882" t="inlineStr">
        <is>
          <t>A-5052__95</t>
        </is>
      </c>
      <c r="C882" s="1" t="n">
        <v>37.2168178049</v>
      </c>
      <c r="D882" s="1" t="n">
        <v>-7.10220662143</v>
      </c>
      <c r="E882" s="3" t="n">
        <v>1</v>
      </c>
      <c r="F882" s="2" t="n">
        <v>2</v>
      </c>
      <c r="G882" s="4" t="n">
        <v>2</v>
      </c>
      <c r="H882" s="13" t="n"/>
      <c r="I882" s="15" t="n"/>
      <c r="J882" s="19" t="n">
        <v>2</v>
      </c>
      <c r="K882" s="2" t="inlineStr">
        <is>
          <t>marker_671_957602.png</t>
        </is>
      </c>
      <c r="L882" s="11">
        <f>HYPERLINK("2\1\" &amp; K882, "Ver Imagen")</f>
        <v/>
      </c>
      <c r="M882" t="inlineStr">
        <is>
          <t>Moda</t>
        </is>
      </c>
    </row>
    <row r="883">
      <c r="A883" t="n">
        <v>882</v>
      </c>
      <c r="B883" t="inlineStr">
        <is>
          <t>A-5052__97</t>
        </is>
      </c>
      <c r="C883" s="1" t="n">
        <v>37.2167792511</v>
      </c>
      <c r="D883" s="1" t="n">
        <v>-7.10167917434</v>
      </c>
      <c r="E883" s="3" t="n">
        <v>1</v>
      </c>
      <c r="F883" s="2" t="n">
        <v>2</v>
      </c>
      <c r="G883" s="4" t="n">
        <v>2</v>
      </c>
      <c r="H883" s="13" t="n"/>
      <c r="I883" s="15" t="n"/>
      <c r="J883" s="19" t="n">
        <v>2</v>
      </c>
      <c r="K883" s="2" t="inlineStr">
        <is>
          <t>marker_425_957623.png</t>
        </is>
      </c>
      <c r="L883" s="11">
        <f>HYPERLINK("2\1\" &amp; K883, "Ver Imagen")</f>
        <v/>
      </c>
      <c r="M883" t="inlineStr">
        <is>
          <t>Moda</t>
        </is>
      </c>
    </row>
    <row r="884">
      <c r="A884" t="n">
        <v>883</v>
      </c>
      <c r="B884" t="inlineStr">
        <is>
          <t>A-5052__100</t>
        </is>
      </c>
      <c r="C884" s="1" t="n">
        <v>37.216867725</v>
      </c>
      <c r="D884" s="1" t="n">
        <v>-7.10093160687</v>
      </c>
      <c r="E884" s="3" t="n">
        <v>1</v>
      </c>
      <c r="F884" s="2" t="n">
        <v>2</v>
      </c>
      <c r="G884" s="4" t="n">
        <v>2</v>
      </c>
      <c r="H884" s="13" t="n"/>
      <c r="I884" s="15" t="n"/>
      <c r="J884" s="19" t="n">
        <v>2</v>
      </c>
      <c r="K884" s="2" t="inlineStr">
        <is>
          <t>marker_779_957670.png</t>
        </is>
      </c>
      <c r="L884" s="11">
        <f>HYPERLINK("2\1\" &amp; K884, "Ver Imagen")</f>
        <v/>
      </c>
      <c r="M884" t="inlineStr">
        <is>
          <t>Moda</t>
        </is>
      </c>
    </row>
    <row r="885">
      <c r="A885" t="n">
        <v>884</v>
      </c>
      <c r="B885" t="inlineStr">
        <is>
          <t>A-5052__107</t>
        </is>
      </c>
      <c r="C885" s="1" t="n">
        <v>37.2170052622</v>
      </c>
      <c r="D885" s="1" t="n">
        <v>-7.09915709993</v>
      </c>
      <c r="E885" s="3" t="n">
        <v>1</v>
      </c>
      <c r="F885" s="2" t="n">
        <v>2</v>
      </c>
      <c r="G885" s="4" t="n">
        <v>2</v>
      </c>
      <c r="H885" s="13" t="n"/>
      <c r="I885" s="15" t="n"/>
      <c r="J885" s="19" t="n">
        <v>2</v>
      </c>
      <c r="K885" s="2" t="inlineStr">
        <is>
          <t>marker_231_957755.png</t>
        </is>
      </c>
      <c r="L885" s="11">
        <f>HYPERLINK("2\1\" &amp; K885, "Ver Imagen")</f>
        <v/>
      </c>
      <c r="M885" t="inlineStr">
        <is>
          <t>Moda</t>
        </is>
      </c>
    </row>
    <row r="886">
      <c r="A886" t="n">
        <v>885</v>
      </c>
      <c r="B886" t="inlineStr">
        <is>
          <t>A-5052__109</t>
        </is>
      </c>
      <c r="C886" s="1" t="n">
        <v>37.216957081</v>
      </c>
      <c r="D886" s="1" t="n">
        <v>-7.09867756113</v>
      </c>
      <c r="E886" s="3" t="n">
        <v>1</v>
      </c>
      <c r="F886" s="2" t="n">
        <v>2</v>
      </c>
      <c r="G886" s="4" t="n">
        <v>2</v>
      </c>
      <c r="H886" s="13" t="n"/>
      <c r="I886" s="15" t="n"/>
      <c r="J886" s="19" t="n">
        <v>2</v>
      </c>
      <c r="K886" s="2" t="inlineStr">
        <is>
          <t>marker_370_957777.png</t>
        </is>
      </c>
      <c r="L886" s="11">
        <f>HYPERLINK("2\1\" &amp; K886, "Ver Imagen")</f>
        <v/>
      </c>
      <c r="M886" t="inlineStr">
        <is>
          <t>Moda</t>
        </is>
      </c>
    </row>
    <row r="887">
      <c r="A887" t="n">
        <v>886</v>
      </c>
      <c r="B887" t="inlineStr">
        <is>
          <t>A-5052__110</t>
        </is>
      </c>
      <c r="C887" s="1" t="n">
        <v>37.2169285392</v>
      </c>
      <c r="D887" s="1" t="n">
        <v>-7.09838588773</v>
      </c>
      <c r="E887" s="3" t="n">
        <v>1</v>
      </c>
      <c r="F887" s="2" t="n">
        <v>2</v>
      </c>
      <c r="G887" s="4" t="n">
        <v>2</v>
      </c>
      <c r="H887" s="13" t="n"/>
      <c r="I887" s="15" t="n"/>
      <c r="J887" s="19" t="n">
        <v>2</v>
      </c>
      <c r="K887" s="2" t="inlineStr">
        <is>
          <t>marker_509_957800.png</t>
        </is>
      </c>
      <c r="L887" s="11">
        <f>HYPERLINK("2\1\" &amp; K887, "Ver Imagen")</f>
        <v/>
      </c>
      <c r="M887" t="inlineStr">
        <is>
          <t>Moda</t>
        </is>
      </c>
    </row>
    <row r="888">
      <c r="A888" t="n">
        <v>887</v>
      </c>
      <c r="B888" t="inlineStr">
        <is>
          <t>A-5052__111</t>
        </is>
      </c>
      <c r="C888" s="1" t="n">
        <v>37.2169035894</v>
      </c>
      <c r="D888" s="1" t="n">
        <v>-7.09813687117</v>
      </c>
      <c r="E888" s="3" t="n">
        <v>1</v>
      </c>
      <c r="F888" s="2" t="n">
        <v>2</v>
      </c>
      <c r="G888" s="4" t="n">
        <v>2</v>
      </c>
      <c r="H888" s="13" t="n"/>
      <c r="I888" s="15" t="n"/>
      <c r="J888" s="19" t="n">
        <v>2</v>
      </c>
      <c r="K888" s="2" t="inlineStr">
        <is>
          <t>marker_515_957809.png</t>
        </is>
      </c>
      <c r="L888" s="11">
        <f>HYPERLINK("2\1\" &amp; K888, "Ver Imagen")</f>
        <v/>
      </c>
      <c r="M888" t="inlineStr">
        <is>
          <t>Moda</t>
        </is>
      </c>
    </row>
    <row r="889">
      <c r="A889" t="n">
        <v>888</v>
      </c>
      <c r="B889" t="inlineStr">
        <is>
          <t>A-5052__113</t>
        </is>
      </c>
      <c r="C889" s="1" t="n">
        <v>37.2168533758</v>
      </c>
      <c r="D889" s="1" t="n">
        <v>-7.09765857245</v>
      </c>
      <c r="E889" s="3" t="n">
        <v>1</v>
      </c>
      <c r="F889" s="2" t="n">
        <v>2</v>
      </c>
      <c r="G889" s="4" t="n">
        <v>2</v>
      </c>
      <c r="H889" s="13" t="n"/>
      <c r="I889" s="15" t="n"/>
      <c r="J889" s="19" t="n">
        <v>2</v>
      </c>
      <c r="K889" s="2" t="inlineStr">
        <is>
          <t>marker_938_957829.png</t>
        </is>
      </c>
      <c r="L889" s="11">
        <f>HYPERLINK("2\1\" &amp; K889, "Ver Imagen")</f>
        <v/>
      </c>
      <c r="M889" t="inlineStr">
        <is>
          <t>Moda</t>
        </is>
      </c>
    </row>
    <row r="890">
      <c r="A890" t="n">
        <v>889</v>
      </c>
      <c r="B890" t="inlineStr">
        <is>
          <t>A-5052__114</t>
        </is>
      </c>
      <c r="C890" s="1" t="n">
        <v>37.2168256257</v>
      </c>
      <c r="D890" s="1" t="n">
        <v>-7.09739327506</v>
      </c>
      <c r="E890" s="3" t="n">
        <v>1</v>
      </c>
      <c r="F890" s="2" t="n">
        <v>2</v>
      </c>
      <c r="G890" s="4" t="n">
        <v>2</v>
      </c>
      <c r="H890" s="13" t="n"/>
      <c r="I890" s="15" t="n"/>
      <c r="J890" s="19" t="n">
        <v>2</v>
      </c>
      <c r="K890" s="2" t="inlineStr">
        <is>
          <t>marker_668_957871.png</t>
        </is>
      </c>
      <c r="L890" s="11">
        <f>HYPERLINK("2\1\" &amp; K890, "Ver Imagen")</f>
        <v/>
      </c>
      <c r="M890" t="inlineStr">
        <is>
          <t>Moda</t>
        </is>
      </c>
    </row>
    <row r="891">
      <c r="A891" t="n">
        <v>890</v>
      </c>
      <c r="B891" t="inlineStr">
        <is>
          <t>A-5052__118</t>
        </is>
      </c>
      <c r="C891" s="1" t="n">
        <v>37.2167342199</v>
      </c>
      <c r="D891" s="1" t="n">
        <v>-7.09640576784</v>
      </c>
      <c r="E891" s="3" t="n">
        <v>1</v>
      </c>
      <c r="F891" s="2" t="n">
        <v>2</v>
      </c>
      <c r="G891" s="4" t="n">
        <v>2</v>
      </c>
      <c r="H891" s="13" t="n"/>
      <c r="I891" s="15" t="n"/>
      <c r="J891" s="19" t="n">
        <v>2</v>
      </c>
      <c r="K891" s="2" t="inlineStr">
        <is>
          <t>marker_410_957914.png</t>
        </is>
      </c>
      <c r="L891" s="11">
        <f>HYPERLINK("2\1\" &amp; K891, "Ver Imagen")</f>
        <v/>
      </c>
      <c r="M891" t="inlineStr">
        <is>
          <t>Moda</t>
        </is>
      </c>
    </row>
    <row r="892">
      <c r="A892" t="n">
        <v>891</v>
      </c>
      <c r="B892" t="inlineStr">
        <is>
          <t>A-5052__124</t>
        </is>
      </c>
      <c r="C892" s="1" t="n">
        <v>37.2166172413</v>
      </c>
      <c r="D892" s="1" t="n">
        <v>-7.09495394741</v>
      </c>
      <c r="E892" s="3" t="n">
        <v>1</v>
      </c>
      <c r="F892" s="2" t="n">
        <v>2</v>
      </c>
      <c r="G892" s="4" t="n">
        <v>2</v>
      </c>
      <c r="H892" s="13" t="n"/>
      <c r="I892" s="15" t="n"/>
      <c r="J892" s="19" t="n">
        <v>2</v>
      </c>
      <c r="K892" s="2" t="inlineStr">
        <is>
          <t>marker_449_957993.png</t>
        </is>
      </c>
      <c r="L892" s="11">
        <f>HYPERLINK("2\1\" &amp; K892, "Ver Imagen")</f>
        <v/>
      </c>
      <c r="M892" t="inlineStr">
        <is>
          <t>Moda</t>
        </is>
      </c>
    </row>
    <row r="893">
      <c r="A893" t="n">
        <v>892</v>
      </c>
      <c r="B893" t="inlineStr">
        <is>
          <t>A-5052__125</t>
        </is>
      </c>
      <c r="C893" s="1" t="n">
        <v>37.2166219478</v>
      </c>
      <c r="D893" s="1" t="n">
        <v>-7.09466708619</v>
      </c>
      <c r="E893" s="3" t="n">
        <v>1</v>
      </c>
      <c r="F893" s="2" t="n">
        <v>2</v>
      </c>
      <c r="G893" s="4" t="n">
        <v>2</v>
      </c>
      <c r="H893" s="13" t="n"/>
      <c r="I893" s="15" t="n"/>
      <c r="J893" s="19" t="n">
        <v>2</v>
      </c>
      <c r="K893" s="2" t="inlineStr">
        <is>
          <t>marker_354_958026.png</t>
        </is>
      </c>
      <c r="L893" s="11">
        <f>HYPERLINK("2\1\" &amp; K893, "Ver Imagen")</f>
        <v/>
      </c>
      <c r="M893" t="inlineStr">
        <is>
          <t>Moda</t>
        </is>
      </c>
    </row>
    <row r="894">
      <c r="A894" t="n">
        <v>893</v>
      </c>
      <c r="B894" t="inlineStr">
        <is>
          <t>A-5052__141</t>
        </is>
      </c>
      <c r="C894" s="1" t="n">
        <v>37.2161809042</v>
      </c>
      <c r="D894" s="1" t="n">
        <v>-7.09064243117</v>
      </c>
      <c r="E894" s="3" t="n">
        <v>1</v>
      </c>
      <c r="F894" s="2" t="n">
        <v>2</v>
      </c>
      <c r="G894" s="4" t="n">
        <v>2</v>
      </c>
      <c r="H894" s="13" t="n"/>
      <c r="I894" s="15" t="n"/>
      <c r="J894" s="19" t="n">
        <v>2</v>
      </c>
      <c r="K894" s="2" t="inlineStr">
        <is>
          <t>marker_317_958375.png</t>
        </is>
      </c>
      <c r="L894" s="11">
        <f>HYPERLINK("2\1\" &amp; K894, "Ver Imagen")</f>
        <v/>
      </c>
      <c r="M894" t="inlineStr">
        <is>
          <t>Moda</t>
        </is>
      </c>
    </row>
    <row r="895">
      <c r="A895" t="n">
        <v>894</v>
      </c>
      <c r="B895" t="inlineStr">
        <is>
          <t>A-5052__142</t>
        </is>
      </c>
      <c r="C895" s="1" t="n">
        <v>37.2161541693</v>
      </c>
      <c r="D895" s="1" t="n">
        <v>-7.0904205776</v>
      </c>
      <c r="E895" s="3" t="n">
        <v>1</v>
      </c>
      <c r="F895" s="2" t="n">
        <v>2</v>
      </c>
      <c r="G895" s="4" t="n">
        <v>2</v>
      </c>
      <c r="H895" s="13" t="n"/>
      <c r="I895" s="15" t="n"/>
      <c r="J895" s="19" t="n">
        <v>2</v>
      </c>
      <c r="K895" s="2" t="inlineStr">
        <is>
          <t>marker_323_958387.png</t>
        </is>
      </c>
      <c r="L895" s="11">
        <f>HYPERLINK("2\1\" &amp; K895, "Ver Imagen")</f>
        <v/>
      </c>
      <c r="M895" t="inlineStr">
        <is>
          <t>Moda</t>
        </is>
      </c>
    </row>
    <row r="896">
      <c r="A896" t="n">
        <v>895</v>
      </c>
      <c r="B896" t="inlineStr">
        <is>
          <t>A-5052__146</t>
        </is>
      </c>
      <c r="C896" s="1" t="n">
        <v>37.216064506</v>
      </c>
      <c r="D896" s="1" t="n">
        <v>-7.08936308472</v>
      </c>
      <c r="E896" s="3" t="n">
        <v>1</v>
      </c>
      <c r="F896" s="2" t="n">
        <v>2</v>
      </c>
      <c r="G896" s="4" t="n">
        <v>2</v>
      </c>
      <c r="H896" s="13" t="n"/>
      <c r="I896" s="15" t="n"/>
      <c r="J896" s="19" t="n">
        <v>2</v>
      </c>
      <c r="K896" s="2" t="inlineStr">
        <is>
          <t>marker_233_958430.png</t>
        </is>
      </c>
      <c r="L896" s="11">
        <f>HYPERLINK("2\1\" &amp; K896, "Ver Imagen")</f>
        <v/>
      </c>
      <c r="M896" t="inlineStr">
        <is>
          <t>Moda</t>
        </is>
      </c>
    </row>
    <row r="897">
      <c r="A897" t="n">
        <v>896</v>
      </c>
      <c r="B897" t="inlineStr">
        <is>
          <t>A-5052__147</t>
        </is>
      </c>
      <c r="C897" s="1" t="n">
        <v>37.2160544316</v>
      </c>
      <c r="D897" s="1" t="n">
        <v>-7.0891554661</v>
      </c>
      <c r="E897" s="3" t="n">
        <v>1</v>
      </c>
      <c r="F897" s="2" t="n">
        <v>2</v>
      </c>
      <c r="G897" s="4" t="n">
        <v>2</v>
      </c>
      <c r="H897" s="13" t="n"/>
      <c r="I897" s="15" t="n"/>
      <c r="J897" s="19" t="n">
        <v>2</v>
      </c>
      <c r="K897" s="2" t="inlineStr">
        <is>
          <t>marker_943_958446.png</t>
        </is>
      </c>
      <c r="L897" s="11">
        <f>HYPERLINK("2\1\" &amp; K897, "Ver Imagen")</f>
        <v/>
      </c>
      <c r="M897" t="inlineStr">
        <is>
          <t>Moda</t>
        </is>
      </c>
    </row>
    <row r="898">
      <c r="A898" t="n">
        <v>897</v>
      </c>
      <c r="B898" t="inlineStr">
        <is>
          <t>A-5052__149</t>
        </is>
      </c>
      <c r="C898" s="1" t="n">
        <v>37.2160373159</v>
      </c>
      <c r="D898" s="1" t="n">
        <v>-7.08868645656</v>
      </c>
      <c r="E898" s="3" t="n">
        <v>1</v>
      </c>
      <c r="F898" s="2" t="n">
        <v>2</v>
      </c>
      <c r="G898" s="4" t="n">
        <v>2</v>
      </c>
      <c r="H898" s="13" t="n"/>
      <c r="I898" s="15" t="n"/>
      <c r="J898" s="19" t="n">
        <v>2</v>
      </c>
      <c r="K898" s="2" t="inlineStr">
        <is>
          <t>marker_281_958519.png</t>
        </is>
      </c>
      <c r="L898" s="11">
        <f>HYPERLINK("2\1\" &amp; K898, "Ver Imagen")</f>
        <v/>
      </c>
      <c r="M898" t="inlineStr">
        <is>
          <t>Moda</t>
        </is>
      </c>
    </row>
    <row r="899">
      <c r="A899" t="n">
        <v>898</v>
      </c>
      <c r="B899" t="inlineStr">
        <is>
          <t>A-5052__150</t>
        </is>
      </c>
      <c r="C899" s="1" t="n">
        <v>37.2160309895</v>
      </c>
      <c r="D899" s="1" t="n">
        <v>-7.08838682558</v>
      </c>
      <c r="E899" s="3" t="n">
        <v>1</v>
      </c>
      <c r="F899" s="2" t="n">
        <v>2</v>
      </c>
      <c r="G899" s="4" t="n">
        <v>2</v>
      </c>
      <c r="H899" s="13" t="n"/>
      <c r="I899" s="15" t="n"/>
      <c r="J899" s="19" t="n">
        <v>2</v>
      </c>
      <c r="K899" s="2" t="inlineStr">
        <is>
          <t>marker_578_958534.png</t>
        </is>
      </c>
      <c r="L899" s="11">
        <f>HYPERLINK("2\1\" &amp; K899, "Ver Imagen")</f>
        <v/>
      </c>
      <c r="M899" t="inlineStr">
        <is>
          <t>Moda</t>
        </is>
      </c>
    </row>
    <row r="900">
      <c r="A900" t="n">
        <v>899</v>
      </c>
      <c r="B900" t="inlineStr">
        <is>
          <t>A-5052__151</t>
        </is>
      </c>
      <c r="C900" s="1" t="n">
        <v>37.2160274398</v>
      </c>
      <c r="D900" s="1" t="n">
        <v>-7.08810959432</v>
      </c>
      <c r="E900" s="3" t="n">
        <v>1</v>
      </c>
      <c r="F900" s="2" t="n">
        <v>2</v>
      </c>
      <c r="G900" s="4" t="n">
        <v>2</v>
      </c>
      <c r="H900" s="13" t="n"/>
      <c r="I900" s="15" t="n"/>
      <c r="J900" s="19" t="n">
        <v>2</v>
      </c>
      <c r="K900" s="2" t="inlineStr">
        <is>
          <t>marker_534_958545.png</t>
        </is>
      </c>
      <c r="L900" s="11">
        <f>HYPERLINK("2\1\" &amp; K900, "Ver Imagen")</f>
        <v/>
      </c>
      <c r="M900" t="inlineStr">
        <is>
          <t>Moda</t>
        </is>
      </c>
    </row>
    <row r="901">
      <c r="A901" t="n">
        <v>900</v>
      </c>
      <c r="B901" t="inlineStr">
        <is>
          <t>A-5052__152</t>
        </is>
      </c>
      <c r="C901" s="1" t="n">
        <v>37.2160241913</v>
      </c>
      <c r="D901" s="1" t="n">
        <v>-7.08785406008</v>
      </c>
      <c r="E901" s="3" t="n">
        <v>1</v>
      </c>
      <c r="F901" s="2" t="n">
        <v>2</v>
      </c>
      <c r="G901" s="4" t="n">
        <v>2</v>
      </c>
      <c r="H901" s="13" t="n"/>
      <c r="I901" s="15" t="n"/>
      <c r="J901" s="19" t="n">
        <v>2</v>
      </c>
      <c r="K901" s="2" t="inlineStr">
        <is>
          <t>marker_311_958556.png</t>
        </is>
      </c>
      <c r="L901" s="11">
        <f>HYPERLINK("2\1\" &amp; K901, "Ver Imagen")</f>
        <v/>
      </c>
      <c r="M901" t="inlineStr">
        <is>
          <t>Moda</t>
        </is>
      </c>
    </row>
    <row r="902">
      <c r="A902" t="n">
        <v>901</v>
      </c>
      <c r="B902" t="inlineStr">
        <is>
          <t>A-5052__154</t>
        </is>
      </c>
      <c r="C902" s="1" t="n">
        <v>37.2160196426</v>
      </c>
      <c r="D902" s="1" t="n">
        <v>-7.08736413208</v>
      </c>
      <c r="E902" s="3" t="n">
        <v>1</v>
      </c>
      <c r="F902" s="2" t="n">
        <v>2</v>
      </c>
      <c r="G902" s="4" t="n">
        <v>2</v>
      </c>
      <c r="H902" s="13" t="n"/>
      <c r="I902" s="15" t="n"/>
      <c r="J902" s="19" t="n">
        <v>2</v>
      </c>
      <c r="K902" s="2" t="inlineStr">
        <is>
          <t>marker_934_958577.png</t>
        </is>
      </c>
      <c r="L902" s="11">
        <f>HYPERLINK("2\1\" &amp; K902, "Ver Imagen")</f>
        <v/>
      </c>
      <c r="M902" t="inlineStr">
        <is>
          <t>Moda</t>
        </is>
      </c>
    </row>
    <row r="903">
      <c r="A903" t="n">
        <v>902</v>
      </c>
      <c r="B903" t="inlineStr">
        <is>
          <t>A-5052__160</t>
        </is>
      </c>
      <c r="C903" s="1" t="n">
        <v>37.2160786821</v>
      </c>
      <c r="D903" s="1" t="n">
        <v>-7.08586686797</v>
      </c>
      <c r="E903" s="3" t="n">
        <v>1</v>
      </c>
      <c r="F903" s="2" t="n">
        <v>2</v>
      </c>
      <c r="G903" s="4" t="n">
        <v>2</v>
      </c>
      <c r="H903" s="13" t="n"/>
      <c r="I903" s="15" t="n"/>
      <c r="J903" s="19" t="n">
        <v>2</v>
      </c>
      <c r="K903" s="2" t="inlineStr">
        <is>
          <t>marker_619_958682.png</t>
        </is>
      </c>
      <c r="L903" s="11">
        <f>HYPERLINK("2\1\" &amp; K903, "Ver Imagen")</f>
        <v/>
      </c>
      <c r="M903" t="inlineStr">
        <is>
          <t>Moda</t>
        </is>
      </c>
    </row>
    <row r="904">
      <c r="A904" t="n">
        <v>903</v>
      </c>
      <c r="B904" t="inlineStr">
        <is>
          <t>A-5052__161</t>
        </is>
      </c>
      <c r="C904" s="1" t="n">
        <v>37.2161070167</v>
      </c>
      <c r="D904" s="1" t="n">
        <v>-7.085646867</v>
      </c>
      <c r="E904" s="3" t="n">
        <v>1</v>
      </c>
      <c r="F904" s="2" t="n">
        <v>2</v>
      </c>
      <c r="G904" s="4" t="n">
        <v>2</v>
      </c>
      <c r="H904" s="13" t="n"/>
      <c r="I904" s="15" t="n"/>
      <c r="J904" s="19" t="n">
        <v>2</v>
      </c>
      <c r="K904" s="2" t="inlineStr">
        <is>
          <t>marker_627_958690.png</t>
        </is>
      </c>
      <c r="L904" s="11">
        <f>HYPERLINK("2\1\" &amp; K904, "Ver Imagen")</f>
        <v/>
      </c>
      <c r="M904" t="inlineStr">
        <is>
          <t>Moda</t>
        </is>
      </c>
    </row>
    <row r="905">
      <c r="A905" t="n">
        <v>904</v>
      </c>
      <c r="B905" t="inlineStr">
        <is>
          <t>A-5052__164</t>
        </is>
      </c>
      <c r="C905" s="1" t="n">
        <v>37.2162075372</v>
      </c>
      <c r="D905" s="1" t="n">
        <v>-7.0848703439</v>
      </c>
      <c r="E905" s="3" t="n">
        <v>1</v>
      </c>
      <c r="F905" s="2" t="n">
        <v>2</v>
      </c>
      <c r="G905" s="4" t="n">
        <v>2</v>
      </c>
      <c r="H905" s="13" t="n"/>
      <c r="I905" s="15" t="n"/>
      <c r="J905" s="19" t="n">
        <v>2</v>
      </c>
      <c r="K905" s="2" t="inlineStr">
        <is>
          <t>marker_139_958738.png</t>
        </is>
      </c>
      <c r="L905" s="11">
        <f>HYPERLINK("2\1\" &amp; K905, "Ver Imagen")</f>
        <v/>
      </c>
      <c r="M905" t="inlineStr">
        <is>
          <t>Moda</t>
        </is>
      </c>
    </row>
    <row r="906">
      <c r="A906" t="n">
        <v>905</v>
      </c>
      <c r="B906" t="inlineStr">
        <is>
          <t>A-5052__165</t>
        </is>
      </c>
      <c r="C906" s="1" t="n">
        <v>37.2162281627</v>
      </c>
      <c r="D906" s="1" t="n">
        <v>-7.08460392718</v>
      </c>
      <c r="E906" s="3" t="n">
        <v>1</v>
      </c>
      <c r="F906" s="2" t="n">
        <v>2</v>
      </c>
      <c r="G906" s="4" t="n">
        <v>2</v>
      </c>
      <c r="H906" s="13" t="n"/>
      <c r="I906" s="15" t="n"/>
      <c r="J906" s="19" t="n">
        <v>2</v>
      </c>
      <c r="K906" s="2" t="inlineStr">
        <is>
          <t>marker_404_958748.png</t>
        </is>
      </c>
      <c r="L906" s="11">
        <f>HYPERLINK("2\1\" &amp; K906, "Ver Imagen")</f>
        <v/>
      </c>
      <c r="M906" t="inlineStr">
        <is>
          <t>Moda</t>
        </is>
      </c>
    </row>
    <row r="907">
      <c r="A907" t="n">
        <v>906</v>
      </c>
      <c r="B907" t="inlineStr">
        <is>
          <t>A-5052__175</t>
        </is>
      </c>
      <c r="C907" s="1" t="n">
        <v>37.2157108039</v>
      </c>
      <c r="D907" s="1" t="n">
        <v>-7.0821882566</v>
      </c>
      <c r="E907" s="3" t="n">
        <v>1</v>
      </c>
      <c r="F907" s="2" t="n">
        <v>2</v>
      </c>
      <c r="G907" s="4" t="n">
        <v>2</v>
      </c>
      <c r="H907" s="13" t="n"/>
      <c r="I907" s="15" t="n"/>
      <c r="J907" s="19" t="n">
        <v>2</v>
      </c>
      <c r="K907" s="2" t="inlineStr">
        <is>
          <t>marker_697_959014.png</t>
        </is>
      </c>
      <c r="L907" s="11">
        <f>HYPERLINK("2\1\" &amp; K907, "Ver Imagen")</f>
        <v/>
      </c>
      <c r="M907" t="inlineStr">
        <is>
          <t>Moda</t>
        </is>
      </c>
    </row>
    <row r="908">
      <c r="A908" t="n">
        <v>907</v>
      </c>
      <c r="B908" t="inlineStr">
        <is>
          <t>A-5052__189</t>
        </is>
      </c>
      <c r="C908" s="1" t="n">
        <v>37.2148414234</v>
      </c>
      <c r="D908" s="1" t="n">
        <v>-7.0788205615</v>
      </c>
      <c r="E908" s="3" t="n">
        <v>1</v>
      </c>
      <c r="F908" s="2" t="n">
        <v>2</v>
      </c>
      <c r="G908" s="4" t="n">
        <v>2</v>
      </c>
      <c r="H908" s="13" t="n"/>
      <c r="I908" s="15" t="n"/>
      <c r="J908" s="19" t="n">
        <v>2</v>
      </c>
      <c r="K908" s="2" t="inlineStr">
        <is>
          <t>marker_583_959298.png</t>
        </is>
      </c>
      <c r="L908" s="11">
        <f>HYPERLINK("2\1\" &amp; K908, "Ver Imagen")</f>
        <v/>
      </c>
      <c r="M908" t="inlineStr">
        <is>
          <t>Moda</t>
        </is>
      </c>
    </row>
    <row r="909">
      <c r="A909" t="n">
        <v>908</v>
      </c>
      <c r="B909" t="inlineStr">
        <is>
          <t>A-5052__190</t>
        </is>
      </c>
      <c r="C909" s="1" t="n">
        <v>37.2147930914</v>
      </c>
      <c r="D909" s="1" t="n">
        <v>-7.07857296763</v>
      </c>
      <c r="E909" s="3" t="n">
        <v>1</v>
      </c>
      <c r="F909" s="2" t="n">
        <v>2</v>
      </c>
      <c r="G909" s="4" t="n">
        <v>2</v>
      </c>
      <c r="H909" s="13" t="n"/>
      <c r="I909" s="15" t="n"/>
      <c r="J909" s="19" t="n">
        <v>2</v>
      </c>
      <c r="K909" s="2" t="inlineStr">
        <is>
          <t>marker_164_959308.png</t>
        </is>
      </c>
      <c r="L909" s="11">
        <f>HYPERLINK("2\1\" &amp; K909, "Ver Imagen")</f>
        <v/>
      </c>
      <c r="M909" t="inlineStr">
        <is>
          <t>Moda</t>
        </is>
      </c>
    </row>
    <row r="910">
      <c r="A910" t="n">
        <v>909</v>
      </c>
      <c r="B910" t="inlineStr">
        <is>
          <t>A-5052__192</t>
        </is>
      </c>
      <c r="C910" s="1" t="n">
        <v>37.2146967</v>
      </c>
      <c r="D910" s="1" t="n">
        <v>-7.07806799669</v>
      </c>
      <c r="E910" s="3" t="n">
        <v>1</v>
      </c>
      <c r="F910" s="2" t="n">
        <v>2</v>
      </c>
      <c r="G910" s="4" t="n">
        <v>2</v>
      </c>
      <c r="H910" s="13" t="n"/>
      <c r="I910" s="15" t="n"/>
      <c r="J910" s="19" t="n">
        <v>2</v>
      </c>
      <c r="K910" s="2" t="inlineStr">
        <is>
          <t>marker_140_959347.png</t>
        </is>
      </c>
      <c r="L910" s="11">
        <f>HYPERLINK("2\1\" &amp; K910, "Ver Imagen")</f>
        <v/>
      </c>
      <c r="M910" t="inlineStr">
        <is>
          <t>Moda</t>
        </is>
      </c>
    </row>
    <row r="911">
      <c r="A911" t="n">
        <v>910</v>
      </c>
      <c r="B911" t="inlineStr">
        <is>
          <t>A-5052__205</t>
        </is>
      </c>
      <c r="C911" s="1" t="n">
        <v>37.2140916819</v>
      </c>
      <c r="D911" s="1" t="n">
        <v>-7.07487508108</v>
      </c>
      <c r="E911" s="3" t="n">
        <v>1</v>
      </c>
      <c r="F911" s="2" t="n">
        <v>2</v>
      </c>
      <c r="G911" s="4" t="n">
        <v>2</v>
      </c>
      <c r="H911" s="13" t="n"/>
      <c r="I911" s="15" t="n"/>
      <c r="J911" s="19" t="n">
        <v>2</v>
      </c>
      <c r="K911" s="2" t="inlineStr">
        <is>
          <t>marker_753_959520.png</t>
        </is>
      </c>
      <c r="L911" s="11">
        <f>HYPERLINK("2\1\" &amp; K911, "Ver Imagen")</f>
        <v/>
      </c>
      <c r="M911" t="inlineStr">
        <is>
          <t>Moda</t>
        </is>
      </c>
    </row>
    <row r="912">
      <c r="A912" t="n">
        <v>911</v>
      </c>
      <c r="B912" t="inlineStr">
        <is>
          <t>A-5052__206</t>
        </is>
      </c>
      <c r="C912" s="1" t="n">
        <v>37.2140485028</v>
      </c>
      <c r="D912" s="1" t="n">
        <v>-7.0746308482</v>
      </c>
      <c r="E912" s="3" t="n">
        <v>1</v>
      </c>
      <c r="F912" s="2" t="n">
        <v>2</v>
      </c>
      <c r="G912" s="4" t="n">
        <v>2</v>
      </c>
      <c r="H912" s="13" t="n"/>
      <c r="I912" s="15" t="n"/>
      <c r="J912" s="19" t="n">
        <v>2</v>
      </c>
      <c r="K912" s="2" t="inlineStr">
        <is>
          <t>marker_600_959530.png</t>
        </is>
      </c>
      <c r="L912" s="11">
        <f>HYPERLINK("2\1\" &amp; K912, "Ver Imagen")</f>
        <v/>
      </c>
      <c r="M912" t="inlineStr">
        <is>
          <t>Moda</t>
        </is>
      </c>
    </row>
    <row r="913">
      <c r="A913" t="n">
        <v>912</v>
      </c>
      <c r="B913" t="inlineStr">
        <is>
          <t>A-5052__209</t>
        </is>
      </c>
      <c r="C913" s="1" t="n">
        <v>37.2139275661</v>
      </c>
      <c r="D913" s="1" t="n">
        <v>-7.0739074421</v>
      </c>
      <c r="E913" s="3" t="n">
        <v>1</v>
      </c>
      <c r="F913" s="2" t="n">
        <v>2</v>
      </c>
      <c r="G913" s="4" t="n">
        <v>2</v>
      </c>
      <c r="H913" s="13" t="n"/>
      <c r="I913" s="15" t="n"/>
      <c r="J913" s="19" t="n">
        <v>2</v>
      </c>
      <c r="K913" s="2" t="inlineStr">
        <is>
          <t>marker_655_959580.png</t>
        </is>
      </c>
      <c r="L913" s="11">
        <f>HYPERLINK("2\1\" &amp; K913, "Ver Imagen")</f>
        <v/>
      </c>
      <c r="M913" t="inlineStr">
        <is>
          <t>Moda</t>
        </is>
      </c>
    </row>
    <row r="914">
      <c r="A914" t="n">
        <v>913</v>
      </c>
      <c r="B914" t="inlineStr">
        <is>
          <t>A-5052__210</t>
        </is>
      </c>
      <c r="C914" s="1" t="n">
        <v>37.2138945541</v>
      </c>
      <c r="D914" s="1" t="n">
        <v>-7.07366727148</v>
      </c>
      <c r="E914" s="3" t="n">
        <v>1</v>
      </c>
      <c r="F914" s="2" t="n">
        <v>2</v>
      </c>
      <c r="G914" s="4" t="n">
        <v>2</v>
      </c>
      <c r="H914" s="13" t="n"/>
      <c r="I914" s="15" t="n"/>
      <c r="J914" s="19" t="n">
        <v>2</v>
      </c>
      <c r="K914" s="2" t="inlineStr">
        <is>
          <t>marker_689_959594.png</t>
        </is>
      </c>
      <c r="L914" s="11">
        <f>HYPERLINK("2\1\" &amp; K914, "Ver Imagen")</f>
        <v/>
      </c>
      <c r="M914" t="inlineStr">
        <is>
          <t>Moda</t>
        </is>
      </c>
    </row>
    <row r="915">
      <c r="A915" t="n">
        <v>914</v>
      </c>
      <c r="B915" t="inlineStr">
        <is>
          <t>A-5052__211</t>
        </is>
      </c>
      <c r="C915" s="1" t="n">
        <v>37.2138578932</v>
      </c>
      <c r="D915" s="1" t="n">
        <v>-7.07337853301</v>
      </c>
      <c r="E915" s="3" t="n">
        <v>1</v>
      </c>
      <c r="F915" s="2" t="n">
        <v>2</v>
      </c>
      <c r="G915" s="4" t="n">
        <v>2</v>
      </c>
      <c r="H915" s="13" t="n"/>
      <c r="I915" s="15" t="n"/>
      <c r="J915" s="19" t="n">
        <v>2</v>
      </c>
      <c r="K915" s="2" t="inlineStr">
        <is>
          <t>marker_654_959603.png</t>
        </is>
      </c>
      <c r="L915" s="11">
        <f>HYPERLINK("2\1\" &amp; K915, "Ver Imagen")</f>
        <v/>
      </c>
      <c r="M915" t="inlineStr">
        <is>
          <t>Moda</t>
        </is>
      </c>
    </row>
    <row r="916">
      <c r="A916" t="n">
        <v>915</v>
      </c>
      <c r="B916" t="inlineStr">
        <is>
          <t>A-5052__219</t>
        </is>
      </c>
      <c r="C916" s="1" t="n">
        <v>37.2136392219</v>
      </c>
      <c r="D916" s="1" t="n">
        <v>-7.07136741876</v>
      </c>
      <c r="E916" s="3" t="n">
        <v>1</v>
      </c>
      <c r="F916" s="2" t="n">
        <v>2</v>
      </c>
      <c r="G916" s="4" t="n">
        <v>2</v>
      </c>
      <c r="H916" s="13" t="n"/>
      <c r="I916" s="15" t="n"/>
      <c r="J916" s="19" t="n">
        <v>2</v>
      </c>
      <c r="K916" s="2" t="inlineStr">
        <is>
          <t>marker_827_959711.png</t>
        </is>
      </c>
      <c r="L916" s="11">
        <f>HYPERLINK("2\1\" &amp; K916, "Ver Imagen")</f>
        <v/>
      </c>
      <c r="M916" t="inlineStr">
        <is>
          <t>Moda</t>
        </is>
      </c>
    </row>
    <row r="917">
      <c r="A917" t="n">
        <v>916</v>
      </c>
      <c r="B917" t="inlineStr">
        <is>
          <t>A-5052__221</t>
        </is>
      </c>
      <c r="C917" s="1" t="n">
        <v>37.2135835604</v>
      </c>
      <c r="D917" s="1" t="n">
        <v>-7.07085437914</v>
      </c>
      <c r="E917" s="3" t="n">
        <v>1</v>
      </c>
      <c r="F917" s="2" t="n">
        <v>2</v>
      </c>
      <c r="G917" s="4" t="n">
        <v>2</v>
      </c>
      <c r="H917" s="13" t="n"/>
      <c r="I917" s="15" t="n"/>
      <c r="J917" s="19" t="n">
        <v>2</v>
      </c>
      <c r="K917" s="2" t="inlineStr">
        <is>
          <t>marker_701_959730.png</t>
        </is>
      </c>
      <c r="L917" s="11">
        <f>HYPERLINK("2\1\" &amp; K917, "Ver Imagen")</f>
        <v/>
      </c>
      <c r="M917" t="inlineStr">
        <is>
          <t>Moda</t>
        </is>
      </c>
    </row>
    <row r="918">
      <c r="A918" t="n">
        <v>917</v>
      </c>
      <c r="B918" t="inlineStr">
        <is>
          <t>A-5052__227</t>
        </is>
      </c>
      <c r="C918" s="1" t="n">
        <v>37.2134670554</v>
      </c>
      <c r="D918" s="1" t="n">
        <v>-7.06939310595</v>
      </c>
      <c r="E918" s="3" t="n">
        <v>1</v>
      </c>
      <c r="F918" s="2" t="n">
        <v>2</v>
      </c>
      <c r="G918" s="4" t="n">
        <v>2</v>
      </c>
      <c r="H918" s="13" t="n"/>
      <c r="I918" s="15" t="n"/>
      <c r="J918" s="19" t="n">
        <v>2</v>
      </c>
      <c r="K918" s="2" t="inlineStr">
        <is>
          <t>marker_294_959789.png</t>
        </is>
      </c>
      <c r="L918" s="11">
        <f>HYPERLINK("2\1\" &amp; K918, "Ver Imagen")</f>
        <v/>
      </c>
      <c r="M918" t="inlineStr">
        <is>
          <t>Moda</t>
        </is>
      </c>
    </row>
    <row r="919">
      <c r="A919" t="n">
        <v>918</v>
      </c>
      <c r="B919" t="inlineStr">
        <is>
          <t>A-5052__229</t>
        </is>
      </c>
      <c r="C919" s="1" t="n">
        <v>37.2134461596</v>
      </c>
      <c r="D919" s="1" t="n">
        <v>-7.06882569413</v>
      </c>
      <c r="E919" s="3" t="n">
        <v>1</v>
      </c>
      <c r="F919" s="2" t="n">
        <v>2</v>
      </c>
      <c r="G919" s="4" t="n">
        <v>2</v>
      </c>
      <c r="H919" s="13" t="n"/>
      <c r="I919" s="15" t="n"/>
      <c r="J919" s="19" t="n">
        <v>2</v>
      </c>
      <c r="K919" s="2" t="inlineStr">
        <is>
          <t>marker_486_959809.png</t>
        </is>
      </c>
      <c r="L919" s="11">
        <f>HYPERLINK("2\1\" &amp; K919, "Ver Imagen")</f>
        <v/>
      </c>
      <c r="M919" t="inlineStr">
        <is>
          <t>Moda</t>
        </is>
      </c>
    </row>
    <row r="920">
      <c r="A920" t="n">
        <v>919</v>
      </c>
      <c r="B920" t="inlineStr">
        <is>
          <t>A-5052__230</t>
        </is>
      </c>
      <c r="C920" s="1" t="n">
        <v>37.2134366893</v>
      </c>
      <c r="D920" s="1" t="n">
        <v>-7.06858006998</v>
      </c>
      <c r="E920" s="3" t="n">
        <v>1</v>
      </c>
      <c r="F920" s="2" t="n">
        <v>2</v>
      </c>
      <c r="G920" s="4" t="n">
        <v>2</v>
      </c>
      <c r="H920" s="13" t="n"/>
      <c r="I920" s="15" t="n"/>
      <c r="J920" s="19" t="n">
        <v>2</v>
      </c>
      <c r="K920" s="2" t="inlineStr">
        <is>
          <t>marker_810_959819.png</t>
        </is>
      </c>
      <c r="L920" s="11">
        <f>HYPERLINK("2\1\" &amp; K920, "Ver Imagen")</f>
        <v/>
      </c>
      <c r="M920" t="inlineStr">
        <is>
          <t>Moda</t>
        </is>
      </c>
    </row>
    <row r="921">
      <c r="A921" t="n">
        <v>920</v>
      </c>
      <c r="B921" t="inlineStr">
        <is>
          <t>A-5052__232</t>
        </is>
      </c>
      <c r="C921" s="1" t="n">
        <v>37.2134155886</v>
      </c>
      <c r="D921" s="1" t="n">
        <v>-7.06813164093</v>
      </c>
      <c r="E921" s="3" t="n">
        <v>1</v>
      </c>
      <c r="F921" s="2" t="n">
        <v>2</v>
      </c>
      <c r="G921" s="4" t="n">
        <v>2</v>
      </c>
      <c r="H921" s="13" t="n"/>
      <c r="I921" s="15" t="n"/>
      <c r="J921" s="19" t="n">
        <v>2</v>
      </c>
      <c r="K921" s="2" t="inlineStr">
        <is>
          <t>marker_470_959855.png</t>
        </is>
      </c>
      <c r="L921" s="11">
        <f>HYPERLINK("2\1\" &amp; K921, "Ver Imagen")</f>
        <v/>
      </c>
      <c r="M921" t="inlineStr">
        <is>
          <t>Moda</t>
        </is>
      </c>
    </row>
    <row r="922">
      <c r="A922" t="n">
        <v>921</v>
      </c>
      <c r="B922" t="inlineStr">
        <is>
          <t>A-5052__234</t>
        </is>
      </c>
      <c r="C922" s="1" t="n">
        <v>37.2133880079</v>
      </c>
      <c r="D922" s="1" t="n">
        <v>-7.06759200945</v>
      </c>
      <c r="E922" s="3" t="n">
        <v>1</v>
      </c>
      <c r="F922" s="2" t="n">
        <v>2</v>
      </c>
      <c r="G922" s="4" t="n">
        <v>2</v>
      </c>
      <c r="H922" s="13" t="n"/>
      <c r="I922" s="15" t="n"/>
      <c r="J922" s="19" t="n">
        <v>2</v>
      </c>
      <c r="K922" s="2" t="inlineStr">
        <is>
          <t>marker_146_959872.png</t>
        </is>
      </c>
      <c r="L922" s="11">
        <f>HYPERLINK("2\1\" &amp; K922, "Ver Imagen")</f>
        <v/>
      </c>
      <c r="M922" t="inlineStr">
        <is>
          <t>Moda</t>
        </is>
      </c>
    </row>
    <row r="923">
      <c r="A923" t="n">
        <v>922</v>
      </c>
      <c r="B923" t="inlineStr">
        <is>
          <t>A-5052__242</t>
        </is>
      </c>
      <c r="C923" s="1" t="n">
        <v>37.2133117964</v>
      </c>
      <c r="D923" s="1" t="n">
        <v>-7.06560185228</v>
      </c>
      <c r="E923" s="3" t="n">
        <v>1</v>
      </c>
      <c r="F923" s="2" t="n">
        <v>2</v>
      </c>
      <c r="G923" s="4" t="n">
        <v>2</v>
      </c>
      <c r="H923" s="13" t="n"/>
      <c r="I923" s="15" t="n"/>
      <c r="J923" s="19" t="n">
        <v>2</v>
      </c>
      <c r="K923" s="2" t="inlineStr">
        <is>
          <t>marker_914_959975.png</t>
        </is>
      </c>
      <c r="L923" s="11">
        <f>HYPERLINK("2\1\" &amp; K923, "Ver Imagen")</f>
        <v/>
      </c>
      <c r="M923" t="inlineStr">
        <is>
          <t>Moda</t>
        </is>
      </c>
    </row>
    <row r="924">
      <c r="A924" t="n">
        <v>923</v>
      </c>
      <c r="B924" t="inlineStr">
        <is>
          <t>A-5052__269</t>
        </is>
      </c>
      <c r="C924" s="1" t="n">
        <v>37.2120423</v>
      </c>
      <c r="D924" s="1" t="n">
        <v>-7.05915699095</v>
      </c>
      <c r="E924" s="3" t="n">
        <v>1</v>
      </c>
      <c r="F924" s="2" t="n">
        <v>2</v>
      </c>
      <c r="G924" s="4" t="n">
        <v>2</v>
      </c>
      <c r="H924" s="13" t="n"/>
      <c r="I924" s="15" t="n"/>
      <c r="J924" s="19" t="n">
        <v>2</v>
      </c>
      <c r="K924" s="2" t="inlineStr">
        <is>
          <t>marker_307_960304.png</t>
        </is>
      </c>
      <c r="L924" s="11">
        <f>HYPERLINK("2\1\" &amp; K924, "Ver Imagen")</f>
        <v/>
      </c>
      <c r="M924" t="inlineStr">
        <is>
          <t>Moda</t>
        </is>
      </c>
    </row>
    <row r="925">
      <c r="A925" t="n">
        <v>924</v>
      </c>
      <c r="B925" t="inlineStr">
        <is>
          <t>A-5052__342</t>
        </is>
      </c>
      <c r="C925" s="1" t="n">
        <v>37.2099429291</v>
      </c>
      <c r="D925" s="1" t="n">
        <v>-7.04157989077</v>
      </c>
      <c r="E925" s="3" t="n">
        <v>2</v>
      </c>
      <c r="F925" s="2" t="n">
        <v>2</v>
      </c>
      <c r="G925" s="4" t="n">
        <v>1</v>
      </c>
      <c r="H925" s="13" t="n"/>
      <c r="I925" s="15" t="n"/>
      <c r="J925" s="19" t="n">
        <v>2</v>
      </c>
      <c r="K925" s="2" t="inlineStr">
        <is>
          <t>marker_712_961647.png</t>
        </is>
      </c>
      <c r="L925" s="11">
        <f>HYPERLINK("2\1\" &amp; K925, "Ver Imagen")</f>
        <v/>
      </c>
      <c r="M925" t="inlineStr">
        <is>
          <t>Moda</t>
        </is>
      </c>
    </row>
    <row r="926">
      <c r="A926" t="n">
        <v>925</v>
      </c>
      <c r="B926" t="inlineStr">
        <is>
          <t>A-5052__346</t>
        </is>
      </c>
      <c r="C926" s="1" t="n">
        <v>37.2095746321</v>
      </c>
      <c r="D926" s="1" t="n">
        <v>-7.04060907194</v>
      </c>
      <c r="E926" s="3" t="n">
        <v>2</v>
      </c>
      <c r="F926" s="2" t="n">
        <v>2</v>
      </c>
      <c r="G926" s="4" t="n">
        <v>1</v>
      </c>
      <c r="H926" s="13" t="n"/>
      <c r="I926" s="15" t="n"/>
      <c r="J926" s="19" t="n">
        <v>2</v>
      </c>
      <c r="K926" s="2" t="inlineStr">
        <is>
          <t>marker_466_961693.png</t>
        </is>
      </c>
      <c r="L926" s="11">
        <f>HYPERLINK("2\1\" &amp; K926, "Ver Imagen")</f>
        <v/>
      </c>
      <c r="M926" t="inlineStr">
        <is>
          <t>Moda</t>
        </is>
      </c>
    </row>
    <row r="927">
      <c r="A927" t="n">
        <v>926</v>
      </c>
      <c r="B927" t="inlineStr">
        <is>
          <t>A-5052__413</t>
        </is>
      </c>
      <c r="C927" s="1" t="n">
        <v>37.2037353389</v>
      </c>
      <c r="D927" s="1" t="n">
        <v>-7.02541182972</v>
      </c>
      <c r="E927" s="3" t="n">
        <v>1</v>
      </c>
      <c r="F927" s="2" t="n">
        <v>2</v>
      </c>
      <c r="G927" s="4" t="n">
        <v>2</v>
      </c>
      <c r="H927" s="13" t="n"/>
      <c r="I927" s="15" t="n"/>
      <c r="J927" s="19" t="n">
        <v>2</v>
      </c>
      <c r="K927" s="2" t="inlineStr">
        <is>
          <t>marker_117_962802.png</t>
        </is>
      </c>
      <c r="L927" s="11">
        <f>HYPERLINK("2\1\" &amp; K927, "Ver Imagen")</f>
        <v/>
      </c>
      <c r="M927" t="inlineStr">
        <is>
          <t>Moda</t>
        </is>
      </c>
    </row>
    <row r="928">
      <c r="A928" t="n">
        <v>927</v>
      </c>
      <c r="B928" t="inlineStr">
        <is>
          <t>A-5052__414</t>
        </is>
      </c>
      <c r="C928" s="1" t="n">
        <v>37.2036332856</v>
      </c>
      <c r="D928" s="1" t="n">
        <v>-7.02514779992</v>
      </c>
      <c r="E928" s="3" t="n">
        <v>1</v>
      </c>
      <c r="F928" s="2" t="n">
        <v>2</v>
      </c>
      <c r="G928" s="4" t="n">
        <v>2</v>
      </c>
      <c r="H928" s="13" t="n"/>
      <c r="I928" s="15" t="n"/>
      <c r="J928" s="19" t="n">
        <v>2</v>
      </c>
      <c r="K928" s="2" t="inlineStr">
        <is>
          <t>marker_353_962812.png</t>
        </is>
      </c>
      <c r="L928" s="11">
        <f>HYPERLINK("2\1\" &amp; K928, "Ver Imagen")</f>
        <v/>
      </c>
      <c r="M928" t="inlineStr">
        <is>
          <t>Moda</t>
        </is>
      </c>
    </row>
    <row r="929">
      <c r="A929" t="n">
        <v>928</v>
      </c>
      <c r="B929" t="inlineStr">
        <is>
          <t>A-5052__415</t>
        </is>
      </c>
      <c r="C929" s="1" t="n">
        <v>37.2035556294</v>
      </c>
      <c r="D929" s="1" t="n">
        <v>-7.02494838756</v>
      </c>
      <c r="E929" s="3" t="n">
        <v>1</v>
      </c>
      <c r="F929" s="2" t="n">
        <v>2</v>
      </c>
      <c r="G929" s="4" t="n">
        <v>2</v>
      </c>
      <c r="H929" s="13" t="n"/>
      <c r="I929" s="15" t="n"/>
      <c r="J929" s="19" t="n">
        <v>2</v>
      </c>
      <c r="K929" s="2" t="inlineStr">
        <is>
          <t>marker_638_962822.png</t>
        </is>
      </c>
      <c r="L929" s="11">
        <f>HYPERLINK("2\1\" &amp; K929, "Ver Imagen")</f>
        <v/>
      </c>
      <c r="M929" t="inlineStr">
        <is>
          <t>Moda</t>
        </is>
      </c>
    </row>
    <row r="930">
      <c r="A930" t="n">
        <v>929</v>
      </c>
      <c r="B930" t="inlineStr">
        <is>
          <t>A-5052__417</t>
        </is>
      </c>
      <c r="C930" s="1" t="n">
        <v>37.2033751468</v>
      </c>
      <c r="D930" s="1" t="n">
        <v>-7.02448165886</v>
      </c>
      <c r="E930" s="3" t="n">
        <v>1</v>
      </c>
      <c r="F930" s="2" t="n">
        <v>2</v>
      </c>
      <c r="G930" s="4" t="n">
        <v>2</v>
      </c>
      <c r="H930" s="13" t="n"/>
      <c r="I930" s="15" t="n"/>
      <c r="J930" s="19" t="n">
        <v>2</v>
      </c>
      <c r="K930" s="2" t="inlineStr">
        <is>
          <t>marker_124_962849.png</t>
        </is>
      </c>
      <c r="L930" s="11">
        <f>HYPERLINK("2\1\" &amp; K930, "Ver Imagen")</f>
        <v/>
      </c>
      <c r="M930" t="inlineStr">
        <is>
          <t>Moda</t>
        </is>
      </c>
    </row>
    <row r="931">
      <c r="A931" t="n">
        <v>930</v>
      </c>
      <c r="B931" t="inlineStr">
        <is>
          <t>A-5052__419</t>
        </is>
      </c>
      <c r="C931" s="1" t="n">
        <v>37.2032014965</v>
      </c>
      <c r="D931" s="1" t="n">
        <v>-7.02403887065</v>
      </c>
      <c r="E931" s="3" t="n">
        <v>1</v>
      </c>
      <c r="F931" s="2" t="n">
        <v>2</v>
      </c>
      <c r="G931" s="4" t="n">
        <v>2</v>
      </c>
      <c r="H931" s="13" t="n"/>
      <c r="I931" s="15" t="n"/>
      <c r="J931" s="19" t="n">
        <v>2</v>
      </c>
      <c r="K931" s="2" t="inlineStr">
        <is>
          <t>marker_938_962866.png</t>
        </is>
      </c>
      <c r="L931" s="11">
        <f>HYPERLINK("2\1\" &amp; K931, "Ver Imagen")</f>
        <v/>
      </c>
      <c r="M931" t="inlineStr">
        <is>
          <t>Moda</t>
        </is>
      </c>
    </row>
    <row r="932">
      <c r="A932" t="n">
        <v>931</v>
      </c>
      <c r="B932" t="inlineStr">
        <is>
          <t>A-5052__434</t>
        </is>
      </c>
      <c r="C932" s="1" t="n">
        <v>37.2018990342</v>
      </c>
      <c r="D932" s="1" t="n">
        <v>-7.02064046478</v>
      </c>
      <c r="E932" s="3" t="n">
        <v>1</v>
      </c>
      <c r="F932" s="2" t="n">
        <v>2</v>
      </c>
      <c r="G932" s="4" t="n">
        <v>2</v>
      </c>
      <c r="H932" s="13" t="n"/>
      <c r="I932" s="15" t="n"/>
      <c r="J932" s="19" t="n">
        <v>2</v>
      </c>
      <c r="K932" s="2" t="inlineStr">
        <is>
          <t>marker_440_963017.png</t>
        </is>
      </c>
      <c r="L932" s="11">
        <f>HYPERLINK("2\1\" &amp; K932, "Ver Imagen")</f>
        <v/>
      </c>
      <c r="M932" t="inlineStr">
        <is>
          <t>Moda</t>
        </is>
      </c>
    </row>
    <row r="933">
      <c r="A933" t="n">
        <v>932</v>
      </c>
      <c r="B933" t="inlineStr">
        <is>
          <t>A-5052__437</t>
        </is>
      </c>
      <c r="C933" s="1" t="n">
        <v>37.2016226995</v>
      </c>
      <c r="D933" s="1" t="n">
        <v>-7.01992090511</v>
      </c>
      <c r="E933" s="3" t="n">
        <v>1</v>
      </c>
      <c r="F933" s="2" t="n">
        <v>2</v>
      </c>
      <c r="G933" s="4" t="n">
        <v>2</v>
      </c>
      <c r="H933" s="13" t="n"/>
      <c r="I933" s="15" t="n"/>
      <c r="J933" s="19" t="n">
        <v>2</v>
      </c>
      <c r="K933" s="2" t="inlineStr">
        <is>
          <t>marker_395_963048.png</t>
        </is>
      </c>
      <c r="L933" s="11">
        <f>HYPERLINK("2\1\" &amp; K933, "Ver Imagen")</f>
        <v/>
      </c>
      <c r="M933" t="inlineStr">
        <is>
          <t>Moda</t>
        </is>
      </c>
    </row>
    <row r="934">
      <c r="A934" t="n">
        <v>933</v>
      </c>
      <c r="B934" t="inlineStr">
        <is>
          <t>A-5052__439</t>
        </is>
      </c>
      <c r="C934" s="1" t="n">
        <v>37.2014453424</v>
      </c>
      <c r="D934" s="1" t="n">
        <v>-7.01945401855</v>
      </c>
      <c r="E934" s="3" t="n">
        <v>1</v>
      </c>
      <c r="F934" s="2" t="n">
        <v>2</v>
      </c>
      <c r="G934" s="4" t="n">
        <v>2</v>
      </c>
      <c r="H934" s="13" t="n"/>
      <c r="I934" s="15" t="n"/>
      <c r="J934" s="19" t="n">
        <v>2</v>
      </c>
      <c r="K934" s="2" t="inlineStr">
        <is>
          <t>marker_337_963066.png</t>
        </is>
      </c>
      <c r="L934" s="11">
        <f>HYPERLINK("2\1\" &amp; K934, "Ver Imagen")</f>
        <v/>
      </c>
      <c r="M934" t="inlineStr">
        <is>
          <t>Moda</t>
        </is>
      </c>
    </row>
    <row r="935">
      <c r="A935" t="n">
        <v>934</v>
      </c>
      <c r="B935" t="inlineStr">
        <is>
          <t>A-5052__441</t>
        </is>
      </c>
      <c r="C935" s="1" t="n">
        <v>37.201286254</v>
      </c>
      <c r="D935" s="1" t="n">
        <v>-7.01903372321</v>
      </c>
      <c r="E935" s="3" t="n">
        <v>1</v>
      </c>
      <c r="F935" s="2" t="n">
        <v>2</v>
      </c>
      <c r="G935" s="4" t="n">
        <v>2</v>
      </c>
      <c r="H935" s="13" t="n"/>
      <c r="I935" s="15" t="n"/>
      <c r="J935" s="19" t="n">
        <v>2</v>
      </c>
      <c r="K935" s="2" t="inlineStr">
        <is>
          <t>marker_432_963084.png</t>
        </is>
      </c>
      <c r="L935" s="11">
        <f>HYPERLINK("2\1\" &amp; K935, "Ver Imagen")</f>
        <v/>
      </c>
      <c r="M935" t="inlineStr">
        <is>
          <t>Moda</t>
        </is>
      </c>
    </row>
    <row r="936">
      <c r="A936" t="n">
        <v>935</v>
      </c>
      <c r="B936" t="inlineStr">
        <is>
          <t>A-5052__442</t>
        </is>
      </c>
      <c r="C936" s="1" t="n">
        <v>37.2011875776</v>
      </c>
      <c r="D936" s="1" t="n">
        <v>-7.01878059083</v>
      </c>
      <c r="E936" s="3" t="n">
        <v>1</v>
      </c>
      <c r="F936" s="2" t="n">
        <v>2</v>
      </c>
      <c r="G936" s="4" t="n">
        <v>2</v>
      </c>
      <c r="H936" s="13" t="n"/>
      <c r="I936" s="15" t="n"/>
      <c r="J936" s="19" t="n">
        <v>2</v>
      </c>
      <c r="K936" s="2" t="inlineStr">
        <is>
          <t>marker_534_963102.png</t>
        </is>
      </c>
      <c r="L936" s="11">
        <f>HYPERLINK("2\1\" &amp; K936, "Ver Imagen")</f>
        <v/>
      </c>
      <c r="M936" t="inlineStr">
        <is>
          <t>Moda</t>
        </is>
      </c>
    </row>
    <row r="937">
      <c r="A937" t="n">
        <v>936</v>
      </c>
      <c r="B937" t="inlineStr">
        <is>
          <t>A-5052__443</t>
        </is>
      </c>
      <c r="C937" s="1" t="n">
        <v>37.201103175</v>
      </c>
      <c r="D937" s="1" t="n">
        <v>-7.01856390159</v>
      </c>
      <c r="E937" s="3" t="n">
        <v>1</v>
      </c>
      <c r="F937" s="2" t="n">
        <v>2</v>
      </c>
      <c r="G937" s="4" t="n">
        <v>2</v>
      </c>
      <c r="H937" s="13" t="n"/>
      <c r="I937" s="15" t="n"/>
      <c r="J937" s="19" t="n">
        <v>2</v>
      </c>
      <c r="K937" s="2" t="inlineStr">
        <is>
          <t>marker_633_963111.png</t>
        </is>
      </c>
      <c r="L937" s="11">
        <f>HYPERLINK("2\1\" &amp; K937, "Ver Imagen")</f>
        <v/>
      </c>
      <c r="M937" t="inlineStr">
        <is>
          <t>Moda</t>
        </is>
      </c>
    </row>
    <row r="938">
      <c r="A938" t="n">
        <v>937</v>
      </c>
      <c r="B938" t="inlineStr">
        <is>
          <t>A-5052__449</t>
        </is>
      </c>
      <c r="C938" s="1" t="n">
        <v>37.2005817334</v>
      </c>
      <c r="D938" s="1" t="n">
        <v>-7.0172115889</v>
      </c>
      <c r="E938" s="3" t="n">
        <v>1</v>
      </c>
      <c r="F938" s="2" t="n">
        <v>2</v>
      </c>
      <c r="G938" s="4" t="n">
        <v>2</v>
      </c>
      <c r="H938" s="13" t="n"/>
      <c r="I938" s="15" t="n"/>
      <c r="J938" s="19" t="n">
        <v>2</v>
      </c>
      <c r="K938" s="2" t="inlineStr">
        <is>
          <t>marker_560_963167.png</t>
        </is>
      </c>
      <c r="L938" s="11">
        <f>HYPERLINK("2\1\" &amp; K938, "Ver Imagen")</f>
        <v/>
      </c>
      <c r="M938" t="inlineStr">
        <is>
          <t>Moda</t>
        </is>
      </c>
    </row>
    <row r="939">
      <c r="A939" t="n">
        <v>938</v>
      </c>
      <c r="B939" t="inlineStr">
        <is>
          <t>A-5052__456</t>
        </is>
      </c>
      <c r="C939" s="1" t="n">
        <v>37.1999578649</v>
      </c>
      <c r="D939" s="1" t="n">
        <v>-7.01558025445</v>
      </c>
      <c r="E939" s="3" t="n">
        <v>1</v>
      </c>
      <c r="F939" s="2" t="n">
        <v>2</v>
      </c>
      <c r="G939" s="4" t="n">
        <v>2</v>
      </c>
      <c r="H939" s="13" t="n"/>
      <c r="I939" s="15" t="n"/>
      <c r="J939" s="19" t="n">
        <v>2</v>
      </c>
      <c r="K939" s="2" t="inlineStr">
        <is>
          <t>marker_658_963244.png</t>
        </is>
      </c>
      <c r="L939" s="11">
        <f>HYPERLINK("2\1\" &amp; K939, "Ver Imagen")</f>
        <v/>
      </c>
      <c r="M939" t="inlineStr">
        <is>
          <t>Moda</t>
        </is>
      </c>
    </row>
    <row r="940">
      <c r="A940" t="n">
        <v>939</v>
      </c>
      <c r="B940" t="inlineStr">
        <is>
          <t>A-5053__369</t>
        </is>
      </c>
      <c r="C940" s="1" t="n">
        <v>37.2863220605</v>
      </c>
      <c r="D940" s="1" t="n">
        <v>-7.14161428629</v>
      </c>
      <c r="E940" s="3" t="n">
        <v>1</v>
      </c>
      <c r="F940" s="2" t="n">
        <v>2</v>
      </c>
      <c r="G940" s="4" t="n">
        <v>2</v>
      </c>
      <c r="H940" s="13" t="n"/>
      <c r="I940" s="15" t="n"/>
      <c r="J940" s="19" t="n">
        <v>2</v>
      </c>
      <c r="K940" s="2" t="inlineStr">
        <is>
          <t>marker_272_963968.png</t>
        </is>
      </c>
      <c r="L940" s="11">
        <f>HYPERLINK("2\1\" &amp; K940, "Ver Imagen")</f>
        <v/>
      </c>
      <c r="M940" t="inlineStr">
        <is>
          <t>Moda</t>
        </is>
      </c>
    </row>
    <row r="941">
      <c r="A941" t="n">
        <v>940</v>
      </c>
      <c r="B941" t="inlineStr">
        <is>
          <t>A-5053__367</t>
        </is>
      </c>
      <c r="C941" s="1" t="n">
        <v>37.2859547479</v>
      </c>
      <c r="D941" s="1" t="n">
        <v>-7.14191444754</v>
      </c>
      <c r="E941" s="3" t="n">
        <v>1</v>
      </c>
      <c r="F941" s="2" t="n">
        <v>2</v>
      </c>
      <c r="G941" s="4" t="n">
        <v>2</v>
      </c>
      <c r="H941" s="13" t="n"/>
      <c r="I941" s="15" t="n"/>
      <c r="J941" s="19" t="n">
        <v>2</v>
      </c>
      <c r="K941" s="2" t="inlineStr">
        <is>
          <t>marker_267_963989.png</t>
        </is>
      </c>
      <c r="L941" s="11">
        <f>HYPERLINK("2\1\" &amp; K941, "Ver Imagen")</f>
        <v/>
      </c>
      <c r="M941" t="inlineStr">
        <is>
          <t>Moda</t>
        </is>
      </c>
    </row>
    <row r="942">
      <c r="A942" t="n">
        <v>941</v>
      </c>
      <c r="B942" t="inlineStr">
        <is>
          <t>A-5053__366</t>
        </is>
      </c>
      <c r="C942" s="1" t="n">
        <v>37.2858201615</v>
      </c>
      <c r="D942" s="1" t="n">
        <v>-7.14203147535</v>
      </c>
      <c r="E942" s="3" t="n">
        <v>1</v>
      </c>
      <c r="F942" s="2" t="n">
        <v>2</v>
      </c>
      <c r="G942" s="4" t="n">
        <v>2</v>
      </c>
      <c r="H942" s="13" t="n"/>
      <c r="I942" s="15" t="n"/>
      <c r="J942" s="19" t="n">
        <v>2</v>
      </c>
      <c r="K942" s="2" t="inlineStr">
        <is>
          <t>marker_608_963998.png</t>
        </is>
      </c>
      <c r="L942" s="11">
        <f>HYPERLINK("2\1\" &amp; K942, "Ver Imagen")</f>
        <v/>
      </c>
      <c r="M942" t="inlineStr">
        <is>
          <t>Moda</t>
        </is>
      </c>
    </row>
    <row r="943">
      <c r="A943" t="n">
        <v>942</v>
      </c>
      <c r="B943" t="inlineStr">
        <is>
          <t>A-5053__365</t>
        </is>
      </c>
      <c r="C943" s="1" t="n">
        <v>37.285624334</v>
      </c>
      <c r="D943" s="1" t="n">
        <v>-7.14220243435</v>
      </c>
      <c r="E943" s="3" t="n">
        <v>1</v>
      </c>
      <c r="F943" s="2" t="n">
        <v>2</v>
      </c>
      <c r="G943" s="4" t="n">
        <v>2</v>
      </c>
      <c r="H943" s="13" t="n"/>
      <c r="I943" s="15" t="n"/>
      <c r="J943" s="19" t="n">
        <v>2</v>
      </c>
      <c r="K943" s="2" t="inlineStr">
        <is>
          <t>marker_938_964008.png</t>
        </is>
      </c>
      <c r="L943" s="11">
        <f>HYPERLINK("2\1\" &amp; K943, "Ver Imagen")</f>
        <v/>
      </c>
      <c r="M943" t="inlineStr">
        <is>
          <t>Moda</t>
        </is>
      </c>
    </row>
    <row r="944">
      <c r="A944" t="n">
        <v>943</v>
      </c>
      <c r="B944" t="inlineStr">
        <is>
          <t>A-5053__358</t>
        </is>
      </c>
      <c r="C944" s="1" t="n">
        <v>37.2845727449</v>
      </c>
      <c r="D944" s="1" t="n">
        <v>-7.14310064653</v>
      </c>
      <c r="E944" s="3" t="n">
        <v>1</v>
      </c>
      <c r="F944" s="2" t="n">
        <v>2</v>
      </c>
      <c r="G944" s="4" t="n">
        <v>2</v>
      </c>
      <c r="H944" s="13" t="n"/>
      <c r="I944" s="15" t="n"/>
      <c r="J944" s="19" t="n">
        <v>2</v>
      </c>
      <c r="K944" s="2" t="inlineStr">
        <is>
          <t>marker_704_964093.png</t>
        </is>
      </c>
      <c r="L944" s="11">
        <f>HYPERLINK("2\1\" &amp; K944, "Ver Imagen")</f>
        <v/>
      </c>
      <c r="M944" t="inlineStr">
        <is>
          <t>Moda</t>
        </is>
      </c>
    </row>
    <row r="945">
      <c r="A945" t="n">
        <v>944</v>
      </c>
      <c r="B945" t="inlineStr">
        <is>
          <t>A-5053__354</t>
        </is>
      </c>
      <c r="C945" s="1" t="n">
        <v>37.2838332791</v>
      </c>
      <c r="D945" s="1" t="n">
        <v>-7.14353473493</v>
      </c>
      <c r="E945" s="3" t="n">
        <v>1</v>
      </c>
      <c r="F945" s="2" t="n">
        <v>2</v>
      </c>
      <c r="G945" s="4" t="n">
        <v>2</v>
      </c>
      <c r="H945" s="13" t="n"/>
      <c r="I945" s="15" t="n"/>
      <c r="J945" s="19" t="n">
        <v>2</v>
      </c>
      <c r="K945" s="2" t="inlineStr">
        <is>
          <t>marker_585_964134.png</t>
        </is>
      </c>
      <c r="L945" s="11">
        <f>HYPERLINK("2\1\" &amp; K945, "Ver Imagen")</f>
        <v/>
      </c>
      <c r="M945" t="inlineStr">
        <is>
          <t>Moda</t>
        </is>
      </c>
    </row>
    <row r="946">
      <c r="A946" t="n">
        <v>945</v>
      </c>
      <c r="B946" t="inlineStr">
        <is>
          <t>A-5053__351</t>
        </is>
      </c>
      <c r="C946" s="1" t="n">
        <v>37.2832640137</v>
      </c>
      <c r="D946" s="1" t="n">
        <v>-7.14381948821</v>
      </c>
      <c r="E946" s="3" t="n">
        <v>1</v>
      </c>
      <c r="F946" s="2" t="n">
        <v>2</v>
      </c>
      <c r="G946" s="4" t="n">
        <v>2</v>
      </c>
      <c r="H946" s="13" t="n"/>
      <c r="I946" s="15" t="n"/>
      <c r="J946" s="19" t="n">
        <v>2</v>
      </c>
      <c r="K946" s="2" t="inlineStr">
        <is>
          <t>marker_132_964165.png</t>
        </is>
      </c>
      <c r="L946" s="11">
        <f>HYPERLINK("2\1\" &amp; K946, "Ver Imagen")</f>
        <v/>
      </c>
      <c r="M946" t="inlineStr">
        <is>
          <t>Moda</t>
        </is>
      </c>
    </row>
    <row r="947">
      <c r="A947" t="n">
        <v>946</v>
      </c>
      <c r="B947" t="inlineStr">
        <is>
          <t>A-5053__348</t>
        </is>
      </c>
      <c r="C947" s="1" t="n">
        <v>37.2826857519</v>
      </c>
      <c r="D947" s="1" t="n">
        <v>-7.14405912802</v>
      </c>
      <c r="E947" s="3" t="n">
        <v>1</v>
      </c>
      <c r="F947" s="2" t="n">
        <v>2</v>
      </c>
      <c r="G947" s="4" t="n">
        <v>2</v>
      </c>
      <c r="H947" s="13" t="n"/>
      <c r="I947" s="15" t="n"/>
      <c r="J947" s="19" t="n">
        <v>2</v>
      </c>
      <c r="K947" s="2" t="inlineStr">
        <is>
          <t>marker_161_964194.png</t>
        </is>
      </c>
      <c r="L947" s="11">
        <f>HYPERLINK("2\1\" &amp; K947, "Ver Imagen")</f>
        <v/>
      </c>
      <c r="M947" t="inlineStr">
        <is>
          <t>Moda</t>
        </is>
      </c>
    </row>
    <row r="948">
      <c r="A948" t="n">
        <v>947</v>
      </c>
      <c r="B948" t="inlineStr">
        <is>
          <t>A-5053__344</t>
        </is>
      </c>
      <c r="C948" s="1" t="n">
        <v>37.2819123882</v>
      </c>
      <c r="D948" s="1" t="n">
        <v>-7.14437770012</v>
      </c>
      <c r="E948" s="3" t="n">
        <v>1</v>
      </c>
      <c r="F948" s="2" t="n">
        <v>2</v>
      </c>
      <c r="G948" s="4" t="n">
        <v>2</v>
      </c>
      <c r="H948" s="13" t="n"/>
      <c r="I948" s="15" t="n"/>
      <c r="J948" s="19" t="n">
        <v>2</v>
      </c>
      <c r="K948" s="2" t="inlineStr">
        <is>
          <t>marker_607_964234.png</t>
        </is>
      </c>
      <c r="L948" s="11">
        <f>HYPERLINK("2\1\" &amp; K948, "Ver Imagen")</f>
        <v/>
      </c>
      <c r="M948" t="inlineStr">
        <is>
          <t>Moda</t>
        </is>
      </c>
    </row>
    <row r="949">
      <c r="A949" t="n">
        <v>948</v>
      </c>
      <c r="B949" t="inlineStr">
        <is>
          <t>A-5053__341</t>
        </is>
      </c>
      <c r="C949" s="1" t="n">
        <v>37.2813523651</v>
      </c>
      <c r="D949" s="1" t="n">
        <v>-7.14466307733</v>
      </c>
      <c r="E949" s="3" t="n">
        <v>1</v>
      </c>
      <c r="F949" s="2" t="n">
        <v>2</v>
      </c>
      <c r="G949" s="4" t="n">
        <v>2</v>
      </c>
      <c r="H949" s="13" t="n"/>
      <c r="I949" s="15" t="n"/>
      <c r="J949" s="19" t="n">
        <v>2</v>
      </c>
      <c r="K949" s="2" t="inlineStr">
        <is>
          <t>marker_491_964261.png</t>
        </is>
      </c>
      <c r="L949" s="11">
        <f>HYPERLINK("2\1\" &amp; K949, "Ver Imagen")</f>
        <v/>
      </c>
      <c r="M949" t="inlineStr">
        <is>
          <t>Moda</t>
        </is>
      </c>
    </row>
    <row r="950">
      <c r="A950" t="n">
        <v>949</v>
      </c>
      <c r="B950" t="inlineStr">
        <is>
          <t>A-5053__313</t>
        </is>
      </c>
      <c r="C950" s="1" t="n">
        <v>37.2767971802</v>
      </c>
      <c r="D950" s="1" t="n">
        <v>-7.14315612399</v>
      </c>
      <c r="E950" s="3" t="n">
        <v>1</v>
      </c>
      <c r="F950" s="2" t="n">
        <v>2</v>
      </c>
      <c r="G950" s="4" t="n">
        <v>2</v>
      </c>
      <c r="H950" s="13" t="n"/>
      <c r="I950" s="15" t="n"/>
      <c r="J950" s="19" t="n">
        <v>2</v>
      </c>
      <c r="K950" s="2" t="inlineStr">
        <is>
          <t>marker_623_964644.png</t>
        </is>
      </c>
      <c r="L950" s="11">
        <f>HYPERLINK("2\1\" &amp; K950, "Ver Imagen")</f>
        <v/>
      </c>
      <c r="M950" t="inlineStr">
        <is>
          <t>Moda</t>
        </is>
      </c>
    </row>
    <row r="951">
      <c r="A951" t="n">
        <v>950</v>
      </c>
      <c r="B951" t="inlineStr">
        <is>
          <t>A-5053__157</t>
        </is>
      </c>
      <c r="C951" s="1" t="n">
        <v>37.2501027104</v>
      </c>
      <c r="D951" s="1" t="n">
        <v>-7.12726310804</v>
      </c>
      <c r="E951" s="3" t="n">
        <v>1</v>
      </c>
      <c r="F951" s="2" t="n">
        <v>2</v>
      </c>
      <c r="G951" s="4" t="n">
        <v>2</v>
      </c>
      <c r="H951" s="13" t="n"/>
      <c r="I951" s="15" t="n"/>
      <c r="J951" s="19" t="n">
        <v>2</v>
      </c>
      <c r="K951" s="2" t="inlineStr">
        <is>
          <t>marker_568_966314.png</t>
        </is>
      </c>
      <c r="L951" s="11">
        <f>HYPERLINK("2\1\" &amp; K951, "Ver Imagen")</f>
        <v/>
      </c>
      <c r="M951" t="inlineStr">
        <is>
          <t>Moda</t>
        </is>
      </c>
    </row>
    <row r="952">
      <c r="A952" t="n">
        <v>951</v>
      </c>
      <c r="B952" t="inlineStr">
        <is>
          <t>A-5053__156</t>
        </is>
      </c>
      <c r="C952" s="1" t="n">
        <v>37.2499441587</v>
      </c>
      <c r="D952" s="1" t="n">
        <v>-7.12728788379</v>
      </c>
      <c r="E952" s="3" t="n">
        <v>1</v>
      </c>
      <c r="F952" s="2" t="n">
        <v>2</v>
      </c>
      <c r="G952" s="4" t="n">
        <v>2</v>
      </c>
      <c r="H952" s="13" t="n"/>
      <c r="I952" s="15" t="n"/>
      <c r="J952" s="19" t="n">
        <v>2</v>
      </c>
      <c r="K952" s="2" t="inlineStr">
        <is>
          <t>marker_391_966323.png</t>
        </is>
      </c>
      <c r="L952" s="11">
        <f>HYPERLINK("2\1\" &amp; K952, "Ver Imagen")</f>
        <v/>
      </c>
      <c r="M952" t="inlineStr">
        <is>
          <t>Moda</t>
        </is>
      </c>
    </row>
    <row r="953">
      <c r="A953" t="n">
        <v>952</v>
      </c>
      <c r="B953" t="inlineStr">
        <is>
          <t>A-5053__129</t>
        </is>
      </c>
      <c r="C953" s="1" t="n">
        <v>37.2444577442</v>
      </c>
      <c r="D953" s="1" t="n">
        <v>-7.12809980952</v>
      </c>
      <c r="E953" s="3" t="n">
        <v>1</v>
      </c>
      <c r="F953" s="2" t="n">
        <v>2</v>
      </c>
      <c r="G953" s="4" t="n">
        <v>2</v>
      </c>
      <c r="H953" s="13" t="n"/>
      <c r="I953" s="15" t="n"/>
      <c r="J953" s="19" t="n">
        <v>2</v>
      </c>
      <c r="K953" s="2" t="inlineStr">
        <is>
          <t>marker_449_019474.png</t>
        </is>
      </c>
      <c r="L953" s="11">
        <f>HYPERLINK("2\1\" &amp; K953, "Ver Imagen")</f>
        <v/>
      </c>
      <c r="M953" t="inlineStr">
        <is>
          <t>Moda</t>
        </is>
      </c>
    </row>
    <row r="954">
      <c r="A954" t="n">
        <v>953</v>
      </c>
      <c r="B954" t="inlineStr">
        <is>
          <t>A-5053__120</t>
        </is>
      </c>
      <c r="C954" s="1" t="n">
        <v>37.2426738321</v>
      </c>
      <c r="D954" s="1" t="n">
        <v>-7.12836437108</v>
      </c>
      <c r="E954" s="3" t="n">
        <v>1</v>
      </c>
      <c r="F954" s="2" t="n">
        <v>2</v>
      </c>
      <c r="G954" s="4" t="n">
        <v>2</v>
      </c>
      <c r="H954" s="13" t="n"/>
      <c r="I954" s="15" t="n"/>
      <c r="J954" s="19" t="n">
        <v>2</v>
      </c>
      <c r="K954" s="2" t="inlineStr">
        <is>
          <t>marker_850_019601.png</t>
        </is>
      </c>
      <c r="L954" s="11">
        <f>HYPERLINK("2\1\" &amp; K954, "Ver Imagen")</f>
        <v/>
      </c>
      <c r="M954" t="inlineStr">
        <is>
          <t>Moda</t>
        </is>
      </c>
    </row>
    <row r="955">
      <c r="A955" t="n">
        <v>954</v>
      </c>
      <c r="B955" t="inlineStr">
        <is>
          <t>A-5053__118</t>
        </is>
      </c>
      <c r="C955" s="1" t="n">
        <v>37.2422495126</v>
      </c>
      <c r="D955" s="1" t="n">
        <v>-7.12843032639</v>
      </c>
      <c r="E955" s="3" t="n">
        <v>1</v>
      </c>
      <c r="F955" s="2" t="n">
        <v>2</v>
      </c>
      <c r="G955" s="4" t="n">
        <v>2</v>
      </c>
      <c r="H955" s="13" t="n"/>
      <c r="I955" s="15" t="n"/>
      <c r="J955" s="19" t="n">
        <v>2</v>
      </c>
      <c r="K955" s="2" t="inlineStr">
        <is>
          <t>marker_514_019621.png</t>
        </is>
      </c>
      <c r="L955" s="11">
        <f>HYPERLINK("2\1\" &amp; K955, "Ver Imagen")</f>
        <v/>
      </c>
      <c r="M955" t="inlineStr">
        <is>
          <t>Moda</t>
        </is>
      </c>
    </row>
    <row r="956">
      <c r="A956" t="n">
        <v>955</v>
      </c>
      <c r="B956" t="inlineStr">
        <is>
          <t>A-5053__117</t>
        </is>
      </c>
      <c r="C956" s="1" t="n">
        <v>37.2420948387</v>
      </c>
      <c r="D956" s="1" t="n">
        <v>-7.1284543327</v>
      </c>
      <c r="E956" s="3" t="n">
        <v>1</v>
      </c>
      <c r="F956" s="2" t="n">
        <v>2</v>
      </c>
      <c r="G956" s="4" t="n">
        <v>2</v>
      </c>
      <c r="H956" s="13" t="n"/>
      <c r="I956" s="15" t="n"/>
      <c r="J956" s="19" t="n">
        <v>2</v>
      </c>
      <c r="K956" s="2" t="inlineStr">
        <is>
          <t>marker_128_019629.png</t>
        </is>
      </c>
      <c r="L956" s="11">
        <f>HYPERLINK("2\1\" &amp; K956, "Ver Imagen")</f>
        <v/>
      </c>
      <c r="M956" t="inlineStr">
        <is>
          <t>Moda</t>
        </is>
      </c>
    </row>
    <row r="957">
      <c r="A957" t="n">
        <v>956</v>
      </c>
      <c r="B957" t="inlineStr">
        <is>
          <t>A-5053__62</t>
        </is>
      </c>
      <c r="C957" s="1" t="n">
        <v>37.2310713441</v>
      </c>
      <c r="D957" s="1" t="n">
        <v>-7.12706339107</v>
      </c>
      <c r="E957" s="3" t="n">
        <v>1</v>
      </c>
      <c r="F957" s="2" t="n">
        <v>2</v>
      </c>
      <c r="G957" s="4" t="n">
        <v>2</v>
      </c>
      <c r="H957" s="13" t="n"/>
      <c r="I957" s="15" t="n"/>
      <c r="J957" s="19" t="n">
        <v>2</v>
      </c>
      <c r="K957" s="2" t="inlineStr">
        <is>
          <t>marker_700_020781.png</t>
        </is>
      </c>
      <c r="L957" s="11">
        <f>HYPERLINK("2\1\" &amp; K957, "Ver Imagen")</f>
        <v/>
      </c>
      <c r="M957" t="inlineStr">
        <is>
          <t>Moda</t>
        </is>
      </c>
    </row>
    <row r="958">
      <c r="A958" t="n">
        <v>957</v>
      </c>
      <c r="B958" t="inlineStr">
        <is>
          <t>A-495__13</t>
        </is>
      </c>
      <c r="C958" s="1" t="n">
        <v>37.443913627</v>
      </c>
      <c r="D958" s="1" t="n">
        <v>-7.09716810706</v>
      </c>
      <c r="E958" s="3" t="n">
        <v>2</v>
      </c>
      <c r="F958" s="2" t="n">
        <v>2</v>
      </c>
      <c r="G958" s="4" t="n">
        <v>1</v>
      </c>
      <c r="H958" s="13" t="n"/>
      <c r="I958" s="15" t="n"/>
      <c r="J958" s="19" t="n">
        <v>2</v>
      </c>
      <c r="K958" s="2" t="inlineStr">
        <is>
          <t>marker_318_381188.png</t>
        </is>
      </c>
      <c r="L958" s="11">
        <f>HYPERLINK("2\1\" &amp; K958, "Ver Imagen")</f>
        <v/>
      </c>
      <c r="M958" t="inlineStr">
        <is>
          <t>Moda</t>
        </is>
      </c>
    </row>
    <row r="959">
      <c r="A959" t="n">
        <v>958</v>
      </c>
      <c r="B959" t="inlineStr">
        <is>
          <t>A-495__98</t>
        </is>
      </c>
      <c r="C959" s="1" t="n">
        <v>37.4363635001</v>
      </c>
      <c r="D959" s="1" t="n">
        <v>-7.0780328831</v>
      </c>
      <c r="E959" s="3" t="n">
        <v>2</v>
      </c>
      <c r="F959" s="2" t="n">
        <v>2</v>
      </c>
      <c r="G959" s="4" t="n">
        <v>1</v>
      </c>
      <c r="H959" s="13" t="n"/>
      <c r="I959" s="15" t="n"/>
      <c r="J959" s="19" t="n">
        <v>2</v>
      </c>
      <c r="K959" s="2" t="inlineStr">
        <is>
          <t>marker_695_382135.png</t>
        </is>
      </c>
      <c r="L959" s="11">
        <f>HYPERLINK("2\1\" &amp; K959, "Ver Imagen")</f>
        <v/>
      </c>
      <c r="M959" t="inlineStr">
        <is>
          <t>Moda</t>
        </is>
      </c>
    </row>
    <row r="960">
      <c r="A960" t="n">
        <v>959</v>
      </c>
      <c r="B960" t="inlineStr">
        <is>
          <t>A-495__104</t>
        </is>
      </c>
      <c r="C960" s="1" t="n">
        <v>37.4356961968</v>
      </c>
      <c r="D960" s="1" t="n">
        <v>-7.07684775615</v>
      </c>
      <c r="E960" s="3" t="n">
        <v>2</v>
      </c>
      <c r="F960" s="2" t="n">
        <v>2</v>
      </c>
      <c r="G960" s="4" t="n">
        <v>1</v>
      </c>
      <c r="H960" s="13" t="n"/>
      <c r="I960" s="15" t="n"/>
      <c r="J960" s="19" t="n">
        <v>2</v>
      </c>
      <c r="K960" s="2" t="inlineStr">
        <is>
          <t>marker_397_382197.png</t>
        </is>
      </c>
      <c r="L960" s="11">
        <f>HYPERLINK("2\1\" &amp; K960, "Ver Imagen")</f>
        <v/>
      </c>
      <c r="M960" t="inlineStr">
        <is>
          <t>Moda</t>
        </is>
      </c>
    </row>
    <row r="961">
      <c r="A961" t="n">
        <v>960</v>
      </c>
      <c r="B961" t="inlineStr">
        <is>
          <t>A-495__109</t>
        </is>
      </c>
      <c r="C961" s="1" t="n">
        <v>37.4354956056</v>
      </c>
      <c r="D961" s="1" t="n">
        <v>-7.07581733861</v>
      </c>
      <c r="E961" s="3" t="n">
        <v>2</v>
      </c>
      <c r="F961" s="2" t="n">
        <v>2</v>
      </c>
      <c r="G961" s="4" t="n">
        <v>1</v>
      </c>
      <c r="H961" s="13" t="n"/>
      <c r="I961" s="15" t="n"/>
      <c r="J961" s="19" t="n">
        <v>2</v>
      </c>
      <c r="K961" s="2" t="inlineStr">
        <is>
          <t>marker_952_382264.png</t>
        </is>
      </c>
      <c r="L961" s="11">
        <f>HYPERLINK("2\1\" &amp; K961, "Ver Imagen")</f>
        <v/>
      </c>
      <c r="M961" t="inlineStr">
        <is>
          <t>Moda</t>
        </is>
      </c>
    </row>
    <row r="962">
      <c r="A962" t="n">
        <v>961</v>
      </c>
      <c r="B962" t="inlineStr">
        <is>
          <t>A-495__133</t>
        </is>
      </c>
      <c r="C962" s="1" t="n">
        <v>37.4349747285</v>
      </c>
      <c r="D962" s="1" t="n">
        <v>-7.06979634149</v>
      </c>
      <c r="E962" s="3" t="n">
        <v>2</v>
      </c>
      <c r="F962" s="2" t="n">
        <v>2</v>
      </c>
      <c r="G962" s="4" t="n">
        <v>1</v>
      </c>
      <c r="H962" s="13" t="n"/>
      <c r="I962" s="15" t="n"/>
      <c r="J962" s="19" t="n">
        <v>2</v>
      </c>
      <c r="K962" s="2" t="inlineStr">
        <is>
          <t>marker_217_382507.png</t>
        </is>
      </c>
      <c r="L962" s="11">
        <f>HYPERLINK("2\1\" &amp; K962, "Ver Imagen")</f>
        <v/>
      </c>
      <c r="M962" t="inlineStr">
        <is>
          <t>Moda</t>
        </is>
      </c>
    </row>
    <row r="963">
      <c r="A963" t="n">
        <v>962</v>
      </c>
      <c r="B963" t="inlineStr">
        <is>
          <t>A-495__152</t>
        </is>
      </c>
      <c r="C963" s="1" t="n">
        <v>37.4332284854</v>
      </c>
      <c r="D963" s="1" t="n">
        <v>-7.06551638589</v>
      </c>
      <c r="E963" s="3" t="n">
        <v>2</v>
      </c>
      <c r="F963" s="2" t="n">
        <v>2</v>
      </c>
      <c r="G963" s="4" t="n">
        <v>1</v>
      </c>
      <c r="H963" s="13" t="n"/>
      <c r="I963" s="15" t="n"/>
      <c r="J963" s="19" t="n">
        <v>2</v>
      </c>
      <c r="K963" s="2" t="inlineStr">
        <is>
          <t>marker_842_382706.png</t>
        </is>
      </c>
      <c r="L963" s="11">
        <f>HYPERLINK("2\1\" &amp; K963, "Ver Imagen")</f>
        <v/>
      </c>
      <c r="M963" t="inlineStr">
        <is>
          <t>Moda</t>
        </is>
      </c>
    </row>
    <row r="964">
      <c r="A964" t="n">
        <v>963</v>
      </c>
      <c r="B964" t="inlineStr">
        <is>
          <t>A-495__169</t>
        </is>
      </c>
      <c r="C964" s="1" t="n">
        <v>37.4315070151</v>
      </c>
      <c r="D964" s="1" t="n">
        <v>-7.06178652759</v>
      </c>
      <c r="E964" s="3" t="n">
        <v>2</v>
      </c>
      <c r="F964" s="2" t="n">
        <v>2</v>
      </c>
      <c r="G964" s="4" t="n">
        <v>1</v>
      </c>
      <c r="H964" s="13" t="n"/>
      <c r="I964" s="15" t="n"/>
      <c r="J964" s="19" t="n">
        <v>2</v>
      </c>
      <c r="K964" s="2" t="inlineStr">
        <is>
          <t>marker_314_382901.png</t>
        </is>
      </c>
      <c r="L964" s="11">
        <f>HYPERLINK("2\1\" &amp; K964, "Ver Imagen")</f>
        <v/>
      </c>
      <c r="M964" t="inlineStr">
        <is>
          <t>Moda</t>
        </is>
      </c>
    </row>
    <row r="965">
      <c r="A965" t="n">
        <v>964</v>
      </c>
      <c r="B965" t="inlineStr">
        <is>
          <t>A-495_1__119</t>
        </is>
      </c>
      <c r="C965" s="1" t="n">
        <v>37.4709535221</v>
      </c>
      <c r="D965" s="1" t="n">
        <v>-7.12536677727</v>
      </c>
      <c r="E965" s="3" t="n">
        <v>2</v>
      </c>
      <c r="F965" s="2" t="n">
        <v>2</v>
      </c>
      <c r="G965" s="4" t="n">
        <v>1</v>
      </c>
      <c r="H965" s="13" t="n"/>
      <c r="I965" s="15" t="n"/>
      <c r="J965" s="19" t="n">
        <v>2</v>
      </c>
      <c r="K965" s="2" t="inlineStr">
        <is>
          <t>marker_601_384579.png</t>
        </is>
      </c>
      <c r="L965" s="11">
        <f>HYPERLINK("2\1\" &amp; K965, "Ver Imagen")</f>
        <v/>
      </c>
      <c r="M965" t="inlineStr">
        <is>
          <t>Moda</t>
        </is>
      </c>
    </row>
    <row r="966">
      <c r="A966" t="n">
        <v>965</v>
      </c>
      <c r="B966" t="inlineStr">
        <is>
          <t>A-495_1__95</t>
        </is>
      </c>
      <c r="C966" s="1" t="n">
        <v>37.4665909292</v>
      </c>
      <c r="D966" s="1" t="n">
        <v>-7.12272778829</v>
      </c>
      <c r="E966" s="3" t="n">
        <v>2</v>
      </c>
      <c r="F966" s="2" t="n">
        <v>2</v>
      </c>
      <c r="G966" s="4" t="n">
        <v>1</v>
      </c>
      <c r="H966" s="13" t="n"/>
      <c r="I966" s="15" t="n"/>
      <c r="J966" s="19" t="n">
        <v>2</v>
      </c>
      <c r="K966" s="2" t="inlineStr">
        <is>
          <t>marker_145_385087.png</t>
        </is>
      </c>
      <c r="L966" s="11">
        <f>HYPERLINK("2\1\" &amp; K966, "Ver Imagen")</f>
        <v/>
      </c>
      <c r="M966" t="inlineStr">
        <is>
          <t>Moda</t>
        </is>
      </c>
    </row>
    <row r="967">
      <c r="A967" t="n">
        <v>966</v>
      </c>
      <c r="B967" t="inlineStr">
        <is>
          <t>A-495_1__94</t>
        </is>
      </c>
      <c r="C967" s="1" t="n">
        <v>37.4663927449</v>
      </c>
      <c r="D967" s="1" t="n">
        <v>-7.12271990425</v>
      </c>
      <c r="E967" s="3" t="n">
        <v>2</v>
      </c>
      <c r="F967" s="2" t="n">
        <v>2</v>
      </c>
      <c r="G967" s="4" t="n">
        <v>1</v>
      </c>
      <c r="H967" s="13" t="n"/>
      <c r="I967" s="15" t="n"/>
      <c r="J967" s="19" t="n">
        <v>2</v>
      </c>
      <c r="K967" s="2" t="inlineStr">
        <is>
          <t>marker_848_385097.png</t>
        </is>
      </c>
      <c r="L967" s="11">
        <f>HYPERLINK("2\1\" &amp; K967, "Ver Imagen")</f>
        <v/>
      </c>
      <c r="M967" t="inlineStr">
        <is>
          <t>Moda</t>
        </is>
      </c>
    </row>
    <row r="968">
      <c r="A968" t="n">
        <v>967</v>
      </c>
      <c r="B968" t="inlineStr">
        <is>
          <t>A-495_1__93</t>
        </is>
      </c>
      <c r="C968" s="1" t="n">
        <v>37.4661549983</v>
      </c>
      <c r="D968" s="1" t="n">
        <v>-7.12273431717</v>
      </c>
      <c r="E968" s="3" t="n">
        <v>2</v>
      </c>
      <c r="F968" s="2" t="n">
        <v>2</v>
      </c>
      <c r="G968" s="4" t="n">
        <v>1</v>
      </c>
      <c r="H968" s="13" t="n"/>
      <c r="I968" s="15" t="n"/>
      <c r="J968" s="19" t="n">
        <v>2</v>
      </c>
      <c r="K968" s="2" t="inlineStr">
        <is>
          <t>marker_668_385107.png</t>
        </is>
      </c>
      <c r="L968" s="11">
        <f>HYPERLINK("2\1\" &amp; K968, "Ver Imagen")</f>
        <v/>
      </c>
      <c r="M968" t="inlineStr">
        <is>
          <t>Moda</t>
        </is>
      </c>
    </row>
    <row r="969">
      <c r="A969" t="n">
        <v>968</v>
      </c>
      <c r="B969" t="inlineStr">
        <is>
          <t>A-495_1__87</t>
        </is>
      </c>
      <c r="C969" s="1" t="n">
        <v>37.4650256727</v>
      </c>
      <c r="D969" s="1" t="n">
        <v>-7.12319705849</v>
      </c>
      <c r="E969" s="3" t="n">
        <v>1</v>
      </c>
      <c r="F969" s="2" t="n">
        <v>2</v>
      </c>
      <c r="G969" s="4" t="n">
        <v>2</v>
      </c>
      <c r="H969" s="13" t="n"/>
      <c r="I969" s="15" t="n"/>
      <c r="J969" s="19" t="n">
        <v>2</v>
      </c>
      <c r="K969" s="2" t="inlineStr">
        <is>
          <t>marker_287_385173.png</t>
        </is>
      </c>
      <c r="L969" s="11">
        <f>HYPERLINK("2\1\" &amp; K969, "Ver Imagen")</f>
        <v/>
      </c>
      <c r="M969" t="inlineStr">
        <is>
          <t>Moda</t>
        </is>
      </c>
    </row>
    <row r="970">
      <c r="A970" t="n">
        <v>969</v>
      </c>
      <c r="B970" t="inlineStr">
        <is>
          <t>A-495_1__86</t>
        </is>
      </c>
      <c r="C970" s="1" t="n">
        <v>37.4648645355</v>
      </c>
      <c r="D970" s="1" t="n">
        <v>-7.12330595907</v>
      </c>
      <c r="E970" s="3" t="n">
        <v>1</v>
      </c>
      <c r="F970" s="2" t="n">
        <v>2</v>
      </c>
      <c r="G970" s="4" t="n">
        <v>2</v>
      </c>
      <c r="H970" s="13" t="n"/>
      <c r="I970" s="15" t="n"/>
      <c r="J970" s="19" t="n">
        <v>2</v>
      </c>
      <c r="K970" s="2" t="inlineStr">
        <is>
          <t>marker_966_385183.png</t>
        </is>
      </c>
      <c r="L970" s="11">
        <f>HYPERLINK("2\1\" &amp; K970, "Ver Imagen")</f>
        <v/>
      </c>
      <c r="M970" t="inlineStr">
        <is>
          <t>Moda</t>
        </is>
      </c>
    </row>
    <row r="971">
      <c r="A971" t="n">
        <v>970</v>
      </c>
      <c r="B971" t="inlineStr">
        <is>
          <t>A-495_1__83</t>
        </is>
      </c>
      <c r="C971" s="1" t="n">
        <v>37.4643453165</v>
      </c>
      <c r="D971" s="1" t="n">
        <v>-7.12365302177</v>
      </c>
      <c r="E971" s="3" t="n">
        <v>1</v>
      </c>
      <c r="F971" s="2" t="n">
        <v>2</v>
      </c>
      <c r="G971" s="4" t="n">
        <v>2</v>
      </c>
      <c r="H971" s="13" t="n"/>
      <c r="I971" s="15" t="n"/>
      <c r="J971" s="19" t="n">
        <v>2</v>
      </c>
      <c r="K971" s="2" t="inlineStr">
        <is>
          <t>marker_324_385208.png</t>
        </is>
      </c>
      <c r="L971" s="11">
        <f>HYPERLINK("2\1\" &amp; K971, "Ver Imagen")</f>
        <v/>
      </c>
      <c r="M971" t="inlineStr">
        <is>
          <t>Moda</t>
        </is>
      </c>
    </row>
    <row r="972">
      <c r="A972" t="n">
        <v>971</v>
      </c>
      <c r="B972" t="inlineStr">
        <is>
          <t>A-495_1__81</t>
        </is>
      </c>
      <c r="C972" s="1" t="n">
        <v>37.4639684769</v>
      </c>
      <c r="D972" s="1" t="n">
        <v>-7.1238579255</v>
      </c>
      <c r="E972" s="3" t="n">
        <v>1</v>
      </c>
      <c r="F972" s="2" t="n">
        <v>2</v>
      </c>
      <c r="G972" s="4" t="n">
        <v>2</v>
      </c>
      <c r="H972" s="13" t="n"/>
      <c r="I972" s="15" t="n"/>
      <c r="J972" s="19" t="n">
        <v>2</v>
      </c>
      <c r="K972" s="2" t="inlineStr">
        <is>
          <t>marker_558_385225.png</t>
        </is>
      </c>
      <c r="L972" s="11">
        <f>HYPERLINK("2\1\" &amp; K972, "Ver Imagen")</f>
        <v/>
      </c>
      <c r="M972" t="inlineStr">
        <is>
          <t>Moda</t>
        </is>
      </c>
    </row>
    <row r="973">
      <c r="A973" t="n">
        <v>972</v>
      </c>
      <c r="B973" t="inlineStr">
        <is>
          <t>A-495_1__80</t>
        </is>
      </c>
      <c r="C973" s="1" t="n">
        <v>37.4637535387</v>
      </c>
      <c r="D973" s="1" t="n">
        <v>-7.12395378514</v>
      </c>
      <c r="E973" s="3" t="n">
        <v>1</v>
      </c>
      <c r="F973" s="2" t="n">
        <v>2</v>
      </c>
      <c r="G973" s="4" t="n">
        <v>2</v>
      </c>
      <c r="H973" s="13" t="n"/>
      <c r="I973" s="15" t="n"/>
      <c r="J973" s="19" t="n">
        <v>2</v>
      </c>
      <c r="K973" s="2" t="inlineStr">
        <is>
          <t>marker_183_385234.png</t>
        </is>
      </c>
      <c r="L973" s="11">
        <f>HYPERLINK("2\1\" &amp; K973, "Ver Imagen")</f>
        <v/>
      </c>
      <c r="M973" t="inlineStr">
        <is>
          <t>Moda</t>
        </is>
      </c>
    </row>
    <row r="974">
      <c r="A974" t="n">
        <v>973</v>
      </c>
      <c r="B974" t="inlineStr">
        <is>
          <t>A-495_1__78</t>
        </is>
      </c>
      <c r="C974" s="1" t="n">
        <v>37.4633873468</v>
      </c>
      <c r="D974" s="1" t="n">
        <v>-7.12408061704</v>
      </c>
      <c r="E974" s="3" t="n">
        <v>1</v>
      </c>
      <c r="F974" s="2" t="n">
        <v>2</v>
      </c>
      <c r="G974" s="4" t="n">
        <v>2</v>
      </c>
      <c r="H974" s="13" t="n"/>
      <c r="I974" s="15" t="n"/>
      <c r="J974" s="19" t="n">
        <v>2</v>
      </c>
      <c r="K974" s="2" t="inlineStr">
        <is>
          <t>marker_477_385251.png</t>
        </is>
      </c>
      <c r="L974" s="11">
        <f>HYPERLINK("2\1\" &amp; K974, "Ver Imagen")</f>
        <v/>
      </c>
      <c r="M974" t="inlineStr">
        <is>
          <t>Moda</t>
        </is>
      </c>
    </row>
    <row r="975">
      <c r="A975" t="n">
        <v>974</v>
      </c>
      <c r="B975" t="inlineStr">
        <is>
          <t>A-495_1__70</t>
        </is>
      </c>
      <c r="C975" s="1" t="n">
        <v>37.4617553575</v>
      </c>
      <c r="D975" s="1" t="n">
        <v>-7.12439755708</v>
      </c>
      <c r="E975" s="3" t="n">
        <v>1</v>
      </c>
      <c r="F975" s="2" t="n">
        <v>2</v>
      </c>
      <c r="G975" s="4" t="n">
        <v>2</v>
      </c>
      <c r="H975" s="13" t="n"/>
      <c r="I975" s="15" t="n"/>
      <c r="J975" s="19" t="n">
        <v>2</v>
      </c>
      <c r="K975" s="2" t="inlineStr">
        <is>
          <t>marker_485_385327.png</t>
        </is>
      </c>
      <c r="L975" s="11">
        <f>HYPERLINK("2\1\" &amp; K975, "Ver Imagen")</f>
        <v/>
      </c>
      <c r="M975" t="inlineStr">
        <is>
          <t>Moda</t>
        </is>
      </c>
    </row>
    <row r="976">
      <c r="A976" t="n">
        <v>975</v>
      </c>
      <c r="B976" t="inlineStr">
        <is>
          <t>A-495_1__69</t>
        </is>
      </c>
      <c r="C976" s="1" t="n">
        <v>37.4615683413</v>
      </c>
      <c r="D976" s="1" t="n">
        <v>-7.12444223351</v>
      </c>
      <c r="E976" s="3" t="n">
        <v>1</v>
      </c>
      <c r="F976" s="2" t="n">
        <v>2</v>
      </c>
      <c r="G976" s="4" t="n">
        <v>2</v>
      </c>
      <c r="H976" s="13" t="n"/>
      <c r="I976" s="15" t="n"/>
      <c r="J976" s="19" t="n">
        <v>2</v>
      </c>
      <c r="K976" s="2" t="inlineStr">
        <is>
          <t>marker_545_385337.png</t>
        </is>
      </c>
      <c r="L976" s="11">
        <f>HYPERLINK("2\1\" &amp; K976, "Ver Imagen")</f>
        <v/>
      </c>
      <c r="M976" t="inlineStr">
        <is>
          <t>Moda</t>
        </is>
      </c>
    </row>
    <row r="977">
      <c r="A977" t="n">
        <v>976</v>
      </c>
      <c r="B977" t="inlineStr">
        <is>
          <t>A-495_1__68</t>
        </is>
      </c>
      <c r="C977" s="1" t="n">
        <v>37.4613754351</v>
      </c>
      <c r="D977" s="1" t="n">
        <v>-7.12449055484</v>
      </c>
      <c r="E977" s="3" t="n">
        <v>1</v>
      </c>
      <c r="F977" s="2" t="n">
        <v>2</v>
      </c>
      <c r="G977" s="4" t="n">
        <v>2</v>
      </c>
      <c r="H977" s="13" t="n"/>
      <c r="I977" s="15" t="n"/>
      <c r="J977" s="19" t="n">
        <v>2</v>
      </c>
      <c r="K977" s="2" t="inlineStr">
        <is>
          <t>marker_384_385346.png</t>
        </is>
      </c>
      <c r="L977" s="11">
        <f>HYPERLINK("2\1\" &amp; K977, "Ver Imagen")</f>
        <v/>
      </c>
      <c r="M977" t="inlineStr">
        <is>
          <t>Moda</t>
        </is>
      </c>
    </row>
    <row r="978">
      <c r="A978" t="n">
        <v>977</v>
      </c>
      <c r="B978" t="inlineStr">
        <is>
          <t>A-495_1__67</t>
        </is>
      </c>
      <c r="C978" s="1" t="n">
        <v>37.4611813222</v>
      </c>
      <c r="D978" s="1" t="n">
        <v>-7.1245407248</v>
      </c>
      <c r="E978" s="3" t="n">
        <v>1</v>
      </c>
      <c r="F978" s="2" t="n">
        <v>2</v>
      </c>
      <c r="G978" s="4" t="n">
        <v>2</v>
      </c>
      <c r="H978" s="13" t="n"/>
      <c r="I978" s="15" t="n"/>
      <c r="J978" s="19" t="n">
        <v>2</v>
      </c>
      <c r="K978" s="2" t="inlineStr">
        <is>
          <t>marker_691_385354.png</t>
        </is>
      </c>
      <c r="L978" s="11">
        <f>HYPERLINK("2\1\" &amp; K978, "Ver Imagen")</f>
        <v/>
      </c>
      <c r="M978" t="inlineStr">
        <is>
          <t>Moda</t>
        </is>
      </c>
    </row>
    <row r="979">
      <c r="A979" t="n">
        <v>978</v>
      </c>
      <c r="B979" t="inlineStr">
        <is>
          <t>A-495_1__66</t>
        </is>
      </c>
      <c r="C979" s="1" t="n">
        <v>37.460983809</v>
      </c>
      <c r="D979" s="1" t="n">
        <v>-7.12459371705</v>
      </c>
      <c r="E979" s="3" t="n">
        <v>1</v>
      </c>
      <c r="F979" s="2" t="n">
        <v>2</v>
      </c>
      <c r="G979" s="4" t="n">
        <v>2</v>
      </c>
      <c r="H979" s="13" t="n"/>
      <c r="I979" s="15" t="n"/>
      <c r="J979" s="19" t="n">
        <v>2</v>
      </c>
      <c r="K979" s="2" t="inlineStr">
        <is>
          <t>marker_298_385364.png</t>
        </is>
      </c>
      <c r="L979" s="11">
        <f>HYPERLINK("2\1\" &amp; K979, "Ver Imagen")</f>
        <v/>
      </c>
      <c r="M979" t="inlineStr">
        <is>
          <t>Moda</t>
        </is>
      </c>
    </row>
    <row r="980">
      <c r="A980" t="n">
        <v>979</v>
      </c>
      <c r="B980" t="inlineStr">
        <is>
          <t>A-495_1__62</t>
        </is>
      </c>
      <c r="C980" s="1" t="n">
        <v>37.4601869344</v>
      </c>
      <c r="D980" s="1" t="n">
        <v>-7.12483483661</v>
      </c>
      <c r="E980" s="3" t="n">
        <v>2</v>
      </c>
      <c r="F980" s="2" t="n">
        <v>2</v>
      </c>
      <c r="G980" s="4" t="n">
        <v>1</v>
      </c>
      <c r="H980" s="13" t="n"/>
      <c r="I980" s="15" t="n"/>
      <c r="J980" s="19" t="n">
        <v>2</v>
      </c>
      <c r="K980" s="2" t="inlineStr">
        <is>
          <t>marker_497_385401.png</t>
        </is>
      </c>
      <c r="L980" s="11">
        <f>HYPERLINK("2\1\" &amp; K980, "Ver Imagen")</f>
        <v/>
      </c>
      <c r="M980" t="inlineStr">
        <is>
          <t>Moda</t>
        </is>
      </c>
    </row>
    <row r="981">
      <c r="A981" t="n">
        <v>980</v>
      </c>
      <c r="B981" t="inlineStr">
        <is>
          <t>A-495_1__60</t>
        </is>
      </c>
      <c r="C981" s="1" t="n">
        <v>37.4598090365</v>
      </c>
      <c r="D981" s="1" t="n">
        <v>-7.12496331305</v>
      </c>
      <c r="E981" s="3" t="n">
        <v>1</v>
      </c>
      <c r="F981" s="2" t="n">
        <v>2</v>
      </c>
      <c r="G981" s="4" t="n">
        <v>2</v>
      </c>
      <c r="H981" s="13" t="n"/>
      <c r="I981" s="15" t="n"/>
      <c r="J981" s="19" t="n">
        <v>2</v>
      </c>
      <c r="K981" s="2" t="inlineStr">
        <is>
          <t>marker_751_385469.png</t>
        </is>
      </c>
      <c r="L981" s="11">
        <f>HYPERLINK("2\1\" &amp; K981, "Ver Imagen")</f>
        <v/>
      </c>
      <c r="M981" t="inlineStr">
        <is>
          <t>Moda</t>
        </is>
      </c>
    </row>
    <row r="982">
      <c r="A982" t="n">
        <v>981</v>
      </c>
      <c r="B982" t="inlineStr">
        <is>
          <t>A-495_1__34</t>
        </is>
      </c>
      <c r="C982" s="1" t="n">
        <v>37.4547551511</v>
      </c>
      <c r="D982" s="1" t="n">
        <v>-7.12681723888</v>
      </c>
      <c r="E982" s="3" t="n">
        <v>1</v>
      </c>
      <c r="F982" s="2" t="n">
        <v>2</v>
      </c>
      <c r="G982" s="4" t="n">
        <v>2</v>
      </c>
      <c r="H982" s="13" t="n"/>
      <c r="I982" s="15" t="n"/>
      <c r="J982" s="19" t="n">
        <v>2</v>
      </c>
      <c r="K982" s="2" t="inlineStr">
        <is>
          <t>marker_818_385836.png</t>
        </is>
      </c>
      <c r="L982" s="11">
        <f>HYPERLINK("2\1\" &amp; K982, "Ver Imagen")</f>
        <v/>
      </c>
      <c r="M982" t="inlineStr">
        <is>
          <t>Moda</t>
        </is>
      </c>
    </row>
    <row r="983">
      <c r="A983" t="n">
        <v>982</v>
      </c>
      <c r="B983" t="inlineStr">
        <is>
          <t>A-495_1__30</t>
        </is>
      </c>
      <c r="C983" s="1" t="n">
        <v>37.4539750454</v>
      </c>
      <c r="D983" s="1" t="n">
        <v>-7.12709426783</v>
      </c>
      <c r="E983" s="3" t="n">
        <v>2</v>
      </c>
      <c r="F983" s="2" t="n">
        <v>2</v>
      </c>
      <c r="G983" s="4" t="n">
        <v>1</v>
      </c>
      <c r="H983" s="13" t="n"/>
      <c r="I983" s="15" t="n"/>
      <c r="J983" s="19" t="n">
        <v>2</v>
      </c>
      <c r="K983" s="2" t="inlineStr">
        <is>
          <t>marker_516_385871.png</t>
        </is>
      </c>
      <c r="L983" s="11">
        <f>HYPERLINK("2\1\" &amp; K983, "Ver Imagen")</f>
        <v/>
      </c>
      <c r="M983" t="inlineStr">
        <is>
          <t>Moda</t>
        </is>
      </c>
    </row>
    <row r="984">
      <c r="A984" t="n">
        <v>983</v>
      </c>
      <c r="B984" t="inlineStr">
        <is>
          <t>A-495_1__23</t>
        </is>
      </c>
      <c r="C984" s="1" t="n">
        <v>37.4525728028</v>
      </c>
      <c r="D984" s="1" t="n">
        <v>-7.12741987315</v>
      </c>
      <c r="E984" s="3" t="n">
        <v>1</v>
      </c>
      <c r="F984" s="2" t="n">
        <v>2</v>
      </c>
      <c r="G984" s="4" t="n">
        <v>2</v>
      </c>
      <c r="H984" s="13" t="n"/>
      <c r="I984" s="15" t="n"/>
      <c r="J984" s="19" t="n">
        <v>2</v>
      </c>
      <c r="K984" s="2" t="inlineStr">
        <is>
          <t>marker_554_385943.png</t>
        </is>
      </c>
      <c r="L984" s="11">
        <f>HYPERLINK("2\1\" &amp; K984, "Ver Imagen")</f>
        <v/>
      </c>
      <c r="M984" t="inlineStr">
        <is>
          <t>Moda</t>
        </is>
      </c>
    </row>
    <row r="985">
      <c r="A985" t="n">
        <v>984</v>
      </c>
      <c r="B985" t="inlineStr">
        <is>
          <t>A-497__852</t>
        </is>
      </c>
      <c r="C985" s="1" t="n">
        <v>37.2000684496</v>
      </c>
      <c r="D985" s="1" t="n">
        <v>-6.98673130744</v>
      </c>
      <c r="E985" s="3" t="n">
        <v>1</v>
      </c>
      <c r="F985" s="2" t="n">
        <v>2</v>
      </c>
      <c r="G985" s="4" t="n">
        <v>2</v>
      </c>
      <c r="H985" s="13" t="n"/>
      <c r="I985" s="15" t="n"/>
      <c r="J985" s="19" t="n">
        <v>2</v>
      </c>
      <c r="K985" s="2" t="inlineStr">
        <is>
          <t>marker_995_367414.png</t>
        </is>
      </c>
      <c r="L985" s="11">
        <f>HYPERLINK("2\1\" &amp; K985, "Ver Imagen")</f>
        <v/>
      </c>
      <c r="M985" t="inlineStr">
        <is>
          <t>Moda</t>
        </is>
      </c>
    </row>
    <row r="986">
      <c r="A986" t="n">
        <v>985</v>
      </c>
      <c r="B986" t="inlineStr">
        <is>
          <t>A-497__851</t>
        </is>
      </c>
      <c r="C986" s="1" t="n">
        <v>37.1999948089</v>
      </c>
      <c r="D986" s="1" t="n">
        <v>-6.98642509863</v>
      </c>
      <c r="E986" s="3" t="n">
        <v>1</v>
      </c>
      <c r="F986" s="2" t="n">
        <v>2</v>
      </c>
      <c r="G986" s="4" t="n">
        <v>2</v>
      </c>
      <c r="H986" s="13" t="n"/>
      <c r="I986" s="15" t="n"/>
      <c r="J986" s="19" t="n">
        <v>2</v>
      </c>
      <c r="K986" s="2" t="inlineStr">
        <is>
          <t>marker_464_367427.png</t>
        </is>
      </c>
      <c r="L986" s="11">
        <f>HYPERLINK("2\1\" &amp; K986, "Ver Imagen")</f>
        <v/>
      </c>
      <c r="M986" t="inlineStr">
        <is>
          <t>Moda</t>
        </is>
      </c>
    </row>
    <row r="987">
      <c r="A987" t="n">
        <v>986</v>
      </c>
      <c r="B987" t="inlineStr">
        <is>
          <t>A-497__850</t>
        </is>
      </c>
      <c r="C987" s="1" t="n">
        <v>37.1999151764</v>
      </c>
      <c r="D987" s="1" t="n">
        <v>-6.98610076903</v>
      </c>
      <c r="E987" s="3" t="n">
        <v>1</v>
      </c>
      <c r="F987" s="2" t="n">
        <v>2</v>
      </c>
      <c r="G987" s="4" t="n">
        <v>2</v>
      </c>
      <c r="H987" s="13" t="n"/>
      <c r="I987" s="15" t="n"/>
      <c r="J987" s="19" t="n">
        <v>2</v>
      </c>
      <c r="K987" s="2" t="inlineStr">
        <is>
          <t>marker_500_367437.png</t>
        </is>
      </c>
      <c r="L987" s="11">
        <f>HYPERLINK("2\1\" &amp; K987, "Ver Imagen")</f>
        <v/>
      </c>
      <c r="M987" t="inlineStr">
        <is>
          <t>Moda</t>
        </is>
      </c>
    </row>
    <row r="988">
      <c r="A988" t="n">
        <v>987</v>
      </c>
      <c r="B988" t="inlineStr">
        <is>
          <t>A-497__849</t>
        </is>
      </c>
      <c r="C988" s="1" t="n">
        <v>37.1998647497</v>
      </c>
      <c r="D988" s="1" t="n">
        <v>-6.98589731253</v>
      </c>
      <c r="E988" s="3" t="n">
        <v>1</v>
      </c>
      <c r="F988" s="2" t="n">
        <v>2</v>
      </c>
      <c r="G988" s="4" t="n">
        <v>2</v>
      </c>
      <c r="H988" s="13" t="n"/>
      <c r="I988" s="15" t="n"/>
      <c r="J988" s="19" t="n">
        <v>2</v>
      </c>
      <c r="K988" s="2" t="inlineStr">
        <is>
          <t>marker_760_367446.png</t>
        </is>
      </c>
      <c r="L988" s="11">
        <f>HYPERLINK("2\1\" &amp; K988, "Ver Imagen")</f>
        <v/>
      </c>
      <c r="M988" t="inlineStr">
        <is>
          <t>Moda</t>
        </is>
      </c>
    </row>
    <row r="989">
      <c r="A989" t="n">
        <v>988</v>
      </c>
      <c r="B989" t="inlineStr">
        <is>
          <t>A-497__848</t>
        </is>
      </c>
      <c r="C989" s="1" t="n">
        <v>37.1998209082</v>
      </c>
      <c r="D989" s="1" t="n">
        <v>-6.98572139464</v>
      </c>
      <c r="E989" s="3" t="n">
        <v>1</v>
      </c>
      <c r="F989" s="2" t="n">
        <v>2</v>
      </c>
      <c r="G989" s="4" t="n">
        <v>2</v>
      </c>
      <c r="H989" s="13" t="n"/>
      <c r="I989" s="15" t="n"/>
      <c r="J989" s="19" t="n">
        <v>2</v>
      </c>
      <c r="K989" s="2" t="inlineStr">
        <is>
          <t>marker_441_367463.png</t>
        </is>
      </c>
      <c r="L989" s="11">
        <f>HYPERLINK("2\1\" &amp; K989, "Ver Imagen")</f>
        <v/>
      </c>
      <c r="M989" t="inlineStr">
        <is>
          <t>Moda</t>
        </is>
      </c>
    </row>
    <row r="990">
      <c r="A990" t="n">
        <v>989</v>
      </c>
      <c r="B990" t="inlineStr">
        <is>
          <t>A-497__847</t>
        </is>
      </c>
      <c r="C990" s="1" t="n">
        <v>37.1997469413</v>
      </c>
      <c r="D990" s="1" t="n">
        <v>-6.98542975837</v>
      </c>
      <c r="E990" s="3" t="n">
        <v>1</v>
      </c>
      <c r="F990" s="2" t="n">
        <v>2</v>
      </c>
      <c r="G990" s="4" t="n">
        <v>2</v>
      </c>
      <c r="H990" s="13" t="n"/>
      <c r="I990" s="15" t="n"/>
      <c r="J990" s="19" t="n">
        <v>2</v>
      </c>
      <c r="K990" s="2" t="inlineStr">
        <is>
          <t>marker_517_367473.png</t>
        </is>
      </c>
      <c r="L990" s="11">
        <f>HYPERLINK("2\1\" &amp; K990, "Ver Imagen")</f>
        <v/>
      </c>
      <c r="M990" t="inlineStr">
        <is>
          <t>Moda</t>
        </is>
      </c>
    </row>
    <row r="991">
      <c r="A991" t="n">
        <v>990</v>
      </c>
      <c r="B991" t="inlineStr">
        <is>
          <t>A-497__846</t>
        </is>
      </c>
      <c r="C991" s="1" t="n">
        <v>37.1996872949</v>
      </c>
      <c r="D991" s="1" t="n">
        <v>-6.98519962575</v>
      </c>
      <c r="E991" s="3" t="n">
        <v>1</v>
      </c>
      <c r="F991" s="2" t="n">
        <v>2</v>
      </c>
      <c r="G991" s="4" t="n">
        <v>2</v>
      </c>
      <c r="H991" s="13" t="n"/>
      <c r="I991" s="15" t="n"/>
      <c r="J991" s="19" t="n">
        <v>2</v>
      </c>
      <c r="K991" s="2" t="inlineStr">
        <is>
          <t>marker_236_367481.png</t>
        </is>
      </c>
      <c r="L991" s="11">
        <f>HYPERLINK("2\1\" &amp; K991, "Ver Imagen")</f>
        <v/>
      </c>
      <c r="M991" t="inlineStr">
        <is>
          <t>Moda</t>
        </is>
      </c>
    </row>
    <row r="992">
      <c r="A992" t="n">
        <v>991</v>
      </c>
      <c r="B992" t="inlineStr">
        <is>
          <t>A-497__841</t>
        </is>
      </c>
      <c r="C992" s="1" t="n">
        <v>37.1993513908</v>
      </c>
      <c r="D992" s="1" t="n">
        <v>-6.98396188602</v>
      </c>
      <c r="E992" s="3" t="n">
        <v>1</v>
      </c>
      <c r="F992" s="2" t="n">
        <v>2</v>
      </c>
      <c r="G992" s="4" t="n">
        <v>2</v>
      </c>
      <c r="H992" s="13" t="n"/>
      <c r="I992" s="15" t="n"/>
      <c r="J992" s="19" t="n">
        <v>2</v>
      </c>
      <c r="K992" s="2" t="inlineStr">
        <is>
          <t>marker_532_367534.png</t>
        </is>
      </c>
      <c r="L992" s="11">
        <f>HYPERLINK("2\1\" &amp; K992, "Ver Imagen")</f>
        <v/>
      </c>
      <c r="M992" t="inlineStr">
        <is>
          <t>Moda</t>
        </is>
      </c>
    </row>
    <row r="993">
      <c r="A993" t="n">
        <v>992</v>
      </c>
      <c r="B993" t="inlineStr">
        <is>
          <t>A-497__840</t>
        </is>
      </c>
      <c r="C993" s="1" t="n">
        <v>37.1992830837</v>
      </c>
      <c r="D993" s="1" t="n">
        <v>-6.98373011686</v>
      </c>
      <c r="E993" s="3" t="n">
        <v>1</v>
      </c>
      <c r="F993" s="2" t="n">
        <v>2</v>
      </c>
      <c r="G993" s="4" t="n">
        <v>2</v>
      </c>
      <c r="H993" s="13" t="n"/>
      <c r="I993" s="15" t="n"/>
      <c r="J993" s="19" t="n">
        <v>2</v>
      </c>
      <c r="K993" s="2" t="inlineStr">
        <is>
          <t>marker_325_367543.png</t>
        </is>
      </c>
      <c r="L993" s="11">
        <f>HYPERLINK("2\1\" &amp; K993, "Ver Imagen")</f>
        <v/>
      </c>
      <c r="M993" t="inlineStr">
        <is>
          <t>Moda</t>
        </is>
      </c>
    </row>
    <row r="994">
      <c r="A994" t="n">
        <v>993</v>
      </c>
      <c r="B994" t="inlineStr">
        <is>
          <t>A-497__839</t>
        </is>
      </c>
      <c r="C994" s="1" t="n">
        <v>37.1992116346</v>
      </c>
      <c r="D994" s="1" t="n">
        <v>-6.98349697866</v>
      </c>
      <c r="E994" s="3" t="n">
        <v>1</v>
      </c>
      <c r="F994" s="2" t="n">
        <v>2</v>
      </c>
      <c r="G994" s="4" t="n">
        <v>2</v>
      </c>
      <c r="H994" s="13" t="n"/>
      <c r="I994" s="15" t="n"/>
      <c r="J994" s="19" t="n">
        <v>2</v>
      </c>
      <c r="K994" s="2" t="inlineStr">
        <is>
          <t>marker_420_367556.png</t>
        </is>
      </c>
      <c r="L994" s="11">
        <f>HYPERLINK("2\1\" &amp; K994, "Ver Imagen")</f>
        <v/>
      </c>
      <c r="M994" t="inlineStr">
        <is>
          <t>Moda</t>
        </is>
      </c>
    </row>
    <row r="995">
      <c r="A995" t="n">
        <v>994</v>
      </c>
      <c r="B995" t="inlineStr">
        <is>
          <t>A-497__838</t>
        </is>
      </c>
      <c r="C995" s="1" t="n">
        <v>37.1991500977</v>
      </c>
      <c r="D995" s="1" t="n">
        <v>-6.98330240999</v>
      </c>
      <c r="E995" s="3" t="n">
        <v>1</v>
      </c>
      <c r="F995" s="2" t="n">
        <v>2</v>
      </c>
      <c r="G995" s="4" t="n">
        <v>2</v>
      </c>
      <c r="H995" s="13" t="n"/>
      <c r="I995" s="15" t="n"/>
      <c r="J995" s="19" t="n">
        <v>2</v>
      </c>
      <c r="K995" s="2" t="inlineStr">
        <is>
          <t>marker_288_367567.png</t>
        </is>
      </c>
      <c r="L995" s="11">
        <f>HYPERLINK("2\1\" &amp; K995, "Ver Imagen")</f>
        <v/>
      </c>
      <c r="M995" t="inlineStr">
        <is>
          <t>Moda</t>
        </is>
      </c>
    </row>
    <row r="996">
      <c r="A996" t="n">
        <v>995</v>
      </c>
      <c r="B996" t="inlineStr">
        <is>
          <t>A-497_2C__8</t>
        </is>
      </c>
      <c r="C996" s="1" t="n">
        <v>37.2673792243</v>
      </c>
      <c r="D996" s="1" t="n">
        <v>-6.95897718337</v>
      </c>
      <c r="E996" s="3" t="n">
        <v>1</v>
      </c>
      <c r="F996" s="2" t="n">
        <v>2</v>
      </c>
      <c r="G996" s="4" t="n">
        <v>2</v>
      </c>
      <c r="H996" s="13" t="n"/>
      <c r="I996" s="15" t="n"/>
      <c r="J996" s="19" t="n">
        <v>2</v>
      </c>
      <c r="K996" s="2" t="inlineStr">
        <is>
          <t>marker_943_653798.png</t>
        </is>
      </c>
      <c r="L996" s="11">
        <f>HYPERLINK("2\1\" &amp; K996, "Ver Imagen")</f>
        <v/>
      </c>
      <c r="M996" t="inlineStr">
        <is>
          <t>Moda</t>
        </is>
      </c>
    </row>
    <row r="997">
      <c r="A997" t="n">
        <v>996</v>
      </c>
      <c r="B997" t="inlineStr">
        <is>
          <t>A-497_2C__9</t>
        </is>
      </c>
      <c r="C997" s="1" t="n">
        <v>37.2674080449</v>
      </c>
      <c r="D997" s="1" t="n">
        <v>-6.9592451206</v>
      </c>
      <c r="E997" s="3" t="n">
        <v>1</v>
      </c>
      <c r="F997" s="2" t="n">
        <v>2</v>
      </c>
      <c r="G997" s="4" t="n">
        <v>2</v>
      </c>
      <c r="H997" s="13" t="n"/>
      <c r="I997" s="15" t="n"/>
      <c r="J997" s="19" t="n">
        <v>2</v>
      </c>
      <c r="K997" s="2" t="inlineStr">
        <is>
          <t>marker_268_653808.png</t>
        </is>
      </c>
      <c r="L997" s="11">
        <f>HYPERLINK("2\1\" &amp; K997, "Ver Imagen")</f>
        <v/>
      </c>
      <c r="M997" t="inlineStr">
        <is>
          <t>Moda</t>
        </is>
      </c>
    </row>
    <row r="998">
      <c r="A998" t="n">
        <v>997</v>
      </c>
      <c r="B998" t="inlineStr">
        <is>
          <t>A-497_2C__12</t>
        </is>
      </c>
      <c r="C998" s="1" t="n">
        <v>37.2674967928</v>
      </c>
      <c r="D998" s="1" t="n">
        <v>-6.9600120463</v>
      </c>
      <c r="E998" s="3" t="n">
        <v>1</v>
      </c>
      <c r="F998" s="2" t="n">
        <v>2</v>
      </c>
      <c r="G998" s="4" t="n">
        <v>2</v>
      </c>
      <c r="H998" s="13" t="n"/>
      <c r="I998" s="15" t="n"/>
      <c r="J998" s="19" t="n">
        <v>2</v>
      </c>
      <c r="K998" s="2" t="inlineStr">
        <is>
          <t>marker_434_654003.png</t>
        </is>
      </c>
      <c r="L998" s="11">
        <f>HYPERLINK("2\1\" &amp; K998, "Ver Imagen")</f>
        <v/>
      </c>
      <c r="M998" t="inlineStr">
        <is>
          <t>Moda</t>
        </is>
      </c>
    </row>
    <row r="999">
      <c r="A999" t="n">
        <v>998</v>
      </c>
      <c r="B999" t="inlineStr">
        <is>
          <t>A-497_2C__13</t>
        </is>
      </c>
      <c r="C999" s="1" t="n">
        <v>37.2675217022</v>
      </c>
      <c r="D999" s="1" t="n">
        <v>-6.96028341093</v>
      </c>
      <c r="E999" s="3" t="n">
        <v>1</v>
      </c>
      <c r="F999" s="2" t="n">
        <v>2</v>
      </c>
      <c r="G999" s="4" t="n">
        <v>2</v>
      </c>
      <c r="H999" s="13" t="n"/>
      <c r="I999" s="15" t="n"/>
      <c r="J999" s="19" t="n">
        <v>2</v>
      </c>
      <c r="K999" s="2" t="inlineStr">
        <is>
          <t>marker_186_654013.png</t>
        </is>
      </c>
      <c r="L999" s="11">
        <f>HYPERLINK("2\1\" &amp; K999, "Ver Imagen")</f>
        <v/>
      </c>
      <c r="M999" t="inlineStr">
        <is>
          <t>Moda</t>
        </is>
      </c>
    </row>
    <row r="1000">
      <c r="A1000" t="n">
        <v>999</v>
      </c>
      <c r="B1000" t="inlineStr">
        <is>
          <t>A-497_2C__14</t>
        </is>
      </c>
      <c r="C1000" s="1" t="n">
        <v>37.2675379537</v>
      </c>
      <c r="D1000" s="1" t="n">
        <v>-6.96051183135</v>
      </c>
      <c r="E1000" s="3" t="n">
        <v>1</v>
      </c>
      <c r="F1000" s="2" t="n">
        <v>2</v>
      </c>
      <c r="G1000" s="4" t="n">
        <v>2</v>
      </c>
      <c r="H1000" s="13" t="n"/>
      <c r="I1000" s="15" t="n"/>
      <c r="J1000" s="19" t="n">
        <v>2</v>
      </c>
      <c r="K1000" s="2" t="inlineStr">
        <is>
          <t>marker_532_654021.png</t>
        </is>
      </c>
      <c r="L1000" s="11">
        <f>HYPERLINK("2\1\" &amp; K1000, "Ver Imagen")</f>
        <v/>
      </c>
      <c r="M1000" t="inlineStr">
        <is>
          <t>Moda</t>
        </is>
      </c>
    </row>
    <row r="1001">
      <c r="A1001" t="n">
        <v>1000</v>
      </c>
      <c r="B1001" t="inlineStr">
        <is>
          <t>A-497_2C__15</t>
        </is>
      </c>
      <c r="C1001" s="1" t="n">
        <v>37.2675532148</v>
      </c>
      <c r="D1001" s="1" t="n">
        <v>-6.96078848082</v>
      </c>
      <c r="E1001" s="3" t="n">
        <v>1</v>
      </c>
      <c r="F1001" s="2" t="n">
        <v>2</v>
      </c>
      <c r="G1001" s="4" t="n">
        <v>2</v>
      </c>
      <c r="H1001" s="13" t="n"/>
      <c r="I1001" s="15" t="n"/>
      <c r="J1001" s="19" t="n">
        <v>2</v>
      </c>
      <c r="K1001" s="2" t="inlineStr">
        <is>
          <t>marker_554_654031.png</t>
        </is>
      </c>
      <c r="L1001" s="11">
        <f>HYPERLINK("2\1\" &amp; K1001, "Ver Imagen")</f>
        <v/>
      </c>
      <c r="M1001" t="inlineStr">
        <is>
          <t>Moda</t>
        </is>
      </c>
    </row>
    <row r="1002">
      <c r="A1002" t="n">
        <v>1001</v>
      </c>
      <c r="B1002" t="inlineStr">
        <is>
          <t>A-497_2C__16</t>
        </is>
      </c>
      <c r="C1002" s="1" t="n">
        <v>37.2675641184</v>
      </c>
      <c r="D1002" s="1" t="n">
        <v>-6.96103445595</v>
      </c>
      <c r="E1002" s="3" t="n">
        <v>1</v>
      </c>
      <c r="F1002" s="2" t="n">
        <v>2</v>
      </c>
      <c r="G1002" s="4" t="n">
        <v>2</v>
      </c>
      <c r="H1002" s="13" t="n"/>
      <c r="I1002" s="15" t="n"/>
      <c r="J1002" s="19" t="n">
        <v>2</v>
      </c>
      <c r="K1002" s="2" t="inlineStr">
        <is>
          <t>marker_352_654339.png</t>
        </is>
      </c>
      <c r="L1002" s="11">
        <f>HYPERLINK("2\1\" &amp; K1002, "Ver Imagen")</f>
        <v/>
      </c>
      <c r="M1002" t="inlineStr">
        <is>
          <t>Moda</t>
        </is>
      </c>
    </row>
    <row r="1003">
      <c r="A1003" t="n">
        <v>1002</v>
      </c>
      <c r="B1003" t="inlineStr">
        <is>
          <t>A-497_2C__17</t>
        </is>
      </c>
      <c r="C1003" s="1" t="n">
        <v>37.267572813</v>
      </c>
      <c r="D1003" s="1" t="n">
        <v>-6.96125605594</v>
      </c>
      <c r="E1003" s="3" t="n">
        <v>1</v>
      </c>
      <c r="F1003" s="2" t="n">
        <v>2</v>
      </c>
      <c r="G1003" s="4" t="n">
        <v>2</v>
      </c>
      <c r="H1003" s="13" t="n"/>
      <c r="I1003" s="15" t="n"/>
      <c r="J1003" s="19" t="n">
        <v>2</v>
      </c>
      <c r="K1003" s="2" t="inlineStr">
        <is>
          <t>marker_601_654348.png</t>
        </is>
      </c>
      <c r="L1003" s="11">
        <f>HYPERLINK("2\1\" &amp; K1003, "Ver Imagen")</f>
        <v/>
      </c>
      <c r="M1003" t="inlineStr">
        <is>
          <t>Moda</t>
        </is>
      </c>
    </row>
    <row r="1004">
      <c r="A1004" t="n">
        <v>1003</v>
      </c>
      <c r="B1004" t="inlineStr">
        <is>
          <t>A-497_2C__18</t>
        </is>
      </c>
      <c r="C1004" s="1" t="n">
        <v>37.2675805117</v>
      </c>
      <c r="D1004" s="1" t="n">
        <v>-6.9614844844</v>
      </c>
      <c r="E1004" s="3" t="n">
        <v>1</v>
      </c>
      <c r="F1004" s="2" t="n">
        <v>2</v>
      </c>
      <c r="G1004" s="4" t="n">
        <v>2</v>
      </c>
      <c r="H1004" s="13" t="n"/>
      <c r="I1004" s="15" t="n"/>
      <c r="J1004" s="19" t="n">
        <v>2</v>
      </c>
      <c r="K1004" s="2" t="inlineStr">
        <is>
          <t>marker_133_654357.png</t>
        </is>
      </c>
      <c r="L1004" s="11">
        <f>HYPERLINK("2\1\" &amp; K1004, "Ver Imagen")</f>
        <v/>
      </c>
      <c r="M1004" t="inlineStr">
        <is>
          <t>Moda</t>
        </is>
      </c>
    </row>
    <row r="1005">
      <c r="A1005" t="n">
        <v>1004</v>
      </c>
      <c r="B1005" t="inlineStr">
        <is>
          <t>A-497__742</t>
        </is>
      </c>
      <c r="C1005" s="1" t="n">
        <v>37.1885847557</v>
      </c>
      <c r="D1005" s="1" t="n">
        <v>-6.97833361804</v>
      </c>
      <c r="E1005" s="3" t="n">
        <v>1</v>
      </c>
      <c r="F1005" s="2" t="n">
        <v>2</v>
      </c>
      <c r="G1005" s="4" t="n">
        <v>2</v>
      </c>
      <c r="H1005" s="13" t="n"/>
      <c r="I1005" s="15" t="n"/>
      <c r="J1005" s="19" t="n">
        <v>2</v>
      </c>
      <c r="K1005" s="2" t="inlineStr">
        <is>
          <t>marker_695_368818.png</t>
        </is>
      </c>
      <c r="L1005" s="11">
        <f>HYPERLINK("2\1\" &amp; K1005, "Ver Imagen")</f>
        <v/>
      </c>
      <c r="M1005" t="inlineStr">
        <is>
          <t>Moda</t>
        </is>
      </c>
    </row>
    <row r="1006">
      <c r="A1006" t="n">
        <v>1005</v>
      </c>
      <c r="B1006" t="inlineStr">
        <is>
          <t>A-497__741</t>
        </is>
      </c>
      <c r="C1006" s="1" t="n">
        <v>37.1887861185</v>
      </c>
      <c r="D1006" s="1" t="n">
        <v>-6.97829079026</v>
      </c>
      <c r="E1006" s="3" t="n">
        <v>1</v>
      </c>
      <c r="F1006" s="2" t="n">
        <v>2</v>
      </c>
      <c r="G1006" s="4" t="n">
        <v>2</v>
      </c>
      <c r="H1006" s="13" t="n"/>
      <c r="I1006" s="15" t="n"/>
      <c r="J1006" s="19" t="n">
        <v>2</v>
      </c>
      <c r="K1006" s="2" t="inlineStr">
        <is>
          <t>marker_236_368829.png</t>
        </is>
      </c>
      <c r="L1006" s="11">
        <f>HYPERLINK("2\1\" &amp; K1006, "Ver Imagen")</f>
        <v/>
      </c>
      <c r="M1006" t="inlineStr">
        <is>
          <t>Moda</t>
        </is>
      </c>
    </row>
    <row r="1007">
      <c r="A1007" t="n">
        <v>1006</v>
      </c>
      <c r="B1007" t="inlineStr">
        <is>
          <t>A-497__740</t>
        </is>
      </c>
      <c r="C1007" s="1" t="n">
        <v>37.1890123081</v>
      </c>
      <c r="D1007" s="1" t="n">
        <v>-6.97823293002</v>
      </c>
      <c r="E1007" s="3" t="n">
        <v>1</v>
      </c>
      <c r="F1007" s="2" t="n">
        <v>2</v>
      </c>
      <c r="G1007" s="4" t="n">
        <v>2</v>
      </c>
      <c r="H1007" s="13" t="n"/>
      <c r="I1007" s="15" t="n"/>
      <c r="J1007" s="19" t="n">
        <v>2</v>
      </c>
      <c r="K1007" s="2" t="inlineStr">
        <is>
          <t>marker_961_368840.png</t>
        </is>
      </c>
      <c r="L1007" s="11">
        <f>HYPERLINK("2\1\" &amp; K1007, "Ver Imagen")</f>
        <v/>
      </c>
      <c r="M1007" t="inlineStr">
        <is>
          <t>Moda</t>
        </is>
      </c>
    </row>
    <row r="1008">
      <c r="A1008" t="n">
        <v>1007</v>
      </c>
      <c r="B1008" t="inlineStr">
        <is>
          <t>A-497__739</t>
        </is>
      </c>
      <c r="C1008" s="1" t="n">
        <v>37.1891667895</v>
      </c>
      <c r="D1008" s="1" t="n">
        <v>-6.97819068625</v>
      </c>
      <c r="E1008" s="3" t="n">
        <v>1</v>
      </c>
      <c r="F1008" s="2" t="n">
        <v>2</v>
      </c>
      <c r="G1008" s="4" t="n">
        <v>2</v>
      </c>
      <c r="H1008" s="13" t="n"/>
      <c r="I1008" s="15" t="n"/>
      <c r="J1008" s="19" t="n">
        <v>2</v>
      </c>
      <c r="K1008" s="2" t="inlineStr">
        <is>
          <t>marker_192_368851.png</t>
        </is>
      </c>
      <c r="L1008" s="11">
        <f>HYPERLINK("2\1\" &amp; K1008, "Ver Imagen")</f>
        <v/>
      </c>
      <c r="M1008" t="inlineStr">
        <is>
          <t>Moda</t>
        </is>
      </c>
    </row>
    <row r="1009">
      <c r="A1009" t="n">
        <v>1008</v>
      </c>
      <c r="B1009" t="inlineStr">
        <is>
          <t>A-497__738</t>
        </is>
      </c>
      <c r="C1009" s="1" t="n">
        <v>37.1893616012</v>
      </c>
      <c r="D1009" s="1" t="n">
        <v>-6.97813589865</v>
      </c>
      <c r="E1009" s="3" t="n">
        <v>1</v>
      </c>
      <c r="F1009" s="2" t="n">
        <v>2</v>
      </c>
      <c r="G1009" s="4" t="n">
        <v>2</v>
      </c>
      <c r="H1009" s="13" t="n"/>
      <c r="I1009" s="15" t="n"/>
      <c r="J1009" s="19" t="n">
        <v>2</v>
      </c>
      <c r="K1009" s="2" t="inlineStr">
        <is>
          <t>marker_695_368860.png</t>
        </is>
      </c>
      <c r="L1009" s="11">
        <f>HYPERLINK("2\1\" &amp; K1009, "Ver Imagen")</f>
        <v/>
      </c>
      <c r="M1009" t="inlineStr">
        <is>
          <t>Moda</t>
        </is>
      </c>
    </row>
    <row r="1010">
      <c r="A1010" t="n">
        <v>1009</v>
      </c>
      <c r="B1010" t="inlineStr">
        <is>
          <t>A-497__737</t>
        </is>
      </c>
      <c r="C1010" s="1" t="n">
        <v>37.1895907765</v>
      </c>
      <c r="D1010" s="1" t="n">
        <v>-6.97807081542</v>
      </c>
      <c r="E1010" s="3" t="n">
        <v>1</v>
      </c>
      <c r="F1010" s="2" t="n">
        <v>2</v>
      </c>
      <c r="G1010" s="4" t="n">
        <v>2</v>
      </c>
      <c r="H1010" s="13" t="n"/>
      <c r="I1010" s="15" t="n"/>
      <c r="J1010" s="19" t="n">
        <v>2</v>
      </c>
      <c r="K1010" s="2" t="inlineStr">
        <is>
          <t>marker_429_368869.png</t>
        </is>
      </c>
      <c r="L1010" s="11">
        <f>HYPERLINK("2\1\" &amp; K1010, "Ver Imagen")</f>
        <v/>
      </c>
      <c r="M1010" t="inlineStr">
        <is>
          <t>Moda</t>
        </is>
      </c>
    </row>
    <row r="1011">
      <c r="A1011" t="n">
        <v>1010</v>
      </c>
      <c r="B1011" t="inlineStr">
        <is>
          <t>A-497__736</t>
        </is>
      </c>
      <c r="C1011" s="1" t="n">
        <v>37.1897959411</v>
      </c>
      <c r="D1011" s="1" t="n">
        <v>-6.97801397408</v>
      </c>
      <c r="E1011" s="3" t="n">
        <v>1</v>
      </c>
      <c r="F1011" s="2" t="n">
        <v>2</v>
      </c>
      <c r="G1011" s="4" t="n">
        <v>2</v>
      </c>
      <c r="H1011" s="13" t="n"/>
      <c r="I1011" s="15" t="n"/>
      <c r="J1011" s="19" t="n">
        <v>2</v>
      </c>
      <c r="K1011" s="2" t="inlineStr">
        <is>
          <t>marker_610_368886.png</t>
        </is>
      </c>
      <c r="L1011" s="11">
        <f>HYPERLINK("2\1\" &amp; K1011, "Ver Imagen")</f>
        <v/>
      </c>
      <c r="M1011" t="inlineStr">
        <is>
          <t>Moda</t>
        </is>
      </c>
    </row>
    <row r="1012">
      <c r="A1012" t="n">
        <v>1011</v>
      </c>
      <c r="B1012" t="inlineStr">
        <is>
          <t>A-497__735</t>
        </is>
      </c>
      <c r="C1012" s="1" t="n">
        <v>37.1899890376</v>
      </c>
      <c r="D1012" s="1" t="n">
        <v>-6.97796133069</v>
      </c>
      <c r="E1012" s="3" t="n">
        <v>1</v>
      </c>
      <c r="F1012" s="2" t="n">
        <v>2</v>
      </c>
      <c r="G1012" s="4" t="n">
        <v>2</v>
      </c>
      <c r="H1012" s="13" t="n"/>
      <c r="I1012" s="15" t="n"/>
      <c r="J1012" s="19" t="n">
        <v>2</v>
      </c>
      <c r="K1012" s="2" t="inlineStr">
        <is>
          <t>marker_776_368895.png</t>
        </is>
      </c>
      <c r="L1012" s="11">
        <f>HYPERLINK("2\1\" &amp; K1012, "Ver Imagen")</f>
        <v/>
      </c>
      <c r="M1012" t="inlineStr">
        <is>
          <t>Moda</t>
        </is>
      </c>
    </row>
    <row r="1013">
      <c r="A1013" t="n">
        <v>1012</v>
      </c>
      <c r="B1013" t="inlineStr">
        <is>
          <t>A-497_2C__170</t>
        </is>
      </c>
      <c r="C1013" s="1" t="n">
        <v>37.2655682807</v>
      </c>
      <c r="D1013" s="1" t="n">
        <v>-6.99569341905</v>
      </c>
      <c r="E1013" s="3" t="n">
        <v>2</v>
      </c>
      <c r="F1013" s="2" t="n">
        <v>2</v>
      </c>
      <c r="G1013" s="4" t="n">
        <v>1</v>
      </c>
      <c r="H1013" s="13" t="n"/>
      <c r="I1013" s="15" t="n"/>
      <c r="J1013" s="19" t="n">
        <v>2</v>
      </c>
      <c r="K1013" s="2" t="inlineStr">
        <is>
          <t>marker_366_656199.png</t>
        </is>
      </c>
      <c r="L1013" s="11">
        <f>HYPERLINK("2\1\" &amp; K1013, "Ver Imagen")</f>
        <v/>
      </c>
      <c r="M1013" t="inlineStr">
        <is>
          <t>Moda</t>
        </is>
      </c>
    </row>
    <row r="1014">
      <c r="A1014" t="n">
        <v>1013</v>
      </c>
      <c r="B1014" t="inlineStr">
        <is>
          <t>A-497__555</t>
        </is>
      </c>
      <c r="C1014" s="1" t="n">
        <v>37.2046476853</v>
      </c>
      <c r="D1014" s="1" t="n">
        <v>-7.01385566055</v>
      </c>
      <c r="E1014" s="3" t="n">
        <v>1</v>
      </c>
      <c r="F1014" s="2" t="n">
        <v>2</v>
      </c>
      <c r="G1014" s="4" t="n">
        <v>2</v>
      </c>
      <c r="H1014" s="13" t="n"/>
      <c r="I1014" s="15" t="n"/>
      <c r="J1014" s="19" t="n">
        <v>2</v>
      </c>
      <c r="K1014" s="2" t="inlineStr">
        <is>
          <t>marker_444_372210.png</t>
        </is>
      </c>
      <c r="L1014" s="11">
        <f>HYPERLINK("2\1\" &amp; K1014, "Ver Imagen")</f>
        <v/>
      </c>
      <c r="M1014" t="inlineStr">
        <is>
          <t>Moda</t>
        </is>
      </c>
    </row>
    <row r="1015">
      <c r="A1015" t="n">
        <v>1014</v>
      </c>
      <c r="B1015" t="inlineStr">
        <is>
          <t>A-497__554</t>
        </is>
      </c>
      <c r="C1015" s="1" t="n">
        <v>37.2047014799</v>
      </c>
      <c r="D1015" s="1" t="n">
        <v>-7.01412079043</v>
      </c>
      <c r="E1015" s="3" t="n">
        <v>1</v>
      </c>
      <c r="F1015" s="2" t="n">
        <v>2</v>
      </c>
      <c r="G1015" s="4" t="n">
        <v>2</v>
      </c>
      <c r="H1015" s="13" t="n"/>
      <c r="I1015" s="15" t="n"/>
      <c r="J1015" s="19" t="n">
        <v>2</v>
      </c>
      <c r="K1015" s="2" t="inlineStr">
        <is>
          <t>marker_914_372218.png</t>
        </is>
      </c>
      <c r="L1015" s="11">
        <f>HYPERLINK("2\1\" &amp; K1015, "Ver Imagen")</f>
        <v/>
      </c>
      <c r="M1015" t="inlineStr">
        <is>
          <t>Moda</t>
        </is>
      </c>
    </row>
    <row r="1016">
      <c r="A1016" t="n">
        <v>1015</v>
      </c>
      <c r="B1016" t="inlineStr">
        <is>
          <t>A-497__553</t>
        </is>
      </c>
      <c r="C1016" s="1" t="n">
        <v>37.2047477326</v>
      </c>
      <c r="D1016" s="1" t="n">
        <v>-7.01435149072</v>
      </c>
      <c r="E1016" s="3" t="n">
        <v>1</v>
      </c>
      <c r="F1016" s="2" t="n">
        <v>2</v>
      </c>
      <c r="G1016" s="4" t="n">
        <v>2</v>
      </c>
      <c r="H1016" s="13" t="n"/>
      <c r="I1016" s="15" t="n"/>
      <c r="J1016" s="19" t="n">
        <v>2</v>
      </c>
      <c r="K1016" s="2" t="inlineStr">
        <is>
          <t>marker_274_372227.png</t>
        </is>
      </c>
      <c r="L1016" s="11">
        <f>HYPERLINK("2\1\" &amp; K1016, "Ver Imagen")</f>
        <v/>
      </c>
      <c r="M1016" t="inlineStr">
        <is>
          <t>Moda</t>
        </is>
      </c>
    </row>
    <row r="1017">
      <c r="A1017" t="n">
        <v>1016</v>
      </c>
      <c r="B1017" t="inlineStr">
        <is>
          <t>A-497__551</t>
        </is>
      </c>
      <c r="C1017" s="1" t="n">
        <v>37.2048337162</v>
      </c>
      <c r="D1017" s="1" t="n">
        <v>-7.01478608191</v>
      </c>
      <c r="E1017" s="3" t="n">
        <v>1</v>
      </c>
      <c r="F1017" s="2" t="n">
        <v>2</v>
      </c>
      <c r="G1017" s="4" t="n">
        <v>2</v>
      </c>
      <c r="H1017" s="13" t="n"/>
      <c r="I1017" s="15" t="n"/>
      <c r="J1017" s="19" t="n">
        <v>2</v>
      </c>
      <c r="K1017" s="2" t="inlineStr">
        <is>
          <t>marker_626_372252.png</t>
        </is>
      </c>
      <c r="L1017" s="11">
        <f>HYPERLINK("2\1\" &amp; K1017, "Ver Imagen")</f>
        <v/>
      </c>
      <c r="M1017" t="inlineStr">
        <is>
          <t>Moda</t>
        </is>
      </c>
    </row>
    <row r="1018">
      <c r="A1018" t="n">
        <v>1017</v>
      </c>
      <c r="B1018" t="inlineStr">
        <is>
          <t>A-497__549</t>
        </is>
      </c>
      <c r="C1018" s="1" t="n">
        <v>37.2049378238</v>
      </c>
      <c r="D1018" s="1" t="n">
        <v>-7.01531926902</v>
      </c>
      <c r="E1018" s="3" t="n">
        <v>1</v>
      </c>
      <c r="F1018" s="2" t="n">
        <v>2</v>
      </c>
      <c r="G1018" s="4" t="n">
        <v>2</v>
      </c>
      <c r="H1018" s="13" t="n"/>
      <c r="I1018" s="15" t="n"/>
      <c r="J1018" s="19" t="n">
        <v>2</v>
      </c>
      <c r="K1018" s="2" t="inlineStr">
        <is>
          <t>marker_166_372274.png</t>
        </is>
      </c>
      <c r="L1018" s="11">
        <f>HYPERLINK("2\1\" &amp; K1018, "Ver Imagen")</f>
        <v/>
      </c>
      <c r="M1018" t="inlineStr">
        <is>
          <t>Moda</t>
        </is>
      </c>
    </row>
    <row r="1019">
      <c r="A1019" t="n">
        <v>1018</v>
      </c>
      <c r="B1019" t="inlineStr">
        <is>
          <t>A-497__546</t>
        </is>
      </c>
      <c r="C1019" s="1" t="n">
        <v>37.2050790387</v>
      </c>
      <c r="D1019" s="1" t="n">
        <v>-7.01601830846</v>
      </c>
      <c r="E1019" s="3" t="n">
        <v>1</v>
      </c>
      <c r="F1019" s="2" t="n">
        <v>2</v>
      </c>
      <c r="G1019" s="4" t="n">
        <v>2</v>
      </c>
      <c r="H1019" s="13" t="n"/>
      <c r="I1019" s="15" t="n"/>
      <c r="J1019" s="19" t="n">
        <v>2</v>
      </c>
      <c r="K1019" s="2" t="inlineStr">
        <is>
          <t>marker_673_372318.png</t>
        </is>
      </c>
      <c r="L1019" s="11">
        <f>HYPERLINK("2\1\" &amp; K1019, "Ver Imagen")</f>
        <v/>
      </c>
      <c r="M1019" t="inlineStr">
        <is>
          <t>Moda</t>
        </is>
      </c>
    </row>
    <row r="1020">
      <c r="A1020" t="n">
        <v>1019</v>
      </c>
      <c r="B1020" t="inlineStr">
        <is>
          <t>A-497__545</t>
        </is>
      </c>
      <c r="C1020" s="1" t="n">
        <v>37.2051326281</v>
      </c>
      <c r="D1020" s="1" t="n">
        <v>-7.01627033704</v>
      </c>
      <c r="E1020" s="3" t="n">
        <v>1</v>
      </c>
      <c r="F1020" s="2" t="n">
        <v>2</v>
      </c>
      <c r="G1020" s="4" t="n">
        <v>2</v>
      </c>
      <c r="H1020" s="13" t="n"/>
      <c r="I1020" s="15" t="n"/>
      <c r="J1020" s="19" t="n">
        <v>2</v>
      </c>
      <c r="K1020" s="2" t="inlineStr">
        <is>
          <t>marker_637_372329.png</t>
        </is>
      </c>
      <c r="L1020" s="11">
        <f>HYPERLINK("2\1\" &amp; K1020, "Ver Imagen")</f>
        <v/>
      </c>
      <c r="M1020" t="inlineStr">
        <is>
          <t>Moda</t>
        </is>
      </c>
    </row>
    <row r="1021">
      <c r="A1021" t="n">
        <v>1020</v>
      </c>
      <c r="B1021" t="inlineStr">
        <is>
          <t>A-497__544</t>
        </is>
      </c>
      <c r="C1021" s="1" t="n">
        <v>37.2051823591</v>
      </c>
      <c r="D1021" s="1" t="n">
        <v>-7.01649621698</v>
      </c>
      <c r="E1021" s="3" t="n">
        <v>1</v>
      </c>
      <c r="F1021" s="2" t="n">
        <v>2</v>
      </c>
      <c r="G1021" s="4" t="n">
        <v>2</v>
      </c>
      <c r="H1021" s="13" t="n"/>
      <c r="I1021" s="15" t="n"/>
      <c r="J1021" s="19" t="n">
        <v>2</v>
      </c>
      <c r="K1021" s="2" t="inlineStr">
        <is>
          <t>marker_708_372340.png</t>
        </is>
      </c>
      <c r="L1021" s="11">
        <f>HYPERLINK("2\1\" &amp; K1021, "Ver Imagen")</f>
        <v/>
      </c>
      <c r="M1021" t="inlineStr">
        <is>
          <t>Moda</t>
        </is>
      </c>
    </row>
    <row r="1022">
      <c r="A1022" t="n">
        <v>1021</v>
      </c>
      <c r="B1022" t="inlineStr">
        <is>
          <t>A-497__495</t>
        </is>
      </c>
      <c r="C1022" s="1" t="n">
        <v>37.2121457407</v>
      </c>
      <c r="D1022" s="1" t="n">
        <v>-7.02384997789</v>
      </c>
      <c r="E1022" s="3" t="n">
        <v>1</v>
      </c>
      <c r="F1022" s="2" t="n">
        <v>2</v>
      </c>
      <c r="G1022" s="4" t="n">
        <v>2</v>
      </c>
      <c r="H1022" s="13" t="n"/>
      <c r="I1022" s="15" t="n"/>
      <c r="J1022" s="19" t="n">
        <v>2</v>
      </c>
      <c r="K1022" s="2" t="inlineStr">
        <is>
          <t>marker_703_376151.png</t>
        </is>
      </c>
      <c r="L1022" s="11">
        <f>HYPERLINK("2\1\" &amp; K1022, "Ver Imagen")</f>
        <v/>
      </c>
      <c r="M1022" t="inlineStr">
        <is>
          <t>Moda</t>
        </is>
      </c>
    </row>
    <row r="1023">
      <c r="A1023" t="n">
        <v>1022</v>
      </c>
      <c r="B1023" t="inlineStr">
        <is>
          <t>A-497__494</t>
        </is>
      </c>
      <c r="C1023" s="1" t="n">
        <v>37.2123756849</v>
      </c>
      <c r="D1023" s="1" t="n">
        <v>-7.02383414659</v>
      </c>
      <c r="E1023" s="3" t="n">
        <v>1</v>
      </c>
      <c r="F1023" s="2" t="n">
        <v>2</v>
      </c>
      <c r="G1023" s="4" t="n">
        <v>2</v>
      </c>
      <c r="H1023" s="13" t="n"/>
      <c r="I1023" s="15" t="n"/>
      <c r="J1023" s="19" t="n">
        <v>2</v>
      </c>
      <c r="K1023" s="2" t="inlineStr">
        <is>
          <t>marker_124_376161.png</t>
        </is>
      </c>
      <c r="L1023" s="11">
        <f>HYPERLINK("2\1\" &amp; K1023, "Ver Imagen")</f>
        <v/>
      </c>
      <c r="M1023" t="inlineStr">
        <is>
          <t>Moda</t>
        </is>
      </c>
    </row>
    <row r="1024">
      <c r="A1024" t="n">
        <v>1023</v>
      </c>
      <c r="B1024" t="inlineStr">
        <is>
          <t>A-497__493</t>
        </is>
      </c>
      <c r="C1024" s="1" t="n">
        <v>37.212584582</v>
      </c>
      <c r="D1024" s="1" t="n">
        <v>-7.02381335922</v>
      </c>
      <c r="E1024" s="3" t="n">
        <v>1</v>
      </c>
      <c r="F1024" s="2" t="n">
        <v>2</v>
      </c>
      <c r="G1024" s="4" t="n">
        <v>2</v>
      </c>
      <c r="H1024" s="13" t="n"/>
      <c r="I1024" s="15" t="n"/>
      <c r="J1024" s="19" t="n">
        <v>2</v>
      </c>
      <c r="K1024" s="2" t="inlineStr">
        <is>
          <t>marker_941_376169.png</t>
        </is>
      </c>
      <c r="L1024" s="11">
        <f>HYPERLINK("2\1\" &amp; K1024, "Ver Imagen")</f>
        <v/>
      </c>
      <c r="M1024" t="inlineStr">
        <is>
          <t>Moda</t>
        </is>
      </c>
    </row>
    <row r="1025">
      <c r="A1025" t="n">
        <v>1024</v>
      </c>
      <c r="B1025" t="inlineStr">
        <is>
          <t>A-497__492</t>
        </is>
      </c>
      <c r="C1025" s="1" t="n">
        <v>37.2127792372</v>
      </c>
      <c r="D1025" s="1" t="n">
        <v>-7.02378899664</v>
      </c>
      <c r="E1025" s="3" t="n">
        <v>1</v>
      </c>
      <c r="F1025" s="2" t="n">
        <v>2</v>
      </c>
      <c r="G1025" s="4" t="n">
        <v>2</v>
      </c>
      <c r="H1025" s="13" t="n"/>
      <c r="I1025" s="15" t="n"/>
      <c r="J1025" s="19" t="n">
        <v>2</v>
      </c>
      <c r="K1025" s="2" t="inlineStr">
        <is>
          <t>marker_157_376180.png</t>
        </is>
      </c>
      <c r="L1025" s="11">
        <f>HYPERLINK("2\1\" &amp; K1025, "Ver Imagen")</f>
        <v/>
      </c>
      <c r="M1025" t="inlineStr">
        <is>
          <t>Moda</t>
        </is>
      </c>
    </row>
    <row r="1026">
      <c r="A1026" t="n">
        <v>1025</v>
      </c>
      <c r="B1026" t="inlineStr">
        <is>
          <t>A-497__491</t>
        </is>
      </c>
      <c r="C1026" s="1" t="n">
        <v>37.2129628513</v>
      </c>
      <c r="D1026" s="1" t="n">
        <v>-7.02376305359</v>
      </c>
      <c r="E1026" s="3" t="n">
        <v>1</v>
      </c>
      <c r="F1026" s="2" t="n">
        <v>2</v>
      </c>
      <c r="G1026" s="4" t="n">
        <v>2</v>
      </c>
      <c r="H1026" s="13" t="n"/>
      <c r="I1026" s="15" t="n"/>
      <c r="J1026" s="19" t="n">
        <v>2</v>
      </c>
      <c r="K1026" s="2" t="inlineStr">
        <is>
          <t>marker_250_376189.png</t>
        </is>
      </c>
      <c r="L1026" s="11">
        <f>HYPERLINK("2\1\" &amp; K1026, "Ver Imagen")</f>
        <v/>
      </c>
      <c r="M1026" t="inlineStr">
        <is>
          <t>Moda</t>
        </is>
      </c>
    </row>
    <row r="1027">
      <c r="A1027" t="n">
        <v>1026</v>
      </c>
      <c r="B1027" t="inlineStr">
        <is>
          <t>A-497__490</t>
        </is>
      </c>
      <c r="C1027" s="1" t="n">
        <v>37.2131336471</v>
      </c>
      <c r="D1027" s="1" t="n">
        <v>-7.02373688759</v>
      </c>
      <c r="E1027" s="3" t="n">
        <v>1</v>
      </c>
      <c r="F1027" s="2" t="n">
        <v>2</v>
      </c>
      <c r="G1027" s="4" t="n">
        <v>2</v>
      </c>
      <c r="H1027" s="13" t="n"/>
      <c r="I1027" s="15" t="n"/>
      <c r="J1027" s="19" t="n">
        <v>2</v>
      </c>
      <c r="K1027" s="2" t="inlineStr">
        <is>
          <t>marker_715_376199.png</t>
        </is>
      </c>
      <c r="L1027" s="11">
        <f>HYPERLINK("2\1\" &amp; K1027, "Ver Imagen")</f>
        <v/>
      </c>
      <c r="M1027" t="inlineStr">
        <is>
          <t>Moda</t>
        </is>
      </c>
    </row>
    <row r="1028">
      <c r="A1028" t="n">
        <v>1027</v>
      </c>
      <c r="B1028" t="inlineStr">
        <is>
          <t>A-497__489</t>
        </is>
      </c>
      <c r="C1028" s="1" t="n">
        <v>37.2133690248</v>
      </c>
      <c r="D1028" s="1" t="n">
        <v>-7.02369836668</v>
      </c>
      <c r="E1028" s="3" t="n">
        <v>1</v>
      </c>
      <c r="F1028" s="2" t="n">
        <v>2</v>
      </c>
      <c r="G1028" s="4" t="n">
        <v>2</v>
      </c>
      <c r="H1028" s="13" t="n"/>
      <c r="I1028" s="15" t="n"/>
      <c r="J1028" s="19" t="n">
        <v>2</v>
      </c>
      <c r="K1028" s="2" t="inlineStr">
        <is>
          <t>marker_213_376208.png</t>
        </is>
      </c>
      <c r="L1028" s="11">
        <f>HYPERLINK("2\1\" &amp; K1028, "Ver Imagen")</f>
        <v/>
      </c>
      <c r="M1028" t="inlineStr">
        <is>
          <t>Moda</t>
        </is>
      </c>
    </row>
    <row r="1029">
      <c r="A1029" t="n">
        <v>1028</v>
      </c>
      <c r="B1029" t="inlineStr">
        <is>
          <t>A-497__487</t>
        </is>
      </c>
      <c r="C1029" s="1" t="n">
        <v>37.2137757768</v>
      </c>
      <c r="D1029" s="1" t="n">
        <v>-7.02362882381</v>
      </c>
      <c r="E1029" s="3" t="n">
        <v>1</v>
      </c>
      <c r="F1029" s="2" t="n">
        <v>2</v>
      </c>
      <c r="G1029" s="4" t="n">
        <v>2</v>
      </c>
      <c r="H1029" s="13" t="n"/>
      <c r="I1029" s="15" t="n"/>
      <c r="J1029" s="19" t="n">
        <v>2</v>
      </c>
      <c r="K1029" s="2" t="inlineStr">
        <is>
          <t>marker_722_376228.png</t>
        </is>
      </c>
      <c r="L1029" s="11">
        <f>HYPERLINK("2\1\" &amp; K1029, "Ver Imagen")</f>
        <v/>
      </c>
      <c r="M1029" t="inlineStr">
        <is>
          <t>Moda</t>
        </is>
      </c>
    </row>
    <row r="1030">
      <c r="A1030" t="n">
        <v>1029</v>
      </c>
      <c r="B1030" t="inlineStr">
        <is>
          <t>A-497_2C__423</t>
        </is>
      </c>
      <c r="C1030" s="1" t="n">
        <v>37.2256556049</v>
      </c>
      <c r="D1030" s="1" t="n">
        <v>-7.02329407148</v>
      </c>
      <c r="E1030" s="3" t="n">
        <v>1</v>
      </c>
      <c r="F1030" s="2" t="n">
        <v>2</v>
      </c>
      <c r="G1030" s="4" t="n">
        <v>2</v>
      </c>
      <c r="H1030" s="13" t="n"/>
      <c r="I1030" s="15" t="n"/>
      <c r="J1030" s="19" t="n">
        <v>2</v>
      </c>
      <c r="K1030" s="2" t="inlineStr">
        <is>
          <t>marker_628_363142.png</t>
        </is>
      </c>
      <c r="L1030" s="11">
        <f>HYPERLINK("2\1\" &amp; K1030, "Ver Imagen")</f>
        <v/>
      </c>
      <c r="M1030" t="inlineStr">
        <is>
          <t>Moda</t>
        </is>
      </c>
    </row>
    <row r="1031">
      <c r="A1031" t="n">
        <v>1030</v>
      </c>
      <c r="B1031" t="inlineStr">
        <is>
          <t>A-497_2C__427</t>
        </is>
      </c>
      <c r="C1031" s="1" t="n">
        <v>37.2248613266</v>
      </c>
      <c r="D1031" s="1" t="n">
        <v>-7.02339273903</v>
      </c>
      <c r="E1031" s="3" t="n">
        <v>1</v>
      </c>
      <c r="F1031" s="2" t="n">
        <v>2</v>
      </c>
      <c r="G1031" s="4" t="n">
        <v>2</v>
      </c>
      <c r="H1031" s="13" t="n"/>
      <c r="I1031" s="15" t="n"/>
      <c r="J1031" s="19" t="n">
        <v>2</v>
      </c>
      <c r="K1031" s="2" t="inlineStr">
        <is>
          <t>marker_109_363178.png</t>
        </is>
      </c>
      <c r="L1031" s="11">
        <f>HYPERLINK("2\1\" &amp; K1031, "Ver Imagen")</f>
        <v/>
      </c>
      <c r="M1031" t="inlineStr">
        <is>
          <t>Moda</t>
        </is>
      </c>
    </row>
    <row r="1032">
      <c r="A1032" t="n">
        <v>1031</v>
      </c>
      <c r="B1032" t="inlineStr">
        <is>
          <t>A-497_2C__429</t>
        </is>
      </c>
      <c r="C1032" s="1" t="n">
        <v>37.2244997945</v>
      </c>
      <c r="D1032" s="1" t="n">
        <v>-7.02338350859</v>
      </c>
      <c r="E1032" s="3" t="n">
        <v>1</v>
      </c>
      <c r="F1032" s="2" t="n">
        <v>2</v>
      </c>
      <c r="G1032" s="4" t="n">
        <v>2</v>
      </c>
      <c r="H1032" s="13" t="n"/>
      <c r="I1032" s="15" t="n"/>
      <c r="J1032" s="19" t="n">
        <v>2</v>
      </c>
      <c r="K1032" s="2" t="inlineStr">
        <is>
          <t>marker_987_363198.png</t>
        </is>
      </c>
      <c r="L1032" s="11">
        <f>HYPERLINK("2\1\" &amp; K1032, "Ver Imagen")</f>
        <v/>
      </c>
      <c r="M1032" t="inlineStr">
        <is>
          <t>Moda</t>
        </is>
      </c>
    </row>
    <row r="1033">
      <c r="A1033" t="n">
        <v>1032</v>
      </c>
      <c r="B1033" t="inlineStr">
        <is>
          <t>A-497_2C__430</t>
        </is>
      </c>
      <c r="C1033" s="1" t="n">
        <v>37.2243021283</v>
      </c>
      <c r="D1033" s="1" t="n">
        <v>-7.02336867739</v>
      </c>
      <c r="E1033" s="3" t="n">
        <v>1</v>
      </c>
      <c r="F1033" s="2" t="n">
        <v>2</v>
      </c>
      <c r="G1033" s="4" t="n">
        <v>2</v>
      </c>
      <c r="H1033" s="13" t="n"/>
      <c r="I1033" s="15" t="n"/>
      <c r="J1033" s="19" t="n">
        <v>2</v>
      </c>
      <c r="K1033" s="2" t="inlineStr">
        <is>
          <t>marker_122_363207.png</t>
        </is>
      </c>
      <c r="L1033" s="11">
        <f>HYPERLINK("2\1\" &amp; K1033, "Ver Imagen")</f>
        <v/>
      </c>
      <c r="M1033" t="inlineStr">
        <is>
          <t>Moda</t>
        </is>
      </c>
    </row>
    <row r="1034">
      <c r="A1034" t="n">
        <v>1033</v>
      </c>
      <c r="B1034" t="inlineStr">
        <is>
          <t>A-497_2C__437</t>
        </is>
      </c>
      <c r="C1034" s="1" t="n">
        <v>37.2228702888</v>
      </c>
      <c r="D1034" s="1" t="n">
        <v>-7.02323630761</v>
      </c>
      <c r="E1034" s="3" t="n">
        <v>1</v>
      </c>
      <c r="F1034" s="2" t="n">
        <v>2</v>
      </c>
      <c r="G1034" s="4" t="n">
        <v>2</v>
      </c>
      <c r="H1034" s="13" t="n"/>
      <c r="I1034" s="15" t="n"/>
      <c r="J1034" s="19" t="n">
        <v>2</v>
      </c>
      <c r="K1034" s="2" t="inlineStr">
        <is>
          <t>marker_904_363281.png</t>
        </is>
      </c>
      <c r="L1034" s="11">
        <f>HYPERLINK("2\1\" &amp; K1034, "Ver Imagen")</f>
        <v/>
      </c>
      <c r="M1034" t="inlineStr">
        <is>
          <t>Moda</t>
        </is>
      </c>
    </row>
    <row r="1035">
      <c r="A1035" t="n">
        <v>1034</v>
      </c>
      <c r="B1035" t="inlineStr">
        <is>
          <t>A-497_2C__440</t>
        </is>
      </c>
      <c r="C1035" s="1" t="n">
        <v>37.2222797806</v>
      </c>
      <c r="D1035" s="1" t="n">
        <v>-7.02317629111</v>
      </c>
      <c r="E1035" s="3" t="n">
        <v>1</v>
      </c>
      <c r="F1035" s="2" t="n">
        <v>2</v>
      </c>
      <c r="G1035" s="4" t="n">
        <v>2</v>
      </c>
      <c r="H1035" s="13" t="n"/>
      <c r="I1035" s="15" t="n"/>
      <c r="J1035" s="19" t="n">
        <v>2</v>
      </c>
      <c r="K1035" s="2" t="inlineStr">
        <is>
          <t>marker_525_363307.png</t>
        </is>
      </c>
      <c r="L1035" s="11">
        <f>HYPERLINK("2\1\" &amp; K1035, "Ver Imagen")</f>
        <v/>
      </c>
      <c r="M1035" t="inlineStr">
        <is>
          <t>Moda</t>
        </is>
      </c>
    </row>
    <row r="1036">
      <c r="A1036" t="n">
        <v>1035</v>
      </c>
      <c r="B1036" t="inlineStr">
        <is>
          <t>A-497_2C__441</t>
        </is>
      </c>
      <c r="C1036" s="1" t="n">
        <v>37.222067894</v>
      </c>
      <c r="D1036" s="1" t="n">
        <v>-7.02315429631</v>
      </c>
      <c r="E1036" s="3" t="n">
        <v>1</v>
      </c>
      <c r="F1036" s="2" t="n">
        <v>2</v>
      </c>
      <c r="G1036" s="4" t="n">
        <v>2</v>
      </c>
      <c r="H1036" s="13" t="n"/>
      <c r="I1036" s="15" t="n"/>
      <c r="J1036" s="19" t="n">
        <v>2</v>
      </c>
      <c r="K1036" s="2" t="inlineStr">
        <is>
          <t>marker_120_363319.png</t>
        </is>
      </c>
      <c r="L1036" s="11">
        <f>HYPERLINK("2\1\" &amp; K1036, "Ver Imagen")</f>
        <v/>
      </c>
      <c r="M1036" t="inlineStr">
        <is>
          <t>Moda</t>
        </is>
      </c>
    </row>
    <row r="1037">
      <c r="A1037" t="n">
        <v>1036</v>
      </c>
      <c r="B1037" t="inlineStr">
        <is>
          <t>A-497__457</t>
        </is>
      </c>
      <c r="C1037" s="1" t="n">
        <v>37.219800497</v>
      </c>
      <c r="D1037" s="1" t="n">
        <v>-7.02277662705</v>
      </c>
      <c r="E1037" s="3" t="n">
        <v>1</v>
      </c>
      <c r="F1037" s="2" t="n">
        <v>2</v>
      </c>
      <c r="G1037" s="4" t="n">
        <v>2</v>
      </c>
      <c r="H1037" s="13" t="n"/>
      <c r="I1037" s="15" t="n"/>
      <c r="J1037" s="19" t="n">
        <v>2</v>
      </c>
      <c r="K1037" s="2" t="inlineStr">
        <is>
          <t>marker_942_376603.png</t>
        </is>
      </c>
      <c r="L1037" s="11">
        <f>HYPERLINK("2\1\" &amp; K1037, "Ver Imagen")</f>
        <v/>
      </c>
      <c r="M1037" t="inlineStr">
        <is>
          <t>Moda</t>
        </is>
      </c>
    </row>
    <row r="1038">
      <c r="A1038" t="n">
        <v>1037</v>
      </c>
      <c r="B1038" t="inlineStr">
        <is>
          <t>A-497__455</t>
        </is>
      </c>
      <c r="C1038" s="1" t="n">
        <v>37.2202013822</v>
      </c>
      <c r="D1038" s="1" t="n">
        <v>-7.02280299637</v>
      </c>
      <c r="E1038" s="3" t="n">
        <v>1</v>
      </c>
      <c r="F1038" s="2" t="n">
        <v>2</v>
      </c>
      <c r="G1038" s="4" t="n">
        <v>2</v>
      </c>
      <c r="H1038" s="13" t="n"/>
      <c r="I1038" s="15" t="n"/>
      <c r="J1038" s="19" t="n">
        <v>2</v>
      </c>
      <c r="K1038" s="2" t="inlineStr">
        <is>
          <t>marker_879_376635.png</t>
        </is>
      </c>
      <c r="L1038" s="11">
        <f>HYPERLINK("2\1\" &amp; K1038, "Ver Imagen")</f>
        <v/>
      </c>
      <c r="M1038" t="inlineStr">
        <is>
          <t>Moda</t>
        </is>
      </c>
    </row>
    <row r="1039">
      <c r="A1039" t="n">
        <v>1038</v>
      </c>
      <c r="B1039" t="inlineStr">
        <is>
          <t>A-497__454</t>
        </is>
      </c>
      <c r="C1039" s="1" t="n">
        <v>37.2203934842</v>
      </c>
      <c r="D1039" s="1" t="n">
        <v>-7.02281666715</v>
      </c>
      <c r="E1039" s="3" t="n">
        <v>1</v>
      </c>
      <c r="F1039" s="2" t="n">
        <v>2</v>
      </c>
      <c r="G1039" s="4" t="n">
        <v>2</v>
      </c>
      <c r="H1039" s="13" t="n"/>
      <c r="I1039" s="15" t="n"/>
      <c r="J1039" s="19" t="n">
        <v>2</v>
      </c>
      <c r="K1039" s="2" t="inlineStr">
        <is>
          <t>marker_159_376646.png</t>
        </is>
      </c>
      <c r="L1039" s="11">
        <f>HYPERLINK("2\1\" &amp; K1039, "Ver Imagen")</f>
        <v/>
      </c>
      <c r="M1039" t="inlineStr">
        <is>
          <t>Moda</t>
        </is>
      </c>
    </row>
    <row r="1040">
      <c r="A1040" t="n">
        <v>1039</v>
      </c>
      <c r="B1040" t="inlineStr">
        <is>
          <t>A-497__449</t>
        </is>
      </c>
      <c r="C1040" s="1" t="n">
        <v>37.2214634511</v>
      </c>
      <c r="D1040" s="1" t="n">
        <v>-7.0229132454</v>
      </c>
      <c r="E1040" s="3" t="n">
        <v>1</v>
      </c>
      <c r="F1040" s="2" t="n">
        <v>2</v>
      </c>
      <c r="G1040" s="4" t="n">
        <v>2</v>
      </c>
      <c r="H1040" s="13" t="n"/>
      <c r="I1040" s="15" t="n"/>
      <c r="J1040" s="19" t="n">
        <v>2</v>
      </c>
      <c r="K1040" s="2" t="inlineStr">
        <is>
          <t>marker_107_376698.png</t>
        </is>
      </c>
      <c r="L1040" s="11">
        <f>HYPERLINK("2\1\" &amp; K1040, "Ver Imagen")</f>
        <v/>
      </c>
      <c r="M1040" t="inlineStr">
        <is>
          <t>Moda</t>
        </is>
      </c>
    </row>
    <row r="1041">
      <c r="A1041" t="n">
        <v>1040</v>
      </c>
      <c r="B1041" t="inlineStr">
        <is>
          <t>A-497_2C__535</t>
        </is>
      </c>
      <c r="C1041" s="1" t="n">
        <v>37.2053628836</v>
      </c>
      <c r="D1041" s="1" t="n">
        <v>-7.01783114653</v>
      </c>
      <c r="E1041" s="3" t="n">
        <v>1</v>
      </c>
      <c r="F1041" s="2" t="n">
        <v>2</v>
      </c>
      <c r="G1041" s="4" t="n">
        <v>2</v>
      </c>
      <c r="H1041" s="13" t="n"/>
      <c r="I1041" s="15" t="n"/>
      <c r="J1041" s="19" t="n">
        <v>2</v>
      </c>
      <c r="K1041" s="2" t="inlineStr">
        <is>
          <t>marker_251_364483.png</t>
        </is>
      </c>
      <c r="L1041" s="11">
        <f>HYPERLINK("2\1\" &amp; K1041, "Ver Imagen")</f>
        <v/>
      </c>
      <c r="M1041" t="inlineStr">
        <is>
          <t>Moda</t>
        </is>
      </c>
    </row>
    <row r="1042">
      <c r="A1042" t="n">
        <v>1041</v>
      </c>
      <c r="B1042" t="inlineStr">
        <is>
          <t>A-497_2C__636</t>
        </is>
      </c>
      <c r="C1042" s="1" t="n">
        <v>37.2013729772</v>
      </c>
      <c r="D1042" s="1" t="n">
        <v>-6.99281963066</v>
      </c>
      <c r="E1042" s="3" t="n">
        <v>1</v>
      </c>
      <c r="F1042" s="2" t="n">
        <v>2</v>
      </c>
      <c r="G1042" s="4" t="n">
        <v>2</v>
      </c>
      <c r="H1042" s="13" t="n"/>
      <c r="I1042" s="15" t="n"/>
      <c r="J1042" s="19" t="n">
        <v>2</v>
      </c>
      <c r="K1042" s="2" t="inlineStr">
        <is>
          <t>marker_125_367140.png</t>
        </is>
      </c>
      <c r="L1042" s="11">
        <f>HYPERLINK("2\1\" &amp; K1042, "Ver Imagen")</f>
        <v/>
      </c>
      <c r="M1042" t="inlineStr">
        <is>
          <t>Moda</t>
        </is>
      </c>
    </row>
    <row r="1043">
      <c r="A1043" t="n">
        <v>1042</v>
      </c>
      <c r="B1043" t="inlineStr">
        <is>
          <t>A-497__416</t>
        </is>
      </c>
      <c r="C1043" s="1" t="n">
        <v>37.2278773151</v>
      </c>
      <c r="D1043" s="1" t="n">
        <v>-7.02186859919</v>
      </c>
      <c r="E1043" s="3" t="n">
        <v>2</v>
      </c>
      <c r="F1043" s="2" t="n">
        <v>2</v>
      </c>
      <c r="G1043" s="4" t="n">
        <v>1</v>
      </c>
      <c r="H1043" s="13" t="n"/>
      <c r="I1043" s="15" t="n"/>
      <c r="J1043" s="19" t="n">
        <v>2</v>
      </c>
      <c r="K1043" s="2" t="inlineStr">
        <is>
          <t>marker_304_377049.png</t>
        </is>
      </c>
      <c r="L1043" s="11">
        <f>HYPERLINK("2\1\" &amp; K1043, "Ver Imagen")</f>
        <v/>
      </c>
      <c r="M1043" t="inlineStr">
        <is>
          <t>Moda</t>
        </is>
      </c>
    </row>
    <row r="1044">
      <c r="A1044" t="n">
        <v>1043</v>
      </c>
      <c r="B1044" t="inlineStr">
        <is>
          <t>A-497__182</t>
        </is>
      </c>
      <c r="C1044" s="1" t="n">
        <v>37.2651520512</v>
      </c>
      <c r="D1044" s="1" t="n">
        <v>-6.99737335347</v>
      </c>
      <c r="E1044" s="3" t="n">
        <v>1</v>
      </c>
      <c r="F1044" s="2" t="n">
        <v>2</v>
      </c>
      <c r="G1044" s="4" t="n">
        <v>2</v>
      </c>
      <c r="H1044" s="13" t="n"/>
      <c r="I1044" s="15" t="n"/>
      <c r="J1044" s="19" t="n">
        <v>2</v>
      </c>
      <c r="K1044" s="2" t="inlineStr">
        <is>
          <t>marker_717_379620.png</t>
        </is>
      </c>
      <c r="L1044" s="11">
        <f>HYPERLINK("2\1\" &amp; K1044, "Ver Imagen")</f>
        <v/>
      </c>
      <c r="M1044" t="inlineStr">
        <is>
          <t>Moda</t>
        </is>
      </c>
    </row>
    <row r="1045">
      <c r="A1045" t="n">
        <v>1044</v>
      </c>
      <c r="B1045" t="inlineStr">
        <is>
          <t>A-497__181</t>
        </is>
      </c>
      <c r="C1045" s="1" t="n">
        <v>37.2651945112</v>
      </c>
      <c r="D1045" s="1" t="n">
        <v>-6.99713955826</v>
      </c>
      <c r="E1045" s="3" t="n">
        <v>1</v>
      </c>
      <c r="F1045" s="2" t="n">
        <v>2</v>
      </c>
      <c r="G1045" s="4" t="n">
        <v>2</v>
      </c>
      <c r="H1045" s="13" t="n"/>
      <c r="I1045" s="15" t="n"/>
      <c r="J1045" s="19" t="n">
        <v>2</v>
      </c>
      <c r="K1045" s="2" t="inlineStr">
        <is>
          <t>marker_529_379629.png</t>
        </is>
      </c>
      <c r="L1045" s="11">
        <f>HYPERLINK("2\1\" &amp; K1045, "Ver Imagen")</f>
        <v/>
      </c>
      <c r="M1045" t="inlineStr">
        <is>
          <t>Moda</t>
        </is>
      </c>
    </row>
    <row r="1046">
      <c r="A1046" t="n">
        <v>1045</v>
      </c>
      <c r="B1046" t="inlineStr">
        <is>
          <t>A-497__178</t>
        </is>
      </c>
      <c r="C1046" s="1" t="n">
        <v>37.2653277794</v>
      </c>
      <c r="D1046" s="1" t="n">
        <v>-6.99641389526</v>
      </c>
      <c r="E1046" s="3" t="n">
        <v>2</v>
      </c>
      <c r="F1046" s="2" t="n">
        <v>2</v>
      </c>
      <c r="G1046" s="4" t="n">
        <v>1</v>
      </c>
      <c r="H1046" s="13" t="n"/>
      <c r="I1046" s="15" t="n"/>
      <c r="J1046" s="19" t="n">
        <v>2</v>
      </c>
      <c r="K1046" s="2" t="inlineStr">
        <is>
          <t>marker_465_379664.png</t>
        </is>
      </c>
      <c r="L1046" s="11">
        <f>HYPERLINK("2\1\" &amp; K1046, "Ver Imagen")</f>
        <v/>
      </c>
      <c r="M1046" t="inlineStr">
        <is>
          <t>Moda</t>
        </is>
      </c>
    </row>
    <row r="1047">
      <c r="A1047" t="n">
        <v>1046</v>
      </c>
      <c r="B1047" t="inlineStr">
        <is>
          <t>A-497__165</t>
        </is>
      </c>
      <c r="C1047" s="1" t="n">
        <v>37.2660427559</v>
      </c>
      <c r="D1047" s="1" t="n">
        <v>-6.99324331854</v>
      </c>
      <c r="E1047" s="3" t="n">
        <v>2</v>
      </c>
      <c r="F1047" s="2" t="n">
        <v>2</v>
      </c>
      <c r="G1047" s="4" t="n">
        <v>1</v>
      </c>
      <c r="H1047" s="13" t="n"/>
      <c r="I1047" s="15" t="n"/>
      <c r="J1047" s="19" t="n">
        <v>2</v>
      </c>
      <c r="K1047" s="2" t="inlineStr">
        <is>
          <t>marker_532_380200.png</t>
        </is>
      </c>
      <c r="L1047" s="11">
        <f>HYPERLINK("2\1\" &amp; K1047, "Ver Imagen")</f>
        <v/>
      </c>
      <c r="M1047" t="inlineStr">
        <is>
          <t>Moda</t>
        </is>
      </c>
    </row>
    <row r="1048">
      <c r="A1048" t="n">
        <v>1047</v>
      </c>
      <c r="B1048" t="inlineStr">
        <is>
          <t>A-497__164</t>
        </is>
      </c>
      <c r="C1048" s="1" t="n">
        <v>37.2661437905</v>
      </c>
      <c r="D1048" s="1" t="n">
        <v>-6.99301207679</v>
      </c>
      <c r="E1048" s="3" t="n">
        <v>2</v>
      </c>
      <c r="F1048" s="2" t="n">
        <v>2</v>
      </c>
      <c r="G1048" s="4" t="n">
        <v>1</v>
      </c>
      <c r="H1048" s="13" t="n"/>
      <c r="I1048" s="15" t="n"/>
      <c r="J1048" s="19" t="n">
        <v>2</v>
      </c>
      <c r="K1048" s="2" t="inlineStr">
        <is>
          <t>marker_129_380213.png</t>
        </is>
      </c>
      <c r="L1048" s="11">
        <f>HYPERLINK("2\1\" &amp; K1048, "Ver Imagen")</f>
        <v/>
      </c>
      <c r="M1048" t="inlineStr">
        <is>
          <t>Moda</t>
        </is>
      </c>
    </row>
    <row r="1049">
      <c r="A1049" t="n">
        <v>1048</v>
      </c>
      <c r="B1049" t="inlineStr">
        <is>
          <t>A-497__163</t>
        </is>
      </c>
      <c r="C1049" s="1" t="n">
        <v>37.2662879901</v>
      </c>
      <c r="D1049" s="1" t="n">
        <v>-6.99272355025</v>
      </c>
      <c r="E1049" s="3" t="n">
        <v>2</v>
      </c>
      <c r="F1049" s="2" t="n">
        <v>2</v>
      </c>
      <c r="G1049" s="4" t="n">
        <v>1</v>
      </c>
      <c r="H1049" s="13" t="n"/>
      <c r="I1049" s="15" t="n"/>
      <c r="J1049" s="19" t="n">
        <v>2</v>
      </c>
      <c r="K1049" s="2" t="inlineStr">
        <is>
          <t>marker_690_380222.png</t>
        </is>
      </c>
      <c r="L1049" s="11">
        <f>HYPERLINK("2\1\" &amp; K1049, "Ver Imagen")</f>
        <v/>
      </c>
      <c r="M1049" t="inlineStr">
        <is>
          <t>Moda</t>
        </is>
      </c>
    </row>
    <row r="1050">
      <c r="A1050" t="n">
        <v>1049</v>
      </c>
      <c r="B1050" t="inlineStr">
        <is>
          <t>A-497__152</t>
        </is>
      </c>
      <c r="C1050" s="1" t="n">
        <v>37.2679070396</v>
      </c>
      <c r="D1050" s="1" t="n">
        <v>-6.99094635521</v>
      </c>
      <c r="E1050" s="3" t="n">
        <v>2</v>
      </c>
      <c r="F1050" s="2" t="n">
        <v>2</v>
      </c>
      <c r="G1050" s="4" t="n">
        <v>1</v>
      </c>
      <c r="H1050" s="13" t="n"/>
      <c r="I1050" s="15" t="n"/>
      <c r="J1050" s="19" t="n">
        <v>2</v>
      </c>
      <c r="K1050" s="2" t="inlineStr">
        <is>
          <t>marker_846_380325.png</t>
        </is>
      </c>
      <c r="L1050" s="11">
        <f>HYPERLINK("2\1\" &amp; K1050, "Ver Imagen")</f>
        <v/>
      </c>
      <c r="M1050" t="inlineStr">
        <is>
          <t>Moda</t>
        </is>
      </c>
    </row>
    <row r="1051">
      <c r="A1051" t="n">
        <v>1050</v>
      </c>
      <c r="B1051" t="inlineStr">
        <is>
          <t>A-490__37</t>
        </is>
      </c>
      <c r="C1051" s="1" t="n">
        <v>37.4461729329</v>
      </c>
      <c r="D1051" s="1" t="n">
        <v>-7.13546133194</v>
      </c>
      <c r="E1051" s="3" t="n">
        <v>2</v>
      </c>
      <c r="F1051" s="2" t="n">
        <v>2</v>
      </c>
      <c r="G1051" s="4" t="n">
        <v>3</v>
      </c>
      <c r="H1051" s="13" t="n"/>
      <c r="I1051" s="15" t="n"/>
      <c r="J1051" s="19" t="n">
        <v>2</v>
      </c>
      <c r="K1051" s="2" t="inlineStr">
        <is>
          <t>marker_763_731097.png</t>
        </is>
      </c>
      <c r="L1051" s="11">
        <f>HYPERLINK("2\1\" &amp; K1051, "Ver Imagen")</f>
        <v/>
      </c>
      <c r="M1051" t="inlineStr">
        <is>
          <t>Moda</t>
        </is>
      </c>
    </row>
    <row r="1052">
      <c r="A1052" t="n">
        <v>1051</v>
      </c>
      <c r="B1052" t="inlineStr">
        <is>
          <t>A-490__39</t>
        </is>
      </c>
      <c r="C1052" s="1" t="n">
        <v>37.4461458001</v>
      </c>
      <c r="D1052" s="1" t="n">
        <v>-7.1359771447</v>
      </c>
      <c r="E1052" s="3" t="n">
        <v>2</v>
      </c>
      <c r="F1052" s="2" t="n">
        <v>3</v>
      </c>
      <c r="G1052" s="4" t="n">
        <v>2</v>
      </c>
      <c r="H1052" s="13" t="n"/>
      <c r="I1052" s="15" t="n"/>
      <c r="J1052" s="19" t="n">
        <v>2</v>
      </c>
      <c r="K1052" s="2" t="inlineStr">
        <is>
          <t>marker_261_731147.png</t>
        </is>
      </c>
      <c r="L1052" s="11">
        <f>HYPERLINK("2\1\" &amp; K1052, "Ver Imagen")</f>
        <v/>
      </c>
      <c r="M1052" t="inlineStr">
        <is>
          <t>Moda</t>
        </is>
      </c>
    </row>
    <row r="1053">
      <c r="A1053" t="n">
        <v>1052</v>
      </c>
      <c r="B1053" t="inlineStr">
        <is>
          <t>A-490__67</t>
        </is>
      </c>
      <c r="C1053" s="1" t="n">
        <v>37.4483696553</v>
      </c>
      <c r="D1053" s="1" t="n">
        <v>-7.14244012129</v>
      </c>
      <c r="E1053" s="3" t="n">
        <v>2</v>
      </c>
      <c r="F1053" s="2" t="n">
        <v>3</v>
      </c>
      <c r="G1053" s="4" t="n">
        <v>2</v>
      </c>
      <c r="H1053" s="13" t="n"/>
      <c r="I1053" s="15" t="n"/>
      <c r="J1053" s="19" t="n">
        <v>2</v>
      </c>
      <c r="K1053" s="2" t="inlineStr">
        <is>
          <t>marker_393_738075.png</t>
        </is>
      </c>
      <c r="L1053" s="11">
        <f>HYPERLINK("2\1\" &amp; K1053, "Ver Imagen")</f>
        <v/>
      </c>
      <c r="M1053" t="inlineStr">
        <is>
          <t>Moda</t>
        </is>
      </c>
    </row>
    <row r="1054">
      <c r="A1054" t="n">
        <v>1053</v>
      </c>
      <c r="B1054" t="inlineStr">
        <is>
          <t>A-490__133</t>
        </is>
      </c>
      <c r="C1054" s="1" t="n">
        <v>37.451974107</v>
      </c>
      <c r="D1054" s="1" t="n">
        <v>-7.15817127559</v>
      </c>
      <c r="E1054" s="3" t="n">
        <v>1</v>
      </c>
      <c r="F1054" s="2" t="n">
        <v>2</v>
      </c>
      <c r="G1054" s="4" t="n">
        <v>2</v>
      </c>
      <c r="H1054" s="13" t="n"/>
      <c r="I1054" s="15" t="n"/>
      <c r="J1054" s="19" t="n">
        <v>2</v>
      </c>
      <c r="K1054" s="2" t="inlineStr">
        <is>
          <t>marker_125_740302.png</t>
        </is>
      </c>
      <c r="L1054" s="11">
        <f>HYPERLINK("2\1\" &amp; K1054, "Ver Imagen")</f>
        <v/>
      </c>
      <c r="M1054" t="inlineStr">
        <is>
          <t>Moda</t>
        </is>
      </c>
    </row>
    <row r="1055">
      <c r="A1055" t="n">
        <v>1054</v>
      </c>
      <c r="B1055" t="inlineStr">
        <is>
          <t>A-490__136</t>
        </is>
      </c>
      <c r="C1055" s="1" t="n">
        <v>37.4521327139</v>
      </c>
      <c r="D1055" s="1" t="n">
        <v>-7.15890624447</v>
      </c>
      <c r="E1055" s="3" t="n">
        <v>2</v>
      </c>
      <c r="F1055" s="2" t="n">
        <v>3</v>
      </c>
      <c r="G1055" s="4" t="n">
        <v>2</v>
      </c>
      <c r="H1055" s="13" t="n"/>
      <c r="I1055" s="15" t="n"/>
      <c r="J1055" s="19" t="n">
        <v>2</v>
      </c>
      <c r="K1055" s="2" t="inlineStr">
        <is>
          <t>marker_520_740429.png</t>
        </is>
      </c>
      <c r="L1055" s="11">
        <f>HYPERLINK("2\1\" &amp; K1055, "Ver Imagen")</f>
        <v/>
      </c>
      <c r="M1055" t="inlineStr">
        <is>
          <t>Moda</t>
        </is>
      </c>
    </row>
    <row r="1056">
      <c r="A1056" t="n">
        <v>1055</v>
      </c>
      <c r="B1056" t="inlineStr">
        <is>
          <t>A-490__140</t>
        </is>
      </c>
      <c r="C1056" s="1" t="n">
        <v>37.452350455</v>
      </c>
      <c r="D1056" s="1" t="n">
        <v>-7.15993665849</v>
      </c>
      <c r="E1056" s="3" t="n">
        <v>2</v>
      </c>
      <c r="F1056" s="2" t="n">
        <v>3</v>
      </c>
      <c r="G1056" s="4" t="n">
        <v>2</v>
      </c>
      <c r="H1056" s="13" t="n"/>
      <c r="I1056" s="15" t="n"/>
      <c r="J1056" s="19" t="n">
        <v>2</v>
      </c>
      <c r="K1056" s="2" t="inlineStr">
        <is>
          <t>marker_176_740514.png</t>
        </is>
      </c>
      <c r="L1056" s="11">
        <f>HYPERLINK("2\1\" &amp; K1056, "Ver Imagen")</f>
        <v/>
      </c>
      <c r="M1056" t="inlineStr">
        <is>
          <t>Moda</t>
        </is>
      </c>
    </row>
    <row r="1057">
      <c r="A1057" t="n">
        <v>1056</v>
      </c>
      <c r="B1057" t="inlineStr">
        <is>
          <t>A-490__141</t>
        </is>
      </c>
      <c r="C1057" s="1" t="n">
        <v>37.45240823</v>
      </c>
      <c r="D1057" s="1" t="n">
        <v>-7.16021393299</v>
      </c>
      <c r="E1057" s="3" t="n">
        <v>2</v>
      </c>
      <c r="F1057" s="2" t="n">
        <v>3</v>
      </c>
      <c r="G1057" s="4" t="n">
        <v>2</v>
      </c>
      <c r="H1057" s="13" t="n"/>
      <c r="I1057" s="15" t="n"/>
      <c r="J1057" s="19" t="n">
        <v>2</v>
      </c>
      <c r="K1057" s="2" t="inlineStr">
        <is>
          <t>marker_824_740530.png</t>
        </is>
      </c>
      <c r="L1057" s="11">
        <f>HYPERLINK("2\1\" &amp; K1057, "Ver Imagen")</f>
        <v/>
      </c>
      <c r="M1057" t="inlineStr">
        <is>
          <t>Moda</t>
        </is>
      </c>
    </row>
    <row r="1058">
      <c r="A1058" t="n">
        <v>1057</v>
      </c>
      <c r="B1058" t="inlineStr">
        <is>
          <t>A-490__151</t>
        </is>
      </c>
      <c r="C1058" s="1" t="n">
        <v>37.4532751537</v>
      </c>
      <c r="D1058" s="1" t="n">
        <v>-7.16233579881</v>
      </c>
      <c r="E1058" s="3" t="n">
        <v>2</v>
      </c>
      <c r="F1058" s="2" t="n">
        <v>2</v>
      </c>
      <c r="G1058" s="4" t="n">
        <v>3</v>
      </c>
      <c r="H1058" s="13" t="n"/>
      <c r="I1058" s="15" t="n"/>
      <c r="J1058" s="19" t="n">
        <v>2</v>
      </c>
      <c r="K1058" s="2" t="inlineStr">
        <is>
          <t>marker_246_740774.png</t>
        </is>
      </c>
      <c r="L1058" s="11">
        <f>HYPERLINK("2\1\" &amp; K1058, "Ver Imagen")</f>
        <v/>
      </c>
      <c r="M1058" t="inlineStr">
        <is>
          <t>Moda</t>
        </is>
      </c>
    </row>
    <row r="1059">
      <c r="A1059" t="n">
        <v>1058</v>
      </c>
      <c r="B1059" t="inlineStr">
        <is>
          <t>A-490__160</t>
        </is>
      </c>
      <c r="C1059" s="1" t="n">
        <v>37.4542688217</v>
      </c>
      <c r="D1059" s="1" t="n">
        <v>-7.16430632835</v>
      </c>
      <c r="E1059" s="3" t="n">
        <v>1</v>
      </c>
      <c r="F1059" s="2" t="n">
        <v>2</v>
      </c>
      <c r="G1059" s="4" t="n">
        <v>2</v>
      </c>
      <c r="H1059" s="13" t="n"/>
      <c r="I1059" s="15" t="n"/>
      <c r="J1059" s="19" t="n">
        <v>2</v>
      </c>
      <c r="K1059" s="2" t="inlineStr">
        <is>
          <t>marker_841_741225.png</t>
        </is>
      </c>
      <c r="L1059" s="11">
        <f>HYPERLINK("2\1\" &amp; K1059, "Ver Imagen")</f>
        <v/>
      </c>
      <c r="M1059" t="inlineStr">
        <is>
          <t>Moda</t>
        </is>
      </c>
    </row>
    <row r="1060">
      <c r="A1060" t="n">
        <v>1059</v>
      </c>
      <c r="B1060" t="inlineStr">
        <is>
          <t>A-490__161</t>
        </is>
      </c>
      <c r="C1060" s="1" t="n">
        <v>37.454399304</v>
      </c>
      <c r="D1060" s="1" t="n">
        <v>-7.16456468596</v>
      </c>
      <c r="E1060" s="3" t="n">
        <v>1</v>
      </c>
      <c r="F1060" s="2" t="n">
        <v>2</v>
      </c>
      <c r="G1060" s="4" t="n">
        <v>2</v>
      </c>
      <c r="H1060" s="13" t="n"/>
      <c r="I1060" s="15" t="n"/>
      <c r="J1060" s="19" t="n">
        <v>2</v>
      </c>
      <c r="K1060" s="2" t="inlineStr">
        <is>
          <t>marker_115_741250.png</t>
        </is>
      </c>
      <c r="L1060" s="11">
        <f>HYPERLINK("2\1\" &amp; K1060, "Ver Imagen")</f>
        <v/>
      </c>
      <c r="M1060" t="inlineStr">
        <is>
          <t>Moda</t>
        </is>
      </c>
    </row>
    <row r="1061">
      <c r="A1061" t="n">
        <v>1060</v>
      </c>
      <c r="B1061" t="inlineStr">
        <is>
          <t>A-490__170</t>
        </is>
      </c>
      <c r="C1061" s="1" t="n">
        <v>37.4555439843</v>
      </c>
      <c r="D1061" s="1" t="n">
        <v>-7.16624054386</v>
      </c>
      <c r="E1061" s="3" t="n">
        <v>2</v>
      </c>
      <c r="F1061" s="2" t="n">
        <v>3</v>
      </c>
      <c r="G1061" s="4" t="n">
        <v>2</v>
      </c>
      <c r="H1061" s="13" t="n"/>
      <c r="I1061" s="15" t="n"/>
      <c r="J1061" s="19" t="n">
        <v>2</v>
      </c>
      <c r="K1061" s="2" t="inlineStr">
        <is>
          <t>marker_337_741485.png</t>
        </is>
      </c>
      <c r="L1061" s="11">
        <f>HYPERLINK("2\1\" &amp; K1061, "Ver Imagen")</f>
        <v/>
      </c>
      <c r="M1061" t="inlineStr">
        <is>
          <t>Moda</t>
        </is>
      </c>
    </row>
    <row r="1062">
      <c r="A1062" t="n">
        <v>1061</v>
      </c>
      <c r="B1062" t="inlineStr">
        <is>
          <t>A-490__181</t>
        </is>
      </c>
      <c r="C1062" s="1" t="n">
        <v>37.4571071562</v>
      </c>
      <c r="D1062" s="1" t="n">
        <v>-7.1681713243</v>
      </c>
      <c r="E1062" s="3" t="n">
        <v>2</v>
      </c>
      <c r="F1062" s="2" t="n">
        <v>2</v>
      </c>
      <c r="G1062" s="4" t="n">
        <v>3</v>
      </c>
      <c r="H1062" s="13" t="n"/>
      <c r="I1062" s="15" t="n"/>
      <c r="J1062" s="19" t="n">
        <v>2</v>
      </c>
      <c r="K1062" s="2" t="inlineStr">
        <is>
          <t>marker_667_741823.png</t>
        </is>
      </c>
      <c r="L1062" s="11">
        <f>HYPERLINK("2\1\" &amp; K1062, "Ver Imagen")</f>
        <v/>
      </c>
      <c r="M1062" t="inlineStr">
        <is>
          <t>Moda</t>
        </is>
      </c>
    </row>
    <row r="1063">
      <c r="A1063" t="n">
        <v>1062</v>
      </c>
      <c r="B1063" t="inlineStr">
        <is>
          <t>A-490__213</t>
        </is>
      </c>
      <c r="C1063" s="1" t="n">
        <v>37.4614698156</v>
      </c>
      <c r="D1063" s="1" t="n">
        <v>-7.17426022819</v>
      </c>
      <c r="E1063" s="3" t="n">
        <v>2</v>
      </c>
      <c r="F1063" s="2" t="n">
        <v>3</v>
      </c>
      <c r="G1063" s="4" t="n">
        <v>2</v>
      </c>
      <c r="H1063" s="13" t="n"/>
      <c r="I1063" s="15" t="n"/>
      <c r="J1063" s="19" t="n">
        <v>2</v>
      </c>
      <c r="K1063" s="2" t="inlineStr">
        <is>
          <t>marker_981_742847.png</t>
        </is>
      </c>
      <c r="L1063" s="11">
        <f>HYPERLINK("2\1\" &amp; K1063, "Ver Imagen")</f>
        <v/>
      </c>
      <c r="M1063" t="inlineStr">
        <is>
          <t>Moda</t>
        </is>
      </c>
    </row>
    <row r="1064">
      <c r="A1064" t="n">
        <v>1063</v>
      </c>
      <c r="B1064" t="inlineStr">
        <is>
          <t>A-490__220</t>
        </is>
      </c>
      <c r="C1064" s="1" t="n">
        <v>37.4623291948</v>
      </c>
      <c r="D1064" s="1" t="n">
        <v>-7.1756699492</v>
      </c>
      <c r="E1064" s="3" t="n">
        <v>2</v>
      </c>
      <c r="F1064" s="2" t="n">
        <v>3</v>
      </c>
      <c r="G1064" s="4" t="n">
        <v>2</v>
      </c>
      <c r="H1064" s="13" t="n"/>
      <c r="I1064" s="15" t="n"/>
      <c r="J1064" s="19" t="n">
        <v>2</v>
      </c>
      <c r="K1064" s="2" t="inlineStr">
        <is>
          <t>marker_757_743361.png</t>
        </is>
      </c>
      <c r="L1064" s="11">
        <f>HYPERLINK("2\1\" &amp; K1064, "Ver Imagen")</f>
        <v/>
      </c>
      <c r="M1064" t="inlineStr">
        <is>
          <t>Moda</t>
        </is>
      </c>
    </row>
    <row r="1065">
      <c r="A1065" t="n">
        <v>1064</v>
      </c>
      <c r="B1065" t="inlineStr">
        <is>
          <t>A-490__230</t>
        </is>
      </c>
      <c r="C1065" s="1" t="n">
        <v>37.4635642139</v>
      </c>
      <c r="D1065" s="1" t="n">
        <v>-7.17770508006</v>
      </c>
      <c r="E1065" s="3" t="n">
        <v>2</v>
      </c>
      <c r="F1065" s="2" t="n">
        <v>3</v>
      </c>
      <c r="G1065" s="4" t="n">
        <v>2</v>
      </c>
      <c r="H1065" s="13" t="n"/>
      <c r="I1065" s="15" t="n"/>
      <c r="J1065" s="19" t="n">
        <v>2</v>
      </c>
      <c r="K1065" s="2" t="inlineStr">
        <is>
          <t>marker_571_743836.png</t>
        </is>
      </c>
      <c r="L1065" s="11">
        <f>HYPERLINK("2\1\" &amp; K1065, "Ver Imagen")</f>
        <v/>
      </c>
      <c r="M1065" t="inlineStr">
        <is>
          <t>Moda</t>
        </is>
      </c>
    </row>
    <row r="1066">
      <c r="A1066" t="n">
        <v>1065</v>
      </c>
      <c r="B1066" t="inlineStr">
        <is>
          <t>A-490__57</t>
        </is>
      </c>
      <c r="C1066" s="1" t="n">
        <v>37.4473789214</v>
      </c>
      <c r="D1066" s="1" t="n">
        <v>-7.1402554899</v>
      </c>
      <c r="E1066" s="3" t="n">
        <v>2</v>
      </c>
      <c r="F1066" s="2" t="n">
        <v>2</v>
      </c>
      <c r="G1066" s="4" t="n">
        <v>3</v>
      </c>
      <c r="H1066" s="13" t="n"/>
      <c r="I1066" s="15" t="n"/>
      <c r="J1066" s="19" t="n">
        <v>2</v>
      </c>
      <c r="K1066" s="2" t="inlineStr">
        <is>
          <t>marker_119_737820.png</t>
        </is>
      </c>
      <c r="L1066" s="11">
        <f>HYPERLINK("2\1\" &amp; K1066, "Ver Imagen")</f>
        <v/>
      </c>
      <c r="M1066" t="inlineStr">
        <is>
          <t>Moda</t>
        </is>
      </c>
    </row>
    <row r="1067">
      <c r="A1067" t="n">
        <v>1066</v>
      </c>
      <c r="B1067" t="inlineStr">
        <is>
          <t>A-490__368</t>
        </is>
      </c>
      <c r="C1067" s="1" t="n">
        <v>37.4786322932</v>
      </c>
      <c r="D1067" s="1" t="n">
        <v>-7.20718349938</v>
      </c>
      <c r="E1067" s="3" t="n">
        <v>2</v>
      </c>
      <c r="F1067" s="2" t="n">
        <v>3</v>
      </c>
      <c r="G1067" s="4" t="n">
        <v>2</v>
      </c>
      <c r="H1067" s="13" t="n"/>
      <c r="I1067" s="15" t="n"/>
      <c r="J1067" s="19" t="n">
        <v>2</v>
      </c>
      <c r="K1067" s="2" t="inlineStr">
        <is>
          <t>marker_833_752056.png</t>
        </is>
      </c>
      <c r="L1067" s="11">
        <f>HYPERLINK("2\1\" &amp; K1067, "Ver Imagen")</f>
        <v/>
      </c>
      <c r="M1067" t="inlineStr">
        <is>
          <t>Moda</t>
        </is>
      </c>
    </row>
    <row r="1068">
      <c r="A1068" t="n">
        <v>1067</v>
      </c>
      <c r="B1068" t="inlineStr">
        <is>
          <t>A-490__417</t>
        </is>
      </c>
      <c r="C1068" s="1" t="n">
        <v>37.4826754901</v>
      </c>
      <c r="D1068" s="1" t="n">
        <v>-7.21852061483</v>
      </c>
      <c r="E1068" s="3" t="n">
        <v>2</v>
      </c>
      <c r="F1068" s="2" t="n">
        <v>1</v>
      </c>
      <c r="G1068" s="4" t="n">
        <v>2</v>
      </c>
      <c r="H1068" s="13" t="n"/>
      <c r="I1068" s="15" t="n"/>
      <c r="J1068" s="19" t="n">
        <v>2</v>
      </c>
      <c r="K1068" s="2" t="inlineStr">
        <is>
          <t>marker_458_754248.png</t>
        </is>
      </c>
      <c r="L1068" s="11">
        <f>HYPERLINK("2\1\" &amp; K1068, "Ver Imagen")</f>
        <v/>
      </c>
      <c r="M1068" t="inlineStr">
        <is>
          <t>Moda</t>
        </is>
      </c>
    </row>
    <row r="1069">
      <c r="A1069" t="n">
        <v>1068</v>
      </c>
      <c r="B1069" t="inlineStr">
        <is>
          <t>A-490__425</t>
        </is>
      </c>
      <c r="C1069" s="1" t="n">
        <v>37.4830455498</v>
      </c>
      <c r="D1069" s="1" t="n">
        <v>-7.22041952313</v>
      </c>
      <c r="E1069" s="3" t="n">
        <v>2</v>
      </c>
      <c r="F1069" s="2" t="n">
        <v>1</v>
      </c>
      <c r="G1069" s="4" t="n">
        <v>2</v>
      </c>
      <c r="H1069" s="13" t="n"/>
      <c r="I1069" s="15" t="n"/>
      <c r="J1069" s="19" t="n">
        <v>2</v>
      </c>
      <c r="K1069" s="2" t="inlineStr">
        <is>
          <t>marker_867_754377.png</t>
        </is>
      </c>
      <c r="L1069" s="11">
        <f>HYPERLINK("2\1\" &amp; K1069, "Ver Imagen")</f>
        <v/>
      </c>
      <c r="M1069" t="inlineStr">
        <is>
          <t>Moda</t>
        </is>
      </c>
    </row>
    <row r="1070">
      <c r="A1070" t="n">
        <v>1069</v>
      </c>
      <c r="B1070" t="inlineStr">
        <is>
          <t>A-490__428</t>
        </is>
      </c>
      <c r="C1070" s="1" t="n">
        <v>37.4832023428</v>
      </c>
      <c r="D1070" s="1" t="n">
        <v>-7.2211973816</v>
      </c>
      <c r="E1070" s="3" t="n">
        <v>1</v>
      </c>
      <c r="F1070" s="2" t="n">
        <v>2</v>
      </c>
      <c r="G1070" s="4" t="n">
        <v>2</v>
      </c>
      <c r="H1070" s="13" t="n"/>
      <c r="I1070" s="15" t="n"/>
      <c r="J1070" s="19" t="n">
        <v>2</v>
      </c>
      <c r="K1070" s="2" t="inlineStr">
        <is>
          <t>marker_442_754446.png</t>
        </is>
      </c>
      <c r="L1070" s="11">
        <f>HYPERLINK("2\1\" &amp; K1070, "Ver Imagen")</f>
        <v/>
      </c>
      <c r="M1070" t="inlineStr">
        <is>
          <t>Moda</t>
        </is>
      </c>
    </row>
    <row r="1071">
      <c r="A1071" t="n">
        <v>1070</v>
      </c>
      <c r="B1071" t="inlineStr">
        <is>
          <t>A-490__429</t>
        </is>
      </c>
      <c r="C1071" s="1" t="n">
        <v>37.4832514721</v>
      </c>
      <c r="D1071" s="1" t="n">
        <v>-7.22144573038</v>
      </c>
      <c r="E1071" s="3" t="n">
        <v>2</v>
      </c>
      <c r="F1071" s="2" t="n">
        <v>2</v>
      </c>
      <c r="G1071" s="4" t="n">
        <v>1</v>
      </c>
      <c r="H1071" s="13" t="n"/>
      <c r="I1071" s="15" t="n"/>
      <c r="J1071" s="19" t="n">
        <v>2</v>
      </c>
      <c r="K1071" s="2" t="inlineStr">
        <is>
          <t>marker_148_754462.png</t>
        </is>
      </c>
      <c r="L1071" s="11">
        <f>HYPERLINK("2\1\" &amp; K1071, "Ver Imagen")</f>
        <v/>
      </c>
      <c r="M1071" t="inlineStr">
        <is>
          <t>Moda</t>
        </is>
      </c>
    </row>
    <row r="1072">
      <c r="A1072" t="n">
        <v>1071</v>
      </c>
      <c r="B1072" t="inlineStr">
        <is>
          <t>A-490__431</t>
        </is>
      </c>
      <c r="C1072" s="1" t="n">
        <v>37.4833435539</v>
      </c>
      <c r="D1072" s="1" t="n">
        <v>-7.2219134071</v>
      </c>
      <c r="E1072" s="3" t="n">
        <v>2</v>
      </c>
      <c r="F1072" s="2" t="n">
        <v>1</v>
      </c>
      <c r="G1072" s="4" t="n">
        <v>2</v>
      </c>
      <c r="H1072" s="13" t="n"/>
      <c r="I1072" s="15" t="n"/>
      <c r="J1072" s="19" t="n">
        <v>2</v>
      </c>
      <c r="K1072" s="2" t="inlineStr">
        <is>
          <t>marker_331_754499.png</t>
        </is>
      </c>
      <c r="L1072" s="11">
        <f>HYPERLINK("2\1\" &amp; K1072, "Ver Imagen")</f>
        <v/>
      </c>
      <c r="M1072" t="inlineStr">
        <is>
          <t>Moda</t>
        </is>
      </c>
    </row>
    <row r="1073">
      <c r="A1073" t="n">
        <v>1072</v>
      </c>
      <c r="B1073" t="inlineStr">
        <is>
          <t>A-490__432</t>
        </is>
      </c>
      <c r="C1073" s="1" t="n">
        <v>37.4833883805</v>
      </c>
      <c r="D1073" s="1" t="n">
        <v>-7.2221399081</v>
      </c>
      <c r="E1073" s="3" t="n">
        <v>2</v>
      </c>
      <c r="F1073" s="2" t="n">
        <v>1</v>
      </c>
      <c r="G1073" s="4" t="n">
        <v>2</v>
      </c>
      <c r="H1073" s="13" t="n"/>
      <c r="I1073" s="15" t="n"/>
      <c r="J1073" s="19" t="n">
        <v>2</v>
      </c>
      <c r="K1073" s="2" t="inlineStr">
        <is>
          <t>marker_411_754517.png</t>
        </is>
      </c>
      <c r="L1073" s="11">
        <f>HYPERLINK("2\1\" &amp; K1073, "Ver Imagen")</f>
        <v/>
      </c>
      <c r="M1073" t="inlineStr">
        <is>
          <t>Moda</t>
        </is>
      </c>
    </row>
    <row r="1074">
      <c r="A1074" t="n">
        <v>1073</v>
      </c>
      <c r="B1074" t="inlineStr">
        <is>
          <t>A-490__447</t>
        </is>
      </c>
      <c r="C1074" s="1" t="n">
        <v>37.484110803</v>
      </c>
      <c r="D1074" s="1" t="n">
        <v>-7.22587919871</v>
      </c>
      <c r="E1074" s="3" t="n">
        <v>1</v>
      </c>
      <c r="F1074" s="2" t="n">
        <v>2</v>
      </c>
      <c r="G1074" s="4" t="n">
        <v>2</v>
      </c>
      <c r="H1074" s="13" t="n"/>
      <c r="I1074" s="15" t="n"/>
      <c r="J1074" s="19" t="n">
        <v>2</v>
      </c>
      <c r="K1074" s="2" t="inlineStr">
        <is>
          <t>marker_218_754973.png</t>
        </is>
      </c>
      <c r="L1074" s="11">
        <f>HYPERLINK("2\1\" &amp; K1074, "Ver Imagen")</f>
        <v/>
      </c>
      <c r="M1074" t="inlineStr">
        <is>
          <t>Moda</t>
        </is>
      </c>
    </row>
    <row r="1075">
      <c r="A1075" t="n">
        <v>1074</v>
      </c>
      <c r="B1075" t="inlineStr">
        <is>
          <t>A-490__455</t>
        </is>
      </c>
      <c r="C1075" s="1" t="n">
        <v>37.4844986773</v>
      </c>
      <c r="D1075" s="1" t="n">
        <v>-7.22787597117</v>
      </c>
      <c r="E1075" s="3" t="n">
        <v>1</v>
      </c>
      <c r="F1075" s="2" t="n">
        <v>2</v>
      </c>
      <c r="G1075" s="4" t="n">
        <v>2</v>
      </c>
      <c r="H1075" s="13" t="n"/>
      <c r="I1075" s="15" t="n"/>
      <c r="J1075" s="19" t="n">
        <v>2</v>
      </c>
      <c r="K1075" s="2" t="inlineStr">
        <is>
          <t>marker_230_755130.png</t>
        </is>
      </c>
      <c r="L1075" s="11">
        <f>HYPERLINK("2\1\" &amp; K1075, "Ver Imagen")</f>
        <v/>
      </c>
      <c r="M1075" t="inlineStr">
        <is>
          <t>Moda</t>
        </is>
      </c>
    </row>
    <row r="1076">
      <c r="A1076" t="n">
        <v>1075</v>
      </c>
      <c r="B1076" t="inlineStr">
        <is>
          <t>A-490__462</t>
        </is>
      </c>
      <c r="C1076" s="1" t="n">
        <v>37.4848375036</v>
      </c>
      <c r="D1076" s="1" t="n">
        <v>-7.22961071493</v>
      </c>
      <c r="E1076" s="3" t="n">
        <v>2</v>
      </c>
      <c r="F1076" s="2" t="n">
        <v>2</v>
      </c>
      <c r="G1076" s="4" t="n">
        <v>1</v>
      </c>
      <c r="H1076" s="13" t="n"/>
      <c r="I1076" s="15" t="n"/>
      <c r="J1076" s="19" t="n">
        <v>2</v>
      </c>
      <c r="K1076" s="2" t="inlineStr">
        <is>
          <t>marker_668_755252.png</t>
        </is>
      </c>
      <c r="L1076" s="11">
        <f>HYPERLINK("2\1\" &amp; K1076, "Ver Imagen")</f>
        <v/>
      </c>
      <c r="M1076" t="inlineStr">
        <is>
          <t>Moda</t>
        </is>
      </c>
    </row>
    <row r="1077">
      <c r="A1077" t="n">
        <v>1076</v>
      </c>
      <c r="B1077" t="inlineStr">
        <is>
          <t>A-490__464</t>
        </is>
      </c>
      <c r="C1077" s="1" t="n">
        <v>37.4849302165</v>
      </c>
      <c r="D1077" s="1" t="n">
        <v>-7.23008923194</v>
      </c>
      <c r="E1077" s="3" t="n">
        <v>1</v>
      </c>
      <c r="F1077" s="2" t="n">
        <v>2</v>
      </c>
      <c r="G1077" s="4" t="n">
        <v>2</v>
      </c>
      <c r="H1077" s="13" t="n"/>
      <c r="I1077" s="15" t="n"/>
      <c r="J1077" s="19" t="n">
        <v>2</v>
      </c>
      <c r="K1077" s="2" t="inlineStr">
        <is>
          <t>marker_588_755286.png</t>
        </is>
      </c>
      <c r="L1077" s="11">
        <f>HYPERLINK("2\1\" &amp; K1077, "Ver Imagen")</f>
        <v/>
      </c>
      <c r="M1077" t="inlineStr">
        <is>
          <t>Moda</t>
        </is>
      </c>
    </row>
    <row r="1078">
      <c r="A1078" t="n">
        <v>1077</v>
      </c>
      <c r="B1078" t="inlineStr">
        <is>
          <t>A-490__470</t>
        </is>
      </c>
      <c r="C1078" s="1" t="n">
        <v>37.4852135186</v>
      </c>
      <c r="D1078" s="1" t="n">
        <v>-7.23155601455</v>
      </c>
      <c r="E1078" s="3" t="n">
        <v>1</v>
      </c>
      <c r="F1078" s="2" t="n">
        <v>2</v>
      </c>
      <c r="G1078" s="4" t="n">
        <v>2</v>
      </c>
      <c r="H1078" s="13" t="n"/>
      <c r="I1078" s="15" t="n"/>
      <c r="J1078" s="19" t="n">
        <v>2</v>
      </c>
      <c r="K1078" s="2" t="inlineStr">
        <is>
          <t>marker_814_755399.png</t>
        </is>
      </c>
      <c r="L1078" s="11">
        <f>HYPERLINK("2\1\" &amp; K1078, "Ver Imagen")</f>
        <v/>
      </c>
      <c r="M1078" t="inlineStr">
        <is>
          <t>Moda</t>
        </is>
      </c>
    </row>
    <row r="1079">
      <c r="A1079" t="n">
        <v>1078</v>
      </c>
      <c r="B1079" t="inlineStr">
        <is>
          <t>A-490__474</t>
        </is>
      </c>
      <c r="C1079" s="1" t="n">
        <v>37.4853990663</v>
      </c>
      <c r="D1079" s="1" t="n">
        <v>-7.23253355789</v>
      </c>
      <c r="E1079" s="3" t="n">
        <v>1</v>
      </c>
      <c r="F1079" s="2" t="n">
        <v>2</v>
      </c>
      <c r="G1079" s="4" t="n">
        <v>2</v>
      </c>
      <c r="H1079" s="13" t="n"/>
      <c r="I1079" s="15" t="n"/>
      <c r="J1079" s="19" t="n">
        <v>2</v>
      </c>
      <c r="K1079" s="2" t="inlineStr">
        <is>
          <t>marker_678_755469.png</t>
        </is>
      </c>
      <c r="L1079" s="11">
        <f>HYPERLINK("2\1\" &amp; K1079, "Ver Imagen")</f>
        <v/>
      </c>
      <c r="M1079" t="inlineStr">
        <is>
          <t>Moda</t>
        </is>
      </c>
    </row>
    <row r="1080">
      <c r="A1080" t="n">
        <v>1079</v>
      </c>
      <c r="B1080" t="inlineStr">
        <is>
          <t>A-490__497</t>
        </is>
      </c>
      <c r="C1080" s="1" t="n">
        <v>37.486482768</v>
      </c>
      <c r="D1080" s="1" t="n">
        <v>-7.23817535293</v>
      </c>
      <c r="E1080" s="3" t="n">
        <v>1</v>
      </c>
      <c r="F1080" s="2" t="n">
        <v>2</v>
      </c>
      <c r="G1080" s="4" t="n">
        <v>2</v>
      </c>
      <c r="H1080" s="13" t="n"/>
      <c r="I1080" s="15" t="n"/>
      <c r="J1080" s="19" t="n">
        <v>2</v>
      </c>
      <c r="K1080" s="2" t="inlineStr">
        <is>
          <t>marker_490_817505.png</t>
        </is>
      </c>
      <c r="L1080" s="11">
        <f>HYPERLINK("2\1\" &amp; K1080, "Ver Imagen")</f>
        <v/>
      </c>
      <c r="M1080" t="inlineStr">
        <is>
          <t>Moda</t>
        </is>
      </c>
    </row>
    <row r="1081">
      <c r="A1081" t="n">
        <v>1080</v>
      </c>
      <c r="B1081" t="inlineStr">
        <is>
          <t>A-490__501</t>
        </is>
      </c>
      <c r="C1081" s="1" t="n">
        <v>37.4866836576</v>
      </c>
      <c r="D1081" s="1" t="n">
        <v>-7.23922189682</v>
      </c>
      <c r="E1081" s="3" t="n">
        <v>1</v>
      </c>
      <c r="F1081" s="2" t="n">
        <v>2</v>
      </c>
      <c r="G1081" s="4" t="n">
        <v>2</v>
      </c>
      <c r="H1081" s="13" t="n"/>
      <c r="I1081" s="15" t="n"/>
      <c r="J1081" s="19" t="n">
        <v>2</v>
      </c>
      <c r="K1081" s="2" t="inlineStr">
        <is>
          <t>marker_497_817604.png</t>
        </is>
      </c>
      <c r="L1081" s="11">
        <f>HYPERLINK("2\1\" &amp; K1081, "Ver Imagen")</f>
        <v/>
      </c>
      <c r="M1081" t="inlineStr">
        <is>
          <t>Moda</t>
        </is>
      </c>
    </row>
    <row r="1082">
      <c r="A1082" t="n">
        <v>1081</v>
      </c>
      <c r="B1082" t="inlineStr">
        <is>
          <t>A-490__502</t>
        </is>
      </c>
      <c r="C1082" s="1" t="n">
        <v>37.4867313249</v>
      </c>
      <c r="D1082" s="1" t="n">
        <v>-7.23946181853</v>
      </c>
      <c r="E1082" s="3" t="n">
        <v>1</v>
      </c>
      <c r="F1082" s="2" t="n">
        <v>2</v>
      </c>
      <c r="G1082" s="4" t="n">
        <v>2</v>
      </c>
      <c r="H1082" s="13" t="n"/>
      <c r="I1082" s="15" t="n"/>
      <c r="J1082" s="19" t="n">
        <v>2</v>
      </c>
      <c r="K1082" s="2" t="inlineStr">
        <is>
          <t>marker_782_817623.png</t>
        </is>
      </c>
      <c r="L1082" s="11">
        <f>HYPERLINK("2\1\" &amp; K1082, "Ver Imagen")</f>
        <v/>
      </c>
      <c r="M1082" t="inlineStr">
        <is>
          <t>Moda</t>
        </is>
      </c>
    </row>
    <row r="1083">
      <c r="A1083" t="n">
        <v>1082</v>
      </c>
      <c r="B1083" t="inlineStr">
        <is>
          <t>A-490__503</t>
        </is>
      </c>
      <c r="C1083" s="1" t="n">
        <v>37.4867795734</v>
      </c>
      <c r="D1083" s="1" t="n">
        <v>-7.23970268445</v>
      </c>
      <c r="E1083" s="3" t="n">
        <v>1</v>
      </c>
      <c r="F1083" s="2" t="n">
        <v>2</v>
      </c>
      <c r="G1083" s="4" t="n">
        <v>2</v>
      </c>
      <c r="H1083" s="13" t="n"/>
      <c r="I1083" s="15" t="n"/>
      <c r="J1083" s="19" t="n">
        <v>2</v>
      </c>
      <c r="K1083" s="2" t="inlineStr">
        <is>
          <t>marker_821_817638.png</t>
        </is>
      </c>
      <c r="L1083" s="11">
        <f>HYPERLINK("2\1\" &amp; K1083, "Ver Imagen")</f>
        <v/>
      </c>
      <c r="M1083" t="inlineStr">
        <is>
          <t>Moda</t>
        </is>
      </c>
    </row>
    <row r="1084">
      <c r="A1084" t="n">
        <v>1083</v>
      </c>
      <c r="B1084" t="inlineStr">
        <is>
          <t>A-490__506</t>
        </is>
      </c>
      <c r="C1084" s="1" t="n">
        <v>37.4869289156</v>
      </c>
      <c r="D1084" s="1" t="n">
        <v>-7.24049043459</v>
      </c>
      <c r="E1084" s="3" t="n">
        <v>1</v>
      </c>
      <c r="F1084" s="2" t="n">
        <v>2</v>
      </c>
      <c r="G1084" s="4" t="n">
        <v>2</v>
      </c>
      <c r="H1084" s="13" t="n"/>
      <c r="I1084" s="15" t="n"/>
      <c r="J1084" s="19" t="n">
        <v>2</v>
      </c>
      <c r="K1084" s="2" t="inlineStr">
        <is>
          <t>marker_638_817685.png</t>
        </is>
      </c>
      <c r="L1084" s="11">
        <f>HYPERLINK("2\1\" &amp; K1084, "Ver Imagen")</f>
        <v/>
      </c>
      <c r="M1084" t="inlineStr">
        <is>
          <t>Moda</t>
        </is>
      </c>
    </row>
    <row r="1085">
      <c r="A1085" t="n">
        <v>1084</v>
      </c>
      <c r="B1085" t="inlineStr">
        <is>
          <t>A-490__507</t>
        </is>
      </c>
      <c r="C1085" s="1" t="n">
        <v>37.4869614703</v>
      </c>
      <c r="D1085" s="1" t="n">
        <v>-7.24071125535</v>
      </c>
      <c r="E1085" s="3" t="n">
        <v>1</v>
      </c>
      <c r="F1085" s="2" t="n">
        <v>2</v>
      </c>
      <c r="G1085" s="4" t="n">
        <v>2</v>
      </c>
      <c r="H1085" s="13" t="n"/>
      <c r="I1085" s="15" t="n"/>
      <c r="J1085" s="19" t="n">
        <v>2</v>
      </c>
      <c r="K1085" s="2" t="inlineStr">
        <is>
          <t>marker_615_817712.png</t>
        </is>
      </c>
      <c r="L1085" s="11">
        <f>HYPERLINK("2\1\" &amp; K1085, "Ver Imagen")</f>
        <v/>
      </c>
      <c r="M1085" t="inlineStr">
        <is>
          <t>Moda</t>
        </is>
      </c>
    </row>
    <row r="1086">
      <c r="A1086" t="n">
        <v>1085</v>
      </c>
      <c r="B1086" t="inlineStr">
        <is>
          <t>A-490__512</t>
        </is>
      </c>
      <c r="C1086" s="1" t="n">
        <v>37.4870776839</v>
      </c>
      <c r="D1086" s="1" t="n">
        <v>-7.24195043127</v>
      </c>
      <c r="E1086" s="3" t="n">
        <v>1</v>
      </c>
      <c r="F1086" s="2" t="n">
        <v>2</v>
      </c>
      <c r="G1086" s="4" t="n">
        <v>2</v>
      </c>
      <c r="H1086" s="13" t="n"/>
      <c r="I1086" s="15" t="n"/>
      <c r="J1086" s="19" t="n">
        <v>2</v>
      </c>
      <c r="K1086" s="2" t="inlineStr">
        <is>
          <t>marker_952_817847.png</t>
        </is>
      </c>
      <c r="L1086" s="11">
        <f>HYPERLINK("2\1\" &amp; K1086, "Ver Imagen")</f>
        <v/>
      </c>
      <c r="M1086" t="inlineStr">
        <is>
          <t>Moda</t>
        </is>
      </c>
    </row>
    <row r="1087">
      <c r="A1087" t="n">
        <v>1086</v>
      </c>
      <c r="B1087" t="inlineStr">
        <is>
          <t>A-490__519</t>
        </is>
      </c>
      <c r="C1087" s="1" t="n">
        <v>37.4873270946</v>
      </c>
      <c r="D1087" s="1" t="n">
        <v>-7.24367349573</v>
      </c>
      <c r="E1087" s="3" t="n">
        <v>1</v>
      </c>
      <c r="F1087" s="2" t="n">
        <v>2</v>
      </c>
      <c r="G1087" s="4" t="n">
        <v>2</v>
      </c>
      <c r="H1087" s="13" t="n"/>
      <c r="I1087" s="15" t="n"/>
      <c r="J1087" s="19" t="n">
        <v>2</v>
      </c>
      <c r="K1087" s="2" t="inlineStr">
        <is>
          <t>marker_267_818045.png</t>
        </is>
      </c>
      <c r="L1087" s="11">
        <f>HYPERLINK("2\1\" &amp; K1087, "Ver Imagen")</f>
        <v/>
      </c>
      <c r="M1087" t="inlineStr">
        <is>
          <t>Moda</t>
        </is>
      </c>
    </row>
    <row r="1088">
      <c r="A1088" t="n">
        <v>1087</v>
      </c>
      <c r="B1088" t="inlineStr">
        <is>
          <t>A-490__534</t>
        </is>
      </c>
      <c r="C1088" s="1" t="n">
        <v>37.4886993661</v>
      </c>
      <c r="D1088" s="1" t="n">
        <v>-7.24714521853</v>
      </c>
      <c r="E1088" s="3" t="n">
        <v>1</v>
      </c>
      <c r="F1088" s="2" t="n">
        <v>2</v>
      </c>
      <c r="G1088" s="4" t="n">
        <v>2</v>
      </c>
      <c r="H1088" s="13" t="n"/>
      <c r="I1088" s="15" t="n"/>
      <c r="J1088" s="19" t="n">
        <v>2</v>
      </c>
      <c r="K1088" s="2" t="inlineStr">
        <is>
          <t>marker_458_818259.png</t>
        </is>
      </c>
      <c r="L1088" s="11">
        <f>HYPERLINK("2\1\" &amp; K1088, "Ver Imagen")</f>
        <v/>
      </c>
      <c r="M1088" t="inlineStr">
        <is>
          <t>Moda</t>
        </is>
      </c>
    </row>
    <row r="1089">
      <c r="A1089" t="n">
        <v>1088</v>
      </c>
      <c r="B1089" t="inlineStr">
        <is>
          <t>A-490__535</t>
        </is>
      </c>
      <c r="C1089" s="1" t="n">
        <v>37.4887847446</v>
      </c>
      <c r="D1089" s="1" t="n">
        <v>-7.24730743552</v>
      </c>
      <c r="E1089" s="3" t="n">
        <v>1</v>
      </c>
      <c r="F1089" s="2" t="n">
        <v>2</v>
      </c>
      <c r="G1089" s="4" t="n">
        <v>2</v>
      </c>
      <c r="H1089" s="13" t="n"/>
      <c r="I1089" s="15" t="n"/>
      <c r="J1089" s="19" t="n">
        <v>2</v>
      </c>
      <c r="K1089" s="2" t="inlineStr">
        <is>
          <t>marker_228_818277.png</t>
        </is>
      </c>
      <c r="L1089" s="11">
        <f>HYPERLINK("2\1\" &amp; K1089, "Ver Imagen")</f>
        <v/>
      </c>
      <c r="M1089" t="inlineStr">
        <is>
          <t>Moda</t>
        </is>
      </c>
    </row>
    <row r="1090">
      <c r="A1090" t="n">
        <v>1089</v>
      </c>
      <c r="B1090" t="inlineStr">
        <is>
          <t>A-490__594</t>
        </is>
      </c>
      <c r="C1090" s="1" t="n">
        <v>37.4911657648</v>
      </c>
      <c r="D1090" s="1" t="n">
        <v>-7.26068468316</v>
      </c>
      <c r="E1090" s="3" t="n">
        <v>2</v>
      </c>
      <c r="F1090" s="2" t="n">
        <v>2</v>
      </c>
      <c r="G1090" s="4" t="n">
        <v>3</v>
      </c>
      <c r="H1090" s="13" t="n"/>
      <c r="I1090" s="15" t="n"/>
      <c r="J1090" s="19" t="n">
        <v>2</v>
      </c>
      <c r="K1090" s="2" t="inlineStr">
        <is>
          <t>marker_923_819681.png</t>
        </is>
      </c>
      <c r="L1090" s="11">
        <f>HYPERLINK("2\1\" &amp; K1090, "Ver Imagen")</f>
        <v/>
      </c>
      <c r="M1090" t="inlineStr">
        <is>
          <t>Moda</t>
        </is>
      </c>
    </row>
    <row r="1091">
      <c r="A1091" t="n">
        <v>1090</v>
      </c>
      <c r="B1091" t="inlineStr">
        <is>
          <t>A-490__608</t>
        </is>
      </c>
      <c r="C1091" s="1" t="n">
        <v>37.4930601029</v>
      </c>
      <c r="D1091" s="1" t="n">
        <v>-7.26327345508</v>
      </c>
      <c r="E1091" s="3" t="n">
        <v>1</v>
      </c>
      <c r="F1091" s="2" t="n">
        <v>2</v>
      </c>
      <c r="G1091" s="4" t="n">
        <v>2</v>
      </c>
      <c r="H1091" s="13" t="n"/>
      <c r="I1091" s="15" t="n"/>
      <c r="J1091" s="19" t="n">
        <v>2</v>
      </c>
      <c r="K1091" s="2" t="inlineStr">
        <is>
          <t>marker_183_820184.png</t>
        </is>
      </c>
      <c r="L1091" s="11">
        <f>HYPERLINK("2\1\" &amp; K1091, "Ver Imagen")</f>
        <v/>
      </c>
      <c r="M1091" t="inlineStr">
        <is>
          <t>Moda</t>
        </is>
      </c>
    </row>
    <row r="1092">
      <c r="A1092" t="n">
        <v>1091</v>
      </c>
      <c r="B1092" t="inlineStr">
        <is>
          <t>A-492__39</t>
        </is>
      </c>
      <c r="C1092" s="1" t="n">
        <v>37.2783484075</v>
      </c>
      <c r="D1092" s="1" t="n">
        <v>-6.99312143569</v>
      </c>
      <c r="E1092" s="3" t="n">
        <v>2</v>
      </c>
      <c r="F1092" s="2" t="n">
        <v>2</v>
      </c>
      <c r="G1092" s="4" t="n">
        <v>3</v>
      </c>
      <c r="H1092" s="13" t="n"/>
      <c r="I1092" s="15" t="n"/>
      <c r="J1092" s="19" t="n">
        <v>2</v>
      </c>
      <c r="K1092" s="2" t="inlineStr">
        <is>
          <t>marker_713_822851.png</t>
        </is>
      </c>
      <c r="L1092" s="11">
        <f>HYPERLINK("2\1\" &amp; K1092, "Ver Imagen")</f>
        <v/>
      </c>
      <c r="M1092" t="inlineStr">
        <is>
          <t>Moda</t>
        </is>
      </c>
    </row>
    <row r="1093">
      <c r="A1093" t="n">
        <v>1092</v>
      </c>
      <c r="B1093" t="inlineStr">
        <is>
          <t>A-492__40</t>
        </is>
      </c>
      <c r="C1093" s="1" t="n">
        <v>37.2784620082</v>
      </c>
      <c r="D1093" s="1" t="n">
        <v>-6.9932942289</v>
      </c>
      <c r="E1093" s="3" t="n">
        <v>2</v>
      </c>
      <c r="F1093" s="2" t="n">
        <v>2</v>
      </c>
      <c r="G1093" s="4" t="n">
        <v>3</v>
      </c>
      <c r="H1093" s="13" t="n"/>
      <c r="I1093" s="15" t="n"/>
      <c r="J1093" s="19" t="n">
        <v>2</v>
      </c>
      <c r="K1093" s="2" t="inlineStr">
        <is>
          <t>marker_390_822861.png</t>
        </is>
      </c>
      <c r="L1093" s="11">
        <f>HYPERLINK("2\1\" &amp; K1093, "Ver Imagen")</f>
        <v/>
      </c>
      <c r="M1093" t="inlineStr">
        <is>
          <t>Moda</t>
        </is>
      </c>
    </row>
    <row r="1094">
      <c r="A1094" t="n">
        <v>1093</v>
      </c>
      <c r="B1094" t="inlineStr">
        <is>
          <t>A-492__41</t>
        </is>
      </c>
      <c r="C1094" s="1" t="n">
        <v>37.2785648914</v>
      </c>
      <c r="D1094" s="1" t="n">
        <v>-6.99346479297</v>
      </c>
      <c r="E1094" s="3" t="n">
        <v>1</v>
      </c>
      <c r="F1094" s="2" t="n">
        <v>2</v>
      </c>
      <c r="G1094" s="4" t="n">
        <v>2</v>
      </c>
      <c r="H1094" s="13" t="n"/>
      <c r="I1094" s="15" t="n"/>
      <c r="J1094" s="19" t="n">
        <v>2</v>
      </c>
      <c r="K1094" s="2" t="inlineStr">
        <is>
          <t>marker_671_822874.png</t>
        </is>
      </c>
      <c r="L1094" s="11">
        <f>HYPERLINK("2\1\" &amp; K1094, "Ver Imagen")</f>
        <v/>
      </c>
      <c r="M1094" t="inlineStr">
        <is>
          <t>Moda</t>
        </is>
      </c>
    </row>
    <row r="1095">
      <c r="A1095" t="n">
        <v>1094</v>
      </c>
      <c r="B1095" t="inlineStr">
        <is>
          <t>A-492__80</t>
        </is>
      </c>
      <c r="C1095" s="1" t="n">
        <v>37.2806248283</v>
      </c>
      <c r="D1095" s="1" t="n">
        <v>-7.00250739627</v>
      </c>
      <c r="E1095" s="3" t="n">
        <v>2</v>
      </c>
      <c r="F1095" s="2" t="n">
        <v>2</v>
      </c>
      <c r="G1095" s="4" t="n">
        <v>3</v>
      </c>
      <c r="H1095" s="13" t="n"/>
      <c r="I1095" s="15" t="n"/>
      <c r="J1095" s="19" t="n">
        <v>2</v>
      </c>
      <c r="K1095" s="2" t="inlineStr">
        <is>
          <t>marker_215_823490.png</t>
        </is>
      </c>
      <c r="L1095" s="11">
        <f>HYPERLINK("2\1\" &amp; K1095, "Ver Imagen")</f>
        <v/>
      </c>
      <c r="M1095" t="inlineStr">
        <is>
          <t>Moda</t>
        </is>
      </c>
    </row>
    <row r="1096">
      <c r="A1096" t="n">
        <v>1095</v>
      </c>
      <c r="B1096" t="inlineStr">
        <is>
          <t>A-492__83</t>
        </is>
      </c>
      <c r="C1096" s="1" t="n">
        <v>37.2807039591</v>
      </c>
      <c r="D1096" s="1" t="n">
        <v>-7.00328153657</v>
      </c>
      <c r="E1096" s="3" t="n">
        <v>2</v>
      </c>
      <c r="F1096" s="2" t="n">
        <v>2</v>
      </c>
      <c r="G1096" s="4" t="n">
        <v>3</v>
      </c>
      <c r="H1096" s="13" t="n"/>
      <c r="I1096" s="15" t="n"/>
      <c r="J1096" s="19" t="n">
        <v>2</v>
      </c>
      <c r="K1096" s="2" t="inlineStr">
        <is>
          <t>marker_804_823524.png</t>
        </is>
      </c>
      <c r="L1096" s="11">
        <f>HYPERLINK("2\1\" &amp; K1096, "Ver Imagen")</f>
        <v/>
      </c>
      <c r="M1096" t="inlineStr">
        <is>
          <t>Moda</t>
        </is>
      </c>
    </row>
    <row r="1097">
      <c r="A1097" t="n">
        <v>1096</v>
      </c>
      <c r="B1097" t="inlineStr">
        <is>
          <t>A-492__105</t>
        </is>
      </c>
      <c r="C1097" s="1" t="n">
        <v>37.2790680227</v>
      </c>
      <c r="D1097" s="1" t="n">
        <v>-7.00838586761</v>
      </c>
      <c r="E1097" s="3" t="n">
        <v>2</v>
      </c>
      <c r="F1097" s="2" t="n">
        <v>2</v>
      </c>
      <c r="G1097" s="4" t="n">
        <v>3</v>
      </c>
      <c r="H1097" s="13" t="n"/>
      <c r="I1097" s="15" t="n"/>
      <c r="J1097" s="19" t="n">
        <v>2</v>
      </c>
      <c r="K1097" s="2" t="inlineStr">
        <is>
          <t>marker_192_824213.png</t>
        </is>
      </c>
      <c r="L1097" s="11">
        <f>HYPERLINK("2\1\" &amp; K1097, "Ver Imagen")</f>
        <v/>
      </c>
      <c r="M1097" t="inlineStr">
        <is>
          <t>Moda</t>
        </is>
      </c>
    </row>
    <row r="1098">
      <c r="A1098" t="n">
        <v>1097</v>
      </c>
      <c r="B1098" t="inlineStr">
        <is>
          <t>A-492__107</t>
        </is>
      </c>
      <c r="C1098" s="1" t="n">
        <v>37.2788921608</v>
      </c>
      <c r="D1098" s="1" t="n">
        <v>-7.0088355695</v>
      </c>
      <c r="E1098" s="3" t="n">
        <v>2</v>
      </c>
      <c r="F1098" s="2" t="n">
        <v>2</v>
      </c>
      <c r="G1098" s="4" t="n">
        <v>3</v>
      </c>
      <c r="H1098" s="13" t="n"/>
      <c r="I1098" s="15" t="n"/>
      <c r="J1098" s="19" t="n">
        <v>2</v>
      </c>
      <c r="K1098" s="2" t="inlineStr">
        <is>
          <t>marker_755_824256.png</t>
        </is>
      </c>
      <c r="L1098" s="11">
        <f>HYPERLINK("2\1\" &amp; K1098, "Ver Imagen")</f>
        <v/>
      </c>
      <c r="M1098" t="inlineStr">
        <is>
          <t>Moda</t>
        </is>
      </c>
    </row>
    <row r="1099">
      <c r="A1099" t="n">
        <v>1098</v>
      </c>
      <c r="B1099" t="inlineStr">
        <is>
          <t>A-492__110</t>
        </is>
      </c>
      <c r="C1099" s="1" t="n">
        <v>37.2786058561</v>
      </c>
      <c r="D1099" s="1" t="n">
        <v>-7.00953555378</v>
      </c>
      <c r="E1099" s="3" t="n">
        <v>2</v>
      </c>
      <c r="F1099" s="2" t="n">
        <v>2</v>
      </c>
      <c r="G1099" s="4" t="n">
        <v>3</v>
      </c>
      <c r="H1099" s="13" t="n"/>
      <c r="I1099" s="15" t="n"/>
      <c r="J1099" s="19" t="n">
        <v>2</v>
      </c>
      <c r="K1099" s="2" t="inlineStr">
        <is>
          <t>marker_537_824290.png</t>
        </is>
      </c>
      <c r="L1099" s="11">
        <f>HYPERLINK("2\1\" &amp; K1099, "Ver Imagen")</f>
        <v/>
      </c>
      <c r="M1099" t="inlineStr">
        <is>
          <t>Moda</t>
        </is>
      </c>
    </row>
    <row r="1100">
      <c r="A1100" t="n">
        <v>1099</v>
      </c>
      <c r="B1100" t="inlineStr">
        <is>
          <t>A-492__120</t>
        </is>
      </c>
      <c r="C1100" s="1" t="n">
        <v>37.2774943573</v>
      </c>
      <c r="D1100" s="1" t="n">
        <v>-7.01164909189</v>
      </c>
      <c r="E1100" s="3" t="n">
        <v>2</v>
      </c>
      <c r="F1100" s="2" t="n">
        <v>2</v>
      </c>
      <c r="G1100" s="4" t="n">
        <v>3</v>
      </c>
      <c r="H1100" s="13" t="n"/>
      <c r="I1100" s="15" t="n"/>
      <c r="J1100" s="19" t="n">
        <v>2</v>
      </c>
      <c r="K1100" s="2" t="inlineStr">
        <is>
          <t>marker_283_824423.png</t>
        </is>
      </c>
      <c r="L1100" s="11">
        <f>HYPERLINK("2\1\" &amp; K1100, "Ver Imagen")</f>
        <v/>
      </c>
      <c r="M1100" t="inlineStr">
        <is>
          <t>Moda</t>
        </is>
      </c>
    </row>
    <row r="1101">
      <c r="A1101" t="n">
        <v>1100</v>
      </c>
      <c r="B1101" t="inlineStr">
        <is>
          <t>A-492__145</t>
        </is>
      </c>
      <c r="C1101" s="1" t="n">
        <v>37.2753818101</v>
      </c>
      <c r="D1101" s="1" t="n">
        <v>-7.01699800517</v>
      </c>
      <c r="E1101" s="3" t="n">
        <v>1</v>
      </c>
      <c r="F1101" s="2" t="n">
        <v>2</v>
      </c>
      <c r="G1101" s="4" t="n">
        <v>2</v>
      </c>
      <c r="H1101" s="13" t="n"/>
      <c r="I1101" s="15" t="n"/>
      <c r="J1101" s="19" t="n">
        <v>2</v>
      </c>
      <c r="K1101" s="2" t="inlineStr">
        <is>
          <t>marker_145_824736.png</t>
        </is>
      </c>
      <c r="L1101" s="11">
        <f>HYPERLINK("2\1\" &amp; K1101, "Ver Imagen")</f>
        <v/>
      </c>
      <c r="M1101" t="inlineStr">
        <is>
          <t>Moda</t>
        </is>
      </c>
    </row>
    <row r="1102">
      <c r="A1102" t="n">
        <v>1101</v>
      </c>
      <c r="B1102" t="inlineStr">
        <is>
          <t>A-492__148</t>
        </is>
      </c>
      <c r="C1102" s="1" t="n">
        <v>37.275478497</v>
      </c>
      <c r="D1102" s="1" t="n">
        <v>-7.01777374229</v>
      </c>
      <c r="E1102" s="3" t="n">
        <v>1</v>
      </c>
      <c r="F1102" s="2" t="n">
        <v>2</v>
      </c>
      <c r="G1102" s="4" t="n">
        <v>2</v>
      </c>
      <c r="H1102" s="13" t="n"/>
      <c r="I1102" s="15" t="n"/>
      <c r="J1102" s="19" t="n">
        <v>2</v>
      </c>
      <c r="K1102" s="2" t="inlineStr">
        <is>
          <t>marker_534_824772.png</t>
        </is>
      </c>
      <c r="L1102" s="11">
        <f>HYPERLINK("2\1\" &amp; K1102, "Ver Imagen")</f>
        <v/>
      </c>
      <c r="M1102" t="inlineStr">
        <is>
          <t>Moda</t>
        </is>
      </c>
    </row>
    <row r="1103">
      <c r="A1103" t="n">
        <v>1102</v>
      </c>
      <c r="B1103" t="inlineStr">
        <is>
          <t>A-492__149</t>
        </is>
      </c>
      <c r="C1103" s="1" t="n">
        <v>37.2755130914</v>
      </c>
      <c r="D1103" s="1" t="n">
        <v>-7.01802257591</v>
      </c>
      <c r="E1103" s="3" t="n">
        <v>1</v>
      </c>
      <c r="F1103" s="2" t="n">
        <v>2</v>
      </c>
      <c r="G1103" s="4" t="n">
        <v>2</v>
      </c>
      <c r="H1103" s="13" t="n"/>
      <c r="I1103" s="15" t="n"/>
      <c r="J1103" s="19" t="n">
        <v>2</v>
      </c>
      <c r="K1103" s="2" t="inlineStr">
        <is>
          <t>marker_541_824791.png</t>
        </is>
      </c>
      <c r="L1103" s="11">
        <f>HYPERLINK("2\1\" &amp; K1103, "Ver Imagen")</f>
        <v/>
      </c>
      <c r="M1103" t="inlineStr">
        <is>
          <t>Moda</t>
        </is>
      </c>
    </row>
    <row r="1104">
      <c r="A1104" t="n">
        <v>1103</v>
      </c>
      <c r="B1104" t="inlineStr">
        <is>
          <t>A-492__151</t>
        </is>
      </c>
      <c r="C1104" s="1" t="n">
        <v>37.2755798006</v>
      </c>
      <c r="D1104" s="1" t="n">
        <v>-7.0184888852</v>
      </c>
      <c r="E1104" s="3" t="n">
        <v>1</v>
      </c>
      <c r="F1104" s="2" t="n">
        <v>2</v>
      </c>
      <c r="G1104" s="4" t="n">
        <v>2</v>
      </c>
      <c r="H1104" s="13" t="n"/>
      <c r="I1104" s="15" t="n"/>
      <c r="J1104" s="19" t="n">
        <v>2</v>
      </c>
      <c r="K1104" s="2" t="inlineStr">
        <is>
          <t>marker_326_824813.png</t>
        </is>
      </c>
      <c r="L1104" s="11">
        <f>HYPERLINK("2\1\" &amp; K1104, "Ver Imagen")</f>
        <v/>
      </c>
      <c r="M1104" t="inlineStr">
        <is>
          <t>Moda</t>
        </is>
      </c>
    </row>
    <row r="1105">
      <c r="A1105" t="n">
        <v>1104</v>
      </c>
      <c r="B1105" t="inlineStr">
        <is>
          <t>A-492__160</t>
        </is>
      </c>
      <c r="C1105" s="1" t="n">
        <v>37.2758908804</v>
      </c>
      <c r="D1105" s="1" t="n">
        <v>-7.02079249908</v>
      </c>
      <c r="E1105" s="3" t="n">
        <v>2</v>
      </c>
      <c r="F1105" s="2" t="n">
        <v>2</v>
      </c>
      <c r="G1105" s="4" t="n">
        <v>3</v>
      </c>
      <c r="H1105" s="13" t="n"/>
      <c r="I1105" s="15" t="n"/>
      <c r="J1105" s="19" t="n">
        <v>2</v>
      </c>
      <c r="K1105" s="2" t="inlineStr">
        <is>
          <t>marker_486_824957.png</t>
        </is>
      </c>
      <c r="L1105" s="11">
        <f>HYPERLINK("2\1\" &amp; K1105, "Ver Imagen")</f>
        <v/>
      </c>
      <c r="M1105" t="inlineStr">
        <is>
          <t>Moda</t>
        </is>
      </c>
    </row>
    <row r="1106">
      <c r="A1106" t="n">
        <v>1105</v>
      </c>
      <c r="B1106" t="inlineStr">
        <is>
          <t>A-492__161</t>
        </is>
      </c>
      <c r="C1106" s="1" t="n">
        <v>37.275912108</v>
      </c>
      <c r="D1106" s="1" t="n">
        <v>-7.02095196588</v>
      </c>
      <c r="E1106" s="3" t="n">
        <v>2</v>
      </c>
      <c r="F1106" s="2" t="n">
        <v>2</v>
      </c>
      <c r="G1106" s="4" t="n">
        <v>3</v>
      </c>
      <c r="H1106" s="13" t="n"/>
      <c r="I1106" s="15" t="n"/>
      <c r="J1106" s="19" t="n">
        <v>2</v>
      </c>
      <c r="K1106" s="2" t="inlineStr">
        <is>
          <t>marker_375_831330.png</t>
        </is>
      </c>
      <c r="L1106" s="11">
        <f>HYPERLINK("2\1\" &amp; K1106, "Ver Imagen")</f>
        <v/>
      </c>
      <c r="M1106" t="inlineStr">
        <is>
          <t>Moda</t>
        </is>
      </c>
    </row>
    <row r="1107">
      <c r="A1107" t="n">
        <v>1106</v>
      </c>
      <c r="B1107" t="inlineStr">
        <is>
          <t>A-492__176</t>
        </is>
      </c>
      <c r="C1107" s="1" t="n">
        <v>37.2764383727</v>
      </c>
      <c r="D1107" s="1" t="n">
        <v>-7.02472882064</v>
      </c>
      <c r="E1107" s="3" t="n">
        <v>2</v>
      </c>
      <c r="F1107" s="2" t="n">
        <v>2</v>
      </c>
      <c r="G1107" s="4" t="n">
        <v>3</v>
      </c>
      <c r="H1107" s="13" t="n"/>
      <c r="I1107" s="15" t="n"/>
      <c r="J1107" s="19" t="n">
        <v>2</v>
      </c>
      <c r="K1107" s="2" t="inlineStr">
        <is>
          <t>marker_664_831548.png</t>
        </is>
      </c>
      <c r="L1107" s="11">
        <f>HYPERLINK("2\1\" &amp; K1107, "Ver Imagen")</f>
        <v/>
      </c>
      <c r="M1107" t="inlineStr">
        <is>
          <t>Moda</t>
        </is>
      </c>
    </row>
    <row r="1108">
      <c r="A1108" t="n">
        <v>1107</v>
      </c>
      <c r="B1108" t="inlineStr">
        <is>
          <t>A-492__177</t>
        </is>
      </c>
      <c r="C1108" s="1" t="n">
        <v>37.2764889934</v>
      </c>
      <c r="D1108" s="1" t="n">
        <v>-7.02507453295</v>
      </c>
      <c r="E1108" s="3" t="n">
        <v>2</v>
      </c>
      <c r="F1108" s="2" t="n">
        <v>2</v>
      </c>
      <c r="G1108" s="4" t="n">
        <v>3</v>
      </c>
      <c r="H1108" s="13" t="n"/>
      <c r="I1108" s="15" t="n"/>
      <c r="J1108" s="19" t="n">
        <v>2</v>
      </c>
      <c r="K1108" s="2" t="inlineStr">
        <is>
          <t>marker_689_831563.png</t>
        </is>
      </c>
      <c r="L1108" s="11">
        <f>HYPERLINK("2\1\" &amp; K1108, "Ver Imagen")</f>
        <v/>
      </c>
      <c r="M1108" t="inlineStr">
        <is>
          <t>Moda</t>
        </is>
      </c>
    </row>
    <row r="1109">
      <c r="A1109" t="n">
        <v>1108</v>
      </c>
      <c r="B1109" t="inlineStr">
        <is>
          <t>A-492__178</t>
        </is>
      </c>
      <c r="C1109" s="1" t="n">
        <v>37.2765168543</v>
      </c>
      <c r="D1109" s="1" t="n">
        <v>-7.02527004104</v>
      </c>
      <c r="E1109" s="3" t="n">
        <v>2</v>
      </c>
      <c r="F1109" s="2" t="n">
        <v>2</v>
      </c>
      <c r="G1109" s="4" t="n">
        <v>3</v>
      </c>
      <c r="H1109" s="13" t="n"/>
      <c r="I1109" s="15" t="n"/>
      <c r="J1109" s="19" t="n">
        <v>2</v>
      </c>
      <c r="K1109" s="2" t="inlineStr">
        <is>
          <t>marker_901_831582.png</t>
        </is>
      </c>
      <c r="L1109" s="11">
        <f>HYPERLINK("2\1\" &amp; K1109, "Ver Imagen")</f>
        <v/>
      </c>
      <c r="M1109" t="inlineStr">
        <is>
          <t>Moda</t>
        </is>
      </c>
    </row>
    <row r="1110">
      <c r="A1110" t="n">
        <v>1109</v>
      </c>
      <c r="B1110" t="inlineStr">
        <is>
          <t>A-492__179</t>
        </is>
      </c>
      <c r="C1110" s="1" t="n">
        <v>37.2765484822</v>
      </c>
      <c r="D1110" s="1" t="n">
        <v>-7.02549559768</v>
      </c>
      <c r="E1110" s="3" t="n">
        <v>2</v>
      </c>
      <c r="F1110" s="2" t="n">
        <v>2</v>
      </c>
      <c r="G1110" s="4" t="n">
        <v>3</v>
      </c>
      <c r="H1110" s="13" t="n"/>
      <c r="I1110" s="15" t="n"/>
      <c r="J1110" s="19" t="n">
        <v>2</v>
      </c>
      <c r="K1110" s="2" t="inlineStr">
        <is>
          <t>marker_613_831594.png</t>
        </is>
      </c>
      <c r="L1110" s="11">
        <f>HYPERLINK("2\1\" &amp; K1110, "Ver Imagen")</f>
        <v/>
      </c>
      <c r="M1110" t="inlineStr">
        <is>
          <t>Moda</t>
        </is>
      </c>
    </row>
    <row r="1111">
      <c r="A1111" t="n">
        <v>1110</v>
      </c>
      <c r="B1111" t="inlineStr">
        <is>
          <t>A-492__183</t>
        </is>
      </c>
      <c r="C1111" s="1" t="n">
        <v>37.276687866</v>
      </c>
      <c r="D1111" s="1" t="n">
        <v>-7.0265011481</v>
      </c>
      <c r="E1111" s="3" t="n">
        <v>2</v>
      </c>
      <c r="F1111" s="2" t="n">
        <v>2</v>
      </c>
      <c r="G1111" s="4" t="n">
        <v>3</v>
      </c>
      <c r="H1111" s="13" t="n"/>
      <c r="I1111" s="15" t="n"/>
      <c r="J1111" s="19" t="n">
        <v>2</v>
      </c>
      <c r="K1111" s="2" t="inlineStr">
        <is>
          <t>marker_644_831673.png</t>
        </is>
      </c>
      <c r="L1111" s="11">
        <f>HYPERLINK("2\1\" &amp; K1111, "Ver Imagen")</f>
        <v/>
      </c>
      <c r="M1111" t="inlineStr">
        <is>
          <t>Moda</t>
        </is>
      </c>
    </row>
    <row r="1112">
      <c r="A1112" t="n">
        <v>1111</v>
      </c>
      <c r="B1112" t="inlineStr">
        <is>
          <t>A-492__184</t>
        </is>
      </c>
      <c r="C1112" s="1" t="n">
        <v>37.2767304585</v>
      </c>
      <c r="D1112" s="1" t="n">
        <v>-7.02675909174</v>
      </c>
      <c r="E1112" s="3" t="n">
        <v>2</v>
      </c>
      <c r="F1112" s="2" t="n">
        <v>2</v>
      </c>
      <c r="G1112" s="4" t="n">
        <v>3</v>
      </c>
      <c r="H1112" s="13" t="n"/>
      <c r="I1112" s="15" t="n"/>
      <c r="J1112" s="19" t="n">
        <v>2</v>
      </c>
      <c r="K1112" s="2" t="inlineStr">
        <is>
          <t>marker_293_831692.png</t>
        </is>
      </c>
      <c r="L1112" s="11">
        <f>HYPERLINK("2\1\" &amp; K1112, "Ver Imagen")</f>
        <v/>
      </c>
      <c r="M1112" t="inlineStr">
        <is>
          <t>Moda</t>
        </is>
      </c>
    </row>
    <row r="1113">
      <c r="A1113" t="n">
        <v>1112</v>
      </c>
      <c r="B1113" t="inlineStr">
        <is>
          <t>A-492__185</t>
        </is>
      </c>
      <c r="C1113" s="1" t="n">
        <v>37.2767701075</v>
      </c>
      <c r="D1113" s="1" t="n">
        <v>-7.02696464613</v>
      </c>
      <c r="E1113" s="3" t="n">
        <v>2</v>
      </c>
      <c r="F1113" s="2" t="n">
        <v>2</v>
      </c>
      <c r="G1113" s="4" t="n">
        <v>3</v>
      </c>
      <c r="H1113" s="13" t="n"/>
      <c r="I1113" s="15" t="n"/>
      <c r="J1113" s="19" t="n">
        <v>2</v>
      </c>
      <c r="K1113" s="2" t="inlineStr">
        <is>
          <t>marker_676_831702.png</t>
        </is>
      </c>
      <c r="L1113" s="11">
        <f>HYPERLINK("2\1\" &amp; K1113, "Ver Imagen")</f>
        <v/>
      </c>
      <c r="M1113" t="inlineStr">
        <is>
          <t>Moda</t>
        </is>
      </c>
    </row>
    <row r="1114">
      <c r="A1114" t="n">
        <v>1113</v>
      </c>
      <c r="B1114" t="inlineStr">
        <is>
          <t>A-492__186</t>
        </is>
      </c>
      <c r="C1114" s="1" t="n">
        <v>37.2768218377</v>
      </c>
      <c r="D1114" s="1" t="n">
        <v>-7.0271961272</v>
      </c>
      <c r="E1114" s="3" t="n">
        <v>2</v>
      </c>
      <c r="F1114" s="2" t="n">
        <v>2</v>
      </c>
      <c r="G1114" s="4" t="n">
        <v>3</v>
      </c>
      <c r="H1114" s="13" t="n"/>
      <c r="I1114" s="15" t="n"/>
      <c r="J1114" s="19" t="n">
        <v>2</v>
      </c>
      <c r="K1114" s="2" t="inlineStr">
        <is>
          <t>marker_913_831744.png</t>
        </is>
      </c>
      <c r="L1114" s="11">
        <f>HYPERLINK("2\1\" &amp; K1114, "Ver Imagen")</f>
        <v/>
      </c>
      <c r="M1114" t="inlineStr">
        <is>
          <t>Moda</t>
        </is>
      </c>
    </row>
    <row r="1115">
      <c r="A1115" t="n">
        <v>1114</v>
      </c>
      <c r="B1115" t="inlineStr">
        <is>
          <t>A-492__190</t>
        </is>
      </c>
      <c r="C1115" s="1" t="n">
        <v>37.2771430424</v>
      </c>
      <c r="D1115" s="1" t="n">
        <v>-7.02816440558</v>
      </c>
      <c r="E1115" s="3" t="n">
        <v>2</v>
      </c>
      <c r="F1115" s="2" t="n">
        <v>2</v>
      </c>
      <c r="G1115" s="4" t="n">
        <v>3</v>
      </c>
      <c r="H1115" s="13" t="n"/>
      <c r="I1115" s="15" t="n"/>
      <c r="J1115" s="19" t="n">
        <v>2</v>
      </c>
      <c r="K1115" s="2" t="inlineStr">
        <is>
          <t>marker_793_831803.png</t>
        </is>
      </c>
      <c r="L1115" s="11">
        <f>HYPERLINK("2\1\" &amp; K1115, "Ver Imagen")</f>
        <v/>
      </c>
      <c r="M1115" t="inlineStr">
        <is>
          <t>Moda</t>
        </is>
      </c>
    </row>
    <row r="1116">
      <c r="A1116" t="n">
        <v>1115</v>
      </c>
      <c r="B1116" t="inlineStr">
        <is>
          <t>A-492__193</t>
        </is>
      </c>
      <c r="C1116" s="1" t="n">
        <v>37.2774670574</v>
      </c>
      <c r="D1116" s="1" t="n">
        <v>-7.02878075166</v>
      </c>
      <c r="E1116" s="3" t="n">
        <v>2</v>
      </c>
      <c r="F1116" s="2" t="n">
        <v>2</v>
      </c>
      <c r="G1116" s="4" t="n">
        <v>3</v>
      </c>
      <c r="H1116" s="13" t="n"/>
      <c r="I1116" s="15" t="n"/>
      <c r="J1116" s="19" t="n">
        <v>2</v>
      </c>
      <c r="K1116" s="2" t="inlineStr">
        <is>
          <t>marker_894_831838.png</t>
        </is>
      </c>
      <c r="L1116" s="11">
        <f>HYPERLINK("2\1\" &amp; K1116, "Ver Imagen")</f>
        <v/>
      </c>
      <c r="M1116" t="inlineStr">
        <is>
          <t>Moda</t>
        </is>
      </c>
    </row>
    <row r="1117">
      <c r="A1117" t="n">
        <v>1116</v>
      </c>
      <c r="B1117" t="inlineStr">
        <is>
          <t>A-492__194</t>
        </is>
      </c>
      <c r="C1117" s="1" t="n">
        <v>37.2775869364</v>
      </c>
      <c r="D1117" s="1" t="n">
        <v>-7.02896623764</v>
      </c>
      <c r="E1117" s="3" t="n">
        <v>2</v>
      </c>
      <c r="F1117" s="2" t="n">
        <v>2</v>
      </c>
      <c r="G1117" s="4" t="n">
        <v>3</v>
      </c>
      <c r="H1117" s="13" t="n"/>
      <c r="I1117" s="15" t="n"/>
      <c r="J1117" s="19" t="n">
        <v>2</v>
      </c>
      <c r="K1117" s="2" t="inlineStr">
        <is>
          <t>marker_722_831853.png</t>
        </is>
      </c>
      <c r="L1117" s="11">
        <f>HYPERLINK("2\1\" &amp; K1117, "Ver Imagen")</f>
        <v/>
      </c>
      <c r="M1117" t="inlineStr">
        <is>
          <t>Moda</t>
        </is>
      </c>
    </row>
    <row r="1118">
      <c r="A1118" t="n">
        <v>1117</v>
      </c>
      <c r="B1118" t="inlineStr">
        <is>
          <t>A-492__195</t>
        </is>
      </c>
      <c r="C1118" s="1" t="n">
        <v>37.2777347093</v>
      </c>
      <c r="D1118" s="1" t="n">
        <v>-7.02917295894</v>
      </c>
      <c r="E1118" s="3" t="n">
        <v>2</v>
      </c>
      <c r="F1118" s="2" t="n">
        <v>2</v>
      </c>
      <c r="G1118" s="4" t="n">
        <v>3</v>
      </c>
      <c r="H1118" s="13" t="n"/>
      <c r="I1118" s="15" t="n"/>
      <c r="J1118" s="19" t="n">
        <v>2</v>
      </c>
      <c r="K1118" s="2" t="inlineStr">
        <is>
          <t>marker_346_831863.png</t>
        </is>
      </c>
      <c r="L1118" s="11">
        <f>HYPERLINK("2\1\" &amp; K1118, "Ver Imagen")</f>
        <v/>
      </c>
      <c r="M1118" t="inlineStr">
        <is>
          <t>Moda</t>
        </is>
      </c>
    </row>
    <row r="1119">
      <c r="A1119" t="n">
        <v>1118</v>
      </c>
      <c r="B1119" t="inlineStr">
        <is>
          <t>A-492__196</t>
        </is>
      </c>
      <c r="C1119" s="1" t="n">
        <v>37.2778985626</v>
      </c>
      <c r="D1119" s="1" t="n">
        <v>-7.02937490419</v>
      </c>
      <c r="E1119" s="3" t="n">
        <v>2</v>
      </c>
      <c r="F1119" s="2" t="n">
        <v>2</v>
      </c>
      <c r="G1119" s="4" t="n">
        <v>3</v>
      </c>
      <c r="H1119" s="13" t="n"/>
      <c r="I1119" s="15" t="n"/>
      <c r="J1119" s="19" t="n">
        <v>2</v>
      </c>
      <c r="K1119" s="2" t="inlineStr">
        <is>
          <t>marker_663_831875.png</t>
        </is>
      </c>
      <c r="L1119" s="11">
        <f>HYPERLINK("2\1\" &amp; K1119, "Ver Imagen")</f>
        <v/>
      </c>
      <c r="M1119" t="inlineStr">
        <is>
          <t>Moda</t>
        </is>
      </c>
    </row>
    <row r="1120">
      <c r="A1120" t="n">
        <v>1119</v>
      </c>
      <c r="B1120" t="inlineStr">
        <is>
          <t>A-492__197</t>
        </is>
      </c>
      <c r="C1120" s="1" t="n">
        <v>37.2780328789</v>
      </c>
      <c r="D1120" s="1" t="n">
        <v>-7.02952313028</v>
      </c>
      <c r="E1120" s="3" t="n">
        <v>2</v>
      </c>
      <c r="F1120" s="2" t="n">
        <v>2</v>
      </c>
      <c r="G1120" s="4" t="n">
        <v>3</v>
      </c>
      <c r="H1120" s="13" t="n"/>
      <c r="I1120" s="15" t="n"/>
      <c r="J1120" s="19" t="n">
        <v>2</v>
      </c>
      <c r="K1120" s="2" t="inlineStr">
        <is>
          <t>marker_167_831886.png</t>
        </is>
      </c>
      <c r="L1120" s="11">
        <f>HYPERLINK("2\1\" &amp; K1120, "Ver Imagen")</f>
        <v/>
      </c>
      <c r="M1120" t="inlineStr">
        <is>
          <t>Moda</t>
        </is>
      </c>
    </row>
    <row r="1121">
      <c r="A1121" t="n">
        <v>1120</v>
      </c>
      <c r="B1121" t="inlineStr">
        <is>
          <t>A-492__198</t>
        </is>
      </c>
      <c r="C1121" s="1" t="n">
        <v>37.2781775133</v>
      </c>
      <c r="D1121" s="1" t="n">
        <v>-7.02966940064</v>
      </c>
      <c r="E1121" s="3" t="n">
        <v>2</v>
      </c>
      <c r="F1121" s="2" t="n">
        <v>2</v>
      </c>
      <c r="G1121" s="4" t="n">
        <v>3</v>
      </c>
      <c r="H1121" s="13" t="n"/>
      <c r="I1121" s="15" t="n"/>
      <c r="J1121" s="19" t="n">
        <v>2</v>
      </c>
      <c r="K1121" s="2" t="inlineStr">
        <is>
          <t>marker_481_831896.png</t>
        </is>
      </c>
      <c r="L1121" s="11">
        <f>HYPERLINK("2\1\" &amp; K1121, "Ver Imagen")</f>
        <v/>
      </c>
      <c r="M1121" t="inlineStr">
        <is>
          <t>Moda</t>
        </is>
      </c>
    </row>
    <row r="1122">
      <c r="A1122" t="n">
        <v>1121</v>
      </c>
      <c r="B1122" t="inlineStr">
        <is>
          <t>A-492__202</t>
        </is>
      </c>
      <c r="C1122" s="1" t="n">
        <v>37.2788351741</v>
      </c>
      <c r="D1122" s="1" t="n">
        <v>-7.03028033173</v>
      </c>
      <c r="E1122" s="3" t="n">
        <v>2</v>
      </c>
      <c r="F1122" s="2" t="n">
        <v>2</v>
      </c>
      <c r="G1122" s="4" t="n">
        <v>3</v>
      </c>
      <c r="H1122" s="13" t="n"/>
      <c r="I1122" s="15" t="n"/>
      <c r="J1122" s="19" t="n">
        <v>2</v>
      </c>
      <c r="K1122" s="2" t="inlineStr">
        <is>
          <t>marker_730_831946.png</t>
        </is>
      </c>
      <c r="L1122" s="11">
        <f>HYPERLINK("2\1\" &amp; K1122, "Ver Imagen")</f>
        <v/>
      </c>
      <c r="M1122" t="inlineStr">
        <is>
          <t>Moda</t>
        </is>
      </c>
    </row>
    <row r="1123">
      <c r="A1123" t="n">
        <v>1122</v>
      </c>
      <c r="B1123" t="inlineStr">
        <is>
          <t>A-492__206</t>
        </is>
      </c>
      <c r="C1123" s="1" t="n">
        <v>37.2794872153</v>
      </c>
      <c r="D1123" s="1" t="n">
        <v>-7.03088052132</v>
      </c>
      <c r="E1123" s="3" t="n">
        <v>2</v>
      </c>
      <c r="F1123" s="2" t="n">
        <v>2</v>
      </c>
      <c r="G1123" s="4" t="n">
        <v>3</v>
      </c>
      <c r="H1123" s="13" t="n"/>
      <c r="I1123" s="15" t="n"/>
      <c r="J1123" s="19" t="n">
        <v>2</v>
      </c>
      <c r="K1123" s="2" t="inlineStr">
        <is>
          <t>marker_879_831990.png</t>
        </is>
      </c>
      <c r="L1123" s="11">
        <f>HYPERLINK("2\1\" &amp; K1123, "Ver Imagen")</f>
        <v/>
      </c>
      <c r="M1123" t="inlineStr">
        <is>
          <t>Moda</t>
        </is>
      </c>
    </row>
    <row r="1124">
      <c r="A1124" t="n">
        <v>1123</v>
      </c>
      <c r="B1124" t="inlineStr">
        <is>
          <t>A-492__209</t>
        </is>
      </c>
      <c r="C1124" s="1" t="n">
        <v>37.2799845644</v>
      </c>
      <c r="D1124" s="1" t="n">
        <v>-7.03131442821</v>
      </c>
      <c r="E1124" s="3" t="n">
        <v>1</v>
      </c>
      <c r="F1124" s="2" t="n">
        <v>2</v>
      </c>
      <c r="G1124" s="4" t="n">
        <v>2</v>
      </c>
      <c r="H1124" s="13" t="n"/>
      <c r="I1124" s="15" t="n"/>
      <c r="J1124" s="19" t="n">
        <v>2</v>
      </c>
      <c r="K1124" s="2" t="inlineStr">
        <is>
          <t>marker_574_832029.png</t>
        </is>
      </c>
      <c r="L1124" s="11">
        <f>HYPERLINK("2\1\" &amp; K1124, "Ver Imagen")</f>
        <v/>
      </c>
      <c r="M1124" t="inlineStr">
        <is>
          <t>Moda</t>
        </is>
      </c>
    </row>
    <row r="1125">
      <c r="A1125" t="n">
        <v>1124</v>
      </c>
      <c r="B1125" t="inlineStr">
        <is>
          <t>A-492__211</t>
        </is>
      </c>
      <c r="C1125" s="1" t="n">
        <v>37.2803387939</v>
      </c>
      <c r="D1125" s="1" t="n">
        <v>-7.03155440956</v>
      </c>
      <c r="E1125" s="3" t="n">
        <v>1</v>
      </c>
      <c r="F1125" s="2" t="n">
        <v>2</v>
      </c>
      <c r="G1125" s="4" t="n">
        <v>2</v>
      </c>
      <c r="H1125" s="13" t="n"/>
      <c r="I1125" s="15" t="n"/>
      <c r="J1125" s="19" t="n">
        <v>2</v>
      </c>
      <c r="K1125" s="2" t="inlineStr">
        <is>
          <t>marker_468_832634.png</t>
        </is>
      </c>
      <c r="L1125" s="11">
        <f>HYPERLINK("2\1\" &amp; K1125, "Ver Imagen")</f>
        <v/>
      </c>
      <c r="M1125" t="inlineStr">
        <is>
          <t>Moda</t>
        </is>
      </c>
    </row>
    <row r="1126">
      <c r="A1126" t="n">
        <v>1125</v>
      </c>
      <c r="B1126" t="inlineStr">
        <is>
          <t>A-492__212</t>
        </is>
      </c>
      <c r="C1126" s="1" t="n">
        <v>37.2805265032</v>
      </c>
      <c r="D1126" s="1" t="n">
        <v>-7.03165805189</v>
      </c>
      <c r="E1126" s="3" t="n">
        <v>1</v>
      </c>
      <c r="F1126" s="2" t="n">
        <v>2</v>
      </c>
      <c r="G1126" s="4" t="n">
        <v>2</v>
      </c>
      <c r="H1126" s="13" t="n"/>
      <c r="I1126" s="15" t="n"/>
      <c r="J1126" s="19" t="n">
        <v>2</v>
      </c>
      <c r="K1126" s="2" t="inlineStr">
        <is>
          <t>marker_706_832653.png</t>
        </is>
      </c>
      <c r="L1126" s="11">
        <f>HYPERLINK("2\1\" &amp; K1126, "Ver Imagen")</f>
        <v/>
      </c>
      <c r="M1126" t="inlineStr">
        <is>
          <t>Moda</t>
        </is>
      </c>
    </row>
    <row r="1127">
      <c r="A1127" t="n">
        <v>1126</v>
      </c>
      <c r="B1127" t="inlineStr">
        <is>
          <t>A-492__213</t>
        </is>
      </c>
      <c r="C1127" s="1" t="n">
        <v>37.2806931641</v>
      </c>
      <c r="D1127" s="1" t="n">
        <v>-7.03174181815</v>
      </c>
      <c r="E1127" s="3" t="n">
        <v>1</v>
      </c>
      <c r="F1127" s="2" t="n">
        <v>2</v>
      </c>
      <c r="G1127" s="4" t="n">
        <v>2</v>
      </c>
      <c r="H1127" s="13" t="n"/>
      <c r="I1127" s="15" t="n"/>
      <c r="J1127" s="19" t="n">
        <v>2</v>
      </c>
      <c r="K1127" s="2" t="inlineStr">
        <is>
          <t>marker_618_832663.png</t>
        </is>
      </c>
      <c r="L1127" s="11">
        <f>HYPERLINK("2\1\" &amp; K1127, "Ver Imagen")</f>
        <v/>
      </c>
      <c r="M1127" t="inlineStr">
        <is>
          <t>Moda</t>
        </is>
      </c>
    </row>
    <row r="1128">
      <c r="A1128" t="n">
        <v>1127</v>
      </c>
      <c r="B1128" t="inlineStr">
        <is>
          <t>A-492__214</t>
        </is>
      </c>
      <c r="C1128" s="1" t="n">
        <v>37.2808831135</v>
      </c>
      <c r="D1128" s="1" t="n">
        <v>-7.03183302612</v>
      </c>
      <c r="E1128" s="3" t="n">
        <v>1</v>
      </c>
      <c r="F1128" s="2" t="n">
        <v>2</v>
      </c>
      <c r="G1128" s="4" t="n">
        <v>2</v>
      </c>
      <c r="H1128" s="13" t="n"/>
      <c r="I1128" s="15" t="n"/>
      <c r="J1128" s="19" t="n">
        <v>2</v>
      </c>
      <c r="K1128" s="2" t="inlineStr">
        <is>
          <t>marker_535_832673.png</t>
        </is>
      </c>
      <c r="L1128" s="11">
        <f>HYPERLINK("2\1\" &amp; K1128, "Ver Imagen")</f>
        <v/>
      </c>
      <c r="M1128" t="inlineStr">
        <is>
          <t>Moda</t>
        </is>
      </c>
    </row>
    <row r="1129">
      <c r="A1129" t="n">
        <v>1128</v>
      </c>
      <c r="B1129" t="inlineStr">
        <is>
          <t>A-492__217</t>
        </is>
      </c>
      <c r="C1129" s="1" t="n">
        <v>37.2814610788</v>
      </c>
      <c r="D1129" s="1" t="n">
        <v>-7.0321143007</v>
      </c>
      <c r="E1129" s="3" t="n">
        <v>1</v>
      </c>
      <c r="F1129" s="2" t="n">
        <v>2</v>
      </c>
      <c r="G1129" s="4" t="n">
        <v>2</v>
      </c>
      <c r="H1129" s="13" t="n"/>
      <c r="I1129" s="15" t="n"/>
      <c r="J1129" s="19" t="n">
        <v>2</v>
      </c>
      <c r="K1129" s="2" t="inlineStr">
        <is>
          <t>marker_959_832769.png</t>
        </is>
      </c>
      <c r="L1129" s="11">
        <f>HYPERLINK("2\1\" &amp; K1129, "Ver Imagen")</f>
        <v/>
      </c>
      <c r="M1129" t="inlineStr">
        <is>
          <t>Moda</t>
        </is>
      </c>
    </row>
    <row r="1130">
      <c r="A1130" t="n">
        <v>1129</v>
      </c>
      <c r="B1130" t="inlineStr">
        <is>
          <t>A-492__221</t>
        </is>
      </c>
      <c r="C1130" s="1" t="n">
        <v>37.2821993581</v>
      </c>
      <c r="D1130" s="1" t="n">
        <v>-7.03252754156</v>
      </c>
      <c r="E1130" s="3" t="n">
        <v>1</v>
      </c>
      <c r="F1130" s="2" t="n">
        <v>2</v>
      </c>
      <c r="G1130" s="4" t="n">
        <v>2</v>
      </c>
      <c r="H1130" s="13" t="n"/>
      <c r="I1130" s="15" t="n"/>
      <c r="J1130" s="19" t="n">
        <v>2</v>
      </c>
      <c r="K1130" s="2" t="inlineStr">
        <is>
          <t>marker_576_835672.png</t>
        </is>
      </c>
      <c r="L1130" s="11">
        <f>HYPERLINK("2\1\" &amp; K1130, "Ver Imagen")</f>
        <v/>
      </c>
      <c r="M1130" t="inlineStr">
        <is>
          <t>Moda</t>
        </is>
      </c>
    </row>
    <row r="1131">
      <c r="A1131" t="n">
        <v>1130</v>
      </c>
      <c r="B1131" t="inlineStr">
        <is>
          <t>A-492__222</t>
        </is>
      </c>
      <c r="C1131" s="1" t="n">
        <v>37.282368678</v>
      </c>
      <c r="D1131" s="1" t="n">
        <v>-7.03263291836</v>
      </c>
      <c r="E1131" s="3" t="n">
        <v>1</v>
      </c>
      <c r="F1131" s="2" t="n">
        <v>2</v>
      </c>
      <c r="G1131" s="4" t="n">
        <v>2</v>
      </c>
      <c r="H1131" s="13" t="n"/>
      <c r="I1131" s="15" t="n"/>
      <c r="J1131" s="19" t="n">
        <v>2</v>
      </c>
      <c r="K1131" s="2" t="inlineStr">
        <is>
          <t>marker_928_835682.png</t>
        </is>
      </c>
      <c r="L1131" s="11">
        <f>HYPERLINK("2\1\" &amp; K1131, "Ver Imagen")</f>
        <v/>
      </c>
      <c r="M1131" t="inlineStr">
        <is>
          <t>Moda</t>
        </is>
      </c>
    </row>
    <row r="1132">
      <c r="A1132" t="n">
        <v>1131</v>
      </c>
      <c r="B1132" t="inlineStr">
        <is>
          <t>A-492__224</t>
        </is>
      </c>
      <c r="C1132" s="1" t="n">
        <v>37.2827565727</v>
      </c>
      <c r="D1132" s="1" t="n">
        <v>-7.03289375313</v>
      </c>
      <c r="E1132" s="3" t="n">
        <v>1</v>
      </c>
      <c r="F1132" s="2" t="n">
        <v>2</v>
      </c>
      <c r="G1132" s="4" t="n">
        <v>2</v>
      </c>
      <c r="H1132" s="13" t="n"/>
      <c r="I1132" s="15" t="n"/>
      <c r="J1132" s="19" t="n">
        <v>2</v>
      </c>
      <c r="K1132" s="2" t="inlineStr">
        <is>
          <t>marker_227_835703.png</t>
        </is>
      </c>
      <c r="L1132" s="11">
        <f>HYPERLINK("2\1\" &amp; K1132, "Ver Imagen")</f>
        <v/>
      </c>
      <c r="M1132" t="inlineStr">
        <is>
          <t>Moda</t>
        </is>
      </c>
    </row>
    <row r="1133">
      <c r="A1133" t="n">
        <v>1132</v>
      </c>
      <c r="B1133" t="inlineStr">
        <is>
          <t>A-492__225</t>
        </is>
      </c>
      <c r="C1133" s="1" t="n">
        <v>37.2829183792</v>
      </c>
      <c r="D1133" s="1" t="n">
        <v>-7.03302044654</v>
      </c>
      <c r="E1133" s="3" t="n">
        <v>2</v>
      </c>
      <c r="F1133" s="2" t="n">
        <v>2</v>
      </c>
      <c r="G1133" s="4" t="n">
        <v>3</v>
      </c>
      <c r="H1133" s="13" t="n"/>
      <c r="I1133" s="15" t="n"/>
      <c r="J1133" s="19" t="n">
        <v>2</v>
      </c>
      <c r="K1133" s="2" t="inlineStr">
        <is>
          <t>marker_581_835713.png</t>
        </is>
      </c>
      <c r="L1133" s="11">
        <f>HYPERLINK("2\1\" &amp; K1133, "Ver Imagen")</f>
        <v/>
      </c>
      <c r="M1133" t="inlineStr">
        <is>
          <t>Moda</t>
        </is>
      </c>
    </row>
    <row r="1134">
      <c r="A1134" t="n">
        <v>1133</v>
      </c>
      <c r="B1134" t="inlineStr">
        <is>
          <t>A-492__227</t>
        </is>
      </c>
      <c r="C1134" s="1" t="n">
        <v>37.2832106575</v>
      </c>
      <c r="D1134" s="1" t="n">
        <v>-7.03330283016</v>
      </c>
      <c r="E1134" s="3" t="n">
        <v>1</v>
      </c>
      <c r="F1134" s="2" t="n">
        <v>2</v>
      </c>
      <c r="G1134" s="4" t="n">
        <v>2</v>
      </c>
      <c r="H1134" s="13" t="n"/>
      <c r="I1134" s="15" t="n"/>
      <c r="J1134" s="19" t="n">
        <v>2</v>
      </c>
      <c r="K1134" s="2" t="inlineStr">
        <is>
          <t>marker_955_835735.png</t>
        </is>
      </c>
      <c r="L1134" s="11">
        <f>HYPERLINK("2\1\" &amp; K1134, "Ver Imagen")</f>
        <v/>
      </c>
      <c r="M1134" t="inlineStr">
        <is>
          <t>Moda</t>
        </is>
      </c>
    </row>
    <row r="1135">
      <c r="A1135" t="n">
        <v>1134</v>
      </c>
      <c r="B1135" t="inlineStr">
        <is>
          <t>A-492__228</t>
        </is>
      </c>
      <c r="C1135" s="1" t="n">
        <v>37.2833697763</v>
      </c>
      <c r="D1135" s="1" t="n">
        <v>-7.0335022367</v>
      </c>
      <c r="E1135" s="3" t="n">
        <v>1</v>
      </c>
      <c r="F1135" s="2" t="n">
        <v>2</v>
      </c>
      <c r="G1135" s="4" t="n">
        <v>2</v>
      </c>
      <c r="H1135" s="13" t="n"/>
      <c r="I1135" s="15" t="n"/>
      <c r="J1135" s="19" t="n">
        <v>2</v>
      </c>
      <c r="K1135" s="2" t="inlineStr">
        <is>
          <t>marker_309_835749.png</t>
        </is>
      </c>
      <c r="L1135" s="11">
        <f>HYPERLINK("2\1\" &amp; K1135, "Ver Imagen")</f>
        <v/>
      </c>
      <c r="M1135" t="inlineStr">
        <is>
          <t>Moda</t>
        </is>
      </c>
    </row>
    <row r="1136">
      <c r="A1136" t="n">
        <v>1135</v>
      </c>
      <c r="B1136" t="inlineStr">
        <is>
          <t>A-492__229</t>
        </is>
      </c>
      <c r="C1136" s="1" t="n">
        <v>37.2835151984</v>
      </c>
      <c r="D1136" s="1" t="n">
        <v>-7.03372554602</v>
      </c>
      <c r="E1136" s="3" t="n">
        <v>2</v>
      </c>
      <c r="F1136" s="2" t="n">
        <v>2</v>
      </c>
      <c r="G1136" s="4" t="n">
        <v>3</v>
      </c>
      <c r="H1136" s="13" t="n"/>
      <c r="I1136" s="15" t="n"/>
      <c r="J1136" s="19" t="n">
        <v>2</v>
      </c>
      <c r="K1136" s="2" t="inlineStr">
        <is>
          <t>marker_439_835759.png</t>
        </is>
      </c>
      <c r="L1136" s="11">
        <f>HYPERLINK("2\1\" &amp; K1136, "Ver Imagen")</f>
        <v/>
      </c>
      <c r="M1136" t="inlineStr">
        <is>
          <t>Moda</t>
        </is>
      </c>
    </row>
    <row r="1137">
      <c r="A1137" t="n">
        <v>1136</v>
      </c>
      <c r="B1137" t="inlineStr">
        <is>
          <t>A-492__232</t>
        </is>
      </c>
      <c r="C1137" s="1" t="n">
        <v>37.2838355185</v>
      </c>
      <c r="D1137" s="1" t="n">
        <v>-7.03439280165</v>
      </c>
      <c r="E1137" s="3" t="n">
        <v>1</v>
      </c>
      <c r="F1137" s="2" t="n">
        <v>2</v>
      </c>
      <c r="G1137" s="4" t="n">
        <v>2</v>
      </c>
      <c r="H1137" s="13" t="n"/>
      <c r="I1137" s="15" t="n"/>
      <c r="J1137" s="19" t="n">
        <v>2</v>
      </c>
      <c r="K1137" s="2" t="inlineStr">
        <is>
          <t>marker_728_835838.png</t>
        </is>
      </c>
      <c r="L1137" s="11">
        <f>HYPERLINK("2\1\" &amp; K1137, "Ver Imagen")</f>
        <v/>
      </c>
      <c r="M1137" t="inlineStr">
        <is>
          <t>Moda</t>
        </is>
      </c>
    </row>
    <row r="1138">
      <c r="A1138" t="n">
        <v>1137</v>
      </c>
      <c r="B1138" t="inlineStr">
        <is>
          <t>A-492__233</t>
        </is>
      </c>
      <c r="C1138" s="1" t="n">
        <v>37.283912618</v>
      </c>
      <c r="D1138" s="1" t="n">
        <v>-7.03460868538</v>
      </c>
      <c r="E1138" s="3" t="n">
        <v>1</v>
      </c>
      <c r="F1138" s="2" t="n">
        <v>2</v>
      </c>
      <c r="G1138" s="4" t="n">
        <v>2</v>
      </c>
      <c r="H1138" s="13" t="n"/>
      <c r="I1138" s="15" t="n"/>
      <c r="J1138" s="19" t="n">
        <v>2</v>
      </c>
      <c r="K1138" s="2" t="inlineStr">
        <is>
          <t>marker_684_835850.png</t>
        </is>
      </c>
      <c r="L1138" s="11">
        <f>HYPERLINK("2\1\" &amp; K1138, "Ver Imagen")</f>
        <v/>
      </c>
      <c r="M1138" t="inlineStr">
        <is>
          <t>Moda</t>
        </is>
      </c>
    </row>
    <row r="1139">
      <c r="A1139" t="n">
        <v>1138</v>
      </c>
      <c r="B1139" t="inlineStr">
        <is>
          <t>A-492__241</t>
        </is>
      </c>
      <c r="C1139" s="1" t="n">
        <v>37.284104655</v>
      </c>
      <c r="D1139" s="1" t="n">
        <v>-7.03661520192</v>
      </c>
      <c r="E1139" s="3" t="n">
        <v>1</v>
      </c>
      <c r="F1139" s="2" t="n">
        <v>2</v>
      </c>
      <c r="G1139" s="4" t="n">
        <v>2</v>
      </c>
      <c r="H1139" s="13" t="n"/>
      <c r="I1139" s="15" t="n"/>
      <c r="J1139" s="19" t="n">
        <v>2</v>
      </c>
      <c r="K1139" s="2" t="inlineStr">
        <is>
          <t>marker_480_835956.png</t>
        </is>
      </c>
      <c r="L1139" s="11">
        <f>HYPERLINK("2\1\" &amp; K1139, "Ver Imagen")</f>
        <v/>
      </c>
      <c r="M1139" t="inlineStr">
        <is>
          <t>Moda</t>
        </is>
      </c>
    </row>
    <row r="1140">
      <c r="A1140" t="n">
        <v>1139</v>
      </c>
      <c r="B1140" t="inlineStr">
        <is>
          <t>A-492__242</t>
        </is>
      </c>
      <c r="C1140" s="1" t="n">
        <v>37.2841159695</v>
      </c>
      <c r="D1140" s="1" t="n">
        <v>-7.03687650149</v>
      </c>
      <c r="E1140" s="3" t="n">
        <v>1</v>
      </c>
      <c r="F1140" s="2" t="n">
        <v>2</v>
      </c>
      <c r="G1140" s="4" t="n">
        <v>2</v>
      </c>
      <c r="H1140" s="13" t="n"/>
      <c r="I1140" s="15" t="n"/>
      <c r="J1140" s="19" t="n">
        <v>2</v>
      </c>
      <c r="K1140" s="2" t="inlineStr">
        <is>
          <t>marker_848_835975.png</t>
        </is>
      </c>
      <c r="L1140" s="11">
        <f>HYPERLINK("2\1\" &amp; K1140, "Ver Imagen")</f>
        <v/>
      </c>
      <c r="M1140" t="inlineStr">
        <is>
          <t>Moda</t>
        </is>
      </c>
    </row>
    <row r="1141">
      <c r="A1141" t="n">
        <v>1140</v>
      </c>
      <c r="B1141" t="inlineStr">
        <is>
          <t>A-492__246</t>
        </is>
      </c>
      <c r="C1141" s="1" t="n">
        <v>37.2842745671</v>
      </c>
      <c r="D1141" s="1" t="n">
        <v>-7.03780745324</v>
      </c>
      <c r="E1141" s="3" t="n">
        <v>1</v>
      </c>
      <c r="F1141" s="2" t="n">
        <v>2</v>
      </c>
      <c r="G1141" s="4" t="n">
        <v>2</v>
      </c>
      <c r="H1141" s="13" t="n"/>
      <c r="I1141" s="15" t="n"/>
      <c r="J1141" s="19" t="n">
        <v>2</v>
      </c>
      <c r="K1141" s="2" t="inlineStr">
        <is>
          <t>marker_956_836042.png</t>
        </is>
      </c>
      <c r="L1141" s="11">
        <f>HYPERLINK("2\1\" &amp; K1141, "Ver Imagen")</f>
        <v/>
      </c>
      <c r="M1141" t="inlineStr">
        <is>
          <t>Moda</t>
        </is>
      </c>
    </row>
    <row r="1142">
      <c r="A1142" t="n">
        <v>1141</v>
      </c>
      <c r="B1142" t="inlineStr">
        <is>
          <t>A-492__250</t>
        </is>
      </c>
      <c r="C1142" s="1" t="n">
        <v>37.2845214465</v>
      </c>
      <c r="D1142" s="1" t="n">
        <v>-7.03878958674</v>
      </c>
      <c r="E1142" s="3" t="n">
        <v>1</v>
      </c>
      <c r="F1142" s="2" t="n">
        <v>2</v>
      </c>
      <c r="G1142" s="4" t="n">
        <v>2</v>
      </c>
      <c r="H1142" s="13" t="n"/>
      <c r="I1142" s="15" t="n"/>
      <c r="J1142" s="19" t="n">
        <v>2</v>
      </c>
      <c r="K1142" s="2" t="inlineStr">
        <is>
          <t>marker_685_836097.png</t>
        </is>
      </c>
      <c r="L1142" s="11">
        <f>HYPERLINK("2\1\" &amp; K1142, "Ver Imagen")</f>
        <v/>
      </c>
      <c r="M1142" t="inlineStr">
        <is>
          <t>Moda</t>
        </is>
      </c>
    </row>
    <row r="1143">
      <c r="A1143" t="n">
        <v>1142</v>
      </c>
      <c r="B1143" t="inlineStr">
        <is>
          <t>A-492__258</t>
        </is>
      </c>
      <c r="C1143" s="1" t="n">
        <v>37.2852490765</v>
      </c>
      <c r="D1143" s="1" t="n">
        <v>-7.04058824742</v>
      </c>
      <c r="E1143" s="3" t="n">
        <v>2</v>
      </c>
      <c r="F1143" s="2" t="n">
        <v>1</v>
      </c>
      <c r="G1143" s="4" t="n">
        <v>2</v>
      </c>
      <c r="H1143" s="13" t="n"/>
      <c r="I1143" s="15" t="n"/>
      <c r="J1143" s="19" t="n">
        <v>2</v>
      </c>
      <c r="K1143" s="2" t="inlineStr">
        <is>
          <t>marker_711_836248.png</t>
        </is>
      </c>
      <c r="L1143" s="11">
        <f>HYPERLINK("2\1\" &amp; K1143, "Ver Imagen")</f>
        <v/>
      </c>
      <c r="M1143" t="inlineStr">
        <is>
          <t>Moda</t>
        </is>
      </c>
    </row>
    <row r="1144">
      <c r="A1144" t="n">
        <v>1143</v>
      </c>
      <c r="B1144" t="inlineStr">
        <is>
          <t>A-492__260</t>
        </is>
      </c>
      <c r="C1144" s="1" t="n">
        <v>37.2855088601</v>
      </c>
      <c r="D1144" s="1" t="n">
        <v>-7.0409325121</v>
      </c>
      <c r="E1144" s="3" t="n">
        <v>2</v>
      </c>
      <c r="F1144" s="2" t="n">
        <v>2</v>
      </c>
      <c r="G1144" s="4" t="n">
        <v>3</v>
      </c>
      <c r="H1144" s="13" t="n"/>
      <c r="I1144" s="15" t="n"/>
      <c r="J1144" s="19" t="n">
        <v>2</v>
      </c>
      <c r="K1144" s="2" t="inlineStr">
        <is>
          <t>marker_599_836584.png</t>
        </is>
      </c>
      <c r="L1144" s="11">
        <f>HYPERLINK("2\1\" &amp; K1144, "Ver Imagen")</f>
        <v/>
      </c>
      <c r="M1144" t="inlineStr">
        <is>
          <t>Moda</t>
        </is>
      </c>
    </row>
    <row r="1145">
      <c r="A1145" t="n">
        <v>1144</v>
      </c>
      <c r="B1145" t="inlineStr">
        <is>
          <t>A-492__264</t>
        </is>
      </c>
      <c r="C1145" s="1" t="n">
        <v>37.2862036646</v>
      </c>
      <c r="D1145" s="1" t="n">
        <v>-7.04154883677</v>
      </c>
      <c r="E1145" s="3" t="n">
        <v>1</v>
      </c>
      <c r="F1145" s="2" t="n">
        <v>2</v>
      </c>
      <c r="G1145" s="4" t="n">
        <v>2</v>
      </c>
      <c r="H1145" s="13" t="n"/>
      <c r="I1145" s="15" t="n"/>
      <c r="J1145" s="19" t="n">
        <v>2</v>
      </c>
      <c r="K1145" s="2" t="inlineStr">
        <is>
          <t>marker_188_836679.png</t>
        </is>
      </c>
      <c r="L1145" s="11">
        <f>HYPERLINK("2\1\" &amp; K1145, "Ver Imagen")</f>
        <v/>
      </c>
      <c r="M1145" t="inlineStr">
        <is>
          <t>Moda</t>
        </is>
      </c>
    </row>
    <row r="1146">
      <c r="A1146" t="n">
        <v>1145</v>
      </c>
      <c r="B1146" t="inlineStr">
        <is>
          <t>A-492__277</t>
        </is>
      </c>
      <c r="C1146" s="1" t="n">
        <v>37.2885491724</v>
      </c>
      <c r="D1146" s="1" t="n">
        <v>-7.04286844889</v>
      </c>
      <c r="E1146" s="3" t="n">
        <v>2</v>
      </c>
      <c r="F1146" s="2" t="n">
        <v>2</v>
      </c>
      <c r="G1146" s="4" t="n">
        <v>3</v>
      </c>
      <c r="H1146" s="13" t="n"/>
      <c r="I1146" s="15" t="n"/>
      <c r="J1146" s="19" t="n">
        <v>2</v>
      </c>
      <c r="K1146" s="2" t="inlineStr">
        <is>
          <t>marker_471_836878.png</t>
        </is>
      </c>
      <c r="L1146" s="11">
        <f>HYPERLINK("2\1\" &amp; K1146, "Ver Imagen")</f>
        <v/>
      </c>
      <c r="M1146" t="inlineStr">
        <is>
          <t>Moda</t>
        </is>
      </c>
    </row>
    <row r="1147">
      <c r="A1147" t="n">
        <v>1146</v>
      </c>
      <c r="B1147" t="inlineStr">
        <is>
          <t>A-492__278</t>
        </is>
      </c>
      <c r="C1147" s="1" t="n">
        <v>37.2887091338</v>
      </c>
      <c r="D1147" s="1" t="n">
        <v>-7.0430480451</v>
      </c>
      <c r="E1147" s="3" t="n">
        <v>2</v>
      </c>
      <c r="F1147" s="2" t="n">
        <v>2</v>
      </c>
      <c r="G1147" s="4" t="n">
        <v>3</v>
      </c>
      <c r="H1147" s="13" t="n"/>
      <c r="I1147" s="15" t="n"/>
      <c r="J1147" s="19" t="n">
        <v>2</v>
      </c>
      <c r="K1147" s="2" t="inlineStr">
        <is>
          <t>marker_953_836891.png</t>
        </is>
      </c>
      <c r="L1147" s="11">
        <f>HYPERLINK("2\1\" &amp; K1147, "Ver Imagen")</f>
        <v/>
      </c>
      <c r="M1147" t="inlineStr">
        <is>
          <t>Moda</t>
        </is>
      </c>
    </row>
    <row r="1148">
      <c r="A1148" t="n">
        <v>1147</v>
      </c>
      <c r="B1148" t="inlineStr">
        <is>
          <t>A-492__281</t>
        </is>
      </c>
      <c r="C1148" s="1" t="n">
        <v>37.2890938695</v>
      </c>
      <c r="D1148" s="1" t="n">
        <v>-7.04359029526</v>
      </c>
      <c r="E1148" s="3" t="n">
        <v>2</v>
      </c>
      <c r="F1148" s="2" t="n">
        <v>2</v>
      </c>
      <c r="G1148" s="4" t="n">
        <v>3</v>
      </c>
      <c r="H1148" s="13" t="n"/>
      <c r="I1148" s="15" t="n"/>
      <c r="J1148" s="19" t="n">
        <v>2</v>
      </c>
      <c r="K1148" s="2" t="inlineStr">
        <is>
          <t>marker_136_837317.png</t>
        </is>
      </c>
      <c r="L1148" s="11">
        <f>HYPERLINK("2\1\" &amp; K1148, "Ver Imagen")</f>
        <v/>
      </c>
      <c r="M1148" t="inlineStr">
        <is>
          <t>Moda</t>
        </is>
      </c>
    </row>
    <row r="1149">
      <c r="A1149" t="n">
        <v>1148</v>
      </c>
      <c r="B1149" t="inlineStr">
        <is>
          <t>A-492__304</t>
        </is>
      </c>
      <c r="C1149" s="1" t="n">
        <v>37.2931187715</v>
      </c>
      <c r="D1149" s="1" t="n">
        <v>-7.04615584132</v>
      </c>
      <c r="E1149" s="3" t="n">
        <v>1</v>
      </c>
      <c r="F1149" s="2" t="n">
        <v>2</v>
      </c>
      <c r="G1149" s="4" t="n">
        <v>2</v>
      </c>
      <c r="H1149" s="13" t="n"/>
      <c r="I1149" s="15" t="n"/>
      <c r="J1149" s="19" t="n">
        <v>2</v>
      </c>
      <c r="K1149" s="2" t="inlineStr">
        <is>
          <t>marker_781_837601.png</t>
        </is>
      </c>
      <c r="L1149" s="11">
        <f>HYPERLINK("2\1\" &amp; K1149, "Ver Imagen")</f>
        <v/>
      </c>
      <c r="M1149" t="inlineStr">
        <is>
          <t>Moda</t>
        </is>
      </c>
    </row>
    <row r="1150">
      <c r="A1150" t="n">
        <v>1149</v>
      </c>
      <c r="B1150" t="inlineStr">
        <is>
          <t>A-492__316</t>
        </is>
      </c>
      <c r="C1150" s="1" t="n">
        <v>37.2947865139</v>
      </c>
      <c r="D1150" s="1" t="n">
        <v>-7.04834699078</v>
      </c>
      <c r="E1150" s="3" t="n">
        <v>2</v>
      </c>
      <c r="F1150" s="2" t="n">
        <v>1</v>
      </c>
      <c r="G1150" s="4" t="n">
        <v>2</v>
      </c>
      <c r="H1150" s="13" t="n"/>
      <c r="I1150" s="15" t="n"/>
      <c r="J1150" s="19" t="n">
        <v>2</v>
      </c>
      <c r="K1150" s="2" t="inlineStr">
        <is>
          <t>marker_135_837738.png</t>
        </is>
      </c>
      <c r="L1150" s="11">
        <f>HYPERLINK("2\1\" &amp; K1150, "Ver Imagen")</f>
        <v/>
      </c>
      <c r="M1150" t="inlineStr">
        <is>
          <t>Moda</t>
        </is>
      </c>
    </row>
    <row r="1151">
      <c r="A1151" t="n">
        <v>1150</v>
      </c>
      <c r="B1151" t="inlineStr">
        <is>
          <t>A-492__317</t>
        </is>
      </c>
      <c r="C1151" s="1" t="n">
        <v>37.2949271711</v>
      </c>
      <c r="D1151" s="1" t="n">
        <v>-7.04853037925</v>
      </c>
      <c r="E1151" s="3" t="n">
        <v>1</v>
      </c>
      <c r="F1151" s="2" t="n">
        <v>2</v>
      </c>
      <c r="G1151" s="4" t="n">
        <v>2</v>
      </c>
      <c r="H1151" s="13" t="n"/>
      <c r="I1151" s="15" t="n"/>
      <c r="J1151" s="19" t="n">
        <v>2</v>
      </c>
      <c r="K1151" s="2" t="inlineStr">
        <is>
          <t>marker_174_837918.png</t>
        </is>
      </c>
      <c r="L1151" s="11">
        <f>HYPERLINK("2\1\" &amp; K1151, "Ver Imagen")</f>
        <v/>
      </c>
      <c r="M1151" t="inlineStr">
        <is>
          <t>Moda</t>
        </is>
      </c>
    </row>
    <row r="1152">
      <c r="A1152" t="n">
        <v>1151</v>
      </c>
      <c r="B1152" t="inlineStr">
        <is>
          <t>A-492__324</t>
        </is>
      </c>
      <c r="C1152" s="1" t="n">
        <v>37.2959695323</v>
      </c>
      <c r="D1152" s="1" t="n">
        <v>-7.04972874756</v>
      </c>
      <c r="E1152" s="3" t="n">
        <v>2</v>
      </c>
      <c r="F1152" s="2" t="n">
        <v>2</v>
      </c>
      <c r="G1152" s="4" t="n">
        <v>3</v>
      </c>
      <c r="H1152" s="13" t="n"/>
      <c r="I1152" s="15" t="n"/>
      <c r="J1152" s="19" t="n">
        <v>2</v>
      </c>
      <c r="K1152" s="2" t="inlineStr">
        <is>
          <t>marker_709_838008.png</t>
        </is>
      </c>
      <c r="L1152" s="11">
        <f>HYPERLINK("2\1\" &amp; K1152, "Ver Imagen")</f>
        <v/>
      </c>
      <c r="M1152" t="inlineStr">
        <is>
          <t>Moda</t>
        </is>
      </c>
    </row>
    <row r="1153">
      <c r="A1153" t="n">
        <v>1152</v>
      </c>
      <c r="B1153" t="inlineStr">
        <is>
          <t>A-492__325</t>
        </is>
      </c>
      <c r="C1153" s="1" t="n">
        <v>37.2961230311</v>
      </c>
      <c r="D1153" s="1" t="n">
        <v>-7.04990026099</v>
      </c>
      <c r="E1153" s="3" t="n">
        <v>2</v>
      </c>
      <c r="F1153" s="2" t="n">
        <v>2</v>
      </c>
      <c r="G1153" s="4" t="n">
        <v>3</v>
      </c>
      <c r="H1153" s="13" t="n"/>
      <c r="I1153" s="15" t="n"/>
      <c r="J1153" s="19" t="n">
        <v>2</v>
      </c>
      <c r="K1153" s="2" t="inlineStr">
        <is>
          <t>marker_850_838017.png</t>
        </is>
      </c>
      <c r="L1153" s="11">
        <f>HYPERLINK("2\1\" &amp; K1153, "Ver Imagen")</f>
        <v/>
      </c>
      <c r="M1153" t="inlineStr">
        <is>
          <t>Moda</t>
        </is>
      </c>
    </row>
    <row r="1154">
      <c r="A1154" t="n">
        <v>1153</v>
      </c>
      <c r="B1154" t="inlineStr">
        <is>
          <t>A-492__330</t>
        </is>
      </c>
      <c r="C1154" s="1" t="n">
        <v>37.2967891097</v>
      </c>
      <c r="D1154" s="1" t="n">
        <v>-7.05085157339</v>
      </c>
      <c r="E1154" s="3" t="n">
        <v>2</v>
      </c>
      <c r="F1154" s="2" t="n">
        <v>2</v>
      </c>
      <c r="G1154" s="4" t="n">
        <v>3</v>
      </c>
      <c r="H1154" s="13" t="n"/>
      <c r="I1154" s="15" t="n"/>
      <c r="J1154" s="19" t="n">
        <v>2</v>
      </c>
      <c r="K1154" s="2" t="inlineStr">
        <is>
          <t>marker_549_838083.png</t>
        </is>
      </c>
      <c r="L1154" s="11">
        <f>HYPERLINK("2\1\" &amp; K1154, "Ver Imagen")</f>
        <v/>
      </c>
      <c r="M1154" t="inlineStr">
        <is>
          <t>Moda</t>
        </is>
      </c>
    </row>
    <row r="1155">
      <c r="A1155" t="n">
        <v>1154</v>
      </c>
      <c r="B1155" t="inlineStr">
        <is>
          <t>A-492__333</t>
        </is>
      </c>
      <c r="C1155" s="1" t="n">
        <v>37.2970761407</v>
      </c>
      <c r="D1155" s="1" t="n">
        <v>-7.05150655763</v>
      </c>
      <c r="E1155" s="3" t="n">
        <v>1</v>
      </c>
      <c r="F1155" s="2" t="n">
        <v>2</v>
      </c>
      <c r="G1155" s="4" t="n">
        <v>2</v>
      </c>
      <c r="H1155" s="13" t="n"/>
      <c r="I1155" s="15" t="n"/>
      <c r="J1155" s="19" t="n">
        <v>2</v>
      </c>
      <c r="K1155" s="2" t="inlineStr">
        <is>
          <t>marker_520_838123.png</t>
        </is>
      </c>
      <c r="L1155" s="11">
        <f>HYPERLINK("2\1\" &amp; K1155, "Ver Imagen")</f>
        <v/>
      </c>
      <c r="M1155" t="inlineStr">
        <is>
          <t>Moda</t>
        </is>
      </c>
    </row>
    <row r="1156">
      <c r="A1156" t="n">
        <v>1155</v>
      </c>
      <c r="B1156" t="inlineStr">
        <is>
          <t>A-492__336</t>
        </is>
      </c>
      <c r="C1156" s="1" t="n">
        <v>37.2973214455</v>
      </c>
      <c r="D1156" s="1" t="n">
        <v>-7.05226118282</v>
      </c>
      <c r="E1156" s="3" t="n">
        <v>1</v>
      </c>
      <c r="F1156" s="2" t="n">
        <v>2</v>
      </c>
      <c r="G1156" s="4" t="n">
        <v>2</v>
      </c>
      <c r="H1156" s="13" t="n"/>
      <c r="I1156" s="15" t="n"/>
      <c r="J1156" s="19" t="n">
        <v>2</v>
      </c>
      <c r="K1156" s="2" t="inlineStr">
        <is>
          <t>marker_455_838160.png</t>
        </is>
      </c>
      <c r="L1156" s="11">
        <f>HYPERLINK("2\1\" &amp; K1156, "Ver Imagen")</f>
        <v/>
      </c>
      <c r="M1156" t="inlineStr">
        <is>
          <t>Moda</t>
        </is>
      </c>
    </row>
    <row r="1157">
      <c r="A1157" t="n">
        <v>1156</v>
      </c>
      <c r="B1157" t="inlineStr">
        <is>
          <t>A-492__340</t>
        </is>
      </c>
      <c r="C1157" s="1" t="n">
        <v>37.2976959815</v>
      </c>
      <c r="D1157" s="1" t="n">
        <v>-7.0531442579</v>
      </c>
      <c r="E1157" s="3" t="n">
        <v>2</v>
      </c>
      <c r="F1157" s="2" t="n">
        <v>1</v>
      </c>
      <c r="G1157" s="4" t="n">
        <v>2</v>
      </c>
      <c r="H1157" s="13" t="n"/>
      <c r="I1157" s="15" t="n"/>
      <c r="J1157" s="19" t="n">
        <v>2</v>
      </c>
      <c r="K1157" s="2" t="inlineStr">
        <is>
          <t>marker_785_838199.png</t>
        </is>
      </c>
      <c r="L1157" s="11">
        <f>HYPERLINK("2\1\" &amp; K1157, "Ver Imagen")</f>
        <v/>
      </c>
      <c r="M1157" t="inlineStr">
        <is>
          <t>Moda</t>
        </is>
      </c>
    </row>
    <row r="1158">
      <c r="A1158" t="n">
        <v>1157</v>
      </c>
      <c r="B1158" t="inlineStr">
        <is>
          <t>A-492__341</t>
        </is>
      </c>
      <c r="C1158" s="1" t="n">
        <v>37.2978109179</v>
      </c>
      <c r="D1158" s="1" t="n">
        <v>-7.05332230439</v>
      </c>
      <c r="E1158" s="3" t="n">
        <v>1</v>
      </c>
      <c r="F1158" s="2" t="n">
        <v>2</v>
      </c>
      <c r="G1158" s="4" t="n">
        <v>2</v>
      </c>
      <c r="H1158" s="13" t="n"/>
      <c r="I1158" s="15" t="n"/>
      <c r="J1158" s="19" t="n">
        <v>2</v>
      </c>
      <c r="K1158" s="2" t="inlineStr">
        <is>
          <t>marker_196_838210.png</t>
        </is>
      </c>
      <c r="L1158" s="11">
        <f>HYPERLINK("2\1\" &amp; K1158, "Ver Imagen")</f>
        <v/>
      </c>
      <c r="M1158" t="inlineStr">
        <is>
          <t>Moda</t>
        </is>
      </c>
    </row>
    <row r="1159">
      <c r="A1159" t="n">
        <v>1158</v>
      </c>
      <c r="B1159" t="inlineStr">
        <is>
          <t>A-492__342</t>
        </is>
      </c>
      <c r="C1159" s="1" t="n">
        <v>37.2979435853</v>
      </c>
      <c r="D1159" s="1" t="n">
        <v>-7.05349386637</v>
      </c>
      <c r="E1159" s="3" t="n">
        <v>2</v>
      </c>
      <c r="F1159" s="2" t="n">
        <v>2</v>
      </c>
      <c r="G1159" s="4" t="n">
        <v>1</v>
      </c>
      <c r="H1159" s="13" t="n"/>
      <c r="I1159" s="15" t="n"/>
      <c r="J1159" s="19" t="n">
        <v>2</v>
      </c>
      <c r="K1159" s="2" t="inlineStr">
        <is>
          <t>marker_287_838246.png</t>
        </is>
      </c>
      <c r="L1159" s="11">
        <f>HYPERLINK("2\1\" &amp; K1159, "Ver Imagen")</f>
        <v/>
      </c>
      <c r="M1159" t="inlineStr">
        <is>
          <t>Moda</t>
        </is>
      </c>
    </row>
    <row r="1160">
      <c r="A1160" t="n">
        <v>1159</v>
      </c>
      <c r="B1160" t="inlineStr">
        <is>
          <t>A-492__347</t>
        </is>
      </c>
      <c r="C1160" s="1" t="n">
        <v>37.2987961422</v>
      </c>
      <c r="D1160" s="1" t="n">
        <v>-7.05416933501</v>
      </c>
      <c r="E1160" s="3" t="n">
        <v>2</v>
      </c>
      <c r="F1160" s="2" t="n">
        <v>1</v>
      </c>
      <c r="G1160" s="4" t="n">
        <v>2</v>
      </c>
      <c r="H1160" s="13" t="n"/>
      <c r="I1160" s="15" t="n"/>
      <c r="J1160" s="19" t="n">
        <v>2</v>
      </c>
      <c r="K1160" s="2" t="inlineStr">
        <is>
          <t>marker_196_838324.png</t>
        </is>
      </c>
      <c r="L1160" s="11">
        <f>HYPERLINK("2\1\" &amp; K1160, "Ver Imagen")</f>
        <v/>
      </c>
      <c r="M1160" t="inlineStr">
        <is>
          <t>Moda</t>
        </is>
      </c>
    </row>
    <row r="1161">
      <c r="A1161" t="n">
        <v>1160</v>
      </c>
      <c r="B1161" t="inlineStr">
        <is>
          <t>A-492__353</t>
        </is>
      </c>
      <c r="C1161" s="1" t="n">
        <v>37.2998330625</v>
      </c>
      <c r="D1161" s="1" t="n">
        <v>-7.0550272208</v>
      </c>
      <c r="E1161" s="3" t="n">
        <v>2</v>
      </c>
      <c r="F1161" s="2" t="n">
        <v>1</v>
      </c>
      <c r="G1161" s="4" t="n">
        <v>2</v>
      </c>
      <c r="H1161" s="13" t="n"/>
      <c r="I1161" s="15" t="n"/>
      <c r="J1161" s="19" t="n">
        <v>2</v>
      </c>
      <c r="K1161" s="2" t="inlineStr">
        <is>
          <t>marker_444_838550.png</t>
        </is>
      </c>
      <c r="L1161" s="11">
        <f>HYPERLINK("2\1\" &amp; K1161, "Ver Imagen")</f>
        <v/>
      </c>
      <c r="M1161" t="inlineStr">
        <is>
          <t>Moda</t>
        </is>
      </c>
    </row>
    <row r="1162">
      <c r="A1162" t="n">
        <v>1161</v>
      </c>
      <c r="B1162" t="inlineStr">
        <is>
          <t>A-492__354</t>
        </is>
      </c>
      <c r="C1162" s="1" t="n">
        <v>37.2999584799</v>
      </c>
      <c r="D1162" s="1" t="n">
        <v>-7.05517975694</v>
      </c>
      <c r="E1162" s="3" t="n">
        <v>2</v>
      </c>
      <c r="F1162" s="2" t="n">
        <v>3</v>
      </c>
      <c r="G1162" s="4" t="n">
        <v>2</v>
      </c>
      <c r="H1162" s="13" t="n"/>
      <c r="I1162" s="15" t="n"/>
      <c r="J1162" s="19" t="n">
        <v>2</v>
      </c>
      <c r="K1162" s="2" t="inlineStr">
        <is>
          <t>marker_233_838565.png</t>
        </is>
      </c>
      <c r="L1162" s="11">
        <f>HYPERLINK("2\1\" &amp; K1162, "Ver Imagen")</f>
        <v/>
      </c>
      <c r="M1162" t="inlineStr">
        <is>
          <t>Moda</t>
        </is>
      </c>
    </row>
    <row r="1163">
      <c r="A1163" t="n">
        <v>1162</v>
      </c>
      <c r="B1163" t="inlineStr">
        <is>
          <t>A-492__356</t>
        </is>
      </c>
      <c r="C1163" s="1" t="n">
        <v>37.300235509</v>
      </c>
      <c r="D1163" s="1" t="n">
        <v>-7.05551498835</v>
      </c>
      <c r="E1163" s="3" t="n">
        <v>2</v>
      </c>
      <c r="F1163" s="2" t="n">
        <v>1</v>
      </c>
      <c r="G1163" s="4" t="n">
        <v>2</v>
      </c>
      <c r="H1163" s="13" t="n"/>
      <c r="I1163" s="15" t="n"/>
      <c r="J1163" s="19" t="n">
        <v>2</v>
      </c>
      <c r="K1163" s="2" t="inlineStr">
        <is>
          <t>marker_754_838585.png</t>
        </is>
      </c>
      <c r="L1163" s="11">
        <f>HYPERLINK("2\1\" &amp; K1163, "Ver Imagen")</f>
        <v/>
      </c>
      <c r="M1163" t="inlineStr">
        <is>
          <t>Moda</t>
        </is>
      </c>
    </row>
    <row r="1164">
      <c r="A1164" t="n">
        <v>1163</v>
      </c>
      <c r="B1164" t="inlineStr">
        <is>
          <t>A-492__363</t>
        </is>
      </c>
      <c r="C1164" s="1" t="n">
        <v>37.3014785834</v>
      </c>
      <c r="D1164" s="1" t="n">
        <v>-7.05634836918</v>
      </c>
      <c r="E1164" s="3" t="n">
        <v>2</v>
      </c>
      <c r="F1164" s="2" t="n">
        <v>2</v>
      </c>
      <c r="G1164" s="4" t="n">
        <v>3</v>
      </c>
      <c r="H1164" s="13" t="n"/>
      <c r="I1164" s="15" t="n"/>
      <c r="J1164" s="19" t="n">
        <v>2</v>
      </c>
      <c r="K1164" s="2" t="inlineStr">
        <is>
          <t>marker_374_838667.png</t>
        </is>
      </c>
      <c r="L1164" s="11">
        <f>HYPERLINK("2\1\" &amp; K1164, "Ver Imagen")</f>
        <v/>
      </c>
      <c r="M1164" t="inlineStr">
        <is>
          <t>Moda</t>
        </is>
      </c>
    </row>
    <row r="1165">
      <c r="A1165" t="n">
        <v>1164</v>
      </c>
      <c r="B1165" t="inlineStr">
        <is>
          <t>A-492__364</t>
        </is>
      </c>
      <c r="C1165" s="1" t="n">
        <v>37.3017145354</v>
      </c>
      <c r="D1165" s="1" t="n">
        <v>-7.0564099923</v>
      </c>
      <c r="E1165" s="3" t="n">
        <v>2</v>
      </c>
      <c r="F1165" s="2" t="n">
        <v>1</v>
      </c>
      <c r="G1165" s="4" t="n">
        <v>2</v>
      </c>
      <c r="H1165" s="13" t="n"/>
      <c r="I1165" s="15" t="n"/>
      <c r="J1165" s="19" t="n">
        <v>2</v>
      </c>
      <c r="K1165" s="2" t="inlineStr">
        <is>
          <t>marker_936_838687.png</t>
        </is>
      </c>
      <c r="L1165" s="11">
        <f>HYPERLINK("2\1\" &amp; K1165, "Ver Imagen")</f>
        <v/>
      </c>
      <c r="M1165" t="inlineStr">
        <is>
          <t>Moda</t>
        </is>
      </c>
    </row>
    <row r="1166">
      <c r="A1166" t="n">
        <v>1165</v>
      </c>
      <c r="B1166" t="inlineStr">
        <is>
          <t>A-492__365</t>
        </is>
      </c>
      <c r="C1166" s="1" t="n">
        <v>37.3018893217</v>
      </c>
      <c r="D1166" s="1" t="n">
        <v>-7.05644600333</v>
      </c>
      <c r="E1166" s="3" t="n">
        <v>1</v>
      </c>
      <c r="F1166" s="2" t="n">
        <v>2</v>
      </c>
      <c r="G1166" s="4" t="n">
        <v>2</v>
      </c>
      <c r="H1166" s="13" t="n"/>
      <c r="I1166" s="15" t="n"/>
      <c r="J1166" s="19" t="n">
        <v>2</v>
      </c>
      <c r="K1166" s="2" t="inlineStr">
        <is>
          <t>marker_487_838704.png</t>
        </is>
      </c>
      <c r="L1166" s="11">
        <f>HYPERLINK("2\1\" &amp; K1166, "Ver Imagen")</f>
        <v/>
      </c>
      <c r="M1166" t="inlineStr">
        <is>
          <t>Moda</t>
        </is>
      </c>
    </row>
    <row r="1167">
      <c r="A1167" t="n">
        <v>1166</v>
      </c>
      <c r="B1167" t="inlineStr">
        <is>
          <t>A-492__367</t>
        </is>
      </c>
      <c r="C1167" s="1" t="n">
        <v>37.3022893226</v>
      </c>
      <c r="D1167" s="1" t="n">
        <v>-7.05651773835</v>
      </c>
      <c r="E1167" s="3" t="n">
        <v>2</v>
      </c>
      <c r="F1167" s="2" t="n">
        <v>1</v>
      </c>
      <c r="G1167" s="4" t="n">
        <v>2</v>
      </c>
      <c r="H1167" s="13" t="n"/>
      <c r="I1167" s="15" t="n"/>
      <c r="J1167" s="19" t="n">
        <v>2</v>
      </c>
      <c r="K1167" s="2" t="inlineStr">
        <is>
          <t>marker_642_838727.png</t>
        </is>
      </c>
      <c r="L1167" s="11">
        <f>HYPERLINK("2\1\" &amp; K1167, "Ver Imagen")</f>
        <v/>
      </c>
      <c r="M1167" t="inlineStr">
        <is>
          <t>Moda</t>
        </is>
      </c>
    </row>
    <row r="1168">
      <c r="A1168" t="n">
        <v>1167</v>
      </c>
      <c r="B1168" t="inlineStr">
        <is>
          <t>A-492__368</t>
        </is>
      </c>
      <c r="C1168" s="1" t="n">
        <v>37.3024745321</v>
      </c>
      <c r="D1168" s="1" t="n">
        <v>-7.05654954543</v>
      </c>
      <c r="E1168" s="3" t="n">
        <v>2</v>
      </c>
      <c r="F1168" s="2" t="n">
        <v>1</v>
      </c>
      <c r="G1168" s="4" t="n">
        <v>2</v>
      </c>
      <c r="H1168" s="13" t="n"/>
      <c r="I1168" s="15" t="n"/>
      <c r="J1168" s="19" t="n">
        <v>2</v>
      </c>
      <c r="K1168" s="2" t="inlineStr">
        <is>
          <t>marker_116_838736.png</t>
        </is>
      </c>
      <c r="L1168" s="11">
        <f>HYPERLINK("2\1\" &amp; K1168, "Ver Imagen")</f>
        <v/>
      </c>
      <c r="M1168" t="inlineStr">
        <is>
          <t>Moda</t>
        </is>
      </c>
    </row>
    <row r="1169">
      <c r="A1169" t="n">
        <v>1168</v>
      </c>
      <c r="B1169" t="inlineStr">
        <is>
          <t>A-492__371</t>
        </is>
      </c>
      <c r="C1169" s="1" t="n">
        <v>37.303056155</v>
      </c>
      <c r="D1169" s="1" t="n">
        <v>-7.05664875978</v>
      </c>
      <c r="E1169" s="3" t="n">
        <v>1</v>
      </c>
      <c r="F1169" s="2" t="n">
        <v>2</v>
      </c>
      <c r="G1169" s="4" t="n">
        <v>2</v>
      </c>
      <c r="H1169" s="13" t="n"/>
      <c r="I1169" s="15" t="n"/>
      <c r="J1169" s="19" t="n">
        <v>2</v>
      </c>
      <c r="K1169" s="2" t="inlineStr">
        <is>
          <t>marker_630_838767.png</t>
        </is>
      </c>
      <c r="L1169" s="11">
        <f>HYPERLINK("2\1\" &amp; K1169, "Ver Imagen")</f>
        <v/>
      </c>
      <c r="M1169" t="inlineStr">
        <is>
          <t>Moda</t>
        </is>
      </c>
    </row>
    <row r="1170">
      <c r="A1170" t="n">
        <v>1169</v>
      </c>
      <c r="B1170" t="inlineStr">
        <is>
          <t>A-492__372</t>
        </is>
      </c>
      <c r="C1170" s="1" t="n">
        <v>37.3032695288</v>
      </c>
      <c r="D1170" s="1" t="n">
        <v>-7.05668339745</v>
      </c>
      <c r="E1170" s="3" t="n">
        <v>1</v>
      </c>
      <c r="F1170" s="2" t="n">
        <v>2</v>
      </c>
      <c r="G1170" s="4" t="n">
        <v>2</v>
      </c>
      <c r="H1170" s="13" t="n"/>
      <c r="I1170" s="15" t="n"/>
      <c r="J1170" s="19" t="n">
        <v>2</v>
      </c>
      <c r="K1170" s="2" t="inlineStr">
        <is>
          <t>marker_351_838777.png</t>
        </is>
      </c>
      <c r="L1170" s="11">
        <f>HYPERLINK("2\1\" &amp; K1170, "Ver Imagen")</f>
        <v/>
      </c>
      <c r="M1170" t="inlineStr">
        <is>
          <t>Moda</t>
        </is>
      </c>
    </row>
    <row r="1171">
      <c r="A1171" t="n">
        <v>1170</v>
      </c>
      <c r="B1171" t="inlineStr">
        <is>
          <t>A-492__374</t>
        </is>
      </c>
      <c r="C1171" s="1" t="n">
        <v>37.3036396567</v>
      </c>
      <c r="D1171" s="1" t="n">
        <v>-7.05673211777</v>
      </c>
      <c r="E1171" s="3" t="n">
        <v>1</v>
      </c>
      <c r="F1171" s="2" t="n">
        <v>2</v>
      </c>
      <c r="G1171" s="4" t="n">
        <v>2</v>
      </c>
      <c r="H1171" s="13" t="n"/>
      <c r="I1171" s="15" t="n"/>
      <c r="J1171" s="19" t="n">
        <v>2</v>
      </c>
      <c r="K1171" s="2" t="inlineStr">
        <is>
          <t>marker_126_838802.png</t>
        </is>
      </c>
      <c r="L1171" s="11">
        <f>HYPERLINK("2\1\" &amp; K1171, "Ver Imagen")</f>
        <v/>
      </c>
      <c r="M1171" t="inlineStr">
        <is>
          <t>Moda</t>
        </is>
      </c>
    </row>
    <row r="1172">
      <c r="A1172" t="n">
        <v>1171</v>
      </c>
      <c r="B1172" t="inlineStr">
        <is>
          <t>A-492__375</t>
        </is>
      </c>
      <c r="C1172" s="1" t="n">
        <v>37.3038695333</v>
      </c>
      <c r="D1172" s="1" t="n">
        <v>-7.056748237</v>
      </c>
      <c r="E1172" s="3" t="n">
        <v>1</v>
      </c>
      <c r="F1172" s="2" t="n">
        <v>2</v>
      </c>
      <c r="G1172" s="4" t="n">
        <v>2</v>
      </c>
      <c r="H1172" s="13" t="n"/>
      <c r="I1172" s="15" t="n"/>
      <c r="J1172" s="19" t="n">
        <v>2</v>
      </c>
      <c r="K1172" s="2" t="inlineStr">
        <is>
          <t>marker_117_838813.png</t>
        </is>
      </c>
      <c r="L1172" s="11">
        <f>HYPERLINK("2\1\" &amp; K1172, "Ver Imagen")</f>
        <v/>
      </c>
      <c r="M1172" t="inlineStr">
        <is>
          <t>Moda</t>
        </is>
      </c>
    </row>
    <row r="1173">
      <c r="A1173" t="n">
        <v>1172</v>
      </c>
      <c r="B1173" t="inlineStr">
        <is>
          <t>A-492__376</t>
        </is>
      </c>
      <c r="C1173" s="1" t="n">
        <v>37.3040904126</v>
      </c>
      <c r="D1173" s="1" t="n">
        <v>-7.05675483935</v>
      </c>
      <c r="E1173" s="3" t="n">
        <v>1</v>
      </c>
      <c r="F1173" s="2" t="n">
        <v>2</v>
      </c>
      <c r="G1173" s="4" t="n">
        <v>2</v>
      </c>
      <c r="H1173" s="13" t="n"/>
      <c r="I1173" s="15" t="n"/>
      <c r="J1173" s="19" t="n">
        <v>2</v>
      </c>
      <c r="K1173" s="2" t="inlineStr">
        <is>
          <t>marker_571_838827.png</t>
        </is>
      </c>
      <c r="L1173" s="11">
        <f>HYPERLINK("2\1\" &amp; K1173, "Ver Imagen")</f>
        <v/>
      </c>
      <c r="M1173" t="inlineStr">
        <is>
          <t>Moda</t>
        </is>
      </c>
    </row>
    <row r="1174">
      <c r="A1174" t="n">
        <v>1173</v>
      </c>
      <c r="B1174" t="inlineStr">
        <is>
          <t>A-492__377</t>
        </is>
      </c>
      <c r="C1174" s="1" t="n">
        <v>37.3042739423</v>
      </c>
      <c r="D1174" s="1" t="n">
        <v>-7.05675569556</v>
      </c>
      <c r="E1174" s="3" t="n">
        <v>1</v>
      </c>
      <c r="F1174" s="2" t="n">
        <v>2</v>
      </c>
      <c r="G1174" s="4" t="n">
        <v>2</v>
      </c>
      <c r="H1174" s="13" t="n"/>
      <c r="I1174" s="15" t="n"/>
      <c r="J1174" s="19" t="n">
        <v>2</v>
      </c>
      <c r="K1174" s="2" t="inlineStr">
        <is>
          <t>marker_104_838842.png</t>
        </is>
      </c>
      <c r="L1174" s="11">
        <f>HYPERLINK("2\1\" &amp; K1174, "Ver Imagen")</f>
        <v/>
      </c>
      <c r="M1174" t="inlineStr">
        <is>
          <t>Moda</t>
        </is>
      </c>
    </row>
    <row r="1175">
      <c r="A1175" t="n">
        <v>1174</v>
      </c>
      <c r="B1175" t="inlineStr">
        <is>
          <t>A-492__378</t>
        </is>
      </c>
      <c r="C1175" s="1" t="n">
        <v>37.3044802495</v>
      </c>
      <c r="D1175" s="1" t="n">
        <v>-7.05675259838</v>
      </c>
      <c r="E1175" s="3" t="n">
        <v>1</v>
      </c>
      <c r="F1175" s="2" t="n">
        <v>2</v>
      </c>
      <c r="G1175" s="4" t="n">
        <v>2</v>
      </c>
      <c r="H1175" s="13" t="n"/>
      <c r="I1175" s="15" t="n"/>
      <c r="J1175" s="19" t="n">
        <v>2</v>
      </c>
      <c r="K1175" s="2" t="inlineStr">
        <is>
          <t>marker_411_838852.png</t>
        </is>
      </c>
      <c r="L1175" s="11">
        <f>HYPERLINK("2\1\" &amp; K1175, "Ver Imagen")</f>
        <v/>
      </c>
      <c r="M1175" t="inlineStr">
        <is>
          <t>Moda</t>
        </is>
      </c>
    </row>
    <row r="1176">
      <c r="A1176" t="n">
        <v>1175</v>
      </c>
      <c r="B1176" t="inlineStr">
        <is>
          <t>A-492__379</t>
        </is>
      </c>
      <c r="C1176" s="1" t="n">
        <v>37.3046894315</v>
      </c>
      <c r="D1176" s="1" t="n">
        <v>-7.05674644382</v>
      </c>
      <c r="E1176" s="3" t="n">
        <v>1</v>
      </c>
      <c r="F1176" s="2" t="n">
        <v>2</v>
      </c>
      <c r="G1176" s="4" t="n">
        <v>2</v>
      </c>
      <c r="H1176" s="13" t="n"/>
      <c r="I1176" s="15" t="n"/>
      <c r="J1176" s="19" t="n">
        <v>2</v>
      </c>
      <c r="K1176" s="2" t="inlineStr">
        <is>
          <t>marker_933_838867.png</t>
        </is>
      </c>
      <c r="L1176" s="11">
        <f>HYPERLINK("2\1\" &amp; K1176, "Ver Imagen")</f>
        <v/>
      </c>
      <c r="M1176" t="inlineStr">
        <is>
          <t>Moda</t>
        </is>
      </c>
    </row>
    <row r="1177">
      <c r="A1177" t="n">
        <v>1176</v>
      </c>
      <c r="B1177" t="inlineStr">
        <is>
          <t>A-492__382</t>
        </is>
      </c>
      <c r="C1177" s="1" t="n">
        <v>37.3052876802</v>
      </c>
      <c r="D1177" s="1" t="n">
        <v>-7.05673428971</v>
      </c>
      <c r="E1177" s="3" t="n">
        <v>1</v>
      </c>
      <c r="F1177" s="2" t="n">
        <v>2</v>
      </c>
      <c r="G1177" s="4" t="n">
        <v>2</v>
      </c>
      <c r="H1177" s="13" t="n"/>
      <c r="I1177" s="15" t="n"/>
      <c r="J1177" s="19" t="n">
        <v>2</v>
      </c>
      <c r="K1177" s="2" t="inlineStr">
        <is>
          <t>marker_786_838913.png</t>
        </is>
      </c>
      <c r="L1177" s="11">
        <f>HYPERLINK("2\1\" &amp; K1177, "Ver Imagen")</f>
        <v/>
      </c>
      <c r="M1177" t="inlineStr">
        <is>
          <t>Moda</t>
        </is>
      </c>
    </row>
    <row r="1178">
      <c r="A1178" t="n">
        <v>1177</v>
      </c>
      <c r="B1178" t="inlineStr">
        <is>
          <t>A-492__399</t>
        </is>
      </c>
      <c r="C1178" s="1" t="n">
        <v>37.308706376</v>
      </c>
      <c r="D1178" s="1" t="n">
        <v>-7.05736696732</v>
      </c>
      <c r="E1178" s="3" t="n">
        <v>2</v>
      </c>
      <c r="F1178" s="2" t="n">
        <v>2</v>
      </c>
      <c r="G1178" s="4" t="n">
        <v>3</v>
      </c>
      <c r="H1178" s="13" t="n"/>
      <c r="I1178" s="15" t="n"/>
      <c r="J1178" s="19" t="n">
        <v>2</v>
      </c>
      <c r="K1178" s="2" t="inlineStr">
        <is>
          <t>marker_440_839145.png</t>
        </is>
      </c>
      <c r="L1178" s="11">
        <f>HYPERLINK("2\1\" &amp; K1178, "Ver Imagen")</f>
        <v/>
      </c>
      <c r="M1178" t="inlineStr">
        <is>
          <t>Moda</t>
        </is>
      </c>
    </row>
    <row r="1179">
      <c r="A1179" t="n">
        <v>1178</v>
      </c>
      <c r="B1179" t="inlineStr">
        <is>
          <t>A-492__402</t>
        </is>
      </c>
      <c r="C1179" s="1" t="n">
        <v>37.3092285669</v>
      </c>
      <c r="D1179" s="1" t="n">
        <v>-7.05765213129</v>
      </c>
      <c r="E1179" s="3" t="n">
        <v>2</v>
      </c>
      <c r="F1179" s="2" t="n">
        <v>2</v>
      </c>
      <c r="G1179" s="4" t="n">
        <v>3</v>
      </c>
      <c r="H1179" s="13" t="n"/>
      <c r="I1179" s="15" t="n"/>
      <c r="J1179" s="19" t="n">
        <v>2</v>
      </c>
      <c r="K1179" s="2" t="inlineStr">
        <is>
          <t>marker_700_839183.png</t>
        </is>
      </c>
      <c r="L1179" s="11">
        <f>HYPERLINK("2\1\" &amp; K1179, "Ver Imagen")</f>
        <v/>
      </c>
      <c r="M1179" t="inlineStr">
        <is>
          <t>Moda</t>
        </is>
      </c>
    </row>
    <row r="1180">
      <c r="A1180" t="n">
        <v>1179</v>
      </c>
      <c r="B1180" t="inlineStr">
        <is>
          <t>A-492__403</t>
        </is>
      </c>
      <c r="C1180" s="1" t="n">
        <v>37.3094231467</v>
      </c>
      <c r="D1180" s="1" t="n">
        <v>-7.05778310318</v>
      </c>
      <c r="E1180" s="3" t="n">
        <v>2</v>
      </c>
      <c r="F1180" s="2" t="n">
        <v>1</v>
      </c>
      <c r="G1180" s="4" t="n">
        <v>2</v>
      </c>
      <c r="H1180" s="13" t="n"/>
      <c r="I1180" s="15" t="n"/>
      <c r="J1180" s="19" t="n">
        <v>2</v>
      </c>
      <c r="K1180" s="2" t="inlineStr">
        <is>
          <t>marker_386_839195.png</t>
        </is>
      </c>
      <c r="L1180" s="11">
        <f>HYPERLINK("2\1\" &amp; K1180, "Ver Imagen")</f>
        <v/>
      </c>
      <c r="M1180" t="inlineStr">
        <is>
          <t>Moda</t>
        </is>
      </c>
    </row>
    <row r="1181">
      <c r="A1181" t="n">
        <v>1180</v>
      </c>
      <c r="B1181" t="inlineStr">
        <is>
          <t>A-492__404</t>
        </is>
      </c>
      <c r="C1181" s="1" t="n">
        <v>37.3095860978</v>
      </c>
      <c r="D1181" s="1" t="n">
        <v>-7.05790429325</v>
      </c>
      <c r="E1181" s="3" t="n">
        <v>2</v>
      </c>
      <c r="F1181" s="2" t="n">
        <v>1</v>
      </c>
      <c r="G1181" s="4" t="n">
        <v>2</v>
      </c>
      <c r="H1181" s="13" t="n"/>
      <c r="I1181" s="15" t="n"/>
      <c r="J1181" s="19" t="n">
        <v>2</v>
      </c>
      <c r="K1181" s="2" t="inlineStr">
        <is>
          <t>marker_481_839206.png</t>
        </is>
      </c>
      <c r="L1181" s="11">
        <f>HYPERLINK("2\1\" &amp; K1181, "Ver Imagen")</f>
        <v/>
      </c>
      <c r="M1181" t="inlineStr">
        <is>
          <t>Moda</t>
        </is>
      </c>
    </row>
    <row r="1182">
      <c r="A1182" t="n">
        <v>1181</v>
      </c>
      <c r="B1182" t="inlineStr">
        <is>
          <t>A-492__408</t>
        </is>
      </c>
      <c r="C1182" s="1" t="n">
        <v>37.31028491</v>
      </c>
      <c r="D1182" s="1" t="n">
        <v>-7.05847478799</v>
      </c>
      <c r="E1182" s="3" t="n">
        <v>1</v>
      </c>
      <c r="F1182" s="2" t="n">
        <v>2</v>
      </c>
      <c r="G1182" s="4" t="n">
        <v>2</v>
      </c>
      <c r="H1182" s="13" t="n"/>
      <c r="I1182" s="15" t="n"/>
      <c r="J1182" s="19" t="n">
        <v>2</v>
      </c>
      <c r="K1182" s="2" t="inlineStr">
        <is>
          <t>marker_169_839268.png</t>
        </is>
      </c>
      <c r="L1182" s="11">
        <f>HYPERLINK("2\1\" &amp; K1182, "Ver Imagen")</f>
        <v/>
      </c>
      <c r="M1182" t="inlineStr">
        <is>
          <t>Moda</t>
        </is>
      </c>
    </row>
    <row r="1183">
      <c r="A1183" t="n">
        <v>1182</v>
      </c>
      <c r="B1183" t="inlineStr">
        <is>
          <t>A-492__410</t>
        </is>
      </c>
      <c r="C1183" s="1" t="n">
        <v>37.3106318271</v>
      </c>
      <c r="D1183" s="1" t="n">
        <v>-7.05877231223</v>
      </c>
      <c r="E1183" s="3" t="n">
        <v>1</v>
      </c>
      <c r="F1183" s="2" t="n">
        <v>2</v>
      </c>
      <c r="G1183" s="4" t="n">
        <v>2</v>
      </c>
      <c r="H1183" s="13" t="n"/>
      <c r="I1183" s="15" t="n"/>
      <c r="J1183" s="19" t="n">
        <v>2</v>
      </c>
      <c r="K1183" s="2" t="inlineStr">
        <is>
          <t>marker_251_839290.png</t>
        </is>
      </c>
      <c r="L1183" s="11">
        <f>HYPERLINK("2\1\" &amp; K1183, "Ver Imagen")</f>
        <v/>
      </c>
      <c r="M1183" t="inlineStr">
        <is>
          <t>Moda</t>
        </is>
      </c>
    </row>
    <row r="1184">
      <c r="A1184" t="n">
        <v>1183</v>
      </c>
      <c r="B1184" t="inlineStr">
        <is>
          <t>A-492__411</t>
        </is>
      </c>
      <c r="C1184" s="1" t="n">
        <v>37.3107656314</v>
      </c>
      <c r="D1184" s="1" t="n">
        <v>-7.05888565113</v>
      </c>
      <c r="E1184" s="3" t="n">
        <v>1</v>
      </c>
      <c r="F1184" s="2" t="n">
        <v>2</v>
      </c>
      <c r="G1184" s="4" t="n">
        <v>2</v>
      </c>
      <c r="H1184" s="13" t="n"/>
      <c r="I1184" s="15" t="n"/>
      <c r="J1184" s="19" t="n">
        <v>2</v>
      </c>
      <c r="K1184" s="2" t="inlineStr">
        <is>
          <t>marker_961_839300.png</t>
        </is>
      </c>
      <c r="L1184" s="11">
        <f>HYPERLINK("2\1\" &amp; K1184, "Ver Imagen")</f>
        <v/>
      </c>
      <c r="M1184" t="inlineStr">
        <is>
          <t>Moda</t>
        </is>
      </c>
    </row>
    <row r="1185">
      <c r="A1185" t="n">
        <v>1184</v>
      </c>
      <c r="B1185" t="inlineStr">
        <is>
          <t>A-492__417</t>
        </is>
      </c>
      <c r="C1185" s="1" t="n">
        <v>37.311748243</v>
      </c>
      <c r="D1185" s="1" t="n">
        <v>-7.05984268467</v>
      </c>
      <c r="E1185" s="3" t="n">
        <v>2</v>
      </c>
      <c r="F1185" s="2" t="n">
        <v>1</v>
      </c>
      <c r="G1185" s="4" t="n">
        <v>2</v>
      </c>
      <c r="H1185" s="13" t="n"/>
      <c r="I1185" s="15" t="n"/>
      <c r="J1185" s="19" t="n">
        <v>2</v>
      </c>
      <c r="K1185" s="2" t="inlineStr">
        <is>
          <t>marker_905_839364.png</t>
        </is>
      </c>
      <c r="L1185" s="11">
        <f>HYPERLINK("2\1\" &amp; K1185, "Ver Imagen")</f>
        <v/>
      </c>
      <c r="M1185" t="inlineStr">
        <is>
          <t>Moda</t>
        </is>
      </c>
    </row>
    <row r="1186">
      <c r="A1186" t="n">
        <v>1185</v>
      </c>
      <c r="B1186" t="inlineStr">
        <is>
          <t>A-492__419</t>
        </is>
      </c>
      <c r="C1186" s="1" t="n">
        <v>37.3120185895</v>
      </c>
      <c r="D1186" s="1" t="n">
        <v>-7.06021489032</v>
      </c>
      <c r="E1186" s="3" t="n">
        <v>2</v>
      </c>
      <c r="F1186" s="2" t="n">
        <v>1</v>
      </c>
      <c r="G1186" s="4" t="n">
        <v>2</v>
      </c>
      <c r="H1186" s="13" t="n"/>
      <c r="I1186" s="15" t="n"/>
      <c r="J1186" s="19" t="n">
        <v>2</v>
      </c>
      <c r="K1186" s="2" t="inlineStr">
        <is>
          <t>marker_390_839388.png</t>
        </is>
      </c>
      <c r="L1186" s="11">
        <f>HYPERLINK("2\1\" &amp; K1186, "Ver Imagen")</f>
        <v/>
      </c>
      <c r="M1186" t="inlineStr">
        <is>
          <t>Moda</t>
        </is>
      </c>
    </row>
    <row r="1187">
      <c r="A1187" t="n">
        <v>1186</v>
      </c>
      <c r="B1187" t="inlineStr">
        <is>
          <t>A-492__420</t>
        </is>
      </c>
      <c r="C1187" s="1" t="n">
        <v>37.312138451</v>
      </c>
      <c r="D1187" s="1" t="n">
        <v>-7.06039476529</v>
      </c>
      <c r="E1187" s="3" t="n">
        <v>2</v>
      </c>
      <c r="F1187" s="2" t="n">
        <v>1</v>
      </c>
      <c r="G1187" s="4" t="n">
        <v>2</v>
      </c>
      <c r="H1187" s="13" t="n"/>
      <c r="I1187" s="15" t="n"/>
      <c r="J1187" s="19" t="n">
        <v>2</v>
      </c>
      <c r="K1187" s="2" t="inlineStr">
        <is>
          <t>marker_961_839398.png</t>
        </is>
      </c>
      <c r="L1187" s="11">
        <f>HYPERLINK("2\1\" &amp; K1187, "Ver Imagen")</f>
        <v/>
      </c>
      <c r="M1187" t="inlineStr">
        <is>
          <t>Moda</t>
        </is>
      </c>
    </row>
    <row r="1188">
      <c r="A1188" t="n">
        <v>1187</v>
      </c>
      <c r="B1188" t="inlineStr">
        <is>
          <t>A-492__424</t>
        </is>
      </c>
      <c r="C1188" s="1" t="n">
        <v>37.3126503361</v>
      </c>
      <c r="D1188" s="1" t="n">
        <v>-7.06118993483</v>
      </c>
      <c r="E1188" s="3" t="n">
        <v>1</v>
      </c>
      <c r="F1188" s="2" t="n">
        <v>2</v>
      </c>
      <c r="G1188" s="4" t="n">
        <v>2</v>
      </c>
      <c r="H1188" s="13" t="n"/>
      <c r="I1188" s="15" t="n"/>
      <c r="J1188" s="19" t="n">
        <v>2</v>
      </c>
      <c r="K1188" s="2" t="inlineStr">
        <is>
          <t>marker_592_839464.png</t>
        </is>
      </c>
      <c r="L1188" s="11">
        <f>HYPERLINK("2\1\" &amp; K1188, "Ver Imagen")</f>
        <v/>
      </c>
      <c r="M1188" t="inlineStr">
        <is>
          <t>Moda</t>
        </is>
      </c>
    </row>
    <row r="1189">
      <c r="A1189" t="n">
        <v>1188</v>
      </c>
      <c r="B1189" t="inlineStr">
        <is>
          <t>A-492__425</t>
        </is>
      </c>
      <c r="C1189" s="1" t="n">
        <v>37.3127743821</v>
      </c>
      <c r="D1189" s="1" t="n">
        <v>-7.06138534514</v>
      </c>
      <c r="E1189" s="3" t="n">
        <v>1</v>
      </c>
      <c r="F1189" s="2" t="n">
        <v>2</v>
      </c>
      <c r="G1189" s="4" t="n">
        <v>2</v>
      </c>
      <c r="H1189" s="13" t="n"/>
      <c r="I1189" s="15" t="n"/>
      <c r="J1189" s="19" t="n">
        <v>2</v>
      </c>
      <c r="K1189" s="2" t="inlineStr">
        <is>
          <t>marker_109_839476.png</t>
        </is>
      </c>
      <c r="L1189" s="11">
        <f>HYPERLINK("2\1\" &amp; K1189, "Ver Imagen")</f>
        <v/>
      </c>
      <c r="M1189" t="inlineStr">
        <is>
          <t>Moda</t>
        </is>
      </c>
    </row>
    <row r="1190">
      <c r="A1190" t="n">
        <v>1189</v>
      </c>
      <c r="B1190" t="inlineStr">
        <is>
          <t>A-492__427</t>
        </is>
      </c>
      <c r="C1190" s="1" t="n">
        <v>37.3130180379</v>
      </c>
      <c r="D1190" s="1" t="n">
        <v>-7.06178349547</v>
      </c>
      <c r="E1190" s="3" t="n">
        <v>1</v>
      </c>
      <c r="F1190" s="2" t="n">
        <v>2</v>
      </c>
      <c r="G1190" s="4" t="n">
        <v>2</v>
      </c>
      <c r="H1190" s="13" t="n"/>
      <c r="I1190" s="15" t="n"/>
      <c r="J1190" s="19" t="n">
        <v>2</v>
      </c>
      <c r="K1190" s="2" t="inlineStr">
        <is>
          <t>marker_210_839495.png</t>
        </is>
      </c>
      <c r="L1190" s="11">
        <f>HYPERLINK("2\1\" &amp; K1190, "Ver Imagen")</f>
        <v/>
      </c>
      <c r="M1190" t="inlineStr">
        <is>
          <t>Moda</t>
        </is>
      </c>
    </row>
    <row r="1191">
      <c r="A1191" t="n">
        <v>1190</v>
      </c>
      <c r="B1191" t="inlineStr">
        <is>
          <t>A-492__428</t>
        </is>
      </c>
      <c r="C1191" s="1" t="n">
        <v>37.3131534243</v>
      </c>
      <c r="D1191" s="1" t="n">
        <v>-7.06201884503</v>
      </c>
      <c r="E1191" s="3" t="n">
        <v>1</v>
      </c>
      <c r="F1191" s="2" t="n">
        <v>2</v>
      </c>
      <c r="G1191" s="4" t="n">
        <v>2</v>
      </c>
      <c r="H1191" s="13" t="n"/>
      <c r="I1191" s="15" t="n"/>
      <c r="J1191" s="19" t="n">
        <v>2</v>
      </c>
      <c r="K1191" s="2" t="inlineStr">
        <is>
          <t>marker_874_839504.png</t>
        </is>
      </c>
      <c r="L1191" s="11">
        <f>HYPERLINK("2\1\" &amp; K1191, "Ver Imagen")</f>
        <v/>
      </c>
      <c r="M1191" t="inlineStr">
        <is>
          <t>Moda</t>
        </is>
      </c>
    </row>
    <row r="1192">
      <c r="A1192" t="n">
        <v>1191</v>
      </c>
      <c r="B1192" t="inlineStr">
        <is>
          <t>A-492__429</t>
        </is>
      </c>
      <c r="C1192" s="1" t="n">
        <v>37.3132664472</v>
      </c>
      <c r="D1192" s="1" t="n">
        <v>-7.06222242609</v>
      </c>
      <c r="E1192" s="3" t="n">
        <v>2</v>
      </c>
      <c r="F1192" s="2" t="n">
        <v>2</v>
      </c>
      <c r="G1192" s="4" t="n">
        <v>3</v>
      </c>
      <c r="H1192" s="13" t="n"/>
      <c r="I1192" s="15" t="n"/>
      <c r="J1192" s="19" t="n">
        <v>2</v>
      </c>
      <c r="K1192" s="2" t="inlineStr">
        <is>
          <t>marker_327_839513.png</t>
        </is>
      </c>
      <c r="L1192" s="11">
        <f>HYPERLINK("2\1\" &amp; K1192, "Ver Imagen")</f>
        <v/>
      </c>
      <c r="M1192" t="inlineStr">
        <is>
          <t>Moda</t>
        </is>
      </c>
    </row>
    <row r="1193">
      <c r="A1193" t="n">
        <v>1192</v>
      </c>
      <c r="B1193" t="inlineStr">
        <is>
          <t>A-492__430</t>
        </is>
      </c>
      <c r="C1193" s="1" t="n">
        <v>37.3133829838</v>
      </c>
      <c r="D1193" s="1" t="n">
        <v>-7.06243680489</v>
      </c>
      <c r="E1193" s="3" t="n">
        <v>2</v>
      </c>
      <c r="F1193" s="2" t="n">
        <v>1</v>
      </c>
      <c r="G1193" s="4" t="n">
        <v>2</v>
      </c>
      <c r="H1193" s="13" t="n"/>
      <c r="I1193" s="15" t="n"/>
      <c r="J1193" s="19" t="n">
        <v>2</v>
      </c>
      <c r="K1193" s="2" t="inlineStr">
        <is>
          <t>marker_887_839523.png</t>
        </is>
      </c>
      <c r="L1193" s="11">
        <f>HYPERLINK("2\1\" &amp; K1193, "Ver Imagen")</f>
        <v/>
      </c>
      <c r="M1193" t="inlineStr">
        <is>
          <t>Moda</t>
        </is>
      </c>
    </row>
    <row r="1194">
      <c r="A1194" t="n">
        <v>1193</v>
      </c>
      <c r="B1194" t="inlineStr">
        <is>
          <t>A-492__436</t>
        </is>
      </c>
      <c r="C1194" s="1" t="n">
        <v>37.3140301329</v>
      </c>
      <c r="D1194" s="1" t="n">
        <v>-7.06365097034</v>
      </c>
      <c r="E1194" s="3" t="n">
        <v>2</v>
      </c>
      <c r="F1194" s="2" t="n">
        <v>1</v>
      </c>
      <c r="G1194" s="4" t="n">
        <v>2</v>
      </c>
      <c r="H1194" s="13" t="n"/>
      <c r="I1194" s="15" t="n"/>
      <c r="J1194" s="19" t="n">
        <v>2</v>
      </c>
      <c r="K1194" s="2" t="inlineStr">
        <is>
          <t>marker_704_839603.png</t>
        </is>
      </c>
      <c r="L1194" s="11">
        <f>HYPERLINK("2\1\" &amp; K1194, "Ver Imagen")</f>
        <v/>
      </c>
      <c r="M1194" t="inlineStr">
        <is>
          <t>Moda</t>
        </is>
      </c>
    </row>
    <row r="1195">
      <c r="A1195" t="n">
        <v>1194</v>
      </c>
      <c r="B1195" t="inlineStr">
        <is>
          <t>A-492__440</t>
        </is>
      </c>
      <c r="C1195" s="1" t="n">
        <v>37.3144998353</v>
      </c>
      <c r="D1195" s="1" t="n">
        <v>-7.06452686514</v>
      </c>
      <c r="E1195" s="3" t="n">
        <v>1</v>
      </c>
      <c r="F1195" s="2" t="n">
        <v>2</v>
      </c>
      <c r="G1195" s="4" t="n">
        <v>2</v>
      </c>
      <c r="H1195" s="13" t="n"/>
      <c r="I1195" s="15" t="n"/>
      <c r="J1195" s="19" t="n">
        <v>2</v>
      </c>
      <c r="K1195" s="2" t="inlineStr">
        <is>
          <t>marker_789_839701.png</t>
        </is>
      </c>
      <c r="L1195" s="11">
        <f>HYPERLINK("2\1\" &amp; K1195, "Ver Imagen")</f>
        <v/>
      </c>
      <c r="M1195" t="inlineStr">
        <is>
          <t>Moda</t>
        </is>
      </c>
    </row>
    <row r="1196">
      <c r="A1196" t="n">
        <v>1195</v>
      </c>
      <c r="B1196" t="inlineStr">
        <is>
          <t>A-492__442</t>
        </is>
      </c>
      <c r="C1196" s="1" t="n">
        <v>37.3147206284</v>
      </c>
      <c r="D1196" s="1" t="n">
        <v>-7.06493637801</v>
      </c>
      <c r="E1196" s="3" t="n">
        <v>1</v>
      </c>
      <c r="F1196" s="2" t="n">
        <v>2</v>
      </c>
      <c r="G1196" s="4" t="n">
        <v>2</v>
      </c>
      <c r="H1196" s="13" t="n"/>
      <c r="I1196" s="15" t="n"/>
      <c r="J1196" s="19" t="n">
        <v>2</v>
      </c>
      <c r="K1196" s="2" t="inlineStr">
        <is>
          <t>marker_237_839722.png</t>
        </is>
      </c>
      <c r="L1196" s="11">
        <f>HYPERLINK("2\1\" &amp; K1196, "Ver Imagen")</f>
        <v/>
      </c>
      <c r="M1196" t="inlineStr">
        <is>
          <t>Moda</t>
        </is>
      </c>
    </row>
    <row r="1197">
      <c r="A1197" t="n">
        <v>1196</v>
      </c>
      <c r="B1197" t="inlineStr">
        <is>
          <t>A-492__443</t>
        </is>
      </c>
      <c r="C1197" s="1" t="n">
        <v>37.314831772</v>
      </c>
      <c r="D1197" s="1" t="n">
        <v>-7.06514974183</v>
      </c>
      <c r="E1197" s="3" t="n">
        <v>1</v>
      </c>
      <c r="F1197" s="2" t="n">
        <v>2</v>
      </c>
      <c r="G1197" s="4" t="n">
        <v>2</v>
      </c>
      <c r="H1197" s="13" t="n"/>
      <c r="I1197" s="15" t="n"/>
      <c r="J1197" s="19" t="n">
        <v>2</v>
      </c>
      <c r="K1197" s="2" t="inlineStr">
        <is>
          <t>marker_382_839732.png</t>
        </is>
      </c>
      <c r="L1197" s="11">
        <f>HYPERLINK("2\1\" &amp; K1197, "Ver Imagen")</f>
        <v/>
      </c>
      <c r="M1197" t="inlineStr">
        <is>
          <t>Moda</t>
        </is>
      </c>
    </row>
    <row r="1198">
      <c r="A1198" t="n">
        <v>1197</v>
      </c>
      <c r="B1198" t="inlineStr">
        <is>
          <t>A-492__445</t>
        </is>
      </c>
      <c r="C1198" s="1" t="n">
        <v>37.3150304595</v>
      </c>
      <c r="D1198" s="1" t="n">
        <v>-7.06557736158</v>
      </c>
      <c r="E1198" s="3" t="n">
        <v>1</v>
      </c>
      <c r="F1198" s="2" t="n">
        <v>2</v>
      </c>
      <c r="G1198" s="4" t="n">
        <v>2</v>
      </c>
      <c r="H1198" s="13" t="n"/>
      <c r="I1198" s="15" t="n"/>
      <c r="J1198" s="19" t="n">
        <v>2</v>
      </c>
      <c r="K1198" s="2" t="inlineStr">
        <is>
          <t>marker_815_839759.png</t>
        </is>
      </c>
      <c r="L1198" s="11">
        <f>HYPERLINK("2\1\" &amp; K1198, "Ver Imagen")</f>
        <v/>
      </c>
      <c r="M1198" t="inlineStr">
        <is>
          <t>Moda</t>
        </is>
      </c>
    </row>
    <row r="1199">
      <c r="A1199" t="n">
        <v>1198</v>
      </c>
      <c r="B1199" t="inlineStr">
        <is>
          <t>A-492__471</t>
        </is>
      </c>
      <c r="C1199" s="1" t="n">
        <v>37.3176056544</v>
      </c>
      <c r="D1199" s="1" t="n">
        <v>-7.07110447043</v>
      </c>
      <c r="E1199" s="3" t="n">
        <v>2</v>
      </c>
      <c r="F1199" s="2" t="n">
        <v>2</v>
      </c>
      <c r="G1199" s="4" t="n">
        <v>3</v>
      </c>
      <c r="H1199" s="13" t="n"/>
      <c r="I1199" s="15" t="n"/>
      <c r="J1199" s="19" t="n">
        <v>2</v>
      </c>
      <c r="K1199" s="2" t="inlineStr">
        <is>
          <t>marker_289_840054.png</t>
        </is>
      </c>
      <c r="L1199" s="11">
        <f>HYPERLINK("2\1\" &amp; K1199, "Ver Imagen")</f>
        <v/>
      </c>
      <c r="M1199" t="inlineStr">
        <is>
          <t>Moda</t>
        </is>
      </c>
    </row>
    <row r="1200">
      <c r="A1200" t="n">
        <v>1199</v>
      </c>
      <c r="B1200" t="inlineStr">
        <is>
          <t>A-492__472</t>
        </is>
      </c>
      <c r="C1200" s="1" t="n">
        <v>37.3177794132</v>
      </c>
      <c r="D1200" s="1" t="n">
        <v>-7.07117567021</v>
      </c>
      <c r="E1200" s="3" t="n">
        <v>2</v>
      </c>
      <c r="F1200" s="2" t="n">
        <v>2</v>
      </c>
      <c r="G1200" s="4" t="n">
        <v>3</v>
      </c>
      <c r="H1200" s="13" t="n"/>
      <c r="I1200" s="15" t="n"/>
      <c r="J1200" s="19" t="n">
        <v>2</v>
      </c>
      <c r="K1200" s="2" t="inlineStr">
        <is>
          <t>marker_748_840068.png</t>
        </is>
      </c>
      <c r="L1200" s="11">
        <f>HYPERLINK("2\1\" &amp; K1200, "Ver Imagen")</f>
        <v/>
      </c>
      <c r="M1200" t="inlineStr">
        <is>
          <t>Moda</t>
        </is>
      </c>
    </row>
    <row r="1201">
      <c r="A1201" t="n">
        <v>1200</v>
      </c>
      <c r="B1201" t="inlineStr">
        <is>
          <t>A-495R__105</t>
        </is>
      </c>
      <c r="C1201" s="1" t="n">
        <v>37.4641037946</v>
      </c>
      <c r="D1201" s="1" t="n">
        <v>-7.11878678961</v>
      </c>
      <c r="E1201" s="3" t="n">
        <v>1</v>
      </c>
      <c r="F1201" s="2" t="n">
        <v>2</v>
      </c>
      <c r="G1201" s="4" t="n">
        <v>2</v>
      </c>
      <c r="H1201" s="13" t="n"/>
      <c r="I1201" s="15" t="n"/>
      <c r="J1201" s="19" t="n">
        <v>2</v>
      </c>
      <c r="K1201" s="2" t="inlineStr">
        <is>
          <t>marker_858_895807.png</t>
        </is>
      </c>
      <c r="L1201" s="11">
        <f>HYPERLINK("2\1\" &amp; K1201, "Ver Imagen")</f>
        <v/>
      </c>
      <c r="M1201" t="inlineStr">
        <is>
          <t>Moda</t>
        </is>
      </c>
    </row>
    <row r="1202">
      <c r="A1202" t="n">
        <v>1201</v>
      </c>
      <c r="B1202" t="inlineStr">
        <is>
          <t>A-495R__18</t>
        </is>
      </c>
      <c r="C1202" s="1" t="n">
        <v>37.4483401237</v>
      </c>
      <c r="D1202" s="1" t="n">
        <v>-7.10951200292</v>
      </c>
      <c r="E1202" s="3" t="n">
        <v>2</v>
      </c>
      <c r="F1202" s="2" t="n">
        <v>3</v>
      </c>
      <c r="G1202" s="4" t="n">
        <v>2</v>
      </c>
      <c r="H1202" s="13" t="n"/>
      <c r="I1202" s="15" t="n"/>
      <c r="J1202" s="19" t="n">
        <v>2</v>
      </c>
      <c r="K1202" s="2" t="inlineStr">
        <is>
          <t>marker_392_936751.png</t>
        </is>
      </c>
      <c r="L1202" s="11">
        <f>HYPERLINK("2\1\" &amp; K1202, "Ver Imagen")</f>
        <v/>
      </c>
      <c r="M1202" t="inlineStr">
        <is>
          <t>Moda</t>
        </is>
      </c>
    </row>
    <row r="1203">
      <c r="A1203" t="n">
        <v>1202</v>
      </c>
      <c r="B1203" t="inlineStr">
        <is>
          <t>A-497__71</t>
        </is>
      </c>
      <c r="C1203" s="1" t="n">
        <v>37.2684768109</v>
      </c>
      <c r="D1203" s="1" t="n">
        <v>-6.97357433241</v>
      </c>
      <c r="E1203" s="3" t="n">
        <v>2</v>
      </c>
      <c r="F1203" s="2" t="n">
        <v>3</v>
      </c>
      <c r="G1203" s="4" t="n">
        <v>2</v>
      </c>
      <c r="H1203" s="13" t="n"/>
      <c r="I1203" s="15" t="n"/>
      <c r="J1203" s="19" t="n">
        <v>2</v>
      </c>
      <c r="K1203" s="2" t="inlineStr">
        <is>
          <t>marker_661_938033.png</t>
        </is>
      </c>
      <c r="L1203" s="11">
        <f>HYPERLINK("2\1\" &amp; K1203, "Ver Imagen")</f>
        <v/>
      </c>
      <c r="M1203" t="inlineStr">
        <is>
          <t>Moda</t>
        </is>
      </c>
    </row>
    <row r="1204">
      <c r="A1204" t="n">
        <v>1203</v>
      </c>
      <c r="B1204" t="inlineStr">
        <is>
          <t>A-497__22</t>
        </is>
      </c>
      <c r="C1204" s="1" t="n">
        <v>37.2674551124</v>
      </c>
      <c r="D1204" s="1" t="n">
        <v>-6.96124115537</v>
      </c>
      <c r="E1204" s="3" t="n">
        <v>2</v>
      </c>
      <c r="F1204" s="2" t="n">
        <v>2</v>
      </c>
      <c r="G1204" s="4" t="n">
        <v>1</v>
      </c>
      <c r="H1204" s="13" t="n"/>
      <c r="I1204" s="15" t="n"/>
      <c r="J1204" s="19" t="n">
        <v>2</v>
      </c>
      <c r="K1204" s="2" t="inlineStr">
        <is>
          <t>marker_611_943752.png</t>
        </is>
      </c>
      <c r="L1204" s="11">
        <f>HYPERLINK("2\1\" &amp; K1204, "Ver Imagen")</f>
        <v/>
      </c>
      <c r="M1204" t="inlineStr">
        <is>
          <t>Moda</t>
        </is>
      </c>
    </row>
    <row r="1205">
      <c r="A1205" t="n">
        <v>1204</v>
      </c>
      <c r="B1205" t="inlineStr">
        <is>
          <t>A-497__15</t>
        </is>
      </c>
      <c r="C1205" s="1" t="n">
        <v>37.2671955724</v>
      </c>
      <c r="D1205" s="1" t="n">
        <v>-6.95952422111</v>
      </c>
      <c r="E1205" s="3" t="n">
        <v>2</v>
      </c>
      <c r="F1205" s="2" t="n">
        <v>2</v>
      </c>
      <c r="G1205" s="4" t="n">
        <v>1</v>
      </c>
      <c r="H1205" s="13" t="n"/>
      <c r="I1205" s="15" t="n"/>
      <c r="J1205" s="19" t="n">
        <v>2</v>
      </c>
      <c r="K1205" s="2" t="inlineStr">
        <is>
          <t>marker_990_943834.png</t>
        </is>
      </c>
      <c r="L1205" s="11">
        <f>HYPERLINK("2\1\" &amp; K1205, "Ver Imagen")</f>
        <v/>
      </c>
      <c r="M1205" t="inlineStr">
        <is>
          <t>Moda</t>
        </is>
      </c>
    </row>
    <row r="1206">
      <c r="A1206" t="n">
        <v>1205</v>
      </c>
      <c r="B1206" t="inlineStr">
        <is>
          <t>A-497__14</t>
        </is>
      </c>
      <c r="C1206" s="1" t="n">
        <v>37.267150917</v>
      </c>
      <c r="D1206" s="1" t="n">
        <v>-6.959281333</v>
      </c>
      <c r="E1206" s="3" t="n">
        <v>2</v>
      </c>
      <c r="F1206" s="2" t="n">
        <v>2</v>
      </c>
      <c r="G1206" s="4" t="n">
        <v>1</v>
      </c>
      <c r="H1206" s="13" t="n"/>
      <c r="I1206" s="15" t="n"/>
      <c r="J1206" s="19" t="n">
        <v>2</v>
      </c>
      <c r="K1206" s="2" t="inlineStr">
        <is>
          <t>marker_111_943903.png</t>
        </is>
      </c>
      <c r="L1206" s="11">
        <f>HYPERLINK("2\1\" &amp; K1206, "Ver Imagen")</f>
        <v/>
      </c>
      <c r="M1206" t="inlineStr">
        <is>
          <t>Moda</t>
        </is>
      </c>
    </row>
    <row r="1207">
      <c r="A1207" t="n">
        <v>1206</v>
      </c>
      <c r="B1207" t="inlineStr">
        <is>
          <t>A-497__13</t>
        </is>
      </c>
      <c r="C1207" s="1" t="n">
        <v>37.267101991</v>
      </c>
      <c r="D1207" s="1" t="n">
        <v>-6.9590260472</v>
      </c>
      <c r="E1207" s="3" t="n">
        <v>1</v>
      </c>
      <c r="F1207" s="2" t="n">
        <v>2</v>
      </c>
      <c r="G1207" s="4" t="n">
        <v>2</v>
      </c>
      <c r="H1207" s="13" t="n"/>
      <c r="I1207" s="15" t="n"/>
      <c r="J1207" s="19" t="n">
        <v>2</v>
      </c>
      <c r="K1207" s="2" t="inlineStr">
        <is>
          <t>marker_480_943913.png</t>
        </is>
      </c>
      <c r="L1207" s="11">
        <f>HYPERLINK("2\1\" &amp; K1207, "Ver Imagen")</f>
        <v/>
      </c>
      <c r="M1207" t="inlineStr">
        <is>
          <t>Moda</t>
        </is>
      </c>
    </row>
    <row r="1208">
      <c r="A1208" t="n">
        <v>1207</v>
      </c>
      <c r="B1208" t="inlineStr">
        <is>
          <t>A-497__12</t>
        </is>
      </c>
      <c r="C1208" s="1" t="n">
        <v>37.2670499425</v>
      </c>
      <c r="D1208" s="1" t="n">
        <v>-6.95877885691</v>
      </c>
      <c r="E1208" s="3" t="n">
        <v>1</v>
      </c>
      <c r="F1208" s="2" t="n">
        <v>2</v>
      </c>
      <c r="G1208" s="4" t="n">
        <v>2</v>
      </c>
      <c r="H1208" s="13" t="n"/>
      <c r="I1208" s="15" t="n"/>
      <c r="J1208" s="19" t="n">
        <v>2</v>
      </c>
      <c r="K1208" s="2" t="inlineStr">
        <is>
          <t>marker_743_943953.png</t>
        </is>
      </c>
      <c r="L1208" s="11">
        <f>HYPERLINK("2\1\" &amp; K1208, "Ver Imagen")</f>
        <v/>
      </c>
      <c r="M1208" t="inlineStr">
        <is>
          <t>Moda</t>
        </is>
      </c>
    </row>
    <row r="1209">
      <c r="A1209" t="n">
        <v>1208</v>
      </c>
      <c r="B1209" t="inlineStr">
        <is>
          <t>A-5050__180</t>
        </is>
      </c>
      <c r="C1209" s="1" t="n">
        <v>37.1900729028</v>
      </c>
      <c r="D1209" s="1" t="n">
        <v>-6.98899874599</v>
      </c>
      <c r="E1209" s="3" t="n">
        <v>2</v>
      </c>
      <c r="F1209" s="2" t="n">
        <v>3</v>
      </c>
      <c r="G1209" s="4" t="n">
        <v>2</v>
      </c>
      <c r="H1209" s="13" t="n"/>
      <c r="I1209" s="15" t="n"/>
      <c r="J1209" s="19" t="n">
        <v>2</v>
      </c>
      <c r="K1209" s="2" t="inlineStr">
        <is>
          <t>marker_801_944173.png</t>
        </is>
      </c>
      <c r="L1209" s="11">
        <f>HYPERLINK("2\1\" &amp; K1209, "Ver Imagen")</f>
        <v/>
      </c>
      <c r="M1209" t="inlineStr">
        <is>
          <t>Moda</t>
        </is>
      </c>
    </row>
    <row r="1210">
      <c r="A1210" t="n">
        <v>1209</v>
      </c>
      <c r="B1210" t="inlineStr">
        <is>
          <t>A-5050__174</t>
        </is>
      </c>
      <c r="C1210" s="1" t="n">
        <v>37.1906866509</v>
      </c>
      <c r="D1210" s="1" t="n">
        <v>-6.99032814854</v>
      </c>
      <c r="E1210" s="3" t="n">
        <v>2</v>
      </c>
      <c r="F1210" s="2" t="n">
        <v>3</v>
      </c>
      <c r="G1210" s="4" t="n">
        <v>2</v>
      </c>
      <c r="H1210" s="13" t="n"/>
      <c r="I1210" s="15" t="n"/>
      <c r="J1210" s="19" t="n">
        <v>2</v>
      </c>
      <c r="K1210" s="2" t="inlineStr">
        <is>
          <t>marker_676_944243.png</t>
        </is>
      </c>
      <c r="L1210" s="11">
        <f>HYPERLINK("2\1\" &amp; K1210, "Ver Imagen")</f>
        <v/>
      </c>
      <c r="M1210" t="inlineStr">
        <is>
          <t>Moda</t>
        </is>
      </c>
    </row>
    <row r="1211">
      <c r="A1211" t="n">
        <v>1210</v>
      </c>
      <c r="B1211" t="inlineStr">
        <is>
          <t>A-5050__144</t>
        </is>
      </c>
      <c r="C1211" s="1" t="n">
        <v>37.1936729104</v>
      </c>
      <c r="D1211" s="1" t="n">
        <v>-6.99691784643</v>
      </c>
      <c r="E1211" s="3" t="n">
        <v>2</v>
      </c>
      <c r="F1211" s="2" t="n">
        <v>2</v>
      </c>
      <c r="G1211" s="4" t="n">
        <v>3</v>
      </c>
      <c r="H1211" s="13" t="n"/>
      <c r="I1211" s="15" t="n"/>
      <c r="J1211" s="19" t="n">
        <v>2</v>
      </c>
      <c r="K1211" s="2" t="inlineStr">
        <is>
          <t>marker_994_945800.png</t>
        </is>
      </c>
      <c r="L1211" s="11">
        <f>HYPERLINK("2\1\" &amp; K1211, "Ver Imagen")</f>
        <v/>
      </c>
      <c r="M1211" t="inlineStr">
        <is>
          <t>Moda</t>
        </is>
      </c>
    </row>
    <row r="1212">
      <c r="A1212" t="n">
        <v>1211</v>
      </c>
      <c r="B1212" t="inlineStr">
        <is>
          <t>A-5050__133</t>
        </is>
      </c>
      <c r="C1212" s="1" t="n">
        <v>37.1946972067</v>
      </c>
      <c r="D1212" s="1" t="n">
        <v>-6.99939806413</v>
      </c>
      <c r="E1212" s="3" t="n">
        <v>2</v>
      </c>
      <c r="F1212" s="2" t="n">
        <v>2</v>
      </c>
      <c r="G1212" s="4" t="n">
        <v>3</v>
      </c>
      <c r="H1212" s="13" t="n"/>
      <c r="I1212" s="15" t="n"/>
      <c r="J1212" s="19" t="n">
        <v>2</v>
      </c>
      <c r="K1212" s="2" t="inlineStr">
        <is>
          <t>marker_412_945916.png</t>
        </is>
      </c>
      <c r="L1212" s="11">
        <f>HYPERLINK("2\1\" &amp; K1212, "Ver Imagen")</f>
        <v/>
      </c>
      <c r="M1212" t="inlineStr">
        <is>
          <t>Moda</t>
        </is>
      </c>
    </row>
    <row r="1213">
      <c r="A1213" t="n">
        <v>1212</v>
      </c>
      <c r="B1213" t="inlineStr">
        <is>
          <t>A-5050__131</t>
        </is>
      </c>
      <c r="C1213" s="1" t="n">
        <v>37.1948742064</v>
      </c>
      <c r="D1213" s="1" t="n">
        <v>-6.99983471005</v>
      </c>
      <c r="E1213" s="3" t="n">
        <v>2</v>
      </c>
      <c r="F1213" s="2" t="n">
        <v>3</v>
      </c>
      <c r="G1213" s="4" t="n">
        <v>2</v>
      </c>
      <c r="H1213" s="13" t="n"/>
      <c r="I1213" s="15" t="n"/>
      <c r="J1213" s="19" t="n">
        <v>2</v>
      </c>
      <c r="K1213" s="2" t="inlineStr">
        <is>
          <t>marker_646_945935.png</t>
        </is>
      </c>
      <c r="L1213" s="11">
        <f>HYPERLINK("2\1\" &amp; K1213, "Ver Imagen")</f>
        <v/>
      </c>
      <c r="M1213" t="inlineStr">
        <is>
          <t>Moda</t>
        </is>
      </c>
    </row>
    <row r="1214">
      <c r="A1214" t="n">
        <v>1213</v>
      </c>
      <c r="B1214" t="inlineStr">
        <is>
          <t>A-5050__120</t>
        </is>
      </c>
      <c r="C1214" s="1" t="n">
        <v>37.1959037433</v>
      </c>
      <c r="D1214" s="1" t="n">
        <v>-7.00232959949</v>
      </c>
      <c r="E1214" s="3" t="n">
        <v>2</v>
      </c>
      <c r="F1214" s="2" t="n">
        <v>3</v>
      </c>
      <c r="G1214" s="4" t="n">
        <v>2</v>
      </c>
      <c r="H1214" s="13" t="n"/>
      <c r="I1214" s="15" t="n"/>
      <c r="J1214" s="19" t="n">
        <v>2</v>
      </c>
      <c r="K1214" s="2" t="inlineStr">
        <is>
          <t>marker_259_946508.png</t>
        </is>
      </c>
      <c r="L1214" s="11">
        <f>HYPERLINK("2\1\" &amp; K1214, "Ver Imagen")</f>
        <v/>
      </c>
      <c r="M1214" t="inlineStr">
        <is>
          <t>Moda</t>
        </is>
      </c>
    </row>
    <row r="1215">
      <c r="A1215" t="n">
        <v>1214</v>
      </c>
      <c r="B1215" t="inlineStr">
        <is>
          <t>A-5050__62</t>
        </is>
      </c>
      <c r="C1215" s="1" t="n">
        <v>37.2024263153</v>
      </c>
      <c r="D1215" s="1" t="n">
        <v>-7.01447486913</v>
      </c>
      <c r="E1215" s="3" t="n">
        <v>2</v>
      </c>
      <c r="F1215" s="2" t="n">
        <v>2</v>
      </c>
      <c r="G1215" s="4" t="n">
        <v>3</v>
      </c>
      <c r="H1215" s="13" t="n"/>
      <c r="I1215" s="15" t="n"/>
      <c r="J1215" s="19" t="n">
        <v>2</v>
      </c>
      <c r="K1215" s="2" t="inlineStr">
        <is>
          <t>marker_786_949006.png</t>
        </is>
      </c>
      <c r="L1215" s="11">
        <f>HYPERLINK("2\1\" &amp; K1215, "Ver Imagen")</f>
        <v/>
      </c>
      <c r="M1215" t="inlineStr">
        <is>
          <t>Moda</t>
        </is>
      </c>
    </row>
    <row r="1216">
      <c r="A1216" t="n">
        <v>1215</v>
      </c>
      <c r="B1216" t="inlineStr">
        <is>
          <t>A-5050__56</t>
        </is>
      </c>
      <c r="C1216" s="1" t="n">
        <v>37.2031975856</v>
      </c>
      <c r="D1216" s="1" t="n">
        <v>-7.01565252207</v>
      </c>
      <c r="E1216" s="3" t="n">
        <v>2</v>
      </c>
      <c r="F1216" s="2" t="n">
        <v>3</v>
      </c>
      <c r="G1216" s="4" t="n">
        <v>2</v>
      </c>
      <c r="H1216" s="13" t="n"/>
      <c r="I1216" s="15" t="n"/>
      <c r="J1216" s="19" t="n">
        <v>2</v>
      </c>
      <c r="K1216" s="2" t="inlineStr">
        <is>
          <t>marker_686_949100.png</t>
        </is>
      </c>
      <c r="L1216" s="11">
        <f>HYPERLINK("2\1\" &amp; K1216, "Ver Imagen")</f>
        <v/>
      </c>
      <c r="M1216" t="inlineStr">
        <is>
          <t>Moda</t>
        </is>
      </c>
    </row>
    <row r="1217">
      <c r="A1217" t="n">
        <v>1216</v>
      </c>
      <c r="B1217" t="inlineStr">
        <is>
          <t>A-5050__49</t>
        </is>
      </c>
      <c r="C1217" s="1" t="n">
        <v>37.2040779042</v>
      </c>
      <c r="D1217" s="1" t="n">
        <v>-7.01701232897</v>
      </c>
      <c r="E1217" s="3" t="n">
        <v>2</v>
      </c>
      <c r="F1217" s="2" t="n">
        <v>3</v>
      </c>
      <c r="G1217" s="4" t="n">
        <v>2</v>
      </c>
      <c r="H1217" s="13" t="n"/>
      <c r="I1217" s="15" t="n"/>
      <c r="J1217" s="19" t="n">
        <v>2</v>
      </c>
      <c r="K1217" s="2" t="inlineStr">
        <is>
          <t>marker_883_949163.png</t>
        </is>
      </c>
      <c r="L1217" s="11">
        <f>HYPERLINK("2\1\" &amp; K1217, "Ver Imagen")</f>
        <v/>
      </c>
      <c r="M1217" t="inlineStr">
        <is>
          <t>Moda</t>
        </is>
      </c>
    </row>
    <row r="1218">
      <c r="A1218" t="n">
        <v>1217</v>
      </c>
      <c r="B1218" t="inlineStr">
        <is>
          <t>A-5050__47</t>
        </is>
      </c>
      <c r="C1218" s="1" t="n">
        <v>37.2043638163</v>
      </c>
      <c r="D1218" s="1" t="n">
        <v>-7.01745455037</v>
      </c>
      <c r="E1218" s="3" t="n">
        <v>2</v>
      </c>
      <c r="F1218" s="2" t="n">
        <v>3</v>
      </c>
      <c r="G1218" s="4" t="n">
        <v>2</v>
      </c>
      <c r="H1218" s="13" t="n"/>
      <c r="I1218" s="15" t="n"/>
      <c r="J1218" s="19" t="n">
        <v>2</v>
      </c>
      <c r="K1218" s="2" t="inlineStr">
        <is>
          <t>marker_126_949180.png</t>
        </is>
      </c>
      <c r="L1218" s="11">
        <f>HYPERLINK("2\1\" &amp; K1218, "Ver Imagen")</f>
        <v/>
      </c>
      <c r="M1218" t="inlineStr">
        <is>
          <t>Moda</t>
        </is>
      </c>
    </row>
    <row r="1219">
      <c r="A1219" t="n">
        <v>1218</v>
      </c>
      <c r="B1219" t="inlineStr">
        <is>
          <t>A-5050__45</t>
        </is>
      </c>
      <c r="C1219" s="1" t="n">
        <v>37.2045861264</v>
      </c>
      <c r="D1219" s="1" t="n">
        <v>-7.01779713113</v>
      </c>
      <c r="E1219" s="3" t="n">
        <v>2</v>
      </c>
      <c r="F1219" s="2" t="n">
        <v>3</v>
      </c>
      <c r="G1219" s="4" t="n">
        <v>2</v>
      </c>
      <c r="H1219" s="13" t="n"/>
      <c r="I1219" s="15" t="n"/>
      <c r="J1219" s="19" t="n">
        <v>2</v>
      </c>
      <c r="K1219" s="2" t="inlineStr">
        <is>
          <t>marker_232_949202.png</t>
        </is>
      </c>
      <c r="L1219" s="11">
        <f>HYPERLINK("2\1\" &amp; K1219, "Ver Imagen")</f>
        <v/>
      </c>
      <c r="M1219" t="inlineStr">
        <is>
          <t>Moda</t>
        </is>
      </c>
    </row>
    <row r="1220">
      <c r="A1220" t="n">
        <v>1219</v>
      </c>
      <c r="B1220" t="inlineStr">
        <is>
          <t>A-5050__31</t>
        </is>
      </c>
      <c r="C1220" s="1" t="n">
        <v>37.2063211579</v>
      </c>
      <c r="D1220" s="1" t="n">
        <v>-7.02061451411</v>
      </c>
      <c r="E1220" s="3" t="n">
        <v>2</v>
      </c>
      <c r="F1220" s="2" t="n">
        <v>3</v>
      </c>
      <c r="G1220" s="4" t="n">
        <v>2</v>
      </c>
      <c r="H1220" s="13" t="n"/>
      <c r="I1220" s="15" t="n"/>
      <c r="J1220" s="19" t="n">
        <v>2</v>
      </c>
      <c r="K1220" s="2" t="inlineStr">
        <is>
          <t>marker_980_949350.png</t>
        </is>
      </c>
      <c r="L1220" s="11">
        <f>HYPERLINK("2\1\" &amp; K1220, "Ver Imagen")</f>
        <v/>
      </c>
      <c r="M1220" t="inlineStr">
        <is>
          <t>Moda</t>
        </is>
      </c>
    </row>
    <row r="1221">
      <c r="A1221" t="n">
        <v>1220</v>
      </c>
      <c r="B1221" t="inlineStr">
        <is>
          <t>A-5050__29</t>
        </is>
      </c>
      <c r="C1221" s="1" t="n">
        <v>37.2065732145</v>
      </c>
      <c r="D1221" s="1" t="n">
        <v>-7.02102173043</v>
      </c>
      <c r="E1221" s="3" t="n">
        <v>2</v>
      </c>
      <c r="F1221" s="2" t="n">
        <v>3</v>
      </c>
      <c r="G1221" s="4" t="n">
        <v>2</v>
      </c>
      <c r="H1221" s="13" t="n"/>
      <c r="I1221" s="15" t="n"/>
      <c r="J1221" s="19" t="n">
        <v>2</v>
      </c>
      <c r="K1221" s="2" t="inlineStr">
        <is>
          <t>marker_997_949369.png</t>
        </is>
      </c>
      <c r="L1221" s="11">
        <f>HYPERLINK("2\1\" &amp; K1221, "Ver Imagen")</f>
        <v/>
      </c>
      <c r="M1221" t="inlineStr">
        <is>
          <t>Moda</t>
        </is>
      </c>
    </row>
    <row r="1222">
      <c r="A1222" t="n">
        <v>1221</v>
      </c>
      <c r="B1222" t="inlineStr">
        <is>
          <t>A-5050__21</t>
        </is>
      </c>
      <c r="C1222" s="1" t="n">
        <v>37.2077389611</v>
      </c>
      <c r="D1222" s="1" t="n">
        <v>-7.02239407186</v>
      </c>
      <c r="E1222" s="3" t="n">
        <v>2</v>
      </c>
      <c r="F1222" s="2" t="n">
        <v>3</v>
      </c>
      <c r="G1222" s="4" t="n">
        <v>2</v>
      </c>
      <c r="H1222" s="13" t="n"/>
      <c r="I1222" s="15" t="n"/>
      <c r="J1222" s="19" t="n">
        <v>2</v>
      </c>
      <c r="K1222" s="2" t="inlineStr">
        <is>
          <t>marker_413_949448.png</t>
        </is>
      </c>
      <c r="L1222" s="11">
        <f>HYPERLINK("2\1\" &amp; K1222, "Ver Imagen")</f>
        <v/>
      </c>
      <c r="M1222" t="inlineStr">
        <is>
          <t>Moda</t>
        </is>
      </c>
    </row>
    <row r="1223">
      <c r="A1223" t="n">
        <v>1222</v>
      </c>
      <c r="B1223" t="inlineStr">
        <is>
          <t>A-5050__20</t>
        </is>
      </c>
      <c r="C1223" s="1" t="n">
        <v>37.207875505</v>
      </c>
      <c r="D1223" s="1" t="n">
        <v>-7.02254613412</v>
      </c>
      <c r="E1223" s="3" t="n">
        <v>2</v>
      </c>
      <c r="F1223" s="2" t="n">
        <v>2</v>
      </c>
      <c r="G1223" s="4" t="n">
        <v>3</v>
      </c>
      <c r="H1223" s="13" t="n"/>
      <c r="I1223" s="15" t="n"/>
      <c r="J1223" s="19" t="n">
        <v>2</v>
      </c>
      <c r="K1223" s="2" t="inlineStr">
        <is>
          <t>marker_340_949456.png</t>
        </is>
      </c>
      <c r="L1223" s="11">
        <f>HYPERLINK("2\1\" &amp; K1223, "Ver Imagen")</f>
        <v/>
      </c>
      <c r="M1223" t="inlineStr">
        <is>
          <t>Moda</t>
        </is>
      </c>
    </row>
    <row r="1224">
      <c r="A1224" t="n">
        <v>1223</v>
      </c>
      <c r="B1224" t="inlineStr">
        <is>
          <t>A-5050__7</t>
        </is>
      </c>
      <c r="C1224" s="1" t="n">
        <v>37.2086375908</v>
      </c>
      <c r="D1224" s="1" t="n">
        <v>-7.02567632508</v>
      </c>
      <c r="E1224" s="3" t="n">
        <v>2</v>
      </c>
      <c r="F1224" s="2" t="n">
        <v>2</v>
      </c>
      <c r="G1224" s="4" t="n">
        <v>3</v>
      </c>
      <c r="H1224" s="13" t="n"/>
      <c r="I1224" s="15" t="n"/>
      <c r="J1224" s="19" t="n">
        <v>2</v>
      </c>
      <c r="K1224" s="2" t="inlineStr">
        <is>
          <t>marker_693_949638.png</t>
        </is>
      </c>
      <c r="L1224" s="11">
        <f>HYPERLINK("2\1\" &amp; K1224, "Ver Imagen")</f>
        <v/>
      </c>
      <c r="M1224" t="inlineStr">
        <is>
          <t>Moda</t>
        </is>
      </c>
    </row>
    <row r="1225">
      <c r="A1225" t="n">
        <v>1224</v>
      </c>
      <c r="B1225" t="inlineStr">
        <is>
          <t>A-5050__6</t>
        </is>
      </c>
      <c r="C1225" s="1" t="n">
        <v>37.2086937077</v>
      </c>
      <c r="D1225" s="1" t="n">
        <v>-7.0258853719</v>
      </c>
      <c r="E1225" s="3" t="n">
        <v>2</v>
      </c>
      <c r="F1225" s="2" t="n">
        <v>3</v>
      </c>
      <c r="G1225" s="4" t="n">
        <v>2</v>
      </c>
      <c r="H1225" s="13" t="n"/>
      <c r="I1225" s="15" t="n"/>
      <c r="J1225" s="19" t="n">
        <v>2</v>
      </c>
      <c r="K1225" s="2" t="inlineStr">
        <is>
          <t>marker_838_949647.png</t>
        </is>
      </c>
      <c r="L1225" s="11">
        <f>HYPERLINK("2\1\" &amp; K1225, "Ver Imagen")</f>
        <v/>
      </c>
      <c r="M1225" t="inlineStr">
        <is>
          <t>Moda</t>
        </is>
      </c>
    </row>
    <row r="1226">
      <c r="A1226" t="n">
        <v>1225</v>
      </c>
      <c r="B1226" t="inlineStr">
        <is>
          <t>A-5050__5</t>
        </is>
      </c>
      <c r="C1226" s="1" t="n">
        <v>37.2087483097</v>
      </c>
      <c r="D1226" s="1" t="n">
        <v>-7.02612730571</v>
      </c>
      <c r="E1226" s="3" t="n">
        <v>2</v>
      </c>
      <c r="F1226" s="2" t="n">
        <v>3</v>
      </c>
      <c r="G1226" s="4" t="n">
        <v>2</v>
      </c>
      <c r="H1226" s="13" t="n"/>
      <c r="I1226" s="15" t="n"/>
      <c r="J1226" s="19" t="n">
        <v>2</v>
      </c>
      <c r="K1226" s="2" t="inlineStr">
        <is>
          <t>marker_488_949659.png</t>
        </is>
      </c>
      <c r="L1226" s="11">
        <f>HYPERLINK("2\1\" &amp; K1226, "Ver Imagen")</f>
        <v/>
      </c>
      <c r="M1226" t="inlineStr">
        <is>
          <t>Moda</t>
        </is>
      </c>
    </row>
    <row r="1227">
      <c r="A1227" t="n">
        <v>1226</v>
      </c>
      <c r="B1227" t="inlineStr">
        <is>
          <t>A-5052__8</t>
        </is>
      </c>
      <c r="C1227" s="1" t="n">
        <v>37.2183577969</v>
      </c>
      <c r="D1227" s="1" t="n">
        <v>-7.12393107164</v>
      </c>
      <c r="E1227" s="3" t="n">
        <v>1</v>
      </c>
      <c r="F1227" s="2" t="n">
        <v>2</v>
      </c>
      <c r="G1227" s="4" t="n">
        <v>2</v>
      </c>
      <c r="H1227" s="13" t="n"/>
      <c r="I1227" s="15" t="n"/>
      <c r="J1227" s="19" t="n">
        <v>2</v>
      </c>
      <c r="K1227" s="2" t="inlineStr">
        <is>
          <t>marker_110_949959.png</t>
        </is>
      </c>
      <c r="L1227" s="11">
        <f>HYPERLINK("2\1\" &amp; K1227, "Ver Imagen")</f>
        <v/>
      </c>
      <c r="M1227" t="inlineStr">
        <is>
          <t>Moda</t>
        </is>
      </c>
    </row>
    <row r="1228">
      <c r="A1228" t="n">
        <v>1227</v>
      </c>
      <c r="B1228" t="inlineStr">
        <is>
          <t>A-5052__31</t>
        </is>
      </c>
      <c r="C1228" s="1" t="n">
        <v>37.2180806379</v>
      </c>
      <c r="D1228" s="1" t="n">
        <v>-7.11827347117</v>
      </c>
      <c r="E1228" s="3" t="n">
        <v>2</v>
      </c>
      <c r="F1228" s="2" t="n">
        <v>3</v>
      </c>
      <c r="G1228" s="4" t="n">
        <v>2</v>
      </c>
      <c r="H1228" s="13" t="n"/>
      <c r="I1228" s="15" t="n"/>
      <c r="J1228" s="19" t="n">
        <v>2</v>
      </c>
      <c r="K1228" s="2" t="inlineStr">
        <is>
          <t>marker_139_951639.png</t>
        </is>
      </c>
      <c r="L1228" s="11">
        <f>HYPERLINK("2\1\" &amp; K1228, "Ver Imagen")</f>
        <v/>
      </c>
      <c r="M1228" t="inlineStr">
        <is>
          <t>Moda</t>
        </is>
      </c>
    </row>
    <row r="1229">
      <c r="A1229" t="n">
        <v>1228</v>
      </c>
      <c r="B1229" t="inlineStr">
        <is>
          <t>A-5052__32</t>
        </is>
      </c>
      <c r="C1229" s="1" t="n">
        <v>37.2180455936</v>
      </c>
      <c r="D1229" s="1" t="n">
        <v>-7.11801341409</v>
      </c>
      <c r="E1229" s="3" t="n">
        <v>2</v>
      </c>
      <c r="F1229" s="2" t="n">
        <v>1</v>
      </c>
      <c r="G1229" s="4" t="n">
        <v>2</v>
      </c>
      <c r="H1229" s="13" t="n"/>
      <c r="I1229" s="15" t="n"/>
      <c r="J1229" s="19" t="n">
        <v>2</v>
      </c>
      <c r="K1229" s="2" t="inlineStr">
        <is>
          <t>marker_401_951649.png</t>
        </is>
      </c>
      <c r="L1229" s="11">
        <f>HYPERLINK("2\1\" &amp; K1229, "Ver Imagen")</f>
        <v/>
      </c>
      <c r="M1229" t="inlineStr">
        <is>
          <t>Moda</t>
        </is>
      </c>
    </row>
    <row r="1230">
      <c r="A1230" t="n">
        <v>1229</v>
      </c>
      <c r="B1230" t="inlineStr">
        <is>
          <t>A-5052__33</t>
        </is>
      </c>
      <c r="C1230" s="1" t="n">
        <v>37.2180054158</v>
      </c>
      <c r="D1230" s="1" t="n">
        <v>-7.11773335406</v>
      </c>
      <c r="E1230" s="3" t="n">
        <v>1</v>
      </c>
      <c r="F1230" s="2" t="n">
        <v>2</v>
      </c>
      <c r="G1230" s="4" t="n">
        <v>2</v>
      </c>
      <c r="H1230" s="13" t="n"/>
      <c r="I1230" s="15" t="n"/>
      <c r="J1230" s="19" t="n">
        <v>2</v>
      </c>
      <c r="K1230" s="2" t="inlineStr">
        <is>
          <t>marker_625_951662.png</t>
        </is>
      </c>
      <c r="L1230" s="11">
        <f>HYPERLINK("2\1\" &amp; K1230, "Ver Imagen")</f>
        <v/>
      </c>
      <c r="M1230" t="inlineStr">
        <is>
          <t>Moda</t>
        </is>
      </c>
    </row>
    <row r="1231">
      <c r="A1231" t="n">
        <v>1230</v>
      </c>
      <c r="B1231" t="inlineStr">
        <is>
          <t>A-5052__35</t>
        </is>
      </c>
      <c r="C1231" s="1" t="n">
        <v>37.2179416501</v>
      </c>
      <c r="D1231" s="1" t="n">
        <v>-7.11726629442</v>
      </c>
      <c r="E1231" s="3" t="n">
        <v>1</v>
      </c>
      <c r="F1231" s="2" t="n">
        <v>2</v>
      </c>
      <c r="G1231" s="4" t="n">
        <v>2</v>
      </c>
      <c r="H1231" s="13" t="n"/>
      <c r="I1231" s="15" t="n"/>
      <c r="J1231" s="19" t="n">
        <v>2</v>
      </c>
      <c r="K1231" s="2" t="inlineStr">
        <is>
          <t>marker_268_951819.png</t>
        </is>
      </c>
      <c r="L1231" s="11">
        <f>HYPERLINK("2\1\" &amp; K1231, "Ver Imagen")</f>
        <v/>
      </c>
      <c r="M1231" t="inlineStr">
        <is>
          <t>Moda</t>
        </is>
      </c>
    </row>
    <row r="1232">
      <c r="A1232" t="n">
        <v>1231</v>
      </c>
      <c r="B1232" t="inlineStr">
        <is>
          <t>A-5052__59</t>
        </is>
      </c>
      <c r="C1232" s="1" t="n">
        <v>37.2176057011</v>
      </c>
      <c r="D1232" s="1" t="n">
        <v>-7.1111980431</v>
      </c>
      <c r="E1232" s="3" t="n">
        <v>2</v>
      </c>
      <c r="F1232" s="2" t="n">
        <v>1</v>
      </c>
      <c r="G1232" s="4" t="n">
        <v>2</v>
      </c>
      <c r="H1232" s="13" t="n"/>
      <c r="I1232" s="15" t="n"/>
      <c r="J1232" s="19" t="n">
        <v>2</v>
      </c>
      <c r="K1232" s="2" t="inlineStr">
        <is>
          <t>marker_960_957030.png</t>
        </is>
      </c>
      <c r="L1232" s="11">
        <f>HYPERLINK("2\1\" &amp; K1232, "Ver Imagen")</f>
        <v/>
      </c>
      <c r="M1232" t="inlineStr">
        <is>
          <t>Moda</t>
        </is>
      </c>
    </row>
    <row r="1233">
      <c r="A1233" t="n">
        <v>1232</v>
      </c>
      <c r="B1233" t="inlineStr">
        <is>
          <t>A-5052__60</t>
        </is>
      </c>
      <c r="C1233" s="1" t="n">
        <v>37.2176164475</v>
      </c>
      <c r="D1233" s="1" t="n">
        <v>-7.11097048219</v>
      </c>
      <c r="E1233" s="3" t="n">
        <v>2</v>
      </c>
      <c r="F1233" s="2" t="n">
        <v>1</v>
      </c>
      <c r="G1233" s="4" t="n">
        <v>2</v>
      </c>
      <c r="H1233" s="13" t="n"/>
      <c r="I1233" s="15" t="n"/>
      <c r="J1233" s="19" t="n">
        <v>2</v>
      </c>
      <c r="K1233" s="2" t="inlineStr">
        <is>
          <t>marker_419_957051.png</t>
        </is>
      </c>
      <c r="L1233" s="11">
        <f>HYPERLINK("2\1\" &amp; K1233, "Ver Imagen")</f>
        <v/>
      </c>
      <c r="M1233" t="inlineStr">
        <is>
          <t>Moda</t>
        </is>
      </c>
    </row>
    <row r="1234">
      <c r="A1234" t="n">
        <v>1233</v>
      </c>
      <c r="B1234" t="inlineStr">
        <is>
          <t>A-5052__81</t>
        </is>
      </c>
      <c r="C1234" s="1" t="n">
        <v>37.2171335646</v>
      </c>
      <c r="D1234" s="1" t="n">
        <v>-7.10570480353</v>
      </c>
      <c r="E1234" s="3" t="n">
        <v>2</v>
      </c>
      <c r="F1234" s="2" t="n">
        <v>1</v>
      </c>
      <c r="G1234" s="4" t="n">
        <v>2</v>
      </c>
      <c r="H1234" s="13" t="n"/>
      <c r="I1234" s="15" t="n"/>
      <c r="J1234" s="19" t="n">
        <v>2</v>
      </c>
      <c r="K1234" s="2" t="inlineStr">
        <is>
          <t>marker_792_957298.png</t>
        </is>
      </c>
      <c r="L1234" s="11">
        <f>HYPERLINK("2\1\" &amp; K1234, "Ver Imagen")</f>
        <v/>
      </c>
      <c r="M1234" t="inlineStr">
        <is>
          <t>Moda</t>
        </is>
      </c>
    </row>
    <row r="1235">
      <c r="A1235" t="n">
        <v>1234</v>
      </c>
      <c r="B1235" t="inlineStr">
        <is>
          <t>A-5052__84</t>
        </is>
      </c>
      <c r="C1235" s="1" t="n">
        <v>37.217058686</v>
      </c>
      <c r="D1235" s="1" t="n">
        <v>-7.10494483536</v>
      </c>
      <c r="E1235" s="3" t="n">
        <v>2</v>
      </c>
      <c r="F1235" s="2" t="n">
        <v>2</v>
      </c>
      <c r="G1235" s="4" t="n">
        <v>3</v>
      </c>
      <c r="H1235" s="13" t="n"/>
      <c r="I1235" s="15" t="n"/>
      <c r="J1235" s="19" t="n">
        <v>2</v>
      </c>
      <c r="K1235" s="2" t="inlineStr">
        <is>
          <t>marker_137_957419.png</t>
        </is>
      </c>
      <c r="L1235" s="11">
        <f>HYPERLINK("2\1\" &amp; K1235, "Ver Imagen")</f>
        <v/>
      </c>
      <c r="M1235" t="inlineStr">
        <is>
          <t>Moda</t>
        </is>
      </c>
    </row>
    <row r="1236">
      <c r="A1236" t="n">
        <v>1235</v>
      </c>
      <c r="B1236" t="inlineStr">
        <is>
          <t>A-5052__85</t>
        </is>
      </c>
      <c r="C1236" s="1" t="n">
        <v>37.2170363452</v>
      </c>
      <c r="D1236" s="1" t="n">
        <v>-7.10471045222</v>
      </c>
      <c r="E1236" s="3" t="n">
        <v>2</v>
      </c>
      <c r="F1236" s="2" t="n">
        <v>2</v>
      </c>
      <c r="G1236" s="4" t="n">
        <v>3</v>
      </c>
      <c r="H1236" s="13" t="n"/>
      <c r="I1236" s="15" t="n"/>
      <c r="J1236" s="19" t="n">
        <v>2</v>
      </c>
      <c r="K1236" s="2" t="inlineStr">
        <is>
          <t>marker_913_957433.png</t>
        </is>
      </c>
      <c r="L1236" s="11">
        <f>HYPERLINK("2\1\" &amp; K1236, "Ver Imagen")</f>
        <v/>
      </c>
      <c r="M1236" t="inlineStr">
        <is>
          <t>Moda</t>
        </is>
      </c>
    </row>
    <row r="1237">
      <c r="A1237" t="n">
        <v>1236</v>
      </c>
      <c r="B1237" t="inlineStr">
        <is>
          <t>A-5052__92</t>
        </is>
      </c>
      <c r="C1237" s="1" t="n">
        <v>37.2168835561</v>
      </c>
      <c r="D1237" s="1" t="n">
        <v>-7.10296094399</v>
      </c>
      <c r="E1237" s="3" t="n">
        <v>2</v>
      </c>
      <c r="F1237" s="2" t="n">
        <v>1</v>
      </c>
      <c r="G1237" s="4" t="n">
        <v>2</v>
      </c>
      <c r="H1237" s="13" t="n"/>
      <c r="I1237" s="15" t="n"/>
      <c r="J1237" s="19" t="n">
        <v>2</v>
      </c>
      <c r="K1237" s="2" t="inlineStr">
        <is>
          <t>marker_504_957522.png</t>
        </is>
      </c>
      <c r="L1237" s="11">
        <f>HYPERLINK("2\1\" &amp; K1237, "Ver Imagen")</f>
        <v/>
      </c>
      <c r="M1237" t="inlineStr">
        <is>
          <t>Moda</t>
        </is>
      </c>
    </row>
    <row r="1238">
      <c r="A1238" t="n">
        <v>1237</v>
      </c>
      <c r="B1238" t="inlineStr">
        <is>
          <t>A-5052__94</t>
        </is>
      </c>
      <c r="C1238" s="1" t="n">
        <v>37.2168396331</v>
      </c>
      <c r="D1238" s="1" t="n">
        <v>-7.10244936019</v>
      </c>
      <c r="E1238" s="3" t="n">
        <v>2</v>
      </c>
      <c r="F1238" s="2" t="n">
        <v>2</v>
      </c>
      <c r="G1238" s="4" t="n">
        <v>3</v>
      </c>
      <c r="H1238" s="13" t="n"/>
      <c r="I1238" s="15" t="n"/>
      <c r="J1238" s="19" t="n">
        <v>2</v>
      </c>
      <c r="K1238" s="2" t="inlineStr">
        <is>
          <t>marker_491_957555.png</t>
        </is>
      </c>
      <c r="L1238" s="11">
        <f>HYPERLINK("2\1\" &amp; K1238, "Ver Imagen")</f>
        <v/>
      </c>
      <c r="M1238" t="inlineStr">
        <is>
          <t>Moda</t>
        </is>
      </c>
    </row>
    <row r="1239">
      <c r="A1239" t="n">
        <v>1238</v>
      </c>
      <c r="B1239" t="inlineStr">
        <is>
          <t>A-5052__101</t>
        </is>
      </c>
      <c r="C1239" s="1" t="n">
        <v>37.2169178901</v>
      </c>
      <c r="D1239" s="1" t="n">
        <v>-7.1006978799</v>
      </c>
      <c r="E1239" s="3" t="n">
        <v>2</v>
      </c>
      <c r="F1239" s="2" t="n">
        <v>2</v>
      </c>
      <c r="G1239" s="4" t="n">
        <v>3</v>
      </c>
      <c r="H1239" s="13" t="n"/>
      <c r="I1239" s="15" t="n"/>
      <c r="J1239" s="19" t="n">
        <v>2</v>
      </c>
      <c r="K1239" s="2" t="inlineStr">
        <is>
          <t>marker_127_957680.png</t>
        </is>
      </c>
      <c r="L1239" s="11">
        <f>HYPERLINK("2\1\" &amp; K1239, "Ver Imagen")</f>
        <v/>
      </c>
      <c r="M1239" t="inlineStr">
        <is>
          <t>Moda</t>
        </is>
      </c>
    </row>
    <row r="1240">
      <c r="A1240" t="n">
        <v>1239</v>
      </c>
      <c r="B1240" t="inlineStr">
        <is>
          <t>A-5052__115</t>
        </is>
      </c>
      <c r="C1240" s="1" t="n">
        <v>37.2168056916</v>
      </c>
      <c r="D1240" s="1" t="n">
        <v>-7.09719746116</v>
      </c>
      <c r="E1240" s="3" t="n">
        <v>2</v>
      </c>
      <c r="F1240" s="2" t="n">
        <v>2</v>
      </c>
      <c r="G1240" s="4" t="n">
        <v>3</v>
      </c>
      <c r="H1240" s="13" t="n"/>
      <c r="I1240" s="15" t="n"/>
      <c r="J1240" s="19" t="n">
        <v>2</v>
      </c>
      <c r="K1240" s="2" t="inlineStr">
        <is>
          <t>marker_565_957882.png</t>
        </is>
      </c>
      <c r="L1240" s="11">
        <f>HYPERLINK("2\1\" &amp; K1240, "Ver Imagen")</f>
        <v/>
      </c>
      <c r="M1240" t="inlineStr">
        <is>
          <t>Moda</t>
        </is>
      </c>
    </row>
    <row r="1241">
      <c r="A1241" t="n">
        <v>1240</v>
      </c>
      <c r="B1241" t="inlineStr">
        <is>
          <t>A-5052__117</t>
        </is>
      </c>
      <c r="C1241" s="1" t="n">
        <v>37.2167566251</v>
      </c>
      <c r="D1241" s="1" t="n">
        <v>-7.09665399265</v>
      </c>
      <c r="E1241" s="3" t="n">
        <v>2</v>
      </c>
      <c r="F1241" s="2" t="n">
        <v>2</v>
      </c>
      <c r="G1241" s="4" t="n">
        <v>3</v>
      </c>
      <c r="H1241" s="13" t="n"/>
      <c r="I1241" s="15" t="n"/>
      <c r="J1241" s="19" t="n">
        <v>2</v>
      </c>
      <c r="K1241" s="2" t="inlineStr">
        <is>
          <t>marker_839_957904.png</t>
        </is>
      </c>
      <c r="L1241" s="11">
        <f>HYPERLINK("2\1\" &amp; K1241, "Ver Imagen")</f>
        <v/>
      </c>
      <c r="M1241" t="inlineStr">
        <is>
          <t>Moda</t>
        </is>
      </c>
    </row>
    <row r="1242">
      <c r="A1242" t="n">
        <v>1241</v>
      </c>
      <c r="B1242" t="inlineStr">
        <is>
          <t>A-5052__120</t>
        </is>
      </c>
      <c r="C1242" s="1" t="n">
        <v>37.2166811792</v>
      </c>
      <c r="D1242" s="1" t="n">
        <v>-7.09588498828</v>
      </c>
      <c r="E1242" s="3" t="n">
        <v>2</v>
      </c>
      <c r="F1242" s="2" t="n">
        <v>1</v>
      </c>
      <c r="G1242" s="4" t="n">
        <v>2</v>
      </c>
      <c r="H1242" s="13" t="n"/>
      <c r="I1242" s="15" t="n"/>
      <c r="J1242" s="19" t="n">
        <v>2</v>
      </c>
      <c r="K1242" s="2" t="inlineStr">
        <is>
          <t>marker_558_957936.png</t>
        </is>
      </c>
      <c r="L1242" s="11">
        <f>HYPERLINK("2\1\" &amp; K1242, "Ver Imagen")</f>
        <v/>
      </c>
      <c r="M1242" t="inlineStr">
        <is>
          <t>Moda</t>
        </is>
      </c>
    </row>
    <row r="1243">
      <c r="A1243" t="n">
        <v>1242</v>
      </c>
      <c r="B1243" t="inlineStr">
        <is>
          <t>A-5052__123</t>
        </is>
      </c>
      <c r="C1243" s="1" t="n">
        <v>37.2166207544</v>
      </c>
      <c r="D1243" s="1" t="n">
        <v>-7.09513188882</v>
      </c>
      <c r="E1243" s="3" t="n">
        <v>2</v>
      </c>
      <c r="F1243" s="2" t="n">
        <v>1</v>
      </c>
      <c r="G1243" s="4" t="n">
        <v>2</v>
      </c>
      <c r="H1243" s="13" t="n"/>
      <c r="I1243" s="15" t="n"/>
      <c r="J1243" s="19" t="n">
        <v>2</v>
      </c>
      <c r="K1243" s="2" t="inlineStr">
        <is>
          <t>marker_781_957979.png</t>
        </is>
      </c>
      <c r="L1243" s="11">
        <f>HYPERLINK("2\1\" &amp; K1243, "Ver Imagen")</f>
        <v/>
      </c>
      <c r="M1243" t="inlineStr">
        <is>
          <t>Moda</t>
        </is>
      </c>
    </row>
    <row r="1244">
      <c r="A1244" t="n">
        <v>1243</v>
      </c>
      <c r="B1244" t="inlineStr">
        <is>
          <t>A-5052__126</t>
        </is>
      </c>
      <c r="C1244" s="1" t="n">
        <v>37.2166322685</v>
      </c>
      <c r="D1244" s="1" t="n">
        <v>-7.09442290788</v>
      </c>
      <c r="E1244" s="3" t="n">
        <v>2</v>
      </c>
      <c r="F1244" s="2" t="n">
        <v>2</v>
      </c>
      <c r="G1244" s="4" t="n">
        <v>3</v>
      </c>
      <c r="H1244" s="13" t="n"/>
      <c r="I1244" s="15" t="n"/>
      <c r="J1244" s="19" t="n">
        <v>2</v>
      </c>
      <c r="K1244" s="2" t="inlineStr">
        <is>
          <t>marker_194_958037.png</t>
        </is>
      </c>
      <c r="L1244" s="11">
        <f>HYPERLINK("2\1\" &amp; K1244, "Ver Imagen")</f>
        <v/>
      </c>
      <c r="M1244" t="inlineStr">
        <is>
          <t>Moda</t>
        </is>
      </c>
    </row>
    <row r="1245">
      <c r="A1245" t="n">
        <v>1244</v>
      </c>
      <c r="B1245" t="inlineStr">
        <is>
          <t>A-5052__133</t>
        </is>
      </c>
      <c r="C1245" s="1" t="n">
        <v>37.2164967048</v>
      </c>
      <c r="D1245" s="1" t="n">
        <v>-7.09265282963</v>
      </c>
      <c r="E1245" s="3" t="n">
        <v>2</v>
      </c>
      <c r="F1245" s="2" t="n">
        <v>1</v>
      </c>
      <c r="G1245" s="4" t="n">
        <v>2</v>
      </c>
      <c r="H1245" s="13" t="n"/>
      <c r="I1245" s="15" t="n"/>
      <c r="J1245" s="19" t="n">
        <v>2</v>
      </c>
      <c r="K1245" s="2" t="inlineStr">
        <is>
          <t>marker_112_958141.png</t>
        </is>
      </c>
      <c r="L1245" s="11">
        <f>HYPERLINK("2\1\" &amp; K1245, "Ver Imagen")</f>
        <v/>
      </c>
      <c r="M1245" t="inlineStr">
        <is>
          <t>Moda</t>
        </is>
      </c>
    </row>
    <row r="1246">
      <c r="A1246" t="n">
        <v>1245</v>
      </c>
      <c r="B1246" t="inlineStr">
        <is>
          <t>A-5052__134</t>
        </is>
      </c>
      <c r="C1246" s="1" t="n">
        <v>37.2164552044</v>
      </c>
      <c r="D1246" s="1" t="n">
        <v>-7.09239136911</v>
      </c>
      <c r="E1246" s="3" t="n">
        <v>2</v>
      </c>
      <c r="F1246" s="2" t="n">
        <v>1</v>
      </c>
      <c r="G1246" s="4" t="n">
        <v>2</v>
      </c>
      <c r="H1246" s="13" t="n"/>
      <c r="I1246" s="15" t="n"/>
      <c r="J1246" s="19" t="n">
        <v>2</v>
      </c>
      <c r="K1246" s="2" t="inlineStr">
        <is>
          <t>marker_281_958153.png</t>
        </is>
      </c>
      <c r="L1246" s="11">
        <f>HYPERLINK("2\1\" &amp; K1246, "Ver Imagen")</f>
        <v/>
      </c>
      <c r="M1246" t="inlineStr">
        <is>
          <t>Moda</t>
        </is>
      </c>
    </row>
    <row r="1247">
      <c r="A1247" t="n">
        <v>1246</v>
      </c>
      <c r="B1247" t="inlineStr">
        <is>
          <t>A-5052__135</t>
        </is>
      </c>
      <c r="C1247" s="1" t="n">
        <v>37.2164189509</v>
      </c>
      <c r="D1247" s="1" t="n">
        <v>-7.09216288338</v>
      </c>
      <c r="E1247" s="3" t="n">
        <v>2</v>
      </c>
      <c r="F1247" s="2" t="n">
        <v>2</v>
      </c>
      <c r="G1247" s="4" t="n">
        <v>3</v>
      </c>
      <c r="H1247" s="13" t="n"/>
      <c r="I1247" s="15" t="n"/>
      <c r="J1247" s="19" t="n">
        <v>2</v>
      </c>
      <c r="K1247" s="2" t="inlineStr">
        <is>
          <t>marker_269_958163.png</t>
        </is>
      </c>
      <c r="L1247" s="11">
        <f>HYPERLINK("2\1\" &amp; K1247, "Ver Imagen")</f>
        <v/>
      </c>
      <c r="M1247" t="inlineStr">
        <is>
          <t>Moda</t>
        </is>
      </c>
    </row>
    <row r="1248">
      <c r="A1248" t="n">
        <v>1247</v>
      </c>
      <c r="B1248" t="inlineStr">
        <is>
          <t>A-5052__140</t>
        </is>
      </c>
      <c r="C1248" s="1" t="n">
        <v>37.2162170367</v>
      </c>
      <c r="D1248" s="1" t="n">
        <v>-7.09089442645</v>
      </c>
      <c r="E1248" s="3" t="n">
        <v>1</v>
      </c>
      <c r="F1248" s="2" t="n">
        <v>2</v>
      </c>
      <c r="G1248" s="4" t="n">
        <v>2</v>
      </c>
      <c r="H1248" s="13" t="n"/>
      <c r="I1248" s="15" t="n"/>
      <c r="J1248" s="19" t="n">
        <v>2</v>
      </c>
      <c r="K1248" s="2" t="inlineStr">
        <is>
          <t>marker_623_958364.png</t>
        </is>
      </c>
      <c r="L1248" s="11">
        <f>HYPERLINK("2\1\" &amp; K1248, "Ver Imagen")</f>
        <v/>
      </c>
      <c r="M1248" t="inlineStr">
        <is>
          <t>Moda</t>
        </is>
      </c>
    </row>
    <row r="1249">
      <c r="A1249" t="n">
        <v>1248</v>
      </c>
      <c r="B1249" t="inlineStr">
        <is>
          <t>A-5052__143</t>
        </is>
      </c>
      <c r="C1249" s="1" t="n">
        <v>37.216129753</v>
      </c>
      <c r="D1249" s="1" t="n">
        <v>-7.09018212878</v>
      </c>
      <c r="E1249" s="3" t="n">
        <v>1</v>
      </c>
      <c r="F1249" s="2" t="n">
        <v>2</v>
      </c>
      <c r="G1249" s="4" t="n">
        <v>2</v>
      </c>
      <c r="H1249" s="13" t="n"/>
      <c r="I1249" s="15" t="n"/>
      <c r="J1249" s="19" t="n">
        <v>2</v>
      </c>
      <c r="K1249" s="2" t="inlineStr">
        <is>
          <t>marker_884_958396.png</t>
        </is>
      </c>
      <c r="L1249" s="11">
        <f>HYPERLINK("2\1\" &amp; K1249, "Ver Imagen")</f>
        <v/>
      </c>
      <c r="M1249" t="inlineStr">
        <is>
          <t>Moda</t>
        </is>
      </c>
    </row>
    <row r="1250">
      <c r="A1250" t="n">
        <v>1249</v>
      </c>
      <c r="B1250" t="inlineStr">
        <is>
          <t>A-5052__144</t>
        </is>
      </c>
      <c r="C1250" s="1" t="n">
        <v>37.2161043409</v>
      </c>
      <c r="D1250" s="1" t="n">
        <v>-7.08990385264</v>
      </c>
      <c r="E1250" s="3" t="n">
        <v>2</v>
      </c>
      <c r="F1250" s="2" t="n">
        <v>2</v>
      </c>
      <c r="G1250" s="4" t="n">
        <v>3</v>
      </c>
      <c r="H1250" s="13" t="n"/>
      <c r="I1250" s="15" t="n"/>
      <c r="J1250" s="19" t="n">
        <v>2</v>
      </c>
      <c r="K1250" s="2" t="inlineStr">
        <is>
          <t>marker_445_958407.png</t>
        </is>
      </c>
      <c r="L1250" s="11">
        <f>HYPERLINK("2\1\" &amp; K1250, "Ver Imagen")</f>
        <v/>
      </c>
      <c r="M1250" t="inlineStr">
        <is>
          <t>Moda</t>
        </is>
      </c>
    </row>
    <row r="1251">
      <c r="A1251" t="n">
        <v>1250</v>
      </c>
      <c r="B1251" t="inlineStr">
        <is>
          <t>A-5052__155</t>
        </is>
      </c>
      <c r="C1251" s="1" t="n">
        <v>37.2160191299</v>
      </c>
      <c r="D1251" s="1" t="n">
        <v>-7.08711500077</v>
      </c>
      <c r="E1251" s="3" t="n">
        <v>2</v>
      </c>
      <c r="F1251" s="2" t="n">
        <v>1</v>
      </c>
      <c r="G1251" s="4" t="n">
        <v>2</v>
      </c>
      <c r="H1251" s="13" t="n"/>
      <c r="I1251" s="15" t="n"/>
      <c r="J1251" s="19" t="n">
        <v>2</v>
      </c>
      <c r="K1251" s="2" t="inlineStr">
        <is>
          <t>marker_149_958606.png</t>
        </is>
      </c>
      <c r="L1251" s="11">
        <f>HYPERLINK("2\1\" &amp; K1251, "Ver Imagen")</f>
        <v/>
      </c>
      <c r="M1251" t="inlineStr">
        <is>
          <t>Moda</t>
        </is>
      </c>
    </row>
    <row r="1252">
      <c r="A1252" t="n">
        <v>1251</v>
      </c>
      <c r="B1252" t="inlineStr">
        <is>
          <t>A-5052__162</t>
        </is>
      </c>
      <c r="C1252" s="1" t="n">
        <v>37.2161438729</v>
      </c>
      <c r="D1252" s="1" t="n">
        <v>-7.0853776599</v>
      </c>
      <c r="E1252" s="3" t="n">
        <v>1</v>
      </c>
      <c r="F1252" s="2" t="n">
        <v>2</v>
      </c>
      <c r="G1252" s="4" t="n">
        <v>2</v>
      </c>
      <c r="H1252" s="13" t="n"/>
      <c r="I1252" s="15" t="n"/>
      <c r="J1252" s="19" t="n">
        <v>2</v>
      </c>
      <c r="K1252" s="2" t="inlineStr">
        <is>
          <t>marker_916_958701.png</t>
        </is>
      </c>
      <c r="L1252" s="11">
        <f>HYPERLINK("2\1\" &amp; K1252, "Ver Imagen")</f>
        <v/>
      </c>
      <c r="M1252" t="inlineStr">
        <is>
          <t>Moda</t>
        </is>
      </c>
    </row>
    <row r="1253">
      <c r="A1253" t="n">
        <v>1252</v>
      </c>
      <c r="B1253" t="inlineStr">
        <is>
          <t>A-5052__187</t>
        </is>
      </c>
      <c r="C1253" s="1" t="n">
        <v>37.2149362276</v>
      </c>
      <c r="D1253" s="1" t="n">
        <v>-7.07929442874</v>
      </c>
      <c r="E1253" s="3" t="n">
        <v>2</v>
      </c>
      <c r="F1253" s="2" t="n">
        <v>2</v>
      </c>
      <c r="G1253" s="4" t="n">
        <v>3</v>
      </c>
      <c r="H1253" s="13" t="n"/>
      <c r="I1253" s="15" t="n"/>
      <c r="J1253" s="19" t="n">
        <v>2</v>
      </c>
      <c r="K1253" s="2" t="inlineStr">
        <is>
          <t>marker_469_959280.png</t>
        </is>
      </c>
      <c r="L1253" s="11">
        <f>HYPERLINK("2\1\" &amp; K1253, "Ver Imagen")</f>
        <v/>
      </c>
      <c r="M1253" t="inlineStr">
        <is>
          <t>Moda</t>
        </is>
      </c>
    </row>
    <row r="1254">
      <c r="A1254" t="n">
        <v>1253</v>
      </c>
      <c r="B1254" t="inlineStr">
        <is>
          <t>A-5052__188</t>
        </is>
      </c>
      <c r="C1254" s="1" t="n">
        <v>37.2148933622</v>
      </c>
      <c r="D1254" s="1" t="n">
        <v>-7.07908270903</v>
      </c>
      <c r="E1254" s="3" t="n">
        <v>2</v>
      </c>
      <c r="F1254" s="2" t="n">
        <v>1</v>
      </c>
      <c r="G1254" s="4" t="n">
        <v>2</v>
      </c>
      <c r="H1254" s="13" t="n"/>
      <c r="I1254" s="15" t="n"/>
      <c r="J1254" s="19" t="n">
        <v>2</v>
      </c>
      <c r="K1254" s="2" t="inlineStr">
        <is>
          <t>marker_512_959288.png</t>
        </is>
      </c>
      <c r="L1254" s="11">
        <f>HYPERLINK("2\1\" &amp; K1254, "Ver Imagen")</f>
        <v/>
      </c>
      <c r="M1254" t="inlineStr">
        <is>
          <t>Moda</t>
        </is>
      </c>
    </row>
    <row r="1255">
      <c r="A1255" t="n">
        <v>1254</v>
      </c>
      <c r="B1255" t="inlineStr">
        <is>
          <t>A-5052__191</t>
        </is>
      </c>
      <c r="C1255" s="1" t="n">
        <v>37.2147448452</v>
      </c>
      <c r="D1255" s="1" t="n">
        <v>-7.07831904641</v>
      </c>
      <c r="E1255" s="3" t="n">
        <v>2</v>
      </c>
      <c r="F1255" s="2" t="n">
        <v>1</v>
      </c>
      <c r="G1255" s="4" t="n">
        <v>2</v>
      </c>
      <c r="H1255" s="13" t="n"/>
      <c r="I1255" s="15" t="n"/>
      <c r="J1255" s="19" t="n">
        <v>2</v>
      </c>
      <c r="K1255" s="2" t="inlineStr">
        <is>
          <t>marker_180_959317.png</t>
        </is>
      </c>
      <c r="L1255" s="11">
        <f>HYPERLINK("2\1\" &amp; K1255, "Ver Imagen")</f>
        <v/>
      </c>
      <c r="M1255" t="inlineStr">
        <is>
          <t>Moda</t>
        </is>
      </c>
    </row>
    <row r="1256">
      <c r="A1256" t="n">
        <v>1255</v>
      </c>
      <c r="B1256" t="inlineStr">
        <is>
          <t>A-5052__193</t>
        </is>
      </c>
      <c r="C1256" s="1" t="n">
        <v>37.2146479488</v>
      </c>
      <c r="D1256" s="1" t="n">
        <v>-7.07781366627</v>
      </c>
      <c r="E1256" s="3" t="n">
        <v>2</v>
      </c>
      <c r="F1256" s="2" t="n">
        <v>1</v>
      </c>
      <c r="G1256" s="4" t="n">
        <v>2</v>
      </c>
      <c r="H1256" s="13" t="n"/>
      <c r="I1256" s="15" t="n"/>
      <c r="J1256" s="19" t="n">
        <v>2</v>
      </c>
      <c r="K1256" s="2" t="inlineStr">
        <is>
          <t>marker_919_959360.png</t>
        </is>
      </c>
      <c r="L1256" s="11">
        <f>HYPERLINK("2\1\" &amp; K1256, "Ver Imagen")</f>
        <v/>
      </c>
      <c r="M1256" t="inlineStr">
        <is>
          <t>Moda</t>
        </is>
      </c>
    </row>
    <row r="1257">
      <c r="A1257" t="n">
        <v>1256</v>
      </c>
      <c r="B1257" t="inlineStr">
        <is>
          <t>A-5052__208</t>
        </is>
      </c>
      <c r="C1257" s="1" t="n">
        <v>37.2139670545</v>
      </c>
      <c r="D1257" s="1" t="n">
        <v>-7.07415817743</v>
      </c>
      <c r="E1257" s="3" t="n">
        <v>1</v>
      </c>
      <c r="F1257" s="2" t="n">
        <v>2</v>
      </c>
      <c r="G1257" s="4" t="n">
        <v>2</v>
      </c>
      <c r="H1257" s="13" t="n"/>
      <c r="I1257" s="15" t="n"/>
      <c r="J1257" s="19" t="n">
        <v>2</v>
      </c>
      <c r="K1257" s="2" t="inlineStr">
        <is>
          <t>marker_495_959567.png</t>
        </is>
      </c>
      <c r="L1257" s="11">
        <f>HYPERLINK("2\1\" &amp; K1257, "Ver Imagen")</f>
        <v/>
      </c>
      <c r="M1257" t="inlineStr">
        <is>
          <t>Moda</t>
        </is>
      </c>
    </row>
    <row r="1258">
      <c r="A1258" t="n">
        <v>1257</v>
      </c>
      <c r="B1258" t="inlineStr">
        <is>
          <t>A-5052__215</t>
        </is>
      </c>
      <c r="C1258" s="1" t="n">
        <v>37.2137514028</v>
      </c>
      <c r="D1258" s="1" t="n">
        <v>-7.07238119058</v>
      </c>
      <c r="E1258" s="3" t="n">
        <v>2</v>
      </c>
      <c r="F1258" s="2" t="n">
        <v>1</v>
      </c>
      <c r="G1258" s="4" t="n">
        <v>2</v>
      </c>
      <c r="H1258" s="13" t="n"/>
      <c r="I1258" s="15" t="n"/>
      <c r="J1258" s="19" t="n">
        <v>2</v>
      </c>
      <c r="K1258" s="2" t="inlineStr">
        <is>
          <t>marker_940_959642.png</t>
        </is>
      </c>
      <c r="L1258" s="11">
        <f>HYPERLINK("2\1\" &amp; K1258, "Ver Imagen")</f>
        <v/>
      </c>
      <c r="M1258" t="inlineStr">
        <is>
          <t>Moda</t>
        </is>
      </c>
    </row>
    <row r="1259">
      <c r="A1259" t="n">
        <v>1258</v>
      </c>
      <c r="B1259" t="inlineStr">
        <is>
          <t>A-5052__216</t>
        </is>
      </c>
      <c r="C1259" s="1" t="n">
        <v>37.2137257469</v>
      </c>
      <c r="D1259" s="1" t="n">
        <v>-7.07214026188</v>
      </c>
      <c r="E1259" s="3" t="n">
        <v>2</v>
      </c>
      <c r="F1259" s="2" t="n">
        <v>1</v>
      </c>
      <c r="G1259" s="4" t="n">
        <v>2</v>
      </c>
      <c r="H1259" s="13" t="n"/>
      <c r="I1259" s="15" t="n"/>
      <c r="J1259" s="19" t="n">
        <v>2</v>
      </c>
      <c r="K1259" s="2" t="inlineStr">
        <is>
          <t>marker_837_959677.png</t>
        </is>
      </c>
      <c r="L1259" s="11">
        <f>HYPERLINK("2\1\" &amp; K1259, "Ver Imagen")</f>
        <v/>
      </c>
      <c r="M1259" t="inlineStr">
        <is>
          <t>Moda</t>
        </is>
      </c>
    </row>
    <row r="1260">
      <c r="A1260" t="n">
        <v>1259</v>
      </c>
      <c r="B1260" t="inlineStr">
        <is>
          <t>A-5052__218</t>
        </is>
      </c>
      <c r="C1260" s="1" t="n">
        <v>37.2136701974</v>
      </c>
      <c r="D1260" s="1" t="n">
        <v>-7.07165253023</v>
      </c>
      <c r="E1260" s="3" t="n">
        <v>2</v>
      </c>
      <c r="F1260" s="2" t="n">
        <v>1</v>
      </c>
      <c r="G1260" s="4" t="n">
        <v>2</v>
      </c>
      <c r="H1260" s="13" t="n"/>
      <c r="I1260" s="15" t="n"/>
      <c r="J1260" s="19" t="n">
        <v>2</v>
      </c>
      <c r="K1260" s="2" t="inlineStr">
        <is>
          <t>marker_283_959699.png</t>
        </is>
      </c>
      <c r="L1260" s="11">
        <f>HYPERLINK("2\1\" &amp; K1260, "Ver Imagen")</f>
        <v/>
      </c>
      <c r="M1260" t="inlineStr">
        <is>
          <t>Moda</t>
        </is>
      </c>
    </row>
    <row r="1261">
      <c r="A1261" t="n">
        <v>1260</v>
      </c>
      <c r="B1261" t="inlineStr">
        <is>
          <t>A-5052__236</t>
        </is>
      </c>
      <c r="C1261" s="1" t="n">
        <v>37.2133666539</v>
      </c>
      <c r="D1261" s="1" t="n">
        <v>-7.06711152414</v>
      </c>
      <c r="E1261" s="3" t="n">
        <v>2</v>
      </c>
      <c r="F1261" s="2" t="n">
        <v>1</v>
      </c>
      <c r="G1261" s="4" t="n">
        <v>2</v>
      </c>
      <c r="H1261" s="13" t="n"/>
      <c r="I1261" s="15" t="n"/>
      <c r="J1261" s="19" t="n">
        <v>2</v>
      </c>
      <c r="K1261" s="2" t="inlineStr">
        <is>
          <t>marker_363_959905.png</t>
        </is>
      </c>
      <c r="L1261" s="11">
        <f>HYPERLINK("2\1\" &amp; K1261, "Ver Imagen")</f>
        <v/>
      </c>
      <c r="M1261" t="inlineStr">
        <is>
          <t>Moda</t>
        </is>
      </c>
    </row>
    <row r="1262">
      <c r="A1262" t="n">
        <v>1261</v>
      </c>
      <c r="B1262" t="inlineStr">
        <is>
          <t>A-5052__239</t>
        </is>
      </c>
      <c r="C1262" s="1" t="n">
        <v>37.2133387687</v>
      </c>
      <c r="D1262" s="1" t="n">
        <v>-7.06637808777</v>
      </c>
      <c r="E1262" s="3" t="n">
        <v>2</v>
      </c>
      <c r="F1262" s="2" t="n">
        <v>2</v>
      </c>
      <c r="G1262" s="4" t="n">
        <v>3</v>
      </c>
      <c r="H1262" s="13" t="n"/>
      <c r="I1262" s="15" t="n"/>
      <c r="J1262" s="19" t="n">
        <v>2</v>
      </c>
      <c r="K1262" s="2" t="inlineStr">
        <is>
          <t>marker_707_959935.png</t>
        </is>
      </c>
      <c r="L1262" s="11">
        <f>HYPERLINK("2\1\" &amp; K1262, "Ver Imagen")</f>
        <v/>
      </c>
      <c r="M1262" t="inlineStr">
        <is>
          <t>Moda</t>
        </is>
      </c>
    </row>
    <row r="1263">
      <c r="A1263" t="n">
        <v>1262</v>
      </c>
      <c r="B1263" t="inlineStr">
        <is>
          <t>A-5052__253</t>
        </is>
      </c>
      <c r="C1263" s="1" t="n">
        <v>37.213199674</v>
      </c>
      <c r="D1263" s="1" t="n">
        <v>-7.06289205032</v>
      </c>
      <c r="E1263" s="3" t="n">
        <v>1</v>
      </c>
      <c r="F1263" s="2" t="n">
        <v>2</v>
      </c>
      <c r="G1263" s="4" t="n">
        <v>2</v>
      </c>
      <c r="H1263" s="13" t="n"/>
      <c r="I1263" s="15" t="n"/>
      <c r="J1263" s="19" t="n">
        <v>2</v>
      </c>
      <c r="K1263" s="2" t="inlineStr">
        <is>
          <t>marker_724_960124.png</t>
        </is>
      </c>
      <c r="L1263" s="11">
        <f>HYPERLINK("2\1\" &amp; K1263, "Ver Imagen")</f>
        <v/>
      </c>
      <c r="M1263" t="inlineStr">
        <is>
          <t>Moda</t>
        </is>
      </c>
    </row>
    <row r="1264">
      <c r="A1264" t="n">
        <v>1263</v>
      </c>
      <c r="B1264" t="inlineStr">
        <is>
          <t>A-5052__258</t>
        </is>
      </c>
      <c r="C1264" s="1" t="n">
        <v>37.2129642423</v>
      </c>
      <c r="D1264" s="1" t="n">
        <v>-7.06167543621</v>
      </c>
      <c r="E1264" s="3" t="n">
        <v>2</v>
      </c>
      <c r="F1264" s="2" t="n">
        <v>2</v>
      </c>
      <c r="G1264" s="4" t="n">
        <v>3</v>
      </c>
      <c r="H1264" s="13" t="n"/>
      <c r="I1264" s="15" t="n"/>
      <c r="J1264" s="19" t="n">
        <v>2</v>
      </c>
      <c r="K1264" s="2" t="inlineStr">
        <is>
          <t>marker_404_960177.png</t>
        </is>
      </c>
      <c r="L1264" s="11">
        <f>HYPERLINK("2\1\" &amp; K1264, "Ver Imagen")</f>
        <v/>
      </c>
      <c r="M1264" t="inlineStr">
        <is>
          <t>Moda</t>
        </is>
      </c>
    </row>
    <row r="1265">
      <c r="A1265" t="n">
        <v>1264</v>
      </c>
      <c r="B1265" t="inlineStr">
        <is>
          <t>A-5052__260</t>
        </is>
      </c>
      <c r="C1265" s="1" t="n">
        <v>37.2127957147</v>
      </c>
      <c r="D1265" s="1" t="n">
        <v>-7.06117913135</v>
      </c>
      <c r="E1265" s="3" t="n">
        <v>1</v>
      </c>
      <c r="F1265" s="2" t="n">
        <v>2</v>
      </c>
      <c r="G1265" s="4" t="n">
        <v>2</v>
      </c>
      <c r="H1265" s="13" t="n"/>
      <c r="I1265" s="15" t="n"/>
      <c r="J1265" s="19" t="n">
        <v>2</v>
      </c>
      <c r="K1265" s="2" t="inlineStr">
        <is>
          <t>marker_920_960202.png</t>
        </is>
      </c>
      <c r="L1265" s="11">
        <f>HYPERLINK("2\1\" &amp; K1265, "Ver Imagen")</f>
        <v/>
      </c>
      <c r="M1265" t="inlineStr">
        <is>
          <t>Moda</t>
        </is>
      </c>
    </row>
    <row r="1266">
      <c r="A1266" t="n">
        <v>1265</v>
      </c>
      <c r="B1266" t="inlineStr">
        <is>
          <t>A-5052__264</t>
        </is>
      </c>
      <c r="C1266" s="1" t="n">
        <v>37.2124622376</v>
      </c>
      <c r="D1266" s="1" t="n">
        <v>-7.06028866276</v>
      </c>
      <c r="E1266" s="3" t="n">
        <v>2</v>
      </c>
      <c r="F1266" s="2" t="n">
        <v>1</v>
      </c>
      <c r="G1266" s="4" t="n">
        <v>2</v>
      </c>
      <c r="H1266" s="13" t="n"/>
      <c r="I1266" s="15" t="n"/>
      <c r="J1266" s="19" t="n">
        <v>2</v>
      </c>
      <c r="K1266" s="2" t="inlineStr">
        <is>
          <t>marker_817_960247.png</t>
        </is>
      </c>
      <c r="L1266" s="11">
        <f>HYPERLINK("2\1\" &amp; K1266, "Ver Imagen")</f>
        <v/>
      </c>
      <c r="M1266" t="inlineStr">
        <is>
          <t>Moda</t>
        </is>
      </c>
    </row>
    <row r="1267">
      <c r="A1267" t="n">
        <v>1266</v>
      </c>
      <c r="B1267" t="inlineStr">
        <is>
          <t>A-5052__267</t>
        </is>
      </c>
      <c r="C1267" s="1" t="n">
        <v>37.2121969074</v>
      </c>
      <c r="D1267" s="1" t="n">
        <v>-7.05956956085</v>
      </c>
      <c r="E1267" s="3" t="n">
        <v>1</v>
      </c>
      <c r="F1267" s="2" t="n">
        <v>2</v>
      </c>
      <c r="G1267" s="4" t="n">
        <v>2</v>
      </c>
      <c r="H1267" s="13" t="n"/>
      <c r="I1267" s="15" t="n"/>
      <c r="J1267" s="19" t="n">
        <v>2</v>
      </c>
      <c r="K1267" s="2" t="inlineStr">
        <is>
          <t>marker_112_960284.png</t>
        </is>
      </c>
      <c r="L1267" s="11">
        <f>HYPERLINK("2\1\" &amp; K1267, "Ver Imagen")</f>
        <v/>
      </c>
      <c r="M1267" t="inlineStr">
        <is>
          <t>Moda</t>
        </is>
      </c>
    </row>
    <row r="1268">
      <c r="A1268" t="n">
        <v>1267</v>
      </c>
      <c r="B1268" t="inlineStr">
        <is>
          <t>A-5052__280</t>
        </is>
      </c>
      <c r="C1268" s="1" t="n">
        <v>37.2112837825</v>
      </c>
      <c r="D1268" s="1" t="n">
        <v>-7.05653898307</v>
      </c>
      <c r="E1268" s="3" t="n">
        <v>1</v>
      </c>
      <c r="F1268" s="2" t="n">
        <v>2</v>
      </c>
      <c r="G1268" s="4" t="n">
        <v>2</v>
      </c>
      <c r="H1268" s="13" t="n"/>
      <c r="I1268" s="15" t="n"/>
      <c r="J1268" s="19" t="n">
        <v>2</v>
      </c>
      <c r="K1268" s="2" t="inlineStr">
        <is>
          <t>marker_455_960516.png</t>
        </is>
      </c>
      <c r="L1268" s="11">
        <f>HYPERLINK("2\1\" &amp; K1268, "Ver Imagen")</f>
        <v/>
      </c>
      <c r="M1268" t="inlineStr">
        <is>
          <t>Moda</t>
        </is>
      </c>
    </row>
    <row r="1269">
      <c r="A1269" t="n">
        <v>1268</v>
      </c>
      <c r="B1269" t="inlineStr">
        <is>
          <t>A-5052__287</t>
        </is>
      </c>
      <c r="C1269" s="1" t="n">
        <v>37.2110689749</v>
      </c>
      <c r="D1269" s="1" t="n">
        <v>-7.05477684356</v>
      </c>
      <c r="E1269" s="3" t="n">
        <v>2</v>
      </c>
      <c r="F1269" s="2" t="n">
        <v>3</v>
      </c>
      <c r="G1269" s="4" t="n">
        <v>2</v>
      </c>
      <c r="H1269" s="13" t="n"/>
      <c r="I1269" s="15" t="n"/>
      <c r="J1269" s="19" t="n">
        <v>2</v>
      </c>
      <c r="K1269" s="2" t="inlineStr">
        <is>
          <t>marker_947_960606.png</t>
        </is>
      </c>
      <c r="L1269" s="11">
        <f>HYPERLINK("2\1\" &amp; K1269, "Ver Imagen")</f>
        <v/>
      </c>
      <c r="M1269" t="inlineStr">
        <is>
          <t>Moda</t>
        </is>
      </c>
    </row>
    <row r="1270">
      <c r="A1270" t="n">
        <v>1269</v>
      </c>
      <c r="B1270" t="inlineStr">
        <is>
          <t>A-5052__289</t>
        </is>
      </c>
      <c r="C1270" s="1" t="n">
        <v>37.2110016045</v>
      </c>
      <c r="D1270" s="1" t="n">
        <v>-7.05427259678</v>
      </c>
      <c r="E1270" s="3" t="n">
        <v>3</v>
      </c>
      <c r="F1270" s="2" t="n">
        <v>2</v>
      </c>
      <c r="G1270" s="4" t="n">
        <v>2</v>
      </c>
      <c r="H1270" s="13" t="n"/>
      <c r="I1270" s="15" t="n"/>
      <c r="J1270" s="19" t="n">
        <v>2</v>
      </c>
      <c r="K1270" s="2" t="inlineStr">
        <is>
          <t>marker_887_960634.png</t>
        </is>
      </c>
      <c r="L1270" s="11">
        <f>HYPERLINK("2\1\" &amp; K1270, "Ver Imagen")</f>
        <v/>
      </c>
      <c r="M1270" t="inlineStr">
        <is>
          <t>Moda</t>
        </is>
      </c>
    </row>
    <row r="1271">
      <c r="A1271" t="n">
        <v>1270</v>
      </c>
      <c r="B1271" t="inlineStr">
        <is>
          <t>A-5052__291</t>
        </is>
      </c>
      <c r="C1271" s="1" t="n">
        <v>37.2109069974</v>
      </c>
      <c r="D1271" s="1" t="n">
        <v>-7.05380944347</v>
      </c>
      <c r="E1271" s="3" t="n">
        <v>2</v>
      </c>
      <c r="F1271" s="2" t="n">
        <v>3</v>
      </c>
      <c r="G1271" s="4" t="n">
        <v>2</v>
      </c>
      <c r="H1271" s="13" t="n"/>
      <c r="I1271" s="15" t="n"/>
      <c r="J1271" s="19" t="n">
        <v>2</v>
      </c>
      <c r="K1271" s="2" t="inlineStr">
        <is>
          <t>marker_559_960665.png</t>
        </is>
      </c>
      <c r="L1271" s="11">
        <f>HYPERLINK("2\1\" &amp; K1271, "Ver Imagen")</f>
        <v/>
      </c>
      <c r="M1271" t="inlineStr">
        <is>
          <t>Moda</t>
        </is>
      </c>
    </row>
    <row r="1272">
      <c r="A1272" t="n">
        <v>1271</v>
      </c>
      <c r="B1272" t="inlineStr">
        <is>
          <t>A-5052__301</t>
        </is>
      </c>
      <c r="C1272" s="1" t="n">
        <v>37.2108756168</v>
      </c>
      <c r="D1272" s="1" t="n">
        <v>-7.05130451409</v>
      </c>
      <c r="E1272" s="3" t="n">
        <v>2</v>
      </c>
      <c r="F1272" s="2" t="n">
        <v>3</v>
      </c>
      <c r="G1272" s="4" t="n">
        <v>2</v>
      </c>
      <c r="H1272" s="13" t="n"/>
      <c r="I1272" s="15" t="n"/>
      <c r="J1272" s="19" t="n">
        <v>2</v>
      </c>
      <c r="K1272" s="2" t="inlineStr">
        <is>
          <t>marker_881_960932.png</t>
        </is>
      </c>
      <c r="L1272" s="11">
        <f>HYPERLINK("2\1\" &amp; K1272, "Ver Imagen")</f>
        <v/>
      </c>
      <c r="M1272" t="inlineStr">
        <is>
          <t>Moda</t>
        </is>
      </c>
    </row>
    <row r="1273">
      <c r="A1273" t="n">
        <v>1272</v>
      </c>
      <c r="B1273" t="inlineStr">
        <is>
          <t>A-5052__312</t>
        </is>
      </c>
      <c r="C1273" s="1" t="n">
        <v>37.2117341491</v>
      </c>
      <c r="D1273" s="1" t="n">
        <v>-7.04875580947</v>
      </c>
      <c r="E1273" s="3" t="n">
        <v>2</v>
      </c>
      <c r="F1273" s="2" t="n">
        <v>1</v>
      </c>
      <c r="G1273" s="4" t="n">
        <v>2</v>
      </c>
      <c r="H1273" s="13" t="n"/>
      <c r="I1273" s="15" t="n"/>
      <c r="J1273" s="19" t="n">
        <v>2</v>
      </c>
      <c r="K1273" s="2" t="inlineStr">
        <is>
          <t>marker_568_961143.png</t>
        </is>
      </c>
      <c r="L1273" s="11">
        <f>HYPERLINK("2\1\" &amp; K1273, "Ver Imagen")</f>
        <v/>
      </c>
      <c r="M1273" t="inlineStr">
        <is>
          <t>Moda</t>
        </is>
      </c>
    </row>
    <row r="1274">
      <c r="A1274" t="n">
        <v>1273</v>
      </c>
      <c r="B1274" t="inlineStr">
        <is>
          <t>A-5052__319</t>
        </is>
      </c>
      <c r="C1274" s="1" t="n">
        <v>37.2116079741</v>
      </c>
      <c r="D1274" s="1" t="n">
        <v>-7.04696682013</v>
      </c>
      <c r="E1274" s="3" t="n">
        <v>2</v>
      </c>
      <c r="F1274" s="2" t="n">
        <v>3</v>
      </c>
      <c r="G1274" s="4" t="n">
        <v>2</v>
      </c>
      <c r="H1274" s="13" t="n"/>
      <c r="I1274" s="15" t="n"/>
      <c r="J1274" s="19" t="n">
        <v>2</v>
      </c>
      <c r="K1274" s="2" t="inlineStr">
        <is>
          <t>marker_146_961242.png</t>
        </is>
      </c>
      <c r="L1274" s="11">
        <f>HYPERLINK("2\1\" &amp; K1274, "Ver Imagen")</f>
        <v/>
      </c>
      <c r="M1274" t="inlineStr">
        <is>
          <t>Moda</t>
        </is>
      </c>
    </row>
    <row r="1275">
      <c r="A1275" t="n">
        <v>1274</v>
      </c>
      <c r="B1275" t="inlineStr">
        <is>
          <t>A-5052__323</t>
        </is>
      </c>
      <c r="C1275" s="1" t="n">
        <v>37.2114211042</v>
      </c>
      <c r="D1275" s="1" t="n">
        <v>-7.04596185764</v>
      </c>
      <c r="E1275" s="3" t="n">
        <v>2</v>
      </c>
      <c r="F1275" s="2" t="n">
        <v>1</v>
      </c>
      <c r="G1275" s="4" t="n">
        <v>2</v>
      </c>
      <c r="H1275" s="13" t="n"/>
      <c r="I1275" s="15" t="n"/>
      <c r="J1275" s="19" t="n">
        <v>2</v>
      </c>
      <c r="K1275" s="2" t="inlineStr">
        <is>
          <t>marker_196_961300.png</t>
        </is>
      </c>
      <c r="L1275" s="11">
        <f>HYPERLINK("2\1\" &amp; K1275, "Ver Imagen")</f>
        <v/>
      </c>
      <c r="M1275" t="inlineStr">
        <is>
          <t>Moda</t>
        </is>
      </c>
    </row>
    <row r="1276">
      <c r="A1276" t="n">
        <v>1275</v>
      </c>
      <c r="B1276" t="inlineStr">
        <is>
          <t>A-5052__333</t>
        </is>
      </c>
      <c r="C1276" s="1" t="n">
        <v>37.210682354</v>
      </c>
      <c r="D1276" s="1" t="n">
        <v>-7.04357545473</v>
      </c>
      <c r="E1276" s="3" t="n">
        <v>2</v>
      </c>
      <c r="F1276" s="2" t="n">
        <v>3</v>
      </c>
      <c r="G1276" s="4" t="n">
        <v>2</v>
      </c>
      <c r="H1276" s="13" t="n"/>
      <c r="I1276" s="15" t="n"/>
      <c r="J1276" s="19" t="n">
        <v>2</v>
      </c>
      <c r="K1276" s="2" t="inlineStr">
        <is>
          <t>marker_489_961531.png</t>
        </is>
      </c>
      <c r="L1276" s="11">
        <f>HYPERLINK("2\1\" &amp; K1276, "Ver Imagen")</f>
        <v/>
      </c>
      <c r="M1276" t="inlineStr">
        <is>
          <t>Moda</t>
        </is>
      </c>
    </row>
    <row r="1277">
      <c r="A1277" t="n">
        <v>1276</v>
      </c>
      <c r="B1277" t="inlineStr">
        <is>
          <t>A-5052__340</t>
        </is>
      </c>
      <c r="C1277" s="1" t="n">
        <v>37.2101111899</v>
      </c>
      <c r="D1277" s="1" t="n">
        <v>-7.04203443241</v>
      </c>
      <c r="E1277" s="3" t="n">
        <v>2</v>
      </c>
      <c r="F1277" s="2" t="n">
        <v>3</v>
      </c>
      <c r="G1277" s="4" t="n">
        <v>2</v>
      </c>
      <c r="H1277" s="13" t="n"/>
      <c r="I1277" s="15" t="n"/>
      <c r="J1277" s="19" t="n">
        <v>2</v>
      </c>
      <c r="K1277" s="2" t="inlineStr">
        <is>
          <t>marker_326_961623.png</t>
        </is>
      </c>
      <c r="L1277" s="11">
        <f>HYPERLINK("2\1\" &amp; K1277, "Ver Imagen")</f>
        <v/>
      </c>
      <c r="M1277" t="inlineStr">
        <is>
          <t>Moda</t>
        </is>
      </c>
    </row>
    <row r="1278">
      <c r="A1278" t="n">
        <v>1277</v>
      </c>
      <c r="B1278" t="inlineStr">
        <is>
          <t>A-5052__344</t>
        </is>
      </c>
      <c r="C1278" s="1" t="n">
        <v>37.2097656337</v>
      </c>
      <c r="D1278" s="1" t="n">
        <v>-7.04111775496</v>
      </c>
      <c r="E1278" s="3" t="n">
        <v>2</v>
      </c>
      <c r="F1278" s="2" t="n">
        <v>3</v>
      </c>
      <c r="G1278" s="4" t="n">
        <v>2</v>
      </c>
      <c r="H1278" s="13" t="n"/>
      <c r="I1278" s="15" t="n"/>
      <c r="J1278" s="19" t="n">
        <v>2</v>
      </c>
      <c r="K1278" s="2" t="inlineStr">
        <is>
          <t>marker_330_961665.png</t>
        </is>
      </c>
      <c r="L1278" s="11">
        <f>HYPERLINK("2\1\" &amp; K1278, "Ver Imagen")</f>
        <v/>
      </c>
      <c r="M1278" t="inlineStr">
        <is>
          <t>Moda</t>
        </is>
      </c>
    </row>
    <row r="1279">
      <c r="A1279" t="n">
        <v>1278</v>
      </c>
      <c r="B1279" t="inlineStr">
        <is>
          <t>A-5052__355</t>
        </is>
      </c>
      <c r="C1279" s="1" t="n">
        <v>37.208814296</v>
      </c>
      <c r="D1279" s="1" t="n">
        <v>-7.03863519421</v>
      </c>
      <c r="E1279" s="3" t="n">
        <v>2</v>
      </c>
      <c r="F1279" s="2" t="n">
        <v>3</v>
      </c>
      <c r="G1279" s="4" t="n">
        <v>2</v>
      </c>
      <c r="H1279" s="13" t="n"/>
      <c r="I1279" s="15" t="n"/>
      <c r="J1279" s="19" t="n">
        <v>2</v>
      </c>
      <c r="K1279" s="2" t="inlineStr">
        <is>
          <t>marker_742_961808.png</t>
        </is>
      </c>
      <c r="L1279" s="11">
        <f>HYPERLINK("2\1\" &amp; K1279, "Ver Imagen")</f>
        <v/>
      </c>
      <c r="M1279" t="inlineStr">
        <is>
          <t>Moda</t>
        </is>
      </c>
    </row>
    <row r="1280">
      <c r="A1280" t="n">
        <v>1279</v>
      </c>
      <c r="B1280" t="inlineStr">
        <is>
          <t>A-5052__363</t>
        </is>
      </c>
      <c r="C1280" s="1" t="n">
        <v>37.2081039428</v>
      </c>
      <c r="D1280" s="1" t="n">
        <v>-7.0367953869</v>
      </c>
      <c r="E1280" s="3" t="n">
        <v>2</v>
      </c>
      <c r="F1280" s="2" t="n">
        <v>3</v>
      </c>
      <c r="G1280" s="4" t="n">
        <v>2</v>
      </c>
      <c r="H1280" s="13" t="n"/>
      <c r="I1280" s="15" t="n"/>
      <c r="J1280" s="19" t="n">
        <v>2</v>
      </c>
      <c r="K1280" s="2" t="inlineStr">
        <is>
          <t>marker_548_961890.png</t>
        </is>
      </c>
      <c r="L1280" s="11">
        <f>HYPERLINK("2\1\" &amp; K1280, "Ver Imagen")</f>
        <v/>
      </c>
      <c r="M1280" t="inlineStr">
        <is>
          <t>Moda</t>
        </is>
      </c>
    </row>
    <row r="1281">
      <c r="A1281" t="n">
        <v>1280</v>
      </c>
      <c r="B1281" t="inlineStr">
        <is>
          <t>A-5052__364</t>
        </is>
      </c>
      <c r="C1281" s="1" t="n">
        <v>37.2080146029</v>
      </c>
      <c r="D1281" s="1" t="n">
        <v>-7.03656565782</v>
      </c>
      <c r="E1281" s="3" t="n">
        <v>2</v>
      </c>
      <c r="F1281" s="2" t="n">
        <v>3</v>
      </c>
      <c r="G1281" s="4" t="n">
        <v>2</v>
      </c>
      <c r="H1281" s="13" t="n"/>
      <c r="I1281" s="15" t="n"/>
      <c r="J1281" s="19" t="n">
        <v>2</v>
      </c>
      <c r="K1281" s="2" t="inlineStr">
        <is>
          <t>marker_717_961898.png</t>
        </is>
      </c>
      <c r="L1281" s="11">
        <f>HYPERLINK("2\1\" &amp; K1281, "Ver Imagen")</f>
        <v/>
      </c>
      <c r="M1281" t="inlineStr">
        <is>
          <t>Moda</t>
        </is>
      </c>
    </row>
    <row r="1282">
      <c r="A1282" t="n">
        <v>1281</v>
      </c>
      <c r="B1282" t="inlineStr">
        <is>
          <t>A-5052__366</t>
        </is>
      </c>
      <c r="C1282" s="1" t="n">
        <v>37.2078326852</v>
      </c>
      <c r="D1282" s="1" t="n">
        <v>-7.03609550129</v>
      </c>
      <c r="E1282" s="3" t="n">
        <v>2</v>
      </c>
      <c r="F1282" s="2" t="n">
        <v>3</v>
      </c>
      <c r="G1282" s="4" t="n">
        <v>2</v>
      </c>
      <c r="H1282" s="13" t="n"/>
      <c r="I1282" s="15" t="n"/>
      <c r="J1282" s="19" t="n">
        <v>2</v>
      </c>
      <c r="K1282" s="2" t="inlineStr">
        <is>
          <t>marker_475_962242.png</t>
        </is>
      </c>
      <c r="L1282" s="11">
        <f>HYPERLINK("2\1\" &amp; K1282, "Ver Imagen")</f>
        <v/>
      </c>
      <c r="M1282" t="inlineStr">
        <is>
          <t>Moda</t>
        </is>
      </c>
    </row>
    <row r="1283">
      <c r="A1283" t="n">
        <v>1282</v>
      </c>
      <c r="B1283" t="inlineStr">
        <is>
          <t>A-5052__367</t>
        </is>
      </c>
      <c r="C1283" s="1" t="n">
        <v>37.2077476002</v>
      </c>
      <c r="D1283" s="1" t="n">
        <v>-7.03587145838</v>
      </c>
      <c r="E1283" s="3" t="n">
        <v>2</v>
      </c>
      <c r="F1283" s="2" t="n">
        <v>3</v>
      </c>
      <c r="G1283" s="4" t="n">
        <v>2</v>
      </c>
      <c r="H1283" s="13" t="n"/>
      <c r="I1283" s="15" t="n"/>
      <c r="J1283" s="19" t="n">
        <v>2</v>
      </c>
      <c r="K1283" s="2" t="inlineStr">
        <is>
          <t>marker_281_962259.png</t>
        </is>
      </c>
      <c r="L1283" s="11">
        <f>HYPERLINK("2\1\" &amp; K1283, "Ver Imagen")</f>
        <v/>
      </c>
      <c r="M1283" t="inlineStr">
        <is>
          <t>Moda</t>
        </is>
      </c>
    </row>
    <row r="1284">
      <c r="A1284" t="n">
        <v>1283</v>
      </c>
      <c r="B1284" t="inlineStr">
        <is>
          <t>A-5052__369</t>
        </is>
      </c>
      <c r="C1284" s="1" t="n">
        <v>37.2075597264</v>
      </c>
      <c r="D1284" s="1" t="n">
        <v>-7.0353844257</v>
      </c>
      <c r="E1284" s="3" t="n">
        <v>2</v>
      </c>
      <c r="F1284" s="2" t="n">
        <v>3</v>
      </c>
      <c r="G1284" s="4" t="n">
        <v>2</v>
      </c>
      <c r="H1284" s="13" t="n"/>
      <c r="I1284" s="15" t="n"/>
      <c r="J1284" s="19" t="n">
        <v>2</v>
      </c>
      <c r="K1284" s="2" t="inlineStr">
        <is>
          <t>marker_602_962284.png</t>
        </is>
      </c>
      <c r="L1284" s="11">
        <f>HYPERLINK("2\1\" &amp; K1284, "Ver Imagen")</f>
        <v/>
      </c>
      <c r="M1284" t="inlineStr">
        <is>
          <t>Moda</t>
        </is>
      </c>
    </row>
    <row r="1285">
      <c r="A1285" t="n">
        <v>1284</v>
      </c>
      <c r="B1285" t="inlineStr">
        <is>
          <t>A-5052__373</t>
        </is>
      </c>
      <c r="C1285" s="1" t="n">
        <v>37.2071953792</v>
      </c>
      <c r="D1285" s="1" t="n">
        <v>-7.03445179718</v>
      </c>
      <c r="E1285" s="3" t="n">
        <v>2</v>
      </c>
      <c r="F1285" s="2" t="n">
        <v>3</v>
      </c>
      <c r="G1285" s="4" t="n">
        <v>2</v>
      </c>
      <c r="H1285" s="13" t="n"/>
      <c r="I1285" s="15" t="n"/>
      <c r="J1285" s="19" t="n">
        <v>2</v>
      </c>
      <c r="K1285" s="2" t="inlineStr">
        <is>
          <t>marker_625_962338.png</t>
        </is>
      </c>
      <c r="L1285" s="11">
        <f>HYPERLINK("2\1\" &amp; K1285, "Ver Imagen")</f>
        <v/>
      </c>
      <c r="M1285" t="inlineStr">
        <is>
          <t>Moda</t>
        </is>
      </c>
    </row>
    <row r="1286">
      <c r="A1286" t="n">
        <v>1285</v>
      </c>
      <c r="B1286" t="inlineStr">
        <is>
          <t>A-5052__374</t>
        </is>
      </c>
      <c r="C1286" s="1" t="n">
        <v>37.207138327</v>
      </c>
      <c r="D1286" s="1" t="n">
        <v>-7.03430685282</v>
      </c>
      <c r="E1286" s="3" t="n">
        <v>2</v>
      </c>
      <c r="F1286" s="2" t="n">
        <v>3</v>
      </c>
      <c r="G1286" s="4" t="n">
        <v>2</v>
      </c>
      <c r="H1286" s="13" t="n"/>
      <c r="I1286" s="15" t="n"/>
      <c r="J1286" s="19" t="n">
        <v>2</v>
      </c>
      <c r="K1286" s="2" t="inlineStr">
        <is>
          <t>marker_927_962411.png</t>
        </is>
      </c>
      <c r="L1286" s="11">
        <f>HYPERLINK("2\1\" &amp; K1286, "Ver Imagen")</f>
        <v/>
      </c>
      <c r="M1286" t="inlineStr">
        <is>
          <t>Moda</t>
        </is>
      </c>
    </row>
    <row r="1287">
      <c r="A1287" t="n">
        <v>1286</v>
      </c>
      <c r="B1287" t="inlineStr">
        <is>
          <t>A-5052__375</t>
        </is>
      </c>
      <c r="C1287" s="1" t="n">
        <v>37.2070346357</v>
      </c>
      <c r="D1287" s="1" t="n">
        <v>-7.03404085863</v>
      </c>
      <c r="E1287" s="3" t="n">
        <v>2</v>
      </c>
      <c r="F1287" s="2" t="n">
        <v>3</v>
      </c>
      <c r="G1287" s="4" t="n">
        <v>2</v>
      </c>
      <c r="H1287" s="13" t="n"/>
      <c r="I1287" s="15" t="n"/>
      <c r="J1287" s="19" t="n">
        <v>2</v>
      </c>
      <c r="K1287" s="2" t="inlineStr">
        <is>
          <t>marker_371_962425.png</t>
        </is>
      </c>
      <c r="L1287" s="11">
        <f>HYPERLINK("2\1\" &amp; K1287, "Ver Imagen")</f>
        <v/>
      </c>
      <c r="M1287" t="inlineStr">
        <is>
          <t>Moda</t>
        </is>
      </c>
    </row>
    <row r="1288">
      <c r="A1288" t="n">
        <v>1287</v>
      </c>
      <c r="B1288" t="inlineStr">
        <is>
          <t>A-5052__376</t>
        </is>
      </c>
      <c r="C1288" s="1" t="n">
        <v>37.2069585245</v>
      </c>
      <c r="D1288" s="1" t="n">
        <v>-7.03384156805</v>
      </c>
      <c r="E1288" s="3" t="n">
        <v>2</v>
      </c>
      <c r="F1288" s="2" t="n">
        <v>3</v>
      </c>
      <c r="G1288" s="4" t="n">
        <v>2</v>
      </c>
      <c r="H1288" s="13" t="n"/>
      <c r="I1288" s="15" t="n"/>
      <c r="J1288" s="19" t="n">
        <v>2</v>
      </c>
      <c r="K1288" s="2" t="inlineStr">
        <is>
          <t>marker_861_962438.png</t>
        </is>
      </c>
      <c r="L1288" s="11">
        <f>HYPERLINK("2\1\" &amp; K1288, "Ver Imagen")</f>
        <v/>
      </c>
      <c r="M1288" t="inlineStr">
        <is>
          <t>Moda</t>
        </is>
      </c>
    </row>
    <row r="1289">
      <c r="A1289" t="n">
        <v>1288</v>
      </c>
      <c r="B1289" t="inlineStr">
        <is>
          <t>A-5052__379</t>
        </is>
      </c>
      <c r="C1289" s="1" t="n">
        <v>37.2066890341</v>
      </c>
      <c r="D1289" s="1" t="n">
        <v>-7.03312943229</v>
      </c>
      <c r="E1289" s="3" t="n">
        <v>2</v>
      </c>
      <c r="F1289" s="2" t="n">
        <v>3</v>
      </c>
      <c r="G1289" s="4" t="n">
        <v>2</v>
      </c>
      <c r="H1289" s="13" t="n"/>
      <c r="I1289" s="15" t="n"/>
      <c r="J1289" s="19" t="n">
        <v>2</v>
      </c>
      <c r="K1289" s="2" t="inlineStr">
        <is>
          <t>marker_112_962464.png</t>
        </is>
      </c>
      <c r="L1289" s="11">
        <f>HYPERLINK("2\1\" &amp; K1289, "Ver Imagen")</f>
        <v/>
      </c>
      <c r="M1289" t="inlineStr">
        <is>
          <t>Moda</t>
        </is>
      </c>
    </row>
    <row r="1290">
      <c r="A1290" t="n">
        <v>1289</v>
      </c>
      <c r="B1290" t="inlineStr">
        <is>
          <t>A-5052__383</t>
        </is>
      </c>
      <c r="C1290" s="1" t="n">
        <v>37.2063365485</v>
      </c>
      <c r="D1290" s="1" t="n">
        <v>-7.03221849713</v>
      </c>
      <c r="E1290" s="3" t="n">
        <v>2</v>
      </c>
      <c r="F1290" s="2" t="n">
        <v>3</v>
      </c>
      <c r="G1290" s="4" t="n">
        <v>2</v>
      </c>
      <c r="H1290" s="13" t="n"/>
      <c r="I1290" s="15" t="n"/>
      <c r="J1290" s="19" t="n">
        <v>2</v>
      </c>
      <c r="K1290" s="2" t="inlineStr">
        <is>
          <t>marker_281_962510.png</t>
        </is>
      </c>
      <c r="L1290" s="11">
        <f>HYPERLINK("2\1\" &amp; K1290, "Ver Imagen")</f>
        <v/>
      </c>
      <c r="M1290" t="inlineStr">
        <is>
          <t>Moda</t>
        </is>
      </c>
    </row>
    <row r="1291">
      <c r="A1291" t="n">
        <v>1290</v>
      </c>
      <c r="B1291" t="inlineStr">
        <is>
          <t>A-5052__390</t>
        </is>
      </c>
      <c r="C1291" s="1" t="n">
        <v>37.2057129206</v>
      </c>
      <c r="D1291" s="1" t="n">
        <v>-7.03059678865</v>
      </c>
      <c r="E1291" s="3" t="n">
        <v>2</v>
      </c>
      <c r="F1291" s="2" t="n">
        <v>3</v>
      </c>
      <c r="G1291" s="4" t="n">
        <v>2</v>
      </c>
      <c r="H1291" s="13" t="n"/>
      <c r="I1291" s="15" t="n"/>
      <c r="J1291" s="19" t="n">
        <v>2</v>
      </c>
      <c r="K1291" s="2" t="inlineStr">
        <is>
          <t>marker_951_962578.png</t>
        </is>
      </c>
      <c r="L1291" s="11">
        <f>HYPERLINK("2\1\" &amp; K1291, "Ver Imagen")</f>
        <v/>
      </c>
      <c r="M1291" t="inlineStr">
        <is>
          <t>Moda</t>
        </is>
      </c>
    </row>
    <row r="1292">
      <c r="A1292" t="n">
        <v>1291</v>
      </c>
      <c r="B1292" t="inlineStr">
        <is>
          <t>A-5052__392</t>
        </is>
      </c>
      <c r="C1292" s="1" t="n">
        <v>37.2055472302</v>
      </c>
      <c r="D1292" s="1" t="n">
        <v>-7.03016932285</v>
      </c>
      <c r="E1292" s="3" t="n">
        <v>2</v>
      </c>
      <c r="F1292" s="2" t="n">
        <v>3</v>
      </c>
      <c r="G1292" s="4" t="n">
        <v>2</v>
      </c>
      <c r="H1292" s="13" t="n"/>
      <c r="I1292" s="15" t="n"/>
      <c r="J1292" s="19" t="n">
        <v>2</v>
      </c>
      <c r="K1292" s="2" t="inlineStr">
        <is>
          <t>marker_734_962595.png</t>
        </is>
      </c>
      <c r="L1292" s="11">
        <f>HYPERLINK("2\1\" &amp; K1292, "Ver Imagen")</f>
        <v/>
      </c>
      <c r="M1292" t="inlineStr">
        <is>
          <t>Moda</t>
        </is>
      </c>
    </row>
    <row r="1293">
      <c r="A1293" t="n">
        <v>1292</v>
      </c>
      <c r="B1293" t="inlineStr">
        <is>
          <t>A-5052__410</t>
        </is>
      </c>
      <c r="C1293" s="1" t="n">
        <v>37.2039908253</v>
      </c>
      <c r="D1293" s="1" t="n">
        <v>-7.02608276534</v>
      </c>
      <c r="E1293" s="3" t="n">
        <v>3</v>
      </c>
      <c r="F1293" s="2" t="n">
        <v>2</v>
      </c>
      <c r="G1293" s="4" t="n">
        <v>2</v>
      </c>
      <c r="H1293" s="13" t="n"/>
      <c r="I1293" s="15" t="n"/>
      <c r="J1293" s="19" t="n">
        <v>2</v>
      </c>
      <c r="K1293" s="2" t="inlineStr">
        <is>
          <t>marker_305_962776.png</t>
        </is>
      </c>
      <c r="L1293" s="11">
        <f>HYPERLINK("2\1\" &amp; K1293, "Ver Imagen")</f>
        <v/>
      </c>
      <c r="M1293" t="inlineStr">
        <is>
          <t>Moda</t>
        </is>
      </c>
    </row>
    <row r="1294">
      <c r="A1294" t="n">
        <v>1293</v>
      </c>
      <c r="B1294" t="inlineStr">
        <is>
          <t>A-5052__416</t>
        </is>
      </c>
      <c r="C1294" s="1" t="n">
        <v>37.2034632279</v>
      </c>
      <c r="D1294" s="1" t="n">
        <v>-7.02471007592</v>
      </c>
      <c r="E1294" s="3" t="n">
        <v>1</v>
      </c>
      <c r="F1294" s="2" t="n">
        <v>2</v>
      </c>
      <c r="G1294" s="4" t="n">
        <v>2</v>
      </c>
      <c r="H1294" s="13" t="n"/>
      <c r="I1294" s="15" t="n"/>
      <c r="J1294" s="19" t="n">
        <v>2</v>
      </c>
      <c r="K1294" s="2" t="inlineStr">
        <is>
          <t>marker_525_962832.png</t>
        </is>
      </c>
      <c r="L1294" s="11">
        <f>HYPERLINK("2\1\" &amp; K1294, "Ver Imagen")</f>
        <v/>
      </c>
      <c r="M1294" t="inlineStr">
        <is>
          <t>Moda</t>
        </is>
      </c>
    </row>
    <row r="1295">
      <c r="A1295" t="n">
        <v>1294</v>
      </c>
      <c r="B1295" t="inlineStr">
        <is>
          <t>A-5052__440</t>
        </is>
      </c>
      <c r="C1295" s="1" t="n">
        <v>37.2013681248</v>
      </c>
      <c r="D1295" s="1" t="n">
        <v>-7.01924912216</v>
      </c>
      <c r="E1295" s="3" t="n">
        <v>2</v>
      </c>
      <c r="F1295" s="2" t="n">
        <v>3</v>
      </c>
      <c r="G1295" s="4" t="n">
        <v>2</v>
      </c>
      <c r="H1295" s="13" t="n"/>
      <c r="I1295" s="15" t="n"/>
      <c r="J1295" s="19" t="n">
        <v>2</v>
      </c>
      <c r="K1295" s="2" t="inlineStr">
        <is>
          <t>marker_342_963076.png</t>
        </is>
      </c>
      <c r="L1295" s="11">
        <f>HYPERLINK("2\1\" &amp; K1295, "Ver Imagen")</f>
        <v/>
      </c>
      <c r="M1295" t="inlineStr">
        <is>
          <t>Moda</t>
        </is>
      </c>
    </row>
    <row r="1296">
      <c r="A1296" t="n">
        <v>1295</v>
      </c>
      <c r="B1296" t="inlineStr">
        <is>
          <t>A-5052__444</t>
        </is>
      </c>
      <c r="C1296" s="1" t="n">
        <v>37.2010172038</v>
      </c>
      <c r="D1296" s="1" t="n">
        <v>-7.01834223317</v>
      </c>
      <c r="E1296" s="3" t="n">
        <v>2</v>
      </c>
      <c r="F1296" s="2" t="n">
        <v>3</v>
      </c>
      <c r="G1296" s="4" t="n">
        <v>2</v>
      </c>
      <c r="H1296" s="13" t="n"/>
      <c r="I1296" s="15" t="n"/>
      <c r="J1296" s="19" t="n">
        <v>2</v>
      </c>
      <c r="K1296" s="2" t="inlineStr">
        <is>
          <t>marker_150_963120.png</t>
        </is>
      </c>
      <c r="L1296" s="11">
        <f>HYPERLINK("2\1\" &amp; K1296, "Ver Imagen")</f>
        <v/>
      </c>
      <c r="M1296" t="inlineStr">
        <is>
          <t>Moda</t>
        </is>
      </c>
    </row>
    <row r="1297">
      <c r="A1297" t="n">
        <v>1296</v>
      </c>
      <c r="B1297" t="inlineStr">
        <is>
          <t>A-5052__466</t>
        </is>
      </c>
      <c r="C1297" s="1" t="n">
        <v>37.1990721546</v>
      </c>
      <c r="D1297" s="1" t="n">
        <v>-7.01327015691</v>
      </c>
      <c r="E1297" s="3" t="n">
        <v>2</v>
      </c>
      <c r="F1297" s="2" t="n">
        <v>3</v>
      </c>
      <c r="G1297" s="4" t="n">
        <v>2</v>
      </c>
      <c r="H1297" s="13" t="n"/>
      <c r="I1297" s="15" t="n"/>
      <c r="J1297" s="19" t="n">
        <v>2</v>
      </c>
      <c r="K1297" s="2" t="inlineStr">
        <is>
          <t>marker_220_963354.png</t>
        </is>
      </c>
      <c r="L1297" s="11">
        <f>HYPERLINK("2\1\" &amp; K1297, "Ver Imagen")</f>
        <v/>
      </c>
      <c r="M1297" t="inlineStr">
        <is>
          <t>Moda</t>
        </is>
      </c>
    </row>
    <row r="1298">
      <c r="A1298" t="n">
        <v>1297</v>
      </c>
      <c r="B1298" t="inlineStr">
        <is>
          <t>A-5052__467</t>
        </is>
      </c>
      <c r="C1298" s="1" t="n">
        <v>37.1989929666</v>
      </c>
      <c r="D1298" s="1" t="n">
        <v>-7.01306247998</v>
      </c>
      <c r="E1298" s="3" t="n">
        <v>2</v>
      </c>
      <c r="F1298" s="2" t="n">
        <v>3</v>
      </c>
      <c r="G1298" s="4" t="n">
        <v>2</v>
      </c>
      <c r="H1298" s="13" t="n"/>
      <c r="I1298" s="15" t="n"/>
      <c r="J1298" s="19" t="n">
        <v>2</v>
      </c>
      <c r="K1298" s="2" t="inlineStr">
        <is>
          <t>marker_102_963362.png</t>
        </is>
      </c>
      <c r="L1298" s="11">
        <f>HYPERLINK("2\1\" &amp; K1298, "Ver Imagen")</f>
        <v/>
      </c>
      <c r="M1298" t="inlineStr">
        <is>
          <t>Moda</t>
        </is>
      </c>
    </row>
    <row r="1299">
      <c r="A1299" t="n">
        <v>1298</v>
      </c>
      <c r="B1299" t="inlineStr">
        <is>
          <t>A-5052__475</t>
        </is>
      </c>
      <c r="C1299" s="1" t="n">
        <v>37.1982966663</v>
      </c>
      <c r="D1299" s="1" t="n">
        <v>-7.01126921655</v>
      </c>
      <c r="E1299" s="3" t="n">
        <v>2</v>
      </c>
      <c r="F1299" s="2" t="n">
        <v>2</v>
      </c>
      <c r="G1299" s="4" t="n">
        <v>3</v>
      </c>
      <c r="H1299" s="13" t="n"/>
      <c r="I1299" s="15" t="n"/>
      <c r="J1299" s="19" t="n">
        <v>2</v>
      </c>
      <c r="K1299" s="2" t="inlineStr">
        <is>
          <t>marker_555_963442.png</t>
        </is>
      </c>
      <c r="L1299" s="11">
        <f>HYPERLINK("2\1\" &amp; K1299, "Ver Imagen")</f>
        <v/>
      </c>
      <c r="M1299" t="inlineStr">
        <is>
          <t>Moda</t>
        </is>
      </c>
    </row>
    <row r="1300">
      <c r="A1300" t="n">
        <v>1299</v>
      </c>
      <c r="B1300" t="inlineStr">
        <is>
          <t>A-5052__476</t>
        </is>
      </c>
      <c r="C1300" s="1" t="n">
        <v>37.198195062</v>
      </c>
      <c r="D1300" s="1" t="n">
        <v>-7.01100691559</v>
      </c>
      <c r="E1300" s="3" t="n">
        <v>2</v>
      </c>
      <c r="F1300" s="2" t="n">
        <v>2</v>
      </c>
      <c r="G1300" s="4" t="n">
        <v>3</v>
      </c>
      <c r="H1300" s="13" t="n"/>
      <c r="I1300" s="15" t="n"/>
      <c r="J1300" s="19" t="n">
        <v>2</v>
      </c>
      <c r="K1300" s="2" t="inlineStr">
        <is>
          <t>marker_775_963450.png</t>
        </is>
      </c>
      <c r="L1300" s="11">
        <f>HYPERLINK("2\1\" &amp; K1300, "Ver Imagen")</f>
        <v/>
      </c>
      <c r="M1300" t="inlineStr">
        <is>
          <t>Moda</t>
        </is>
      </c>
    </row>
    <row r="1301">
      <c r="A1301" t="n">
        <v>1300</v>
      </c>
      <c r="B1301" t="inlineStr">
        <is>
          <t>A-5052__481</t>
        </is>
      </c>
      <c r="C1301" s="1" t="n">
        <v>37.1977624238</v>
      </c>
      <c r="D1301" s="1" t="n">
        <v>-7.00989189511</v>
      </c>
      <c r="E1301" s="3" t="n">
        <v>2</v>
      </c>
      <c r="F1301" s="2" t="n">
        <v>2</v>
      </c>
      <c r="G1301" s="4" t="n">
        <v>3</v>
      </c>
      <c r="H1301" s="13" t="n"/>
      <c r="I1301" s="15" t="n"/>
      <c r="J1301" s="19" t="n">
        <v>2</v>
      </c>
      <c r="K1301" s="2" t="inlineStr">
        <is>
          <t>marker_680_963501.png</t>
        </is>
      </c>
      <c r="L1301" s="11">
        <f>HYPERLINK("2\1\" &amp; K1301, "Ver Imagen")</f>
        <v/>
      </c>
      <c r="M1301" t="inlineStr">
        <is>
          <t>Moda</t>
        </is>
      </c>
    </row>
    <row r="1302">
      <c r="A1302" t="n">
        <v>1301</v>
      </c>
      <c r="B1302" t="inlineStr">
        <is>
          <t>A-5052__487</t>
        </is>
      </c>
      <c r="C1302" s="1" t="n">
        <v>37.1973500172</v>
      </c>
      <c r="D1302" s="1" t="n">
        <v>-7.00847607991</v>
      </c>
      <c r="E1302" s="3" t="n">
        <v>2</v>
      </c>
      <c r="F1302" s="2" t="n">
        <v>2</v>
      </c>
      <c r="G1302" s="4" t="n">
        <v>1</v>
      </c>
      <c r="H1302" s="13" t="n"/>
      <c r="I1302" s="15" t="n"/>
      <c r="J1302" s="19" t="n">
        <v>2</v>
      </c>
      <c r="K1302" s="2" t="inlineStr">
        <is>
          <t>marker_810_963559.png</t>
        </is>
      </c>
      <c r="L1302" s="11">
        <f>HYPERLINK("2\1\" &amp; K1302, "Ver Imagen")</f>
        <v/>
      </c>
      <c r="M1302" t="inlineStr">
        <is>
          <t>Moda</t>
        </is>
      </c>
    </row>
    <row r="1303">
      <c r="A1303" t="n">
        <v>1302</v>
      </c>
      <c r="B1303" t="inlineStr">
        <is>
          <t>A-5052__493</t>
        </is>
      </c>
      <c r="C1303" s="1" t="n">
        <v>37.1972063754</v>
      </c>
      <c r="D1303" s="1" t="n">
        <v>-7.0069559465</v>
      </c>
      <c r="E1303" s="3" t="n">
        <v>2</v>
      </c>
      <c r="F1303" s="2" t="n">
        <v>2</v>
      </c>
      <c r="G1303" s="4" t="n">
        <v>3</v>
      </c>
      <c r="H1303" s="13" t="n"/>
      <c r="I1303" s="15" t="n"/>
      <c r="J1303" s="19" t="n">
        <v>2</v>
      </c>
      <c r="K1303" s="2" t="inlineStr">
        <is>
          <t>marker_320_963615.png</t>
        </is>
      </c>
      <c r="L1303" s="11">
        <f>HYPERLINK("2\1\" &amp; K1303, "Ver Imagen")</f>
        <v/>
      </c>
      <c r="M1303" t="inlineStr">
        <is>
          <t>Moda</t>
        </is>
      </c>
    </row>
    <row r="1304">
      <c r="A1304" t="n">
        <v>1303</v>
      </c>
      <c r="B1304" t="inlineStr">
        <is>
          <t>A-5052__497</t>
        </is>
      </c>
      <c r="C1304" s="1" t="n">
        <v>37.1970532374</v>
      </c>
      <c r="D1304" s="1" t="n">
        <v>-7.00598737105</v>
      </c>
      <c r="E1304" s="3" t="n">
        <v>2</v>
      </c>
      <c r="F1304" s="2" t="n">
        <v>1</v>
      </c>
      <c r="G1304" s="4" t="n">
        <v>2</v>
      </c>
      <c r="H1304" s="13" t="n"/>
      <c r="I1304" s="15" t="n"/>
      <c r="J1304" s="19" t="n">
        <v>2</v>
      </c>
      <c r="K1304" s="2" t="inlineStr">
        <is>
          <t>marker_297_963651.png</t>
        </is>
      </c>
      <c r="L1304" s="11">
        <f>HYPERLINK("2\1\" &amp; K1304, "Ver Imagen")</f>
        <v/>
      </c>
      <c r="M1304" t="inlineStr">
        <is>
          <t>Moda</t>
        </is>
      </c>
    </row>
    <row r="1305">
      <c r="A1305" t="n">
        <v>1304</v>
      </c>
      <c r="B1305" t="inlineStr">
        <is>
          <t>A-5052__499</t>
        </is>
      </c>
      <c r="C1305" s="1" t="n">
        <v>37.1969134151</v>
      </c>
      <c r="D1305" s="1" t="n">
        <v>-7.00544338861</v>
      </c>
      <c r="E1305" s="3" t="n">
        <v>2</v>
      </c>
      <c r="F1305" s="2" t="n">
        <v>2</v>
      </c>
      <c r="G1305" s="4" t="n">
        <v>3</v>
      </c>
      <c r="H1305" s="13" t="n"/>
      <c r="I1305" s="15" t="n"/>
      <c r="J1305" s="19" t="n">
        <v>2</v>
      </c>
      <c r="K1305" s="2" t="inlineStr">
        <is>
          <t>marker_613_963668.png</t>
        </is>
      </c>
      <c r="L1305" s="11">
        <f>HYPERLINK("2\1\" &amp; K1305, "Ver Imagen")</f>
        <v/>
      </c>
      <c r="M1305" t="inlineStr">
        <is>
          <t>Moda</t>
        </is>
      </c>
    </row>
    <row r="1306">
      <c r="A1306" t="n">
        <v>1305</v>
      </c>
      <c r="B1306" t="inlineStr">
        <is>
          <t>A-5052__501</t>
        </is>
      </c>
      <c r="C1306" s="1" t="n">
        <v>37.1967947965</v>
      </c>
      <c r="D1306" s="1" t="n">
        <v>-7.00503628289</v>
      </c>
      <c r="E1306" s="3" t="n">
        <v>2</v>
      </c>
      <c r="F1306" s="2" t="n">
        <v>3</v>
      </c>
      <c r="G1306" s="4" t="n">
        <v>2</v>
      </c>
      <c r="H1306" s="13" t="n"/>
      <c r="I1306" s="15" t="n"/>
      <c r="J1306" s="19" t="n">
        <v>2</v>
      </c>
      <c r="K1306" s="2" t="inlineStr">
        <is>
          <t>marker_770_963689.png</t>
        </is>
      </c>
      <c r="L1306" s="11">
        <f>HYPERLINK("2\1\" &amp; K1306, "Ver Imagen")</f>
        <v/>
      </c>
      <c r="M1306" t="inlineStr">
        <is>
          <t>Moda</t>
        </is>
      </c>
    </row>
    <row r="1307">
      <c r="A1307" t="n">
        <v>1306</v>
      </c>
      <c r="B1307" t="inlineStr">
        <is>
          <t>A-5053__377</t>
        </is>
      </c>
      <c r="C1307" s="1" t="n">
        <v>37.2878161918</v>
      </c>
      <c r="D1307" s="1" t="n">
        <v>-7.14135308805</v>
      </c>
      <c r="E1307" s="3" t="n">
        <v>1</v>
      </c>
      <c r="F1307" s="2" t="n">
        <v>2</v>
      </c>
      <c r="G1307" s="4" t="n">
        <v>2</v>
      </c>
      <c r="H1307" s="13" t="n"/>
      <c r="I1307" s="15" t="n"/>
      <c r="J1307" s="19" t="n">
        <v>2</v>
      </c>
      <c r="K1307" s="2" t="inlineStr">
        <is>
          <t>marker_387_963888.png</t>
        </is>
      </c>
      <c r="L1307" s="11">
        <f>HYPERLINK("2\1\" &amp; K1307, "Ver Imagen")</f>
        <v/>
      </c>
      <c r="M1307" t="inlineStr">
        <is>
          <t>Moda</t>
        </is>
      </c>
    </row>
    <row r="1308">
      <c r="A1308" t="n">
        <v>1307</v>
      </c>
      <c r="B1308" t="inlineStr">
        <is>
          <t>A-5053__306</t>
        </is>
      </c>
      <c r="C1308" s="1" t="n">
        <v>37.2754239562</v>
      </c>
      <c r="D1308" s="1" t="n">
        <v>-7.14275959355</v>
      </c>
      <c r="E1308" s="3" t="n">
        <v>2</v>
      </c>
      <c r="F1308" s="2" t="n">
        <v>3</v>
      </c>
      <c r="G1308" s="4" t="n">
        <v>2</v>
      </c>
      <c r="H1308" s="13" t="n"/>
      <c r="I1308" s="15" t="n"/>
      <c r="J1308" s="19" t="n">
        <v>2</v>
      </c>
      <c r="K1308" s="2" t="inlineStr">
        <is>
          <t>marker_609_964713.png</t>
        </is>
      </c>
      <c r="L1308" s="11">
        <f>HYPERLINK("2\1\" &amp; K1308, "Ver Imagen")</f>
        <v/>
      </c>
      <c r="M1308" t="inlineStr">
        <is>
          <t>Moda</t>
        </is>
      </c>
    </row>
    <row r="1309">
      <c r="A1309" t="n">
        <v>1308</v>
      </c>
      <c r="B1309" t="inlineStr">
        <is>
          <t>A-5053__305</t>
        </is>
      </c>
      <c r="C1309" s="1" t="n">
        <v>37.2752368122</v>
      </c>
      <c r="D1309" s="1" t="n">
        <v>-7.14271184404</v>
      </c>
      <c r="E1309" s="3" t="n">
        <v>2</v>
      </c>
      <c r="F1309" s="2" t="n">
        <v>3</v>
      </c>
      <c r="G1309" s="4" t="n">
        <v>2</v>
      </c>
      <c r="H1309" s="13" t="n"/>
      <c r="I1309" s="15" t="n"/>
      <c r="J1309" s="19" t="n">
        <v>2</v>
      </c>
      <c r="K1309" s="2" t="inlineStr">
        <is>
          <t>marker_837_964722.png</t>
        </is>
      </c>
      <c r="L1309" s="11">
        <f>HYPERLINK("2\1\" &amp; K1309, "Ver Imagen")</f>
        <v/>
      </c>
      <c r="M1309" t="inlineStr">
        <is>
          <t>Moda</t>
        </is>
      </c>
    </row>
    <row r="1310">
      <c r="A1310" t="n">
        <v>1309</v>
      </c>
      <c r="B1310" t="inlineStr">
        <is>
          <t>A-5053__303</t>
        </is>
      </c>
      <c r="C1310" s="1" t="n">
        <v>37.274831807</v>
      </c>
      <c r="D1310" s="1" t="n">
        <v>-7.14258501667</v>
      </c>
      <c r="E1310" s="3" t="n">
        <v>2</v>
      </c>
      <c r="F1310" s="2" t="n">
        <v>3</v>
      </c>
      <c r="G1310" s="4" t="n">
        <v>2</v>
      </c>
      <c r="H1310" s="13" t="n"/>
      <c r="I1310" s="15" t="n"/>
      <c r="J1310" s="19" t="n">
        <v>2</v>
      </c>
      <c r="K1310" s="2" t="inlineStr">
        <is>
          <t>marker_762_964741.png</t>
        </is>
      </c>
      <c r="L1310" s="11">
        <f>HYPERLINK("2\1\" &amp; K1310, "Ver Imagen")</f>
        <v/>
      </c>
      <c r="M1310" t="inlineStr">
        <is>
          <t>Moda</t>
        </is>
      </c>
    </row>
    <row r="1311">
      <c r="A1311" t="n">
        <v>1310</v>
      </c>
      <c r="B1311" t="inlineStr">
        <is>
          <t>A-5053__287</t>
        </is>
      </c>
      <c r="C1311" s="1" t="n">
        <v>37.2718887898</v>
      </c>
      <c r="D1311" s="1" t="n">
        <v>-7.14105941368</v>
      </c>
      <c r="E1311" s="3" t="n">
        <v>2</v>
      </c>
      <c r="F1311" s="2" t="n">
        <v>3</v>
      </c>
      <c r="G1311" s="4" t="n">
        <v>2</v>
      </c>
      <c r="H1311" s="13" t="n"/>
      <c r="I1311" s="15" t="n"/>
      <c r="J1311" s="19" t="n">
        <v>2</v>
      </c>
      <c r="K1311" s="2" t="inlineStr">
        <is>
          <t>marker_601_964991.png</t>
        </is>
      </c>
      <c r="L1311" s="11">
        <f>HYPERLINK("2\1\" &amp; K1311, "Ver Imagen")</f>
        <v/>
      </c>
      <c r="M1311" t="inlineStr">
        <is>
          <t>Moda</t>
        </is>
      </c>
    </row>
    <row r="1312">
      <c r="A1312" t="n">
        <v>1311</v>
      </c>
      <c r="B1312" t="inlineStr">
        <is>
          <t>A-5053__286</t>
        </is>
      </c>
      <c r="C1312" s="1" t="n">
        <v>37.2717147568</v>
      </c>
      <c r="D1312" s="1" t="n">
        <v>-7.14090632957</v>
      </c>
      <c r="E1312" s="3" t="n">
        <v>2</v>
      </c>
      <c r="F1312" s="2" t="n">
        <v>3</v>
      </c>
      <c r="G1312" s="4" t="n">
        <v>2</v>
      </c>
      <c r="H1312" s="13" t="n"/>
      <c r="I1312" s="15" t="n"/>
      <c r="J1312" s="19" t="n">
        <v>2</v>
      </c>
      <c r="K1312" s="2" t="inlineStr">
        <is>
          <t>marker_473_965000.png</t>
        </is>
      </c>
      <c r="L1312" s="11">
        <f>HYPERLINK("2\1\" &amp; K1312, "Ver Imagen")</f>
        <v/>
      </c>
      <c r="M1312" t="inlineStr">
        <is>
          <t>Moda</t>
        </is>
      </c>
    </row>
    <row r="1313">
      <c r="A1313" t="n">
        <v>1312</v>
      </c>
      <c r="B1313" t="inlineStr">
        <is>
          <t>A-5053__285</t>
        </is>
      </c>
      <c r="C1313" s="1" t="n">
        <v>37.2715466257</v>
      </c>
      <c r="D1313" s="1" t="n">
        <v>-7.14075767326</v>
      </c>
      <c r="E1313" s="3" t="n">
        <v>2</v>
      </c>
      <c r="F1313" s="2" t="n">
        <v>3</v>
      </c>
      <c r="G1313" s="4" t="n">
        <v>2</v>
      </c>
      <c r="H1313" s="13" t="n"/>
      <c r="I1313" s="15" t="n"/>
      <c r="J1313" s="19" t="n">
        <v>2</v>
      </c>
      <c r="K1313" s="2" t="inlineStr">
        <is>
          <t>marker_566_965010.png</t>
        </is>
      </c>
      <c r="L1313" s="11">
        <f>HYPERLINK("2\1\" &amp; K1313, "Ver Imagen")</f>
        <v/>
      </c>
      <c r="M1313" t="inlineStr">
        <is>
          <t>Moda</t>
        </is>
      </c>
    </row>
    <row r="1314">
      <c r="A1314" t="n">
        <v>1313</v>
      </c>
      <c r="B1314" t="inlineStr">
        <is>
          <t>A-5053__284</t>
        </is>
      </c>
      <c r="C1314" s="1" t="n">
        <v>37.2713720194</v>
      </c>
      <c r="D1314" s="1" t="n">
        <v>-7.14060742768</v>
      </c>
      <c r="E1314" s="3" t="n">
        <v>3</v>
      </c>
      <c r="F1314" s="2" t="n">
        <v>2</v>
      </c>
      <c r="G1314" s="4" t="n">
        <v>2</v>
      </c>
      <c r="H1314" s="13" t="n"/>
      <c r="I1314" s="15" t="n"/>
      <c r="J1314" s="19" t="n">
        <v>2</v>
      </c>
      <c r="K1314" s="2" t="inlineStr">
        <is>
          <t>marker_415_965019.png</t>
        </is>
      </c>
      <c r="L1314" s="11">
        <f>HYPERLINK("2\1\" &amp; K1314, "Ver Imagen")</f>
        <v/>
      </c>
      <c r="M1314" t="inlineStr">
        <is>
          <t>Moda</t>
        </is>
      </c>
    </row>
    <row r="1315">
      <c r="A1315" t="n">
        <v>1314</v>
      </c>
      <c r="B1315" t="inlineStr">
        <is>
          <t>A-5053__243</t>
        </is>
      </c>
      <c r="C1315" s="1" t="n">
        <v>37.2663072001</v>
      </c>
      <c r="D1315" s="1" t="n">
        <v>-7.13304720706</v>
      </c>
      <c r="E1315" s="3" t="n">
        <v>3</v>
      </c>
      <c r="F1315" s="2" t="n">
        <v>2</v>
      </c>
      <c r="G1315" s="4" t="n">
        <v>2</v>
      </c>
      <c r="H1315" s="13" t="n"/>
      <c r="I1315" s="15" t="n"/>
      <c r="J1315" s="19" t="n">
        <v>2</v>
      </c>
      <c r="K1315" s="2" t="inlineStr">
        <is>
          <t>marker_892_965471.png</t>
        </is>
      </c>
      <c r="L1315" s="11">
        <f>HYPERLINK("2\1\" &amp; K1315, "Ver Imagen")</f>
        <v/>
      </c>
      <c r="M1315" t="inlineStr">
        <is>
          <t>Moda</t>
        </is>
      </c>
    </row>
    <row r="1316">
      <c r="A1316" t="n">
        <v>1315</v>
      </c>
      <c r="B1316" t="inlineStr">
        <is>
          <t>A-5053__239</t>
        </is>
      </c>
      <c r="C1316" s="1" t="n">
        <v>37.2655560175</v>
      </c>
      <c r="D1316" s="1" t="n">
        <v>-7.13256872323</v>
      </c>
      <c r="E1316" s="3" t="n">
        <v>2</v>
      </c>
      <c r="F1316" s="2" t="n">
        <v>3</v>
      </c>
      <c r="G1316" s="4" t="n">
        <v>2</v>
      </c>
      <c r="H1316" s="13" t="n"/>
      <c r="I1316" s="15" t="n"/>
      <c r="J1316" s="19" t="n">
        <v>2</v>
      </c>
      <c r="K1316" s="2" t="inlineStr">
        <is>
          <t>marker_167_965509.png</t>
        </is>
      </c>
      <c r="L1316" s="11">
        <f>HYPERLINK("2\1\" &amp; K1316, "Ver Imagen")</f>
        <v/>
      </c>
      <c r="M1316" t="inlineStr">
        <is>
          <t>Moda</t>
        </is>
      </c>
    </row>
    <row r="1317">
      <c r="A1317" t="n">
        <v>1316</v>
      </c>
      <c r="B1317" t="inlineStr">
        <is>
          <t>A-5053__207</t>
        </is>
      </c>
      <c r="C1317" s="1" t="n">
        <v>37.2597998738</v>
      </c>
      <c r="D1317" s="1" t="n">
        <v>-7.12896141222</v>
      </c>
      <c r="E1317" s="3" t="n">
        <v>3</v>
      </c>
      <c r="F1317" s="2" t="n">
        <v>2</v>
      </c>
      <c r="G1317" s="4" t="n">
        <v>2</v>
      </c>
      <c r="H1317" s="13" t="n"/>
      <c r="I1317" s="15" t="n"/>
      <c r="J1317" s="19" t="n">
        <v>2</v>
      </c>
      <c r="K1317" s="2" t="inlineStr">
        <is>
          <t>marker_152_965824.png</t>
        </is>
      </c>
      <c r="L1317" s="11">
        <f>HYPERLINK("2\1\" &amp; K1317, "Ver Imagen")</f>
        <v/>
      </c>
      <c r="M1317" t="inlineStr">
        <is>
          <t>Moda</t>
        </is>
      </c>
    </row>
    <row r="1318">
      <c r="A1318" t="n">
        <v>1317</v>
      </c>
      <c r="B1318" t="inlineStr">
        <is>
          <t>A-5053__204</t>
        </is>
      </c>
      <c r="C1318" s="1" t="n">
        <v>37.2592555469</v>
      </c>
      <c r="D1318" s="1" t="n">
        <v>-7.12861875085</v>
      </c>
      <c r="E1318" s="3" t="n">
        <v>2</v>
      </c>
      <c r="F1318" s="2" t="n">
        <v>3</v>
      </c>
      <c r="G1318" s="4" t="n">
        <v>2</v>
      </c>
      <c r="H1318" s="13" t="n"/>
      <c r="I1318" s="15" t="n"/>
      <c r="J1318" s="19" t="n">
        <v>2</v>
      </c>
      <c r="K1318" s="2" t="inlineStr">
        <is>
          <t>marker_475_965852.png</t>
        </is>
      </c>
      <c r="L1318" s="11">
        <f>HYPERLINK("2\1\" &amp; K1318, "Ver Imagen")</f>
        <v/>
      </c>
      <c r="M1318" t="inlineStr">
        <is>
          <t>Moda</t>
        </is>
      </c>
    </row>
    <row r="1319">
      <c r="A1319" t="n">
        <v>1318</v>
      </c>
      <c r="B1319" t="inlineStr">
        <is>
          <t>A-5053__201</t>
        </is>
      </c>
      <c r="C1319" s="1" t="n">
        <v>37.2587024724</v>
      </c>
      <c r="D1319" s="1" t="n">
        <v>-7.12826704409</v>
      </c>
      <c r="E1319" s="3" t="n">
        <v>2</v>
      </c>
      <c r="F1319" s="2" t="n">
        <v>3</v>
      </c>
      <c r="G1319" s="4" t="n">
        <v>2</v>
      </c>
      <c r="H1319" s="13" t="n"/>
      <c r="I1319" s="15" t="n"/>
      <c r="J1319" s="19" t="n">
        <v>2</v>
      </c>
      <c r="K1319" s="2" t="inlineStr">
        <is>
          <t>marker_100_965876.png</t>
        </is>
      </c>
      <c r="L1319" s="11">
        <f>HYPERLINK("2\1\" &amp; K1319, "Ver Imagen")</f>
        <v/>
      </c>
      <c r="M1319" t="inlineStr">
        <is>
          <t>Moda</t>
        </is>
      </c>
    </row>
    <row r="1320">
      <c r="A1320" t="n">
        <v>1319</v>
      </c>
      <c r="B1320" t="inlineStr">
        <is>
          <t>A-5053__197</t>
        </is>
      </c>
      <c r="C1320" s="1" t="n">
        <v>37.2580142638</v>
      </c>
      <c r="D1320" s="1" t="n">
        <v>-7.12782815435</v>
      </c>
      <c r="E1320" s="3" t="n">
        <v>3</v>
      </c>
      <c r="F1320" s="2" t="n">
        <v>2</v>
      </c>
      <c r="G1320" s="4" t="n">
        <v>2</v>
      </c>
      <c r="H1320" s="13" t="n"/>
      <c r="I1320" s="15" t="n"/>
      <c r="J1320" s="19" t="n">
        <v>2</v>
      </c>
      <c r="K1320" s="2" t="inlineStr">
        <is>
          <t>marker_234_965914.png</t>
        </is>
      </c>
      <c r="L1320" s="11">
        <f>HYPERLINK("2\1\" &amp; K1320, "Ver Imagen")</f>
        <v/>
      </c>
      <c r="M1320" t="inlineStr">
        <is>
          <t>Moda</t>
        </is>
      </c>
    </row>
    <row r="1321">
      <c r="A1321" t="n">
        <v>1320</v>
      </c>
      <c r="B1321" t="inlineStr">
        <is>
          <t>A-5053__178</t>
        </is>
      </c>
      <c r="C1321" s="1" t="n">
        <v>37.2543229214</v>
      </c>
      <c r="D1321" s="1" t="n">
        <v>-7.1266309183</v>
      </c>
      <c r="E1321" s="3" t="n">
        <v>1</v>
      </c>
      <c r="F1321" s="2" t="n">
        <v>2</v>
      </c>
      <c r="G1321" s="4" t="n">
        <v>2</v>
      </c>
      <c r="H1321" s="13" t="n"/>
      <c r="I1321" s="15" t="n"/>
      <c r="J1321" s="19" t="n">
        <v>2</v>
      </c>
      <c r="K1321" s="2" t="inlineStr">
        <is>
          <t>marker_981_966110.png</t>
        </is>
      </c>
      <c r="L1321" s="11">
        <f>HYPERLINK("2\1\" &amp; K1321, "Ver Imagen")</f>
        <v/>
      </c>
      <c r="M1321" t="inlineStr">
        <is>
          <t>Moda</t>
        </is>
      </c>
    </row>
    <row r="1322">
      <c r="A1322" t="n">
        <v>1321</v>
      </c>
      <c r="B1322" t="inlineStr">
        <is>
          <t>A-5053__159</t>
        </is>
      </c>
      <c r="C1322" s="1" t="n">
        <v>37.2505512518</v>
      </c>
      <c r="D1322" s="1" t="n">
        <v>-7.12719557022</v>
      </c>
      <c r="E1322" s="3" t="n">
        <v>2</v>
      </c>
      <c r="F1322" s="2" t="n">
        <v>3</v>
      </c>
      <c r="G1322" s="4" t="n">
        <v>2</v>
      </c>
      <c r="H1322" s="13" t="n"/>
      <c r="I1322" s="15" t="n"/>
      <c r="J1322" s="19" t="n">
        <v>2</v>
      </c>
      <c r="K1322" s="2" t="inlineStr">
        <is>
          <t>marker_698_966294.png</t>
        </is>
      </c>
      <c r="L1322" s="11">
        <f>HYPERLINK("2\1\" &amp; K1322, "Ver Imagen")</f>
        <v/>
      </c>
      <c r="M1322" t="inlineStr">
        <is>
          <t>Moda</t>
        </is>
      </c>
    </row>
    <row r="1323">
      <c r="A1323" t="n">
        <v>1322</v>
      </c>
      <c r="B1323" t="inlineStr">
        <is>
          <t>A-5053__149</t>
        </is>
      </c>
      <c r="C1323" s="1" t="n">
        <v>37.248497373</v>
      </c>
      <c r="D1323" s="1" t="n">
        <v>-7.12750626345</v>
      </c>
      <c r="E1323" s="3" t="n">
        <v>2</v>
      </c>
      <c r="F1323" s="2" t="n">
        <v>2</v>
      </c>
      <c r="G1323" s="4" t="n">
        <v>3</v>
      </c>
      <c r="H1323" s="13" t="n"/>
      <c r="I1323" s="15" t="n"/>
      <c r="J1323" s="19" t="n">
        <v>2</v>
      </c>
      <c r="K1323" s="2" t="inlineStr">
        <is>
          <t>marker_539_966397.png</t>
        </is>
      </c>
      <c r="L1323" s="11">
        <f>HYPERLINK("2\1\" &amp; K1323, "Ver Imagen")</f>
        <v/>
      </c>
      <c r="M1323" t="inlineStr">
        <is>
          <t>Moda</t>
        </is>
      </c>
    </row>
    <row r="1324">
      <c r="A1324" t="n">
        <v>1323</v>
      </c>
      <c r="B1324" t="inlineStr">
        <is>
          <t>A-5053__140</t>
        </is>
      </c>
      <c r="C1324" s="1" t="n">
        <v>37.2466909204</v>
      </c>
      <c r="D1324" s="1" t="n">
        <v>-7.12777187791</v>
      </c>
      <c r="E1324" s="3" t="n">
        <v>2</v>
      </c>
      <c r="F1324" s="2" t="n">
        <v>2</v>
      </c>
      <c r="G1324" s="4" t="n">
        <v>3</v>
      </c>
      <c r="H1324" s="13" t="n"/>
      <c r="I1324" s="15" t="n"/>
      <c r="J1324" s="19" t="n">
        <v>2</v>
      </c>
      <c r="K1324" s="2" t="inlineStr">
        <is>
          <t>marker_591_966484.png</t>
        </is>
      </c>
      <c r="L1324" s="11">
        <f>HYPERLINK("2\1\" &amp; K1324, "Ver Imagen")</f>
        <v/>
      </c>
      <c r="M1324" t="inlineStr">
        <is>
          <t>Moda</t>
        </is>
      </c>
    </row>
    <row r="1325">
      <c r="A1325" t="n">
        <v>1324</v>
      </c>
      <c r="B1325" t="inlineStr">
        <is>
          <t>A-5053__139</t>
        </is>
      </c>
      <c r="C1325" s="1" t="n">
        <v>37.2464820254</v>
      </c>
      <c r="D1325" s="1" t="n">
        <v>-7.12780336085</v>
      </c>
      <c r="E1325" s="3" t="n">
        <v>2</v>
      </c>
      <c r="F1325" s="2" t="n">
        <v>2</v>
      </c>
      <c r="G1325" s="4" t="n">
        <v>3</v>
      </c>
      <c r="H1325" s="13" t="n"/>
      <c r="I1325" s="15" t="n"/>
      <c r="J1325" s="19" t="n">
        <v>2</v>
      </c>
      <c r="K1325" s="2" t="inlineStr">
        <is>
          <t>marker_362_966493.png</t>
        </is>
      </c>
      <c r="L1325" s="11">
        <f>HYPERLINK("2\1\" &amp; K1325, "Ver Imagen")</f>
        <v/>
      </c>
      <c r="M1325" t="inlineStr">
        <is>
          <t>Moda</t>
        </is>
      </c>
    </row>
    <row r="1326">
      <c r="A1326" t="n">
        <v>1325</v>
      </c>
      <c r="B1326" t="inlineStr">
        <is>
          <t>A-5053__138</t>
        </is>
      </c>
      <c r="C1326" s="1" t="n">
        <v>37.246299254</v>
      </c>
      <c r="D1326" s="1" t="n">
        <v>-7.12783083419</v>
      </c>
      <c r="E1326" s="3" t="n">
        <v>2</v>
      </c>
      <c r="F1326" s="2" t="n">
        <v>2</v>
      </c>
      <c r="G1326" s="4" t="n">
        <v>3</v>
      </c>
      <c r="H1326" s="13" t="n"/>
      <c r="I1326" s="15" t="n"/>
      <c r="J1326" s="19" t="n">
        <v>2</v>
      </c>
      <c r="K1326" s="2" t="inlineStr">
        <is>
          <t>marker_573_966504.png</t>
        </is>
      </c>
      <c r="L1326" s="11">
        <f>HYPERLINK("2\1\" &amp; K1326, "Ver Imagen")</f>
        <v/>
      </c>
      <c r="M1326" t="inlineStr">
        <is>
          <t>Moda</t>
        </is>
      </c>
    </row>
    <row r="1327">
      <c r="A1327" t="n">
        <v>1326</v>
      </c>
      <c r="B1327" t="inlineStr">
        <is>
          <t>A-5053__134</t>
        </is>
      </c>
      <c r="C1327" s="1" t="n">
        <v>37.2454913016</v>
      </c>
      <c r="D1327" s="1" t="n">
        <v>-7.12794943586</v>
      </c>
      <c r="E1327" s="3" t="n">
        <v>2</v>
      </c>
      <c r="F1327" s="2" t="n">
        <v>2</v>
      </c>
      <c r="G1327" s="4" t="n">
        <v>3</v>
      </c>
      <c r="H1327" s="13" t="n"/>
      <c r="I1327" s="15" t="n"/>
      <c r="J1327" s="19" t="n">
        <v>2</v>
      </c>
      <c r="K1327" s="2" t="inlineStr">
        <is>
          <t>marker_905_966537.png</t>
        </is>
      </c>
      <c r="L1327" s="11">
        <f>HYPERLINK("2\1\" &amp; K1327, "Ver Imagen")</f>
        <v/>
      </c>
      <c r="M1327" t="inlineStr">
        <is>
          <t>Moda</t>
        </is>
      </c>
    </row>
    <row r="1328">
      <c r="A1328" t="n">
        <v>1327</v>
      </c>
      <c r="B1328" t="inlineStr">
        <is>
          <t>A-5053__123</t>
        </is>
      </c>
      <c r="C1328" s="1" t="n">
        <v>37.2432764692</v>
      </c>
      <c r="D1328" s="1" t="n">
        <v>-7.12827356923</v>
      </c>
      <c r="E1328" s="3" t="n">
        <v>2</v>
      </c>
      <c r="F1328" s="2" t="n">
        <v>2</v>
      </c>
      <c r="G1328" s="4" t="n">
        <v>3</v>
      </c>
      <c r="H1328" s="13" t="n"/>
      <c r="I1328" s="15" t="n"/>
      <c r="J1328" s="19" t="n">
        <v>2</v>
      </c>
      <c r="K1328" s="2" t="inlineStr">
        <is>
          <t>marker_488_019560.png</t>
        </is>
      </c>
      <c r="L1328" s="11">
        <f>HYPERLINK("2\1\" &amp; K1328, "Ver Imagen")</f>
        <v/>
      </c>
      <c r="M1328" t="inlineStr">
        <is>
          <t>Moda</t>
        </is>
      </c>
    </row>
    <row r="1329">
      <c r="A1329" t="n">
        <v>1328</v>
      </c>
      <c r="B1329" t="inlineStr">
        <is>
          <t>A-5053__110</t>
        </is>
      </c>
      <c r="C1329" s="1" t="n">
        <v>37.2406548131</v>
      </c>
      <c r="D1329" s="1" t="n">
        <v>-7.1286041167</v>
      </c>
      <c r="E1329" s="3" t="n">
        <v>2</v>
      </c>
      <c r="F1329" s="2" t="n">
        <v>2</v>
      </c>
      <c r="G1329" s="4" t="n">
        <v>3</v>
      </c>
      <c r="H1329" s="13" t="n"/>
      <c r="I1329" s="15" t="n"/>
      <c r="J1329" s="19" t="n">
        <v>2</v>
      </c>
      <c r="K1329" s="2" t="inlineStr">
        <is>
          <t>marker_238_019703.png</t>
        </is>
      </c>
      <c r="L1329" s="11">
        <f>HYPERLINK("2\1\" &amp; K1329, "Ver Imagen")</f>
        <v/>
      </c>
      <c r="M1329" t="inlineStr">
        <is>
          <t>Moda</t>
        </is>
      </c>
    </row>
    <row r="1330">
      <c r="A1330" t="n">
        <v>1329</v>
      </c>
      <c r="B1330" t="inlineStr">
        <is>
          <t>A-5053__109</t>
        </is>
      </c>
      <c r="C1330" s="1" t="n">
        <v>37.2404464988</v>
      </c>
      <c r="D1330" s="1" t="n">
        <v>-7.1285981417</v>
      </c>
      <c r="E1330" s="3" t="n">
        <v>2</v>
      </c>
      <c r="F1330" s="2" t="n">
        <v>1</v>
      </c>
      <c r="G1330" s="4" t="n">
        <v>2</v>
      </c>
      <c r="H1330" s="13" t="n"/>
      <c r="I1330" s="15" t="n"/>
      <c r="J1330" s="19" t="n">
        <v>2</v>
      </c>
      <c r="K1330" s="2" t="inlineStr">
        <is>
          <t>marker_698_019713.png</t>
        </is>
      </c>
      <c r="L1330" s="11">
        <f>HYPERLINK("2\1\" &amp; K1330, "Ver Imagen")</f>
        <v/>
      </c>
      <c r="M1330" t="inlineStr">
        <is>
          <t>Moda</t>
        </is>
      </c>
    </row>
    <row r="1331">
      <c r="A1331" t="n">
        <v>1330</v>
      </c>
      <c r="B1331" t="inlineStr">
        <is>
          <t>A-5053__108</t>
        </is>
      </c>
      <c r="C1331" s="1" t="n">
        <v>37.240269337</v>
      </c>
      <c r="D1331" s="1" t="n">
        <v>-7.12858717469</v>
      </c>
      <c r="E1331" s="3" t="n">
        <v>2</v>
      </c>
      <c r="F1331" s="2" t="n">
        <v>1</v>
      </c>
      <c r="G1331" s="4" t="n">
        <v>2</v>
      </c>
      <c r="H1331" s="13" t="n"/>
      <c r="I1331" s="15" t="n"/>
      <c r="J1331" s="19" t="n">
        <v>2</v>
      </c>
      <c r="K1331" s="2" t="inlineStr">
        <is>
          <t>marker_670_019724.png</t>
        </is>
      </c>
      <c r="L1331" s="11">
        <f>HYPERLINK("2\1\" &amp; K1331, "Ver Imagen")</f>
        <v/>
      </c>
      <c r="M1331" t="inlineStr">
        <is>
          <t>Moda</t>
        </is>
      </c>
    </row>
    <row r="1332">
      <c r="A1332" t="n">
        <v>1331</v>
      </c>
      <c r="B1332" t="inlineStr">
        <is>
          <t>A-5053__98</t>
        </is>
      </c>
      <c r="C1332" s="1" t="n">
        <v>37.2382293365</v>
      </c>
      <c r="D1332" s="1" t="n">
        <v>-7.12839815304</v>
      </c>
      <c r="E1332" s="3" t="n">
        <v>2</v>
      </c>
      <c r="F1332" s="2" t="n">
        <v>3</v>
      </c>
      <c r="G1332" s="4" t="n">
        <v>2</v>
      </c>
      <c r="H1332" s="13" t="n"/>
      <c r="I1332" s="15" t="n"/>
      <c r="J1332" s="19" t="n">
        <v>2</v>
      </c>
      <c r="K1332" s="2" t="inlineStr">
        <is>
          <t>marker_160_019833.png</t>
        </is>
      </c>
      <c r="L1332" s="11">
        <f>HYPERLINK("2\1\" &amp; K1332, "Ver Imagen")</f>
        <v/>
      </c>
      <c r="M1332" t="inlineStr">
        <is>
          <t>Moda</t>
        </is>
      </c>
    </row>
    <row r="1333">
      <c r="A1333" t="n">
        <v>1332</v>
      </c>
      <c r="B1333" t="inlineStr">
        <is>
          <t>A-5053__90</t>
        </is>
      </c>
      <c r="C1333" s="1" t="n">
        <v>37.236593548</v>
      </c>
      <c r="D1333" s="1" t="n">
        <v>-7.12824179738</v>
      </c>
      <c r="E1333" s="3" t="n">
        <v>2</v>
      </c>
      <c r="F1333" s="2" t="n">
        <v>2</v>
      </c>
      <c r="G1333" s="4" t="n">
        <v>3</v>
      </c>
      <c r="H1333" s="13" t="n"/>
      <c r="I1333" s="15" t="n"/>
      <c r="J1333" s="19" t="n">
        <v>2</v>
      </c>
      <c r="K1333" s="2" t="inlineStr">
        <is>
          <t>marker_248_019912.png</t>
        </is>
      </c>
      <c r="L1333" s="11">
        <f>HYPERLINK("2\1\" &amp; K1333, "Ver Imagen")</f>
        <v/>
      </c>
      <c r="M1333" t="inlineStr">
        <is>
          <t>Moda</t>
        </is>
      </c>
    </row>
    <row r="1334">
      <c r="A1334" t="n">
        <v>1333</v>
      </c>
      <c r="B1334" t="inlineStr">
        <is>
          <t>A-5053__89</t>
        </is>
      </c>
      <c r="C1334" s="1" t="n">
        <v>37.2363960046</v>
      </c>
      <c r="D1334" s="1" t="n">
        <v>-7.12822439387</v>
      </c>
      <c r="E1334" s="3" t="n">
        <v>2</v>
      </c>
      <c r="F1334" s="2" t="n">
        <v>2</v>
      </c>
      <c r="G1334" s="4" t="n">
        <v>3</v>
      </c>
      <c r="H1334" s="13" t="n"/>
      <c r="I1334" s="15" t="n"/>
      <c r="J1334" s="19" t="n">
        <v>2</v>
      </c>
      <c r="K1334" s="2" t="inlineStr">
        <is>
          <t>marker_861_019921.png</t>
        </is>
      </c>
      <c r="L1334" s="11">
        <f>HYPERLINK("2\1\" &amp; K1334, "Ver Imagen")</f>
        <v/>
      </c>
      <c r="M1334" t="inlineStr">
        <is>
          <t>Moda</t>
        </is>
      </c>
    </row>
    <row r="1335">
      <c r="A1335" t="n">
        <v>1334</v>
      </c>
      <c r="B1335" t="inlineStr">
        <is>
          <t>A-5053__88</t>
        </is>
      </c>
      <c r="C1335" s="1" t="n">
        <v>37.2362207942</v>
      </c>
      <c r="D1335" s="1" t="n">
        <v>-7.1282078211</v>
      </c>
      <c r="E1335" s="3" t="n">
        <v>2</v>
      </c>
      <c r="F1335" s="2" t="n">
        <v>2</v>
      </c>
      <c r="G1335" s="4" t="n">
        <v>3</v>
      </c>
      <c r="H1335" s="13" t="n"/>
      <c r="I1335" s="15" t="n"/>
      <c r="J1335" s="19" t="n">
        <v>2</v>
      </c>
      <c r="K1335" s="2" t="inlineStr">
        <is>
          <t>marker_451_019933.png</t>
        </is>
      </c>
      <c r="L1335" s="11">
        <f>HYPERLINK("2\1\" &amp; K1335, "Ver Imagen")</f>
        <v/>
      </c>
      <c r="M1335" t="inlineStr">
        <is>
          <t>Moda</t>
        </is>
      </c>
    </row>
    <row r="1336">
      <c r="A1336" t="n">
        <v>1335</v>
      </c>
      <c r="B1336" t="inlineStr">
        <is>
          <t>A-5053__80</t>
        </is>
      </c>
      <c r="C1336" s="1" t="n">
        <v>37.2346304049</v>
      </c>
      <c r="D1336" s="1" t="n">
        <v>-7.12780158773</v>
      </c>
      <c r="E1336" s="3" t="n">
        <v>2</v>
      </c>
      <c r="F1336" s="2" t="n">
        <v>2</v>
      </c>
      <c r="G1336" s="4" t="n">
        <v>3</v>
      </c>
      <c r="H1336" s="13" t="n"/>
      <c r="I1336" s="15" t="n"/>
      <c r="J1336" s="19" t="n">
        <v>2</v>
      </c>
      <c r="K1336" s="2" t="inlineStr">
        <is>
          <t>marker_156_020011.png</t>
        </is>
      </c>
      <c r="L1336" s="11">
        <f>HYPERLINK("2\1\" &amp; K1336, "Ver Imagen")</f>
        <v/>
      </c>
      <c r="M1336" t="inlineStr">
        <is>
          <t>Moda</t>
        </is>
      </c>
    </row>
    <row r="1337">
      <c r="A1337" t="n">
        <v>1336</v>
      </c>
      <c r="B1337" t="inlineStr">
        <is>
          <t>A-5053__71</t>
        </is>
      </c>
      <c r="C1337" s="1" t="n">
        <v>37.2328575901</v>
      </c>
      <c r="D1337" s="1" t="n">
        <v>-7.12722290033</v>
      </c>
      <c r="E1337" s="3" t="n">
        <v>1</v>
      </c>
      <c r="F1337" s="2" t="n">
        <v>2</v>
      </c>
      <c r="G1337" s="4" t="n">
        <v>2</v>
      </c>
      <c r="H1337" s="13" t="n"/>
      <c r="I1337" s="15" t="n"/>
      <c r="J1337" s="19" t="n">
        <v>2</v>
      </c>
      <c r="K1337" s="2" t="inlineStr">
        <is>
          <t>marker_240_020296.png</t>
        </is>
      </c>
      <c r="L1337" s="11">
        <f>HYPERLINK("2\1\" &amp; K1337, "Ver Imagen")</f>
        <v/>
      </c>
      <c r="M1337" t="inlineStr">
        <is>
          <t>Moda</t>
        </is>
      </c>
    </row>
    <row r="1338">
      <c r="A1338" t="n">
        <v>1337</v>
      </c>
      <c r="B1338" t="inlineStr">
        <is>
          <t>A-5053__54</t>
        </is>
      </c>
      <c r="C1338" s="1" t="n">
        <v>37.2294488694</v>
      </c>
      <c r="D1338" s="1" t="n">
        <v>-7.12690812407</v>
      </c>
      <c r="E1338" s="3" t="n">
        <v>2</v>
      </c>
      <c r="F1338" s="2" t="n">
        <v>2</v>
      </c>
      <c r="G1338" s="4" t="n">
        <v>3</v>
      </c>
      <c r="H1338" s="13" t="n"/>
      <c r="I1338" s="15" t="n"/>
      <c r="J1338" s="19" t="n">
        <v>2</v>
      </c>
      <c r="K1338" s="2" t="inlineStr">
        <is>
          <t>marker_567_020940.png</t>
        </is>
      </c>
      <c r="L1338" s="11">
        <f>HYPERLINK("2\1\" &amp; K1338, "Ver Imagen")</f>
        <v/>
      </c>
      <c r="M1338" t="inlineStr">
        <is>
          <t>Moda</t>
        </is>
      </c>
    </row>
    <row r="1339">
      <c r="A1339" t="n">
        <v>1338</v>
      </c>
      <c r="B1339" t="inlineStr">
        <is>
          <t>A-5053__37</t>
        </is>
      </c>
      <c r="C1339" s="1" t="n">
        <v>37.2260981942</v>
      </c>
      <c r="D1339" s="1" t="n">
        <v>-7.12611014783</v>
      </c>
      <c r="E1339" s="3" t="n">
        <v>2</v>
      </c>
      <c r="F1339" s="2" t="n">
        <v>3</v>
      </c>
      <c r="G1339" s="4" t="n">
        <v>2</v>
      </c>
      <c r="H1339" s="13" t="n"/>
      <c r="I1339" s="15" t="n"/>
      <c r="J1339" s="19" t="n">
        <v>2</v>
      </c>
      <c r="K1339" s="2" t="inlineStr">
        <is>
          <t>marker_138_021743.png</t>
        </is>
      </c>
      <c r="L1339" s="11">
        <f>HYPERLINK("2\1\" &amp; K1339, "Ver Imagen")</f>
        <v/>
      </c>
      <c r="M1339" t="inlineStr">
        <is>
          <t>Moda</t>
        </is>
      </c>
    </row>
    <row r="1340">
      <c r="A1340" t="n">
        <v>1339</v>
      </c>
      <c r="B1340" t="inlineStr">
        <is>
          <t>A-5053__29</t>
        </is>
      </c>
      <c r="C1340" s="1" t="n">
        <v>37.2245494916</v>
      </c>
      <c r="D1340" s="1" t="n">
        <v>-7.1255568135</v>
      </c>
      <c r="E1340" s="3" t="n">
        <v>3</v>
      </c>
      <c r="F1340" s="2" t="n">
        <v>2</v>
      </c>
      <c r="G1340" s="4" t="n">
        <v>2</v>
      </c>
      <c r="H1340" s="13" t="n"/>
      <c r="I1340" s="15" t="n"/>
      <c r="J1340" s="19" t="n">
        <v>2</v>
      </c>
      <c r="K1340" s="2" t="inlineStr">
        <is>
          <t>marker_784_021819.png</t>
        </is>
      </c>
      <c r="L1340" s="11">
        <f>HYPERLINK("2\1\" &amp; K1340, "Ver Imagen")</f>
        <v/>
      </c>
      <c r="M1340" t="inlineStr">
        <is>
          <t>Moda</t>
        </is>
      </c>
    </row>
    <row r="1341">
      <c r="A1341" t="n">
        <v>1340</v>
      </c>
      <c r="B1341" t="inlineStr">
        <is>
          <t>A-5053__19</t>
        </is>
      </c>
      <c r="C1341" s="1" t="n">
        <v>37.2225787895</v>
      </c>
      <c r="D1341" s="1" t="n">
        <v>-7.12503165261</v>
      </c>
      <c r="E1341" s="3" t="n">
        <v>2</v>
      </c>
      <c r="F1341" s="2" t="n">
        <v>2</v>
      </c>
      <c r="G1341" s="4" t="n">
        <v>3</v>
      </c>
      <c r="H1341" s="13" t="n"/>
      <c r="I1341" s="15" t="n"/>
      <c r="J1341" s="19" t="n">
        <v>2</v>
      </c>
      <c r="K1341" s="2" t="inlineStr">
        <is>
          <t>marker_951_022913.png</t>
        </is>
      </c>
      <c r="L1341" s="11">
        <f>HYPERLINK("2\1\" &amp; K1341, "Ver Imagen")</f>
        <v/>
      </c>
      <c r="M1341" t="inlineStr">
        <is>
          <t>Moda</t>
        </is>
      </c>
    </row>
    <row r="1342">
      <c r="A1342" t="n">
        <v>1341</v>
      </c>
      <c r="B1342" t="inlineStr">
        <is>
          <t>A-5053__7</t>
        </is>
      </c>
      <c r="C1342" s="1" t="n">
        <v>37.2203341665</v>
      </c>
      <c r="D1342" s="1" t="n">
        <v>-7.12578852402</v>
      </c>
      <c r="E1342" s="3" t="n">
        <v>2</v>
      </c>
      <c r="F1342" s="2" t="n">
        <v>2</v>
      </c>
      <c r="G1342" s="4" t="n">
        <v>3</v>
      </c>
      <c r="H1342" s="13" t="n"/>
      <c r="I1342" s="15" t="n"/>
      <c r="J1342" s="19" t="n">
        <v>2</v>
      </c>
      <c r="K1342" s="2" t="inlineStr">
        <is>
          <t>marker_456_025142.png</t>
        </is>
      </c>
      <c r="L1342" s="11">
        <f>HYPERLINK("2\1\" &amp; K1342, "Ver Imagen")</f>
        <v/>
      </c>
      <c r="M1342" t="inlineStr">
        <is>
          <t>Moda</t>
        </is>
      </c>
    </row>
    <row r="1343">
      <c r="A1343" t="n">
        <v>1342</v>
      </c>
      <c r="B1343" t="inlineStr">
        <is>
          <t>A-5053__6</t>
        </is>
      </c>
      <c r="C1343" s="1" t="n">
        <v>37.2201073629</v>
      </c>
      <c r="D1343" s="1" t="n">
        <v>-7.12581711071</v>
      </c>
      <c r="E1343" s="3" t="n">
        <v>2</v>
      </c>
      <c r="F1343" s="2" t="n">
        <v>2</v>
      </c>
      <c r="G1343" s="4" t="n">
        <v>3</v>
      </c>
      <c r="H1343" s="13" t="n"/>
      <c r="I1343" s="15" t="n"/>
      <c r="J1343" s="19" t="n">
        <v>2</v>
      </c>
      <c r="K1343" s="2" t="inlineStr">
        <is>
          <t>marker_711_025154.png</t>
        </is>
      </c>
      <c r="L1343" s="11">
        <f>HYPERLINK("2\1\" &amp; K1343, "Ver Imagen")</f>
        <v/>
      </c>
      <c r="M1343" t="inlineStr">
        <is>
          <t>Moda</t>
        </is>
      </c>
    </row>
    <row r="1344">
      <c r="A1344" t="n">
        <v>1343</v>
      </c>
      <c r="B1344" t="inlineStr">
        <is>
          <t>A-5053__5</t>
        </is>
      </c>
      <c r="C1344" s="1" t="n">
        <v>37.2199237956</v>
      </c>
      <c r="D1344" s="1" t="n">
        <v>-7.12584050849</v>
      </c>
      <c r="E1344" s="3" t="n">
        <v>2</v>
      </c>
      <c r="F1344" s="2" t="n">
        <v>2</v>
      </c>
      <c r="G1344" s="4" t="n">
        <v>3</v>
      </c>
      <c r="H1344" s="13" t="n"/>
      <c r="I1344" s="15" t="n"/>
      <c r="J1344" s="19" t="n">
        <v>2</v>
      </c>
      <c r="K1344" s="2" t="inlineStr">
        <is>
          <t>marker_269_025164.png</t>
        </is>
      </c>
      <c r="L1344" s="11">
        <f>HYPERLINK("2\1\" &amp; K1344, "Ver Imagen")</f>
        <v/>
      </c>
      <c r="M1344" t="inlineStr">
        <is>
          <t>Moda</t>
        </is>
      </c>
    </row>
    <row r="1345">
      <c r="A1345" t="n">
        <v>1344</v>
      </c>
      <c r="B1345" t="inlineStr">
        <is>
          <t>A-5053__4</t>
        </is>
      </c>
      <c r="C1345" s="1" t="n">
        <v>37.2197302046</v>
      </c>
      <c r="D1345" s="1" t="n">
        <v>-7.12586563885</v>
      </c>
      <c r="E1345" s="3" t="n">
        <v>2</v>
      </c>
      <c r="F1345" s="2" t="n">
        <v>2</v>
      </c>
      <c r="G1345" s="4" t="n">
        <v>3</v>
      </c>
      <c r="H1345" s="13" t="n"/>
      <c r="I1345" s="15" t="n"/>
      <c r="J1345" s="19" t="n">
        <v>2</v>
      </c>
      <c r="K1345" s="2" t="inlineStr">
        <is>
          <t>marker_427_025175.png</t>
        </is>
      </c>
      <c r="L1345" s="11">
        <f>HYPERLINK("2\1\" &amp; K1345, "Ver Imagen")</f>
        <v/>
      </c>
      <c r="M1345" t="inlineStr">
        <is>
          <t>Moda</t>
        </is>
      </c>
    </row>
    <row r="1346">
      <c r="A1346" t="n">
        <v>1345</v>
      </c>
      <c r="B1346" t="inlineStr">
        <is>
          <t>A-5053__3</t>
        </is>
      </c>
      <c r="C1346" s="1" t="n">
        <v>37.2195316101</v>
      </c>
      <c r="D1346" s="1" t="n">
        <v>-7.12589223706</v>
      </c>
      <c r="E1346" s="3" t="n">
        <v>2</v>
      </c>
      <c r="F1346" s="2" t="n">
        <v>2</v>
      </c>
      <c r="G1346" s="4" t="n">
        <v>3</v>
      </c>
      <c r="H1346" s="13" t="n"/>
      <c r="I1346" s="15" t="n"/>
      <c r="J1346" s="19" t="n">
        <v>2</v>
      </c>
      <c r="K1346" s="2" t="inlineStr">
        <is>
          <t>marker_936_025187.png</t>
        </is>
      </c>
      <c r="L1346" s="11">
        <f>HYPERLINK("2\1\" &amp; K1346, "Ver Imagen")</f>
        <v/>
      </c>
      <c r="M1346" t="inlineStr">
        <is>
          <t>Moda</t>
        </is>
      </c>
    </row>
    <row r="1347">
      <c r="A1347" t="n">
        <v>1346</v>
      </c>
      <c r="B1347" t="inlineStr">
        <is>
          <t>A-495__24</t>
        </is>
      </c>
      <c r="C1347" s="1" t="n">
        <v>37.4430576752</v>
      </c>
      <c r="D1347" s="1" t="n">
        <v>-7.0946079797</v>
      </c>
      <c r="E1347" s="3" t="n">
        <v>3</v>
      </c>
      <c r="F1347" s="2" t="n">
        <v>2</v>
      </c>
      <c r="G1347" s="4" t="n">
        <v>2</v>
      </c>
      <c r="H1347" s="13" t="n"/>
      <c r="I1347" s="15" t="n"/>
      <c r="J1347" s="19" t="n">
        <v>2</v>
      </c>
      <c r="K1347" s="2" t="inlineStr">
        <is>
          <t>marker_534_381335.png</t>
        </is>
      </c>
      <c r="L1347" s="11">
        <f>HYPERLINK("2\1\" &amp; K1347, "Ver Imagen")</f>
        <v/>
      </c>
      <c r="M1347" t="inlineStr">
        <is>
          <t>Moda</t>
        </is>
      </c>
    </row>
    <row r="1348">
      <c r="A1348" t="n">
        <v>1347</v>
      </c>
      <c r="B1348" t="inlineStr">
        <is>
          <t>A-495__25</t>
        </is>
      </c>
      <c r="C1348" s="1" t="n">
        <v>37.442972021</v>
      </c>
      <c r="D1348" s="1" t="n">
        <v>-7.09438359172</v>
      </c>
      <c r="E1348" s="3" t="n">
        <v>2</v>
      </c>
      <c r="F1348" s="2" t="n">
        <v>2</v>
      </c>
      <c r="G1348" s="4" t="n">
        <v>1</v>
      </c>
      <c r="H1348" s="13" t="n"/>
      <c r="I1348" s="15" t="n"/>
      <c r="J1348" s="19" t="n">
        <v>2</v>
      </c>
      <c r="K1348" s="2" t="inlineStr">
        <is>
          <t>marker_584_381345.png</t>
        </is>
      </c>
      <c r="L1348" s="11">
        <f>HYPERLINK("2\1\" &amp; K1348, "Ver Imagen")</f>
        <v/>
      </c>
      <c r="M1348" t="inlineStr">
        <is>
          <t>Moda</t>
        </is>
      </c>
    </row>
    <row r="1349">
      <c r="A1349" t="n">
        <v>1348</v>
      </c>
      <c r="B1349" t="inlineStr">
        <is>
          <t>A-495__27</t>
        </is>
      </c>
      <c r="C1349" s="1" t="n">
        <v>37.4427881424</v>
      </c>
      <c r="D1349" s="1" t="n">
        <v>-7.0939032054</v>
      </c>
      <c r="E1349" s="3" t="n">
        <v>3</v>
      </c>
      <c r="F1349" s="2" t="n">
        <v>2</v>
      </c>
      <c r="G1349" s="4" t="n">
        <v>2</v>
      </c>
      <c r="H1349" s="13" t="n"/>
      <c r="I1349" s="15" t="n"/>
      <c r="J1349" s="19" t="n">
        <v>2</v>
      </c>
      <c r="K1349" s="2" t="inlineStr">
        <is>
          <t>marker_859_381370.png</t>
        </is>
      </c>
      <c r="L1349" s="11">
        <f>HYPERLINK("2\1\" &amp; K1349, "Ver Imagen")</f>
        <v/>
      </c>
      <c r="M1349" t="inlineStr">
        <is>
          <t>Moda</t>
        </is>
      </c>
    </row>
    <row r="1350">
      <c r="A1350" t="n">
        <v>1349</v>
      </c>
      <c r="B1350" t="inlineStr">
        <is>
          <t>A-495__34</t>
        </is>
      </c>
      <c r="C1350" s="1" t="n">
        <v>37.4421802239</v>
      </c>
      <c r="D1350" s="1" t="n">
        <v>-7.09234546526</v>
      </c>
      <c r="E1350" s="3" t="n">
        <v>3</v>
      </c>
      <c r="F1350" s="2" t="n">
        <v>2</v>
      </c>
      <c r="G1350" s="4" t="n">
        <v>2</v>
      </c>
      <c r="H1350" s="13" t="n"/>
      <c r="I1350" s="15" t="n"/>
      <c r="J1350" s="19" t="n">
        <v>2</v>
      </c>
      <c r="K1350" s="2" t="inlineStr">
        <is>
          <t>marker_381_381445.png</t>
        </is>
      </c>
      <c r="L1350" s="11">
        <f>HYPERLINK("2\1\" &amp; K1350, "Ver Imagen")</f>
        <v/>
      </c>
      <c r="M1350" t="inlineStr">
        <is>
          <t>Moda</t>
        </is>
      </c>
    </row>
    <row r="1351">
      <c r="A1351" t="n">
        <v>1350</v>
      </c>
      <c r="B1351" t="inlineStr">
        <is>
          <t>A-495__108</t>
        </is>
      </c>
      <c r="C1351" s="1" t="n">
        <v>37.4354509724</v>
      </c>
      <c r="D1351" s="1" t="n">
        <v>-7.07607603215</v>
      </c>
      <c r="E1351" s="3" t="n">
        <v>2</v>
      </c>
      <c r="F1351" s="2" t="n">
        <v>2</v>
      </c>
      <c r="G1351" s="4" t="n">
        <v>1</v>
      </c>
      <c r="H1351" s="13" t="n"/>
      <c r="I1351" s="15" t="n"/>
      <c r="J1351" s="19" t="n">
        <v>2</v>
      </c>
      <c r="K1351" s="2" t="inlineStr">
        <is>
          <t>marker_373_382254.png</t>
        </is>
      </c>
      <c r="L1351" s="11">
        <f>HYPERLINK("2\1\" &amp; K1351, "Ver Imagen")</f>
        <v/>
      </c>
      <c r="M1351" t="inlineStr">
        <is>
          <t>Moda</t>
        </is>
      </c>
    </row>
    <row r="1352">
      <c r="A1352" t="n">
        <v>1351</v>
      </c>
      <c r="B1352" t="inlineStr">
        <is>
          <t>A-5059__78</t>
        </is>
      </c>
      <c r="C1352" s="1" t="n">
        <v>37.2216654448</v>
      </c>
      <c r="D1352" s="1" t="n">
        <v>-7.05474681884</v>
      </c>
      <c r="E1352" s="3" t="n">
        <v>3</v>
      </c>
      <c r="F1352" s="2" t="n">
        <v>2</v>
      </c>
      <c r="G1352" s="4" t="n">
        <v>2</v>
      </c>
      <c r="H1352" s="13" t="n"/>
      <c r="I1352" s="15" t="n"/>
      <c r="J1352" s="19" t="n">
        <v>2</v>
      </c>
      <c r="K1352" s="2" t="inlineStr">
        <is>
          <t>marker_347_378765.png</t>
        </is>
      </c>
      <c r="L1352" s="11">
        <f>HYPERLINK("2\1\" &amp; K1352, "Ver Imagen")</f>
        <v/>
      </c>
      <c r="M1352" t="inlineStr">
        <is>
          <t>Moda</t>
        </is>
      </c>
    </row>
    <row r="1353">
      <c r="A1353" t="n">
        <v>1352</v>
      </c>
      <c r="B1353" t="inlineStr">
        <is>
          <t>A-5059__76</t>
        </is>
      </c>
      <c r="C1353" s="1" t="n">
        <v>37.2219437082</v>
      </c>
      <c r="D1353" s="1" t="n">
        <v>-7.05511665099</v>
      </c>
      <c r="E1353" s="3" t="n">
        <v>3</v>
      </c>
      <c r="F1353" s="2" t="n">
        <v>2</v>
      </c>
      <c r="G1353" s="4" t="n">
        <v>2</v>
      </c>
      <c r="H1353" s="13" t="n"/>
      <c r="I1353" s="15" t="n"/>
      <c r="J1353" s="19" t="n">
        <v>2</v>
      </c>
      <c r="K1353" s="2" t="inlineStr">
        <is>
          <t>marker_886_378788.png</t>
        </is>
      </c>
      <c r="L1353" s="11">
        <f>HYPERLINK("2\1\" &amp; K1353, "Ver Imagen")</f>
        <v/>
      </c>
      <c r="M1353" t="inlineStr">
        <is>
          <t>Moda</t>
        </is>
      </c>
    </row>
    <row r="1354">
      <c r="A1354" t="n">
        <v>1353</v>
      </c>
      <c r="B1354" t="inlineStr">
        <is>
          <t>A-5059__74</t>
        </is>
      </c>
      <c r="C1354" s="1" t="n">
        <v>37.2222667263</v>
      </c>
      <c r="D1354" s="1" t="n">
        <v>-7.05542401512</v>
      </c>
      <c r="E1354" s="3" t="n">
        <v>2</v>
      </c>
      <c r="F1354" s="2" t="n">
        <v>3</v>
      </c>
      <c r="G1354" s="4" t="n">
        <v>2</v>
      </c>
      <c r="H1354" s="13" t="n"/>
      <c r="I1354" s="15" t="n"/>
      <c r="J1354" s="19" t="n">
        <v>2</v>
      </c>
      <c r="K1354" s="2" t="inlineStr">
        <is>
          <t>marker_162_378810.png</t>
        </is>
      </c>
      <c r="L1354" s="11">
        <f>HYPERLINK("2\1\" &amp; K1354, "Ver Imagen")</f>
        <v/>
      </c>
      <c r="M1354" t="inlineStr">
        <is>
          <t>Moda</t>
        </is>
      </c>
    </row>
    <row r="1355">
      <c r="A1355" t="n">
        <v>1354</v>
      </c>
      <c r="B1355" t="inlineStr">
        <is>
          <t>A-5059__67</t>
        </is>
      </c>
      <c r="C1355" s="1" t="n">
        <v>37.2235923572</v>
      </c>
      <c r="D1355" s="1" t="n">
        <v>-7.05606650117</v>
      </c>
      <c r="E1355" s="3" t="n">
        <v>3</v>
      </c>
      <c r="F1355" s="2" t="n">
        <v>2</v>
      </c>
      <c r="G1355" s="4" t="n">
        <v>2</v>
      </c>
      <c r="H1355" s="13" t="n"/>
      <c r="I1355" s="15" t="n"/>
      <c r="J1355" s="19" t="n">
        <v>2</v>
      </c>
      <c r="K1355" s="2" t="inlineStr">
        <is>
          <t>marker_512_378875.png</t>
        </is>
      </c>
      <c r="L1355" s="11">
        <f>HYPERLINK("2\1\" &amp; K1355, "Ver Imagen")</f>
        <v/>
      </c>
      <c r="M1355" t="inlineStr">
        <is>
          <t>Moda</t>
        </is>
      </c>
    </row>
    <row r="1356">
      <c r="A1356" t="n">
        <v>1355</v>
      </c>
      <c r="B1356" t="inlineStr">
        <is>
          <t>A-5059__65</t>
        </is>
      </c>
      <c r="C1356" s="1" t="n">
        <v>37.2239589729</v>
      </c>
      <c r="D1356" s="1" t="n">
        <v>-7.05626871246</v>
      </c>
      <c r="E1356" s="3" t="n">
        <v>3</v>
      </c>
      <c r="F1356" s="2" t="n">
        <v>2</v>
      </c>
      <c r="G1356" s="4" t="n">
        <v>2</v>
      </c>
      <c r="H1356" s="13" t="n"/>
      <c r="I1356" s="15" t="n"/>
      <c r="J1356" s="19" t="n">
        <v>2</v>
      </c>
      <c r="K1356" s="2" t="inlineStr">
        <is>
          <t>marker_472_378894.png</t>
        </is>
      </c>
      <c r="L1356" s="11">
        <f>HYPERLINK("2\1\" &amp; K1356, "Ver Imagen")</f>
        <v/>
      </c>
      <c r="M1356" t="inlineStr">
        <is>
          <t>Moda</t>
        </is>
      </c>
    </row>
    <row r="1357">
      <c r="A1357" t="n">
        <v>1356</v>
      </c>
      <c r="B1357" t="inlineStr">
        <is>
          <t>A-5059__62</t>
        </is>
      </c>
      <c r="C1357" s="1" t="n">
        <v>37.2244087376</v>
      </c>
      <c r="D1357" s="1" t="n">
        <v>-7.05673469444</v>
      </c>
      <c r="E1357" s="3" t="n">
        <v>3</v>
      </c>
      <c r="F1357" s="2" t="n">
        <v>2</v>
      </c>
      <c r="G1357" s="4" t="n">
        <v>2</v>
      </c>
      <c r="H1357" s="13" t="n"/>
      <c r="I1357" s="15" t="n"/>
      <c r="J1357" s="19" t="n">
        <v>2</v>
      </c>
      <c r="K1357" s="2" t="inlineStr">
        <is>
          <t>marker_370_378926.png</t>
        </is>
      </c>
      <c r="L1357" s="11">
        <f>HYPERLINK("2\1\" &amp; K1357, "Ver Imagen")</f>
        <v/>
      </c>
      <c r="M1357" t="inlineStr">
        <is>
          <t>Moda</t>
        </is>
      </c>
    </row>
    <row r="1358">
      <c r="A1358" t="n">
        <v>1357</v>
      </c>
      <c r="B1358" t="inlineStr">
        <is>
          <t>A-5059__61</t>
        </is>
      </c>
      <c r="C1358" s="1" t="n">
        <v>37.224546288</v>
      </c>
      <c r="D1358" s="1" t="n">
        <v>-7.05694829069</v>
      </c>
      <c r="E1358" s="3" t="n">
        <v>3</v>
      </c>
      <c r="F1358" s="2" t="n">
        <v>2</v>
      </c>
      <c r="G1358" s="4" t="n">
        <v>2</v>
      </c>
      <c r="H1358" s="13" t="n"/>
      <c r="I1358" s="15" t="n"/>
      <c r="J1358" s="19" t="n">
        <v>2</v>
      </c>
      <c r="K1358" s="2" t="inlineStr">
        <is>
          <t>marker_455_378936.png</t>
        </is>
      </c>
      <c r="L1358" s="11">
        <f>HYPERLINK("2\1\" &amp; K1358, "Ver Imagen")</f>
        <v/>
      </c>
      <c r="M1358" t="inlineStr">
        <is>
          <t>Moda</t>
        </is>
      </c>
    </row>
    <row r="1359">
      <c r="A1359" t="n">
        <v>1358</v>
      </c>
      <c r="B1359" t="inlineStr">
        <is>
          <t>A-5059__60</t>
        </is>
      </c>
      <c r="C1359" s="1" t="n">
        <v>37.2246678427</v>
      </c>
      <c r="D1359" s="1" t="n">
        <v>-7.05714886582</v>
      </c>
      <c r="E1359" s="3" t="n">
        <v>3</v>
      </c>
      <c r="F1359" s="2" t="n">
        <v>2</v>
      </c>
      <c r="G1359" s="4" t="n">
        <v>2</v>
      </c>
      <c r="H1359" s="13" t="n"/>
      <c r="I1359" s="15" t="n"/>
      <c r="J1359" s="19" t="n">
        <v>2</v>
      </c>
      <c r="K1359" s="2" t="inlineStr">
        <is>
          <t>marker_270_378945.png</t>
        </is>
      </c>
      <c r="L1359" s="11">
        <f>HYPERLINK("2\1\" &amp; K1359, "Ver Imagen")</f>
        <v/>
      </c>
      <c r="M1359" t="inlineStr">
        <is>
          <t>Moda</t>
        </is>
      </c>
    </row>
    <row r="1360">
      <c r="A1360" t="n">
        <v>1359</v>
      </c>
      <c r="B1360" t="inlineStr">
        <is>
          <t>A-5059__55</t>
        </is>
      </c>
      <c r="C1360" s="1" t="n">
        <v>37.2252759535</v>
      </c>
      <c r="D1360" s="1" t="n">
        <v>-7.05817316965</v>
      </c>
      <c r="E1360" s="3" t="n">
        <v>3</v>
      </c>
      <c r="F1360" s="2" t="n">
        <v>2</v>
      </c>
      <c r="G1360" s="4" t="n">
        <v>2</v>
      </c>
      <c r="H1360" s="13" t="n"/>
      <c r="I1360" s="15" t="n"/>
      <c r="J1360" s="19" t="n">
        <v>2</v>
      </c>
      <c r="K1360" s="2" t="inlineStr">
        <is>
          <t>marker_404_379033.png</t>
        </is>
      </c>
      <c r="L1360" s="11">
        <f>HYPERLINK("2\1\" &amp; K1360, "Ver Imagen")</f>
        <v/>
      </c>
      <c r="M1360" t="inlineStr">
        <is>
          <t>Moda</t>
        </is>
      </c>
    </row>
    <row r="1361">
      <c r="A1361" t="n">
        <v>1360</v>
      </c>
      <c r="B1361" t="inlineStr">
        <is>
          <t>A-5059__50</t>
        </is>
      </c>
      <c r="C1361" s="1" t="n">
        <v>37.2258797395</v>
      </c>
      <c r="D1361" s="1" t="n">
        <v>-7.05919564853</v>
      </c>
      <c r="E1361" s="3" t="n">
        <v>3</v>
      </c>
      <c r="F1361" s="2" t="n">
        <v>2</v>
      </c>
      <c r="G1361" s="4" t="n">
        <v>2</v>
      </c>
      <c r="H1361" s="13" t="n"/>
      <c r="I1361" s="15" t="n"/>
      <c r="J1361" s="19" t="n">
        <v>2</v>
      </c>
      <c r="K1361" s="2" t="inlineStr">
        <is>
          <t>marker_387_379093.png</t>
        </is>
      </c>
      <c r="L1361" s="11">
        <f>HYPERLINK("2\1\" &amp; K1361, "Ver Imagen")</f>
        <v/>
      </c>
      <c r="M1361" t="inlineStr">
        <is>
          <t>Moda</t>
        </is>
      </c>
    </row>
    <row r="1362">
      <c r="A1362" t="n">
        <v>1361</v>
      </c>
      <c r="B1362" t="inlineStr">
        <is>
          <t>A-5059__49</t>
        </is>
      </c>
      <c r="C1362" s="1" t="n">
        <v>37.2260093071</v>
      </c>
      <c r="D1362" s="1" t="n">
        <v>-7.05941492358</v>
      </c>
      <c r="E1362" s="3" t="n">
        <v>3</v>
      </c>
      <c r="F1362" s="2" t="n">
        <v>2</v>
      </c>
      <c r="G1362" s="4" t="n">
        <v>2</v>
      </c>
      <c r="H1362" s="13" t="n"/>
      <c r="I1362" s="15" t="n"/>
      <c r="J1362" s="19" t="n">
        <v>2</v>
      </c>
      <c r="K1362" s="2" t="inlineStr">
        <is>
          <t>marker_700_379104.png</t>
        </is>
      </c>
      <c r="L1362" s="11">
        <f>HYPERLINK("2\1\" &amp; K1362, "Ver Imagen")</f>
        <v/>
      </c>
      <c r="M1362" t="inlineStr">
        <is>
          <t>Moda</t>
        </is>
      </c>
    </row>
    <row r="1363">
      <c r="A1363" t="n">
        <v>1362</v>
      </c>
      <c r="B1363" t="inlineStr">
        <is>
          <t>A-5059__46</t>
        </is>
      </c>
      <c r="C1363" s="1" t="n">
        <v>37.2263609237</v>
      </c>
      <c r="D1363" s="1" t="n">
        <v>-7.06001298241</v>
      </c>
      <c r="E1363" s="3" t="n">
        <v>3</v>
      </c>
      <c r="F1363" s="2" t="n">
        <v>2</v>
      </c>
      <c r="G1363" s="4" t="n">
        <v>2</v>
      </c>
      <c r="H1363" s="13" t="n"/>
      <c r="I1363" s="15" t="n"/>
      <c r="J1363" s="19" t="n">
        <v>2</v>
      </c>
      <c r="K1363" s="2" t="inlineStr">
        <is>
          <t>marker_825_379133.png</t>
        </is>
      </c>
      <c r="L1363" s="11">
        <f>HYPERLINK("2\1\" &amp; K1363, "Ver Imagen")</f>
        <v/>
      </c>
      <c r="M1363" t="inlineStr">
        <is>
          <t>Moda</t>
        </is>
      </c>
    </row>
    <row r="1364">
      <c r="A1364" t="n">
        <v>1363</v>
      </c>
      <c r="B1364" t="inlineStr">
        <is>
          <t>A-495__132</t>
        </is>
      </c>
      <c r="C1364" s="1" t="n">
        <v>37.4350304117</v>
      </c>
      <c r="D1364" s="1" t="n">
        <v>-7.07002983722</v>
      </c>
      <c r="E1364" s="3" t="n">
        <v>2</v>
      </c>
      <c r="F1364" s="2" t="n">
        <v>2</v>
      </c>
      <c r="G1364" s="4" t="n">
        <v>1</v>
      </c>
      <c r="H1364" s="13" t="n"/>
      <c r="I1364" s="15" t="n"/>
      <c r="J1364" s="19" t="n">
        <v>2</v>
      </c>
      <c r="K1364" s="2" t="inlineStr">
        <is>
          <t>marker_764_382496.png</t>
        </is>
      </c>
      <c r="L1364" s="11">
        <f>HYPERLINK("2\1\" &amp; K1364, "Ver Imagen")</f>
        <v/>
      </c>
      <c r="M1364" t="inlineStr">
        <is>
          <t>Moda</t>
        </is>
      </c>
    </row>
    <row r="1365">
      <c r="A1365" t="n">
        <v>1364</v>
      </c>
      <c r="B1365" t="inlineStr">
        <is>
          <t>A-5059__45</t>
        </is>
      </c>
      <c r="C1365" s="1" t="n">
        <v>37.2264856907</v>
      </c>
      <c r="D1365" s="1" t="n">
        <v>-7.06020976818</v>
      </c>
      <c r="E1365" s="3" t="n">
        <v>3</v>
      </c>
      <c r="F1365" s="2" t="n">
        <v>2</v>
      </c>
      <c r="G1365" s="4" t="n">
        <v>2</v>
      </c>
      <c r="H1365" s="13" t="n"/>
      <c r="I1365" s="15" t="n"/>
      <c r="J1365" s="19" t="n">
        <v>2</v>
      </c>
      <c r="K1365" s="2" t="inlineStr">
        <is>
          <t>marker_437_379142.png</t>
        </is>
      </c>
      <c r="L1365" s="11">
        <f>HYPERLINK("2\1\" &amp; K1365, "Ver Imagen")</f>
        <v/>
      </c>
      <c r="M1365" t="inlineStr">
        <is>
          <t>Moda</t>
        </is>
      </c>
    </row>
    <row r="1366">
      <c r="A1366" t="n">
        <v>1365</v>
      </c>
      <c r="B1366" t="inlineStr">
        <is>
          <t>A-495__135</t>
        </is>
      </c>
      <c r="C1366" s="1" t="n">
        <v>37.4348220047</v>
      </c>
      <c r="D1366" s="1" t="n">
        <v>-7.06923952271</v>
      </c>
      <c r="E1366" s="3" t="n">
        <v>2</v>
      </c>
      <c r="F1366" s="2" t="n">
        <v>2</v>
      </c>
      <c r="G1366" s="4" t="n">
        <v>1</v>
      </c>
      <c r="H1366" s="13" t="n"/>
      <c r="I1366" s="15" t="n"/>
      <c r="J1366" s="19" t="n">
        <v>2</v>
      </c>
      <c r="K1366" s="2" t="inlineStr">
        <is>
          <t>marker_230_382530.png</t>
        </is>
      </c>
      <c r="L1366" s="11">
        <f>HYPERLINK("2\1\" &amp; K1366, "Ver Imagen")</f>
        <v/>
      </c>
      <c r="M1366" t="inlineStr">
        <is>
          <t>Moda</t>
        </is>
      </c>
    </row>
    <row r="1367">
      <c r="A1367" t="n">
        <v>1366</v>
      </c>
      <c r="B1367" t="inlineStr">
        <is>
          <t>A-5059__42</t>
        </is>
      </c>
      <c r="C1367" s="1" t="n">
        <v>37.2269458972</v>
      </c>
      <c r="D1367" s="1" t="n">
        <v>-7.06067995811</v>
      </c>
      <c r="E1367" s="3" t="n">
        <v>3</v>
      </c>
      <c r="F1367" s="2" t="n">
        <v>2</v>
      </c>
      <c r="G1367" s="4" t="n">
        <v>2</v>
      </c>
      <c r="H1367" s="13" t="n"/>
      <c r="I1367" s="15" t="n"/>
      <c r="J1367" s="19" t="n">
        <v>2</v>
      </c>
      <c r="K1367" s="2" t="inlineStr">
        <is>
          <t>marker_134_379276.png</t>
        </is>
      </c>
      <c r="L1367" s="11">
        <f>HYPERLINK("2\1\" &amp; K1367, "Ver Imagen")</f>
        <v/>
      </c>
      <c r="M1367" t="inlineStr">
        <is>
          <t>Moda</t>
        </is>
      </c>
    </row>
    <row r="1368">
      <c r="A1368" t="n">
        <v>1367</v>
      </c>
      <c r="B1368" t="inlineStr">
        <is>
          <t>A-495__137</t>
        </is>
      </c>
      <c r="C1368" s="1" t="n">
        <v>37.4346801251</v>
      </c>
      <c r="D1368" s="1" t="n">
        <v>-7.06880530049</v>
      </c>
      <c r="E1368" s="3" t="n">
        <v>2</v>
      </c>
      <c r="F1368" s="2" t="n">
        <v>3</v>
      </c>
      <c r="G1368" s="4" t="n">
        <v>2</v>
      </c>
      <c r="H1368" s="13" t="n"/>
      <c r="I1368" s="15" t="n"/>
      <c r="J1368" s="19" t="n">
        <v>2</v>
      </c>
      <c r="K1368" s="2" t="inlineStr">
        <is>
          <t>marker_812_382552.png</t>
        </is>
      </c>
      <c r="L1368" s="11">
        <f>HYPERLINK("2\1\" &amp; K1368, "Ver Imagen")</f>
        <v/>
      </c>
      <c r="M1368" t="inlineStr">
        <is>
          <t>Moda</t>
        </is>
      </c>
    </row>
    <row r="1369">
      <c r="A1369" t="n">
        <v>1368</v>
      </c>
      <c r="B1369" t="inlineStr">
        <is>
          <t>A-495__138</t>
        </is>
      </c>
      <c r="C1369" s="1" t="n">
        <v>37.4345963186</v>
      </c>
      <c r="D1369" s="1" t="n">
        <v>-7.06857826563</v>
      </c>
      <c r="E1369" s="3" t="n">
        <v>2</v>
      </c>
      <c r="F1369" s="2" t="n">
        <v>3</v>
      </c>
      <c r="G1369" s="4" t="n">
        <v>2</v>
      </c>
      <c r="H1369" s="13" t="n"/>
      <c r="I1369" s="15" t="n"/>
      <c r="J1369" s="19" t="n">
        <v>2</v>
      </c>
      <c r="K1369" s="2" t="inlineStr">
        <is>
          <t>marker_270_382561.png</t>
        </is>
      </c>
      <c r="L1369" s="11">
        <f>HYPERLINK("2\1\" &amp; K1369, "Ver Imagen")</f>
        <v/>
      </c>
      <c r="M1369" t="inlineStr">
        <is>
          <t>Moda</t>
        </is>
      </c>
    </row>
    <row r="1370">
      <c r="A1370" t="n">
        <v>1369</v>
      </c>
      <c r="B1370" t="inlineStr">
        <is>
          <t>A-5059__35</t>
        </is>
      </c>
      <c r="C1370" s="1" t="n">
        <v>37.2282019669</v>
      </c>
      <c r="D1370" s="1" t="n">
        <v>-7.06145509576</v>
      </c>
      <c r="E1370" s="3" t="n">
        <v>3</v>
      </c>
      <c r="F1370" s="2" t="n">
        <v>2</v>
      </c>
      <c r="G1370" s="4" t="n">
        <v>2</v>
      </c>
      <c r="H1370" s="13" t="n"/>
      <c r="I1370" s="15" t="n"/>
      <c r="J1370" s="19" t="n">
        <v>2</v>
      </c>
      <c r="K1370" s="2" t="inlineStr">
        <is>
          <t>marker_533_379357.png</t>
        </is>
      </c>
      <c r="L1370" s="11">
        <f>HYPERLINK("2\1\" &amp; K1370, "Ver Imagen")</f>
        <v/>
      </c>
      <c r="M1370" t="inlineStr">
        <is>
          <t>Moda</t>
        </is>
      </c>
    </row>
    <row r="1371">
      <c r="A1371" t="n">
        <v>1370</v>
      </c>
      <c r="B1371" t="inlineStr">
        <is>
          <t>A-5059__34</t>
        </is>
      </c>
      <c r="C1371" s="1" t="n">
        <v>37.2283523361</v>
      </c>
      <c r="D1371" s="1" t="n">
        <v>-7.0616245992</v>
      </c>
      <c r="E1371" s="3" t="n">
        <v>2</v>
      </c>
      <c r="F1371" s="2" t="n">
        <v>3</v>
      </c>
      <c r="G1371" s="4" t="n">
        <v>2</v>
      </c>
      <c r="H1371" s="13" t="n"/>
      <c r="I1371" s="15" t="n"/>
      <c r="J1371" s="19" t="n">
        <v>2</v>
      </c>
      <c r="K1371" s="2" t="inlineStr">
        <is>
          <t>marker_834_379368.png</t>
        </is>
      </c>
      <c r="L1371" s="11">
        <f>HYPERLINK("2\1\" &amp; K1371, "Ver Imagen")</f>
        <v/>
      </c>
      <c r="M1371" t="inlineStr">
        <is>
          <t>Moda</t>
        </is>
      </c>
    </row>
    <row r="1372">
      <c r="A1372" t="n">
        <v>1371</v>
      </c>
      <c r="B1372" t="inlineStr">
        <is>
          <t>A-5059__33</t>
        </is>
      </c>
      <c r="C1372" s="1" t="n">
        <v>37.2284986842</v>
      </c>
      <c r="D1372" s="1" t="n">
        <v>-7.06180088961</v>
      </c>
      <c r="E1372" s="3" t="n">
        <v>2</v>
      </c>
      <c r="F1372" s="2" t="n">
        <v>3</v>
      </c>
      <c r="G1372" s="4" t="n">
        <v>2</v>
      </c>
      <c r="H1372" s="13" t="n"/>
      <c r="I1372" s="15" t="n"/>
      <c r="J1372" s="19" t="n">
        <v>2</v>
      </c>
      <c r="K1372" s="2" t="inlineStr">
        <is>
          <t>marker_403_379377.png</t>
        </is>
      </c>
      <c r="L1372" s="11">
        <f>HYPERLINK("2\1\" &amp; K1372, "Ver Imagen")</f>
        <v/>
      </c>
      <c r="M1372" t="inlineStr">
        <is>
          <t>Moda</t>
        </is>
      </c>
    </row>
    <row r="1373">
      <c r="A1373" t="n">
        <v>1372</v>
      </c>
      <c r="B1373" t="inlineStr">
        <is>
          <t>A-5059__20</t>
        </is>
      </c>
      <c r="C1373" s="1" t="n">
        <v>37.2307104064</v>
      </c>
      <c r="D1373" s="1" t="n">
        <v>-7.06339943606</v>
      </c>
      <c r="E1373" s="3" t="n">
        <v>3</v>
      </c>
      <c r="F1373" s="2" t="n">
        <v>2</v>
      </c>
      <c r="G1373" s="4" t="n">
        <v>2</v>
      </c>
      <c r="H1373" s="13" t="n"/>
      <c r="I1373" s="15" t="n"/>
      <c r="J1373" s="19" t="n">
        <v>2</v>
      </c>
      <c r="K1373" s="2" t="inlineStr">
        <is>
          <t>marker_594_379491.png</t>
        </is>
      </c>
      <c r="L1373" s="11">
        <f>HYPERLINK("2\1\" &amp; K1373, "Ver Imagen")</f>
        <v/>
      </c>
      <c r="M1373" t="inlineStr">
        <is>
          <t>Moda</t>
        </is>
      </c>
    </row>
    <row r="1374">
      <c r="A1374" t="n">
        <v>1373</v>
      </c>
      <c r="B1374" t="inlineStr">
        <is>
          <t>A-5059__17</t>
        </is>
      </c>
      <c r="C1374" s="1" t="n">
        <v>37.2313029697</v>
      </c>
      <c r="D1374" s="1" t="n">
        <v>-7.06357155254</v>
      </c>
      <c r="E1374" s="3" t="n">
        <v>3</v>
      </c>
      <c r="F1374" s="2" t="n">
        <v>2</v>
      </c>
      <c r="G1374" s="4" t="n">
        <v>2</v>
      </c>
      <c r="H1374" s="13" t="n"/>
      <c r="I1374" s="15" t="n"/>
      <c r="J1374" s="19" t="n">
        <v>2</v>
      </c>
      <c r="K1374" s="2" t="inlineStr">
        <is>
          <t>marker_536_379517.png</t>
        </is>
      </c>
      <c r="L1374" s="11">
        <f>HYPERLINK("2\1\" &amp; K1374, "Ver Imagen")</f>
        <v/>
      </c>
      <c r="M1374" t="inlineStr">
        <is>
          <t>Moda</t>
        </is>
      </c>
    </row>
    <row r="1375">
      <c r="A1375" t="n">
        <v>1374</v>
      </c>
      <c r="B1375" t="inlineStr">
        <is>
          <t>A-5059__9</t>
        </is>
      </c>
      <c r="C1375" s="1" t="n">
        <v>37.2325258419</v>
      </c>
      <c r="D1375" s="1" t="n">
        <v>-7.06483163592</v>
      </c>
      <c r="E1375" s="3" t="n">
        <v>3</v>
      </c>
      <c r="F1375" s="2" t="n">
        <v>2</v>
      </c>
      <c r="G1375" s="4" t="n">
        <v>2</v>
      </c>
      <c r="H1375" s="13" t="n"/>
      <c r="I1375" s="15" t="n"/>
      <c r="J1375" s="19" t="n">
        <v>2</v>
      </c>
      <c r="K1375" s="2" t="inlineStr">
        <is>
          <t>marker_189_379590.png</t>
        </is>
      </c>
      <c r="L1375" s="11">
        <f>HYPERLINK("2\1\" &amp; K1375, "Ver Imagen")</f>
        <v/>
      </c>
      <c r="M1375" t="inlineStr">
        <is>
          <t>Moda</t>
        </is>
      </c>
    </row>
    <row r="1376">
      <c r="A1376" t="n">
        <v>1375</v>
      </c>
      <c r="B1376" t="inlineStr">
        <is>
          <t>A-5059__8</t>
        </is>
      </c>
      <c r="C1376" s="1" t="n">
        <v>37.2326511879</v>
      </c>
      <c r="D1376" s="1" t="n">
        <v>-7.06507282112</v>
      </c>
      <c r="E1376" s="3" t="n">
        <v>3</v>
      </c>
      <c r="F1376" s="2" t="n">
        <v>2</v>
      </c>
      <c r="G1376" s="4" t="n">
        <v>2</v>
      </c>
      <c r="H1376" s="13" t="n"/>
      <c r="I1376" s="15" t="n"/>
      <c r="J1376" s="19" t="n">
        <v>2</v>
      </c>
      <c r="K1376" s="2" t="inlineStr">
        <is>
          <t>marker_381_379599.png</t>
        </is>
      </c>
      <c r="L1376" s="11">
        <f>HYPERLINK("2\1\" &amp; K1376, "Ver Imagen")</f>
        <v/>
      </c>
      <c r="M1376" t="inlineStr">
        <is>
          <t>Moda</t>
        </is>
      </c>
    </row>
    <row r="1377">
      <c r="A1377" t="n">
        <v>1376</v>
      </c>
      <c r="B1377" t="inlineStr">
        <is>
          <t>A-5059__2</t>
        </is>
      </c>
      <c r="C1377" s="1" t="n">
        <v>37.2334299025</v>
      </c>
      <c r="D1377" s="1" t="n">
        <v>-7.06615457077</v>
      </c>
      <c r="E1377" s="3" t="n">
        <v>2</v>
      </c>
      <c r="F1377" s="2" t="n">
        <v>1</v>
      </c>
      <c r="G1377" s="4" t="n">
        <v>2</v>
      </c>
      <c r="H1377" s="13" t="n"/>
      <c r="I1377" s="15" t="n"/>
      <c r="J1377" s="19" t="n">
        <v>2</v>
      </c>
      <c r="K1377" s="2" t="inlineStr">
        <is>
          <t>marker_568_379656.png</t>
        </is>
      </c>
      <c r="L1377" s="11">
        <f>HYPERLINK("2\1\" &amp; K1377, "Ver Imagen")</f>
        <v/>
      </c>
      <c r="M1377" t="inlineStr">
        <is>
          <t>Moda</t>
        </is>
      </c>
    </row>
    <row r="1378">
      <c r="A1378" t="n">
        <v>1377</v>
      </c>
      <c r="B1378" t="inlineStr">
        <is>
          <t>A-5058__3</t>
        </is>
      </c>
      <c r="C1378" s="1" t="n">
        <v>37.2252612508</v>
      </c>
      <c r="D1378" s="1" t="n">
        <v>-7.02801116108</v>
      </c>
      <c r="E1378" s="3" t="n">
        <v>3</v>
      </c>
      <c r="F1378" s="2" t="n">
        <v>2</v>
      </c>
      <c r="G1378" s="4" t="n">
        <v>2</v>
      </c>
      <c r="H1378" s="13" t="n"/>
      <c r="I1378" s="15" t="n"/>
      <c r="J1378" s="19" t="n">
        <v>2</v>
      </c>
      <c r="K1378" s="2" t="inlineStr">
        <is>
          <t>marker_766_379809.png</t>
        </is>
      </c>
      <c r="L1378" s="11">
        <f>HYPERLINK("2\1\" &amp; K1378, "Ver Imagen")</f>
        <v/>
      </c>
      <c r="M1378" t="inlineStr">
        <is>
          <t>Moda</t>
        </is>
      </c>
    </row>
    <row r="1379">
      <c r="A1379" t="n">
        <v>1378</v>
      </c>
      <c r="B1379" t="inlineStr">
        <is>
          <t>A-5058__4</t>
        </is>
      </c>
      <c r="C1379" s="1" t="n">
        <v>37.2252775646</v>
      </c>
      <c r="D1379" s="1" t="n">
        <v>-7.02828286863</v>
      </c>
      <c r="E1379" s="3" t="n">
        <v>2</v>
      </c>
      <c r="F1379" s="2" t="n">
        <v>3</v>
      </c>
      <c r="G1379" s="4" t="n">
        <v>2</v>
      </c>
      <c r="H1379" s="13" t="n"/>
      <c r="I1379" s="15" t="n"/>
      <c r="J1379" s="19" t="n">
        <v>2</v>
      </c>
      <c r="K1379" s="2" t="inlineStr">
        <is>
          <t>marker_226_379839.png</t>
        </is>
      </c>
      <c r="L1379" s="11">
        <f>HYPERLINK("2\1\" &amp; K1379, "Ver Imagen")</f>
        <v/>
      </c>
      <c r="M1379" t="inlineStr">
        <is>
          <t>Moda</t>
        </is>
      </c>
    </row>
    <row r="1380">
      <c r="A1380" t="n">
        <v>1379</v>
      </c>
      <c r="B1380" t="inlineStr">
        <is>
          <t>A-495__161</t>
        </is>
      </c>
      <c r="C1380" s="1" t="n">
        <v>37.432322809</v>
      </c>
      <c r="D1380" s="1" t="n">
        <v>-7.0635568948</v>
      </c>
      <c r="E1380" s="3" t="n">
        <v>2</v>
      </c>
      <c r="F1380" s="2" t="n">
        <v>3</v>
      </c>
      <c r="G1380" s="4" t="n">
        <v>2</v>
      </c>
      <c r="H1380" s="13" t="n"/>
      <c r="I1380" s="15" t="n"/>
      <c r="J1380" s="19" t="n">
        <v>2</v>
      </c>
      <c r="K1380" s="2" t="inlineStr">
        <is>
          <t>marker_547_382811.png</t>
        </is>
      </c>
      <c r="L1380" s="11">
        <f>HYPERLINK("2\1\" &amp; K1380, "Ver Imagen")</f>
        <v/>
      </c>
      <c r="M1380" t="inlineStr">
        <is>
          <t>Moda</t>
        </is>
      </c>
    </row>
    <row r="1381">
      <c r="A1381" t="n">
        <v>1380</v>
      </c>
      <c r="B1381" t="inlineStr">
        <is>
          <t>A-5058__8</t>
        </is>
      </c>
      <c r="C1381" s="1" t="n">
        <v>37.2253330518</v>
      </c>
      <c r="D1381" s="1" t="n">
        <v>-7.02928561729</v>
      </c>
      <c r="E1381" s="3" t="n">
        <v>2</v>
      </c>
      <c r="F1381" s="2" t="n">
        <v>2</v>
      </c>
      <c r="G1381" s="4" t="n">
        <v>3</v>
      </c>
      <c r="H1381" s="13" t="n"/>
      <c r="I1381" s="15" t="n"/>
      <c r="J1381" s="19" t="n">
        <v>2</v>
      </c>
      <c r="K1381" s="2" t="inlineStr">
        <is>
          <t>marker_138_379891.png</t>
        </is>
      </c>
      <c r="L1381" s="11">
        <f>HYPERLINK("2\1\" &amp; K1381, "Ver Imagen")</f>
        <v/>
      </c>
      <c r="M1381" t="inlineStr">
        <is>
          <t>Moda</t>
        </is>
      </c>
    </row>
    <row r="1382">
      <c r="A1382" t="n">
        <v>1381</v>
      </c>
      <c r="B1382" t="inlineStr">
        <is>
          <t>A-5058__13</t>
        </is>
      </c>
      <c r="C1382" s="1" t="n">
        <v>37.2253356262</v>
      </c>
      <c r="D1382" s="1" t="n">
        <v>-7.03056473897</v>
      </c>
      <c r="E1382" s="3" t="n">
        <v>2</v>
      </c>
      <c r="F1382" s="2" t="n">
        <v>1</v>
      </c>
      <c r="G1382" s="4" t="n">
        <v>2</v>
      </c>
      <c r="H1382" s="13" t="n"/>
      <c r="I1382" s="15" t="n"/>
      <c r="J1382" s="19" t="n">
        <v>2</v>
      </c>
      <c r="K1382" s="2" t="inlineStr">
        <is>
          <t>marker_159_379935.png</t>
        </is>
      </c>
      <c r="L1382" s="11">
        <f>HYPERLINK("2\1\" &amp; K1382, "Ver Imagen")</f>
        <v/>
      </c>
      <c r="M1382" t="inlineStr">
        <is>
          <t>Moda</t>
        </is>
      </c>
    </row>
    <row r="1383">
      <c r="A1383" t="n">
        <v>1382</v>
      </c>
      <c r="B1383" t="inlineStr">
        <is>
          <t>A-495__162</t>
        </is>
      </c>
      <c r="C1383" s="1" t="n">
        <v>37.4322078252</v>
      </c>
      <c r="D1383" s="1" t="n">
        <v>-7.06330903446</v>
      </c>
      <c r="E1383" s="3" t="n">
        <v>2</v>
      </c>
      <c r="F1383" s="2" t="n">
        <v>3</v>
      </c>
      <c r="G1383" s="4" t="n">
        <v>2</v>
      </c>
      <c r="H1383" s="13" t="n"/>
      <c r="I1383" s="15" t="n"/>
      <c r="J1383" s="19" t="n">
        <v>2</v>
      </c>
      <c r="K1383" s="2" t="inlineStr">
        <is>
          <t>marker_890_382819.png</t>
        </is>
      </c>
      <c r="L1383" s="11">
        <f>HYPERLINK("2\1\" &amp; K1383, "Ver Imagen")</f>
        <v/>
      </c>
      <c r="M1383" t="inlineStr">
        <is>
          <t>Moda</t>
        </is>
      </c>
    </row>
    <row r="1384">
      <c r="A1384" t="n">
        <v>1383</v>
      </c>
      <c r="B1384" t="inlineStr">
        <is>
          <t>A-5058__14</t>
        </is>
      </c>
      <c r="C1384" s="1" t="n">
        <v>37.2253189316</v>
      </c>
      <c r="D1384" s="1" t="n">
        <v>-7.03080410133</v>
      </c>
      <c r="E1384" s="3" t="n">
        <v>3</v>
      </c>
      <c r="F1384" s="2" t="n">
        <v>2</v>
      </c>
      <c r="G1384" s="4" t="n">
        <v>2</v>
      </c>
      <c r="H1384" s="13" t="n"/>
      <c r="I1384" s="15" t="n"/>
      <c r="J1384" s="19" t="n">
        <v>2</v>
      </c>
      <c r="K1384" s="2" t="inlineStr">
        <is>
          <t>marker_761_379945.png</t>
        </is>
      </c>
      <c r="L1384" s="11">
        <f>HYPERLINK("2\1\" &amp; K1384, "Ver Imagen")</f>
        <v/>
      </c>
      <c r="M1384" t="inlineStr">
        <is>
          <t>Moda</t>
        </is>
      </c>
    </row>
    <row r="1385">
      <c r="A1385" t="n">
        <v>1384</v>
      </c>
      <c r="B1385" t="inlineStr">
        <is>
          <t>A-5058__22</t>
        </is>
      </c>
      <c r="C1385" s="1" t="n">
        <v>37.225104674</v>
      </c>
      <c r="D1385" s="1" t="n">
        <v>-7.03279515955</v>
      </c>
      <c r="E1385" s="3" t="n">
        <v>2</v>
      </c>
      <c r="F1385" s="2" t="n">
        <v>3</v>
      </c>
      <c r="G1385" s="4" t="n">
        <v>2</v>
      </c>
      <c r="H1385" s="13" t="n"/>
      <c r="I1385" s="15" t="n"/>
      <c r="J1385" s="19" t="n">
        <v>2</v>
      </c>
      <c r="K1385" s="2" t="inlineStr">
        <is>
          <t>marker_810_380096.png</t>
        </is>
      </c>
      <c r="L1385" s="11">
        <f>HYPERLINK("2\1\" &amp; K1385, "Ver Imagen")</f>
        <v/>
      </c>
      <c r="M1385" t="inlineStr">
        <is>
          <t>Moda</t>
        </is>
      </c>
    </row>
    <row r="1386">
      <c r="A1386" t="n">
        <v>1385</v>
      </c>
      <c r="B1386" t="inlineStr">
        <is>
          <t>A-495__164</t>
        </is>
      </c>
      <c r="C1386" s="1" t="n">
        <v>37.4320009793</v>
      </c>
      <c r="D1386" s="1" t="n">
        <v>-7.06285799618</v>
      </c>
      <c r="E1386" s="3" t="n">
        <v>2</v>
      </c>
      <c r="F1386" s="2" t="n">
        <v>2</v>
      </c>
      <c r="G1386" s="4" t="n">
        <v>3</v>
      </c>
      <c r="H1386" s="13" t="n"/>
      <c r="I1386" s="15" t="n"/>
      <c r="J1386" s="19" t="n">
        <v>2</v>
      </c>
      <c r="K1386" s="2" t="inlineStr">
        <is>
          <t>marker_165_382854.png</t>
        </is>
      </c>
      <c r="L1386" s="11">
        <f>HYPERLINK("2\1\" &amp; K1386, "Ver Imagen")</f>
        <v/>
      </c>
      <c r="M1386" t="inlineStr">
        <is>
          <t>Moda</t>
        </is>
      </c>
    </row>
    <row r="1387">
      <c r="A1387" t="n">
        <v>1386</v>
      </c>
      <c r="B1387" t="inlineStr">
        <is>
          <t>A-495__166</t>
        </is>
      </c>
      <c r="C1387" s="1" t="n">
        <v>37.4318020921</v>
      </c>
      <c r="D1387" s="1" t="n">
        <v>-7.06242465546</v>
      </c>
      <c r="E1387" s="3" t="n">
        <v>2</v>
      </c>
      <c r="F1387" s="2" t="n">
        <v>3</v>
      </c>
      <c r="G1387" s="4" t="n">
        <v>2</v>
      </c>
      <c r="H1387" s="13" t="n"/>
      <c r="I1387" s="15" t="n"/>
      <c r="J1387" s="19" t="n">
        <v>2</v>
      </c>
      <c r="K1387" s="2" t="inlineStr">
        <is>
          <t>marker_554_382873.png</t>
        </is>
      </c>
      <c r="L1387" s="11">
        <f>HYPERLINK("2\1\" &amp; K1387, "Ver Imagen")</f>
        <v/>
      </c>
      <c r="M1387" t="inlineStr">
        <is>
          <t>Moda</t>
        </is>
      </c>
    </row>
    <row r="1388">
      <c r="A1388" t="n">
        <v>1387</v>
      </c>
      <c r="B1388" t="inlineStr">
        <is>
          <t>A-495__168</t>
        </is>
      </c>
      <c r="C1388" s="1" t="n">
        <v>37.4315916053</v>
      </c>
      <c r="D1388" s="1" t="n">
        <v>-7.06196967381</v>
      </c>
      <c r="E1388" s="3" t="n">
        <v>2</v>
      </c>
      <c r="F1388" s="2" t="n">
        <v>2</v>
      </c>
      <c r="G1388" s="4" t="n">
        <v>3</v>
      </c>
      <c r="H1388" s="13" t="n"/>
      <c r="I1388" s="15" t="n"/>
      <c r="J1388" s="19" t="n">
        <v>2</v>
      </c>
      <c r="K1388" s="2" t="inlineStr">
        <is>
          <t>marker_726_382893.png</t>
        </is>
      </c>
      <c r="L1388" s="11">
        <f>HYPERLINK("2\1\" &amp; K1388, "Ver Imagen")</f>
        <v/>
      </c>
      <c r="M1388" t="inlineStr">
        <is>
          <t>Moda</t>
        </is>
      </c>
    </row>
    <row r="1389">
      <c r="A1389" t="n">
        <v>1388</v>
      </c>
      <c r="B1389" t="inlineStr">
        <is>
          <t>A-5058__44</t>
        </is>
      </c>
      <c r="C1389" s="1" t="n">
        <v>37.2246494848</v>
      </c>
      <c r="D1389" s="1" t="n">
        <v>-7.03799783172</v>
      </c>
      <c r="E1389" s="3" t="n">
        <v>2</v>
      </c>
      <c r="F1389" s="2" t="n">
        <v>3</v>
      </c>
      <c r="G1389" s="4" t="n">
        <v>2</v>
      </c>
      <c r="H1389" s="13" t="n"/>
      <c r="I1389" s="15" t="n"/>
      <c r="J1389" s="19" t="n">
        <v>2</v>
      </c>
      <c r="K1389" s="2" t="inlineStr">
        <is>
          <t>marker_303_380461.png</t>
        </is>
      </c>
      <c r="L1389" s="11">
        <f>HYPERLINK("2\1\" &amp; K1389, "Ver Imagen")</f>
        <v/>
      </c>
      <c r="M1389" t="inlineStr">
        <is>
          <t>Moda</t>
        </is>
      </c>
    </row>
    <row r="1390">
      <c r="A1390" t="n">
        <v>1389</v>
      </c>
      <c r="B1390" t="inlineStr">
        <is>
          <t>A-5058__49</t>
        </is>
      </c>
      <c r="C1390" s="1" t="n">
        <v>37.2248009468</v>
      </c>
      <c r="D1390" s="1" t="n">
        <v>-7.03926741962</v>
      </c>
      <c r="E1390" s="3" t="n">
        <v>2</v>
      </c>
      <c r="F1390" s="2" t="n">
        <v>3</v>
      </c>
      <c r="G1390" s="4" t="n">
        <v>2</v>
      </c>
      <c r="H1390" s="13" t="n"/>
      <c r="I1390" s="15" t="n"/>
      <c r="J1390" s="19" t="n">
        <v>2</v>
      </c>
      <c r="K1390" s="2" t="inlineStr">
        <is>
          <t>marker_747_380526.png</t>
        </is>
      </c>
      <c r="L1390" s="11">
        <f>HYPERLINK("2\1\" &amp; K1390, "Ver Imagen")</f>
        <v/>
      </c>
      <c r="M1390" t="inlineStr">
        <is>
          <t>Moda</t>
        </is>
      </c>
    </row>
    <row r="1391">
      <c r="A1391" t="n">
        <v>1390</v>
      </c>
      <c r="B1391" t="inlineStr">
        <is>
          <t>A-5058__50</t>
        </is>
      </c>
      <c r="C1391" s="1" t="n">
        <v>37.2248536587</v>
      </c>
      <c r="D1391" s="1" t="n">
        <v>-7.03951923824</v>
      </c>
      <c r="E1391" s="3" t="n">
        <v>2</v>
      </c>
      <c r="F1391" s="2" t="n">
        <v>3</v>
      </c>
      <c r="G1391" s="4" t="n">
        <v>2</v>
      </c>
      <c r="H1391" s="13" t="n"/>
      <c r="I1391" s="15" t="n"/>
      <c r="J1391" s="19" t="n">
        <v>2</v>
      </c>
      <c r="K1391" s="2" t="inlineStr">
        <is>
          <t>marker_404_380535.png</t>
        </is>
      </c>
      <c r="L1391" s="11">
        <f>HYPERLINK("2\1\" &amp; K1391, "Ver Imagen")</f>
        <v/>
      </c>
      <c r="M1391" t="inlineStr">
        <is>
          <t>Moda</t>
        </is>
      </c>
    </row>
    <row r="1392">
      <c r="A1392" t="n">
        <v>1391</v>
      </c>
      <c r="B1392" t="inlineStr">
        <is>
          <t>A-5058__68</t>
        </is>
      </c>
      <c r="C1392" s="1" t="n">
        <v>37.2263768817</v>
      </c>
      <c r="D1392" s="1" t="n">
        <v>-7.04362392191</v>
      </c>
      <c r="E1392" s="3" t="n">
        <v>2</v>
      </c>
      <c r="F1392" s="2" t="n">
        <v>3</v>
      </c>
      <c r="G1392" s="4" t="n">
        <v>2</v>
      </c>
      <c r="H1392" s="13" t="n"/>
      <c r="I1392" s="15" t="n"/>
      <c r="J1392" s="19" t="n">
        <v>2</v>
      </c>
      <c r="K1392" s="2" t="inlineStr">
        <is>
          <t>marker_240_380735.png</t>
        </is>
      </c>
      <c r="L1392" s="11">
        <f>HYPERLINK("2\1\" &amp; K1392, "Ver Imagen")</f>
        <v/>
      </c>
      <c r="M1392" t="inlineStr">
        <is>
          <t>Moda</t>
        </is>
      </c>
    </row>
    <row r="1393">
      <c r="A1393" t="n">
        <v>1392</v>
      </c>
      <c r="B1393" t="inlineStr">
        <is>
          <t>A-5058__71</t>
        </is>
      </c>
      <c r="C1393" s="1" t="n">
        <v>37.2266855199</v>
      </c>
      <c r="D1393" s="1" t="n">
        <v>-7.04425934307</v>
      </c>
      <c r="E1393" s="3" t="n">
        <v>2</v>
      </c>
      <c r="F1393" s="2" t="n">
        <v>1</v>
      </c>
      <c r="G1393" s="4" t="n">
        <v>2</v>
      </c>
      <c r="H1393" s="13" t="n"/>
      <c r="I1393" s="15" t="n"/>
      <c r="J1393" s="19" t="n">
        <v>2</v>
      </c>
      <c r="K1393" s="2" t="inlineStr">
        <is>
          <t>marker_115_380765.png</t>
        </is>
      </c>
      <c r="L1393" s="11">
        <f>HYPERLINK("2\1\" &amp; K1393, "Ver Imagen")</f>
        <v/>
      </c>
      <c r="M1393" t="inlineStr">
        <is>
          <t>Moda</t>
        </is>
      </c>
    </row>
    <row r="1394">
      <c r="A1394" t="n">
        <v>1393</v>
      </c>
      <c r="B1394" t="inlineStr">
        <is>
          <t>A-5058__72</t>
        </is>
      </c>
      <c r="C1394" s="1" t="n">
        <v>37.2268057995</v>
      </c>
      <c r="D1394" s="1" t="n">
        <v>-7.04446415791</v>
      </c>
      <c r="E1394" s="3" t="n">
        <v>2</v>
      </c>
      <c r="F1394" s="2" t="n">
        <v>3</v>
      </c>
      <c r="G1394" s="4" t="n">
        <v>2</v>
      </c>
      <c r="H1394" s="13" t="n"/>
      <c r="I1394" s="15" t="n"/>
      <c r="J1394" s="19" t="n">
        <v>2</v>
      </c>
      <c r="K1394" s="2" t="inlineStr">
        <is>
          <t>marker_456_380775.png</t>
        </is>
      </c>
      <c r="L1394" s="11">
        <f>HYPERLINK("2\1\" &amp; K1394, "Ver Imagen")</f>
        <v/>
      </c>
      <c r="M1394" t="inlineStr">
        <is>
          <t>Moda</t>
        </is>
      </c>
    </row>
    <row r="1395">
      <c r="A1395" t="n">
        <v>1394</v>
      </c>
      <c r="B1395" t="inlineStr">
        <is>
          <t>A-5058__93</t>
        </is>
      </c>
      <c r="C1395" s="1" t="n">
        <v>37.229738925</v>
      </c>
      <c r="D1395" s="1" t="n">
        <v>-7.04827174586</v>
      </c>
      <c r="E1395" s="3" t="n">
        <v>2</v>
      </c>
      <c r="F1395" s="2" t="n">
        <v>2</v>
      </c>
      <c r="G1395" s="4" t="n">
        <v>3</v>
      </c>
      <c r="H1395" s="13" t="n"/>
      <c r="I1395" s="15" t="n"/>
      <c r="J1395" s="19" t="n">
        <v>2</v>
      </c>
      <c r="K1395" s="2" t="inlineStr">
        <is>
          <t>marker_236_381041.png</t>
        </is>
      </c>
      <c r="L1395" s="11">
        <f>HYPERLINK("2\1\" &amp; K1395, "Ver Imagen")</f>
        <v/>
      </c>
      <c r="M1395" t="inlineStr">
        <is>
          <t>Moda</t>
        </is>
      </c>
    </row>
    <row r="1396">
      <c r="A1396" t="n">
        <v>1395</v>
      </c>
      <c r="B1396" t="inlineStr">
        <is>
          <t>A-5058__97</t>
        </is>
      </c>
      <c r="C1396" s="1" t="n">
        <v>37.2302235473</v>
      </c>
      <c r="D1396" s="1" t="n">
        <v>-7.04907835941</v>
      </c>
      <c r="E1396" s="3" t="n">
        <v>2</v>
      </c>
      <c r="F1396" s="2" t="n">
        <v>2</v>
      </c>
      <c r="G1396" s="4" t="n">
        <v>3</v>
      </c>
      <c r="H1396" s="13" t="n"/>
      <c r="I1396" s="15" t="n"/>
      <c r="J1396" s="19" t="n">
        <v>2</v>
      </c>
      <c r="K1396" s="2" t="inlineStr">
        <is>
          <t>marker_623_381081.png</t>
        </is>
      </c>
      <c r="L1396" s="11">
        <f>HYPERLINK("2\1\" &amp; K1396, "Ver Imagen")</f>
        <v/>
      </c>
      <c r="M1396" t="inlineStr">
        <is>
          <t>Moda</t>
        </is>
      </c>
    </row>
    <row r="1397">
      <c r="A1397" t="n">
        <v>1396</v>
      </c>
      <c r="B1397" t="inlineStr">
        <is>
          <t>A-5058__101</t>
        </is>
      </c>
      <c r="C1397" s="1" t="n">
        <v>37.2307216108</v>
      </c>
      <c r="D1397" s="1" t="n">
        <v>-7.04992142487</v>
      </c>
      <c r="E1397" s="3" t="n">
        <v>2</v>
      </c>
      <c r="F1397" s="2" t="n">
        <v>2</v>
      </c>
      <c r="G1397" s="4" t="n">
        <v>3</v>
      </c>
      <c r="H1397" s="13" t="n"/>
      <c r="I1397" s="15" t="n"/>
      <c r="J1397" s="19" t="n">
        <v>2</v>
      </c>
      <c r="K1397" s="2" t="inlineStr">
        <is>
          <t>marker_725_381129.png</t>
        </is>
      </c>
      <c r="L1397" s="11">
        <f>HYPERLINK("2\1\" &amp; K1397, "Ver Imagen")</f>
        <v/>
      </c>
      <c r="M1397" t="inlineStr">
        <is>
          <t>Moda</t>
        </is>
      </c>
    </row>
    <row r="1398">
      <c r="A1398" t="n">
        <v>1397</v>
      </c>
      <c r="B1398" t="inlineStr">
        <is>
          <t>A-5058__189</t>
        </is>
      </c>
      <c r="C1398" s="1" t="n">
        <v>37.2343106266</v>
      </c>
      <c r="D1398" s="1" t="n">
        <v>-7.07077939631</v>
      </c>
      <c r="E1398" s="3" t="n">
        <v>2</v>
      </c>
      <c r="F1398" s="2" t="n">
        <v>1</v>
      </c>
      <c r="G1398" s="4" t="n">
        <v>2</v>
      </c>
      <c r="H1398" s="13" t="n"/>
      <c r="I1398" s="15" t="n"/>
      <c r="J1398" s="19" t="n">
        <v>2</v>
      </c>
      <c r="K1398" s="2" t="inlineStr">
        <is>
          <t>marker_840_382770.png</t>
        </is>
      </c>
      <c r="L1398" s="11">
        <f>HYPERLINK("2\1\" &amp; K1398, "Ver Imagen")</f>
        <v/>
      </c>
      <c r="M1398" t="inlineStr">
        <is>
          <t>Moda</t>
        </is>
      </c>
    </row>
    <row r="1399">
      <c r="A1399" t="n">
        <v>1398</v>
      </c>
      <c r="B1399" t="inlineStr">
        <is>
          <t>A-495_1__194</t>
        </is>
      </c>
      <c r="C1399" s="1" t="n">
        <v>37.4846103885</v>
      </c>
      <c r="D1399" s="1" t="n">
        <v>-7.13039368881</v>
      </c>
      <c r="E1399" s="3" t="n">
        <v>2</v>
      </c>
      <c r="F1399" s="2" t="n">
        <v>3</v>
      </c>
      <c r="G1399" s="4" t="n">
        <v>2</v>
      </c>
      <c r="H1399" s="13" t="n"/>
      <c r="I1399" s="15" t="n"/>
      <c r="J1399" s="19" t="n">
        <v>2</v>
      </c>
      <c r="K1399" s="2" t="inlineStr">
        <is>
          <t>marker_508_383691.png</t>
        </is>
      </c>
      <c r="L1399" s="11">
        <f>HYPERLINK("2\1\" &amp; K1399, "Ver Imagen")</f>
        <v/>
      </c>
      <c r="M1399" t="inlineStr">
        <is>
          <t>Moda</t>
        </is>
      </c>
    </row>
    <row r="1400">
      <c r="A1400" t="n">
        <v>1399</v>
      </c>
      <c r="B1400" t="inlineStr">
        <is>
          <t>A-495_1__187</t>
        </is>
      </c>
      <c r="C1400" s="1" t="n">
        <v>37.4834859136</v>
      </c>
      <c r="D1400" s="1" t="n">
        <v>-7.12937146424</v>
      </c>
      <c r="E1400" s="3" t="n">
        <v>2</v>
      </c>
      <c r="F1400" s="2" t="n">
        <v>3</v>
      </c>
      <c r="G1400" s="4" t="n">
        <v>2</v>
      </c>
      <c r="H1400" s="13" t="n"/>
      <c r="I1400" s="15" t="n"/>
      <c r="J1400" s="19" t="n">
        <v>2</v>
      </c>
      <c r="K1400" s="2" t="inlineStr">
        <is>
          <t>marker_821_383757.png</t>
        </is>
      </c>
      <c r="L1400" s="11">
        <f>HYPERLINK("2\1\" &amp; K1400, "Ver Imagen")</f>
        <v/>
      </c>
      <c r="M1400" t="inlineStr">
        <is>
          <t>Moda</t>
        </is>
      </c>
    </row>
    <row r="1401">
      <c r="A1401" t="n">
        <v>1400</v>
      </c>
      <c r="B1401" t="inlineStr">
        <is>
          <t>A-495_1__186</t>
        </is>
      </c>
      <c r="C1401" s="1" t="n">
        <v>37.4833131443</v>
      </c>
      <c r="D1401" s="1" t="n">
        <v>-7.12919445215</v>
      </c>
      <c r="E1401" s="3" t="n">
        <v>2</v>
      </c>
      <c r="F1401" s="2" t="n">
        <v>3</v>
      </c>
      <c r="G1401" s="4" t="n">
        <v>2</v>
      </c>
      <c r="H1401" s="13" t="n"/>
      <c r="I1401" s="15" t="n"/>
      <c r="J1401" s="19" t="n">
        <v>2</v>
      </c>
      <c r="K1401" s="2" t="inlineStr">
        <is>
          <t>marker_321_383767.png</t>
        </is>
      </c>
      <c r="L1401" s="11">
        <f>HYPERLINK("2\1\" &amp; K1401, "Ver Imagen")</f>
        <v/>
      </c>
      <c r="M1401" t="inlineStr">
        <is>
          <t>Moda</t>
        </is>
      </c>
    </row>
    <row r="1402">
      <c r="A1402" t="n">
        <v>1401</v>
      </c>
      <c r="B1402" t="inlineStr">
        <is>
          <t>A-495_1__120</t>
        </is>
      </c>
      <c r="C1402" s="1" t="n">
        <v>37.4711302983</v>
      </c>
      <c r="D1402" s="1" t="n">
        <v>-7.12551069334</v>
      </c>
      <c r="E1402" s="3" t="n">
        <v>3</v>
      </c>
      <c r="F1402" s="2" t="n">
        <v>2</v>
      </c>
      <c r="G1402" s="4" t="n">
        <v>2</v>
      </c>
      <c r="H1402" s="13" t="n"/>
      <c r="I1402" s="15" t="n"/>
      <c r="J1402" s="19" t="n">
        <v>2</v>
      </c>
      <c r="K1402" s="2" t="inlineStr">
        <is>
          <t>marker_901_384570.png</t>
        </is>
      </c>
      <c r="L1402" s="11">
        <f>HYPERLINK("2\1\" &amp; K1402, "Ver Imagen")</f>
        <v/>
      </c>
      <c r="M1402" t="inlineStr">
        <is>
          <t>Moda</t>
        </is>
      </c>
    </row>
    <row r="1403">
      <c r="A1403" t="n">
        <v>1402</v>
      </c>
      <c r="B1403" t="inlineStr">
        <is>
          <t>A-495_1__115</t>
        </is>
      </c>
      <c r="C1403" s="1" t="n">
        <v>37.4702569535</v>
      </c>
      <c r="D1403" s="1" t="n">
        <v>-7.12482382037</v>
      </c>
      <c r="E1403" s="3" t="n">
        <v>2</v>
      </c>
      <c r="F1403" s="2" t="n">
        <v>3</v>
      </c>
      <c r="G1403" s="4" t="n">
        <v>2</v>
      </c>
      <c r="H1403" s="13" t="n"/>
      <c r="I1403" s="15" t="n"/>
      <c r="J1403" s="19" t="n">
        <v>2</v>
      </c>
      <c r="K1403" s="2" t="inlineStr">
        <is>
          <t>marker_320_384668.png</t>
        </is>
      </c>
      <c r="L1403" s="11">
        <f>HYPERLINK("2\1\" &amp; K1403, "Ver Imagen")</f>
        <v/>
      </c>
      <c r="M1403" t="inlineStr">
        <is>
          <t>Moda</t>
        </is>
      </c>
    </row>
    <row r="1404">
      <c r="A1404" t="n">
        <v>1403</v>
      </c>
      <c r="B1404" t="inlineStr">
        <is>
          <t>A-495_1__113</t>
        </is>
      </c>
      <c r="C1404" s="1" t="n">
        <v>37.4699050568</v>
      </c>
      <c r="D1404" s="1" t="n">
        <v>-7.12456641136</v>
      </c>
      <c r="E1404" s="3" t="n">
        <v>2</v>
      </c>
      <c r="F1404" s="2" t="n">
        <v>3</v>
      </c>
      <c r="G1404" s="4" t="n">
        <v>2</v>
      </c>
      <c r="H1404" s="13" t="n"/>
      <c r="I1404" s="15" t="n"/>
      <c r="J1404" s="19" t="n">
        <v>2</v>
      </c>
      <c r="K1404" s="2" t="inlineStr">
        <is>
          <t>marker_560_384692.png</t>
        </is>
      </c>
      <c r="L1404" s="11">
        <f>HYPERLINK("2\1\" &amp; K1404, "Ver Imagen")</f>
        <v/>
      </c>
      <c r="M1404" t="inlineStr">
        <is>
          <t>Moda</t>
        </is>
      </c>
    </row>
    <row r="1405">
      <c r="A1405" t="n">
        <v>1404</v>
      </c>
      <c r="B1405" t="inlineStr">
        <is>
          <t>A-495_1__97</t>
        </is>
      </c>
      <c r="C1405" s="1" t="n">
        <v>37.46698553</v>
      </c>
      <c r="D1405" s="1" t="n">
        <v>-7.12279913612</v>
      </c>
      <c r="E1405" s="3" t="n">
        <v>2</v>
      </c>
      <c r="F1405" s="2" t="n">
        <v>3</v>
      </c>
      <c r="G1405" s="4" t="n">
        <v>2</v>
      </c>
      <c r="H1405" s="13" t="n"/>
      <c r="I1405" s="15" t="n"/>
      <c r="J1405" s="19" t="n">
        <v>2</v>
      </c>
      <c r="K1405" s="2" t="inlineStr">
        <is>
          <t>marker_835_385070.png</t>
        </is>
      </c>
      <c r="L1405" s="11">
        <f>HYPERLINK("2\1\" &amp; K1405, "Ver Imagen")</f>
        <v/>
      </c>
      <c r="M1405" t="inlineStr">
        <is>
          <t>Moda</t>
        </is>
      </c>
    </row>
    <row r="1406">
      <c r="A1406" t="n">
        <v>1405</v>
      </c>
      <c r="B1406" t="inlineStr">
        <is>
          <t>A-495_1__96</t>
        </is>
      </c>
      <c r="C1406" s="1" t="n">
        <v>37.4667784339</v>
      </c>
      <c r="D1406" s="1" t="n">
        <v>-7.12275217862</v>
      </c>
      <c r="E1406" s="3" t="n">
        <v>2</v>
      </c>
      <c r="F1406" s="2" t="n">
        <v>1</v>
      </c>
      <c r="G1406" s="4" t="n">
        <v>2</v>
      </c>
      <c r="H1406" s="13" t="n"/>
      <c r="I1406" s="15" t="n"/>
      <c r="J1406" s="19" t="n">
        <v>2</v>
      </c>
      <c r="K1406" s="2" t="inlineStr">
        <is>
          <t>marker_840_385079.png</t>
        </is>
      </c>
      <c r="L1406" s="11">
        <f>HYPERLINK("2\1\" &amp; K1406, "Ver Imagen")</f>
        <v/>
      </c>
      <c r="M1406" t="inlineStr">
        <is>
          <t>Moda</t>
        </is>
      </c>
    </row>
    <row r="1407">
      <c r="A1407" t="n">
        <v>1406</v>
      </c>
      <c r="B1407" t="inlineStr">
        <is>
          <t>A-495_1__90</t>
        </is>
      </c>
      <c r="C1407" s="1" t="n">
        <v>37.4656161605</v>
      </c>
      <c r="D1407" s="1" t="n">
        <v>-7.1228731488</v>
      </c>
      <c r="E1407" s="3" t="n">
        <v>2</v>
      </c>
      <c r="F1407" s="2" t="n">
        <v>3</v>
      </c>
      <c r="G1407" s="4" t="n">
        <v>2</v>
      </c>
      <c r="H1407" s="13" t="n"/>
      <c r="I1407" s="15" t="n"/>
      <c r="J1407" s="19" t="n">
        <v>2</v>
      </c>
      <c r="K1407" s="2" t="inlineStr">
        <is>
          <t>marker_408_385145.png</t>
        </is>
      </c>
      <c r="L1407" s="11">
        <f>HYPERLINK("2\1\" &amp; K1407, "Ver Imagen")</f>
        <v/>
      </c>
      <c r="M1407" t="inlineStr">
        <is>
          <t>Moda</t>
        </is>
      </c>
    </row>
    <row r="1408">
      <c r="A1408" t="n">
        <v>1407</v>
      </c>
      <c r="B1408" t="inlineStr">
        <is>
          <t>A-495_1__84</t>
        </is>
      </c>
      <c r="C1408" s="1" t="n">
        <v>37.464503982</v>
      </c>
      <c r="D1408" s="1" t="n">
        <v>-7.12355161277</v>
      </c>
      <c r="E1408" s="3" t="n">
        <v>2</v>
      </c>
      <c r="F1408" s="2" t="n">
        <v>3</v>
      </c>
      <c r="G1408" s="4" t="n">
        <v>2</v>
      </c>
      <c r="H1408" s="13" t="n"/>
      <c r="I1408" s="15" t="n"/>
      <c r="J1408" s="19" t="n">
        <v>2</v>
      </c>
      <c r="K1408" s="2" t="inlineStr">
        <is>
          <t>marker_332_385200.png</t>
        </is>
      </c>
      <c r="L1408" s="11">
        <f>HYPERLINK("2\1\" &amp; K1408, "Ver Imagen")</f>
        <v/>
      </c>
      <c r="M1408" t="inlineStr">
        <is>
          <t>Moda</t>
        </is>
      </c>
    </row>
    <row r="1409">
      <c r="A1409" t="n">
        <v>1408</v>
      </c>
      <c r="B1409" t="inlineStr">
        <is>
          <t>A-495_1__75</t>
        </is>
      </c>
      <c r="C1409" s="1" t="n">
        <v>37.4627740805</v>
      </c>
      <c r="D1409" s="1" t="n">
        <v>-7.12420665937</v>
      </c>
      <c r="E1409" s="3" t="n">
        <v>2</v>
      </c>
      <c r="F1409" s="2" t="n">
        <v>3</v>
      </c>
      <c r="G1409" s="4" t="n">
        <v>2</v>
      </c>
      <c r="H1409" s="13" t="n"/>
      <c r="I1409" s="15" t="n"/>
      <c r="J1409" s="19" t="n">
        <v>2</v>
      </c>
      <c r="K1409" s="2" t="inlineStr">
        <is>
          <t>marker_868_385281.png</t>
        </is>
      </c>
      <c r="L1409" s="11">
        <f>HYPERLINK("2\1\" &amp; K1409, "Ver Imagen")</f>
        <v/>
      </c>
      <c r="M1409" t="inlineStr">
        <is>
          <t>Moda</t>
        </is>
      </c>
    </row>
    <row r="1410">
      <c r="A1410" t="n">
        <v>1409</v>
      </c>
      <c r="B1410" t="inlineStr">
        <is>
          <t>A-495_1__74</t>
        </is>
      </c>
      <c r="C1410" s="1" t="n">
        <v>37.4625831846</v>
      </c>
      <c r="D1410" s="1" t="n">
        <v>-7.12423776209</v>
      </c>
      <c r="E1410" s="3" t="n">
        <v>2</v>
      </c>
      <c r="F1410" s="2" t="n">
        <v>3</v>
      </c>
      <c r="G1410" s="4" t="n">
        <v>2</v>
      </c>
      <c r="H1410" s="13" t="n"/>
      <c r="I1410" s="15" t="n"/>
      <c r="J1410" s="19" t="n">
        <v>2</v>
      </c>
      <c r="K1410" s="2" t="inlineStr">
        <is>
          <t>marker_119_385290.png</t>
        </is>
      </c>
      <c r="L1410" s="11">
        <f>HYPERLINK("2\1\" &amp; K1410, "Ver Imagen")</f>
        <v/>
      </c>
      <c r="M1410" t="inlineStr">
        <is>
          <t>Moda</t>
        </is>
      </c>
    </row>
    <row r="1411">
      <c r="A1411" t="n">
        <v>1410</v>
      </c>
      <c r="B1411" t="inlineStr">
        <is>
          <t>A-495_1__71</t>
        </is>
      </c>
      <c r="C1411" s="1" t="n">
        <v>37.4619794604</v>
      </c>
      <c r="D1411" s="1" t="n">
        <v>-7.12434839755</v>
      </c>
      <c r="E1411" s="3" t="n">
        <v>2</v>
      </c>
      <c r="F1411" s="2" t="n">
        <v>3</v>
      </c>
      <c r="G1411" s="4" t="n">
        <v>2</v>
      </c>
      <c r="H1411" s="13" t="n"/>
      <c r="I1411" s="15" t="n"/>
      <c r="J1411" s="19" t="n">
        <v>2</v>
      </c>
      <c r="K1411" s="2" t="inlineStr">
        <is>
          <t>marker_809_385318.png</t>
        </is>
      </c>
      <c r="L1411" s="11">
        <f>HYPERLINK("2\1\" &amp; K1411, "Ver Imagen")</f>
        <v/>
      </c>
      <c r="M1411" t="inlineStr">
        <is>
          <t>Moda</t>
        </is>
      </c>
    </row>
    <row r="1412">
      <c r="A1412" t="n">
        <v>1411</v>
      </c>
      <c r="B1412" t="inlineStr">
        <is>
          <t>A-495_1__58</t>
        </is>
      </c>
      <c r="C1412" s="1" t="n">
        <v>37.4594262683</v>
      </c>
      <c r="D1412" s="1" t="n">
        <v>-7.12510358176</v>
      </c>
      <c r="E1412" s="3" t="n">
        <v>2</v>
      </c>
      <c r="F1412" s="2" t="n">
        <v>3</v>
      </c>
      <c r="G1412" s="4" t="n">
        <v>2</v>
      </c>
      <c r="H1412" s="13" t="n"/>
      <c r="I1412" s="15" t="n"/>
      <c r="J1412" s="19" t="n">
        <v>2</v>
      </c>
      <c r="K1412" s="2" t="inlineStr">
        <is>
          <t>marker_341_385487.png</t>
        </is>
      </c>
      <c r="L1412" s="11">
        <f>HYPERLINK("2\1\" &amp; K1412, "Ver Imagen")</f>
        <v/>
      </c>
      <c r="M1412" t="inlineStr">
        <is>
          <t>Moda</t>
        </is>
      </c>
    </row>
    <row r="1413">
      <c r="A1413" t="n">
        <v>1412</v>
      </c>
      <c r="B1413" t="inlineStr">
        <is>
          <t>A-495_1__49</t>
        </is>
      </c>
      <c r="C1413" s="1" t="n">
        <v>37.4576547736</v>
      </c>
      <c r="D1413" s="1" t="n">
        <v>-7.12574805846</v>
      </c>
      <c r="E1413" s="3" t="n">
        <v>2</v>
      </c>
      <c r="F1413" s="2" t="n">
        <v>1</v>
      </c>
      <c r="G1413" s="4" t="n">
        <v>2</v>
      </c>
      <c r="H1413" s="13" t="n"/>
      <c r="I1413" s="15" t="n"/>
      <c r="J1413" s="19" t="n">
        <v>2</v>
      </c>
      <c r="K1413" s="2" t="inlineStr">
        <is>
          <t>marker_926_385570.png</t>
        </is>
      </c>
      <c r="L1413" s="11">
        <f>HYPERLINK("2\1\" &amp; K1413, "Ver Imagen")</f>
        <v/>
      </c>
      <c r="M1413" t="inlineStr">
        <is>
          <t>Moda</t>
        </is>
      </c>
    </row>
    <row r="1414">
      <c r="A1414" t="n">
        <v>1413</v>
      </c>
      <c r="B1414" t="inlineStr">
        <is>
          <t>A-495_1__46</t>
        </is>
      </c>
      <c r="C1414" s="1" t="n">
        <v>37.4571008367</v>
      </c>
      <c r="D1414" s="1" t="n">
        <v>-7.12594868053</v>
      </c>
      <c r="E1414" s="3" t="n">
        <v>2</v>
      </c>
      <c r="F1414" s="2" t="n">
        <v>3</v>
      </c>
      <c r="G1414" s="4" t="n">
        <v>2</v>
      </c>
      <c r="H1414" s="13" t="n"/>
      <c r="I1414" s="15" t="n"/>
      <c r="J1414" s="19" t="n">
        <v>2</v>
      </c>
      <c r="K1414" s="2" t="inlineStr">
        <is>
          <t>marker_259_385597.png</t>
        </is>
      </c>
      <c r="L1414" s="11">
        <f>HYPERLINK("2\1\" &amp; K1414, "Ver Imagen")</f>
        <v/>
      </c>
      <c r="M1414" t="inlineStr">
        <is>
          <t>Moda</t>
        </is>
      </c>
    </row>
    <row r="1415">
      <c r="A1415" t="n">
        <v>1414</v>
      </c>
      <c r="B1415" t="inlineStr">
        <is>
          <t>A-495_1__44</t>
        </is>
      </c>
      <c r="C1415" s="1" t="n">
        <v>37.4567079746</v>
      </c>
      <c r="D1415" s="1" t="n">
        <v>-7.1260958139</v>
      </c>
      <c r="E1415" s="3" t="n">
        <v>2</v>
      </c>
      <c r="F1415" s="2" t="n">
        <v>3</v>
      </c>
      <c r="G1415" s="4" t="n">
        <v>2</v>
      </c>
      <c r="H1415" s="13" t="n"/>
      <c r="I1415" s="15" t="n"/>
      <c r="J1415" s="19" t="n">
        <v>2</v>
      </c>
      <c r="K1415" s="2" t="inlineStr">
        <is>
          <t>marker_467_385618.png</t>
        </is>
      </c>
      <c r="L1415" s="11">
        <f>HYPERLINK("2\1\" &amp; K1415, "Ver Imagen")</f>
        <v/>
      </c>
      <c r="M1415" t="inlineStr">
        <is>
          <t>Moda</t>
        </is>
      </c>
    </row>
    <row r="1416">
      <c r="A1416" t="n">
        <v>1415</v>
      </c>
      <c r="B1416" t="inlineStr">
        <is>
          <t>A-495_1__42</t>
        </is>
      </c>
      <c r="C1416" s="1" t="n">
        <v>37.45623978</v>
      </c>
      <c r="D1416" s="1" t="n">
        <v>-7.12627119983</v>
      </c>
      <c r="E1416" s="3" t="n">
        <v>2</v>
      </c>
      <c r="F1416" s="2" t="n">
        <v>3</v>
      </c>
      <c r="G1416" s="4" t="n">
        <v>2</v>
      </c>
      <c r="H1416" s="13" t="n"/>
      <c r="I1416" s="15" t="n"/>
      <c r="J1416" s="19" t="n">
        <v>2</v>
      </c>
      <c r="K1416" s="2" t="inlineStr">
        <is>
          <t>marker_928_385635.png</t>
        </is>
      </c>
      <c r="L1416" s="11">
        <f>HYPERLINK("2\1\" &amp; K1416, "Ver Imagen")</f>
        <v/>
      </c>
      <c r="M1416" t="inlineStr">
        <is>
          <t>Moda</t>
        </is>
      </c>
    </row>
    <row r="1417">
      <c r="A1417" t="n">
        <v>1416</v>
      </c>
      <c r="B1417" t="inlineStr">
        <is>
          <t>A-495_1__40</t>
        </is>
      </c>
      <c r="C1417" s="1" t="n">
        <v>37.4559082992</v>
      </c>
      <c r="D1417" s="1" t="n">
        <v>-7.12639321531</v>
      </c>
      <c r="E1417" s="3" t="n">
        <v>2</v>
      </c>
      <c r="F1417" s="2" t="n">
        <v>3</v>
      </c>
      <c r="G1417" s="4" t="n">
        <v>2</v>
      </c>
      <c r="H1417" s="13" t="n"/>
      <c r="I1417" s="15" t="n"/>
      <c r="J1417" s="19" t="n">
        <v>2</v>
      </c>
      <c r="K1417" s="2" t="inlineStr">
        <is>
          <t>marker_454_385655.png</t>
        </is>
      </c>
      <c r="L1417" s="11">
        <f>HYPERLINK("2\1\" &amp; K1417, "Ver Imagen")</f>
        <v/>
      </c>
      <c r="M1417" t="inlineStr">
        <is>
          <t>Moda</t>
        </is>
      </c>
    </row>
    <row r="1418">
      <c r="A1418" t="n">
        <v>1417</v>
      </c>
      <c r="B1418" t="inlineStr">
        <is>
          <t>A-495_1__28</t>
        </is>
      </c>
      <c r="C1418" s="1" t="n">
        <v>37.4535976339</v>
      </c>
      <c r="D1418" s="1" t="n">
        <v>-7.12721071538</v>
      </c>
      <c r="E1418" s="3" t="n">
        <v>1</v>
      </c>
      <c r="F1418" s="2" t="n">
        <v>2</v>
      </c>
      <c r="G1418" s="4" t="n">
        <v>2</v>
      </c>
      <c r="H1418" s="13" t="n"/>
      <c r="I1418" s="15" t="n"/>
      <c r="J1418" s="19" t="n">
        <v>2</v>
      </c>
      <c r="K1418" s="2" t="inlineStr">
        <is>
          <t>marker_204_385899.png</t>
        </is>
      </c>
      <c r="L1418" s="11">
        <f>HYPERLINK("2\1\" &amp; K1418, "Ver Imagen")</f>
        <v/>
      </c>
      <c r="M1418" t="inlineStr">
        <is>
          <t>Moda</t>
        </is>
      </c>
    </row>
    <row r="1419">
      <c r="A1419" t="n">
        <v>1418</v>
      </c>
      <c r="B1419" t="inlineStr">
        <is>
          <t>A-495_1__24</t>
        </is>
      </c>
      <c r="C1419" s="1" t="n">
        <v>37.4527311841</v>
      </c>
      <c r="D1419" s="1" t="n">
        <v>-7.12739811967</v>
      </c>
      <c r="E1419" s="3" t="n">
        <v>2</v>
      </c>
      <c r="F1419" s="2" t="n">
        <v>1</v>
      </c>
      <c r="G1419" s="4" t="n">
        <v>2</v>
      </c>
      <c r="H1419" s="13" t="n"/>
      <c r="I1419" s="15" t="n"/>
      <c r="J1419" s="19" t="n">
        <v>2</v>
      </c>
      <c r="K1419" s="2" t="inlineStr">
        <is>
          <t>marker_798_385933.png</t>
        </is>
      </c>
      <c r="L1419" s="11">
        <f>HYPERLINK("2\1\" &amp; K1419, "Ver Imagen")</f>
        <v/>
      </c>
      <c r="M1419" t="inlineStr">
        <is>
          <t>Moda</t>
        </is>
      </c>
    </row>
    <row r="1420">
      <c r="A1420" t="n">
        <v>1419</v>
      </c>
      <c r="B1420" t="inlineStr">
        <is>
          <t>A-499__3</t>
        </is>
      </c>
      <c r="C1420" s="1" t="n">
        <v>37.4873627182</v>
      </c>
      <c r="D1420" s="1" t="n">
        <v>-7.27999552907</v>
      </c>
      <c r="E1420" s="3" t="n">
        <v>2</v>
      </c>
      <c r="F1420" s="2" t="n">
        <v>1</v>
      </c>
      <c r="G1420" s="4" t="n">
        <v>2</v>
      </c>
      <c r="H1420" s="13" t="n"/>
      <c r="I1420" s="15" t="n"/>
      <c r="J1420" s="19" t="n">
        <v>2</v>
      </c>
      <c r="K1420" s="2" t="inlineStr">
        <is>
          <t>marker_839_529205.png</t>
        </is>
      </c>
      <c r="L1420" s="11">
        <f>HYPERLINK("2\1\" &amp; K1420, "Ver Imagen")</f>
        <v/>
      </c>
      <c r="M1420" t="inlineStr">
        <is>
          <t>Moda</t>
        </is>
      </c>
    </row>
    <row r="1421">
      <c r="A1421" t="n">
        <v>1420</v>
      </c>
      <c r="B1421" t="inlineStr">
        <is>
          <t>A-499__4</t>
        </is>
      </c>
      <c r="C1421" s="1" t="n">
        <v>37.4875539399</v>
      </c>
      <c r="D1421" s="1" t="n">
        <v>-7.27989638883</v>
      </c>
      <c r="E1421" s="3" t="n">
        <v>2</v>
      </c>
      <c r="F1421" s="2" t="n">
        <v>3</v>
      </c>
      <c r="G1421" s="4" t="n">
        <v>2</v>
      </c>
      <c r="H1421" s="13" t="n"/>
      <c r="I1421" s="15" t="n"/>
      <c r="J1421" s="19" t="n">
        <v>2</v>
      </c>
      <c r="K1421" s="2" t="inlineStr">
        <is>
          <t>marker_873_529214.png</t>
        </is>
      </c>
      <c r="L1421" s="11">
        <f>HYPERLINK("2\1\" &amp; K1421, "Ver Imagen")</f>
        <v/>
      </c>
      <c r="M1421" t="inlineStr">
        <is>
          <t>Moda</t>
        </is>
      </c>
    </row>
    <row r="1422">
      <c r="A1422" t="n">
        <v>1421</v>
      </c>
      <c r="B1422" t="inlineStr">
        <is>
          <t>A-499__7</t>
        </is>
      </c>
      <c r="C1422" s="1" t="n">
        <v>37.4881127344</v>
      </c>
      <c r="D1422" s="1" t="n">
        <v>-7.27960585302</v>
      </c>
      <c r="E1422" s="3" t="n">
        <v>2</v>
      </c>
      <c r="F1422" s="2" t="n">
        <v>1</v>
      </c>
      <c r="G1422" s="4" t="n">
        <v>2</v>
      </c>
      <c r="H1422" s="13" t="n"/>
      <c r="I1422" s="15" t="n"/>
      <c r="J1422" s="19" t="n">
        <v>2</v>
      </c>
      <c r="K1422" s="2" t="inlineStr">
        <is>
          <t>marker_807_529247.png</t>
        </is>
      </c>
      <c r="L1422" s="11">
        <f>HYPERLINK("2\1\" &amp; K1422, "Ver Imagen")</f>
        <v/>
      </c>
      <c r="M1422" t="inlineStr">
        <is>
          <t>Moda</t>
        </is>
      </c>
    </row>
    <row r="1423">
      <c r="A1423" t="n">
        <v>1422</v>
      </c>
      <c r="B1423" t="inlineStr">
        <is>
          <t>A-499__10</t>
        </is>
      </c>
      <c r="C1423" s="1" t="n">
        <v>37.4886611978</v>
      </c>
      <c r="D1423" s="1" t="n">
        <v>-7.27931965353</v>
      </c>
      <c r="E1423" s="3" t="n">
        <v>2</v>
      </c>
      <c r="F1423" s="2" t="n">
        <v>3</v>
      </c>
      <c r="G1423" s="4" t="n">
        <v>2</v>
      </c>
      <c r="H1423" s="13" t="n"/>
      <c r="I1423" s="15" t="n"/>
      <c r="J1423" s="19" t="n">
        <v>2</v>
      </c>
      <c r="K1423" s="2" t="inlineStr">
        <is>
          <t>marker_563_529302.png</t>
        </is>
      </c>
      <c r="L1423" s="11">
        <f>HYPERLINK("2\1\" &amp; K1423, "Ver Imagen")</f>
        <v/>
      </c>
      <c r="M1423" t="inlineStr">
        <is>
          <t>Moda</t>
        </is>
      </c>
    </row>
    <row r="1424">
      <c r="A1424" t="n">
        <v>1423</v>
      </c>
      <c r="B1424" t="inlineStr">
        <is>
          <t>A-499__11</t>
        </is>
      </c>
      <c r="C1424" s="1" t="n">
        <v>37.4888359097</v>
      </c>
      <c r="D1424" s="1" t="n">
        <v>-7.27922919773</v>
      </c>
      <c r="E1424" s="3" t="n">
        <v>2</v>
      </c>
      <c r="F1424" s="2" t="n">
        <v>1</v>
      </c>
      <c r="G1424" s="4" t="n">
        <v>2</v>
      </c>
      <c r="H1424" s="13" t="n"/>
      <c r="I1424" s="15" t="n"/>
      <c r="J1424" s="19" t="n">
        <v>2</v>
      </c>
      <c r="K1424" s="2" t="inlineStr">
        <is>
          <t>marker_994_529312.png</t>
        </is>
      </c>
      <c r="L1424" s="11">
        <f>HYPERLINK("2\1\" &amp; K1424, "Ver Imagen")</f>
        <v/>
      </c>
      <c r="M1424" t="inlineStr">
        <is>
          <t>Moda</t>
        </is>
      </c>
    </row>
    <row r="1425">
      <c r="A1425" t="n">
        <v>1424</v>
      </c>
      <c r="B1425" t="inlineStr">
        <is>
          <t>A-499__12</t>
        </is>
      </c>
      <c r="C1425" s="1" t="n">
        <v>37.4890134642</v>
      </c>
      <c r="D1425" s="1" t="n">
        <v>-7.27913754457</v>
      </c>
      <c r="E1425" s="3" t="n">
        <v>2</v>
      </c>
      <c r="F1425" s="2" t="n">
        <v>3</v>
      </c>
      <c r="G1425" s="4" t="n">
        <v>2</v>
      </c>
      <c r="H1425" s="13" t="n"/>
      <c r="I1425" s="15" t="n"/>
      <c r="J1425" s="19" t="n">
        <v>2</v>
      </c>
      <c r="K1425" s="2" t="inlineStr">
        <is>
          <t>marker_620_529321.png</t>
        </is>
      </c>
      <c r="L1425" s="11">
        <f>HYPERLINK("2\1\" &amp; K1425, "Ver Imagen")</f>
        <v/>
      </c>
      <c r="M1425" t="inlineStr">
        <is>
          <t>Moda</t>
        </is>
      </c>
    </row>
    <row r="1426">
      <c r="A1426" t="n">
        <v>1425</v>
      </c>
      <c r="B1426" t="inlineStr">
        <is>
          <t>A-499__25</t>
        </is>
      </c>
      <c r="C1426" s="1" t="n">
        <v>37.4914925996</v>
      </c>
      <c r="D1426" s="1" t="n">
        <v>-7.27789657524</v>
      </c>
      <c r="E1426" s="3" t="n">
        <v>2</v>
      </c>
      <c r="F1426" s="2" t="n">
        <v>1</v>
      </c>
      <c r="G1426" s="4" t="n">
        <v>2</v>
      </c>
      <c r="H1426" s="13" t="n"/>
      <c r="I1426" s="15" t="n"/>
      <c r="J1426" s="19" t="n">
        <v>2</v>
      </c>
      <c r="K1426" s="2" t="inlineStr">
        <is>
          <t>marker_954_529493.png</t>
        </is>
      </c>
      <c r="L1426" s="11">
        <f>HYPERLINK("2\1\" &amp; K1426, "Ver Imagen")</f>
        <v/>
      </c>
      <c r="M1426" t="inlineStr">
        <is>
          <t>Moda</t>
        </is>
      </c>
    </row>
    <row r="1427">
      <c r="A1427" t="n">
        <v>1426</v>
      </c>
      <c r="B1427" t="inlineStr">
        <is>
          <t>A-499__28</t>
        </is>
      </c>
      <c r="C1427" s="1" t="n">
        <v>37.4920390542</v>
      </c>
      <c r="D1427" s="1" t="n">
        <v>-7.27766609232</v>
      </c>
      <c r="E1427" s="3" t="n">
        <v>2</v>
      </c>
      <c r="F1427" s="2" t="n">
        <v>3</v>
      </c>
      <c r="G1427" s="4" t="n">
        <v>2</v>
      </c>
      <c r="H1427" s="13" t="n"/>
      <c r="I1427" s="15" t="n"/>
      <c r="J1427" s="19" t="n">
        <v>2</v>
      </c>
      <c r="K1427" s="2" t="inlineStr">
        <is>
          <t>marker_857_529519.png</t>
        </is>
      </c>
      <c r="L1427" s="11">
        <f>HYPERLINK("2\1\" &amp; K1427, "Ver Imagen")</f>
        <v/>
      </c>
      <c r="M1427" t="inlineStr">
        <is>
          <t>Moda</t>
        </is>
      </c>
    </row>
    <row r="1428">
      <c r="A1428" t="n">
        <v>1427</v>
      </c>
      <c r="B1428" t="inlineStr">
        <is>
          <t>A-499__33</t>
        </is>
      </c>
      <c r="C1428" s="1" t="n">
        <v>37.4930217718</v>
      </c>
      <c r="D1428" s="1" t="n">
        <v>-7.27730137784</v>
      </c>
      <c r="E1428" s="3" t="n">
        <v>2</v>
      </c>
      <c r="F1428" s="2" t="n">
        <v>3</v>
      </c>
      <c r="G1428" s="4" t="n">
        <v>2</v>
      </c>
      <c r="H1428" s="13" t="n"/>
      <c r="I1428" s="15" t="n"/>
      <c r="J1428" s="19" t="n">
        <v>2</v>
      </c>
      <c r="K1428" s="2" t="inlineStr">
        <is>
          <t>marker_846_529955.png</t>
        </is>
      </c>
      <c r="L1428" s="11">
        <f>HYPERLINK("2\1\" &amp; K1428, "Ver Imagen")</f>
        <v/>
      </c>
      <c r="M1428" t="inlineStr">
        <is>
          <t>Moda</t>
        </is>
      </c>
    </row>
    <row r="1429">
      <c r="A1429" t="n">
        <v>1428</v>
      </c>
      <c r="B1429" t="inlineStr">
        <is>
          <t>A-499__37</t>
        </is>
      </c>
      <c r="C1429" s="1" t="n">
        <v>37.4938041111</v>
      </c>
      <c r="D1429" s="1" t="n">
        <v>-7.27703972908</v>
      </c>
      <c r="E1429" s="3" t="n">
        <v>2</v>
      </c>
      <c r="F1429" s="2" t="n">
        <v>1</v>
      </c>
      <c r="G1429" s="4" t="n">
        <v>2</v>
      </c>
      <c r="H1429" s="13" t="n"/>
      <c r="I1429" s="15" t="n"/>
      <c r="J1429" s="19" t="n">
        <v>2</v>
      </c>
      <c r="K1429" s="2" t="inlineStr">
        <is>
          <t>marker_197_529995.png</t>
        </is>
      </c>
      <c r="L1429" s="11">
        <f>HYPERLINK("2\1\" &amp; K1429, "Ver Imagen")</f>
        <v/>
      </c>
      <c r="M1429" t="inlineStr">
        <is>
          <t>Moda</t>
        </is>
      </c>
    </row>
    <row r="1430">
      <c r="A1430" t="n">
        <v>1429</v>
      </c>
      <c r="B1430" t="inlineStr">
        <is>
          <t>A-499__40</t>
        </is>
      </c>
      <c r="C1430" s="1" t="n">
        <v>37.4943916292</v>
      </c>
      <c r="D1430" s="1" t="n">
        <v>-7.27684606456</v>
      </c>
      <c r="E1430" s="3" t="n">
        <v>2</v>
      </c>
      <c r="F1430" s="2" t="n">
        <v>1</v>
      </c>
      <c r="G1430" s="4" t="n">
        <v>2</v>
      </c>
      <c r="H1430" s="13" t="n"/>
      <c r="I1430" s="15" t="n"/>
      <c r="J1430" s="19" t="n">
        <v>2</v>
      </c>
      <c r="K1430" s="2" t="inlineStr">
        <is>
          <t>marker_452_530022.png</t>
        </is>
      </c>
      <c r="L1430" s="11">
        <f>HYPERLINK("2\1\" &amp; K1430, "Ver Imagen")</f>
        <v/>
      </c>
      <c r="M1430" t="inlineStr">
        <is>
          <t>Moda</t>
        </is>
      </c>
    </row>
    <row r="1431">
      <c r="A1431" t="n">
        <v>1430</v>
      </c>
      <c r="B1431" t="inlineStr">
        <is>
          <t>A-499__42</t>
        </is>
      </c>
      <c r="C1431" s="1" t="n">
        <v>37.4947862294</v>
      </c>
      <c r="D1431" s="1" t="n">
        <v>-7.27672084299</v>
      </c>
      <c r="E1431" s="3" t="n">
        <v>2</v>
      </c>
      <c r="F1431" s="2" t="n">
        <v>1</v>
      </c>
      <c r="G1431" s="4" t="n">
        <v>2</v>
      </c>
      <c r="H1431" s="13" t="n"/>
      <c r="I1431" s="15" t="n"/>
      <c r="J1431" s="19" t="n">
        <v>2</v>
      </c>
      <c r="K1431" s="2" t="inlineStr">
        <is>
          <t>marker_548_530042.png</t>
        </is>
      </c>
      <c r="L1431" s="11">
        <f>HYPERLINK("2\1\" &amp; K1431, "Ver Imagen")</f>
        <v/>
      </c>
      <c r="M1431" t="inlineStr">
        <is>
          <t>Moda</t>
        </is>
      </c>
    </row>
    <row r="1432">
      <c r="A1432" t="n">
        <v>1431</v>
      </c>
      <c r="B1432" t="inlineStr">
        <is>
          <t>A-499__49</t>
        </is>
      </c>
      <c r="C1432" s="1" t="n">
        <v>37.4956146362</v>
      </c>
      <c r="D1432" s="1" t="n">
        <v>-7.27552484365</v>
      </c>
      <c r="E1432" s="3" t="n">
        <v>2</v>
      </c>
      <c r="F1432" s="2" t="n">
        <v>1</v>
      </c>
      <c r="G1432" s="4" t="n">
        <v>2</v>
      </c>
      <c r="H1432" s="13" t="n"/>
      <c r="I1432" s="15" t="n"/>
      <c r="J1432" s="19" t="n">
        <v>2</v>
      </c>
      <c r="K1432" s="2" t="inlineStr">
        <is>
          <t>marker_514_534884.png</t>
        </is>
      </c>
      <c r="L1432" s="11">
        <f>HYPERLINK("2\1\" &amp; K1432, "Ver Imagen")</f>
        <v/>
      </c>
      <c r="M1432" t="inlineStr">
        <is>
          <t>Moda</t>
        </is>
      </c>
    </row>
    <row r="1433">
      <c r="A1433" t="n">
        <v>1432</v>
      </c>
      <c r="B1433" t="inlineStr">
        <is>
          <t>A-499__50</t>
        </is>
      </c>
      <c r="C1433" s="1" t="n">
        <v>37.4956451042</v>
      </c>
      <c r="D1433" s="1" t="n">
        <v>-7.2752567246</v>
      </c>
      <c r="E1433" s="3" t="n">
        <v>3</v>
      </c>
      <c r="F1433" s="2" t="n">
        <v>2</v>
      </c>
      <c r="G1433" s="4" t="n">
        <v>2</v>
      </c>
      <c r="H1433" s="13" t="n"/>
      <c r="I1433" s="15" t="n"/>
      <c r="J1433" s="19" t="n">
        <v>2</v>
      </c>
      <c r="K1433" s="2" t="inlineStr">
        <is>
          <t>marker_709_534893.png</t>
        </is>
      </c>
      <c r="L1433" s="11">
        <f>HYPERLINK("2\1\" &amp; K1433, "Ver Imagen")</f>
        <v/>
      </c>
      <c r="M1433" t="inlineStr">
        <is>
          <t>Moda</t>
        </is>
      </c>
    </row>
    <row r="1434">
      <c r="A1434" t="n">
        <v>1433</v>
      </c>
      <c r="B1434" t="inlineStr">
        <is>
          <t>A-499__51</t>
        </is>
      </c>
      <c r="C1434" s="1" t="n">
        <v>37.4956750243</v>
      </c>
      <c r="D1434" s="1" t="n">
        <v>-7.27499037362</v>
      </c>
      <c r="E1434" s="3" t="n">
        <v>2</v>
      </c>
      <c r="F1434" s="2" t="n">
        <v>1</v>
      </c>
      <c r="G1434" s="4" t="n">
        <v>2</v>
      </c>
      <c r="H1434" s="13" t="n"/>
      <c r="I1434" s="15" t="n"/>
      <c r="J1434" s="19" t="n">
        <v>2</v>
      </c>
      <c r="K1434" s="2" t="inlineStr">
        <is>
          <t>marker_372_534902.png</t>
        </is>
      </c>
      <c r="L1434" s="11">
        <f>HYPERLINK("2\1\" &amp; K1434, "Ver Imagen")</f>
        <v/>
      </c>
      <c r="M1434" t="inlineStr">
        <is>
          <t>Moda</t>
        </is>
      </c>
    </row>
    <row r="1435">
      <c r="A1435" t="n">
        <v>1434</v>
      </c>
      <c r="B1435" t="inlineStr">
        <is>
          <t>A-499__60</t>
        </is>
      </c>
      <c r="C1435" s="1" t="n">
        <v>37.495510949</v>
      </c>
      <c r="D1435" s="1" t="n">
        <v>-7.27276825856</v>
      </c>
      <c r="E1435" s="3" t="n">
        <v>2</v>
      </c>
      <c r="F1435" s="2" t="n">
        <v>1</v>
      </c>
      <c r="G1435" s="4" t="n">
        <v>2</v>
      </c>
      <c r="H1435" s="13" t="n"/>
      <c r="I1435" s="15" t="n"/>
      <c r="J1435" s="19" t="n">
        <v>2</v>
      </c>
      <c r="K1435" s="2" t="inlineStr">
        <is>
          <t>marker_219_535072.png</t>
        </is>
      </c>
      <c r="L1435" s="11">
        <f>HYPERLINK("2\1\" &amp; K1435, "Ver Imagen")</f>
        <v/>
      </c>
      <c r="M1435" t="inlineStr">
        <is>
          <t>Moda</t>
        </is>
      </c>
    </row>
    <row r="1436">
      <c r="A1436" t="n">
        <v>1435</v>
      </c>
      <c r="B1436" t="inlineStr">
        <is>
          <t>A-499__61</t>
        </is>
      </c>
      <c r="C1436" s="1" t="n">
        <v>37.4954711503</v>
      </c>
      <c r="D1436" s="1" t="n">
        <v>-7.27252937976</v>
      </c>
      <c r="E1436" s="3" t="n">
        <v>2</v>
      </c>
      <c r="F1436" s="2" t="n">
        <v>3</v>
      </c>
      <c r="G1436" s="4" t="n">
        <v>2</v>
      </c>
      <c r="H1436" s="13" t="n"/>
      <c r="I1436" s="15" t="n"/>
      <c r="J1436" s="19" t="n">
        <v>2</v>
      </c>
      <c r="K1436" s="2" t="inlineStr">
        <is>
          <t>marker_798_535081.png</t>
        </is>
      </c>
      <c r="L1436" s="11">
        <f>HYPERLINK("2\1\" &amp; K1436, "Ver Imagen")</f>
        <v/>
      </c>
      <c r="M1436" t="inlineStr">
        <is>
          <t>Moda</t>
        </is>
      </c>
    </row>
    <row r="1437">
      <c r="A1437" t="n">
        <v>1436</v>
      </c>
      <c r="B1437" t="inlineStr">
        <is>
          <t>A-499__87</t>
        </is>
      </c>
      <c r="C1437" s="1" t="n">
        <v>37.4962214553</v>
      </c>
      <c r="D1437" s="1" t="n">
        <v>-7.26819717205</v>
      </c>
      <c r="E1437" s="3" t="n">
        <v>2</v>
      </c>
      <c r="F1437" s="2" t="n">
        <v>2</v>
      </c>
      <c r="G1437" s="4" t="n">
        <v>3</v>
      </c>
      <c r="H1437" s="13" t="n"/>
      <c r="I1437" s="15" t="n"/>
      <c r="J1437" s="19" t="n">
        <v>2</v>
      </c>
      <c r="K1437" s="2" t="inlineStr">
        <is>
          <t>marker_640_789892.png</t>
        </is>
      </c>
      <c r="L1437" s="11">
        <f>HYPERLINK("2\1\" &amp; K1437, "Ver Imagen")</f>
        <v/>
      </c>
      <c r="M1437" t="inlineStr">
        <is>
          <t>Moda</t>
        </is>
      </c>
    </row>
    <row r="1438">
      <c r="A1438" t="n">
        <v>1437</v>
      </c>
      <c r="B1438" t="inlineStr">
        <is>
          <t>A-499__88</t>
        </is>
      </c>
      <c r="C1438" s="1" t="n">
        <v>37.496434219</v>
      </c>
      <c r="D1438" s="1" t="n">
        <v>-7.26820386434</v>
      </c>
      <c r="E1438" s="3" t="n">
        <v>2</v>
      </c>
      <c r="F1438" s="2" t="n">
        <v>3</v>
      </c>
      <c r="G1438" s="4" t="n">
        <v>2</v>
      </c>
      <c r="H1438" s="13" t="n"/>
      <c r="I1438" s="15" t="n"/>
      <c r="J1438" s="19" t="n">
        <v>2</v>
      </c>
      <c r="K1438" s="2" t="inlineStr">
        <is>
          <t>marker_221_789911.png</t>
        </is>
      </c>
      <c r="L1438" s="11">
        <f>HYPERLINK("2\1\" &amp; K1438, "Ver Imagen")</f>
        <v/>
      </c>
      <c r="M1438" t="inlineStr">
        <is>
          <t>Moda</t>
        </is>
      </c>
    </row>
    <row r="1439">
      <c r="A1439" t="n">
        <v>1438</v>
      </c>
      <c r="B1439" t="inlineStr">
        <is>
          <t>A-499__89</t>
        </is>
      </c>
      <c r="C1439" s="1" t="n">
        <v>37.4966313146</v>
      </c>
      <c r="D1439" s="1" t="n">
        <v>-7.26819002393</v>
      </c>
      <c r="E1439" s="3" t="n">
        <v>2</v>
      </c>
      <c r="F1439" s="2" t="n">
        <v>1</v>
      </c>
      <c r="G1439" s="4" t="n">
        <v>2</v>
      </c>
      <c r="H1439" s="13" t="n"/>
      <c r="I1439" s="15" t="n"/>
      <c r="J1439" s="19" t="n">
        <v>2</v>
      </c>
      <c r="K1439" s="2" t="inlineStr">
        <is>
          <t>marker_271_789925.png</t>
        </is>
      </c>
      <c r="L1439" s="11">
        <f>HYPERLINK("2\1\" &amp; K1439, "Ver Imagen")</f>
        <v/>
      </c>
      <c r="M1439" t="inlineStr">
        <is>
          <t>Moda</t>
        </is>
      </c>
    </row>
    <row r="1440">
      <c r="A1440" t="n">
        <v>1439</v>
      </c>
      <c r="B1440" t="inlineStr">
        <is>
          <t>A-499__99</t>
        </is>
      </c>
      <c r="C1440" s="1" t="n">
        <v>37.4986179872</v>
      </c>
      <c r="D1440" s="1" t="n">
        <v>-7.26757560413</v>
      </c>
      <c r="E1440" s="3" t="n">
        <v>2</v>
      </c>
      <c r="F1440" s="2" t="n">
        <v>3</v>
      </c>
      <c r="G1440" s="4" t="n">
        <v>2</v>
      </c>
      <c r="H1440" s="13" t="n"/>
      <c r="I1440" s="15" t="n"/>
      <c r="J1440" s="19" t="n">
        <v>2</v>
      </c>
      <c r="K1440" s="2" t="inlineStr">
        <is>
          <t>marker_816_793218.png</t>
        </is>
      </c>
      <c r="L1440" s="11">
        <f>HYPERLINK("2\1\" &amp; K1440, "Ver Imagen")</f>
        <v/>
      </c>
      <c r="M1440" t="inlineStr">
        <is>
          <t>Moda</t>
        </is>
      </c>
    </row>
    <row r="1441">
      <c r="A1441" t="n">
        <v>1440</v>
      </c>
      <c r="B1441" t="inlineStr">
        <is>
          <t>A-499__101</t>
        </is>
      </c>
      <c r="C1441" s="1" t="n">
        <v>37.4990020277</v>
      </c>
      <c r="D1441" s="1" t="n">
        <v>-7.26744203753</v>
      </c>
      <c r="E1441" s="3" t="n">
        <v>2</v>
      </c>
      <c r="F1441" s="2" t="n">
        <v>3</v>
      </c>
      <c r="G1441" s="4" t="n">
        <v>2</v>
      </c>
      <c r="H1441" s="13" t="n"/>
      <c r="I1441" s="15" t="n"/>
      <c r="J1441" s="19" t="n">
        <v>2</v>
      </c>
      <c r="K1441" s="2" t="inlineStr">
        <is>
          <t>marker_941_793245.png</t>
        </is>
      </c>
      <c r="L1441" s="11">
        <f>HYPERLINK("2\1\" &amp; K1441, "Ver Imagen")</f>
        <v/>
      </c>
      <c r="M1441" t="inlineStr">
        <is>
          <t>Moda</t>
        </is>
      </c>
    </row>
    <row r="1442">
      <c r="A1442" t="n">
        <v>1441</v>
      </c>
      <c r="B1442" t="inlineStr">
        <is>
          <t>A-499__104</t>
        </is>
      </c>
      <c r="C1442" s="1" t="n">
        <v>37.4995895481</v>
      </c>
      <c r="D1442" s="1" t="n">
        <v>-7.26724089998</v>
      </c>
      <c r="E1442" s="3" t="n">
        <v>2</v>
      </c>
      <c r="F1442" s="2" t="n">
        <v>1</v>
      </c>
      <c r="G1442" s="4" t="n">
        <v>2</v>
      </c>
      <c r="H1442" s="13" t="n"/>
      <c r="I1442" s="15" t="n"/>
      <c r="J1442" s="19" t="n">
        <v>2</v>
      </c>
      <c r="K1442" s="2" t="inlineStr">
        <is>
          <t>marker_249_793291.png</t>
        </is>
      </c>
      <c r="L1442" s="11">
        <f>HYPERLINK("2\1\" &amp; K1442, "Ver Imagen")</f>
        <v/>
      </c>
      <c r="M1442" t="inlineStr">
        <is>
          <t>Moda</t>
        </is>
      </c>
    </row>
    <row r="1443">
      <c r="A1443" t="n">
        <v>1442</v>
      </c>
      <c r="B1443" t="inlineStr">
        <is>
          <t>A-497__845</t>
        </is>
      </c>
      <c r="C1443" s="1" t="n">
        <v>37.1996200589</v>
      </c>
      <c r="D1443" s="1" t="n">
        <v>-6.98494371066</v>
      </c>
      <c r="E1443" s="3" t="n">
        <v>2</v>
      </c>
      <c r="F1443" s="2" t="n">
        <v>3</v>
      </c>
      <c r="G1443" s="4" t="n">
        <v>2</v>
      </c>
      <c r="H1443" s="13" t="n"/>
      <c r="I1443" s="15" t="n"/>
      <c r="J1443" s="19" t="n">
        <v>2</v>
      </c>
      <c r="K1443" s="2" t="inlineStr">
        <is>
          <t>marker_543_367493.png</t>
        </is>
      </c>
      <c r="L1443" s="11">
        <f>HYPERLINK("2\1\" &amp; K1443, "Ver Imagen")</f>
        <v/>
      </c>
      <c r="M1443" t="inlineStr">
        <is>
          <t>Moda</t>
        </is>
      </c>
    </row>
    <row r="1444">
      <c r="A1444" t="n">
        <v>1443</v>
      </c>
      <c r="B1444" t="inlineStr">
        <is>
          <t>A-497__794</t>
        </is>
      </c>
      <c r="C1444" s="1" t="n">
        <v>37.1921978083</v>
      </c>
      <c r="D1444" s="1" t="n">
        <v>-6.9776763763</v>
      </c>
      <c r="E1444" s="3" t="n">
        <v>2</v>
      </c>
      <c r="F1444" s="2" t="n">
        <v>2</v>
      </c>
      <c r="G1444" s="4" t="n">
        <v>3</v>
      </c>
      <c r="H1444" s="13" t="n"/>
      <c r="I1444" s="15" t="n"/>
      <c r="J1444" s="19" t="n">
        <v>2</v>
      </c>
      <c r="K1444" s="2" t="inlineStr">
        <is>
          <t>marker_604_368016.png</t>
        </is>
      </c>
      <c r="L1444" s="11">
        <f>HYPERLINK("2\1\" &amp; K1444, "Ver Imagen")</f>
        <v/>
      </c>
      <c r="M1444" t="inlineStr">
        <is>
          <t>Moda</t>
        </is>
      </c>
    </row>
    <row r="1445">
      <c r="A1445" t="n">
        <v>1444</v>
      </c>
      <c r="B1445" t="inlineStr">
        <is>
          <t>A-497__774</t>
        </is>
      </c>
      <c r="C1445" s="1" t="n">
        <v>37.1882747768</v>
      </c>
      <c r="D1445" s="1" t="n">
        <v>-6.9787430482</v>
      </c>
      <c r="E1445" s="3" t="n">
        <v>2</v>
      </c>
      <c r="F1445" s="2" t="n">
        <v>3</v>
      </c>
      <c r="G1445" s="4" t="n">
        <v>2</v>
      </c>
      <c r="H1445" s="13" t="n"/>
      <c r="I1445" s="15" t="n"/>
      <c r="J1445" s="19" t="n">
        <v>2</v>
      </c>
      <c r="K1445" s="2" t="inlineStr">
        <is>
          <t>marker_123_368248.png</t>
        </is>
      </c>
      <c r="L1445" s="11">
        <f>HYPERLINK("2\1\" &amp; K1445, "Ver Imagen")</f>
        <v/>
      </c>
      <c r="M1445" t="inlineStr">
        <is>
          <t>Moda</t>
        </is>
      </c>
    </row>
    <row r="1446">
      <c r="A1446" t="n">
        <v>1445</v>
      </c>
      <c r="B1446" t="inlineStr">
        <is>
          <t>A-499__116</t>
        </is>
      </c>
      <c r="C1446" s="1" t="n">
        <v>37.5019199673</v>
      </c>
      <c r="D1446" s="1" t="n">
        <v>-7.26644529908</v>
      </c>
      <c r="E1446" s="3" t="n">
        <v>2</v>
      </c>
      <c r="F1446" s="2" t="n">
        <v>3</v>
      </c>
      <c r="G1446" s="4" t="n">
        <v>2</v>
      </c>
      <c r="H1446" s="13" t="n"/>
      <c r="I1446" s="15" t="n"/>
      <c r="J1446" s="19" t="n">
        <v>2</v>
      </c>
      <c r="K1446" s="2" t="inlineStr">
        <is>
          <t>marker_537_793524.png</t>
        </is>
      </c>
      <c r="L1446" s="11">
        <f>HYPERLINK("2\1\" &amp; K1446, "Ver Imagen")</f>
        <v/>
      </c>
      <c r="M1446" t="inlineStr">
        <is>
          <t>Moda</t>
        </is>
      </c>
    </row>
    <row r="1447">
      <c r="A1447" t="n">
        <v>1446</v>
      </c>
      <c r="B1447" t="inlineStr">
        <is>
          <t>A-499__118</t>
        </is>
      </c>
      <c r="C1447" s="1" t="n">
        <v>37.5023016732</v>
      </c>
      <c r="D1447" s="1" t="n">
        <v>-7.26631273576</v>
      </c>
      <c r="E1447" s="3" t="n">
        <v>2</v>
      </c>
      <c r="F1447" s="2" t="n">
        <v>2</v>
      </c>
      <c r="G1447" s="4" t="n">
        <v>3</v>
      </c>
      <c r="H1447" s="13" t="n"/>
      <c r="I1447" s="15" t="n"/>
      <c r="J1447" s="19" t="n">
        <v>2</v>
      </c>
      <c r="K1447" s="2" t="inlineStr">
        <is>
          <t>marker_219_793560.png</t>
        </is>
      </c>
      <c r="L1447" s="11">
        <f>HYPERLINK("2\1\" &amp; K1447, "Ver Imagen")</f>
        <v/>
      </c>
      <c r="M1447" t="inlineStr">
        <is>
          <t>Moda</t>
        </is>
      </c>
    </row>
    <row r="1448">
      <c r="A1448" t="n">
        <v>1447</v>
      </c>
      <c r="B1448" t="inlineStr">
        <is>
          <t>A-499__120</t>
        </is>
      </c>
      <c r="C1448" s="1" t="n">
        <v>37.5026766339</v>
      </c>
      <c r="D1448" s="1" t="n">
        <v>-7.26618611262</v>
      </c>
      <c r="E1448" s="3" t="n">
        <v>2</v>
      </c>
      <c r="F1448" s="2" t="n">
        <v>2</v>
      </c>
      <c r="G1448" s="4" t="n">
        <v>3</v>
      </c>
      <c r="H1448" s="13" t="n"/>
      <c r="I1448" s="15" t="n"/>
      <c r="J1448" s="19" t="n">
        <v>2</v>
      </c>
      <c r="K1448" s="2" t="inlineStr">
        <is>
          <t>marker_512_793603.png</t>
        </is>
      </c>
      <c r="L1448" s="11">
        <f>HYPERLINK("2\1\" &amp; K1448, "Ver Imagen")</f>
        <v/>
      </c>
      <c r="M1448" t="inlineStr">
        <is>
          <t>Moda</t>
        </is>
      </c>
    </row>
    <row r="1449">
      <c r="A1449" t="n">
        <v>1448</v>
      </c>
      <c r="B1449" t="inlineStr">
        <is>
          <t>A-499__122</t>
        </is>
      </c>
      <c r="C1449" s="1" t="n">
        <v>37.5031098772</v>
      </c>
      <c r="D1449" s="1" t="n">
        <v>-7.26604074274</v>
      </c>
      <c r="E1449" s="3" t="n">
        <v>2</v>
      </c>
      <c r="F1449" s="2" t="n">
        <v>3</v>
      </c>
      <c r="G1449" s="4" t="n">
        <v>2</v>
      </c>
      <c r="H1449" s="13" t="n"/>
      <c r="I1449" s="15" t="n"/>
      <c r="J1449" s="19" t="n">
        <v>2</v>
      </c>
      <c r="K1449" s="2" t="inlineStr">
        <is>
          <t>marker_884_793644.png</t>
        </is>
      </c>
      <c r="L1449" s="11">
        <f>HYPERLINK("2\1\" &amp; K1449, "Ver Imagen")</f>
        <v/>
      </c>
      <c r="M1449" t="inlineStr">
        <is>
          <t>Moda</t>
        </is>
      </c>
    </row>
    <row r="1450">
      <c r="A1450" t="n">
        <v>1449</v>
      </c>
      <c r="B1450" t="inlineStr">
        <is>
          <t>A-497_2C__7</t>
        </is>
      </c>
      <c r="C1450" s="1" t="n">
        <v>37.2673571939</v>
      </c>
      <c r="D1450" s="1" t="n">
        <v>-6.95873299341</v>
      </c>
      <c r="E1450" s="3" t="n">
        <v>2</v>
      </c>
      <c r="F1450" s="2" t="n">
        <v>3</v>
      </c>
      <c r="G1450" s="4" t="n">
        <v>2</v>
      </c>
      <c r="H1450" s="13" t="n"/>
      <c r="I1450" s="15" t="n"/>
      <c r="J1450" s="19" t="n">
        <v>2</v>
      </c>
      <c r="K1450" s="2" t="inlineStr">
        <is>
          <t>marker_929_653789.png</t>
        </is>
      </c>
      <c r="L1450" s="11">
        <f>HYPERLINK("2\1\" &amp; K1450, "Ver Imagen")</f>
        <v/>
      </c>
      <c r="M1450" t="inlineStr">
        <is>
          <t>Moda</t>
        </is>
      </c>
    </row>
    <row r="1451">
      <c r="A1451" t="n">
        <v>1450</v>
      </c>
      <c r="B1451" t="inlineStr">
        <is>
          <t>A-497_2C__11</t>
        </is>
      </c>
      <c r="C1451" s="1" t="n">
        <v>37.2674634527</v>
      </c>
      <c r="D1451" s="1" t="n">
        <v>-6.95971589154</v>
      </c>
      <c r="E1451" s="3" t="n">
        <v>2</v>
      </c>
      <c r="F1451" s="2" t="n">
        <v>3</v>
      </c>
      <c r="G1451" s="4" t="n">
        <v>2</v>
      </c>
      <c r="H1451" s="13" t="n"/>
      <c r="I1451" s="15" t="n"/>
      <c r="J1451" s="19" t="n">
        <v>2</v>
      </c>
      <c r="K1451" s="2" t="inlineStr">
        <is>
          <t>marker_973_653994.png</t>
        </is>
      </c>
      <c r="L1451" s="11">
        <f>HYPERLINK("2\1\" &amp; K1451, "Ver Imagen")</f>
        <v/>
      </c>
      <c r="M1451" t="inlineStr">
        <is>
          <t>Moda</t>
        </is>
      </c>
    </row>
    <row r="1452">
      <c r="A1452" t="n">
        <v>1451</v>
      </c>
      <c r="B1452" t="inlineStr">
        <is>
          <t>A-499__123</t>
        </is>
      </c>
      <c r="C1452" s="1" t="n">
        <v>37.5032817598</v>
      </c>
      <c r="D1452" s="1" t="n">
        <v>-7.26598156755</v>
      </c>
      <c r="E1452" s="3" t="n">
        <v>3</v>
      </c>
      <c r="F1452" s="2" t="n">
        <v>2</v>
      </c>
      <c r="G1452" s="4" t="n">
        <v>2</v>
      </c>
      <c r="H1452" s="13" t="n"/>
      <c r="I1452" s="15" t="n"/>
      <c r="J1452" s="19" t="n">
        <v>2</v>
      </c>
      <c r="K1452" s="2" t="inlineStr">
        <is>
          <t>marker_471_793659.png</t>
        </is>
      </c>
      <c r="L1452" s="11">
        <f>HYPERLINK("2\1\" &amp; K1452, "Ver Imagen")</f>
        <v/>
      </c>
      <c r="M1452" t="inlineStr">
        <is>
          <t>Moda</t>
        </is>
      </c>
    </row>
    <row r="1453">
      <c r="A1453" t="n">
        <v>1452</v>
      </c>
      <c r="B1453" t="inlineStr">
        <is>
          <t>A-499__128</t>
        </is>
      </c>
      <c r="C1453" s="1" t="n">
        <v>37.5042432352</v>
      </c>
      <c r="D1453" s="1" t="n">
        <v>-7.26565479069</v>
      </c>
      <c r="E1453" s="3" t="n">
        <v>2</v>
      </c>
      <c r="F1453" s="2" t="n">
        <v>2</v>
      </c>
      <c r="G1453" s="4" t="n">
        <v>3</v>
      </c>
      <c r="H1453" s="13" t="n"/>
      <c r="I1453" s="15" t="n"/>
      <c r="J1453" s="19" t="n">
        <v>2</v>
      </c>
      <c r="K1453" s="2" t="inlineStr">
        <is>
          <t>marker_633_793739.png</t>
        </is>
      </c>
      <c r="L1453" s="11">
        <f>HYPERLINK("2\1\" &amp; K1453, "Ver Imagen")</f>
        <v/>
      </c>
      <c r="M1453" t="inlineStr">
        <is>
          <t>Moda</t>
        </is>
      </c>
    </row>
    <row r="1454">
      <c r="A1454" t="n">
        <v>1453</v>
      </c>
      <c r="B1454" t="inlineStr">
        <is>
          <t>A-499__130</t>
        </is>
      </c>
      <c r="C1454" s="1" t="n">
        <v>37.5046385184</v>
      </c>
      <c r="D1454" s="1" t="n">
        <v>-7.26551657682</v>
      </c>
      <c r="E1454" s="3" t="n">
        <v>2</v>
      </c>
      <c r="F1454" s="2" t="n">
        <v>1</v>
      </c>
      <c r="G1454" s="4" t="n">
        <v>2</v>
      </c>
      <c r="H1454" s="13" t="n"/>
      <c r="I1454" s="15" t="n"/>
      <c r="J1454" s="19" t="n">
        <v>2</v>
      </c>
      <c r="K1454" s="2" t="inlineStr">
        <is>
          <t>marker_282_793798.png</t>
        </is>
      </c>
      <c r="L1454" s="11">
        <f>HYPERLINK("2\1\" &amp; K1454, "Ver Imagen")</f>
        <v/>
      </c>
      <c r="M1454" t="inlineStr">
        <is>
          <t>Moda</t>
        </is>
      </c>
    </row>
    <row r="1455">
      <c r="A1455" t="n">
        <v>1454</v>
      </c>
      <c r="B1455" t="inlineStr">
        <is>
          <t>A-499__131</t>
        </is>
      </c>
      <c r="C1455" s="1" t="n">
        <v>37.5048509239</v>
      </c>
      <c r="D1455" s="1" t="n">
        <v>-7.26544414675</v>
      </c>
      <c r="E1455" s="3" t="n">
        <v>2</v>
      </c>
      <c r="F1455" s="2" t="n">
        <v>1</v>
      </c>
      <c r="G1455" s="4" t="n">
        <v>2</v>
      </c>
      <c r="H1455" s="13" t="n"/>
      <c r="I1455" s="15" t="n"/>
      <c r="J1455" s="19" t="n">
        <v>2</v>
      </c>
      <c r="K1455" s="2" t="inlineStr">
        <is>
          <t>marker_504_793812.png</t>
        </is>
      </c>
      <c r="L1455" s="11">
        <f>HYPERLINK("2\1\" &amp; K1455, "Ver Imagen")</f>
        <v/>
      </c>
      <c r="M1455" t="inlineStr">
        <is>
          <t>Moda</t>
        </is>
      </c>
    </row>
    <row r="1456">
      <c r="A1456" t="n">
        <v>1455</v>
      </c>
      <c r="B1456" t="inlineStr">
        <is>
          <t>A-499__137</t>
        </is>
      </c>
      <c r="C1456" s="1" t="n">
        <v>37.5060428275</v>
      </c>
      <c r="D1456" s="1" t="n">
        <v>-7.26526531154</v>
      </c>
      <c r="E1456" s="3" t="n">
        <v>2</v>
      </c>
      <c r="F1456" s="2" t="n">
        <v>1</v>
      </c>
      <c r="G1456" s="4" t="n">
        <v>2</v>
      </c>
      <c r="H1456" s="13" t="n"/>
      <c r="I1456" s="15" t="n"/>
      <c r="J1456" s="19" t="n">
        <v>2</v>
      </c>
      <c r="K1456" s="2" t="inlineStr">
        <is>
          <t>marker_666_793945.png</t>
        </is>
      </c>
      <c r="L1456" s="11">
        <f>HYPERLINK("2\1\" &amp; K1456, "Ver Imagen")</f>
        <v/>
      </c>
      <c r="M1456" t="inlineStr">
        <is>
          <t>Moda</t>
        </is>
      </c>
    </row>
    <row r="1457">
      <c r="A1457" t="n">
        <v>1456</v>
      </c>
      <c r="B1457" t="inlineStr">
        <is>
          <t>A-499__144</t>
        </is>
      </c>
      <c r="C1457" s="1" t="n">
        <v>37.5073829396</v>
      </c>
      <c r="D1457" s="1" t="n">
        <v>-7.2658597391</v>
      </c>
      <c r="E1457" s="3" t="n">
        <v>2</v>
      </c>
      <c r="F1457" s="2" t="n">
        <v>2</v>
      </c>
      <c r="G1457" s="4" t="n">
        <v>3</v>
      </c>
      <c r="H1457" s="13" t="n"/>
      <c r="I1457" s="15" t="n"/>
      <c r="J1457" s="19" t="n">
        <v>2</v>
      </c>
      <c r="K1457" s="2" t="inlineStr">
        <is>
          <t>marker_324_794144.png</t>
        </is>
      </c>
      <c r="L1457" s="11">
        <f>HYPERLINK("2\1\" &amp; K1457, "Ver Imagen")</f>
        <v/>
      </c>
      <c r="M1457" t="inlineStr">
        <is>
          <t>Moda</t>
        </is>
      </c>
    </row>
    <row r="1458">
      <c r="A1458" t="n">
        <v>1457</v>
      </c>
      <c r="B1458" t="inlineStr">
        <is>
          <t>A-499__145</t>
        </is>
      </c>
      <c r="C1458" s="1" t="n">
        <v>37.5075660258</v>
      </c>
      <c r="D1458" s="1" t="n">
        <v>-7.26600478718</v>
      </c>
      <c r="E1458" s="3" t="n">
        <v>2</v>
      </c>
      <c r="F1458" s="2" t="n">
        <v>2</v>
      </c>
      <c r="G1458" s="4" t="n">
        <v>3</v>
      </c>
      <c r="H1458" s="13" t="n"/>
      <c r="I1458" s="15" t="n"/>
      <c r="J1458" s="19" t="n">
        <v>2</v>
      </c>
      <c r="K1458" s="2" t="inlineStr">
        <is>
          <t>marker_885_794167.png</t>
        </is>
      </c>
      <c r="L1458" s="11">
        <f>HYPERLINK("2\1\" &amp; K1458, "Ver Imagen")</f>
        <v/>
      </c>
      <c r="M1458" t="inlineStr">
        <is>
          <t>Moda</t>
        </is>
      </c>
    </row>
    <row r="1459">
      <c r="A1459" t="n">
        <v>1458</v>
      </c>
      <c r="B1459" t="inlineStr">
        <is>
          <t>A-499__146</t>
        </is>
      </c>
      <c r="C1459" s="1" t="n">
        <v>37.5077300863</v>
      </c>
      <c r="D1459" s="1" t="n">
        <v>-7.26613825123</v>
      </c>
      <c r="E1459" s="3" t="n">
        <v>2</v>
      </c>
      <c r="F1459" s="2" t="n">
        <v>2</v>
      </c>
      <c r="G1459" s="4" t="n">
        <v>3</v>
      </c>
      <c r="H1459" s="13" t="n"/>
      <c r="I1459" s="15" t="n"/>
      <c r="J1459" s="19" t="n">
        <v>2</v>
      </c>
      <c r="K1459" s="2" t="inlineStr">
        <is>
          <t>marker_877_794202.png</t>
        </is>
      </c>
      <c r="L1459" s="11">
        <f>HYPERLINK("2\1\" &amp; K1459, "Ver Imagen")</f>
        <v/>
      </c>
      <c r="M1459" t="inlineStr">
        <is>
          <t>Moda</t>
        </is>
      </c>
    </row>
    <row r="1460">
      <c r="A1460" t="n">
        <v>1459</v>
      </c>
      <c r="B1460" t="inlineStr">
        <is>
          <t>A-499__147</t>
        </is>
      </c>
      <c r="C1460" s="1" t="n">
        <v>37.5079105741</v>
      </c>
      <c r="D1460" s="1" t="n">
        <v>-7.26628600202</v>
      </c>
      <c r="E1460" s="3" t="n">
        <v>2</v>
      </c>
      <c r="F1460" s="2" t="n">
        <v>2</v>
      </c>
      <c r="G1460" s="4" t="n">
        <v>3</v>
      </c>
      <c r="H1460" s="13" t="n"/>
      <c r="I1460" s="15" t="n"/>
      <c r="J1460" s="19" t="n">
        <v>2</v>
      </c>
      <c r="K1460" s="2" t="inlineStr">
        <is>
          <t>marker_347_794238.png</t>
        </is>
      </c>
      <c r="L1460" s="11">
        <f>HYPERLINK("2\1\" &amp; K1460, "Ver Imagen")</f>
        <v/>
      </c>
      <c r="M1460" t="inlineStr">
        <is>
          <t>Moda</t>
        </is>
      </c>
    </row>
    <row r="1461">
      <c r="A1461" t="n">
        <v>1460</v>
      </c>
      <c r="B1461" t="inlineStr">
        <is>
          <t>A-499__153</t>
        </is>
      </c>
      <c r="C1461" s="1" t="n">
        <v>37.5089304407</v>
      </c>
      <c r="D1461" s="1" t="n">
        <v>-7.26706254361</v>
      </c>
      <c r="E1461" s="3" t="n">
        <v>2</v>
      </c>
      <c r="F1461" s="2" t="n">
        <v>1</v>
      </c>
      <c r="G1461" s="4" t="n">
        <v>2</v>
      </c>
      <c r="H1461" s="13" t="n"/>
      <c r="I1461" s="15" t="n"/>
      <c r="J1461" s="19" t="n">
        <v>2</v>
      </c>
      <c r="K1461" s="2" t="inlineStr">
        <is>
          <t>marker_696_794410.png</t>
        </is>
      </c>
      <c r="L1461" s="11">
        <f>HYPERLINK("2\1\" &amp; K1461, "Ver Imagen")</f>
        <v/>
      </c>
      <c r="M1461" t="inlineStr">
        <is>
          <t>Moda</t>
        </is>
      </c>
    </row>
    <row r="1462">
      <c r="A1462" t="n">
        <v>1461</v>
      </c>
      <c r="B1462" t="inlineStr">
        <is>
          <t>A-499__154</t>
        </is>
      </c>
      <c r="C1462" s="1" t="n">
        <v>37.5090978108</v>
      </c>
      <c r="D1462" s="1" t="n">
        <v>-7.26716624311</v>
      </c>
      <c r="E1462" s="3" t="n">
        <v>2</v>
      </c>
      <c r="F1462" s="2" t="n">
        <v>1</v>
      </c>
      <c r="G1462" s="4" t="n">
        <v>2</v>
      </c>
      <c r="H1462" s="13" t="n"/>
      <c r="I1462" s="15" t="n"/>
      <c r="J1462" s="19" t="n">
        <v>2</v>
      </c>
      <c r="K1462" s="2" t="inlineStr">
        <is>
          <t>marker_832_794422.png</t>
        </is>
      </c>
      <c r="L1462" s="11">
        <f>HYPERLINK("2\1\" &amp; K1462, "Ver Imagen")</f>
        <v/>
      </c>
      <c r="M1462" t="inlineStr">
        <is>
          <t>Moda</t>
        </is>
      </c>
    </row>
    <row r="1463">
      <c r="A1463" t="n">
        <v>1462</v>
      </c>
      <c r="B1463" t="inlineStr">
        <is>
          <t>A-499__155</t>
        </is>
      </c>
      <c r="C1463" s="1" t="n">
        <v>37.5092873068</v>
      </c>
      <c r="D1463" s="1" t="n">
        <v>-7.26727338322</v>
      </c>
      <c r="E1463" s="3" t="n">
        <v>2</v>
      </c>
      <c r="F1463" s="2" t="n">
        <v>1</v>
      </c>
      <c r="G1463" s="4" t="n">
        <v>2</v>
      </c>
      <c r="H1463" s="13" t="n"/>
      <c r="I1463" s="15" t="n"/>
      <c r="J1463" s="19" t="n">
        <v>2</v>
      </c>
      <c r="K1463" s="2" t="inlineStr">
        <is>
          <t>marker_451_794457.png</t>
        </is>
      </c>
      <c r="L1463" s="11">
        <f>HYPERLINK("2\1\" &amp; K1463, "Ver Imagen")</f>
        <v/>
      </c>
      <c r="M1463" t="inlineStr">
        <is>
          <t>Moda</t>
        </is>
      </c>
    </row>
    <row r="1464">
      <c r="A1464" t="n">
        <v>1463</v>
      </c>
      <c r="B1464" t="inlineStr">
        <is>
          <t>A-499__156</t>
        </is>
      </c>
      <c r="C1464" s="1" t="n">
        <v>37.5094662452</v>
      </c>
      <c r="D1464" s="1" t="n">
        <v>-7.26736319272</v>
      </c>
      <c r="E1464" s="3" t="n">
        <v>2</v>
      </c>
      <c r="F1464" s="2" t="n">
        <v>2</v>
      </c>
      <c r="G1464" s="4" t="n">
        <v>3</v>
      </c>
      <c r="H1464" s="13" t="n"/>
      <c r="I1464" s="15" t="n"/>
      <c r="J1464" s="19" t="n">
        <v>2</v>
      </c>
      <c r="K1464" s="2" t="inlineStr">
        <is>
          <t>marker_309_794520.png</t>
        </is>
      </c>
      <c r="L1464" s="11">
        <f>HYPERLINK("2\1\" &amp; K1464, "Ver Imagen")</f>
        <v/>
      </c>
      <c r="M1464" t="inlineStr">
        <is>
          <t>Moda</t>
        </is>
      </c>
    </row>
    <row r="1465">
      <c r="A1465" t="n">
        <v>1464</v>
      </c>
      <c r="B1465" t="inlineStr">
        <is>
          <t>A-499__158</t>
        </is>
      </c>
      <c r="C1465" s="1" t="n">
        <v>37.5098511628</v>
      </c>
      <c r="D1465" s="1" t="n">
        <v>-7.26752743567</v>
      </c>
      <c r="E1465" s="3" t="n">
        <v>2</v>
      </c>
      <c r="F1465" s="2" t="n">
        <v>2</v>
      </c>
      <c r="G1465" s="4" t="n">
        <v>3</v>
      </c>
      <c r="H1465" s="13" t="n"/>
      <c r="I1465" s="15" t="n"/>
      <c r="J1465" s="19" t="n">
        <v>2</v>
      </c>
      <c r="K1465" s="2" t="inlineStr">
        <is>
          <t>marker_313_794554.png</t>
        </is>
      </c>
      <c r="L1465" s="11">
        <f>HYPERLINK("2\1\" &amp; K1465, "Ver Imagen")</f>
        <v/>
      </c>
      <c r="M1465" t="inlineStr">
        <is>
          <t>Moda</t>
        </is>
      </c>
    </row>
    <row r="1466">
      <c r="A1466" t="n">
        <v>1465</v>
      </c>
      <c r="B1466" t="inlineStr">
        <is>
          <t>A-499__160</t>
        </is>
      </c>
      <c r="C1466" s="1" t="n">
        <v>37.5102501682</v>
      </c>
      <c r="D1466" s="1" t="n">
        <v>-7.26767319378</v>
      </c>
      <c r="E1466" s="3" t="n">
        <v>2</v>
      </c>
      <c r="F1466" s="2" t="n">
        <v>3</v>
      </c>
      <c r="G1466" s="4" t="n">
        <v>2</v>
      </c>
      <c r="H1466" s="13" t="n"/>
      <c r="I1466" s="15" t="n"/>
      <c r="J1466" s="19" t="n">
        <v>2</v>
      </c>
      <c r="K1466" s="2" t="inlineStr">
        <is>
          <t>marker_660_794576.png</t>
        </is>
      </c>
      <c r="L1466" s="11">
        <f>HYPERLINK("2\1\" &amp; K1466, "Ver Imagen")</f>
        <v/>
      </c>
      <c r="M1466" t="inlineStr">
        <is>
          <t>Moda</t>
        </is>
      </c>
    </row>
    <row r="1467">
      <c r="A1467" t="n">
        <v>1466</v>
      </c>
      <c r="B1467" t="inlineStr">
        <is>
          <t>A-499__161</t>
        </is>
      </c>
      <c r="C1467" s="1" t="n">
        <v>37.5104298567</v>
      </c>
      <c r="D1467" s="1" t="n">
        <v>-7.26773439915</v>
      </c>
      <c r="E1467" s="3" t="n">
        <v>2</v>
      </c>
      <c r="F1467" s="2" t="n">
        <v>2</v>
      </c>
      <c r="G1467" s="4" t="n">
        <v>3</v>
      </c>
      <c r="H1467" s="13" t="n"/>
      <c r="I1467" s="15" t="n"/>
      <c r="J1467" s="19" t="n">
        <v>2</v>
      </c>
      <c r="K1467" s="2" t="inlineStr">
        <is>
          <t>marker_465_794596.png</t>
        </is>
      </c>
      <c r="L1467" s="11">
        <f>HYPERLINK("2\1\" &amp; K1467, "Ver Imagen")</f>
        <v/>
      </c>
      <c r="M1467" t="inlineStr">
        <is>
          <t>Moda</t>
        </is>
      </c>
    </row>
    <row r="1468">
      <c r="A1468" t="n">
        <v>1467</v>
      </c>
      <c r="B1468" t="inlineStr">
        <is>
          <t>A-499__162</t>
        </is>
      </c>
      <c r="C1468" s="1" t="n">
        <v>37.5106306636</v>
      </c>
      <c r="D1468" s="1" t="n">
        <v>-7.26780449573</v>
      </c>
      <c r="E1468" s="3" t="n">
        <v>2</v>
      </c>
      <c r="F1468" s="2" t="n">
        <v>3</v>
      </c>
      <c r="G1468" s="4" t="n">
        <v>2</v>
      </c>
      <c r="H1468" s="13" t="n"/>
      <c r="I1468" s="15" t="n"/>
      <c r="J1468" s="19" t="n">
        <v>2</v>
      </c>
      <c r="K1468" s="2" t="inlineStr">
        <is>
          <t>marker_157_794615.png</t>
        </is>
      </c>
      <c r="L1468" s="11">
        <f>HYPERLINK("2\1\" &amp; K1468, "Ver Imagen")</f>
        <v/>
      </c>
      <c r="M1468" t="inlineStr">
        <is>
          <t>Moda</t>
        </is>
      </c>
    </row>
    <row r="1469">
      <c r="A1469" t="n">
        <v>1468</v>
      </c>
      <c r="B1469" t="inlineStr">
        <is>
          <t>A-499__163</t>
        </is>
      </c>
      <c r="C1469" s="1" t="n">
        <v>37.5108223956</v>
      </c>
      <c r="D1469" s="1" t="n">
        <v>-7.267877119</v>
      </c>
      <c r="E1469" s="3" t="n">
        <v>2</v>
      </c>
      <c r="F1469" s="2" t="n">
        <v>2</v>
      </c>
      <c r="G1469" s="4" t="n">
        <v>3</v>
      </c>
      <c r="H1469" s="13" t="n"/>
      <c r="I1469" s="15" t="n"/>
      <c r="J1469" s="19" t="n">
        <v>2</v>
      </c>
      <c r="K1469" s="2" t="inlineStr">
        <is>
          <t>marker_202_794646.png</t>
        </is>
      </c>
      <c r="L1469" s="11">
        <f>HYPERLINK("2\1\" &amp; K1469, "Ver Imagen")</f>
        <v/>
      </c>
      <c r="M1469" t="inlineStr">
        <is>
          <t>Moda</t>
        </is>
      </c>
    </row>
    <row r="1470">
      <c r="A1470" t="n">
        <v>1469</v>
      </c>
      <c r="B1470" t="inlineStr">
        <is>
          <t>A-499__164</t>
        </is>
      </c>
      <c r="C1470" s="1" t="n">
        <v>37.5110147214</v>
      </c>
      <c r="D1470" s="1" t="n">
        <v>-7.26795500232</v>
      </c>
      <c r="E1470" s="3" t="n">
        <v>2</v>
      </c>
      <c r="F1470" s="2" t="n">
        <v>2</v>
      </c>
      <c r="G1470" s="4" t="n">
        <v>3</v>
      </c>
      <c r="H1470" s="13" t="n"/>
      <c r="I1470" s="15" t="n"/>
      <c r="J1470" s="19" t="n">
        <v>2</v>
      </c>
      <c r="K1470" s="2" t="inlineStr">
        <is>
          <t>marker_994_794674.png</t>
        </is>
      </c>
      <c r="L1470" s="11">
        <f>HYPERLINK("2\1\" &amp; K1470, "Ver Imagen")</f>
        <v/>
      </c>
      <c r="M1470" t="inlineStr">
        <is>
          <t>Moda</t>
        </is>
      </c>
    </row>
    <row r="1471">
      <c r="A1471" t="n">
        <v>1470</v>
      </c>
      <c r="B1471" t="inlineStr">
        <is>
          <t>A-499__168</t>
        </is>
      </c>
      <c r="C1471" s="1" t="n">
        <v>37.5118391792</v>
      </c>
      <c r="D1471" s="1" t="n">
        <v>-7.26830817742</v>
      </c>
      <c r="E1471" s="3" t="n">
        <v>2</v>
      </c>
      <c r="F1471" s="2" t="n">
        <v>3</v>
      </c>
      <c r="G1471" s="4" t="n">
        <v>2</v>
      </c>
      <c r="H1471" s="13" t="n"/>
      <c r="I1471" s="15" t="n"/>
      <c r="J1471" s="19" t="n">
        <v>2</v>
      </c>
      <c r="K1471" s="2" t="inlineStr">
        <is>
          <t>marker_732_794768.png</t>
        </is>
      </c>
      <c r="L1471" s="11">
        <f>HYPERLINK("2\1\" &amp; K1471, "Ver Imagen")</f>
        <v/>
      </c>
      <c r="M1471" t="inlineStr">
        <is>
          <t>Moda</t>
        </is>
      </c>
    </row>
    <row r="1472">
      <c r="A1472" t="n">
        <v>1471</v>
      </c>
      <c r="B1472" t="inlineStr">
        <is>
          <t>A-499__174</t>
        </is>
      </c>
      <c r="C1472" s="1" t="n">
        <v>37.5129605401</v>
      </c>
      <c r="D1472" s="1" t="n">
        <v>-7.2687616429</v>
      </c>
      <c r="E1472" s="3" t="n">
        <v>2</v>
      </c>
      <c r="F1472" s="2" t="n">
        <v>1</v>
      </c>
      <c r="G1472" s="4" t="n">
        <v>2</v>
      </c>
      <c r="H1472" s="13" t="n"/>
      <c r="I1472" s="15" t="n"/>
      <c r="J1472" s="19" t="n">
        <v>2</v>
      </c>
      <c r="K1472" s="2" t="inlineStr">
        <is>
          <t>marker_626_795544.png</t>
        </is>
      </c>
      <c r="L1472" s="11">
        <f>HYPERLINK("2\1\" &amp; K1472, "Ver Imagen")</f>
        <v/>
      </c>
      <c r="M1472" t="inlineStr">
        <is>
          <t>Moda</t>
        </is>
      </c>
    </row>
    <row r="1473">
      <c r="A1473" t="n">
        <v>1472</v>
      </c>
      <c r="B1473" t="inlineStr">
        <is>
          <t>A-499__175</t>
        </is>
      </c>
      <c r="C1473" s="1" t="n">
        <v>37.5131551606</v>
      </c>
      <c r="D1473" s="1" t="n">
        <v>-7.26883341766</v>
      </c>
      <c r="E1473" s="3" t="n">
        <v>2</v>
      </c>
      <c r="F1473" s="2" t="n">
        <v>3</v>
      </c>
      <c r="G1473" s="4" t="n">
        <v>2</v>
      </c>
      <c r="H1473" s="13" t="n"/>
      <c r="I1473" s="15" t="n"/>
      <c r="J1473" s="19" t="n">
        <v>2</v>
      </c>
      <c r="K1473" s="2" t="inlineStr">
        <is>
          <t>marker_968_795561.png</t>
        </is>
      </c>
      <c r="L1473" s="11">
        <f>HYPERLINK("2\1\" &amp; K1473, "Ver Imagen")</f>
        <v/>
      </c>
      <c r="M1473" t="inlineStr">
        <is>
          <t>Moda</t>
        </is>
      </c>
    </row>
    <row r="1474">
      <c r="A1474" t="n">
        <v>1473</v>
      </c>
      <c r="B1474" t="inlineStr">
        <is>
          <t>A-499__176</t>
        </is>
      </c>
      <c r="C1474" s="1" t="n">
        <v>37.5133456759</v>
      </c>
      <c r="D1474" s="1" t="n">
        <v>-7.26889677755</v>
      </c>
      <c r="E1474" s="3" t="n">
        <v>3</v>
      </c>
      <c r="F1474" s="2" t="n">
        <v>2</v>
      </c>
      <c r="G1474" s="4" t="n">
        <v>2</v>
      </c>
      <c r="H1474" s="13" t="n"/>
      <c r="I1474" s="15" t="n"/>
      <c r="J1474" s="19" t="n">
        <v>2</v>
      </c>
      <c r="K1474" s="2" t="inlineStr">
        <is>
          <t>marker_575_795575.png</t>
        </is>
      </c>
      <c r="L1474" s="11">
        <f>HYPERLINK("2\1\" &amp; K1474, "Ver Imagen")</f>
        <v/>
      </c>
      <c r="M1474" t="inlineStr">
        <is>
          <t>Moda</t>
        </is>
      </c>
    </row>
    <row r="1475">
      <c r="A1475" t="n">
        <v>1474</v>
      </c>
      <c r="B1475" t="inlineStr">
        <is>
          <t>A-499__178</t>
        </is>
      </c>
      <c r="C1475" s="1" t="n">
        <v>37.5137358633</v>
      </c>
      <c r="D1475" s="1" t="n">
        <v>-7.2689869494</v>
      </c>
      <c r="E1475" s="3" t="n">
        <v>2</v>
      </c>
      <c r="F1475" s="2" t="n">
        <v>3</v>
      </c>
      <c r="G1475" s="4" t="n">
        <v>2</v>
      </c>
      <c r="H1475" s="13" t="n"/>
      <c r="I1475" s="15" t="n"/>
      <c r="J1475" s="19" t="n">
        <v>2</v>
      </c>
      <c r="K1475" s="2" t="inlineStr">
        <is>
          <t>marker_605_795598.png</t>
        </is>
      </c>
      <c r="L1475" s="11">
        <f>HYPERLINK("2\1\" &amp; K1475, "Ver Imagen")</f>
        <v/>
      </c>
      <c r="M1475" t="inlineStr">
        <is>
          <t>Moda</t>
        </is>
      </c>
    </row>
    <row r="1476">
      <c r="A1476" t="n">
        <v>1475</v>
      </c>
      <c r="B1476" t="inlineStr">
        <is>
          <t>A-499__179</t>
        </is>
      </c>
      <c r="C1476" s="1" t="n">
        <v>37.5139391091</v>
      </c>
      <c r="D1476" s="1" t="n">
        <v>-7.26899965584</v>
      </c>
      <c r="E1476" s="3" t="n">
        <v>2</v>
      </c>
      <c r="F1476" s="2" t="n">
        <v>1</v>
      </c>
      <c r="G1476" s="4" t="n">
        <v>2</v>
      </c>
      <c r="H1476" s="13" t="n"/>
      <c r="I1476" s="15" t="n"/>
      <c r="J1476" s="19" t="n">
        <v>2</v>
      </c>
      <c r="K1476" s="2" t="inlineStr">
        <is>
          <t>marker_142_795608.png</t>
        </is>
      </c>
      <c r="L1476" s="11">
        <f>HYPERLINK("2\1\" &amp; K1476, "Ver Imagen")</f>
        <v/>
      </c>
      <c r="M1476" t="inlineStr">
        <is>
          <t>Moda</t>
        </is>
      </c>
    </row>
    <row r="1477">
      <c r="A1477" t="n">
        <v>1476</v>
      </c>
      <c r="B1477" t="inlineStr">
        <is>
          <t>A-499__180</t>
        </is>
      </c>
      <c r="C1477" s="1" t="n">
        <v>37.5141260487</v>
      </c>
      <c r="D1477" s="1" t="n">
        <v>-7.26898977581</v>
      </c>
      <c r="E1477" s="3" t="n">
        <v>2</v>
      </c>
      <c r="F1477" s="2" t="n">
        <v>3</v>
      </c>
      <c r="G1477" s="4" t="n">
        <v>2</v>
      </c>
      <c r="H1477" s="13" t="n"/>
      <c r="I1477" s="15" t="n"/>
      <c r="J1477" s="19" t="n">
        <v>2</v>
      </c>
      <c r="K1477" s="2" t="inlineStr">
        <is>
          <t>marker_127_795622.png</t>
        </is>
      </c>
      <c r="L1477" s="11">
        <f>HYPERLINK("2\1\" &amp; K1477, "Ver Imagen")</f>
        <v/>
      </c>
      <c r="M1477" t="inlineStr">
        <is>
          <t>Moda</t>
        </is>
      </c>
    </row>
    <row r="1478">
      <c r="A1478" t="n">
        <v>1477</v>
      </c>
      <c r="B1478" t="inlineStr">
        <is>
          <t>A-499__183</t>
        </is>
      </c>
      <c r="C1478" s="1" t="n">
        <v>37.5147388203</v>
      </c>
      <c r="D1478" s="1" t="n">
        <v>-7.2688362828</v>
      </c>
      <c r="E1478" s="3" t="n">
        <v>2</v>
      </c>
      <c r="F1478" s="2" t="n">
        <v>1</v>
      </c>
      <c r="G1478" s="4" t="n">
        <v>2</v>
      </c>
      <c r="H1478" s="13" t="n"/>
      <c r="I1478" s="15" t="n"/>
      <c r="J1478" s="19" t="n">
        <v>2</v>
      </c>
      <c r="K1478" s="2" t="inlineStr">
        <is>
          <t>marker_281_795664.png</t>
        </is>
      </c>
      <c r="L1478" s="11">
        <f>HYPERLINK("2\1\" &amp; K1478, "Ver Imagen")</f>
        <v/>
      </c>
      <c r="M1478" t="inlineStr">
        <is>
          <t>Moda</t>
        </is>
      </c>
    </row>
    <row r="1479">
      <c r="A1479" t="n">
        <v>1478</v>
      </c>
      <c r="B1479" t="inlineStr">
        <is>
          <t>A-499__187</t>
        </is>
      </c>
      <c r="C1479" s="1" t="n">
        <v>37.5154281103</v>
      </c>
      <c r="D1479" s="1" t="n">
        <v>-7.26841481777</v>
      </c>
      <c r="E1479" s="3" t="n">
        <v>2</v>
      </c>
      <c r="F1479" s="2" t="n">
        <v>1</v>
      </c>
      <c r="G1479" s="4" t="n">
        <v>2</v>
      </c>
      <c r="H1479" s="13" t="n"/>
      <c r="I1479" s="15" t="n"/>
      <c r="J1479" s="19" t="n">
        <v>2</v>
      </c>
      <c r="K1479" s="2" t="inlineStr">
        <is>
          <t>marker_102_795763.png</t>
        </is>
      </c>
      <c r="L1479" s="11">
        <f>HYPERLINK("2\1\" &amp; K1479, "Ver Imagen")</f>
        <v/>
      </c>
      <c r="M1479" t="inlineStr">
        <is>
          <t>Moda</t>
        </is>
      </c>
    </row>
    <row r="1480">
      <c r="A1480" t="n">
        <v>1479</v>
      </c>
      <c r="B1480" t="inlineStr">
        <is>
          <t>A-499__190</t>
        </is>
      </c>
      <c r="C1480" s="1" t="n">
        <v>37.5158828436</v>
      </c>
      <c r="D1480" s="1" t="n">
        <v>-7.26791567397</v>
      </c>
      <c r="E1480" s="3" t="n">
        <v>2</v>
      </c>
      <c r="F1480" s="2" t="n">
        <v>1</v>
      </c>
      <c r="G1480" s="4" t="n">
        <v>2</v>
      </c>
      <c r="H1480" s="13" t="n"/>
      <c r="I1480" s="15" t="n"/>
      <c r="J1480" s="19" t="n">
        <v>2</v>
      </c>
      <c r="K1480" s="2" t="inlineStr">
        <is>
          <t>marker_588_795808.png</t>
        </is>
      </c>
      <c r="L1480" s="11">
        <f>HYPERLINK("2\1\" &amp; K1480, "Ver Imagen")</f>
        <v/>
      </c>
      <c r="M1480" t="inlineStr">
        <is>
          <t>Moda</t>
        </is>
      </c>
    </row>
    <row r="1481">
      <c r="A1481" t="n">
        <v>1480</v>
      </c>
      <c r="B1481" t="inlineStr">
        <is>
          <t>A-499__191</t>
        </is>
      </c>
      <c r="C1481" s="1" t="n">
        <v>37.5160308506</v>
      </c>
      <c r="D1481" s="1" t="n">
        <v>-7.26769900429</v>
      </c>
      <c r="E1481" s="3" t="n">
        <v>2</v>
      </c>
      <c r="F1481" s="2" t="n">
        <v>1</v>
      </c>
      <c r="G1481" s="4" t="n">
        <v>2</v>
      </c>
      <c r="H1481" s="13" t="n"/>
      <c r="I1481" s="15" t="n"/>
      <c r="J1481" s="19" t="n">
        <v>2</v>
      </c>
      <c r="K1481" s="2" t="inlineStr">
        <is>
          <t>marker_645_795824.png</t>
        </is>
      </c>
      <c r="L1481" s="11">
        <f>HYPERLINK("2\1\" &amp; K1481, "Ver Imagen")</f>
        <v/>
      </c>
      <c r="M1481" t="inlineStr">
        <is>
          <t>Moda</t>
        </is>
      </c>
    </row>
    <row r="1482">
      <c r="A1482" t="n">
        <v>1481</v>
      </c>
      <c r="B1482" t="inlineStr">
        <is>
          <t>A-499__192</t>
        </is>
      </c>
      <c r="C1482" s="1" t="n">
        <v>37.5161554175</v>
      </c>
      <c r="D1482" s="1" t="n">
        <v>-7.26749129919</v>
      </c>
      <c r="E1482" s="3" t="n">
        <v>2</v>
      </c>
      <c r="F1482" s="2" t="n">
        <v>1</v>
      </c>
      <c r="G1482" s="4" t="n">
        <v>2</v>
      </c>
      <c r="H1482" s="13" t="n"/>
      <c r="I1482" s="15" t="n"/>
      <c r="J1482" s="19" t="n">
        <v>2</v>
      </c>
      <c r="K1482" s="2" t="inlineStr">
        <is>
          <t>marker_763_795845.png</t>
        </is>
      </c>
      <c r="L1482" s="11">
        <f>HYPERLINK("2\1\" &amp; K1482, "Ver Imagen")</f>
        <v/>
      </c>
      <c r="M1482" t="inlineStr">
        <is>
          <t>Moda</t>
        </is>
      </c>
    </row>
    <row r="1483">
      <c r="A1483" t="n">
        <v>1482</v>
      </c>
      <c r="B1483" t="inlineStr">
        <is>
          <t>A-499__193</t>
        </is>
      </c>
      <c r="C1483" s="1" t="n">
        <v>37.516280141</v>
      </c>
      <c r="D1483" s="1" t="n">
        <v>-7.26726377497</v>
      </c>
      <c r="E1483" s="3" t="n">
        <v>2</v>
      </c>
      <c r="F1483" s="2" t="n">
        <v>1</v>
      </c>
      <c r="G1483" s="4" t="n">
        <v>2</v>
      </c>
      <c r="H1483" s="13" t="n"/>
      <c r="I1483" s="15" t="n"/>
      <c r="J1483" s="19" t="n">
        <v>2</v>
      </c>
      <c r="K1483" s="2" t="inlineStr">
        <is>
          <t>marker_144_795857.png</t>
        </is>
      </c>
      <c r="L1483" s="11">
        <f>HYPERLINK("2\1\" &amp; K1483, "Ver Imagen")</f>
        <v/>
      </c>
      <c r="M1483" t="inlineStr">
        <is>
          <t>Moda</t>
        </is>
      </c>
    </row>
    <row r="1484">
      <c r="A1484" t="n">
        <v>1483</v>
      </c>
      <c r="B1484" t="inlineStr">
        <is>
          <t>A-499__201</t>
        </is>
      </c>
      <c r="C1484" s="1" t="n">
        <v>37.5171473573</v>
      </c>
      <c r="D1484" s="1" t="n">
        <v>-7.26557498674</v>
      </c>
      <c r="E1484" s="3" t="n">
        <v>2</v>
      </c>
      <c r="F1484" s="2" t="n">
        <v>1</v>
      </c>
      <c r="G1484" s="4" t="n">
        <v>2</v>
      </c>
      <c r="H1484" s="13" t="n"/>
      <c r="I1484" s="15" t="n"/>
      <c r="J1484" s="19" t="n">
        <v>2</v>
      </c>
      <c r="K1484" s="2" t="inlineStr">
        <is>
          <t>marker_465_796099.png</t>
        </is>
      </c>
      <c r="L1484" s="11">
        <f>HYPERLINK("2\1\" &amp; K1484, "Ver Imagen")</f>
        <v/>
      </c>
      <c r="M1484" t="inlineStr">
        <is>
          <t>Moda</t>
        </is>
      </c>
    </row>
    <row r="1485">
      <c r="A1485" t="n">
        <v>1484</v>
      </c>
      <c r="B1485" t="inlineStr">
        <is>
          <t>A-499__202</t>
        </is>
      </c>
      <c r="C1485" s="1" t="n">
        <v>37.5172661501</v>
      </c>
      <c r="D1485" s="1" t="n">
        <v>-7.26534206004</v>
      </c>
      <c r="E1485" s="3" t="n">
        <v>2</v>
      </c>
      <c r="F1485" s="2" t="n">
        <v>1</v>
      </c>
      <c r="G1485" s="4" t="n">
        <v>2</v>
      </c>
      <c r="H1485" s="13" t="n"/>
      <c r="I1485" s="15" t="n"/>
      <c r="J1485" s="19" t="n">
        <v>2</v>
      </c>
      <c r="K1485" s="2" t="inlineStr">
        <is>
          <t>marker_944_796111.png</t>
        </is>
      </c>
      <c r="L1485" s="11">
        <f>HYPERLINK("2\1\" &amp; K1485, "Ver Imagen")</f>
        <v/>
      </c>
      <c r="M1485" t="inlineStr">
        <is>
          <t>Moda</t>
        </is>
      </c>
    </row>
    <row r="1486">
      <c r="A1486" t="n">
        <v>1485</v>
      </c>
      <c r="B1486" t="inlineStr">
        <is>
          <t>A-499__203</t>
        </is>
      </c>
      <c r="C1486" s="1" t="n">
        <v>37.5173871975</v>
      </c>
      <c r="D1486" s="1" t="n">
        <v>-7.26510459131</v>
      </c>
      <c r="E1486" s="3" t="n">
        <v>2</v>
      </c>
      <c r="F1486" s="2" t="n">
        <v>1</v>
      </c>
      <c r="G1486" s="4" t="n">
        <v>2</v>
      </c>
      <c r="H1486" s="13" t="n"/>
      <c r="I1486" s="15" t="n"/>
      <c r="J1486" s="19" t="n">
        <v>2</v>
      </c>
      <c r="K1486" s="2" t="inlineStr">
        <is>
          <t>marker_591_796130.png</t>
        </is>
      </c>
      <c r="L1486" s="11">
        <f>HYPERLINK("2\1\" &amp; K1486, "Ver Imagen")</f>
        <v/>
      </c>
      <c r="M1486" t="inlineStr">
        <is>
          <t>Moda</t>
        </is>
      </c>
    </row>
    <row r="1487">
      <c r="A1487" t="n">
        <v>1486</v>
      </c>
      <c r="B1487" t="inlineStr">
        <is>
          <t>A-499__204</t>
        </is>
      </c>
      <c r="C1487" s="1" t="n">
        <v>37.5174795088</v>
      </c>
      <c r="D1487" s="1" t="n">
        <v>-7.26492320547</v>
      </c>
      <c r="E1487" s="3" t="n">
        <v>2</v>
      </c>
      <c r="F1487" s="2" t="n">
        <v>3</v>
      </c>
      <c r="G1487" s="4" t="n">
        <v>2</v>
      </c>
      <c r="H1487" s="13" t="n"/>
      <c r="I1487" s="15" t="n"/>
      <c r="J1487" s="19" t="n">
        <v>2</v>
      </c>
      <c r="K1487" s="2" t="inlineStr">
        <is>
          <t>marker_917_796196.png</t>
        </is>
      </c>
      <c r="L1487" s="11">
        <f>HYPERLINK("2\1\" &amp; K1487, "Ver Imagen")</f>
        <v/>
      </c>
      <c r="M1487" t="inlineStr">
        <is>
          <t>Moda</t>
        </is>
      </c>
    </row>
    <row r="1488">
      <c r="A1488" t="n">
        <v>1487</v>
      </c>
      <c r="B1488" t="inlineStr">
        <is>
          <t>A-499__205</t>
        </is>
      </c>
      <c r="C1488" s="1" t="n">
        <v>37.5175782417</v>
      </c>
      <c r="D1488" s="1" t="n">
        <v>-7.26472931846</v>
      </c>
      <c r="E1488" s="3" t="n">
        <v>2</v>
      </c>
      <c r="F1488" s="2" t="n">
        <v>1</v>
      </c>
      <c r="G1488" s="4" t="n">
        <v>2</v>
      </c>
      <c r="H1488" s="13" t="n"/>
      <c r="I1488" s="15" t="n"/>
      <c r="J1488" s="19" t="n">
        <v>2</v>
      </c>
      <c r="K1488" s="2" t="inlineStr">
        <is>
          <t>marker_186_796212.png</t>
        </is>
      </c>
      <c r="L1488" s="11">
        <f>HYPERLINK("2\1\" &amp; K1488, "Ver Imagen")</f>
        <v/>
      </c>
      <c r="M1488" t="inlineStr">
        <is>
          <t>Moda</t>
        </is>
      </c>
    </row>
    <row r="1489">
      <c r="A1489" t="n">
        <v>1488</v>
      </c>
      <c r="B1489" t="inlineStr">
        <is>
          <t>A-499__213</t>
        </is>
      </c>
      <c r="C1489" s="1" t="n">
        <v>37.5184556442</v>
      </c>
      <c r="D1489" s="1" t="n">
        <v>-7.26301412614</v>
      </c>
      <c r="E1489" s="3" t="n">
        <v>2</v>
      </c>
      <c r="F1489" s="2" t="n">
        <v>1</v>
      </c>
      <c r="G1489" s="4" t="n">
        <v>2</v>
      </c>
      <c r="H1489" s="13" t="n"/>
      <c r="I1489" s="15" t="n"/>
      <c r="J1489" s="19" t="n">
        <v>2</v>
      </c>
      <c r="K1489" s="2" t="inlineStr">
        <is>
          <t>marker_690_796349.png</t>
        </is>
      </c>
      <c r="L1489" s="11">
        <f>HYPERLINK("2\1\" &amp; K1489, "Ver Imagen")</f>
        <v/>
      </c>
      <c r="M1489" t="inlineStr">
        <is>
          <t>Moda</t>
        </is>
      </c>
    </row>
    <row r="1490">
      <c r="A1490" t="n">
        <v>1489</v>
      </c>
      <c r="B1490" t="inlineStr">
        <is>
          <t>A-499__214</t>
        </is>
      </c>
      <c r="C1490" s="1" t="n">
        <v>37.5185694159</v>
      </c>
      <c r="D1490" s="1" t="n">
        <v>-7.26281225456</v>
      </c>
      <c r="E1490" s="3" t="n">
        <v>2</v>
      </c>
      <c r="F1490" s="2" t="n">
        <v>2</v>
      </c>
      <c r="G1490" s="4" t="n">
        <v>3</v>
      </c>
      <c r="H1490" s="13" t="n"/>
      <c r="I1490" s="15" t="n"/>
      <c r="J1490" s="19" t="n">
        <v>2</v>
      </c>
      <c r="K1490" s="2" t="inlineStr">
        <is>
          <t>marker_971_796399.png</t>
        </is>
      </c>
      <c r="L1490" s="11">
        <f>HYPERLINK("2\1\" &amp; K1490, "Ver Imagen")</f>
        <v/>
      </c>
      <c r="M1490" t="inlineStr">
        <is>
          <t>Moda</t>
        </is>
      </c>
    </row>
    <row r="1491">
      <c r="A1491" t="n">
        <v>1490</v>
      </c>
      <c r="B1491" t="inlineStr">
        <is>
          <t>A-499__216</t>
        </is>
      </c>
      <c r="C1491" s="1" t="n">
        <v>37.5188272777</v>
      </c>
      <c r="D1491" s="1" t="n">
        <v>-7.26242984376</v>
      </c>
      <c r="E1491" s="3" t="n">
        <v>2</v>
      </c>
      <c r="F1491" s="2" t="n">
        <v>1</v>
      </c>
      <c r="G1491" s="4" t="n">
        <v>2</v>
      </c>
      <c r="H1491" s="13" t="n"/>
      <c r="I1491" s="15" t="n"/>
      <c r="J1491" s="19" t="n">
        <v>2</v>
      </c>
      <c r="K1491" s="2" t="inlineStr">
        <is>
          <t>marker_367_796423.png</t>
        </is>
      </c>
      <c r="L1491" s="11">
        <f>HYPERLINK("2\1\" &amp; K1491, "Ver Imagen")</f>
        <v/>
      </c>
      <c r="M1491" t="inlineStr">
        <is>
          <t>Moda</t>
        </is>
      </c>
    </row>
    <row r="1492">
      <c r="A1492" t="n">
        <v>1491</v>
      </c>
      <c r="B1492" t="inlineStr">
        <is>
          <t>A-499__218</t>
        </is>
      </c>
      <c r="C1492" s="1" t="n">
        <v>37.5191292747</v>
      </c>
      <c r="D1492" s="1" t="n">
        <v>-7.2620838752</v>
      </c>
      <c r="E1492" s="3" t="n">
        <v>2</v>
      </c>
      <c r="F1492" s="2" t="n">
        <v>1</v>
      </c>
      <c r="G1492" s="4" t="n">
        <v>2</v>
      </c>
      <c r="H1492" s="13" t="n"/>
      <c r="I1492" s="15" t="n"/>
      <c r="J1492" s="19" t="n">
        <v>2</v>
      </c>
      <c r="K1492" s="2" t="inlineStr">
        <is>
          <t>marker_996_796446.png</t>
        </is>
      </c>
      <c r="L1492" s="11">
        <f>HYPERLINK("2\1\" &amp; K1492, "Ver Imagen")</f>
        <v/>
      </c>
      <c r="M1492" t="inlineStr">
        <is>
          <t>Moda</t>
        </is>
      </c>
    </row>
    <row r="1493">
      <c r="A1493" t="n">
        <v>1492</v>
      </c>
      <c r="B1493" t="inlineStr">
        <is>
          <t>A-499__220</t>
        </is>
      </c>
      <c r="C1493" s="1" t="n">
        <v>37.5194419341</v>
      </c>
      <c r="D1493" s="1" t="n">
        <v>-7.26177644757</v>
      </c>
      <c r="E1493" s="3" t="n">
        <v>2</v>
      </c>
      <c r="F1493" s="2" t="n">
        <v>1</v>
      </c>
      <c r="G1493" s="4" t="n">
        <v>2</v>
      </c>
      <c r="H1493" s="13" t="n"/>
      <c r="I1493" s="15" t="n"/>
      <c r="J1493" s="19" t="n">
        <v>2</v>
      </c>
      <c r="K1493" s="2" t="inlineStr">
        <is>
          <t>marker_526_796470.png</t>
        </is>
      </c>
      <c r="L1493" s="11">
        <f>HYPERLINK("2\1\" &amp; K1493, "Ver Imagen")</f>
        <v/>
      </c>
      <c r="M1493" t="inlineStr">
        <is>
          <t>Moda</t>
        </is>
      </c>
    </row>
    <row r="1494">
      <c r="A1494" t="n">
        <v>1493</v>
      </c>
      <c r="B1494" t="inlineStr">
        <is>
          <t>A-499__224</t>
        </is>
      </c>
      <c r="C1494" s="1" t="n">
        <v>37.5201026188</v>
      </c>
      <c r="D1494" s="1" t="n">
        <v>-7.26115969782</v>
      </c>
      <c r="E1494" s="3" t="n">
        <v>2</v>
      </c>
      <c r="F1494" s="2" t="n">
        <v>2</v>
      </c>
      <c r="G1494" s="4" t="n">
        <v>3</v>
      </c>
      <c r="H1494" s="13" t="n"/>
      <c r="I1494" s="15" t="n"/>
      <c r="J1494" s="19" t="n">
        <v>2</v>
      </c>
      <c r="K1494" s="2" t="inlineStr">
        <is>
          <t>marker_770_796530.png</t>
        </is>
      </c>
      <c r="L1494" s="11">
        <f>HYPERLINK("2\1\" &amp; K1494, "Ver Imagen")</f>
        <v/>
      </c>
      <c r="M1494" t="inlineStr">
        <is>
          <t>Moda</t>
        </is>
      </c>
    </row>
    <row r="1495">
      <c r="A1495" t="n">
        <v>1494</v>
      </c>
      <c r="B1495" t="inlineStr">
        <is>
          <t>A-499__226</t>
        </is>
      </c>
      <c r="C1495" s="1" t="n">
        <v>37.5204288405</v>
      </c>
      <c r="D1495" s="1" t="n">
        <v>-7.26085318472</v>
      </c>
      <c r="E1495" s="3" t="n">
        <v>2</v>
      </c>
      <c r="F1495" s="2" t="n">
        <v>1</v>
      </c>
      <c r="G1495" s="4" t="n">
        <v>2</v>
      </c>
      <c r="H1495" s="13" t="n"/>
      <c r="I1495" s="15" t="n"/>
      <c r="J1495" s="19" t="n">
        <v>2</v>
      </c>
      <c r="K1495" s="2" t="inlineStr">
        <is>
          <t>marker_957_796562.png</t>
        </is>
      </c>
      <c r="L1495" s="11">
        <f>HYPERLINK("2\1\" &amp; K1495, "Ver Imagen")</f>
        <v/>
      </c>
      <c r="M1495" t="inlineStr">
        <is>
          <t>Moda</t>
        </is>
      </c>
    </row>
    <row r="1496">
      <c r="A1496" t="n">
        <v>1495</v>
      </c>
      <c r="B1496" t="inlineStr">
        <is>
          <t>A-499__228</t>
        </is>
      </c>
      <c r="C1496" s="1" t="n">
        <v>37.5207306967</v>
      </c>
      <c r="D1496" s="1" t="n">
        <v>-7.26056876802</v>
      </c>
      <c r="E1496" s="3" t="n">
        <v>2</v>
      </c>
      <c r="F1496" s="2" t="n">
        <v>2</v>
      </c>
      <c r="G1496" s="4" t="n">
        <v>3</v>
      </c>
      <c r="H1496" s="13" t="n"/>
      <c r="I1496" s="15" t="n"/>
      <c r="J1496" s="19" t="n">
        <v>2</v>
      </c>
      <c r="K1496" s="2" t="inlineStr">
        <is>
          <t>marker_423_796593.png</t>
        </is>
      </c>
      <c r="L1496" s="11">
        <f>HYPERLINK("2\1\" &amp; K1496, "Ver Imagen")</f>
        <v/>
      </c>
      <c r="M1496" t="inlineStr">
        <is>
          <t>Moda</t>
        </is>
      </c>
    </row>
    <row r="1497">
      <c r="A1497" t="n">
        <v>1496</v>
      </c>
      <c r="B1497" t="inlineStr">
        <is>
          <t>A-497_2C__32</t>
        </is>
      </c>
      <c r="C1497" s="1" t="n">
        <v>37.2676726537</v>
      </c>
      <c r="D1497" s="1" t="n">
        <v>-6.96509702729</v>
      </c>
      <c r="E1497" s="3" t="n">
        <v>2</v>
      </c>
      <c r="F1497" s="2" t="n">
        <v>2</v>
      </c>
      <c r="G1497" s="4" t="n">
        <v>3</v>
      </c>
      <c r="H1497" s="13" t="n"/>
      <c r="I1497" s="15" t="n"/>
      <c r="J1497" s="19" t="n">
        <v>2</v>
      </c>
      <c r="K1497" s="2" t="inlineStr">
        <is>
          <t>marker_670_654508.png</t>
        </is>
      </c>
      <c r="L1497" s="11">
        <f>HYPERLINK("2\1\" &amp; K1497, "Ver Imagen")</f>
        <v/>
      </c>
      <c r="M1497" t="inlineStr">
        <is>
          <t>Moda</t>
        </is>
      </c>
    </row>
    <row r="1498">
      <c r="A1498" t="n">
        <v>1497</v>
      </c>
      <c r="B1498" t="inlineStr">
        <is>
          <t>A-499__230</t>
        </is>
      </c>
      <c r="C1498" s="1" t="n">
        <v>37.5210691684</v>
      </c>
      <c r="D1498" s="1" t="n">
        <v>-7.26025083941</v>
      </c>
      <c r="E1498" s="3" t="n">
        <v>2</v>
      </c>
      <c r="F1498" s="2" t="n">
        <v>1</v>
      </c>
      <c r="G1498" s="4" t="n">
        <v>2</v>
      </c>
      <c r="H1498" s="13" t="n"/>
      <c r="I1498" s="15" t="n"/>
      <c r="J1498" s="19" t="n">
        <v>2</v>
      </c>
      <c r="K1498" s="2" t="inlineStr">
        <is>
          <t>marker_697_796624.png</t>
        </is>
      </c>
      <c r="L1498" s="11">
        <f>HYPERLINK("2\1\" &amp; K1498, "Ver Imagen")</f>
        <v/>
      </c>
      <c r="M1498" t="inlineStr">
        <is>
          <t>Moda</t>
        </is>
      </c>
    </row>
    <row r="1499">
      <c r="A1499" t="n">
        <v>1498</v>
      </c>
      <c r="B1499" t="inlineStr">
        <is>
          <t>A-499__231</t>
        </is>
      </c>
      <c r="C1499" s="1" t="n">
        <v>37.521232986</v>
      </c>
      <c r="D1499" s="1" t="n">
        <v>-7.26010158326</v>
      </c>
      <c r="E1499" s="3" t="n">
        <v>2</v>
      </c>
      <c r="F1499" s="2" t="n">
        <v>1</v>
      </c>
      <c r="G1499" s="4" t="n">
        <v>2</v>
      </c>
      <c r="H1499" s="13" t="n"/>
      <c r="I1499" s="15" t="n"/>
      <c r="J1499" s="19" t="n">
        <v>2</v>
      </c>
      <c r="K1499" s="2" t="inlineStr">
        <is>
          <t>marker_815_796659.png</t>
        </is>
      </c>
      <c r="L1499" s="11">
        <f>HYPERLINK("2\1\" &amp; K1499, "Ver Imagen")</f>
        <v/>
      </c>
      <c r="M1499" t="inlineStr">
        <is>
          <t>Moda</t>
        </is>
      </c>
    </row>
    <row r="1500">
      <c r="A1500" t="n">
        <v>1499</v>
      </c>
      <c r="B1500" t="inlineStr">
        <is>
          <t>A-499__233</t>
        </is>
      </c>
      <c r="C1500" s="1" t="n">
        <v>37.5215709666</v>
      </c>
      <c r="D1500" s="1" t="n">
        <v>-7.25982849554</v>
      </c>
      <c r="E1500" s="3" t="n">
        <v>2</v>
      </c>
      <c r="F1500" s="2" t="n">
        <v>1</v>
      </c>
      <c r="G1500" s="4" t="n">
        <v>2</v>
      </c>
      <c r="H1500" s="13" t="n"/>
      <c r="I1500" s="15" t="n"/>
      <c r="J1500" s="19" t="n">
        <v>2</v>
      </c>
      <c r="K1500" s="2" t="inlineStr">
        <is>
          <t>marker_763_796680.png</t>
        </is>
      </c>
      <c r="L1500" s="11">
        <f>HYPERLINK("2\1\" &amp; K1500, "Ver Imagen")</f>
        <v/>
      </c>
      <c r="M1500" t="inlineStr">
        <is>
          <t>Moda</t>
        </is>
      </c>
    </row>
    <row r="1501">
      <c r="A1501" t="n">
        <v>1500</v>
      </c>
      <c r="B1501" t="inlineStr">
        <is>
          <t>A-499__237</t>
        </is>
      </c>
      <c r="C1501" s="1" t="n">
        <v>37.5223111793</v>
      </c>
      <c r="D1501" s="1" t="n">
        <v>-7.25941656659</v>
      </c>
      <c r="E1501" s="3" t="n">
        <v>2</v>
      </c>
      <c r="F1501" s="2" t="n">
        <v>1</v>
      </c>
      <c r="G1501" s="4" t="n">
        <v>2</v>
      </c>
      <c r="H1501" s="13" t="n"/>
      <c r="I1501" s="15" t="n"/>
      <c r="J1501" s="19" t="n">
        <v>2</v>
      </c>
      <c r="K1501" s="2" t="inlineStr">
        <is>
          <t>marker_690_796740.png</t>
        </is>
      </c>
      <c r="L1501" s="11">
        <f>HYPERLINK("2\1\" &amp; K1501, "Ver Imagen")</f>
        <v/>
      </c>
      <c r="M1501" t="inlineStr">
        <is>
          <t>Moda</t>
        </is>
      </c>
    </row>
    <row r="1502">
      <c r="A1502" t="n">
        <v>1501</v>
      </c>
      <c r="B1502" t="inlineStr">
        <is>
          <t>A-499__238</t>
        </is>
      </c>
      <c r="C1502" s="1" t="n">
        <v>37.5225085349</v>
      </c>
      <c r="D1502" s="1" t="n">
        <v>-7.25933998628</v>
      </c>
      <c r="E1502" s="3" t="n">
        <v>2</v>
      </c>
      <c r="F1502" s="2" t="n">
        <v>2</v>
      </c>
      <c r="G1502" s="4" t="n">
        <v>3</v>
      </c>
      <c r="H1502" s="13" t="n"/>
      <c r="I1502" s="15" t="n"/>
      <c r="J1502" s="19" t="n">
        <v>2</v>
      </c>
      <c r="K1502" s="2" t="inlineStr">
        <is>
          <t>marker_916_796779.png</t>
        </is>
      </c>
      <c r="L1502" s="11">
        <f>HYPERLINK("2\1\" &amp; K1502, "Ver Imagen")</f>
        <v/>
      </c>
      <c r="M1502" t="inlineStr">
        <is>
          <t>Moda</t>
        </is>
      </c>
    </row>
    <row r="1503">
      <c r="A1503" t="n">
        <v>1502</v>
      </c>
      <c r="B1503" t="inlineStr">
        <is>
          <t>A-499__242</t>
        </is>
      </c>
      <c r="C1503" s="1" t="n">
        <v>37.5232853619</v>
      </c>
      <c r="D1503" s="1" t="n">
        <v>-7.25904054209</v>
      </c>
      <c r="E1503" s="3" t="n">
        <v>2</v>
      </c>
      <c r="F1503" s="2" t="n">
        <v>1</v>
      </c>
      <c r="G1503" s="4" t="n">
        <v>2</v>
      </c>
      <c r="H1503" s="13" t="n"/>
      <c r="I1503" s="15" t="n"/>
      <c r="J1503" s="19" t="n">
        <v>2</v>
      </c>
      <c r="K1503" s="2" t="inlineStr">
        <is>
          <t>marker_100_796895.png</t>
        </is>
      </c>
      <c r="L1503" s="11">
        <f>HYPERLINK("2\1\" &amp; K1503, "Ver Imagen")</f>
        <v/>
      </c>
      <c r="M1503" t="inlineStr">
        <is>
          <t>Moda</t>
        </is>
      </c>
    </row>
    <row r="1504">
      <c r="A1504" t="n">
        <v>1503</v>
      </c>
      <c r="B1504" t="inlineStr">
        <is>
          <t>A-497_2C__51</t>
        </is>
      </c>
      <c r="C1504" s="1" t="n">
        <v>37.2680127653</v>
      </c>
      <c r="D1504" s="1" t="n">
        <v>-6.96988327855</v>
      </c>
      <c r="E1504" s="3" t="n">
        <v>2</v>
      </c>
      <c r="F1504" s="2" t="n">
        <v>3</v>
      </c>
      <c r="G1504" s="4" t="n">
        <v>2</v>
      </c>
      <c r="H1504" s="13" t="n"/>
      <c r="I1504" s="15" t="n"/>
      <c r="J1504" s="19" t="n">
        <v>2</v>
      </c>
      <c r="K1504" s="2" t="inlineStr">
        <is>
          <t>marker_878_654763.png</t>
        </is>
      </c>
      <c r="L1504" s="11">
        <f>HYPERLINK("2\1\" &amp; K1504, "Ver Imagen")</f>
        <v/>
      </c>
      <c r="M1504" t="inlineStr">
        <is>
          <t>Moda</t>
        </is>
      </c>
    </row>
    <row r="1505">
      <c r="A1505" t="n">
        <v>1504</v>
      </c>
      <c r="B1505" t="inlineStr">
        <is>
          <t>A-499__245</t>
        </is>
      </c>
      <c r="C1505" s="1" t="n">
        <v>37.5238274379</v>
      </c>
      <c r="D1505" s="1" t="n">
        <v>-7.25870002215</v>
      </c>
      <c r="E1505" s="3" t="n">
        <v>2</v>
      </c>
      <c r="F1505" s="2" t="n">
        <v>3</v>
      </c>
      <c r="G1505" s="4" t="n">
        <v>2</v>
      </c>
      <c r="H1505" s="13" t="n"/>
      <c r="I1505" s="15" t="n"/>
      <c r="J1505" s="19" t="n">
        <v>2</v>
      </c>
      <c r="K1505" s="2" t="inlineStr">
        <is>
          <t>marker_615_796930.png</t>
        </is>
      </c>
      <c r="L1505" s="11">
        <f>HYPERLINK("2\1\" &amp; K1505, "Ver Imagen")</f>
        <v/>
      </c>
      <c r="M1505" t="inlineStr">
        <is>
          <t>Moda</t>
        </is>
      </c>
    </row>
    <row r="1506">
      <c r="A1506" t="n">
        <v>1505</v>
      </c>
      <c r="B1506" t="inlineStr">
        <is>
          <t>A-499__246</t>
        </is>
      </c>
      <c r="C1506" s="1" t="n">
        <v>37.5240045437</v>
      </c>
      <c r="D1506" s="1" t="n">
        <v>-7.25854947512</v>
      </c>
      <c r="E1506" s="3" t="n">
        <v>2</v>
      </c>
      <c r="F1506" s="2" t="n">
        <v>3</v>
      </c>
      <c r="G1506" s="4" t="n">
        <v>2</v>
      </c>
      <c r="H1506" s="13" t="n"/>
      <c r="I1506" s="15" t="n"/>
      <c r="J1506" s="19" t="n">
        <v>2</v>
      </c>
      <c r="K1506" s="2" t="inlineStr">
        <is>
          <t>marker_654_796951.png</t>
        </is>
      </c>
      <c r="L1506" s="11">
        <f>HYPERLINK("2\1\" &amp; K1506, "Ver Imagen")</f>
        <v/>
      </c>
      <c r="M1506" t="inlineStr">
        <is>
          <t>Moda</t>
        </is>
      </c>
    </row>
    <row r="1507">
      <c r="A1507" t="n">
        <v>1506</v>
      </c>
      <c r="B1507" t="inlineStr">
        <is>
          <t>A-499__247</t>
        </is>
      </c>
      <c r="C1507" s="1" t="n">
        <v>37.5241411943</v>
      </c>
      <c r="D1507" s="1" t="n">
        <v>-7.25841663321</v>
      </c>
      <c r="E1507" s="3" t="n">
        <v>2</v>
      </c>
      <c r="F1507" s="2" t="n">
        <v>1</v>
      </c>
      <c r="G1507" s="4" t="n">
        <v>2</v>
      </c>
      <c r="H1507" s="13" t="n"/>
      <c r="I1507" s="15" t="n"/>
      <c r="J1507" s="19" t="n">
        <v>2</v>
      </c>
      <c r="K1507" s="2" t="inlineStr">
        <is>
          <t>marker_825_796961.png</t>
        </is>
      </c>
      <c r="L1507" s="11">
        <f>HYPERLINK("2\1\" &amp; K1507, "Ver Imagen")</f>
        <v/>
      </c>
      <c r="M1507" t="inlineStr">
        <is>
          <t>Moda</t>
        </is>
      </c>
    </row>
    <row r="1508">
      <c r="A1508" t="n">
        <v>1507</v>
      </c>
      <c r="B1508" t="inlineStr">
        <is>
          <t>A-499__252</t>
        </is>
      </c>
      <c r="C1508" s="1" t="n">
        <v>37.5248355106</v>
      </c>
      <c r="D1508" s="1" t="n">
        <v>-7.25747523293</v>
      </c>
      <c r="E1508" s="3" t="n">
        <v>2</v>
      </c>
      <c r="F1508" s="2" t="n">
        <v>1</v>
      </c>
      <c r="G1508" s="4" t="n">
        <v>2</v>
      </c>
      <c r="H1508" s="13" t="n"/>
      <c r="I1508" s="15" t="n"/>
      <c r="J1508" s="19" t="n">
        <v>2</v>
      </c>
      <c r="K1508" s="2" t="inlineStr">
        <is>
          <t>marker_101_797030.png</t>
        </is>
      </c>
      <c r="L1508" s="11">
        <f>HYPERLINK("2\1\" &amp; K1508, "Ver Imagen")</f>
        <v/>
      </c>
      <c r="M1508" t="inlineStr">
        <is>
          <t>Moda</t>
        </is>
      </c>
    </row>
    <row r="1509">
      <c r="A1509" t="n">
        <v>1508</v>
      </c>
      <c r="B1509" t="inlineStr">
        <is>
          <t>A-499__259</t>
        </is>
      </c>
      <c r="C1509" s="1" t="n">
        <v>37.5257279665</v>
      </c>
      <c r="D1509" s="1" t="n">
        <v>-7.2560609606</v>
      </c>
      <c r="E1509" s="3" t="n">
        <v>2</v>
      </c>
      <c r="F1509" s="2" t="n">
        <v>1</v>
      </c>
      <c r="G1509" s="4" t="n">
        <v>2</v>
      </c>
      <c r="H1509" s="13" t="n"/>
      <c r="I1509" s="15" t="n"/>
      <c r="J1509" s="19" t="n">
        <v>2</v>
      </c>
      <c r="K1509" s="2" t="inlineStr">
        <is>
          <t>marker_623_797247.png</t>
        </is>
      </c>
      <c r="L1509" s="11">
        <f>HYPERLINK("2\1\" &amp; K1509, "Ver Imagen")</f>
        <v/>
      </c>
      <c r="M1509" t="inlineStr">
        <is>
          <t>Moda</t>
        </is>
      </c>
    </row>
    <row r="1510">
      <c r="A1510" t="n">
        <v>1509</v>
      </c>
      <c r="B1510" t="inlineStr">
        <is>
          <t>A-499__261</t>
        </is>
      </c>
      <c r="C1510" s="1" t="n">
        <v>37.5260022379</v>
      </c>
      <c r="D1510" s="1" t="n">
        <v>-7.25570237512</v>
      </c>
      <c r="E1510" s="3" t="n">
        <v>2</v>
      </c>
      <c r="F1510" s="2" t="n">
        <v>1</v>
      </c>
      <c r="G1510" s="4" t="n">
        <v>2</v>
      </c>
      <c r="H1510" s="13" t="n"/>
      <c r="I1510" s="15" t="n"/>
      <c r="J1510" s="19" t="n">
        <v>2</v>
      </c>
      <c r="K1510" s="2" t="inlineStr">
        <is>
          <t>marker_578_797272.png</t>
        </is>
      </c>
      <c r="L1510" s="11">
        <f>HYPERLINK("2\1\" &amp; K1510, "Ver Imagen")</f>
        <v/>
      </c>
      <c r="M1510" t="inlineStr">
        <is>
          <t>Moda</t>
        </is>
      </c>
    </row>
    <row r="1511">
      <c r="A1511" t="n">
        <v>1510</v>
      </c>
      <c r="B1511" t="inlineStr">
        <is>
          <t>A-497_2C__95</t>
        </is>
      </c>
      <c r="C1511" s="1" t="n">
        <v>37.2704498556</v>
      </c>
      <c r="D1511" s="1" t="n">
        <v>-6.98060453292</v>
      </c>
      <c r="E1511" s="3" t="n">
        <v>2</v>
      </c>
      <c r="F1511" s="2" t="n">
        <v>3</v>
      </c>
      <c r="G1511" s="4" t="n">
        <v>2</v>
      </c>
      <c r="H1511" s="13" t="n"/>
      <c r="I1511" s="15" t="n"/>
      <c r="J1511" s="19" t="n">
        <v>2</v>
      </c>
      <c r="K1511" s="2" t="inlineStr">
        <is>
          <t>marker_859_655358.png</t>
        </is>
      </c>
      <c r="L1511" s="11">
        <f>HYPERLINK("2\1\" &amp; K1511, "Ver Imagen")</f>
        <v/>
      </c>
      <c r="M1511" t="inlineStr">
        <is>
          <t>Moda</t>
        </is>
      </c>
    </row>
    <row r="1512">
      <c r="A1512" t="n">
        <v>1511</v>
      </c>
      <c r="B1512" t="inlineStr">
        <is>
          <t>A-497_2C__98</t>
        </is>
      </c>
      <c r="C1512" s="1" t="n">
        <v>37.2706411421</v>
      </c>
      <c r="D1512" s="1" t="n">
        <v>-6.98127267822</v>
      </c>
      <c r="E1512" s="3" t="n">
        <v>2</v>
      </c>
      <c r="F1512" s="2" t="n">
        <v>3</v>
      </c>
      <c r="G1512" s="4" t="n">
        <v>2</v>
      </c>
      <c r="H1512" s="13" t="n"/>
      <c r="I1512" s="15" t="n"/>
      <c r="J1512" s="19" t="n">
        <v>2</v>
      </c>
      <c r="K1512" s="2" t="inlineStr">
        <is>
          <t>marker_963_655388.png</t>
        </is>
      </c>
      <c r="L1512" s="11">
        <f>HYPERLINK("2\1\" &amp; K1512, "Ver Imagen")</f>
        <v/>
      </c>
      <c r="M1512" t="inlineStr">
        <is>
          <t>Moda</t>
        </is>
      </c>
    </row>
    <row r="1513">
      <c r="A1513" t="n">
        <v>1512</v>
      </c>
      <c r="B1513" t="inlineStr">
        <is>
          <t>A-497_2C__125</t>
        </is>
      </c>
      <c r="C1513" s="1" t="n">
        <v>37.2716033231</v>
      </c>
      <c r="D1513" s="1" t="n">
        <v>-6.98789177447</v>
      </c>
      <c r="E1513" s="3" t="n">
        <v>2</v>
      </c>
      <c r="F1513" s="2" t="n">
        <v>3</v>
      </c>
      <c r="G1513" s="4" t="n">
        <v>2</v>
      </c>
      <c r="H1513" s="13" t="n"/>
      <c r="I1513" s="15" t="n"/>
      <c r="J1513" s="19" t="n">
        <v>2</v>
      </c>
      <c r="K1513" s="2" t="inlineStr">
        <is>
          <t>marker_308_655723.png</t>
        </is>
      </c>
      <c r="L1513" s="11">
        <f>HYPERLINK("2\1\" &amp; K1513, "Ver Imagen")</f>
        <v/>
      </c>
      <c r="M1513" t="inlineStr">
        <is>
          <t>Moda</t>
        </is>
      </c>
    </row>
    <row r="1514">
      <c r="A1514" t="n">
        <v>1513</v>
      </c>
      <c r="B1514" t="inlineStr">
        <is>
          <t>A-497_2C__126</t>
        </is>
      </c>
      <c r="C1514" s="1" t="n">
        <v>37.2714976988</v>
      </c>
      <c r="D1514" s="1" t="n">
        <v>-6.98813507234</v>
      </c>
      <c r="E1514" s="3" t="n">
        <v>2</v>
      </c>
      <c r="F1514" s="2" t="n">
        <v>1</v>
      </c>
      <c r="G1514" s="4" t="n">
        <v>2</v>
      </c>
      <c r="H1514" s="13" t="n"/>
      <c r="I1514" s="15" t="n"/>
      <c r="J1514" s="19" t="n">
        <v>2</v>
      </c>
      <c r="K1514" s="2" t="inlineStr">
        <is>
          <t>marker_118_655733.png</t>
        </is>
      </c>
      <c r="L1514" s="11">
        <f>HYPERLINK("2\1\" &amp; K1514, "Ver Imagen")</f>
        <v/>
      </c>
      <c r="M1514" t="inlineStr">
        <is>
          <t>Moda</t>
        </is>
      </c>
    </row>
    <row r="1515">
      <c r="A1515" t="n">
        <v>1514</v>
      </c>
      <c r="B1515" t="inlineStr">
        <is>
          <t>A-497_2C__146</t>
        </is>
      </c>
      <c r="C1515" s="1" t="n">
        <v>37.2681830781</v>
      </c>
      <c r="D1515" s="1" t="n">
        <v>-6.99092479946</v>
      </c>
      <c r="E1515" s="3" t="n">
        <v>2</v>
      </c>
      <c r="F1515" s="2" t="n">
        <v>3</v>
      </c>
      <c r="G1515" s="4" t="n">
        <v>2</v>
      </c>
      <c r="H1515" s="13" t="n"/>
      <c r="I1515" s="15" t="n"/>
      <c r="J1515" s="19" t="n">
        <v>2</v>
      </c>
      <c r="K1515" s="2" t="inlineStr">
        <is>
          <t>marker_577_655930.png</t>
        </is>
      </c>
      <c r="L1515" s="11">
        <f>HYPERLINK("2\1\" &amp; K1515, "Ver Imagen")</f>
        <v/>
      </c>
      <c r="M1515" t="inlineStr">
        <is>
          <t>Moda</t>
        </is>
      </c>
    </row>
    <row r="1516">
      <c r="A1516" t="n">
        <v>1515</v>
      </c>
      <c r="B1516" t="inlineStr">
        <is>
          <t>A-497_2C__150</t>
        </is>
      </c>
      <c r="C1516" s="1" t="n">
        <v>37.2674730029</v>
      </c>
      <c r="D1516" s="1" t="n">
        <v>-6.99145427812</v>
      </c>
      <c r="E1516" s="3" t="n">
        <v>2</v>
      </c>
      <c r="F1516" s="2" t="n">
        <v>3</v>
      </c>
      <c r="G1516" s="4" t="n">
        <v>2</v>
      </c>
      <c r="H1516" s="13" t="n"/>
      <c r="I1516" s="15" t="n"/>
      <c r="J1516" s="19" t="n">
        <v>2</v>
      </c>
      <c r="K1516" s="2" t="inlineStr">
        <is>
          <t>marker_850_656002.png</t>
        </is>
      </c>
      <c r="L1516" s="11">
        <f>HYPERLINK("2\1\" &amp; K1516, "Ver Imagen")</f>
        <v/>
      </c>
      <c r="M1516" t="inlineStr">
        <is>
          <t>Moda</t>
        </is>
      </c>
    </row>
    <row r="1517">
      <c r="A1517" t="n">
        <v>1516</v>
      </c>
      <c r="B1517" t="inlineStr">
        <is>
          <t>A-497_2C__157</t>
        </is>
      </c>
      <c r="C1517" s="1" t="n">
        <v>37.2664653984</v>
      </c>
      <c r="D1517" s="1" t="n">
        <v>-6.99265408919</v>
      </c>
      <c r="E1517" s="3" t="n">
        <v>2</v>
      </c>
      <c r="F1517" s="2" t="n">
        <v>3</v>
      </c>
      <c r="G1517" s="4" t="n">
        <v>2</v>
      </c>
      <c r="H1517" s="13" t="n"/>
      <c r="I1517" s="15" t="n"/>
      <c r="J1517" s="19" t="n">
        <v>2</v>
      </c>
      <c r="K1517" s="2" t="inlineStr">
        <is>
          <t>marker_135_656076.png</t>
        </is>
      </c>
      <c r="L1517" s="11">
        <f>HYPERLINK("2\1\" &amp; K1517, "Ver Imagen")</f>
        <v/>
      </c>
      <c r="M1517" t="inlineStr">
        <is>
          <t>Moda</t>
        </is>
      </c>
    </row>
    <row r="1518">
      <c r="A1518" t="n">
        <v>1517</v>
      </c>
      <c r="B1518" t="inlineStr">
        <is>
          <t>A-497__734</t>
        </is>
      </c>
      <c r="C1518" s="1" t="n">
        <v>37.190145812</v>
      </c>
      <c r="D1518" s="1" t="n">
        <v>-6.97791923418</v>
      </c>
      <c r="E1518" s="3" t="n">
        <v>2</v>
      </c>
      <c r="F1518" s="2" t="n">
        <v>3</v>
      </c>
      <c r="G1518" s="4" t="n">
        <v>2</v>
      </c>
      <c r="H1518" s="13" t="n"/>
      <c r="I1518" s="15" t="n"/>
      <c r="J1518" s="19" t="n">
        <v>2</v>
      </c>
      <c r="K1518" s="2" t="inlineStr">
        <is>
          <t>marker_864_368904.png</t>
        </is>
      </c>
      <c r="L1518" s="11">
        <f>HYPERLINK("2\1\" &amp; K1518, "Ver Imagen")</f>
        <v/>
      </c>
      <c r="M1518" t="inlineStr">
        <is>
          <t>Moda</t>
        </is>
      </c>
    </row>
    <row r="1519">
      <c r="A1519" t="n">
        <v>1518</v>
      </c>
      <c r="B1519" t="inlineStr">
        <is>
          <t>A-497__731</t>
        </is>
      </c>
      <c r="C1519" s="1" t="n">
        <v>37.1907560831</v>
      </c>
      <c r="D1519" s="1" t="n">
        <v>-6.97776404147</v>
      </c>
      <c r="E1519" s="3" t="n">
        <v>2</v>
      </c>
      <c r="F1519" s="2" t="n">
        <v>3</v>
      </c>
      <c r="G1519" s="4" t="n">
        <v>2</v>
      </c>
      <c r="H1519" s="13" t="n"/>
      <c r="I1519" s="15" t="n"/>
      <c r="J1519" s="19" t="n">
        <v>2</v>
      </c>
      <c r="K1519" s="2" t="inlineStr">
        <is>
          <t>marker_988_368936.png</t>
        </is>
      </c>
      <c r="L1519" s="11">
        <f>HYPERLINK("2\1\" &amp; K1519, "Ver Imagen")</f>
        <v/>
      </c>
      <c r="M1519" t="inlineStr">
        <is>
          <t>Moda</t>
        </is>
      </c>
    </row>
    <row r="1520">
      <c r="A1520" t="n">
        <v>1519</v>
      </c>
      <c r="B1520" t="inlineStr">
        <is>
          <t>A-497__730</t>
        </is>
      </c>
      <c r="C1520" s="1" t="n">
        <v>37.1910076587</v>
      </c>
      <c r="D1520" s="1" t="n">
        <v>-6.9777053377</v>
      </c>
      <c r="E1520" s="3" t="n">
        <v>2</v>
      </c>
      <c r="F1520" s="2" t="n">
        <v>3</v>
      </c>
      <c r="G1520" s="4" t="n">
        <v>2</v>
      </c>
      <c r="H1520" s="13" t="n"/>
      <c r="I1520" s="15" t="n"/>
      <c r="J1520" s="19" t="n">
        <v>2</v>
      </c>
      <c r="K1520" s="2" t="inlineStr">
        <is>
          <t>marker_927_368946.png</t>
        </is>
      </c>
      <c r="L1520" s="11">
        <f>HYPERLINK("2\1\" &amp; K1520, "Ver Imagen")</f>
        <v/>
      </c>
      <c r="M1520" t="inlineStr">
        <is>
          <t>Moda</t>
        </is>
      </c>
    </row>
    <row r="1521">
      <c r="A1521" t="n">
        <v>1520</v>
      </c>
      <c r="B1521" t="inlineStr">
        <is>
          <t>A-497_2C__169</t>
        </is>
      </c>
      <c r="C1521" s="1" t="n">
        <v>37.2656088672</v>
      </c>
      <c r="D1521" s="1" t="n">
        <v>-6.99546439366</v>
      </c>
      <c r="E1521" s="3" t="n">
        <v>2</v>
      </c>
      <c r="F1521" s="2" t="n">
        <v>2</v>
      </c>
      <c r="G1521" s="4" t="n">
        <v>1</v>
      </c>
      <c r="H1521" s="13" t="n"/>
      <c r="I1521" s="15" t="n"/>
      <c r="J1521" s="19" t="n">
        <v>2</v>
      </c>
      <c r="K1521" s="2" t="inlineStr">
        <is>
          <t>marker_320_656190.png</t>
        </is>
      </c>
      <c r="L1521" s="11">
        <f>HYPERLINK("2\1\" &amp; K1521, "Ver Imagen")</f>
        <v/>
      </c>
      <c r="M1521" t="inlineStr">
        <is>
          <t>Moda</t>
        </is>
      </c>
    </row>
    <row r="1522">
      <c r="A1522" t="n">
        <v>1521</v>
      </c>
      <c r="B1522" t="inlineStr">
        <is>
          <t>A-497__698</t>
        </is>
      </c>
      <c r="C1522" s="1" t="n">
        <v>37.197099102</v>
      </c>
      <c r="D1522" s="1" t="n">
        <v>-6.9793245497</v>
      </c>
      <c r="E1522" s="3" t="n">
        <v>2</v>
      </c>
      <c r="F1522" s="2" t="n">
        <v>3</v>
      </c>
      <c r="G1522" s="4" t="n">
        <v>2</v>
      </c>
      <c r="H1522" s="13" t="n"/>
      <c r="I1522" s="15" t="n"/>
      <c r="J1522" s="19" t="n">
        <v>2</v>
      </c>
      <c r="K1522" s="2" t="inlineStr">
        <is>
          <t>marker_606_370397.png</t>
        </is>
      </c>
      <c r="L1522" s="11">
        <f>HYPERLINK("2\1\" &amp; K1522, "Ver Imagen")</f>
        <v/>
      </c>
      <c r="M1522" t="inlineStr">
        <is>
          <t>Moda</t>
        </is>
      </c>
    </row>
    <row r="1523">
      <c r="A1523" t="n">
        <v>1522</v>
      </c>
      <c r="B1523" t="inlineStr">
        <is>
          <t>A-497__680</t>
        </is>
      </c>
      <c r="C1523" s="1" t="n">
        <v>37.1992025595</v>
      </c>
      <c r="D1523" s="1" t="n">
        <v>-6.98296970375</v>
      </c>
      <c r="E1523" s="3" t="n">
        <v>2</v>
      </c>
      <c r="F1523" s="2" t="n">
        <v>3</v>
      </c>
      <c r="G1523" s="4" t="n">
        <v>2</v>
      </c>
      <c r="H1523" s="13" t="n"/>
      <c r="I1523" s="15" t="n"/>
      <c r="J1523" s="19" t="n">
        <v>2</v>
      </c>
      <c r="K1523" s="2" t="inlineStr">
        <is>
          <t>marker_910_370574.png</t>
        </is>
      </c>
      <c r="L1523" s="11">
        <f>HYPERLINK("2\1\" &amp; K1523, "Ver Imagen")</f>
        <v/>
      </c>
      <c r="M1523" t="inlineStr">
        <is>
          <t>Moda</t>
        </is>
      </c>
    </row>
    <row r="1524">
      <c r="A1524" t="n">
        <v>1523</v>
      </c>
      <c r="B1524" t="inlineStr">
        <is>
          <t>A-497__673</t>
        </is>
      </c>
      <c r="C1524" s="1" t="n">
        <v>37.1996833857</v>
      </c>
      <c r="D1524" s="1" t="n">
        <v>-6.98460500966</v>
      </c>
      <c r="E1524" s="3" t="n">
        <v>2</v>
      </c>
      <c r="F1524" s="2" t="n">
        <v>3</v>
      </c>
      <c r="G1524" s="4" t="n">
        <v>2</v>
      </c>
      <c r="H1524" s="13" t="n"/>
      <c r="I1524" s="15" t="n"/>
      <c r="J1524" s="19" t="n">
        <v>2</v>
      </c>
      <c r="K1524" s="2" t="inlineStr">
        <is>
          <t>marker_916_370997.png</t>
        </is>
      </c>
      <c r="L1524" s="11">
        <f>HYPERLINK("2\1\" &amp; K1524, "Ver Imagen")</f>
        <v/>
      </c>
      <c r="M1524" t="inlineStr">
        <is>
          <t>Moda</t>
        </is>
      </c>
    </row>
    <row r="1525">
      <c r="A1525" t="n">
        <v>1524</v>
      </c>
      <c r="B1525" t="inlineStr">
        <is>
          <t>A-497_2C__235</t>
        </is>
      </c>
      <c r="C1525" s="1" t="n">
        <v>37.2613127047</v>
      </c>
      <c r="D1525" s="1" t="n">
        <v>-7.01086094361</v>
      </c>
      <c r="E1525" s="3" t="n">
        <v>2</v>
      </c>
      <c r="F1525" s="2" t="n">
        <v>3</v>
      </c>
      <c r="G1525" s="4" t="n">
        <v>2</v>
      </c>
      <c r="H1525" s="13" t="n"/>
      <c r="I1525" s="15" t="n"/>
      <c r="J1525" s="19" t="n">
        <v>2</v>
      </c>
      <c r="K1525" s="2" t="inlineStr">
        <is>
          <t>marker_549_656925.png</t>
        </is>
      </c>
      <c r="L1525" s="11">
        <f>HYPERLINK("2\1\" &amp; K1525, "Ver Imagen")</f>
        <v/>
      </c>
      <c r="M1525" t="inlineStr">
        <is>
          <t>Moda</t>
        </is>
      </c>
    </row>
    <row r="1526">
      <c r="A1526" t="n">
        <v>1525</v>
      </c>
      <c r="B1526" t="inlineStr">
        <is>
          <t>A-497_2C__238</t>
        </is>
      </c>
      <c r="C1526" s="1" t="n">
        <v>37.2608049822</v>
      </c>
      <c r="D1526" s="1" t="n">
        <v>-7.01119651988</v>
      </c>
      <c r="E1526" s="3" t="n">
        <v>2</v>
      </c>
      <c r="F1526" s="2" t="n">
        <v>1</v>
      </c>
      <c r="G1526" s="4" t="n">
        <v>2</v>
      </c>
      <c r="H1526" s="13" t="n"/>
      <c r="I1526" s="15" t="n"/>
      <c r="J1526" s="19" t="n">
        <v>2</v>
      </c>
      <c r="K1526" s="2" t="inlineStr">
        <is>
          <t>marker_106_656972.png</t>
        </is>
      </c>
      <c r="L1526" s="11">
        <f>HYPERLINK("2\1\" &amp; K1526, "Ver Imagen")</f>
        <v/>
      </c>
      <c r="M1526" t="inlineStr">
        <is>
          <t>Moda</t>
        </is>
      </c>
    </row>
    <row r="1527">
      <c r="A1527" t="n">
        <v>1526</v>
      </c>
      <c r="B1527" t="inlineStr">
        <is>
          <t>A-497_2C__240</t>
        </is>
      </c>
      <c r="C1527" s="1" t="n">
        <v>37.2604269881</v>
      </c>
      <c r="D1527" s="1" t="n">
        <v>-7.01143683312</v>
      </c>
      <c r="E1527" s="3" t="n">
        <v>2</v>
      </c>
      <c r="F1527" s="2" t="n">
        <v>3</v>
      </c>
      <c r="G1527" s="4" t="n">
        <v>2</v>
      </c>
      <c r="H1527" s="13" t="n"/>
      <c r="I1527" s="15" t="n"/>
      <c r="J1527" s="19" t="n">
        <v>2</v>
      </c>
      <c r="K1527" s="2" t="inlineStr">
        <is>
          <t>marker_938_657027.png</t>
        </is>
      </c>
      <c r="L1527" s="11">
        <f>HYPERLINK("2\1\" &amp; K1527, "Ver Imagen")</f>
        <v/>
      </c>
      <c r="M1527" t="inlineStr">
        <is>
          <t>Moda</t>
        </is>
      </c>
    </row>
    <row r="1528">
      <c r="A1528" t="n">
        <v>1527</v>
      </c>
      <c r="B1528" t="inlineStr">
        <is>
          <t>A-497__664</t>
        </is>
      </c>
      <c r="C1528" s="1" t="n">
        <v>37.2002379973</v>
      </c>
      <c r="D1528" s="1" t="n">
        <v>-6.98681418982</v>
      </c>
      <c r="E1528" s="3" t="n">
        <v>2</v>
      </c>
      <c r="F1528" s="2" t="n">
        <v>3</v>
      </c>
      <c r="G1528" s="4" t="n">
        <v>2</v>
      </c>
      <c r="H1528" s="13" t="n"/>
      <c r="I1528" s="15" t="n"/>
      <c r="J1528" s="19" t="n">
        <v>2</v>
      </c>
      <c r="K1528" s="2" t="inlineStr">
        <is>
          <t>marker_552_371116.png</t>
        </is>
      </c>
      <c r="L1528" s="11">
        <f>HYPERLINK("2\1\" &amp; K1528, "Ver Imagen")</f>
        <v/>
      </c>
      <c r="M1528" t="inlineStr">
        <is>
          <t>Moda</t>
        </is>
      </c>
    </row>
    <row r="1529">
      <c r="A1529" t="n">
        <v>1528</v>
      </c>
      <c r="B1529" t="inlineStr">
        <is>
          <t>A-497_2C__249</t>
        </is>
      </c>
      <c r="C1529" s="1" t="n">
        <v>37.2587793576</v>
      </c>
      <c r="D1529" s="1" t="n">
        <v>-7.01248544736</v>
      </c>
      <c r="E1529" s="3" t="n">
        <v>2</v>
      </c>
      <c r="F1529" s="2" t="n">
        <v>3</v>
      </c>
      <c r="G1529" s="4" t="n">
        <v>2</v>
      </c>
      <c r="H1529" s="13" t="n"/>
      <c r="I1529" s="15" t="n"/>
      <c r="J1529" s="19" t="n">
        <v>2</v>
      </c>
      <c r="K1529" s="2" t="inlineStr">
        <is>
          <t>marker_825_319392.png</t>
        </is>
      </c>
      <c r="L1529" s="11">
        <f>HYPERLINK("2\1\" &amp; K1529, "Ver Imagen")</f>
        <v/>
      </c>
      <c r="M1529" t="inlineStr">
        <is>
          <t>Moda</t>
        </is>
      </c>
    </row>
    <row r="1530">
      <c r="A1530" t="n">
        <v>1529</v>
      </c>
      <c r="B1530" t="inlineStr">
        <is>
          <t>A-497_2C__265</t>
        </is>
      </c>
      <c r="C1530" s="1" t="n">
        <v>37.2558840797</v>
      </c>
      <c r="D1530" s="1" t="n">
        <v>-7.01432397459</v>
      </c>
      <c r="E1530" s="3" t="n">
        <v>2</v>
      </c>
      <c r="F1530" s="2" t="n">
        <v>2</v>
      </c>
      <c r="G1530" s="4" t="n">
        <v>3</v>
      </c>
      <c r="H1530" s="13" t="n"/>
      <c r="I1530" s="15" t="n"/>
      <c r="J1530" s="19" t="n">
        <v>2</v>
      </c>
      <c r="K1530" s="2" t="inlineStr">
        <is>
          <t>marker_555_319678.png</t>
        </is>
      </c>
      <c r="L1530" s="11">
        <f>HYPERLINK("2\1\" &amp; K1530, "Ver Imagen")</f>
        <v/>
      </c>
      <c r="M1530" t="inlineStr">
        <is>
          <t>Moda</t>
        </is>
      </c>
    </row>
    <row r="1531">
      <c r="A1531" t="n">
        <v>1530</v>
      </c>
      <c r="B1531" t="inlineStr">
        <is>
          <t>A-497__561</t>
        </is>
      </c>
      <c r="C1531" s="1" t="n">
        <v>37.2043668269</v>
      </c>
      <c r="D1531" s="1" t="n">
        <v>-7.01237077428</v>
      </c>
      <c r="E1531" s="3" t="n">
        <v>3</v>
      </c>
      <c r="F1531" s="2" t="n">
        <v>2</v>
      </c>
      <c r="G1531" s="4" t="n">
        <v>2</v>
      </c>
      <c r="H1531" s="13" t="n"/>
      <c r="I1531" s="15" t="n"/>
      <c r="J1531" s="19" t="n">
        <v>2</v>
      </c>
      <c r="K1531" s="2" t="inlineStr">
        <is>
          <t>marker_576_372136.png</t>
        </is>
      </c>
      <c r="L1531" s="11">
        <f>HYPERLINK("2\1\" &amp; K1531, "Ver Imagen")</f>
        <v/>
      </c>
      <c r="M1531" t="inlineStr">
        <is>
          <t>Moda</t>
        </is>
      </c>
    </row>
    <row r="1532">
      <c r="A1532" t="n">
        <v>1531</v>
      </c>
      <c r="B1532" t="inlineStr">
        <is>
          <t>A-497_2C__303</t>
        </is>
      </c>
      <c r="C1532" s="1" t="n">
        <v>37.2489023502</v>
      </c>
      <c r="D1532" s="1" t="n">
        <v>-7.01831633383</v>
      </c>
      <c r="E1532" s="3" t="n">
        <v>2</v>
      </c>
      <c r="F1532" s="2" t="n">
        <v>3</v>
      </c>
      <c r="G1532" s="4" t="n">
        <v>2</v>
      </c>
      <c r="H1532" s="13" t="n"/>
      <c r="I1532" s="15" t="n"/>
      <c r="J1532" s="19" t="n">
        <v>2</v>
      </c>
      <c r="K1532" s="2" t="inlineStr">
        <is>
          <t>marker_653_320200.png</t>
        </is>
      </c>
      <c r="L1532" s="11">
        <f>HYPERLINK("2\1\" &amp; K1532, "Ver Imagen")</f>
        <v/>
      </c>
      <c r="M1532" t="inlineStr">
        <is>
          <t>Moda</t>
        </is>
      </c>
    </row>
    <row r="1533">
      <c r="A1533" t="n">
        <v>1532</v>
      </c>
      <c r="B1533" t="inlineStr">
        <is>
          <t>A-497_2C__317</t>
        </is>
      </c>
      <c r="C1533" s="1" t="n">
        <v>37.2460862342</v>
      </c>
      <c r="D1533" s="1" t="n">
        <v>-7.01844865825</v>
      </c>
      <c r="E1533" s="3" t="n">
        <v>2</v>
      </c>
      <c r="F1533" s="2" t="n">
        <v>3</v>
      </c>
      <c r="G1533" s="4" t="n">
        <v>2</v>
      </c>
      <c r="H1533" s="13" t="n"/>
      <c r="I1533" s="15" t="n"/>
      <c r="J1533" s="19" t="n">
        <v>2</v>
      </c>
      <c r="K1533" s="2" t="inlineStr">
        <is>
          <t>marker_356_361898.png</t>
        </is>
      </c>
      <c r="L1533" s="11">
        <f>HYPERLINK("2\1\" &amp; K1533, "Ver Imagen")</f>
        <v/>
      </c>
      <c r="M1533" t="inlineStr">
        <is>
          <t>Moda</t>
        </is>
      </c>
    </row>
    <row r="1534">
      <c r="A1534" t="n">
        <v>1533</v>
      </c>
      <c r="B1534" t="inlineStr">
        <is>
          <t>A-497_2C__411</t>
        </is>
      </c>
      <c r="C1534" s="1" t="n">
        <v>37.2278921656</v>
      </c>
      <c r="D1534" s="1" t="n">
        <v>-7.0220638218</v>
      </c>
      <c r="E1534" s="3" t="n">
        <v>2</v>
      </c>
      <c r="F1534" s="2" t="n">
        <v>1</v>
      </c>
      <c r="G1534" s="4" t="n">
        <v>2</v>
      </c>
      <c r="H1534" s="13" t="n"/>
      <c r="I1534" s="15" t="n"/>
      <c r="J1534" s="19" t="n">
        <v>2</v>
      </c>
      <c r="K1534" s="2" t="inlineStr">
        <is>
          <t>marker_525_363018.png</t>
        </is>
      </c>
      <c r="L1534" s="11">
        <f>HYPERLINK("2\1\" &amp; K1534, "Ver Imagen")</f>
        <v/>
      </c>
      <c r="M1534" t="inlineStr">
        <is>
          <t>Moda</t>
        </is>
      </c>
    </row>
    <row r="1535">
      <c r="A1535" t="n">
        <v>1534</v>
      </c>
      <c r="B1535" t="inlineStr">
        <is>
          <t>A-497_2C__421</t>
        </is>
      </c>
      <c r="C1535" s="1" t="n">
        <v>37.2261292646</v>
      </c>
      <c r="D1535" s="1" t="n">
        <v>-7.02315040786</v>
      </c>
      <c r="E1535" s="3" t="n">
        <v>2</v>
      </c>
      <c r="F1535" s="2" t="n">
        <v>1</v>
      </c>
      <c r="G1535" s="4" t="n">
        <v>2</v>
      </c>
      <c r="H1535" s="13" t="n"/>
      <c r="I1535" s="15" t="n"/>
      <c r="J1535" s="19" t="n">
        <v>2</v>
      </c>
      <c r="K1535" s="2" t="inlineStr">
        <is>
          <t>marker_871_363122.png</t>
        </is>
      </c>
      <c r="L1535" s="11">
        <f>HYPERLINK("2\1\" &amp; K1535, "Ver Imagen")</f>
        <v/>
      </c>
      <c r="M1535" t="inlineStr">
        <is>
          <t>Moda</t>
        </is>
      </c>
    </row>
    <row r="1536">
      <c r="A1536" t="n">
        <v>1535</v>
      </c>
      <c r="B1536" t="inlineStr">
        <is>
          <t>A-497_2C__422</t>
        </is>
      </c>
      <c r="C1536" s="1" t="n">
        <v>37.225880216</v>
      </c>
      <c r="D1536" s="1" t="n">
        <v>-7.02323442356</v>
      </c>
      <c r="E1536" s="3" t="n">
        <v>2</v>
      </c>
      <c r="F1536" s="2" t="n">
        <v>1</v>
      </c>
      <c r="G1536" s="4" t="n">
        <v>2</v>
      </c>
      <c r="H1536" s="13" t="n"/>
      <c r="I1536" s="15" t="n"/>
      <c r="J1536" s="19" t="n">
        <v>2</v>
      </c>
      <c r="K1536" s="2" t="inlineStr">
        <is>
          <t>marker_579_363132.png</t>
        </is>
      </c>
      <c r="L1536" s="11">
        <f>HYPERLINK("2\1\" &amp; K1536, "Ver Imagen")</f>
        <v/>
      </c>
      <c r="M1536" t="inlineStr">
        <is>
          <t>Moda</t>
        </is>
      </c>
    </row>
    <row r="1537">
      <c r="A1537" t="n">
        <v>1536</v>
      </c>
      <c r="B1537" t="inlineStr">
        <is>
          <t>A-497__483</t>
        </is>
      </c>
      <c r="C1537" s="1" t="n">
        <v>37.2145833507</v>
      </c>
      <c r="D1537" s="1" t="n">
        <v>-7.02348664904</v>
      </c>
      <c r="E1537" s="3" t="n">
        <v>2</v>
      </c>
      <c r="F1537" s="2" t="n">
        <v>1</v>
      </c>
      <c r="G1537" s="4" t="n">
        <v>2</v>
      </c>
      <c r="H1537" s="13" t="n"/>
      <c r="I1537" s="15" t="n"/>
      <c r="J1537" s="19" t="n">
        <v>2</v>
      </c>
      <c r="K1537" s="2" t="inlineStr">
        <is>
          <t>marker_842_376270.png</t>
        </is>
      </c>
      <c r="L1537" s="11">
        <f>HYPERLINK("2\1\" &amp; K1537, "Ver Imagen")</f>
        <v/>
      </c>
      <c r="M1537" t="inlineStr">
        <is>
          <t>Moda</t>
        </is>
      </c>
    </row>
    <row r="1538">
      <c r="A1538" t="n">
        <v>1537</v>
      </c>
      <c r="B1538" t="inlineStr">
        <is>
          <t>A-497__481</t>
        </is>
      </c>
      <c r="C1538" s="1" t="n">
        <v>37.2149559358</v>
      </c>
      <c r="D1538" s="1" t="n">
        <v>-7.02341875555</v>
      </c>
      <c r="E1538" s="3" t="n">
        <v>2</v>
      </c>
      <c r="F1538" s="2" t="n">
        <v>3</v>
      </c>
      <c r="G1538" s="4" t="n">
        <v>2</v>
      </c>
      <c r="H1538" s="13" t="n"/>
      <c r="I1538" s="15" t="n"/>
      <c r="J1538" s="19" t="n">
        <v>2</v>
      </c>
      <c r="K1538" s="2" t="inlineStr">
        <is>
          <t>marker_601_376296.png</t>
        </is>
      </c>
      <c r="L1538" s="11">
        <f>HYPERLINK("2\1\" &amp; K1538, "Ver Imagen")</f>
        <v/>
      </c>
      <c r="M1538" t="inlineStr">
        <is>
          <t>Moda</t>
        </is>
      </c>
    </row>
    <row r="1539">
      <c r="A1539" t="n">
        <v>1538</v>
      </c>
      <c r="B1539" t="inlineStr">
        <is>
          <t>A-497_2C__428</t>
        </is>
      </c>
      <c r="C1539" s="1" t="n">
        <v>37.2246506838</v>
      </c>
      <c r="D1539" s="1" t="n">
        <v>-7.02339089137</v>
      </c>
      <c r="E1539" s="3" t="n">
        <v>2</v>
      </c>
      <c r="F1539" s="2" t="n">
        <v>3</v>
      </c>
      <c r="G1539" s="4" t="n">
        <v>2</v>
      </c>
      <c r="H1539" s="13" t="n"/>
      <c r="I1539" s="15" t="n"/>
      <c r="J1539" s="19" t="n">
        <v>2</v>
      </c>
      <c r="K1539" s="2" t="inlineStr">
        <is>
          <t>marker_351_363189.png</t>
        </is>
      </c>
      <c r="L1539" s="11">
        <f>HYPERLINK("2\1\" &amp; K1539, "Ver Imagen")</f>
        <v/>
      </c>
      <c r="M1539" t="inlineStr">
        <is>
          <t>Moda</t>
        </is>
      </c>
    </row>
    <row r="1540">
      <c r="A1540" t="n">
        <v>1539</v>
      </c>
      <c r="B1540" t="inlineStr">
        <is>
          <t>A-497_2C__436</t>
        </is>
      </c>
      <c r="C1540" s="1" t="n">
        <v>37.2230512809</v>
      </c>
      <c r="D1540" s="1" t="n">
        <v>-7.02325358404</v>
      </c>
      <c r="E1540" s="3" t="n">
        <v>2</v>
      </c>
      <c r="F1540" s="2" t="n">
        <v>1</v>
      </c>
      <c r="G1540" s="4" t="n">
        <v>2</v>
      </c>
      <c r="H1540" s="13" t="n"/>
      <c r="I1540" s="15" t="n"/>
      <c r="J1540" s="19" t="n">
        <v>2</v>
      </c>
      <c r="K1540" s="2" t="inlineStr">
        <is>
          <t>marker_200_363268.png</t>
        </is>
      </c>
      <c r="L1540" s="11">
        <f>HYPERLINK("2\1\" &amp; K1540, "Ver Imagen")</f>
        <v/>
      </c>
      <c r="M1540" t="inlineStr">
        <is>
          <t>Moda</t>
        </is>
      </c>
    </row>
    <row r="1541">
      <c r="A1541" t="n">
        <v>1540</v>
      </c>
      <c r="B1541" t="inlineStr">
        <is>
          <t>A-497__465</t>
        </is>
      </c>
      <c r="C1541" s="1" t="n">
        <v>37.2181927114</v>
      </c>
      <c r="D1541" s="1" t="n">
        <v>-7.02285214065</v>
      </c>
      <c r="E1541" s="3" t="n">
        <v>2</v>
      </c>
      <c r="F1541" s="2" t="n">
        <v>1</v>
      </c>
      <c r="G1541" s="4" t="n">
        <v>2</v>
      </c>
      <c r="H1541" s="13" t="n"/>
      <c r="I1541" s="15" t="n"/>
      <c r="J1541" s="19" t="n">
        <v>2</v>
      </c>
      <c r="K1541" s="2" t="inlineStr">
        <is>
          <t>marker_848_376522.png</t>
        </is>
      </c>
      <c r="L1541" s="11">
        <f>HYPERLINK("2\1\" &amp; K1541, "Ver Imagen")</f>
        <v/>
      </c>
      <c r="M1541" t="inlineStr">
        <is>
          <t>Moda</t>
        </is>
      </c>
    </row>
    <row r="1542">
      <c r="A1542" t="n">
        <v>1541</v>
      </c>
      <c r="B1542" t="inlineStr">
        <is>
          <t>A-497__461</t>
        </is>
      </c>
      <c r="C1542" s="1" t="n">
        <v>37.2189391759</v>
      </c>
      <c r="D1542" s="1" t="n">
        <v>-7.02277911083</v>
      </c>
      <c r="E1542" s="3" t="n">
        <v>2</v>
      </c>
      <c r="F1542" s="2" t="n">
        <v>3</v>
      </c>
      <c r="G1542" s="4" t="n">
        <v>2</v>
      </c>
      <c r="H1542" s="13" t="n"/>
      <c r="I1542" s="15" t="n"/>
      <c r="J1542" s="19" t="n">
        <v>2</v>
      </c>
      <c r="K1542" s="2" t="inlineStr">
        <is>
          <t>marker_416_376557.png</t>
        </is>
      </c>
      <c r="L1542" s="11">
        <f>HYPERLINK("2\1\" &amp; K1542, "Ver Imagen")</f>
        <v/>
      </c>
      <c r="M1542" t="inlineStr">
        <is>
          <t>Moda</t>
        </is>
      </c>
    </row>
    <row r="1543">
      <c r="A1543" t="n">
        <v>1542</v>
      </c>
      <c r="B1543" t="inlineStr">
        <is>
          <t>A-497__458</t>
        </is>
      </c>
      <c r="C1543" s="1" t="n">
        <v>37.2196155637</v>
      </c>
      <c r="D1543" s="1" t="n">
        <v>-7.0227688115</v>
      </c>
      <c r="E1543" s="3" t="n">
        <v>2</v>
      </c>
      <c r="F1543" s="2" t="n">
        <v>1</v>
      </c>
      <c r="G1543" s="4" t="n">
        <v>2</v>
      </c>
      <c r="H1543" s="13" t="n"/>
      <c r="I1543" s="15" t="n"/>
      <c r="J1543" s="19" t="n">
        <v>2</v>
      </c>
      <c r="K1543" s="2" t="inlineStr">
        <is>
          <t>marker_106_376594.png</t>
        </is>
      </c>
      <c r="L1543" s="11">
        <f>HYPERLINK("2\1\" &amp; K1543, "Ver Imagen")</f>
        <v/>
      </c>
      <c r="M1543" t="inlineStr">
        <is>
          <t>Moda</t>
        </is>
      </c>
    </row>
    <row r="1544">
      <c r="A1544" t="n">
        <v>1543</v>
      </c>
      <c r="B1544" t="inlineStr">
        <is>
          <t>A-497_2C__501</t>
        </is>
      </c>
      <c r="C1544" s="1" t="n">
        <v>37.2099817996</v>
      </c>
      <c r="D1544" s="1" t="n">
        <v>-7.02371176641</v>
      </c>
      <c r="E1544" s="3" t="n">
        <v>2</v>
      </c>
      <c r="F1544" s="2" t="n">
        <v>1</v>
      </c>
      <c r="G1544" s="4" t="n">
        <v>2</v>
      </c>
      <c r="H1544" s="13" t="n"/>
      <c r="I1544" s="15" t="n"/>
      <c r="J1544" s="19" t="n">
        <v>2</v>
      </c>
      <c r="K1544" s="2" t="inlineStr">
        <is>
          <t>marker_822_364073.png</t>
        </is>
      </c>
      <c r="L1544" s="11">
        <f>HYPERLINK("2\1\" &amp; K1544, "Ver Imagen")</f>
        <v/>
      </c>
      <c r="M1544" t="inlineStr">
        <is>
          <t>Moda</t>
        </is>
      </c>
    </row>
    <row r="1545">
      <c r="A1545" t="n">
        <v>1544</v>
      </c>
      <c r="B1545" t="inlineStr">
        <is>
          <t>A-497_2C__509</t>
        </is>
      </c>
      <c r="C1545" s="1" t="n">
        <v>37.208512837</v>
      </c>
      <c r="D1545" s="1" t="n">
        <v>-7.02292024725</v>
      </c>
      <c r="E1545" s="3" t="n">
        <v>2</v>
      </c>
      <c r="F1545" s="2" t="n">
        <v>1</v>
      </c>
      <c r="G1545" s="4" t="n">
        <v>2</v>
      </c>
      <c r="H1545" s="13" t="n"/>
      <c r="I1545" s="15" t="n"/>
      <c r="J1545" s="19" t="n">
        <v>2</v>
      </c>
      <c r="K1545" s="2" t="inlineStr">
        <is>
          <t>marker_682_364150.png</t>
        </is>
      </c>
      <c r="L1545" s="11">
        <f>HYPERLINK("2\1\" &amp; K1545, "Ver Imagen")</f>
        <v/>
      </c>
      <c r="M1545" t="inlineStr">
        <is>
          <t>Moda</t>
        </is>
      </c>
    </row>
    <row r="1546">
      <c r="A1546" t="n">
        <v>1545</v>
      </c>
      <c r="B1546" t="inlineStr">
        <is>
          <t>A-497_2C__511</t>
        </is>
      </c>
      <c r="C1546" s="1" t="n">
        <v>37.2081583735</v>
      </c>
      <c r="D1546" s="1" t="n">
        <v>-7.02264139645</v>
      </c>
      <c r="E1546" s="3" t="n">
        <v>2</v>
      </c>
      <c r="F1546" s="2" t="n">
        <v>3</v>
      </c>
      <c r="G1546" s="4" t="n">
        <v>2</v>
      </c>
      <c r="H1546" s="13" t="n"/>
      <c r="I1546" s="15" t="n"/>
      <c r="J1546" s="19" t="n">
        <v>2</v>
      </c>
      <c r="K1546" s="2" t="inlineStr">
        <is>
          <t>marker_490_364170.png</t>
        </is>
      </c>
      <c r="L1546" s="11">
        <f>HYPERLINK("2\1\" &amp; K1546, "Ver Imagen")</f>
        <v/>
      </c>
      <c r="M1546" t="inlineStr">
        <is>
          <t>Moda</t>
        </is>
      </c>
    </row>
    <row r="1547">
      <c r="A1547" t="n">
        <v>1546</v>
      </c>
      <c r="B1547" t="inlineStr">
        <is>
          <t>A-497_2C__522</t>
        </is>
      </c>
      <c r="C1547" s="1" t="n">
        <v>37.2065674171</v>
      </c>
      <c r="D1547" s="1" t="n">
        <v>-7.02077498028</v>
      </c>
      <c r="E1547" s="3" t="n">
        <v>2</v>
      </c>
      <c r="F1547" s="2" t="n">
        <v>3</v>
      </c>
      <c r="G1547" s="4" t="n">
        <v>2</v>
      </c>
      <c r="H1547" s="13" t="n"/>
      <c r="I1547" s="15" t="n"/>
      <c r="J1547" s="19" t="n">
        <v>2</v>
      </c>
      <c r="K1547" s="2" t="inlineStr">
        <is>
          <t>marker_836_364295.png</t>
        </is>
      </c>
      <c r="L1547" s="11">
        <f>HYPERLINK("2\1\" &amp; K1547, "Ver Imagen")</f>
        <v/>
      </c>
      <c r="M1547" t="inlineStr">
        <is>
          <t>Moda</t>
        </is>
      </c>
    </row>
    <row r="1548">
      <c r="A1548" t="n">
        <v>1547</v>
      </c>
      <c r="B1548" t="inlineStr">
        <is>
          <t>A-497_2C__527</t>
        </is>
      </c>
      <c r="C1548" s="1" t="n">
        <v>37.2059772017</v>
      </c>
      <c r="D1548" s="1" t="n">
        <v>-7.01962570445</v>
      </c>
      <c r="E1548" s="3" t="n">
        <v>2</v>
      </c>
      <c r="F1548" s="2" t="n">
        <v>3</v>
      </c>
      <c r="G1548" s="4" t="n">
        <v>2</v>
      </c>
      <c r="H1548" s="13" t="n"/>
      <c r="I1548" s="15" t="n"/>
      <c r="J1548" s="19" t="n">
        <v>2</v>
      </c>
      <c r="K1548" s="2" t="inlineStr">
        <is>
          <t>marker_611_364408.png</t>
        </is>
      </c>
      <c r="L1548" s="11">
        <f>HYPERLINK("2\1\" &amp; K1548, "Ver Imagen")</f>
        <v/>
      </c>
      <c r="M1548" t="inlineStr">
        <is>
          <t>Moda</t>
        </is>
      </c>
    </row>
    <row r="1549">
      <c r="A1549" t="n">
        <v>1548</v>
      </c>
      <c r="B1549" t="inlineStr">
        <is>
          <t>A-497_2C__573</t>
        </is>
      </c>
      <c r="C1549" s="1" t="n">
        <v>37.2035871156</v>
      </c>
      <c r="D1549" s="1" t="n">
        <v>-7.00856779158</v>
      </c>
      <c r="E1549" s="3" t="n">
        <v>2</v>
      </c>
      <c r="F1549" s="2" t="n">
        <v>3</v>
      </c>
      <c r="G1549" s="4" t="n">
        <v>2</v>
      </c>
      <c r="H1549" s="13" t="n"/>
      <c r="I1549" s="15" t="n"/>
      <c r="J1549" s="19" t="n">
        <v>2</v>
      </c>
      <c r="K1549" s="2" t="inlineStr">
        <is>
          <t>marker_666_366511.png</t>
        </is>
      </c>
      <c r="L1549" s="11">
        <f>HYPERLINK("2\1\" &amp; K1549, "Ver Imagen")</f>
        <v/>
      </c>
      <c r="M1549" t="inlineStr">
        <is>
          <t>Moda</t>
        </is>
      </c>
    </row>
    <row r="1550">
      <c r="A1550" t="n">
        <v>1549</v>
      </c>
      <c r="B1550" t="inlineStr">
        <is>
          <t>A-497_2C__625</t>
        </is>
      </c>
      <c r="C1550" s="1" t="n">
        <v>37.2018557019</v>
      </c>
      <c r="D1550" s="1" t="n">
        <v>-6.99557629423</v>
      </c>
      <c r="E1550" s="3" t="n">
        <v>2</v>
      </c>
      <c r="F1550" s="2" t="n">
        <v>3</v>
      </c>
      <c r="G1550" s="4" t="n">
        <v>2</v>
      </c>
      <c r="H1550" s="13" t="n"/>
      <c r="I1550" s="15" t="n"/>
      <c r="J1550" s="19" t="n">
        <v>2</v>
      </c>
      <c r="K1550" s="2" t="inlineStr">
        <is>
          <t>marker_933_367034.png</t>
        </is>
      </c>
      <c r="L1550" s="11">
        <f>HYPERLINK("2\1\" &amp; K1550, "Ver Imagen")</f>
        <v/>
      </c>
      <c r="M1550" t="inlineStr">
        <is>
          <t>Moda</t>
        </is>
      </c>
    </row>
    <row r="1551">
      <c r="A1551" t="n">
        <v>1550</v>
      </c>
      <c r="B1551" t="inlineStr">
        <is>
          <t>A-497_2C__635</t>
        </is>
      </c>
      <c r="C1551" s="1" t="n">
        <v>37.2014306475</v>
      </c>
      <c r="D1551" s="1" t="n">
        <v>-6.99312550196</v>
      </c>
      <c r="E1551" s="3" t="n">
        <v>2</v>
      </c>
      <c r="F1551" s="2" t="n">
        <v>1</v>
      </c>
      <c r="G1551" s="4" t="n">
        <v>2</v>
      </c>
      <c r="H1551" s="13" t="n"/>
      <c r="I1551" s="15" t="n"/>
      <c r="J1551" s="19" t="n">
        <v>2</v>
      </c>
      <c r="K1551" s="2" t="inlineStr">
        <is>
          <t>marker_136_367130.png</t>
        </is>
      </c>
      <c r="L1551" s="11">
        <f>HYPERLINK("2\1\" &amp; K1551, "Ver Imagen")</f>
        <v/>
      </c>
      <c r="M1551" t="inlineStr">
        <is>
          <t>Moda</t>
        </is>
      </c>
    </row>
    <row r="1552">
      <c r="A1552" t="n">
        <v>1551</v>
      </c>
      <c r="B1552" t="inlineStr">
        <is>
          <t>A-497_2C__637</t>
        </is>
      </c>
      <c r="C1552" s="1" t="n">
        <v>37.2013385399</v>
      </c>
      <c r="D1552" s="1" t="n">
        <v>-6.99264039053</v>
      </c>
      <c r="E1552" s="3" t="n">
        <v>2</v>
      </c>
      <c r="F1552" s="2" t="n">
        <v>3</v>
      </c>
      <c r="G1552" s="4" t="n">
        <v>2</v>
      </c>
      <c r="H1552" s="13" t="n"/>
      <c r="I1552" s="15" t="n"/>
      <c r="J1552" s="19" t="n">
        <v>2</v>
      </c>
      <c r="K1552" s="2" t="inlineStr">
        <is>
          <t>marker_482_367149.png</t>
        </is>
      </c>
      <c r="L1552" s="11">
        <f>HYPERLINK("2\1\" &amp; K1552, "Ver Imagen")</f>
        <v/>
      </c>
      <c r="M1552" t="inlineStr">
        <is>
          <t>Moda</t>
        </is>
      </c>
    </row>
    <row r="1553">
      <c r="A1553" t="n">
        <v>1552</v>
      </c>
      <c r="B1553" t="inlineStr">
        <is>
          <t>A-497_2C__639</t>
        </is>
      </c>
      <c r="C1553" s="1" t="n">
        <v>37.2012383214</v>
      </c>
      <c r="D1553" s="1" t="n">
        <v>-6.99212148136</v>
      </c>
      <c r="E1553" s="3" t="n">
        <v>2</v>
      </c>
      <c r="F1553" s="2" t="n">
        <v>3</v>
      </c>
      <c r="G1553" s="4" t="n">
        <v>2</v>
      </c>
      <c r="H1553" s="13" t="n"/>
      <c r="I1553" s="15" t="n"/>
      <c r="J1553" s="19" t="n">
        <v>2</v>
      </c>
      <c r="K1553" s="2" t="inlineStr">
        <is>
          <t>marker_331_367168.png</t>
        </is>
      </c>
      <c r="L1553" s="11">
        <f>HYPERLINK("2\1\" &amp; K1553, "Ver Imagen")</f>
        <v/>
      </c>
      <c r="M1553" t="inlineStr">
        <is>
          <t>Moda</t>
        </is>
      </c>
    </row>
    <row r="1554">
      <c r="A1554" t="n">
        <v>1553</v>
      </c>
      <c r="B1554" t="inlineStr">
        <is>
          <t>A-497_2C__645</t>
        </is>
      </c>
      <c r="C1554" s="1" t="n">
        <v>37.2009438749</v>
      </c>
      <c r="D1554" s="1" t="n">
        <v>-6.99062798532</v>
      </c>
      <c r="E1554" s="3" t="n">
        <v>2</v>
      </c>
      <c r="F1554" s="2" t="n">
        <v>3</v>
      </c>
      <c r="G1554" s="4" t="n">
        <v>2</v>
      </c>
      <c r="H1554" s="13" t="n"/>
      <c r="I1554" s="15" t="n"/>
      <c r="J1554" s="19" t="n">
        <v>2</v>
      </c>
      <c r="K1554" s="2" t="inlineStr">
        <is>
          <t>marker_574_367229.png</t>
        </is>
      </c>
      <c r="L1554" s="11">
        <f>HYPERLINK("2\1\" &amp; K1554, "Ver Imagen")</f>
        <v/>
      </c>
      <c r="M1554" t="inlineStr">
        <is>
          <t>Moda</t>
        </is>
      </c>
    </row>
    <row r="1555">
      <c r="A1555" t="n">
        <v>1554</v>
      </c>
      <c r="B1555" t="inlineStr">
        <is>
          <t>A-497_2C__647</t>
        </is>
      </c>
      <c r="C1555" s="1" t="n">
        <v>37.200841842</v>
      </c>
      <c r="D1555" s="1" t="n">
        <v>-6.99014768003</v>
      </c>
      <c r="E1555" s="3" t="n">
        <v>2</v>
      </c>
      <c r="F1555" s="2" t="n">
        <v>3</v>
      </c>
      <c r="G1555" s="4" t="n">
        <v>2</v>
      </c>
      <c r="H1555" s="13" t="n"/>
      <c r="I1555" s="15" t="n"/>
      <c r="J1555" s="19" t="n">
        <v>2</v>
      </c>
      <c r="K1555" s="2" t="inlineStr">
        <is>
          <t>marker_898_367247.png</t>
        </is>
      </c>
      <c r="L1555" s="11">
        <f>HYPERLINK("2\1\" &amp; K1555, "Ver Imagen")</f>
        <v/>
      </c>
      <c r="M1555" t="inlineStr">
        <is>
          <t>Moda</t>
        </is>
      </c>
    </row>
    <row r="1556">
      <c r="A1556" t="n">
        <v>1555</v>
      </c>
      <c r="B1556" t="inlineStr">
        <is>
          <t>A-497_2C__648</t>
        </is>
      </c>
      <c r="C1556" s="1" t="n">
        <v>37.200795221</v>
      </c>
      <c r="D1556" s="1" t="n">
        <v>-6.989933336</v>
      </c>
      <c r="E1556" s="3" t="n">
        <v>2</v>
      </c>
      <c r="F1556" s="2" t="n">
        <v>3</v>
      </c>
      <c r="G1556" s="4" t="n">
        <v>2</v>
      </c>
      <c r="H1556" s="13" t="n"/>
      <c r="I1556" s="15" t="n"/>
      <c r="J1556" s="19" t="n">
        <v>2</v>
      </c>
      <c r="K1556" s="2" t="inlineStr">
        <is>
          <t>marker_946_367258.png</t>
        </is>
      </c>
      <c r="L1556" s="11">
        <f>HYPERLINK("2\1\" &amp; K1556, "Ver Imagen")</f>
        <v/>
      </c>
      <c r="M1556" t="inlineStr">
        <is>
          <t>Moda</t>
        </is>
      </c>
    </row>
    <row r="1557">
      <c r="A1557" t="n">
        <v>1556</v>
      </c>
      <c r="B1557" t="inlineStr">
        <is>
          <t>A-497_2C__651</t>
        </is>
      </c>
      <c r="C1557" s="1" t="n">
        <v>37.2006315734</v>
      </c>
      <c r="D1557" s="1" t="n">
        <v>-6.98918789889</v>
      </c>
      <c r="E1557" s="3" t="n">
        <v>2</v>
      </c>
      <c r="F1557" s="2" t="n">
        <v>1</v>
      </c>
      <c r="G1557" s="4" t="n">
        <v>2</v>
      </c>
      <c r="H1557" s="13" t="n"/>
      <c r="I1557" s="15" t="n"/>
      <c r="J1557" s="19" t="n">
        <v>2</v>
      </c>
      <c r="K1557" s="2" t="inlineStr">
        <is>
          <t>marker_879_367286.png</t>
        </is>
      </c>
      <c r="L1557" s="11">
        <f>HYPERLINK("2\1\" &amp; K1557, "Ver Imagen")</f>
        <v/>
      </c>
      <c r="M1557" t="inlineStr">
        <is>
          <t>Moda</t>
        </is>
      </c>
    </row>
    <row r="1558">
      <c r="A1558" t="n">
        <v>1557</v>
      </c>
      <c r="B1558" t="inlineStr">
        <is>
          <t>A-497_2C__657</t>
        </is>
      </c>
      <c r="C1558" s="1" t="n">
        <v>37.2003057834</v>
      </c>
      <c r="D1558" s="1" t="n">
        <v>-6.9877451606</v>
      </c>
      <c r="E1558" s="3" t="n">
        <v>2</v>
      </c>
      <c r="F1558" s="2" t="n">
        <v>3</v>
      </c>
      <c r="G1558" s="4" t="n">
        <v>2</v>
      </c>
      <c r="H1558" s="13" t="n"/>
      <c r="I1558" s="15" t="n"/>
      <c r="J1558" s="19" t="n">
        <v>2</v>
      </c>
      <c r="K1558" s="2" t="inlineStr">
        <is>
          <t>marker_555_367360.png</t>
        </is>
      </c>
      <c r="L1558" s="11">
        <f>HYPERLINK("2\1\" &amp; K1558, "Ver Imagen")</f>
        <v/>
      </c>
      <c r="M1558" t="inlineStr">
        <is>
          <t>Moda</t>
        </is>
      </c>
    </row>
    <row r="1559">
      <c r="A1559" t="n">
        <v>1558</v>
      </c>
      <c r="B1559" t="inlineStr">
        <is>
          <t>A-497_2C__658</t>
        </is>
      </c>
      <c r="C1559" s="1" t="n">
        <v>37.2002549485</v>
      </c>
      <c r="D1559" s="1" t="n">
        <v>-6.98752643952</v>
      </c>
      <c r="E1559" s="3" t="n">
        <v>2</v>
      </c>
      <c r="F1559" s="2" t="n">
        <v>3</v>
      </c>
      <c r="G1559" s="4" t="n">
        <v>2</v>
      </c>
      <c r="H1559" s="13" t="n"/>
      <c r="I1559" s="15" t="n"/>
      <c r="J1559" s="19" t="n">
        <v>2</v>
      </c>
      <c r="K1559" s="2" t="inlineStr">
        <is>
          <t>marker_477_367369.png</t>
        </is>
      </c>
      <c r="L1559" s="11">
        <f>HYPERLINK("2\1\" &amp; K1559, "Ver Imagen")</f>
        <v/>
      </c>
      <c r="M1559" t="inlineStr">
        <is>
          <t>Moda</t>
        </is>
      </c>
    </row>
    <row r="1560">
      <c r="A1560" t="n">
        <v>1559</v>
      </c>
      <c r="B1560" t="inlineStr">
        <is>
          <t>A-497_2C__659</t>
        </is>
      </c>
      <c r="C1560" s="1" t="n">
        <v>37.2002017975</v>
      </c>
      <c r="D1560" s="1" t="n">
        <v>-6.98729794184</v>
      </c>
      <c r="E1560" s="3" t="n">
        <v>2</v>
      </c>
      <c r="F1560" s="2" t="n">
        <v>3</v>
      </c>
      <c r="G1560" s="4" t="n">
        <v>2</v>
      </c>
      <c r="H1560" s="13" t="n"/>
      <c r="I1560" s="15" t="n"/>
      <c r="J1560" s="19" t="n">
        <v>2</v>
      </c>
      <c r="K1560" s="2" t="inlineStr">
        <is>
          <t>marker_124_367377.png</t>
        </is>
      </c>
      <c r="L1560" s="11">
        <f>HYPERLINK("2\1\" &amp; K1560, "Ver Imagen")</f>
        <v/>
      </c>
      <c r="M1560" t="inlineStr">
        <is>
          <t>Moda</t>
        </is>
      </c>
    </row>
    <row r="1561">
      <c r="A1561" t="n">
        <v>1560</v>
      </c>
      <c r="B1561" t="inlineStr">
        <is>
          <t>A-497__441</t>
        </is>
      </c>
      <c r="C1561" s="1" t="n">
        <v>37.2230180747</v>
      </c>
      <c r="D1561" s="1" t="n">
        <v>-7.02306300012</v>
      </c>
      <c r="E1561" s="3" t="n">
        <v>2</v>
      </c>
      <c r="F1561" s="2" t="n">
        <v>1</v>
      </c>
      <c r="G1561" s="4" t="n">
        <v>2</v>
      </c>
      <c r="H1561" s="13" t="n"/>
      <c r="I1561" s="15" t="n"/>
      <c r="J1561" s="19" t="n">
        <v>2</v>
      </c>
      <c r="K1561" s="2" t="inlineStr">
        <is>
          <t>marker_204_376793.png</t>
        </is>
      </c>
      <c r="L1561" s="11">
        <f>HYPERLINK("2\1\" &amp; K1561, "Ver Imagen")</f>
        <v/>
      </c>
      <c r="M1561" t="inlineStr">
        <is>
          <t>Moda</t>
        </is>
      </c>
    </row>
    <row r="1562">
      <c r="A1562" t="n">
        <v>1561</v>
      </c>
      <c r="B1562" t="inlineStr">
        <is>
          <t>A-497__437</t>
        </is>
      </c>
      <c r="C1562" s="1" t="n">
        <v>37.2238303031</v>
      </c>
      <c r="D1562" s="1" t="n">
        <v>-7.02314214677</v>
      </c>
      <c r="E1562" s="3" t="n">
        <v>2</v>
      </c>
      <c r="F1562" s="2" t="n">
        <v>3</v>
      </c>
      <c r="G1562" s="4" t="n">
        <v>2</v>
      </c>
      <c r="H1562" s="13" t="n"/>
      <c r="I1562" s="15" t="n"/>
      <c r="J1562" s="19" t="n">
        <v>2</v>
      </c>
      <c r="K1562" s="2" t="inlineStr">
        <is>
          <t>marker_249_376833.png</t>
        </is>
      </c>
      <c r="L1562" s="11">
        <f>HYPERLINK("2\1\" &amp; K1562, "Ver Imagen")</f>
        <v/>
      </c>
      <c r="M1562" t="inlineStr">
        <is>
          <t>Moda</t>
        </is>
      </c>
    </row>
    <row r="1563">
      <c r="A1563" t="n">
        <v>1562</v>
      </c>
      <c r="B1563" t="inlineStr">
        <is>
          <t>A-497__434</t>
        </is>
      </c>
      <c r="C1563" s="1" t="n">
        <v>37.2244119604</v>
      </c>
      <c r="D1563" s="1" t="n">
        <v>-7.02319532765</v>
      </c>
      <c r="E1563" s="3" t="n">
        <v>2</v>
      </c>
      <c r="F1563" s="2" t="n">
        <v>1</v>
      </c>
      <c r="G1563" s="4" t="n">
        <v>2</v>
      </c>
      <c r="H1563" s="13" t="n"/>
      <c r="I1563" s="15" t="n"/>
      <c r="J1563" s="19" t="n">
        <v>2</v>
      </c>
      <c r="K1563" s="2" t="inlineStr">
        <is>
          <t>marker_585_376861.png</t>
        </is>
      </c>
      <c r="L1563" s="11">
        <f>HYPERLINK("2\1\" &amp; K1563, "Ver Imagen")</f>
        <v/>
      </c>
      <c r="M1563" t="inlineStr">
        <is>
          <t>Moda</t>
        </is>
      </c>
    </row>
    <row r="1564">
      <c r="A1564" t="n">
        <v>1563</v>
      </c>
      <c r="B1564" t="inlineStr">
        <is>
          <t>A-497__429</t>
        </is>
      </c>
      <c r="C1564" s="1" t="n">
        <v>37.2254425891</v>
      </c>
      <c r="D1564" s="1" t="n">
        <v>-7.02315640778</v>
      </c>
      <c r="E1564" s="3" t="n">
        <v>2</v>
      </c>
      <c r="F1564" s="2" t="n">
        <v>3</v>
      </c>
      <c r="G1564" s="4" t="n">
        <v>2</v>
      </c>
      <c r="H1564" s="13" t="n"/>
      <c r="I1564" s="15" t="n"/>
      <c r="J1564" s="19" t="n">
        <v>2</v>
      </c>
      <c r="K1564" s="2" t="inlineStr">
        <is>
          <t>marker_614_376921.png</t>
        </is>
      </c>
      <c r="L1564" s="11">
        <f>HYPERLINK("2\1\" &amp; K1564, "Ver Imagen")</f>
        <v/>
      </c>
      <c r="M1564" t="inlineStr">
        <is>
          <t>Moda</t>
        </is>
      </c>
    </row>
    <row r="1565">
      <c r="A1565" t="n">
        <v>1564</v>
      </c>
      <c r="B1565" t="inlineStr">
        <is>
          <t>A-497__427</t>
        </is>
      </c>
      <c r="C1565" s="1" t="n">
        <v>37.2258380176</v>
      </c>
      <c r="D1565" s="1" t="n">
        <v>-7.02306787894</v>
      </c>
      <c r="E1565" s="3" t="n">
        <v>2</v>
      </c>
      <c r="F1565" s="2" t="n">
        <v>3</v>
      </c>
      <c r="G1565" s="4" t="n">
        <v>2</v>
      </c>
      <c r="H1565" s="13" t="n"/>
      <c r="I1565" s="15" t="n"/>
      <c r="J1565" s="19" t="n">
        <v>2</v>
      </c>
      <c r="K1565" s="2" t="inlineStr">
        <is>
          <t>marker_964_376945.png</t>
        </is>
      </c>
      <c r="L1565" s="11">
        <f>HYPERLINK("2\1\" &amp; K1565, "Ver Imagen")</f>
        <v/>
      </c>
      <c r="M1565" t="inlineStr">
        <is>
          <t>Moda</t>
        </is>
      </c>
    </row>
    <row r="1566">
      <c r="A1566" t="n">
        <v>1565</v>
      </c>
      <c r="B1566" t="inlineStr">
        <is>
          <t>A-497__424</t>
        </is>
      </c>
      <c r="C1566" s="1" t="n">
        <v>37.2264128064</v>
      </c>
      <c r="D1566" s="1" t="n">
        <v>-7.02285170853</v>
      </c>
      <c r="E1566" s="3" t="n">
        <v>2</v>
      </c>
      <c r="F1566" s="2" t="n">
        <v>3</v>
      </c>
      <c r="G1566" s="4" t="n">
        <v>2</v>
      </c>
      <c r="H1566" s="13" t="n"/>
      <c r="I1566" s="15" t="n"/>
      <c r="J1566" s="19" t="n">
        <v>2</v>
      </c>
      <c r="K1566" s="2" t="inlineStr">
        <is>
          <t>marker_601_376975.png</t>
        </is>
      </c>
      <c r="L1566" s="11">
        <f>HYPERLINK("2\1\" &amp; K1566, "Ver Imagen")</f>
        <v/>
      </c>
      <c r="M1566" t="inlineStr">
        <is>
          <t>Moda</t>
        </is>
      </c>
    </row>
    <row r="1567">
      <c r="A1567" t="n">
        <v>1566</v>
      </c>
      <c r="B1567" t="inlineStr">
        <is>
          <t>A-497__420</t>
        </is>
      </c>
      <c r="C1567" s="1" t="n">
        <v>37.2271228381</v>
      </c>
      <c r="D1567" s="1" t="n">
        <v>-7.02242729765</v>
      </c>
      <c r="E1567" s="3" t="n">
        <v>2</v>
      </c>
      <c r="F1567" s="2" t="n">
        <v>3</v>
      </c>
      <c r="G1567" s="4" t="n">
        <v>2</v>
      </c>
      <c r="H1567" s="13" t="n"/>
      <c r="I1567" s="15" t="n"/>
      <c r="J1567" s="19" t="n">
        <v>2</v>
      </c>
      <c r="K1567" s="2" t="inlineStr">
        <is>
          <t>marker_305_377012.png</t>
        </is>
      </c>
      <c r="L1567" s="11">
        <f>HYPERLINK("2\1\" &amp; K1567, "Ver Imagen")</f>
        <v/>
      </c>
      <c r="M1567" t="inlineStr">
        <is>
          <t>Moda</t>
        </is>
      </c>
    </row>
    <row r="1568">
      <c r="A1568" t="n">
        <v>1567</v>
      </c>
      <c r="B1568" t="inlineStr">
        <is>
          <t>A-497__381</t>
        </is>
      </c>
      <c r="C1568" s="1" t="n">
        <v>37.2340808674</v>
      </c>
      <c r="D1568" s="1" t="n">
        <v>-7.01799571856</v>
      </c>
      <c r="E1568" s="3" t="n">
        <v>2</v>
      </c>
      <c r="F1568" s="2" t="n">
        <v>3</v>
      </c>
      <c r="G1568" s="4" t="n">
        <v>2</v>
      </c>
      <c r="H1568" s="13" t="n"/>
      <c r="I1568" s="15" t="n"/>
      <c r="J1568" s="19" t="n">
        <v>2</v>
      </c>
      <c r="K1568" s="2" t="inlineStr">
        <is>
          <t>marker_902_377361.png</t>
        </is>
      </c>
      <c r="L1568" s="11">
        <f>HYPERLINK("2\1\" &amp; K1568, "Ver Imagen")</f>
        <v/>
      </c>
      <c r="M1568" t="inlineStr">
        <is>
          <t>Moda</t>
        </is>
      </c>
    </row>
    <row r="1569">
      <c r="A1569" t="n">
        <v>1568</v>
      </c>
      <c r="B1569" t="inlineStr">
        <is>
          <t>A-497__373</t>
        </is>
      </c>
      <c r="C1569" s="1" t="n">
        <v>37.2356924968</v>
      </c>
      <c r="D1569" s="1" t="n">
        <v>-7.01828665301</v>
      </c>
      <c r="E1569" s="3" t="n">
        <v>2</v>
      </c>
      <c r="F1569" s="2" t="n">
        <v>3</v>
      </c>
      <c r="G1569" s="4" t="n">
        <v>2</v>
      </c>
      <c r="H1569" s="13" t="n"/>
      <c r="I1569" s="15" t="n"/>
      <c r="J1569" s="19" t="n">
        <v>2</v>
      </c>
      <c r="K1569" s="2" t="inlineStr">
        <is>
          <t>marker_123_377428.png</t>
        </is>
      </c>
      <c r="L1569" s="11">
        <f>HYPERLINK("2\1\" &amp; K1569, "Ver Imagen")</f>
        <v/>
      </c>
      <c r="M1569" t="inlineStr">
        <is>
          <t>Moda</t>
        </is>
      </c>
    </row>
    <row r="1570">
      <c r="A1570" t="n">
        <v>1569</v>
      </c>
      <c r="B1570" t="inlineStr">
        <is>
          <t>A-497__370</t>
        </is>
      </c>
      <c r="C1570" s="1" t="n">
        <v>37.2363450983</v>
      </c>
      <c r="D1570" s="1" t="n">
        <v>-7.01844762463</v>
      </c>
      <c r="E1570" s="3" t="n">
        <v>2</v>
      </c>
      <c r="F1570" s="2" t="n">
        <v>3</v>
      </c>
      <c r="G1570" s="4" t="n">
        <v>2</v>
      </c>
      <c r="H1570" s="13" t="n"/>
      <c r="I1570" s="15" t="n"/>
      <c r="J1570" s="19" t="n">
        <v>2</v>
      </c>
      <c r="K1570" s="2" t="inlineStr">
        <is>
          <t>marker_902_377456.png</t>
        </is>
      </c>
      <c r="L1570" s="11">
        <f>HYPERLINK("2\1\" &amp; K1570, "Ver Imagen")</f>
        <v/>
      </c>
      <c r="M1570" t="inlineStr">
        <is>
          <t>Moda</t>
        </is>
      </c>
    </row>
    <row r="1571">
      <c r="A1571" t="n">
        <v>1570</v>
      </c>
      <c r="B1571" t="inlineStr">
        <is>
          <t>A-497__367</t>
        </is>
      </c>
      <c r="C1571" s="1" t="n">
        <v>37.2369071021</v>
      </c>
      <c r="D1571" s="1" t="n">
        <v>-7.01853053597</v>
      </c>
      <c r="E1571" s="3" t="n">
        <v>2</v>
      </c>
      <c r="F1571" s="2" t="n">
        <v>3</v>
      </c>
      <c r="G1571" s="4" t="n">
        <v>2</v>
      </c>
      <c r="H1571" s="13" t="n"/>
      <c r="I1571" s="15" t="n"/>
      <c r="J1571" s="19" t="n">
        <v>2</v>
      </c>
      <c r="K1571" s="2" t="inlineStr">
        <is>
          <t>marker_678_377484.png</t>
        </is>
      </c>
      <c r="L1571" s="11">
        <f>HYPERLINK("2\1\" &amp; K1571, "Ver Imagen")</f>
        <v/>
      </c>
      <c r="M1571" t="inlineStr">
        <is>
          <t>Moda</t>
        </is>
      </c>
    </row>
    <row r="1572">
      <c r="A1572" t="n">
        <v>1571</v>
      </c>
      <c r="B1572" t="inlineStr">
        <is>
          <t>A-497__364</t>
        </is>
      </c>
      <c r="C1572" s="1" t="n">
        <v>37.2375126769</v>
      </c>
      <c r="D1572" s="1" t="n">
        <v>-7.01856939093</v>
      </c>
      <c r="E1572" s="3" t="n">
        <v>2</v>
      </c>
      <c r="F1572" s="2" t="n">
        <v>3</v>
      </c>
      <c r="G1572" s="4" t="n">
        <v>2</v>
      </c>
      <c r="H1572" s="13" t="n"/>
      <c r="I1572" s="15" t="n"/>
      <c r="J1572" s="19" t="n">
        <v>2</v>
      </c>
      <c r="K1572" s="2" t="inlineStr">
        <is>
          <t>marker_181_377513.png</t>
        </is>
      </c>
      <c r="L1572" s="11">
        <f>HYPERLINK("2\1\" &amp; K1572, "Ver Imagen")</f>
        <v/>
      </c>
      <c r="M1572" t="inlineStr">
        <is>
          <t>Moda</t>
        </is>
      </c>
    </row>
    <row r="1573">
      <c r="A1573" t="n">
        <v>1572</v>
      </c>
      <c r="B1573" t="inlineStr">
        <is>
          <t>A-497__362</t>
        </is>
      </c>
      <c r="C1573" s="1" t="n">
        <v>37.2379038552</v>
      </c>
      <c r="D1573" s="1" t="n">
        <v>-7.01856960477</v>
      </c>
      <c r="E1573" s="3" t="n">
        <v>2</v>
      </c>
      <c r="F1573" s="2" t="n">
        <v>3</v>
      </c>
      <c r="G1573" s="4" t="n">
        <v>2</v>
      </c>
      <c r="H1573" s="13" t="n"/>
      <c r="I1573" s="15" t="n"/>
      <c r="J1573" s="19" t="n">
        <v>2</v>
      </c>
      <c r="K1573" s="2" t="inlineStr">
        <is>
          <t>marker_701_377531.png</t>
        </is>
      </c>
      <c r="L1573" s="11">
        <f>HYPERLINK("2\1\" &amp; K1573, "Ver Imagen")</f>
        <v/>
      </c>
      <c r="M1573" t="inlineStr">
        <is>
          <t>Moda</t>
        </is>
      </c>
    </row>
    <row r="1574">
      <c r="A1574" t="n">
        <v>1573</v>
      </c>
      <c r="B1574" t="inlineStr">
        <is>
          <t>A-497__313</t>
        </is>
      </c>
      <c r="C1574" s="1" t="n">
        <v>37.2478227384</v>
      </c>
      <c r="D1574" s="1" t="n">
        <v>-7.01819273023</v>
      </c>
      <c r="E1574" s="3" t="n">
        <v>2</v>
      </c>
      <c r="F1574" s="2" t="n">
        <v>3</v>
      </c>
      <c r="G1574" s="4" t="n">
        <v>2</v>
      </c>
      <c r="H1574" s="13" t="n"/>
      <c r="I1574" s="15" t="n"/>
      <c r="J1574" s="19" t="n">
        <v>2</v>
      </c>
      <c r="K1574" s="2" t="inlineStr">
        <is>
          <t>marker_767_378041.png</t>
        </is>
      </c>
      <c r="L1574" s="11">
        <f>HYPERLINK("2\1\" &amp; K1574, "Ver Imagen")</f>
        <v/>
      </c>
      <c r="M1574" t="inlineStr">
        <is>
          <t>Moda</t>
        </is>
      </c>
    </row>
    <row r="1575">
      <c r="A1575" t="n">
        <v>1574</v>
      </c>
      <c r="B1575" t="inlineStr">
        <is>
          <t>A-497__300</t>
        </is>
      </c>
      <c r="C1575" s="1" t="n">
        <v>37.250365224</v>
      </c>
      <c r="D1575" s="1" t="n">
        <v>-7.01762904624</v>
      </c>
      <c r="E1575" s="3" t="n">
        <v>2</v>
      </c>
      <c r="F1575" s="2" t="n">
        <v>3</v>
      </c>
      <c r="G1575" s="4" t="n">
        <v>2</v>
      </c>
      <c r="H1575" s="13" t="n"/>
      <c r="I1575" s="15" t="n"/>
      <c r="J1575" s="19" t="n">
        <v>2</v>
      </c>
      <c r="K1575" s="2" t="inlineStr">
        <is>
          <t>marker_326_378215.png</t>
        </is>
      </c>
      <c r="L1575" s="11">
        <f>HYPERLINK("2\1\" &amp; K1575, "Ver Imagen")</f>
        <v/>
      </c>
      <c r="M1575" t="inlineStr">
        <is>
          <t>Moda</t>
        </is>
      </c>
    </row>
    <row r="1576">
      <c r="A1576" t="n">
        <v>1575</v>
      </c>
      <c r="B1576" t="inlineStr">
        <is>
          <t>A-497__287</t>
        </is>
      </c>
      <c r="C1576" s="1" t="n">
        <v>37.2527800548</v>
      </c>
      <c r="D1576" s="1" t="n">
        <v>-7.01610876279</v>
      </c>
      <c r="E1576" s="3" t="n">
        <v>2</v>
      </c>
      <c r="F1576" s="2" t="n">
        <v>3</v>
      </c>
      <c r="G1576" s="4" t="n">
        <v>2</v>
      </c>
      <c r="H1576" s="13" t="n"/>
      <c r="I1576" s="15" t="n"/>
      <c r="J1576" s="19" t="n">
        <v>2</v>
      </c>
      <c r="K1576" s="2" t="inlineStr">
        <is>
          <t>marker_217_378386.png</t>
        </is>
      </c>
      <c r="L1576" s="11">
        <f>HYPERLINK("2\1\" &amp; K1576, "Ver Imagen")</f>
        <v/>
      </c>
      <c r="M1576" t="inlineStr">
        <is>
          <t>Moda</t>
        </is>
      </c>
    </row>
    <row r="1577">
      <c r="A1577" t="n">
        <v>1576</v>
      </c>
      <c r="B1577" t="inlineStr">
        <is>
          <t>A-497__284</t>
        </is>
      </c>
      <c r="C1577" s="1" t="n">
        <v>37.2532534673</v>
      </c>
      <c r="D1577" s="1" t="n">
        <v>-7.0158078254</v>
      </c>
      <c r="E1577" s="3" t="n">
        <v>2</v>
      </c>
      <c r="F1577" s="2" t="n">
        <v>3</v>
      </c>
      <c r="G1577" s="4" t="n">
        <v>2</v>
      </c>
      <c r="H1577" s="13" t="n"/>
      <c r="I1577" s="15" t="n"/>
      <c r="J1577" s="19" t="n">
        <v>2</v>
      </c>
      <c r="K1577" s="2" t="inlineStr">
        <is>
          <t>marker_845_378427.png</t>
        </is>
      </c>
      <c r="L1577" s="11">
        <f>HYPERLINK("2\1\" &amp; K1577, "Ver Imagen")</f>
        <v/>
      </c>
      <c r="M1577" t="inlineStr">
        <is>
          <t>Moda</t>
        </is>
      </c>
    </row>
    <row r="1578">
      <c r="A1578" t="n">
        <v>1577</v>
      </c>
      <c r="B1578" t="inlineStr">
        <is>
          <t>A-497__282</t>
        </is>
      </c>
      <c r="C1578" s="1" t="n">
        <v>37.2536711957</v>
      </c>
      <c r="D1578" s="1" t="n">
        <v>-7.01554177462</v>
      </c>
      <c r="E1578" s="3" t="n">
        <v>2</v>
      </c>
      <c r="F1578" s="2" t="n">
        <v>3</v>
      </c>
      <c r="G1578" s="4" t="n">
        <v>2</v>
      </c>
      <c r="H1578" s="13" t="n"/>
      <c r="I1578" s="15" t="n"/>
      <c r="J1578" s="19" t="n">
        <v>2</v>
      </c>
      <c r="K1578" s="2" t="inlineStr">
        <is>
          <t>marker_501_378448.png</t>
        </is>
      </c>
      <c r="L1578" s="11">
        <f>HYPERLINK("2\1\" &amp; K1578, "Ver Imagen")</f>
        <v/>
      </c>
      <c r="M1578" t="inlineStr">
        <is>
          <t>Moda</t>
        </is>
      </c>
    </row>
    <row r="1579">
      <c r="A1579" t="n">
        <v>1578</v>
      </c>
      <c r="B1579" t="inlineStr">
        <is>
          <t>A-497__274</t>
        </is>
      </c>
      <c r="C1579" s="1" t="n">
        <v>37.2550727927</v>
      </c>
      <c r="D1579" s="1" t="n">
        <v>-7.01464421559</v>
      </c>
      <c r="E1579" s="3" t="n">
        <v>2</v>
      </c>
      <c r="F1579" s="2" t="n">
        <v>2</v>
      </c>
      <c r="G1579" s="4" t="n">
        <v>3</v>
      </c>
      <c r="H1579" s="13" t="n"/>
      <c r="I1579" s="15" t="n"/>
      <c r="J1579" s="19" t="n">
        <v>2</v>
      </c>
      <c r="K1579" s="2" t="inlineStr">
        <is>
          <t>marker_987_378540.png</t>
        </is>
      </c>
      <c r="L1579" s="11">
        <f>HYPERLINK("2\1\" &amp; K1579, "Ver Imagen")</f>
        <v/>
      </c>
      <c r="M1579" t="inlineStr">
        <is>
          <t>Moda</t>
        </is>
      </c>
    </row>
    <row r="1580">
      <c r="A1580" t="n">
        <v>1579</v>
      </c>
      <c r="B1580" t="inlineStr">
        <is>
          <t>A-497__186</t>
        </is>
      </c>
      <c r="C1580" s="1" t="n">
        <v>37.2649848075</v>
      </c>
      <c r="D1580" s="1" t="n">
        <v>-6.99831395347</v>
      </c>
      <c r="E1580" s="3" t="n">
        <v>2</v>
      </c>
      <c r="F1580" s="2" t="n">
        <v>3</v>
      </c>
      <c r="G1580" s="4" t="n">
        <v>2</v>
      </c>
      <c r="H1580" s="13" t="n"/>
      <c r="I1580" s="15" t="n"/>
      <c r="J1580" s="19" t="n">
        <v>2</v>
      </c>
      <c r="K1580" s="2" t="inlineStr">
        <is>
          <t>marker_991_379565.png</t>
        </is>
      </c>
      <c r="L1580" s="11">
        <f>HYPERLINK("2\1\" &amp; K1580, "Ver Imagen")</f>
        <v/>
      </c>
      <c r="M1580" t="inlineStr">
        <is>
          <t>Moda</t>
        </is>
      </c>
    </row>
    <row r="1581">
      <c r="A1581" t="n">
        <v>1580</v>
      </c>
      <c r="B1581" t="inlineStr">
        <is>
          <t>A-497__180</t>
        </is>
      </c>
      <c r="C1581" s="1" t="n">
        <v>37.2652423168</v>
      </c>
      <c r="D1581" s="1" t="n">
        <v>-6.99687980693</v>
      </c>
      <c r="E1581" s="3" t="n">
        <v>2</v>
      </c>
      <c r="F1581" s="2" t="n">
        <v>2</v>
      </c>
      <c r="G1581" s="4" t="n">
        <v>1</v>
      </c>
      <c r="H1581" s="13" t="n"/>
      <c r="I1581" s="15" t="n"/>
      <c r="J1581" s="19" t="n">
        <v>2</v>
      </c>
      <c r="K1581" s="2" t="inlineStr">
        <is>
          <t>marker_783_379642.png</t>
        </is>
      </c>
      <c r="L1581" s="11">
        <f>HYPERLINK("2\1\" &amp; K1581, "Ver Imagen")</f>
        <v/>
      </c>
      <c r="M1581" t="inlineStr">
        <is>
          <t>Moda</t>
        </is>
      </c>
    </row>
    <row r="1582">
      <c r="A1582" t="n">
        <v>1581</v>
      </c>
      <c r="B1582" t="inlineStr">
        <is>
          <t>A-497__176</t>
        </is>
      </c>
      <c r="C1582" s="1" t="n">
        <v>37.2654169236</v>
      </c>
      <c r="D1582" s="1" t="n">
        <v>-6.99591001485</v>
      </c>
      <c r="E1582" s="3" t="n">
        <v>2</v>
      </c>
      <c r="F1582" s="2" t="n">
        <v>2</v>
      </c>
      <c r="G1582" s="4" t="n">
        <v>1</v>
      </c>
      <c r="H1582" s="13" t="n"/>
      <c r="I1582" s="15" t="n"/>
      <c r="J1582" s="19" t="n">
        <v>2</v>
      </c>
      <c r="K1582" s="2" t="inlineStr">
        <is>
          <t>marker_732_379688.png</t>
        </is>
      </c>
      <c r="L1582" s="11">
        <f>HYPERLINK("2\1\" &amp; K1582, "Ver Imagen")</f>
        <v/>
      </c>
      <c r="M1582" t="inlineStr">
        <is>
          <t>Moda</t>
        </is>
      </c>
    </row>
    <row r="1583">
      <c r="A1583" t="n">
        <v>1582</v>
      </c>
      <c r="B1583" t="inlineStr">
        <is>
          <t>A-497__168</t>
        </is>
      </c>
      <c r="C1583" s="1" t="n">
        <v>37.2658150231</v>
      </c>
      <c r="D1583" s="1" t="n">
        <v>-6.99390453132</v>
      </c>
      <c r="E1583" s="3" t="n">
        <v>2</v>
      </c>
      <c r="F1583" s="2" t="n">
        <v>3</v>
      </c>
      <c r="G1583" s="4" t="n">
        <v>2</v>
      </c>
      <c r="H1583" s="13" t="n"/>
      <c r="I1583" s="15" t="n"/>
      <c r="J1583" s="19" t="n">
        <v>2</v>
      </c>
      <c r="K1583" s="2" t="inlineStr">
        <is>
          <t>marker_976_380172.png</t>
        </is>
      </c>
      <c r="L1583" s="11">
        <f>HYPERLINK("2\1\" &amp; K1583, "Ver Imagen")</f>
        <v/>
      </c>
      <c r="M1583" t="inlineStr">
        <is>
          <t>Moda</t>
        </is>
      </c>
    </row>
    <row r="1584">
      <c r="A1584" t="n">
        <v>1583</v>
      </c>
      <c r="B1584" t="inlineStr">
        <is>
          <t>A-490__207</t>
        </is>
      </c>
      <c r="C1584" s="1" t="n">
        <v>37.4607218091</v>
      </c>
      <c r="D1584" s="1" t="n">
        <v>-7.17302245987</v>
      </c>
      <c r="E1584" s="3" t="n">
        <v>2</v>
      </c>
      <c r="F1584" s="2" t="n">
        <v>2</v>
      </c>
      <c r="G1584" s="4" t="n">
        <v>3</v>
      </c>
      <c r="H1584" s="13" t="n"/>
      <c r="I1584" s="15" t="n"/>
      <c r="J1584" s="19" t="n">
        <v>2</v>
      </c>
      <c r="K1584" s="2" t="inlineStr">
        <is>
          <t>marker_156_742526.png</t>
        </is>
      </c>
      <c r="L1584" s="11">
        <f>HYPERLINK("2\1\" &amp; K1584, "Ver Imagen")</f>
        <v/>
      </c>
      <c r="M1584" t="inlineStr">
        <is>
          <t>Moda</t>
        </is>
      </c>
    </row>
    <row r="1585">
      <c r="A1585" t="n">
        <v>1584</v>
      </c>
      <c r="B1585" t="inlineStr">
        <is>
          <t>A-490__223</t>
        </is>
      </c>
      <c r="C1585" s="1" t="n">
        <v>37.4626859653</v>
      </c>
      <c r="D1585" s="1" t="n">
        <v>-7.17625107754</v>
      </c>
      <c r="E1585" s="3" t="n">
        <v>2</v>
      </c>
      <c r="F1585" s="2" t="n">
        <v>2</v>
      </c>
      <c r="G1585" s="4" t="n">
        <v>3</v>
      </c>
      <c r="H1585" s="13" t="n"/>
      <c r="I1585" s="15" t="n"/>
      <c r="J1585" s="19" t="n">
        <v>2</v>
      </c>
      <c r="K1585" s="2" t="inlineStr">
        <is>
          <t>marker_509_743630.png</t>
        </is>
      </c>
      <c r="L1585" s="11">
        <f>HYPERLINK("2\1\" &amp; K1585, "Ver Imagen")</f>
        <v/>
      </c>
      <c r="M1585" t="inlineStr">
        <is>
          <t>Moda</t>
        </is>
      </c>
    </row>
    <row r="1586">
      <c r="A1586" t="n">
        <v>1585</v>
      </c>
      <c r="B1586" t="inlineStr">
        <is>
          <t>A-490__226</t>
        </is>
      </c>
      <c r="C1586" s="1" t="n">
        <v>37.4630949314</v>
      </c>
      <c r="D1586" s="1" t="n">
        <v>-7.17692022153</v>
      </c>
      <c r="E1586" s="3" t="n">
        <v>2</v>
      </c>
      <c r="F1586" s="2" t="n">
        <v>2</v>
      </c>
      <c r="G1586" s="4" t="n">
        <v>3</v>
      </c>
      <c r="H1586" s="13" t="n"/>
      <c r="I1586" s="15" t="n"/>
      <c r="J1586" s="19" t="n">
        <v>2</v>
      </c>
      <c r="K1586" s="2" t="inlineStr">
        <is>
          <t>marker_751_743733.png</t>
        </is>
      </c>
      <c r="L1586" s="11">
        <f>HYPERLINK("2\1\" &amp; K1586, "Ver Imagen")</f>
        <v/>
      </c>
      <c r="M1586" t="inlineStr">
        <is>
          <t>Moda</t>
        </is>
      </c>
    </row>
    <row r="1587">
      <c r="A1587" t="n">
        <v>1586</v>
      </c>
      <c r="B1587" t="inlineStr">
        <is>
          <t>A-490__354</t>
        </is>
      </c>
      <c r="C1587" s="1" t="n">
        <v>37.4772647725</v>
      </c>
      <c r="D1587" s="1" t="n">
        <v>-7.20400668697</v>
      </c>
      <c r="E1587" s="3" t="n">
        <v>2</v>
      </c>
      <c r="F1587" s="2" t="n">
        <v>2</v>
      </c>
      <c r="G1587" s="4" t="n">
        <v>3</v>
      </c>
      <c r="H1587" s="13" t="n"/>
      <c r="I1587" s="15" t="n"/>
      <c r="J1587" s="19" t="n">
        <v>2</v>
      </c>
      <c r="K1587" s="2" t="inlineStr">
        <is>
          <t>marker_111_751747.png</t>
        </is>
      </c>
      <c r="L1587" s="11">
        <f>HYPERLINK("2\1\" &amp; K1587, "Ver Imagen")</f>
        <v/>
      </c>
      <c r="M1587" t="inlineStr">
        <is>
          <t>Moda</t>
        </is>
      </c>
    </row>
    <row r="1588">
      <c r="A1588" t="n">
        <v>1587</v>
      </c>
      <c r="B1588" t="inlineStr">
        <is>
          <t>A-490__384</t>
        </is>
      </c>
      <c r="C1588" s="1" t="n">
        <v>37.4801701786</v>
      </c>
      <c r="D1588" s="1" t="n">
        <v>-7.21075660335</v>
      </c>
      <c r="E1588" s="3" t="n">
        <v>2</v>
      </c>
      <c r="F1588" s="2" t="n">
        <v>2</v>
      </c>
      <c r="G1588" s="4" t="n">
        <v>3</v>
      </c>
      <c r="H1588" s="13" t="n"/>
      <c r="I1588" s="15" t="n"/>
      <c r="J1588" s="19" t="n">
        <v>2</v>
      </c>
      <c r="K1588" s="2" t="inlineStr">
        <is>
          <t>marker_473_752425.png</t>
        </is>
      </c>
      <c r="L1588" s="11">
        <f>HYPERLINK("2\1\" &amp; K1588, "Ver Imagen")</f>
        <v/>
      </c>
      <c r="M1588" t="inlineStr">
        <is>
          <t>Moda</t>
        </is>
      </c>
    </row>
    <row r="1589">
      <c r="A1589" t="n">
        <v>1588</v>
      </c>
      <c r="B1589" t="inlineStr">
        <is>
          <t>A-490__532</t>
        </is>
      </c>
      <c r="C1589" s="1" t="n">
        <v>37.4884886779</v>
      </c>
      <c r="D1589" s="1" t="n">
        <v>-7.24664921351</v>
      </c>
      <c r="E1589" s="3" t="n">
        <v>2</v>
      </c>
      <c r="F1589" s="2" t="n">
        <v>2</v>
      </c>
      <c r="G1589" s="4" t="n">
        <v>3</v>
      </c>
      <c r="H1589" s="13" t="n"/>
      <c r="I1589" s="15" t="n"/>
      <c r="J1589" s="19" t="n">
        <v>2</v>
      </c>
      <c r="K1589" s="2" t="inlineStr">
        <is>
          <t>marker_100_818231.png</t>
        </is>
      </c>
      <c r="L1589" s="11">
        <f>HYPERLINK("2\1\" &amp; K1589, "Ver Imagen")</f>
        <v/>
      </c>
      <c r="M1589" t="inlineStr">
        <is>
          <t>Moda</t>
        </is>
      </c>
    </row>
    <row r="1590">
      <c r="A1590" t="n">
        <v>1589</v>
      </c>
      <c r="B1590" t="inlineStr">
        <is>
          <t>A-490__540</t>
        </is>
      </c>
      <c r="C1590" s="1" t="n">
        <v>37.4894930538</v>
      </c>
      <c r="D1590" s="1" t="n">
        <v>-7.24820539581</v>
      </c>
      <c r="E1590" s="3" t="n">
        <v>2</v>
      </c>
      <c r="F1590" s="2" t="n">
        <v>2</v>
      </c>
      <c r="G1590" s="4" t="n">
        <v>3</v>
      </c>
      <c r="H1590" s="13" t="n"/>
      <c r="I1590" s="15" t="n"/>
      <c r="J1590" s="19" t="n">
        <v>2</v>
      </c>
      <c r="K1590" s="2" t="inlineStr">
        <is>
          <t>marker_197_818346.png</t>
        </is>
      </c>
      <c r="L1590" s="11">
        <f>HYPERLINK("2\1\" &amp; K1590, "Ver Imagen")</f>
        <v/>
      </c>
      <c r="M1590" t="inlineStr">
        <is>
          <t>Moda</t>
        </is>
      </c>
    </row>
    <row r="1591">
      <c r="A1591" t="n">
        <v>1590</v>
      </c>
      <c r="B1591" t="inlineStr">
        <is>
          <t>A-492__104</t>
        </is>
      </c>
      <c r="C1591" s="1" t="n">
        <v>37.2791561928</v>
      </c>
      <c r="D1591" s="1" t="n">
        <v>-7.00816128555</v>
      </c>
      <c r="E1591" s="3" t="n">
        <v>2</v>
      </c>
      <c r="F1591" s="2" t="n">
        <v>2</v>
      </c>
      <c r="G1591" s="4" t="n">
        <v>3</v>
      </c>
      <c r="H1591" s="13" t="n"/>
      <c r="I1591" s="15" t="n"/>
      <c r="J1591" s="19" t="n">
        <v>2</v>
      </c>
      <c r="K1591" s="2" t="inlineStr">
        <is>
          <t>marker_460_823807.png</t>
        </is>
      </c>
      <c r="L1591" s="11">
        <f>HYPERLINK("2\1\" &amp; K1591, "Ver Imagen")</f>
        <v/>
      </c>
      <c r="M1591" t="inlineStr">
        <is>
          <t>Moda</t>
        </is>
      </c>
    </row>
    <row r="1592">
      <c r="A1592" t="n">
        <v>1591</v>
      </c>
      <c r="B1592" t="inlineStr">
        <is>
          <t>A-492__141</t>
        </is>
      </c>
      <c r="C1592" s="1" t="n">
        <v>37.2754351997</v>
      </c>
      <c r="D1592" s="1" t="n">
        <v>-7.01602698437</v>
      </c>
      <c r="E1592" s="3" t="n">
        <v>2</v>
      </c>
      <c r="F1592" s="2" t="n">
        <v>2</v>
      </c>
      <c r="G1592" s="4" t="n">
        <v>3</v>
      </c>
      <c r="H1592" s="13" t="n"/>
      <c r="I1592" s="15" t="n"/>
      <c r="J1592" s="19" t="n">
        <v>2</v>
      </c>
      <c r="K1592" s="2" t="inlineStr">
        <is>
          <t>marker_468_824687.png</t>
        </is>
      </c>
      <c r="L1592" s="11">
        <f>HYPERLINK("2\1\" &amp; K1592, "Ver Imagen")</f>
        <v/>
      </c>
      <c r="M1592" t="inlineStr">
        <is>
          <t>Moda</t>
        </is>
      </c>
    </row>
    <row r="1593">
      <c r="A1593" t="n">
        <v>1592</v>
      </c>
      <c r="B1593" t="inlineStr">
        <is>
          <t>A-492__142</t>
        </is>
      </c>
      <c r="C1593" s="1" t="n">
        <v>37.2753748689</v>
      </c>
      <c r="D1593" s="1" t="n">
        <v>-7.0162810453</v>
      </c>
      <c r="E1593" s="3" t="n">
        <v>2</v>
      </c>
      <c r="F1593" s="2" t="n">
        <v>2</v>
      </c>
      <c r="G1593" s="4" t="n">
        <v>3</v>
      </c>
      <c r="H1593" s="13" t="n"/>
      <c r="I1593" s="15" t="n"/>
      <c r="J1593" s="19" t="n">
        <v>2</v>
      </c>
      <c r="K1593" s="2" t="inlineStr">
        <is>
          <t>marker_538_824698.png</t>
        </is>
      </c>
      <c r="L1593" s="11">
        <f>HYPERLINK("2\1\" &amp; K1593, "Ver Imagen")</f>
        <v/>
      </c>
      <c r="M1593" t="inlineStr">
        <is>
          <t>Moda</t>
        </is>
      </c>
    </row>
    <row r="1594">
      <c r="A1594" t="n">
        <v>1593</v>
      </c>
      <c r="B1594" t="inlineStr">
        <is>
          <t>A-492__143</t>
        </is>
      </c>
      <c r="C1594" s="1" t="n">
        <v>37.2753535885</v>
      </c>
      <c r="D1594" s="1" t="n">
        <v>-7.01652565799</v>
      </c>
      <c r="E1594" s="3" t="n">
        <v>2</v>
      </c>
      <c r="F1594" s="2" t="n">
        <v>2</v>
      </c>
      <c r="G1594" s="4" t="n">
        <v>3</v>
      </c>
      <c r="H1594" s="13" t="n"/>
      <c r="I1594" s="15" t="n"/>
      <c r="J1594" s="19" t="n">
        <v>2</v>
      </c>
      <c r="K1594" s="2" t="inlineStr">
        <is>
          <t>marker_422_824709.png</t>
        </is>
      </c>
      <c r="L1594" s="11">
        <f>HYPERLINK("2\1\" &amp; K1594, "Ver Imagen")</f>
        <v/>
      </c>
      <c r="M1594" t="inlineStr">
        <is>
          <t>Moda</t>
        </is>
      </c>
    </row>
    <row r="1595">
      <c r="A1595" t="n">
        <v>1594</v>
      </c>
      <c r="B1595" t="inlineStr">
        <is>
          <t>A-492__170</t>
        </is>
      </c>
      <c r="C1595" s="1" t="n">
        <v>37.2762252394</v>
      </c>
      <c r="D1595" s="1" t="n">
        <v>-7.02322410137</v>
      </c>
      <c r="E1595" s="3" t="n">
        <v>2</v>
      </c>
      <c r="F1595" s="2" t="n">
        <v>2</v>
      </c>
      <c r="G1595" s="4" t="n">
        <v>3</v>
      </c>
      <c r="H1595" s="13" t="n"/>
      <c r="I1595" s="15" t="n"/>
      <c r="J1595" s="19" t="n">
        <v>2</v>
      </c>
      <c r="K1595" s="2" t="inlineStr">
        <is>
          <t>marker_305_831458.png</t>
        </is>
      </c>
      <c r="L1595" s="11">
        <f>HYPERLINK("2\1\" &amp; K1595, "Ver Imagen")</f>
        <v/>
      </c>
      <c r="M1595" t="inlineStr">
        <is>
          <t>Moda</t>
        </is>
      </c>
    </row>
    <row r="1596">
      <c r="A1596" t="n">
        <v>1595</v>
      </c>
      <c r="B1596" t="inlineStr">
        <is>
          <t>A-492__274</t>
        </is>
      </c>
      <c r="C1596" s="1" t="n">
        <v>37.2880520703</v>
      </c>
      <c r="D1596" s="1" t="n">
        <v>-7.04247108021</v>
      </c>
      <c r="E1596" s="3" t="n">
        <v>2</v>
      </c>
      <c r="F1596" s="2" t="n">
        <v>2</v>
      </c>
      <c r="G1596" s="4" t="n">
        <v>3</v>
      </c>
      <c r="H1596" s="13" t="n"/>
      <c r="I1596" s="15" t="n"/>
      <c r="J1596" s="19" t="n">
        <v>2</v>
      </c>
      <c r="K1596" s="2" t="inlineStr">
        <is>
          <t>marker_542_836839.png</t>
        </is>
      </c>
      <c r="L1596" s="11">
        <f>HYPERLINK("2\1\" &amp; K1596, "Ver Imagen")</f>
        <v/>
      </c>
      <c r="M1596" t="inlineStr">
        <is>
          <t>Moda</t>
        </is>
      </c>
    </row>
    <row r="1597">
      <c r="A1597" t="n">
        <v>1596</v>
      </c>
      <c r="B1597" t="inlineStr">
        <is>
          <t>A-492__311</t>
        </is>
      </c>
      <c r="C1597" s="1" t="n">
        <v>37.2940946962</v>
      </c>
      <c r="D1597" s="1" t="n">
        <v>-7.04741237991</v>
      </c>
      <c r="E1597" s="3" t="n">
        <v>2</v>
      </c>
      <c r="F1597" s="2" t="n">
        <v>2</v>
      </c>
      <c r="G1597" s="4" t="n">
        <v>3</v>
      </c>
      <c r="H1597" s="13" t="n"/>
      <c r="I1597" s="15" t="n"/>
      <c r="J1597" s="19" t="n">
        <v>2</v>
      </c>
      <c r="K1597" s="2" t="inlineStr">
        <is>
          <t>marker_810_837684.png</t>
        </is>
      </c>
      <c r="L1597" s="11">
        <f>HYPERLINK("2\1\" &amp; K1597, "Ver Imagen")</f>
        <v/>
      </c>
      <c r="M1597" t="inlineStr">
        <is>
          <t>Moda</t>
        </is>
      </c>
    </row>
    <row r="1598">
      <c r="A1598" t="n">
        <v>1597</v>
      </c>
      <c r="B1598" t="inlineStr">
        <is>
          <t>A-492__312</t>
        </is>
      </c>
      <c r="C1598" s="1" t="n">
        <v>37.2942314285</v>
      </c>
      <c r="D1598" s="1" t="n">
        <v>-7.04760022916</v>
      </c>
      <c r="E1598" s="3" t="n">
        <v>2</v>
      </c>
      <c r="F1598" s="2" t="n">
        <v>2</v>
      </c>
      <c r="G1598" s="4" t="n">
        <v>3</v>
      </c>
      <c r="H1598" s="13" t="n"/>
      <c r="I1598" s="15" t="n"/>
      <c r="J1598" s="19" t="n">
        <v>2</v>
      </c>
      <c r="K1598" s="2" t="inlineStr">
        <is>
          <t>marker_610_837695.png</t>
        </is>
      </c>
      <c r="L1598" s="11">
        <f>HYPERLINK("2\1\" &amp; K1598, "Ver Imagen")</f>
        <v/>
      </c>
      <c r="M1598" t="inlineStr">
        <is>
          <t>Moda</t>
        </is>
      </c>
    </row>
    <row r="1599">
      <c r="A1599" t="n">
        <v>1598</v>
      </c>
      <c r="B1599" t="inlineStr">
        <is>
          <t>A-492__326</t>
        </is>
      </c>
      <c r="C1599" s="1" t="n">
        <v>37.2962690251</v>
      </c>
      <c r="D1599" s="1" t="n">
        <v>-7.05007624582</v>
      </c>
      <c r="E1599" s="3" t="n">
        <v>2</v>
      </c>
      <c r="F1599" s="2" t="n">
        <v>2</v>
      </c>
      <c r="G1599" s="4" t="n">
        <v>3</v>
      </c>
      <c r="H1599" s="13" t="n"/>
      <c r="I1599" s="15" t="n"/>
      <c r="J1599" s="19" t="n">
        <v>2</v>
      </c>
      <c r="K1599" s="2" t="inlineStr">
        <is>
          <t>marker_115_838025.png</t>
        </is>
      </c>
      <c r="L1599" s="11">
        <f>HYPERLINK("2\1\" &amp; K1599, "Ver Imagen")</f>
        <v/>
      </c>
      <c r="M1599" t="inlineStr">
        <is>
          <t>Moda</t>
        </is>
      </c>
    </row>
    <row r="1600">
      <c r="A1600" t="n">
        <v>1599</v>
      </c>
      <c r="B1600" t="inlineStr">
        <is>
          <t>A-497__3</t>
        </is>
      </c>
      <c r="C1600" s="1" t="n">
        <v>37.2671835192</v>
      </c>
      <c r="D1600" s="1" t="n">
        <v>-6.95731025639</v>
      </c>
      <c r="E1600" s="3" t="n">
        <v>2</v>
      </c>
      <c r="F1600" s="2" t="n">
        <v>2</v>
      </c>
      <c r="G1600" s="4" t="n">
        <v>3</v>
      </c>
      <c r="H1600" s="13" t="n"/>
      <c r="I1600" s="15" t="n"/>
      <c r="J1600" s="19" t="n">
        <v>2</v>
      </c>
      <c r="K1600" s="2" t="inlineStr">
        <is>
          <t>marker_661_944050.png</t>
        </is>
      </c>
      <c r="L1600" s="11">
        <f>HYPERLINK("2\1\" &amp; K1600, "Ver Imagen")</f>
        <v/>
      </c>
      <c r="M1600" t="inlineStr">
        <is>
          <t>Moda</t>
        </is>
      </c>
    </row>
    <row r="1601">
      <c r="A1601" t="n">
        <v>1600</v>
      </c>
      <c r="B1601" t="inlineStr">
        <is>
          <t>A-5050__173</t>
        </is>
      </c>
      <c r="C1601" s="1" t="n">
        <v>37.1907869682</v>
      </c>
      <c r="D1601" s="1" t="n">
        <v>-6.99054469294</v>
      </c>
      <c r="E1601" s="3" t="n">
        <v>2</v>
      </c>
      <c r="F1601" s="2" t="n">
        <v>2</v>
      </c>
      <c r="G1601" s="4" t="n">
        <v>3</v>
      </c>
      <c r="H1601" s="13" t="n"/>
      <c r="I1601" s="15" t="n"/>
      <c r="J1601" s="19" t="n">
        <v>2</v>
      </c>
      <c r="K1601" s="2" t="inlineStr">
        <is>
          <t>marker_440_944253.png</t>
        </is>
      </c>
      <c r="L1601" s="11">
        <f>HYPERLINK("2\1\" &amp; K1601, "Ver Imagen")</f>
        <v/>
      </c>
      <c r="M1601" t="inlineStr">
        <is>
          <t>Moda</t>
        </is>
      </c>
    </row>
    <row r="1602">
      <c r="A1602" t="n">
        <v>1601</v>
      </c>
      <c r="B1602" t="inlineStr">
        <is>
          <t>A-5050__151</t>
        </is>
      </c>
      <c r="C1602" s="1" t="n">
        <v>37.1930277896</v>
      </c>
      <c r="D1602" s="1" t="n">
        <v>-6.99536820966</v>
      </c>
      <c r="E1602" s="3" t="n">
        <v>2</v>
      </c>
      <c r="F1602" s="2" t="n">
        <v>2</v>
      </c>
      <c r="G1602" s="4" t="n">
        <v>3</v>
      </c>
      <c r="H1602" s="13" t="n"/>
      <c r="I1602" s="15" t="n"/>
      <c r="J1602" s="19" t="n">
        <v>2</v>
      </c>
      <c r="K1602" s="2" t="inlineStr">
        <is>
          <t>marker_639_945377.png</t>
        </is>
      </c>
      <c r="L1602" s="11">
        <f>HYPERLINK("2\1\" &amp; K1602, "Ver Imagen")</f>
        <v/>
      </c>
      <c r="M1602" t="inlineStr">
        <is>
          <t>Moda</t>
        </is>
      </c>
    </row>
    <row r="1603">
      <c r="A1603" t="n">
        <v>1602</v>
      </c>
      <c r="B1603" t="inlineStr">
        <is>
          <t>A-5050__111</t>
        </is>
      </c>
      <c r="C1603" s="1" t="n">
        <v>37.1967593094</v>
      </c>
      <c r="D1603" s="1" t="n">
        <v>-7.00433771775</v>
      </c>
      <c r="E1603" s="3" t="n">
        <v>2</v>
      </c>
      <c r="F1603" s="2" t="n">
        <v>2</v>
      </c>
      <c r="G1603" s="4" t="n">
        <v>3</v>
      </c>
      <c r="H1603" s="13" t="n"/>
      <c r="I1603" s="15" t="n"/>
      <c r="J1603" s="19" t="n">
        <v>2</v>
      </c>
      <c r="K1603" s="2" t="inlineStr">
        <is>
          <t>marker_359_946650.png</t>
        </is>
      </c>
      <c r="L1603" s="11">
        <f>HYPERLINK("2\1\" &amp; K1603, "Ver Imagen")</f>
        <v/>
      </c>
      <c r="M1603" t="inlineStr">
        <is>
          <t>Moda</t>
        </is>
      </c>
    </row>
    <row r="1604">
      <c r="A1604" t="n">
        <v>1603</v>
      </c>
      <c r="B1604" t="inlineStr">
        <is>
          <t>A-5050__106</t>
        </is>
      </c>
      <c r="C1604" s="1" t="n">
        <v>37.1972102729</v>
      </c>
      <c r="D1604" s="1" t="n">
        <v>-7.00545710383</v>
      </c>
      <c r="E1604" s="3" t="n">
        <v>2</v>
      </c>
      <c r="F1604" s="2" t="n">
        <v>2</v>
      </c>
      <c r="G1604" s="4" t="n">
        <v>3</v>
      </c>
      <c r="H1604" s="13" t="n"/>
      <c r="I1604" s="15" t="n"/>
      <c r="J1604" s="19" t="n">
        <v>2</v>
      </c>
      <c r="K1604" s="2" t="inlineStr">
        <is>
          <t>marker_217_946709.png</t>
        </is>
      </c>
      <c r="L1604" s="11">
        <f>HYPERLINK("2\1\" &amp; K1604, "Ver Imagen")</f>
        <v/>
      </c>
      <c r="M1604" t="inlineStr">
        <is>
          <t>Moda</t>
        </is>
      </c>
    </row>
    <row r="1605">
      <c r="A1605" t="n">
        <v>1604</v>
      </c>
      <c r="B1605" t="inlineStr">
        <is>
          <t>A-5050__95</t>
        </is>
      </c>
      <c r="C1605" s="1" t="n">
        <v>37.1983401988</v>
      </c>
      <c r="D1605" s="1" t="n">
        <v>-7.00785540597</v>
      </c>
      <c r="E1605" s="3" t="n">
        <v>2</v>
      </c>
      <c r="F1605" s="2" t="n">
        <v>2</v>
      </c>
      <c r="G1605" s="4" t="n">
        <v>3</v>
      </c>
      <c r="H1605" s="13" t="n"/>
      <c r="I1605" s="15" t="n"/>
      <c r="J1605" s="19" t="n">
        <v>2</v>
      </c>
      <c r="K1605" s="2" t="inlineStr">
        <is>
          <t>marker_780_946922.png</t>
        </is>
      </c>
      <c r="L1605" s="11">
        <f>HYPERLINK("2\1\" &amp; K1605, "Ver Imagen")</f>
        <v/>
      </c>
      <c r="M1605" t="inlineStr">
        <is>
          <t>Moda</t>
        </is>
      </c>
    </row>
    <row r="1606">
      <c r="A1606" t="n">
        <v>1605</v>
      </c>
      <c r="B1606" t="inlineStr">
        <is>
          <t>A-5052__122</t>
        </is>
      </c>
      <c r="C1606" s="1" t="n">
        <v>37.2166363875</v>
      </c>
      <c r="D1606" s="1" t="n">
        <v>-7.09541613975</v>
      </c>
      <c r="E1606" s="3" t="n">
        <v>2</v>
      </c>
      <c r="F1606" s="2" t="n">
        <v>2</v>
      </c>
      <c r="G1606" s="4" t="n">
        <v>3</v>
      </c>
      <c r="H1606" s="13" t="n"/>
      <c r="I1606" s="15" t="n"/>
      <c r="J1606" s="19" t="n">
        <v>2</v>
      </c>
      <c r="K1606" s="2" t="inlineStr">
        <is>
          <t>marker_568_957968.png</t>
        </is>
      </c>
      <c r="L1606" s="11">
        <f>HYPERLINK("2\1\" &amp; K1606, "Ver Imagen")</f>
        <v/>
      </c>
      <c r="M1606" t="inlineStr">
        <is>
          <t>Moda</t>
        </is>
      </c>
    </row>
    <row r="1607">
      <c r="A1607" t="n">
        <v>1606</v>
      </c>
      <c r="B1607" t="inlineStr">
        <is>
          <t>A-499__90</t>
        </is>
      </c>
      <c r="C1607" s="1" t="n">
        <v>37.4968134339</v>
      </c>
      <c r="D1607" s="1" t="n">
        <v>-7.26816241275</v>
      </c>
      <c r="E1607" s="3" t="n">
        <v>3</v>
      </c>
      <c r="F1607" s="2" t="n">
        <v>2</v>
      </c>
      <c r="G1607" s="4" t="n">
        <v>2</v>
      </c>
      <c r="H1607" s="13" t="n"/>
      <c r="I1607" s="15" t="n"/>
      <c r="J1607" s="19" t="n">
        <v>2</v>
      </c>
      <c r="K1607" s="2" t="inlineStr">
        <is>
          <t>marker_186_789989.png</t>
        </is>
      </c>
      <c r="L1607" s="11">
        <f>HYPERLINK("2\1\" &amp; K1607, "Ver Imagen")</f>
        <v/>
      </c>
      <c r="M1607" t="inlineStr">
        <is>
          <t>Moda</t>
        </is>
      </c>
    </row>
    <row r="1608">
      <c r="A1608" t="n">
        <v>1607</v>
      </c>
      <c r="B1608" t="inlineStr">
        <is>
          <t>A-499__96</t>
        </is>
      </c>
      <c r="C1608" s="1" t="n">
        <v>37.4980262995</v>
      </c>
      <c r="D1608" s="1" t="n">
        <v>-7.26777789312</v>
      </c>
      <c r="E1608" s="3" t="n">
        <v>3</v>
      </c>
      <c r="F1608" s="2" t="n">
        <v>2</v>
      </c>
      <c r="G1608" s="4" t="n">
        <v>2</v>
      </c>
      <c r="H1608" s="13" t="n"/>
      <c r="I1608" s="15" t="n"/>
      <c r="J1608" s="19" t="n">
        <v>2</v>
      </c>
      <c r="K1608" s="2" t="inlineStr">
        <is>
          <t>marker_150_793150.png</t>
        </is>
      </c>
      <c r="L1608" s="11">
        <f>HYPERLINK("2\1\" &amp; K1608, "Ver Imagen")</f>
        <v/>
      </c>
      <c r="M1608" t="inlineStr">
        <is>
          <t>Moda</t>
        </is>
      </c>
    </row>
    <row r="1609">
      <c r="A1609" t="n">
        <v>1608</v>
      </c>
      <c r="B1609" t="inlineStr">
        <is>
          <t>A-490__60</t>
        </is>
      </c>
      <c r="E1609" s="3" t="n">
        <v>2</v>
      </c>
      <c r="F1609" s="2" t="n">
        <v>2</v>
      </c>
      <c r="G1609" s="4" t="n">
        <v>3</v>
      </c>
      <c r="H1609" s="13" t="n"/>
      <c r="I1609" s="15" t="n"/>
      <c r="J1609" s="20" t="n">
        <v>3</v>
      </c>
      <c r="K1609" s="3" t="inlineStr">
        <is>
          <t>marker_309_648402.png</t>
        </is>
      </c>
      <c r="L1609" s="11">
        <f>HYPERLINK("2\1\" &amp; K1609, "Ver Imagen")</f>
        <v/>
      </c>
      <c r="M1609" t="inlineStr">
        <is>
          <t>Modificado</t>
        </is>
      </c>
    </row>
    <row r="1610">
      <c r="A1610" t="n">
        <v>1609</v>
      </c>
      <c r="B1610" t="inlineStr">
        <is>
          <t>A-490__373</t>
        </is>
      </c>
      <c r="C1610" s="1" t="n">
        <v>37.4791034636</v>
      </c>
      <c r="D1610" s="1" t="n">
        <v>-7.20827761558</v>
      </c>
      <c r="E1610" s="3" t="n">
        <v>2</v>
      </c>
      <c r="F1610" s="2" t="n">
        <v>2</v>
      </c>
      <c r="G1610" s="4" t="n">
        <v>3</v>
      </c>
      <c r="H1610" s="13" t="n"/>
      <c r="I1610" s="15" t="n"/>
      <c r="J1610" s="19" t="n">
        <v>2</v>
      </c>
      <c r="K1610" s="2" t="inlineStr">
        <is>
          <t>marker_205_752162.png</t>
        </is>
      </c>
      <c r="L1610" s="11">
        <f>HYPERLINK("2\1\" &amp; K1610, "Ver Imagen")</f>
        <v/>
      </c>
      <c r="M1610" t="inlineStr">
        <is>
          <t>Moda</t>
        </is>
      </c>
    </row>
    <row r="1611">
      <c r="A1611" t="n">
        <v>1610</v>
      </c>
      <c r="B1611" t="inlineStr">
        <is>
          <t>A-490__419</t>
        </is>
      </c>
      <c r="C1611" s="1" t="n">
        <v>37.4827739099</v>
      </c>
      <c r="D1611" s="1" t="n">
        <v>-7.21902106822</v>
      </c>
      <c r="E1611" s="3" t="n">
        <v>1</v>
      </c>
      <c r="F1611" s="2" t="n">
        <v>2</v>
      </c>
      <c r="G1611" s="4" t="n">
        <v>2</v>
      </c>
      <c r="H1611" s="13" t="n"/>
      <c r="I1611" s="15" t="n"/>
      <c r="J1611" s="19" t="n">
        <v>2</v>
      </c>
      <c r="K1611" s="2" t="inlineStr">
        <is>
          <t>marker_743_754280.png</t>
        </is>
      </c>
      <c r="L1611" s="11">
        <f>HYPERLINK("2\1\" &amp; K1611, "Ver Imagen")</f>
        <v/>
      </c>
      <c r="M1611" t="inlineStr">
        <is>
          <t>Moda</t>
        </is>
      </c>
    </row>
    <row r="1612">
      <c r="A1612" t="n">
        <v>1611</v>
      </c>
      <c r="B1612" t="inlineStr">
        <is>
          <t>A-490__420</t>
        </is>
      </c>
      <c r="C1612" s="1" t="n">
        <v>37.482811379</v>
      </c>
      <c r="D1612" s="1" t="n">
        <v>-7.21921341936</v>
      </c>
      <c r="E1612" s="3" t="n">
        <v>1</v>
      </c>
      <c r="F1612" s="2" t="n">
        <v>2</v>
      </c>
      <c r="G1612" s="4" t="n">
        <v>2</v>
      </c>
      <c r="H1612" s="13" t="n"/>
      <c r="I1612" s="15" t="n"/>
      <c r="J1612" s="19" t="n">
        <v>2</v>
      </c>
      <c r="K1612" s="2" t="inlineStr">
        <is>
          <t>marker_803_754293.png</t>
        </is>
      </c>
      <c r="L1612" s="11">
        <f>HYPERLINK("2\1\" &amp; K1612, "Ver Imagen")</f>
        <v/>
      </c>
      <c r="M1612" t="inlineStr">
        <is>
          <t>Moda</t>
        </is>
      </c>
    </row>
    <row r="1613">
      <c r="A1613" t="n">
        <v>1612</v>
      </c>
      <c r="B1613" t="inlineStr">
        <is>
          <t>A-490__465</t>
        </is>
      </c>
      <c r="C1613" s="1" t="n">
        <v>37.4849685863</v>
      </c>
      <c r="D1613" s="1" t="n">
        <v>-7.23028844782</v>
      </c>
      <c r="E1613" s="3" t="n">
        <v>1</v>
      </c>
      <c r="F1613" s="2" t="n">
        <v>2</v>
      </c>
      <c r="G1613" s="4" t="n">
        <v>2</v>
      </c>
      <c r="H1613" s="13" t="n"/>
      <c r="I1613" s="15" t="n"/>
      <c r="J1613" s="19" t="n">
        <v>2</v>
      </c>
      <c r="K1613" s="2" t="inlineStr">
        <is>
          <t>marker_202_755299.png</t>
        </is>
      </c>
      <c r="L1613" s="11">
        <f>HYPERLINK("2\1\" &amp; K1613, "Ver Imagen")</f>
        <v/>
      </c>
      <c r="M1613" t="inlineStr">
        <is>
          <t>Moda</t>
        </is>
      </c>
    </row>
    <row r="1614">
      <c r="A1614" t="n">
        <v>1613</v>
      </c>
      <c r="B1614" t="inlineStr">
        <is>
          <t>A-490__475</t>
        </is>
      </c>
      <c r="C1614" s="1" t="n">
        <v>37.4854602575</v>
      </c>
      <c r="D1614" s="1" t="n">
        <v>-7.23285058258</v>
      </c>
      <c r="E1614" s="3" t="n">
        <v>1</v>
      </c>
      <c r="F1614" s="2" t="n">
        <v>2</v>
      </c>
      <c r="G1614" s="4" t="n">
        <v>2</v>
      </c>
      <c r="H1614" s="13" t="n"/>
      <c r="I1614" s="15" t="n"/>
      <c r="J1614" s="19" t="n">
        <v>2</v>
      </c>
      <c r="K1614" s="2" t="inlineStr">
        <is>
          <t>marker_994_755497.png</t>
        </is>
      </c>
      <c r="L1614" s="11">
        <f>HYPERLINK("2\1\" &amp; K1614, "Ver Imagen")</f>
        <v/>
      </c>
      <c r="M1614" t="inlineStr">
        <is>
          <t>Moda</t>
        </is>
      </c>
    </row>
    <row r="1615">
      <c r="A1615" t="n">
        <v>1614</v>
      </c>
      <c r="B1615" t="inlineStr">
        <is>
          <t>A-490__476</t>
        </is>
      </c>
      <c r="C1615" s="1" t="n">
        <v>37.4855028877</v>
      </c>
      <c r="D1615" s="1" t="n">
        <v>-7.23307182017</v>
      </c>
      <c r="E1615" s="3" t="n">
        <v>1</v>
      </c>
      <c r="F1615" s="2" t="n">
        <v>2</v>
      </c>
      <c r="G1615" s="4" t="n">
        <v>2</v>
      </c>
      <c r="H1615" s="13" t="n"/>
      <c r="I1615" s="15" t="n"/>
      <c r="J1615" s="19" t="n">
        <v>2</v>
      </c>
      <c r="K1615" s="2" t="inlineStr">
        <is>
          <t>marker_959_755512.png</t>
        </is>
      </c>
      <c r="L1615" s="11">
        <f>HYPERLINK("2\1\" &amp; K1615, "Ver Imagen")</f>
        <v/>
      </c>
      <c r="M1615" t="inlineStr">
        <is>
          <t>Moda</t>
        </is>
      </c>
    </row>
    <row r="1616">
      <c r="A1616" t="n">
        <v>1615</v>
      </c>
      <c r="B1616" t="inlineStr">
        <is>
          <t>A-490__477</t>
        </is>
      </c>
      <c r="C1616" s="1" t="n">
        <v>37.4855448</v>
      </c>
      <c r="D1616" s="1" t="n">
        <v>-7.23329231052</v>
      </c>
      <c r="E1616" s="3" t="n">
        <v>1</v>
      </c>
      <c r="F1616" s="2" t="n">
        <v>2</v>
      </c>
      <c r="G1616" s="4" t="n">
        <v>2</v>
      </c>
      <c r="H1616" s="13" t="n"/>
      <c r="I1616" s="15" t="n"/>
      <c r="J1616" s="19" t="n">
        <v>2</v>
      </c>
      <c r="K1616" s="2" t="inlineStr">
        <is>
          <t>marker_272_755527.png</t>
        </is>
      </c>
      <c r="L1616" s="11">
        <f>HYPERLINK("2\1\" &amp; K1616, "Ver Imagen")</f>
        <v/>
      </c>
      <c r="M1616" t="inlineStr">
        <is>
          <t>Moda</t>
        </is>
      </c>
    </row>
    <row r="1617">
      <c r="A1617" t="n">
        <v>1616</v>
      </c>
      <c r="B1617" t="inlineStr">
        <is>
          <t>A-490__478</t>
        </is>
      </c>
      <c r="C1617" s="1" t="n">
        <v>37.4855935026</v>
      </c>
      <c r="D1617" s="1" t="n">
        <v>-7.23355355599</v>
      </c>
      <c r="E1617" s="3" t="n">
        <v>1</v>
      </c>
      <c r="F1617" s="2" t="n">
        <v>2</v>
      </c>
      <c r="G1617" s="4" t="n">
        <v>2</v>
      </c>
      <c r="H1617" s="13" t="n"/>
      <c r="I1617" s="15" t="n"/>
      <c r="J1617" s="19" t="n">
        <v>2</v>
      </c>
      <c r="K1617" s="2" t="inlineStr">
        <is>
          <t>marker_197_755544.png</t>
        </is>
      </c>
      <c r="L1617" s="11">
        <f>HYPERLINK("2\1\" &amp; K1617, "Ver Imagen")</f>
        <v/>
      </c>
      <c r="M1617" t="inlineStr">
        <is>
          <t>Moda</t>
        </is>
      </c>
    </row>
    <row r="1618">
      <c r="A1618" t="n">
        <v>1617</v>
      </c>
      <c r="B1618" t="inlineStr">
        <is>
          <t>A-490__488</t>
        </is>
      </c>
      <c r="C1618" s="1" t="n">
        <v>37.4860643778</v>
      </c>
      <c r="D1618" s="1" t="n">
        <v>-7.23599605183</v>
      </c>
      <c r="E1618" s="3" t="n">
        <v>1</v>
      </c>
      <c r="F1618" s="2" t="n">
        <v>2</v>
      </c>
      <c r="G1618" s="4" t="n">
        <v>2</v>
      </c>
      <c r="H1618" s="13" t="n"/>
      <c r="I1618" s="15" t="n"/>
      <c r="J1618" s="19" t="n">
        <v>2</v>
      </c>
      <c r="K1618" s="2" t="inlineStr">
        <is>
          <t>marker_804_755735.png</t>
        </is>
      </c>
      <c r="L1618" s="11">
        <f>HYPERLINK("2\1\" &amp; K1618, "Ver Imagen")</f>
        <v/>
      </c>
      <c r="M1618" t="inlineStr">
        <is>
          <t>Moda</t>
        </is>
      </c>
    </row>
    <row r="1619">
      <c r="A1619" t="n">
        <v>1618</v>
      </c>
      <c r="B1619" t="inlineStr">
        <is>
          <t>A-490__491</t>
        </is>
      </c>
      <c r="C1619" s="1" t="n">
        <v>37.4862097412</v>
      </c>
      <c r="D1619" s="1" t="n">
        <v>-7.2367448545</v>
      </c>
      <c r="E1619" s="3" t="n">
        <v>1</v>
      </c>
      <c r="F1619" s="2" t="n">
        <v>2</v>
      </c>
      <c r="G1619" s="4" t="n">
        <v>2</v>
      </c>
      <c r="H1619" s="13" t="n"/>
      <c r="I1619" s="15" t="n"/>
      <c r="J1619" s="19" t="n">
        <v>2</v>
      </c>
      <c r="K1619" s="2" t="inlineStr">
        <is>
          <t>marker_330_755778.png</t>
        </is>
      </c>
      <c r="L1619" s="11">
        <f>HYPERLINK("2\1\" &amp; K1619, "Ver Imagen")</f>
        <v/>
      </c>
      <c r="M1619" t="inlineStr">
        <is>
          <t>Moda</t>
        </is>
      </c>
    </row>
    <row r="1620">
      <c r="A1620" t="n">
        <v>1619</v>
      </c>
      <c r="B1620" t="inlineStr">
        <is>
          <t>A-490__493</t>
        </is>
      </c>
      <c r="C1620" s="1" t="n">
        <v>37.486299651</v>
      </c>
      <c r="D1620" s="1" t="n">
        <v>-7.23720923628</v>
      </c>
      <c r="E1620" s="3" t="n">
        <v>1</v>
      </c>
      <c r="F1620" s="2" t="n">
        <v>2</v>
      </c>
      <c r="G1620" s="4" t="n">
        <v>2</v>
      </c>
      <c r="H1620" s="13" t="n"/>
      <c r="I1620" s="15" t="n"/>
      <c r="J1620" s="19" t="n">
        <v>2</v>
      </c>
      <c r="K1620" s="2" t="inlineStr">
        <is>
          <t>marker_197_755811.png</t>
        </is>
      </c>
      <c r="L1620" s="11">
        <f>HYPERLINK("2\1\" &amp; K1620, "Ver Imagen")</f>
        <v/>
      </c>
      <c r="M1620" t="inlineStr">
        <is>
          <t>Moda</t>
        </is>
      </c>
    </row>
    <row r="1621">
      <c r="A1621" t="n">
        <v>1620</v>
      </c>
      <c r="B1621" t="inlineStr">
        <is>
          <t>A-490__496</t>
        </is>
      </c>
      <c r="C1621" s="1" t="n">
        <v>37.4864407655</v>
      </c>
      <c r="D1621" s="1" t="n">
        <v>-7.23795185396</v>
      </c>
      <c r="E1621" s="3" t="n">
        <v>1</v>
      </c>
      <c r="F1621" s="2" t="n">
        <v>2</v>
      </c>
      <c r="G1621" s="4" t="n">
        <v>2</v>
      </c>
      <c r="H1621" s="13" t="n"/>
      <c r="I1621" s="15" t="n"/>
      <c r="J1621" s="19" t="n">
        <v>2</v>
      </c>
      <c r="K1621" s="2" t="inlineStr">
        <is>
          <t>marker_371_755902.png</t>
        </is>
      </c>
      <c r="L1621" s="11">
        <f>HYPERLINK("2\1\" &amp; K1621, "Ver Imagen")</f>
        <v/>
      </c>
      <c r="M1621" t="inlineStr">
        <is>
          <t>Moda</t>
        </is>
      </c>
    </row>
    <row r="1622">
      <c r="A1622" t="n">
        <v>1621</v>
      </c>
      <c r="B1622" t="inlineStr">
        <is>
          <t>A-490__562</t>
        </is>
      </c>
      <c r="C1622" s="1" t="n">
        <v>37.490618104</v>
      </c>
      <c r="D1622" s="1" t="n">
        <v>-7.25327979402</v>
      </c>
      <c r="E1622" s="3" t="n">
        <v>1</v>
      </c>
      <c r="F1622" s="2" t="n">
        <v>2</v>
      </c>
      <c r="G1622" s="4" t="n">
        <v>2</v>
      </c>
      <c r="H1622" s="13" t="n"/>
      <c r="I1622" s="15" t="n"/>
      <c r="J1622" s="19" t="n">
        <v>2</v>
      </c>
      <c r="K1622" s="2" t="inlineStr">
        <is>
          <t>marker_914_819203.png</t>
        </is>
      </c>
      <c r="L1622" s="11">
        <f>HYPERLINK("2\1\" &amp; K1622, "Ver Imagen")</f>
        <v/>
      </c>
      <c r="M1622" t="inlineStr">
        <is>
          <t>Moda</t>
        </is>
      </c>
    </row>
    <row r="1623">
      <c r="A1623" t="n">
        <v>1622</v>
      </c>
      <c r="B1623" t="inlineStr">
        <is>
          <t>A-490__571</t>
        </is>
      </c>
      <c r="C1623" s="1" t="n">
        <v>37.4904291306</v>
      </c>
      <c r="D1623" s="1" t="n">
        <v>-7.25550784097</v>
      </c>
      <c r="E1623" s="3" t="n">
        <v>1</v>
      </c>
      <c r="F1623" s="2" t="n">
        <v>2</v>
      </c>
      <c r="G1623" s="4" t="n">
        <v>2</v>
      </c>
      <c r="H1623" s="13" t="n"/>
      <c r="I1623" s="15" t="n"/>
      <c r="J1623" s="19" t="n">
        <v>2</v>
      </c>
      <c r="K1623" s="2" t="inlineStr">
        <is>
          <t>marker_305_819342.png</t>
        </is>
      </c>
      <c r="L1623" s="11">
        <f>HYPERLINK("2\1\" &amp; K1623, "Ver Imagen")</f>
        <v/>
      </c>
      <c r="M1623" t="inlineStr">
        <is>
          <t>Moda</t>
        </is>
      </c>
    </row>
    <row r="1624">
      <c r="A1624" t="n">
        <v>1623</v>
      </c>
      <c r="B1624" t="inlineStr">
        <is>
          <t>A-490__621</t>
        </is>
      </c>
      <c r="C1624" s="1" t="n">
        <v>37.4944257609</v>
      </c>
      <c r="D1624" s="1" t="n">
        <v>-7.26603617101</v>
      </c>
      <c r="E1624" s="3" t="n">
        <v>1</v>
      </c>
      <c r="F1624" s="2" t="n">
        <v>2</v>
      </c>
      <c r="G1624" s="4" t="n">
        <v>2</v>
      </c>
      <c r="H1624" s="13" t="n"/>
      <c r="I1624" s="15" t="n"/>
      <c r="J1624" s="19" t="n">
        <v>2</v>
      </c>
      <c r="K1624" s="2" t="inlineStr">
        <is>
          <t>marker_297_820322.png</t>
        </is>
      </c>
      <c r="L1624" s="11">
        <f>HYPERLINK("2\1\" &amp; K1624, "Ver Imagen")</f>
        <v/>
      </c>
      <c r="M1624" t="inlineStr">
        <is>
          <t>Moda</t>
        </is>
      </c>
    </row>
    <row r="1625">
      <c r="A1625" t="n">
        <v>1624</v>
      </c>
      <c r="B1625" t="inlineStr">
        <is>
          <t>A-492__52</t>
        </is>
      </c>
      <c r="C1625" s="1" t="n">
        <v>37.2794086944</v>
      </c>
      <c r="D1625" s="1" t="n">
        <v>-6.99608114297</v>
      </c>
      <c r="E1625" s="3" t="n">
        <v>2</v>
      </c>
      <c r="F1625" s="2" t="n">
        <v>2</v>
      </c>
      <c r="G1625" s="4" t="n">
        <v>3</v>
      </c>
      <c r="H1625" s="13" t="n"/>
      <c r="I1625" s="15" t="n"/>
      <c r="J1625" s="19" t="n">
        <v>2</v>
      </c>
      <c r="K1625" s="2" t="inlineStr">
        <is>
          <t>marker_429_823028.png</t>
        </is>
      </c>
      <c r="L1625" s="11">
        <f>HYPERLINK("2\1\" &amp; K1625, "Ver Imagen")</f>
        <v/>
      </c>
      <c r="M1625" t="inlineStr">
        <is>
          <t>Moda</t>
        </is>
      </c>
    </row>
    <row r="1626">
      <c r="A1626" t="n">
        <v>1625</v>
      </c>
      <c r="B1626" t="inlineStr">
        <is>
          <t>A-492__55</t>
        </is>
      </c>
      <c r="C1626" s="1" t="n">
        <v>37.2795761674</v>
      </c>
      <c r="D1626" s="1" t="n">
        <v>-6.99682629058</v>
      </c>
      <c r="E1626" s="3" t="n">
        <v>2</v>
      </c>
      <c r="F1626" s="2" t="n">
        <v>2</v>
      </c>
      <c r="G1626" s="4" t="n">
        <v>3</v>
      </c>
      <c r="H1626" s="13" t="n"/>
      <c r="I1626" s="15" t="n"/>
      <c r="J1626" s="19" t="n">
        <v>2</v>
      </c>
      <c r="K1626" s="2" t="inlineStr">
        <is>
          <t>marker_319_823076.png</t>
        </is>
      </c>
      <c r="L1626" s="11">
        <f>HYPERLINK("2\1\" &amp; K1626, "Ver Imagen")</f>
        <v/>
      </c>
      <c r="M1626" t="inlineStr">
        <is>
          <t>Moda</t>
        </is>
      </c>
    </row>
    <row r="1627">
      <c r="A1627" t="n">
        <v>1626</v>
      </c>
      <c r="B1627" t="inlineStr">
        <is>
          <t>A-492__56</t>
        </is>
      </c>
      <c r="C1627" s="1" t="n">
        <v>37.2796175832</v>
      </c>
      <c r="D1627" s="1" t="n">
        <v>-6.99702900202</v>
      </c>
      <c r="E1627" s="3" t="n">
        <v>2</v>
      </c>
      <c r="F1627" s="2" t="n">
        <v>2</v>
      </c>
      <c r="G1627" s="4" t="n">
        <v>3</v>
      </c>
      <c r="H1627" s="13" t="n"/>
      <c r="I1627" s="15" t="n"/>
      <c r="J1627" s="19" t="n">
        <v>2</v>
      </c>
      <c r="K1627" s="2" t="inlineStr">
        <is>
          <t>marker_956_823086.png</t>
        </is>
      </c>
      <c r="L1627" s="11">
        <f>HYPERLINK("2\1\" &amp; K1627, "Ver Imagen")</f>
        <v/>
      </c>
      <c r="M1627" t="inlineStr">
        <is>
          <t>Moda</t>
        </is>
      </c>
    </row>
    <row r="1628">
      <c r="A1628" t="n">
        <v>1627</v>
      </c>
      <c r="B1628" t="inlineStr">
        <is>
          <t>A-492__147</t>
        </is>
      </c>
      <c r="C1628" s="1" t="n">
        <v>37.2754459109</v>
      </c>
      <c r="D1628" s="1" t="n">
        <v>-7.0175266367</v>
      </c>
      <c r="E1628" s="3" t="n">
        <v>1</v>
      </c>
      <c r="F1628" s="2" t="n">
        <v>2</v>
      </c>
      <c r="G1628" s="4" t="n">
        <v>2</v>
      </c>
      <c r="H1628" s="13" t="n"/>
      <c r="I1628" s="15" t="n"/>
      <c r="J1628" s="19" t="n">
        <v>2</v>
      </c>
      <c r="K1628" s="2" t="inlineStr">
        <is>
          <t>marker_219_824758.png</t>
        </is>
      </c>
      <c r="L1628" s="11">
        <f>HYPERLINK("2\1\" &amp; K1628, "Ver Imagen")</f>
        <v/>
      </c>
      <c r="M1628" t="inlineStr">
        <is>
          <t>Moda</t>
        </is>
      </c>
    </row>
    <row r="1629">
      <c r="A1629" t="n">
        <v>1628</v>
      </c>
      <c r="B1629" t="inlineStr">
        <is>
          <t>A-492__263</t>
        </is>
      </c>
      <c r="C1629" s="1" t="n">
        <v>37.2859923011</v>
      </c>
      <c r="D1629" s="1" t="n">
        <v>-7.04139966962</v>
      </c>
      <c r="E1629" s="3" t="n">
        <v>1</v>
      </c>
      <c r="F1629" s="2" t="n">
        <v>2</v>
      </c>
      <c r="G1629" s="4" t="n">
        <v>2</v>
      </c>
      <c r="H1629" s="13" t="n"/>
      <c r="I1629" s="15" t="n"/>
      <c r="J1629" s="19" t="n">
        <v>2</v>
      </c>
      <c r="K1629" s="2" t="inlineStr">
        <is>
          <t>marker_341_836626.png</t>
        </is>
      </c>
      <c r="L1629" s="11">
        <f>HYPERLINK("2\1\" &amp; K1629, "Ver Imagen")</f>
        <v/>
      </c>
      <c r="M1629" t="inlineStr">
        <is>
          <t>Moda</t>
        </is>
      </c>
    </row>
    <row r="1630">
      <c r="A1630" t="n">
        <v>1629</v>
      </c>
      <c r="B1630" t="inlineStr">
        <is>
          <t>A-492__268</t>
        </is>
      </c>
      <c r="C1630" s="1" t="n">
        <v>37.2869001646</v>
      </c>
      <c r="D1630" s="1" t="n">
        <v>-7.04191625375</v>
      </c>
      <c r="E1630" s="3" t="n">
        <v>1</v>
      </c>
      <c r="F1630" s="2" t="n">
        <v>2</v>
      </c>
      <c r="G1630" s="4" t="n">
        <v>2</v>
      </c>
      <c r="H1630" s="13" t="n"/>
      <c r="I1630" s="15" t="n"/>
      <c r="J1630" s="19" t="n">
        <v>2</v>
      </c>
      <c r="K1630" s="2" t="inlineStr">
        <is>
          <t>marker_546_836725.png</t>
        </is>
      </c>
      <c r="L1630" s="11">
        <f>HYPERLINK("2\1\" &amp; K1630, "Ver Imagen")</f>
        <v/>
      </c>
      <c r="M1630" t="inlineStr">
        <is>
          <t>Moda</t>
        </is>
      </c>
    </row>
    <row r="1631">
      <c r="A1631" t="n">
        <v>1630</v>
      </c>
      <c r="B1631" t="inlineStr">
        <is>
          <t>A-492__270</t>
        </is>
      </c>
      <c r="C1631" s="1" t="n">
        <v>37.2873060943</v>
      </c>
      <c r="D1631" s="1" t="n">
        <v>-7.04209802497</v>
      </c>
      <c r="E1631" s="3" t="n">
        <v>1</v>
      </c>
      <c r="F1631" s="2" t="n">
        <v>2</v>
      </c>
      <c r="G1631" s="4" t="n">
        <v>2</v>
      </c>
      <c r="H1631" s="13" t="n"/>
      <c r="I1631" s="15" t="n"/>
      <c r="J1631" s="19" t="n">
        <v>2</v>
      </c>
      <c r="K1631" s="2" t="inlineStr">
        <is>
          <t>marker_730_836750.png</t>
        </is>
      </c>
      <c r="L1631" s="11">
        <f>HYPERLINK("2\1\" &amp; K1631, "Ver Imagen")</f>
        <v/>
      </c>
      <c r="M1631" t="inlineStr">
        <is>
          <t>Moda</t>
        </is>
      </c>
    </row>
    <row r="1632">
      <c r="A1632" t="n">
        <v>1631</v>
      </c>
      <c r="B1632" t="inlineStr">
        <is>
          <t>A-492__322</t>
        </is>
      </c>
      <c r="C1632" s="1" t="n">
        <v>37.2956640634</v>
      </c>
      <c r="D1632" s="1" t="n">
        <v>-7.04940179701</v>
      </c>
      <c r="E1632" s="3" t="n">
        <v>1</v>
      </c>
      <c r="F1632" s="2" t="n">
        <v>2</v>
      </c>
      <c r="G1632" s="4" t="n">
        <v>2</v>
      </c>
      <c r="H1632" s="13" t="n"/>
      <c r="I1632" s="15" t="n"/>
      <c r="J1632" s="19" t="n">
        <v>2</v>
      </c>
      <c r="K1632" s="2" t="inlineStr">
        <is>
          <t>marker_293_837984.png</t>
        </is>
      </c>
      <c r="L1632" s="11">
        <f>HYPERLINK("2\1\" &amp; K1632, "Ver Imagen")</f>
        <v/>
      </c>
      <c r="M1632" t="inlineStr">
        <is>
          <t>Moda</t>
        </is>
      </c>
    </row>
    <row r="1633">
      <c r="A1633" t="n">
        <v>1632</v>
      </c>
      <c r="B1633" t="inlineStr">
        <is>
          <t>A-492__339</t>
        </is>
      </c>
      <c r="C1633" s="1" t="n">
        <v>37.2975866417</v>
      </c>
      <c r="D1633" s="1" t="n">
        <v>-7.05294275082</v>
      </c>
      <c r="E1633" s="3" t="n">
        <v>1</v>
      </c>
      <c r="F1633" s="2" t="n">
        <v>2</v>
      </c>
      <c r="G1633" s="4" t="n">
        <v>2</v>
      </c>
      <c r="H1633" s="13" t="n"/>
      <c r="I1633" s="15" t="n"/>
      <c r="J1633" s="19" t="n">
        <v>2</v>
      </c>
      <c r="K1633" s="2" t="inlineStr">
        <is>
          <t>marker_599_838190.png</t>
        </is>
      </c>
      <c r="L1633" s="11">
        <f>HYPERLINK("2\1\" &amp; K1633, "Ver Imagen")</f>
        <v/>
      </c>
      <c r="M1633" t="inlineStr">
        <is>
          <t>Moda</t>
        </is>
      </c>
    </row>
    <row r="1634">
      <c r="A1634" t="n">
        <v>1633</v>
      </c>
      <c r="B1634" t="inlineStr">
        <is>
          <t>A-492__423</t>
        </is>
      </c>
      <c r="C1634" s="1" t="n">
        <v>37.3125339586</v>
      </c>
      <c r="D1634" s="1" t="n">
        <v>-7.06100826199</v>
      </c>
      <c r="E1634" s="3" t="n">
        <v>1</v>
      </c>
      <c r="F1634" s="2" t="n">
        <v>2</v>
      </c>
      <c r="G1634" s="4" t="n">
        <v>2</v>
      </c>
      <c r="H1634" s="13" t="n"/>
      <c r="I1634" s="15" t="n"/>
      <c r="J1634" s="19" t="n">
        <v>2</v>
      </c>
      <c r="K1634" s="2" t="inlineStr">
        <is>
          <t>marker_617_839448.png</t>
        </is>
      </c>
      <c r="L1634" s="11">
        <f>HYPERLINK("2\1\" &amp; K1634, "Ver Imagen")</f>
        <v/>
      </c>
      <c r="M1634" t="inlineStr">
        <is>
          <t>Moda</t>
        </is>
      </c>
    </row>
    <row r="1635">
      <c r="A1635" t="n">
        <v>1634</v>
      </c>
      <c r="B1635" t="inlineStr">
        <is>
          <t>A-492__444</t>
        </is>
      </c>
      <c r="C1635" s="1" t="n">
        <v>37.3149449888</v>
      </c>
      <c r="D1635" s="1" t="n">
        <v>-7.06538215545</v>
      </c>
      <c r="E1635" s="3" t="n">
        <v>1</v>
      </c>
      <c r="F1635" s="2" t="n">
        <v>2</v>
      </c>
      <c r="G1635" s="4" t="n">
        <v>2</v>
      </c>
      <c r="H1635" s="13" t="n"/>
      <c r="I1635" s="15" t="n"/>
      <c r="J1635" s="19" t="n">
        <v>2</v>
      </c>
      <c r="K1635" s="2" t="inlineStr">
        <is>
          <t>marker_441_839744.png</t>
        </is>
      </c>
      <c r="L1635" s="11">
        <f>HYPERLINK("2\1\" &amp; K1635, "Ver Imagen")</f>
        <v/>
      </c>
      <c r="M1635" t="inlineStr">
        <is>
          <t>Moda</t>
        </is>
      </c>
    </row>
    <row r="1636">
      <c r="A1636" t="n">
        <v>1635</v>
      </c>
      <c r="B1636" t="inlineStr">
        <is>
          <t>A-492__475</t>
        </is>
      </c>
      <c r="C1636" s="1" t="n">
        <v>37.3183624819</v>
      </c>
      <c r="D1636" s="1" t="n">
        <v>-7.07131830153</v>
      </c>
      <c r="E1636" s="3" t="n">
        <v>2</v>
      </c>
      <c r="F1636" s="2" t="n">
        <v>2</v>
      </c>
      <c r="G1636" s="4" t="n">
        <v>3</v>
      </c>
      <c r="H1636" s="13" t="n"/>
      <c r="I1636" s="15" t="n"/>
      <c r="J1636" s="19" t="n">
        <v>2</v>
      </c>
      <c r="K1636" s="2" t="inlineStr">
        <is>
          <t>marker_677_840102.png</t>
        </is>
      </c>
      <c r="L1636" s="11">
        <f>HYPERLINK("2\1\" &amp; K1636, "Ver Imagen")</f>
        <v/>
      </c>
      <c r="M1636" t="inlineStr">
        <is>
          <t>Moda</t>
        </is>
      </c>
    </row>
    <row r="1637">
      <c r="A1637" t="n">
        <v>1636</v>
      </c>
      <c r="B1637" t="inlineStr">
        <is>
          <t>A-492__477</t>
        </is>
      </c>
      <c r="C1637" s="1" t="n">
        <v>37.3187626631</v>
      </c>
      <c r="D1637" s="1" t="n">
        <v>-7.07138873772</v>
      </c>
      <c r="E1637" s="3" t="n">
        <v>2</v>
      </c>
      <c r="F1637" s="2" t="n">
        <v>2</v>
      </c>
      <c r="G1637" s="4" t="n">
        <v>3</v>
      </c>
      <c r="H1637" s="13" t="n"/>
      <c r="I1637" s="15" t="n"/>
      <c r="J1637" s="19" t="n">
        <v>2</v>
      </c>
      <c r="K1637" s="2" t="inlineStr">
        <is>
          <t>marker_336_840122.png</t>
        </is>
      </c>
      <c r="L1637" s="11">
        <f>HYPERLINK("2\1\" &amp; K1637, "Ver Imagen")</f>
        <v/>
      </c>
      <c r="M1637" t="inlineStr">
        <is>
          <t>Moda</t>
        </is>
      </c>
    </row>
    <row r="1638">
      <c r="A1638" t="n">
        <v>1637</v>
      </c>
      <c r="B1638" t="inlineStr">
        <is>
          <t>A-5050__166</t>
        </is>
      </c>
      <c r="C1638" s="1" t="n">
        <v>37.1915162075</v>
      </c>
      <c r="D1638" s="1" t="n">
        <v>-6.99205553974</v>
      </c>
      <c r="E1638" s="3" t="n">
        <v>2</v>
      </c>
      <c r="F1638" s="2" t="n">
        <v>2</v>
      </c>
      <c r="G1638" s="4" t="n">
        <v>3</v>
      </c>
      <c r="H1638" s="13" t="n"/>
      <c r="I1638" s="15" t="n"/>
      <c r="J1638" s="19" t="n">
        <v>2</v>
      </c>
      <c r="K1638" s="2" t="inlineStr">
        <is>
          <t>marker_374_944331.png</t>
        </is>
      </c>
      <c r="L1638" s="11">
        <f>HYPERLINK("2\1\" &amp; K1638, "Ver Imagen")</f>
        <v/>
      </c>
      <c r="M1638" t="inlineStr">
        <is>
          <t>Moda</t>
        </is>
      </c>
    </row>
    <row r="1639">
      <c r="A1639" t="n">
        <v>1638</v>
      </c>
      <c r="B1639" t="inlineStr">
        <is>
          <t>A-5050__162</t>
        </is>
      </c>
      <c r="C1639" s="1" t="n">
        <v>37.1919296768</v>
      </c>
      <c r="D1639" s="1" t="n">
        <v>-6.99291349848</v>
      </c>
      <c r="E1639" s="3" t="n">
        <v>2</v>
      </c>
      <c r="F1639" s="2" t="n">
        <v>2</v>
      </c>
      <c r="G1639" s="4" t="n">
        <v>3</v>
      </c>
      <c r="H1639" s="13" t="n"/>
      <c r="I1639" s="15" t="n"/>
      <c r="J1639" s="19" t="n">
        <v>2</v>
      </c>
      <c r="K1639" s="2" t="inlineStr">
        <is>
          <t>marker_251_944669.png</t>
        </is>
      </c>
      <c r="L1639" s="11">
        <f>HYPERLINK("2\1\" &amp; K1639, "Ver Imagen")</f>
        <v/>
      </c>
      <c r="M1639" t="inlineStr">
        <is>
          <t>Moda</t>
        </is>
      </c>
    </row>
    <row r="1640">
      <c r="A1640" t="n">
        <v>1639</v>
      </c>
      <c r="B1640" t="inlineStr">
        <is>
          <t>A-5052__20</t>
        </is>
      </c>
      <c r="C1640" s="1" t="n">
        <v>37.2179971644</v>
      </c>
      <c r="D1640" s="1" t="n">
        <v>-7.12103967902</v>
      </c>
      <c r="E1640" s="3" t="n">
        <v>3</v>
      </c>
      <c r="F1640" s="2" t="n">
        <v>2</v>
      </c>
      <c r="G1640" s="4" t="n">
        <v>2</v>
      </c>
      <c r="H1640" s="13" t="n"/>
      <c r="I1640" s="15" t="n"/>
      <c r="J1640" s="19" t="n">
        <v>2</v>
      </c>
      <c r="K1640" s="2" t="inlineStr">
        <is>
          <t>marker_201_951472.png</t>
        </is>
      </c>
      <c r="L1640" s="11">
        <f>HYPERLINK("2\1\" &amp; K1640, "Ver Imagen")</f>
        <v/>
      </c>
      <c r="M1640" t="inlineStr">
        <is>
          <t>Moda</t>
        </is>
      </c>
    </row>
    <row r="1641">
      <c r="A1641" t="n">
        <v>1640</v>
      </c>
      <c r="B1641" t="inlineStr">
        <is>
          <t>A-5052__21</t>
        </is>
      </c>
      <c r="C1641" s="1" t="n">
        <v>37.2180166962</v>
      </c>
      <c r="D1641" s="1" t="n">
        <v>-7.12078974614</v>
      </c>
      <c r="E1641" s="3" t="n">
        <v>2</v>
      </c>
      <c r="F1641" s="2" t="n">
        <v>2</v>
      </c>
      <c r="G1641" s="4" t="n">
        <v>3</v>
      </c>
      <c r="H1641" s="13" t="n"/>
      <c r="I1641" s="15" t="n"/>
      <c r="J1641" s="19" t="n">
        <v>2</v>
      </c>
      <c r="K1641" s="2" t="inlineStr">
        <is>
          <t>marker_225_951484.png</t>
        </is>
      </c>
      <c r="L1641" s="11">
        <f>HYPERLINK("2\1\" &amp; K1641, "Ver Imagen")</f>
        <v/>
      </c>
      <c r="M1641" t="inlineStr">
        <is>
          <t>Moda</t>
        </is>
      </c>
    </row>
    <row r="1642">
      <c r="A1642" t="n">
        <v>1641</v>
      </c>
      <c r="B1642" t="inlineStr">
        <is>
          <t>A-5052__26</t>
        </is>
      </c>
      <c r="C1642" s="1" t="n">
        <v>37.2181073132</v>
      </c>
      <c r="D1642" s="1" t="n">
        <v>-7.11951733347</v>
      </c>
      <c r="E1642" s="3" t="n">
        <v>2</v>
      </c>
      <c r="F1642" s="2" t="n">
        <v>2</v>
      </c>
      <c r="G1642" s="4" t="n">
        <v>3</v>
      </c>
      <c r="H1642" s="13" t="n"/>
      <c r="I1642" s="15" t="n"/>
      <c r="J1642" s="19" t="n">
        <v>2</v>
      </c>
      <c r="K1642" s="2" t="inlineStr">
        <is>
          <t>marker_171_951547.png</t>
        </is>
      </c>
      <c r="L1642" s="11">
        <f>HYPERLINK("2\1\" &amp; K1642, "Ver Imagen")</f>
        <v/>
      </c>
      <c r="M1642" t="inlineStr">
        <is>
          <t>Moda</t>
        </is>
      </c>
    </row>
    <row r="1643">
      <c r="A1643" t="n">
        <v>1642</v>
      </c>
      <c r="B1643" t="inlineStr">
        <is>
          <t>A-5052__106</t>
        </is>
      </c>
      <c r="C1643" s="1" t="n">
        <v>37.2170313882</v>
      </c>
      <c r="D1643" s="1" t="n">
        <v>-7.09944792779</v>
      </c>
      <c r="E1643" s="3" t="n">
        <v>2</v>
      </c>
      <c r="F1643" s="2" t="n">
        <v>2</v>
      </c>
      <c r="G1643" s="4" t="n">
        <v>3</v>
      </c>
      <c r="H1643" s="13" t="n"/>
      <c r="I1643" s="15" t="n"/>
      <c r="J1643" s="19" t="n">
        <v>2</v>
      </c>
      <c r="K1643" s="2" t="inlineStr">
        <is>
          <t>marker_581_957744.png</t>
        </is>
      </c>
      <c r="L1643" s="11">
        <f>HYPERLINK("2\1\" &amp; K1643, "Ver Imagen")</f>
        <v/>
      </c>
      <c r="M1643" t="inlineStr">
        <is>
          <t>Moda</t>
        </is>
      </c>
    </row>
    <row r="1644">
      <c r="A1644" t="n">
        <v>1643</v>
      </c>
      <c r="B1644" t="inlineStr">
        <is>
          <t>A-5052__131</t>
        </is>
      </c>
      <c r="C1644" s="1" t="n">
        <v>37.2165775939</v>
      </c>
      <c r="D1644" s="1" t="n">
        <v>-7.09318192279</v>
      </c>
      <c r="E1644" s="3" t="n">
        <v>2</v>
      </c>
      <c r="F1644" s="2" t="n">
        <v>2</v>
      </c>
      <c r="G1644" s="4" t="n">
        <v>3</v>
      </c>
      <c r="H1644" s="13" t="n"/>
      <c r="I1644" s="15" t="n"/>
      <c r="J1644" s="19" t="n">
        <v>2</v>
      </c>
      <c r="K1644" s="2" t="inlineStr">
        <is>
          <t>marker_221_958121.png</t>
        </is>
      </c>
      <c r="L1644" s="11">
        <f>HYPERLINK("2\1\" &amp; K1644, "Ver Imagen")</f>
        <v/>
      </c>
      <c r="M1644" t="inlineStr">
        <is>
          <t>Moda</t>
        </is>
      </c>
    </row>
    <row r="1645">
      <c r="A1645" t="n">
        <v>1644</v>
      </c>
      <c r="B1645" t="inlineStr">
        <is>
          <t>A-5052__148</t>
        </is>
      </c>
      <c r="C1645" s="1" t="n">
        <v>37.2160449638</v>
      </c>
      <c r="D1645" s="1" t="n">
        <v>-7.0889238755</v>
      </c>
      <c r="E1645" s="3" t="n">
        <v>2</v>
      </c>
      <c r="F1645" s="2" t="n">
        <v>2</v>
      </c>
      <c r="G1645" s="4" t="n">
        <v>3</v>
      </c>
      <c r="H1645" s="13" t="n"/>
      <c r="I1645" s="15" t="n"/>
      <c r="J1645" s="19" t="n">
        <v>2</v>
      </c>
      <c r="K1645" s="2" t="inlineStr">
        <is>
          <t>marker_224_958456.png</t>
        </is>
      </c>
      <c r="L1645" s="11">
        <f>HYPERLINK("2\1\" &amp; K1645, "Ver Imagen")</f>
        <v/>
      </c>
      <c r="M1645" t="inlineStr">
        <is>
          <t>Moda</t>
        </is>
      </c>
    </row>
    <row r="1646">
      <c r="A1646" t="n">
        <v>1645</v>
      </c>
      <c r="B1646" t="inlineStr">
        <is>
          <t>A-5052__168</t>
        </is>
      </c>
      <c r="C1646" s="1" t="n">
        <v>37.2161506673</v>
      </c>
      <c r="D1646" s="1" t="n">
        <v>-7.08387261882</v>
      </c>
      <c r="E1646" s="3" t="n">
        <v>2</v>
      </c>
      <c r="F1646" s="2" t="n">
        <v>2</v>
      </c>
      <c r="G1646" s="4" t="n">
        <v>3</v>
      </c>
      <c r="H1646" s="13" t="n"/>
      <c r="I1646" s="15" t="n"/>
      <c r="J1646" s="19" t="n">
        <v>2</v>
      </c>
      <c r="K1646" s="2" t="inlineStr">
        <is>
          <t>marker_766_958935.png</t>
        </is>
      </c>
      <c r="L1646" s="11">
        <f>HYPERLINK("2\1\" &amp; K1646, "Ver Imagen")</f>
        <v/>
      </c>
      <c r="M1646" t="inlineStr">
        <is>
          <t>Moda</t>
        </is>
      </c>
    </row>
    <row r="1647">
      <c r="A1647" t="n">
        <v>1646</v>
      </c>
      <c r="B1647" t="inlineStr">
        <is>
          <t>A-5052__169</t>
        </is>
      </c>
      <c r="C1647" s="1" t="n">
        <v>37.2160948609</v>
      </c>
      <c r="D1647" s="1" t="n">
        <v>-7.08363317313</v>
      </c>
      <c r="E1647" s="3" t="n">
        <v>2</v>
      </c>
      <c r="F1647" s="2" t="n">
        <v>2</v>
      </c>
      <c r="G1647" s="4" t="n">
        <v>3</v>
      </c>
      <c r="H1647" s="13" t="n"/>
      <c r="I1647" s="15" t="n"/>
      <c r="J1647" s="19" t="n">
        <v>2</v>
      </c>
      <c r="K1647" s="2" t="inlineStr">
        <is>
          <t>marker_403_958944.png</t>
        </is>
      </c>
      <c r="L1647" s="11">
        <f>HYPERLINK("2\1\" &amp; K1647, "Ver Imagen")</f>
        <v/>
      </c>
      <c r="M1647" t="inlineStr">
        <is>
          <t>Moda</t>
        </is>
      </c>
    </row>
    <row r="1648">
      <c r="A1648" t="n">
        <v>1647</v>
      </c>
      <c r="B1648" t="inlineStr">
        <is>
          <t>A-5052__170</t>
        </is>
      </c>
      <c r="C1648" s="1" t="n">
        <v>37.2160408418</v>
      </c>
      <c r="D1648" s="1" t="n">
        <v>-7.08340857192</v>
      </c>
      <c r="E1648" s="3" t="n">
        <v>2</v>
      </c>
      <c r="F1648" s="2" t="n">
        <v>2</v>
      </c>
      <c r="G1648" s="4" t="n">
        <v>3</v>
      </c>
      <c r="H1648" s="13" t="n"/>
      <c r="I1648" s="15" t="n"/>
      <c r="J1648" s="19" t="n">
        <v>2</v>
      </c>
      <c r="K1648" s="2" t="inlineStr">
        <is>
          <t>marker_689_958953.png</t>
        </is>
      </c>
      <c r="L1648" s="11">
        <f>HYPERLINK("2\1\" &amp; K1648, "Ver Imagen")</f>
        <v/>
      </c>
      <c r="M1648" t="inlineStr">
        <is>
          <t>Moda</t>
        </is>
      </c>
    </row>
    <row r="1649">
      <c r="A1649" t="n">
        <v>1648</v>
      </c>
      <c r="B1649" t="inlineStr">
        <is>
          <t>A-5052__171</t>
        </is>
      </c>
      <c r="C1649" s="1" t="n">
        <v>37.2159728303</v>
      </c>
      <c r="D1649" s="1" t="n">
        <v>-7.08313676273</v>
      </c>
      <c r="E1649" s="3" t="n">
        <v>2</v>
      </c>
      <c r="F1649" s="2" t="n">
        <v>2</v>
      </c>
      <c r="G1649" s="4" t="n">
        <v>3</v>
      </c>
      <c r="H1649" s="13" t="n"/>
      <c r="I1649" s="15" t="n"/>
      <c r="J1649" s="19" t="n">
        <v>2</v>
      </c>
      <c r="K1649" s="2" t="inlineStr">
        <is>
          <t>marker_922_958965.png</t>
        </is>
      </c>
      <c r="L1649" s="11">
        <f>HYPERLINK("2\1\" &amp; K1649, "Ver Imagen")</f>
        <v/>
      </c>
      <c r="M1649" t="inlineStr">
        <is>
          <t>Moda</t>
        </is>
      </c>
    </row>
    <row r="1650">
      <c r="A1650" t="n">
        <v>1649</v>
      </c>
      <c r="B1650" t="inlineStr">
        <is>
          <t>A-5052__212</t>
        </is>
      </c>
      <c r="C1650" s="1" t="n">
        <v>37.2138310839</v>
      </c>
      <c r="D1650" s="1" t="n">
        <v>-7.07313672663</v>
      </c>
      <c r="E1650" s="3" t="n">
        <v>2</v>
      </c>
      <c r="F1650" s="2" t="n">
        <v>2</v>
      </c>
      <c r="G1650" s="4" t="n">
        <v>3</v>
      </c>
      <c r="H1650" s="13" t="n"/>
      <c r="I1650" s="15" t="n"/>
      <c r="J1650" s="19" t="n">
        <v>2</v>
      </c>
      <c r="K1650" s="2" t="inlineStr">
        <is>
          <t>marker_358_959614.png</t>
        </is>
      </c>
      <c r="L1650" s="11">
        <f>HYPERLINK("2\1\" &amp; K1650, "Ver Imagen")</f>
        <v/>
      </c>
      <c r="M1650" t="inlineStr">
        <is>
          <t>Moda</t>
        </is>
      </c>
    </row>
    <row r="1651">
      <c r="A1651" t="n">
        <v>1650</v>
      </c>
      <c r="B1651" t="inlineStr">
        <is>
          <t>A-5052__240</t>
        </is>
      </c>
      <c r="C1651" s="1" t="n">
        <v>37.2133261472</v>
      </c>
      <c r="D1651" s="1" t="n">
        <v>-7.06609968274</v>
      </c>
      <c r="E1651" s="3" t="n">
        <v>2</v>
      </c>
      <c r="F1651" s="2" t="n">
        <v>2</v>
      </c>
      <c r="G1651" s="4" t="n">
        <v>3</v>
      </c>
      <c r="H1651" s="13" t="n"/>
      <c r="I1651" s="15" t="n"/>
      <c r="J1651" s="19" t="n">
        <v>2</v>
      </c>
      <c r="K1651" s="2" t="inlineStr">
        <is>
          <t>marker_859_959946.png</t>
        </is>
      </c>
      <c r="L1651" s="11">
        <f>HYPERLINK("2\1\" &amp; K1651, "Ver Imagen")</f>
        <v/>
      </c>
      <c r="M1651" t="inlineStr">
        <is>
          <t>Moda</t>
        </is>
      </c>
    </row>
    <row r="1652">
      <c r="A1652" t="n">
        <v>1651</v>
      </c>
      <c r="B1652" t="inlineStr">
        <is>
          <t>A-5052__468</t>
        </is>
      </c>
      <c r="C1652" s="1" t="n">
        <v>37.1989117493</v>
      </c>
      <c r="D1652" s="1" t="n">
        <v>-7.01285020063</v>
      </c>
      <c r="E1652" s="3" t="n">
        <v>2</v>
      </c>
      <c r="F1652" s="2" t="n">
        <v>2</v>
      </c>
      <c r="G1652" s="4" t="n">
        <v>3</v>
      </c>
      <c r="H1652" s="13" t="n"/>
      <c r="I1652" s="15" t="n"/>
      <c r="J1652" s="19" t="n">
        <v>2</v>
      </c>
      <c r="K1652" s="2" t="inlineStr">
        <is>
          <t>marker_977_963373.png</t>
        </is>
      </c>
      <c r="L1652" s="11">
        <f>HYPERLINK("2\1\" &amp; K1652, "Ver Imagen")</f>
        <v/>
      </c>
      <c r="M1652" t="inlineStr">
        <is>
          <t>Moda</t>
        </is>
      </c>
    </row>
    <row r="1653">
      <c r="A1653" t="n">
        <v>1652</v>
      </c>
      <c r="B1653" t="inlineStr">
        <is>
          <t>A-5052__483</t>
        </is>
      </c>
      <c r="C1653" s="1" t="n">
        <v>37.1975917026</v>
      </c>
      <c r="D1653" s="1" t="n">
        <v>-7.00944520608</v>
      </c>
      <c r="E1653" s="3" t="n">
        <v>2</v>
      </c>
      <c r="F1653" s="2" t="n">
        <v>2</v>
      </c>
      <c r="G1653" s="4" t="n">
        <v>3</v>
      </c>
      <c r="H1653" s="13" t="n"/>
      <c r="I1653" s="15" t="n"/>
      <c r="J1653" s="19" t="n">
        <v>2</v>
      </c>
      <c r="K1653" s="2" t="inlineStr">
        <is>
          <t>marker_824_963522.png</t>
        </is>
      </c>
      <c r="L1653" s="11">
        <f>HYPERLINK("2\1\" &amp; K1653, "Ver Imagen")</f>
        <v/>
      </c>
      <c r="M1653" t="inlineStr">
        <is>
          <t>Moda</t>
        </is>
      </c>
    </row>
    <row r="1654">
      <c r="A1654" t="n">
        <v>1653</v>
      </c>
      <c r="B1654" t="inlineStr">
        <is>
          <t>A-5053__382</t>
        </is>
      </c>
      <c r="C1654" s="1" t="n">
        <v>37.288499323</v>
      </c>
      <c r="D1654" s="1" t="n">
        <v>-7.14124532464</v>
      </c>
      <c r="E1654" s="3" t="n">
        <v>2</v>
      </c>
      <c r="F1654" s="2" t="n">
        <v>2</v>
      </c>
      <c r="G1654" s="4" t="n">
        <v>3</v>
      </c>
      <c r="H1654" s="13" t="n"/>
      <c r="I1654" s="15" t="n"/>
      <c r="J1654" s="19" t="n">
        <v>2</v>
      </c>
      <c r="K1654" s="2" t="inlineStr">
        <is>
          <t>marker_316_963825.png</t>
        </is>
      </c>
      <c r="L1654" s="11">
        <f>HYPERLINK("2\1\" &amp; K1654, "Ver Imagen")</f>
        <v/>
      </c>
      <c r="M1654" t="inlineStr">
        <is>
          <t>Moda</t>
        </is>
      </c>
    </row>
    <row r="1655">
      <c r="A1655" t="n">
        <v>1654</v>
      </c>
      <c r="B1655" t="inlineStr">
        <is>
          <t>A-5053__288</t>
        </is>
      </c>
      <c r="C1655" s="1" t="n">
        <v>37.2720421289</v>
      </c>
      <c r="D1655" s="1" t="n">
        <v>-7.14118676371</v>
      </c>
      <c r="E1655" s="3" t="n">
        <v>3</v>
      </c>
      <c r="F1655" s="2" t="n">
        <v>2</v>
      </c>
      <c r="G1655" s="4" t="n">
        <v>2</v>
      </c>
      <c r="H1655" s="13" t="n"/>
      <c r="I1655" s="15" t="n"/>
      <c r="J1655" s="19" t="n">
        <v>2</v>
      </c>
      <c r="K1655" s="2" t="inlineStr">
        <is>
          <t>marker_275_964976.png</t>
        </is>
      </c>
      <c r="L1655" s="11">
        <f>HYPERLINK("2\1\" &amp; K1655, "Ver Imagen")</f>
        <v/>
      </c>
      <c r="M1655" t="inlineStr">
        <is>
          <t>Moda</t>
        </is>
      </c>
    </row>
    <row r="1656">
      <c r="A1656" t="n">
        <v>1655</v>
      </c>
      <c r="B1656" t="inlineStr">
        <is>
          <t>A-5053__223</t>
        </is>
      </c>
      <c r="C1656" s="1" t="n">
        <v>37.262656539</v>
      </c>
      <c r="D1656" s="1" t="n">
        <v>-7.13075210775</v>
      </c>
      <c r="E1656" s="3" t="n">
        <v>3</v>
      </c>
      <c r="F1656" s="2" t="n">
        <v>2</v>
      </c>
      <c r="G1656" s="4" t="n">
        <v>2</v>
      </c>
      <c r="H1656" s="13" t="n"/>
      <c r="I1656" s="15" t="n"/>
      <c r="J1656" s="19" t="n">
        <v>2</v>
      </c>
      <c r="K1656" s="2" t="inlineStr">
        <is>
          <t>marker_857_965662.png</t>
        </is>
      </c>
      <c r="L1656" s="11">
        <f>HYPERLINK("2\1\" &amp; K1656, "Ver Imagen")</f>
        <v/>
      </c>
      <c r="M1656" t="inlineStr">
        <is>
          <t>Moda</t>
        </is>
      </c>
    </row>
    <row r="1657">
      <c r="A1657" t="n">
        <v>1656</v>
      </c>
      <c r="B1657" t="inlineStr">
        <is>
          <t>A-5053__165</t>
        </is>
      </c>
      <c r="C1657" s="1" t="n">
        <v>37.2517414489</v>
      </c>
      <c r="D1657" s="1" t="n">
        <v>-7.12701726858</v>
      </c>
      <c r="E1657" s="3" t="n">
        <v>3</v>
      </c>
      <c r="F1657" s="2" t="n">
        <v>2</v>
      </c>
      <c r="G1657" s="4" t="n">
        <v>2</v>
      </c>
      <c r="H1657" s="13" t="n"/>
      <c r="I1657" s="15" t="n"/>
      <c r="J1657" s="19" t="n">
        <v>2</v>
      </c>
      <c r="K1657" s="2" t="inlineStr">
        <is>
          <t>marker_281_966239.png</t>
        </is>
      </c>
      <c r="L1657" s="11">
        <f>HYPERLINK("2\1\" &amp; K1657, "Ver Imagen")</f>
        <v/>
      </c>
      <c r="M1657" t="inlineStr">
        <is>
          <t>Moda</t>
        </is>
      </c>
    </row>
    <row r="1658">
      <c r="A1658" t="n">
        <v>1657</v>
      </c>
      <c r="B1658" t="inlineStr">
        <is>
          <t>A-5053__121</t>
        </is>
      </c>
      <c r="C1658" s="1" t="n">
        <v>37.2428643473</v>
      </c>
      <c r="D1658" s="1" t="n">
        <v>-7.12833564072</v>
      </c>
      <c r="E1658" s="3" t="n">
        <v>2</v>
      </c>
      <c r="F1658" s="2" t="n">
        <v>2</v>
      </c>
      <c r="G1658" s="4" t="n">
        <v>3</v>
      </c>
      <c r="H1658" s="13" t="n"/>
      <c r="I1658" s="15" t="n"/>
      <c r="J1658" s="19" t="n">
        <v>2</v>
      </c>
      <c r="K1658" s="2" t="inlineStr">
        <is>
          <t>marker_342_019592.png</t>
        </is>
      </c>
      <c r="L1658" s="11">
        <f>HYPERLINK("2\1\" &amp; K1658, "Ver Imagen")</f>
        <v/>
      </c>
      <c r="M1658" t="inlineStr">
        <is>
          <t>Moda</t>
        </is>
      </c>
    </row>
    <row r="1659">
      <c r="A1659" t="n">
        <v>1658</v>
      </c>
      <c r="B1659" t="inlineStr">
        <is>
          <t>A-5053__94</t>
        </is>
      </c>
      <c r="C1659" s="1" t="n">
        <v>37.2374378753</v>
      </c>
      <c r="D1659" s="1" t="n">
        <v>-7.12831977558</v>
      </c>
      <c r="E1659" s="3" t="n">
        <v>2</v>
      </c>
      <c r="F1659" s="2" t="n">
        <v>2</v>
      </c>
      <c r="G1659" s="4" t="n">
        <v>3</v>
      </c>
      <c r="H1659" s="13" t="n"/>
      <c r="I1659" s="15" t="n"/>
      <c r="J1659" s="19" t="n">
        <v>2</v>
      </c>
      <c r="K1659" s="2" t="inlineStr">
        <is>
          <t>marker_891_019870.png</t>
        </is>
      </c>
      <c r="L1659" s="11">
        <f>HYPERLINK("2\1\" &amp; K1659, "Ver Imagen")</f>
        <v/>
      </c>
      <c r="M1659" t="inlineStr">
        <is>
          <t>Moda</t>
        </is>
      </c>
    </row>
    <row r="1660">
      <c r="A1660" t="n">
        <v>1659</v>
      </c>
      <c r="B1660" t="inlineStr">
        <is>
          <t>A-5053__93</t>
        </is>
      </c>
      <c r="C1660" s="1" t="n">
        <v>37.2372078419</v>
      </c>
      <c r="D1660" s="1" t="n">
        <v>-7.12829757133</v>
      </c>
      <c r="E1660" s="3" t="n">
        <v>2</v>
      </c>
      <c r="F1660" s="2" t="n">
        <v>2</v>
      </c>
      <c r="G1660" s="4" t="n">
        <v>3</v>
      </c>
      <c r="H1660" s="13" t="n"/>
      <c r="I1660" s="15" t="n"/>
      <c r="J1660" s="19" t="n">
        <v>2</v>
      </c>
      <c r="K1660" s="2" t="inlineStr">
        <is>
          <t>marker_445_019879.png</t>
        </is>
      </c>
      <c r="L1660" s="11">
        <f>HYPERLINK("2\1\" &amp; K1660, "Ver Imagen")</f>
        <v/>
      </c>
      <c r="M1660" t="inlineStr">
        <is>
          <t>Moda</t>
        </is>
      </c>
    </row>
    <row r="1661">
      <c r="A1661" t="n">
        <v>1660</v>
      </c>
      <c r="B1661" t="inlineStr">
        <is>
          <t>A-5053__84</t>
        </is>
      </c>
      <c r="C1661" s="1" t="n">
        <v>37.2354144453</v>
      </c>
      <c r="D1661" s="1" t="n">
        <v>-7.1280953189</v>
      </c>
      <c r="E1661" s="3" t="n">
        <v>2</v>
      </c>
      <c r="F1661" s="2" t="n">
        <v>2</v>
      </c>
      <c r="G1661" s="4" t="n">
        <v>3</v>
      </c>
      <c r="H1661" s="13" t="n"/>
      <c r="I1661" s="15" t="n"/>
      <c r="J1661" s="19" t="n">
        <v>2</v>
      </c>
      <c r="K1661" s="2" t="inlineStr">
        <is>
          <t>marker_433_019974.png</t>
        </is>
      </c>
      <c r="L1661" s="11">
        <f>HYPERLINK("2\1\" &amp; K1661, "Ver Imagen")</f>
        <v/>
      </c>
      <c r="M1661" t="inlineStr">
        <is>
          <t>Moda</t>
        </is>
      </c>
    </row>
    <row r="1662">
      <c r="A1662" t="n">
        <v>1661</v>
      </c>
      <c r="B1662" t="inlineStr">
        <is>
          <t>A-5053__81</t>
        </is>
      </c>
      <c r="C1662" s="1" t="n">
        <v>37.234825729</v>
      </c>
      <c r="D1662" s="1" t="n">
        <v>-7.12789013063</v>
      </c>
      <c r="E1662" s="3" t="n">
        <v>2</v>
      </c>
      <c r="F1662" s="2" t="n">
        <v>2</v>
      </c>
      <c r="G1662" s="4" t="n">
        <v>3</v>
      </c>
      <c r="H1662" s="13" t="n"/>
      <c r="I1662" s="15" t="n"/>
      <c r="J1662" s="19" t="n">
        <v>2</v>
      </c>
      <c r="K1662" s="2" t="inlineStr">
        <is>
          <t>marker_132_020001.png</t>
        </is>
      </c>
      <c r="L1662" s="11">
        <f>HYPERLINK("2\1\" &amp; K1662, "Ver Imagen")</f>
        <v/>
      </c>
      <c r="M1662" t="inlineStr">
        <is>
          <t>Moda</t>
        </is>
      </c>
    </row>
    <row r="1663">
      <c r="A1663" t="n">
        <v>1662</v>
      </c>
      <c r="B1663" t="inlineStr">
        <is>
          <t>A-5053__64</t>
        </is>
      </c>
      <c r="C1663" s="1" t="n">
        <v>37.2314567141</v>
      </c>
      <c r="D1663" s="1" t="n">
        <v>-7.12709501083</v>
      </c>
      <c r="E1663" s="3" t="n">
        <v>2</v>
      </c>
      <c r="F1663" s="2" t="n">
        <v>2</v>
      </c>
      <c r="G1663" s="4" t="n">
        <v>3</v>
      </c>
      <c r="H1663" s="13" t="n"/>
      <c r="I1663" s="15" t="n"/>
      <c r="J1663" s="19" t="n">
        <v>2</v>
      </c>
      <c r="K1663" s="2" t="inlineStr">
        <is>
          <t>marker_679_020764.png</t>
        </is>
      </c>
      <c r="L1663" s="11">
        <f>HYPERLINK("2\1\" &amp; K1663, "Ver Imagen")</f>
        <v/>
      </c>
      <c r="M1663" t="inlineStr">
        <is>
          <t>Moda</t>
        </is>
      </c>
    </row>
    <row r="1664">
      <c r="A1664" t="n">
        <v>1663</v>
      </c>
      <c r="B1664" t="inlineStr">
        <is>
          <t>A-5053__56</t>
        </is>
      </c>
      <c r="C1664" s="1" t="n">
        <v>37.2298488049</v>
      </c>
      <c r="D1664" s="1" t="n">
        <v>-7.12694663534</v>
      </c>
      <c r="E1664" s="3" t="n">
        <v>2</v>
      </c>
      <c r="F1664" s="2" t="n">
        <v>2</v>
      </c>
      <c r="G1664" s="4" t="n">
        <v>3</v>
      </c>
      <c r="H1664" s="13" t="n"/>
      <c r="I1664" s="15" t="n"/>
      <c r="J1664" s="19" t="n">
        <v>2</v>
      </c>
      <c r="K1664" s="2" t="inlineStr">
        <is>
          <t>marker_862_020923.png</t>
        </is>
      </c>
      <c r="L1664" s="11">
        <f>HYPERLINK("2\1\" &amp; K1664, "Ver Imagen")</f>
        <v/>
      </c>
      <c r="M1664" t="inlineStr">
        <is>
          <t>Moda</t>
        </is>
      </c>
    </row>
    <row r="1665">
      <c r="A1665" t="n">
        <v>1664</v>
      </c>
      <c r="B1665" t="inlineStr">
        <is>
          <t>A-5053__55</t>
        </is>
      </c>
      <c r="C1665" s="1" t="n">
        <v>37.2296558712</v>
      </c>
      <c r="D1665" s="1" t="n">
        <v>-7.12692860669</v>
      </c>
      <c r="E1665" s="3" t="n">
        <v>2</v>
      </c>
      <c r="F1665" s="2" t="n">
        <v>2</v>
      </c>
      <c r="G1665" s="4" t="n">
        <v>3</v>
      </c>
      <c r="H1665" s="13" t="n"/>
      <c r="I1665" s="15" t="n"/>
      <c r="J1665" s="19" t="n">
        <v>2</v>
      </c>
      <c r="K1665" s="2" t="inlineStr">
        <is>
          <t>marker_994_020932.png</t>
        </is>
      </c>
      <c r="L1665" s="11">
        <f>HYPERLINK("2\1\" &amp; K1665, "Ver Imagen")</f>
        <v/>
      </c>
      <c r="M1665" t="inlineStr">
        <is>
          <t>Moda</t>
        </is>
      </c>
    </row>
    <row r="1666">
      <c r="A1666" t="n">
        <v>1665</v>
      </c>
      <c r="B1666" t="inlineStr">
        <is>
          <t>A-5053__22</t>
        </is>
      </c>
      <c r="C1666" s="1" t="n">
        <v>37.2231812711</v>
      </c>
      <c r="D1666" s="1" t="n">
        <v>-7.12503616668</v>
      </c>
      <c r="E1666" s="3" t="n">
        <v>3</v>
      </c>
      <c r="F1666" s="2" t="n">
        <v>2</v>
      </c>
      <c r="G1666" s="4" t="n">
        <v>2</v>
      </c>
      <c r="H1666" s="13" t="n"/>
      <c r="I1666" s="15" t="n"/>
      <c r="J1666" s="19" t="n">
        <v>2</v>
      </c>
      <c r="K1666" s="2" t="inlineStr">
        <is>
          <t>marker_389_022884.png</t>
        </is>
      </c>
      <c r="L1666" s="11">
        <f>HYPERLINK("2\1\" &amp; K1666, "Ver Imagen")</f>
        <v/>
      </c>
      <c r="M1666" t="inlineStr">
        <is>
          <t>Moda</t>
        </is>
      </c>
    </row>
    <row r="1667">
      <c r="A1667" t="n">
        <v>1666</v>
      </c>
      <c r="B1667" t="inlineStr">
        <is>
          <t>A-5053__20</t>
        </is>
      </c>
      <c r="C1667" s="1" t="n">
        <v>37.2227800912</v>
      </c>
      <c r="D1667" s="1" t="n">
        <v>-7.12501051426</v>
      </c>
      <c r="E1667" s="3" t="n">
        <v>2</v>
      </c>
      <c r="F1667" s="2" t="n">
        <v>2</v>
      </c>
      <c r="G1667" s="4" t="n">
        <v>3</v>
      </c>
      <c r="H1667" s="13" t="n"/>
      <c r="I1667" s="15" t="n"/>
      <c r="J1667" s="19" t="n">
        <v>2</v>
      </c>
      <c r="K1667" s="2" t="inlineStr">
        <is>
          <t>marker_677_022902.png</t>
        </is>
      </c>
      <c r="L1667" s="11">
        <f>HYPERLINK("2\1\" &amp; K1667, "Ver Imagen")</f>
        <v/>
      </c>
      <c r="M1667" t="inlineStr">
        <is>
          <t>Moda</t>
        </is>
      </c>
    </row>
    <row r="1668">
      <c r="A1668" t="n">
        <v>1667</v>
      </c>
      <c r="B1668" t="inlineStr">
        <is>
          <t>A-495__12</t>
        </is>
      </c>
      <c r="C1668" s="1" t="n">
        <v>37.4439465327</v>
      </c>
      <c r="D1668" s="1" t="n">
        <v>-7.097457499</v>
      </c>
      <c r="E1668" s="3" t="n">
        <v>3</v>
      </c>
      <c r="F1668" s="2" t="n">
        <v>2</v>
      </c>
      <c r="G1668" s="4" t="n">
        <v>2</v>
      </c>
      <c r="H1668" s="13" t="n"/>
      <c r="I1668" s="15" t="n"/>
      <c r="J1668" s="19" t="n">
        <v>2</v>
      </c>
      <c r="K1668" s="2" t="inlineStr">
        <is>
          <t>marker_944_381180.png</t>
        </is>
      </c>
      <c r="L1668" s="11">
        <f>HYPERLINK("2\1\" &amp; K1668, "Ver Imagen")</f>
        <v/>
      </c>
      <c r="M1668" t="inlineStr">
        <is>
          <t>Moda</t>
        </is>
      </c>
    </row>
    <row r="1669">
      <c r="A1669" t="n">
        <v>1668</v>
      </c>
      <c r="B1669" t="inlineStr">
        <is>
          <t>A-495__16</t>
        </is>
      </c>
      <c r="C1669" s="1" t="n">
        <v>37.4437526995</v>
      </c>
      <c r="D1669" s="1" t="n">
        <v>-7.09645726938</v>
      </c>
      <c r="E1669" s="3" t="n">
        <v>3</v>
      </c>
      <c r="F1669" s="2" t="n">
        <v>2</v>
      </c>
      <c r="G1669" s="4" t="n">
        <v>2</v>
      </c>
      <c r="H1669" s="13" t="n"/>
      <c r="I1669" s="15" t="n"/>
      <c r="J1669" s="19" t="n">
        <v>2</v>
      </c>
      <c r="K1669" s="2" t="inlineStr">
        <is>
          <t>marker_484_381223.png</t>
        </is>
      </c>
      <c r="L1669" s="11">
        <f>HYPERLINK("2\1\" &amp; K1669, "Ver Imagen")</f>
        <v/>
      </c>
      <c r="M1669" t="inlineStr">
        <is>
          <t>Moda</t>
        </is>
      </c>
    </row>
    <row r="1670">
      <c r="A1670" t="n">
        <v>1669</v>
      </c>
      <c r="B1670" t="inlineStr">
        <is>
          <t>A-495__17</t>
        </is>
      </c>
      <c r="C1670" s="1" t="n">
        <v>37.4436738602</v>
      </c>
      <c r="D1670" s="1" t="n">
        <v>-7.0962244803</v>
      </c>
      <c r="E1670" s="3" t="n">
        <v>3</v>
      </c>
      <c r="F1670" s="2" t="n">
        <v>2</v>
      </c>
      <c r="G1670" s="4" t="n">
        <v>2</v>
      </c>
      <c r="H1670" s="13" t="n"/>
      <c r="I1670" s="15" t="n"/>
      <c r="J1670" s="19" t="n">
        <v>2</v>
      </c>
      <c r="K1670" s="2" t="inlineStr">
        <is>
          <t>marker_153_381234.png</t>
        </is>
      </c>
      <c r="L1670" s="11">
        <f>HYPERLINK("2\1\" &amp; K1670, "Ver Imagen")</f>
        <v/>
      </c>
      <c r="M1670" t="inlineStr">
        <is>
          <t>Moda</t>
        </is>
      </c>
    </row>
    <row r="1671">
      <c r="A1671" t="n">
        <v>1670</v>
      </c>
      <c r="B1671" t="inlineStr">
        <is>
          <t>A-495__21</t>
        </is>
      </c>
      <c r="C1671" s="1" t="n">
        <v>37.4433321683</v>
      </c>
      <c r="D1671" s="1" t="n">
        <v>-7.09532195543</v>
      </c>
      <c r="E1671" s="3" t="n">
        <v>3</v>
      </c>
      <c r="F1671" s="2" t="n">
        <v>2</v>
      </c>
      <c r="G1671" s="4" t="n">
        <v>2</v>
      </c>
      <c r="H1671" s="13" t="n"/>
      <c r="I1671" s="15" t="n"/>
      <c r="J1671" s="19" t="n">
        <v>2</v>
      </c>
      <c r="K1671" s="2" t="inlineStr">
        <is>
          <t>marker_469_381302.png</t>
        </is>
      </c>
      <c r="L1671" s="11">
        <f>HYPERLINK("2\1\" &amp; K1671, "Ver Imagen")</f>
        <v/>
      </c>
      <c r="M1671" t="inlineStr">
        <is>
          <t>Moda</t>
        </is>
      </c>
    </row>
    <row r="1672">
      <c r="A1672" t="n">
        <v>1671</v>
      </c>
      <c r="B1672" t="inlineStr">
        <is>
          <t>A-5059__71</t>
        </is>
      </c>
      <c r="C1672" s="1" t="n">
        <v>37.2228220488</v>
      </c>
      <c r="D1672" s="1" t="n">
        <v>-7.05572083969</v>
      </c>
      <c r="E1672" s="3" t="n">
        <v>3</v>
      </c>
      <c r="F1672" s="2" t="n">
        <v>2</v>
      </c>
      <c r="G1672" s="4" t="n">
        <v>2</v>
      </c>
      <c r="H1672" s="13" t="n"/>
      <c r="I1672" s="15" t="n"/>
      <c r="J1672" s="19" t="n">
        <v>2</v>
      </c>
      <c r="K1672" s="2" t="inlineStr">
        <is>
          <t>marker_752_378838.png</t>
        </is>
      </c>
      <c r="L1672" s="11">
        <f>HYPERLINK("2\1\" &amp; K1672, "Ver Imagen")</f>
        <v/>
      </c>
      <c r="M1672" t="inlineStr">
        <is>
          <t>Moda</t>
        </is>
      </c>
    </row>
    <row r="1673">
      <c r="A1673" t="n">
        <v>1672</v>
      </c>
      <c r="B1673" t="inlineStr">
        <is>
          <t>A-5059__70</t>
        </is>
      </c>
      <c r="C1673" s="1" t="n">
        <v>37.2230179318</v>
      </c>
      <c r="D1673" s="1" t="n">
        <v>-7.05580846946</v>
      </c>
      <c r="E1673" s="3" t="n">
        <v>3</v>
      </c>
      <c r="F1673" s="2" t="n">
        <v>2</v>
      </c>
      <c r="G1673" s="4" t="n">
        <v>2</v>
      </c>
      <c r="H1673" s="13" t="n"/>
      <c r="I1673" s="15" t="n"/>
      <c r="J1673" s="19" t="n">
        <v>2</v>
      </c>
      <c r="K1673" s="2" t="inlineStr">
        <is>
          <t>marker_293_378846.png</t>
        </is>
      </c>
      <c r="L1673" s="11">
        <f>HYPERLINK("2\1\" &amp; K1673, "Ver Imagen")</f>
        <v/>
      </c>
      <c r="M1673" t="inlineStr">
        <is>
          <t>Moda</t>
        </is>
      </c>
    </row>
    <row r="1674">
      <c r="A1674" t="n">
        <v>1673</v>
      </c>
      <c r="B1674" t="inlineStr">
        <is>
          <t>A-5058__52</t>
        </is>
      </c>
      <c r="C1674" s="1" t="n">
        <v>37.2249656605</v>
      </c>
      <c r="D1674" s="1" t="n">
        <v>-7.03999839446</v>
      </c>
      <c r="E1674" s="3" t="n">
        <v>2</v>
      </c>
      <c r="F1674" s="2" t="n">
        <v>2</v>
      </c>
      <c r="G1674" s="4" t="n">
        <v>3</v>
      </c>
      <c r="H1674" s="13" t="n"/>
      <c r="I1674" s="15" t="n"/>
      <c r="J1674" s="19" t="n">
        <v>2</v>
      </c>
      <c r="K1674" s="2" t="inlineStr">
        <is>
          <t>marker_828_380551.png</t>
        </is>
      </c>
      <c r="L1674" s="11">
        <f>HYPERLINK("2\1\" &amp; K1674, "Ver Imagen")</f>
        <v/>
      </c>
      <c r="M1674" t="inlineStr">
        <is>
          <t>Moda</t>
        </is>
      </c>
    </row>
    <row r="1675">
      <c r="A1675" t="n">
        <v>1674</v>
      </c>
      <c r="B1675" t="inlineStr">
        <is>
          <t>A-5058__57</t>
        </is>
      </c>
      <c r="C1675" s="1" t="n">
        <v>37.2253025536</v>
      </c>
      <c r="D1675" s="1" t="n">
        <v>-7.04117979599</v>
      </c>
      <c r="E1675" s="3" t="n">
        <v>2</v>
      </c>
      <c r="F1675" s="2" t="n">
        <v>2</v>
      </c>
      <c r="G1675" s="4" t="n">
        <v>3</v>
      </c>
      <c r="H1675" s="13" t="n"/>
      <c r="I1675" s="15" t="n"/>
      <c r="J1675" s="19" t="n">
        <v>2</v>
      </c>
      <c r="K1675" s="2" t="inlineStr">
        <is>
          <t>marker_734_380608.png</t>
        </is>
      </c>
      <c r="L1675" s="11">
        <f>HYPERLINK("2\1\" &amp; K1675, "Ver Imagen")</f>
        <v/>
      </c>
      <c r="M1675" t="inlineStr">
        <is>
          <t>Moda</t>
        </is>
      </c>
    </row>
    <row r="1676">
      <c r="A1676" t="n">
        <v>1675</v>
      </c>
      <c r="B1676" t="inlineStr">
        <is>
          <t>A-5058__61</t>
        </is>
      </c>
      <c r="C1676" s="1" t="n">
        <v>37.2256797538</v>
      </c>
      <c r="D1676" s="1" t="n">
        <v>-7.04209020497</v>
      </c>
      <c r="E1676" s="3" t="n">
        <v>2</v>
      </c>
      <c r="F1676" s="2" t="n">
        <v>2</v>
      </c>
      <c r="G1676" s="4" t="n">
        <v>3</v>
      </c>
      <c r="H1676" s="13" t="n"/>
      <c r="I1676" s="15" t="n"/>
      <c r="J1676" s="19" t="n">
        <v>2</v>
      </c>
      <c r="K1676" s="2" t="inlineStr">
        <is>
          <t>marker_519_380655.png</t>
        </is>
      </c>
      <c r="L1676" s="11">
        <f>HYPERLINK("2\1\" &amp; K1676, "Ver Imagen")</f>
        <v/>
      </c>
      <c r="M1676" t="inlineStr">
        <is>
          <t>Moda</t>
        </is>
      </c>
    </row>
    <row r="1677">
      <c r="A1677" t="n">
        <v>1676</v>
      </c>
      <c r="B1677" t="inlineStr">
        <is>
          <t>A-5058__65</t>
        </is>
      </c>
      <c r="C1677" s="1" t="n">
        <v>37.2260743601</v>
      </c>
      <c r="D1677" s="1" t="n">
        <v>-7.04296207274</v>
      </c>
      <c r="E1677" s="3" t="n">
        <v>2</v>
      </c>
      <c r="F1677" s="2" t="n">
        <v>2</v>
      </c>
      <c r="G1677" s="4" t="n">
        <v>3</v>
      </c>
      <c r="H1677" s="13" t="n"/>
      <c r="I1677" s="15" t="n"/>
      <c r="J1677" s="19" t="n">
        <v>2</v>
      </c>
      <c r="K1677" s="2" t="inlineStr">
        <is>
          <t>marker_733_380701.png</t>
        </is>
      </c>
      <c r="L1677" s="11">
        <f>HYPERLINK("2\1\" &amp; K1677, "Ver Imagen")</f>
        <v/>
      </c>
      <c r="M1677" t="inlineStr">
        <is>
          <t>Moda</t>
        </is>
      </c>
    </row>
    <row r="1678">
      <c r="A1678" t="n">
        <v>1677</v>
      </c>
      <c r="B1678" t="inlineStr">
        <is>
          <t>A-5058__66</t>
        </is>
      </c>
      <c r="C1678" s="1" t="n">
        <v>37.2261807465</v>
      </c>
      <c r="D1678" s="1" t="n">
        <v>-7.04319219018</v>
      </c>
      <c r="E1678" s="3" t="n">
        <v>2</v>
      </c>
      <c r="F1678" s="2" t="n">
        <v>2</v>
      </c>
      <c r="G1678" s="4" t="n">
        <v>3</v>
      </c>
      <c r="H1678" s="13" t="n"/>
      <c r="I1678" s="15" t="n"/>
      <c r="J1678" s="19" t="n">
        <v>2</v>
      </c>
      <c r="K1678" s="2" t="inlineStr">
        <is>
          <t>marker_526_380711.png</t>
        </is>
      </c>
      <c r="L1678" s="11">
        <f>HYPERLINK("2\1\" &amp; K1678, "Ver Imagen")</f>
        <v/>
      </c>
      <c r="M1678" t="inlineStr">
        <is>
          <t>Moda</t>
        </is>
      </c>
    </row>
    <row r="1679">
      <c r="A1679" t="n">
        <v>1678</v>
      </c>
      <c r="B1679" t="inlineStr">
        <is>
          <t>A-5058__67</t>
        </is>
      </c>
      <c r="C1679" s="1" t="n">
        <v>37.2262721872</v>
      </c>
      <c r="D1679" s="1" t="n">
        <v>-7.04339229699</v>
      </c>
      <c r="E1679" s="3" t="n">
        <v>2</v>
      </c>
      <c r="F1679" s="2" t="n">
        <v>2</v>
      </c>
      <c r="G1679" s="4" t="n">
        <v>3</v>
      </c>
      <c r="H1679" s="13" t="n"/>
      <c r="I1679" s="15" t="n"/>
      <c r="J1679" s="19" t="n">
        <v>2</v>
      </c>
      <c r="K1679" s="2" t="inlineStr">
        <is>
          <t>marker_766_380726.png</t>
        </is>
      </c>
      <c r="L1679" s="11">
        <f>HYPERLINK("2\1\" &amp; K1679, "Ver Imagen")</f>
        <v/>
      </c>
      <c r="M1679" t="inlineStr">
        <is>
          <t>Moda</t>
        </is>
      </c>
    </row>
    <row r="1680">
      <c r="A1680" t="n">
        <v>1679</v>
      </c>
      <c r="B1680" t="inlineStr">
        <is>
          <t>A-5058__69</t>
        </is>
      </c>
      <c r="C1680" s="1" t="n">
        <v>37.2264886288</v>
      </c>
      <c r="D1680" s="1" t="n">
        <v>-7.04386604492</v>
      </c>
      <c r="E1680" s="3" t="n">
        <v>2</v>
      </c>
      <c r="F1680" s="2" t="n">
        <v>2</v>
      </c>
      <c r="G1680" s="4" t="n">
        <v>3</v>
      </c>
      <c r="H1680" s="13" t="n"/>
      <c r="I1680" s="15" t="n"/>
      <c r="J1680" s="19" t="n">
        <v>2</v>
      </c>
      <c r="K1680" s="2" t="inlineStr">
        <is>
          <t>marker_351_380746.png</t>
        </is>
      </c>
      <c r="L1680" s="11">
        <f>HYPERLINK("2\1\" &amp; K1680, "Ver Imagen")</f>
        <v/>
      </c>
      <c r="M1680" t="inlineStr">
        <is>
          <t>Moda</t>
        </is>
      </c>
    </row>
    <row r="1681">
      <c r="A1681" t="n">
        <v>1680</v>
      </c>
      <c r="B1681" t="inlineStr">
        <is>
          <t>A-5058__70</t>
        </is>
      </c>
      <c r="C1681" s="1" t="n">
        <v>37.2265824713</v>
      </c>
      <c r="D1681" s="1" t="n">
        <v>-7.04406029752</v>
      </c>
      <c r="E1681" s="3" t="n">
        <v>2</v>
      </c>
      <c r="F1681" s="2" t="n">
        <v>2</v>
      </c>
      <c r="G1681" s="4" t="n">
        <v>3</v>
      </c>
      <c r="H1681" s="13" t="n"/>
      <c r="I1681" s="15" t="n"/>
      <c r="J1681" s="19" t="n">
        <v>2</v>
      </c>
      <c r="K1681" s="2" t="inlineStr">
        <is>
          <t>marker_670_380755.png</t>
        </is>
      </c>
      <c r="L1681" s="11">
        <f>HYPERLINK("2\1\" &amp; K1681, "Ver Imagen")</f>
        <v/>
      </c>
      <c r="M1681" t="inlineStr">
        <is>
          <t>Moda</t>
        </is>
      </c>
    </row>
    <row r="1682">
      <c r="A1682" t="n">
        <v>1681</v>
      </c>
      <c r="B1682" t="inlineStr">
        <is>
          <t>A-5058__74</t>
        </is>
      </c>
      <c r="C1682" s="1" t="n">
        <v>37.2270935639</v>
      </c>
      <c r="D1682" s="1" t="n">
        <v>-7.04483731124</v>
      </c>
      <c r="E1682" s="3" t="n">
        <v>2</v>
      </c>
      <c r="F1682" s="2" t="n">
        <v>2</v>
      </c>
      <c r="G1682" s="4" t="n">
        <v>3</v>
      </c>
      <c r="H1682" s="13" t="n"/>
      <c r="I1682" s="15" t="n"/>
      <c r="J1682" s="19" t="n">
        <v>2</v>
      </c>
      <c r="K1682" s="2" t="inlineStr">
        <is>
          <t>marker_246_380794.png</t>
        </is>
      </c>
      <c r="L1682" s="11">
        <f>HYPERLINK("2\1\" &amp; K1682, "Ver Imagen")</f>
        <v/>
      </c>
      <c r="M1682" t="inlineStr">
        <is>
          <t>Moda</t>
        </is>
      </c>
    </row>
    <row r="1683">
      <c r="A1683" t="n">
        <v>1682</v>
      </c>
      <c r="B1683" t="inlineStr">
        <is>
          <t>A-5058__76</t>
        </is>
      </c>
      <c r="C1683" s="1" t="n">
        <v>37.2274011958</v>
      </c>
      <c r="D1683" s="1" t="n">
        <v>-7.04514636118</v>
      </c>
      <c r="E1683" s="3" t="n">
        <v>3</v>
      </c>
      <c r="F1683" s="2" t="n">
        <v>2</v>
      </c>
      <c r="G1683" s="4" t="n">
        <v>2</v>
      </c>
      <c r="H1683" s="13" t="n"/>
      <c r="I1683" s="15" t="n"/>
      <c r="J1683" s="19" t="n">
        <v>2</v>
      </c>
      <c r="K1683" s="2" t="inlineStr">
        <is>
          <t>marker_321_380819.png</t>
        </is>
      </c>
      <c r="L1683" s="11">
        <f>HYPERLINK("2\1\" &amp; K1683, "Ver Imagen")</f>
        <v/>
      </c>
      <c r="M1683" t="inlineStr">
        <is>
          <t>Moda</t>
        </is>
      </c>
    </row>
    <row r="1684">
      <c r="A1684" t="n">
        <v>1683</v>
      </c>
      <c r="B1684" t="inlineStr">
        <is>
          <t>A-5058__77</t>
        </is>
      </c>
      <c r="C1684" s="1" t="n">
        <v>37.2275763192</v>
      </c>
      <c r="D1684" s="1" t="n">
        <v>-7.04531227155</v>
      </c>
      <c r="E1684" s="3" t="n">
        <v>3</v>
      </c>
      <c r="F1684" s="2" t="n">
        <v>2</v>
      </c>
      <c r="G1684" s="4" t="n">
        <v>2</v>
      </c>
      <c r="H1684" s="13" t="n"/>
      <c r="I1684" s="15" t="n"/>
      <c r="J1684" s="19" t="n">
        <v>2</v>
      </c>
      <c r="K1684" s="2" t="inlineStr">
        <is>
          <t>marker_934_380828.png</t>
        </is>
      </c>
      <c r="L1684" s="11">
        <f>HYPERLINK("2\1\" &amp; K1684, "Ver Imagen")</f>
        <v/>
      </c>
      <c r="M1684" t="inlineStr">
        <is>
          <t>Moda</t>
        </is>
      </c>
    </row>
    <row r="1685">
      <c r="A1685" t="n">
        <v>1684</v>
      </c>
      <c r="B1685" t="inlineStr">
        <is>
          <t>A-5058__78</t>
        </is>
      </c>
      <c r="C1685" s="1" t="n">
        <v>37.2277269454</v>
      </c>
      <c r="D1685" s="1" t="n">
        <v>-7.04545430925</v>
      </c>
      <c r="E1685" s="3" t="n">
        <v>2</v>
      </c>
      <c r="F1685" s="2" t="n">
        <v>2</v>
      </c>
      <c r="G1685" s="4" t="n">
        <v>3</v>
      </c>
      <c r="H1685" s="13" t="n"/>
      <c r="I1685" s="15" t="n"/>
      <c r="J1685" s="19" t="n">
        <v>2</v>
      </c>
      <c r="K1685" s="2" t="inlineStr">
        <is>
          <t>marker_692_380839.png</t>
        </is>
      </c>
      <c r="L1685" s="11">
        <f>HYPERLINK("2\1\" &amp; K1685, "Ver Imagen")</f>
        <v/>
      </c>
      <c r="M1685" t="inlineStr">
        <is>
          <t>Moda</t>
        </is>
      </c>
    </row>
    <row r="1686">
      <c r="A1686" t="n">
        <v>1685</v>
      </c>
      <c r="B1686" t="inlineStr">
        <is>
          <t>A-5058__82</t>
        </is>
      </c>
      <c r="C1686" s="1" t="n">
        <v>37.2283423206</v>
      </c>
      <c r="D1686" s="1" t="n">
        <v>-7.04610001366</v>
      </c>
      <c r="E1686" s="3" t="n">
        <v>2</v>
      </c>
      <c r="F1686" s="2" t="n">
        <v>2</v>
      </c>
      <c r="G1686" s="4" t="n">
        <v>3</v>
      </c>
      <c r="H1686" s="13" t="n"/>
      <c r="I1686" s="15" t="n"/>
      <c r="J1686" s="19" t="n">
        <v>2</v>
      </c>
      <c r="K1686" s="2" t="inlineStr">
        <is>
          <t>marker_690_380886.png</t>
        </is>
      </c>
      <c r="L1686" s="11">
        <f>HYPERLINK("2\1\" &amp; K1686, "Ver Imagen")</f>
        <v/>
      </c>
      <c r="M1686" t="inlineStr">
        <is>
          <t>Moda</t>
        </is>
      </c>
    </row>
    <row r="1687">
      <c r="A1687" t="n">
        <v>1686</v>
      </c>
      <c r="B1687" t="inlineStr">
        <is>
          <t>A-5058__83</t>
        </is>
      </c>
      <c r="C1687" s="1" t="n">
        <v>37.2284929521</v>
      </c>
      <c r="D1687" s="1" t="n">
        <v>-7.04628761626</v>
      </c>
      <c r="E1687" s="3" t="n">
        <v>2</v>
      </c>
      <c r="F1687" s="2" t="n">
        <v>2</v>
      </c>
      <c r="G1687" s="4" t="n">
        <v>3</v>
      </c>
      <c r="H1687" s="13" t="n"/>
      <c r="I1687" s="15" t="n"/>
      <c r="J1687" s="19" t="n">
        <v>2</v>
      </c>
      <c r="K1687" s="2" t="inlineStr">
        <is>
          <t>marker_462_380905.png</t>
        </is>
      </c>
      <c r="L1687" s="11">
        <f>HYPERLINK("2\1\" &amp; K1687, "Ver Imagen")</f>
        <v/>
      </c>
      <c r="M1687" t="inlineStr">
        <is>
          <t>Moda</t>
        </is>
      </c>
    </row>
    <row r="1688">
      <c r="A1688" t="n">
        <v>1687</v>
      </c>
      <c r="B1688" t="inlineStr">
        <is>
          <t>A-5058__84</t>
        </is>
      </c>
      <c r="C1688" s="1" t="n">
        <v>37.228635919</v>
      </c>
      <c r="D1688" s="1" t="n">
        <v>-7.04648217511</v>
      </c>
      <c r="E1688" s="3" t="n">
        <v>2</v>
      </c>
      <c r="F1688" s="2" t="n">
        <v>2</v>
      </c>
      <c r="G1688" s="4" t="n">
        <v>3</v>
      </c>
      <c r="H1688" s="13" t="n"/>
      <c r="I1688" s="15" t="n"/>
      <c r="J1688" s="19" t="n">
        <v>2</v>
      </c>
      <c r="K1688" s="2" t="inlineStr">
        <is>
          <t>marker_143_380919.png</t>
        </is>
      </c>
      <c r="L1688" s="11">
        <f>HYPERLINK("2\1\" &amp; K1688, "Ver Imagen")</f>
        <v/>
      </c>
      <c r="M1688" t="inlineStr">
        <is>
          <t>Moda</t>
        </is>
      </c>
    </row>
    <row r="1689">
      <c r="A1689" t="n">
        <v>1688</v>
      </c>
      <c r="B1689" t="inlineStr">
        <is>
          <t>A-5058__85</t>
        </is>
      </c>
      <c r="C1689" s="1" t="n">
        <v>37.2287623594</v>
      </c>
      <c r="D1689" s="1" t="n">
        <v>-7.04666754706</v>
      </c>
      <c r="E1689" s="3" t="n">
        <v>2</v>
      </c>
      <c r="F1689" s="2" t="n">
        <v>2</v>
      </c>
      <c r="G1689" s="4" t="n">
        <v>3</v>
      </c>
      <c r="H1689" s="13" t="n"/>
      <c r="I1689" s="15" t="n"/>
      <c r="J1689" s="19" t="n">
        <v>2</v>
      </c>
      <c r="K1689" s="2" t="inlineStr">
        <is>
          <t>marker_219_380934.png</t>
        </is>
      </c>
      <c r="L1689" s="11">
        <f>HYPERLINK("2\1\" &amp; K1689, "Ver Imagen")</f>
        <v/>
      </c>
      <c r="M1689" t="inlineStr">
        <is>
          <t>Moda</t>
        </is>
      </c>
    </row>
    <row r="1690">
      <c r="A1690" t="n">
        <v>1689</v>
      </c>
      <c r="B1690" t="inlineStr">
        <is>
          <t>A-5058__88</t>
        </is>
      </c>
      <c r="C1690" s="1" t="n">
        <v>37.2291334763</v>
      </c>
      <c r="D1690" s="1" t="n">
        <v>-7.04726264875</v>
      </c>
      <c r="E1690" s="3" t="n">
        <v>2</v>
      </c>
      <c r="F1690" s="2" t="n">
        <v>2</v>
      </c>
      <c r="G1690" s="4" t="n">
        <v>3</v>
      </c>
      <c r="H1690" s="13" t="n"/>
      <c r="I1690" s="15" t="n"/>
      <c r="J1690" s="19" t="n">
        <v>2</v>
      </c>
      <c r="K1690" s="2" t="inlineStr">
        <is>
          <t>marker_557_380964.png</t>
        </is>
      </c>
      <c r="L1690" s="11">
        <f>HYPERLINK("2\1\" &amp; K1690, "Ver Imagen")</f>
        <v/>
      </c>
      <c r="M1690" t="inlineStr">
        <is>
          <t>Moda</t>
        </is>
      </c>
    </row>
    <row r="1691">
      <c r="A1691" t="n">
        <v>1690</v>
      </c>
      <c r="B1691" t="inlineStr">
        <is>
          <t>A-5058__89</t>
        </is>
      </c>
      <c r="C1691" s="1" t="n">
        <v>37.2292575335</v>
      </c>
      <c r="D1691" s="1" t="n">
        <v>-7.04746745425</v>
      </c>
      <c r="E1691" s="3" t="n">
        <v>2</v>
      </c>
      <c r="F1691" s="2" t="n">
        <v>2</v>
      </c>
      <c r="G1691" s="4" t="n">
        <v>3</v>
      </c>
      <c r="H1691" s="13" t="n"/>
      <c r="I1691" s="15" t="n"/>
      <c r="J1691" s="19" t="n">
        <v>2</v>
      </c>
      <c r="K1691" s="2" t="inlineStr">
        <is>
          <t>marker_375_380973.png</t>
        </is>
      </c>
      <c r="L1691" s="11">
        <f>HYPERLINK("2\1\" &amp; K1691, "Ver Imagen")</f>
        <v/>
      </c>
      <c r="M1691" t="inlineStr">
        <is>
          <t>Moda</t>
        </is>
      </c>
    </row>
    <row r="1692">
      <c r="A1692" t="n">
        <v>1691</v>
      </c>
      <c r="B1692" t="inlineStr">
        <is>
          <t>A-5058__90</t>
        </is>
      </c>
      <c r="C1692" s="1" t="n">
        <v>37.2293765596</v>
      </c>
      <c r="D1692" s="1" t="n">
        <v>-7.04766463575</v>
      </c>
      <c r="E1692" s="3" t="n">
        <v>2</v>
      </c>
      <c r="F1692" s="2" t="n">
        <v>2</v>
      </c>
      <c r="G1692" s="4" t="n">
        <v>3</v>
      </c>
      <c r="H1692" s="13" t="n"/>
      <c r="I1692" s="15" t="n"/>
      <c r="J1692" s="19" t="n">
        <v>2</v>
      </c>
      <c r="K1692" s="2" t="inlineStr">
        <is>
          <t>marker_555_380986.png</t>
        </is>
      </c>
      <c r="L1692" s="11">
        <f>HYPERLINK("2\1\" &amp; K1692, "Ver Imagen")</f>
        <v/>
      </c>
      <c r="M1692" t="inlineStr">
        <is>
          <t>Moda</t>
        </is>
      </c>
    </row>
    <row r="1693">
      <c r="A1693" t="n">
        <v>1692</v>
      </c>
      <c r="B1693" t="inlineStr">
        <is>
          <t>A-5058__91</t>
        </is>
      </c>
      <c r="C1693" s="1" t="n">
        <v>37.2295000947</v>
      </c>
      <c r="D1693" s="1" t="n">
        <v>-7.04787172681</v>
      </c>
      <c r="E1693" s="3" t="n">
        <v>2</v>
      </c>
      <c r="F1693" s="2" t="n">
        <v>2</v>
      </c>
      <c r="G1693" s="4" t="n">
        <v>3</v>
      </c>
      <c r="H1693" s="13" t="n"/>
      <c r="I1693" s="15" t="n"/>
      <c r="J1693" s="19" t="n">
        <v>2</v>
      </c>
      <c r="K1693" s="2" t="inlineStr">
        <is>
          <t>marker_367_381014.png</t>
        </is>
      </c>
      <c r="L1693" s="11">
        <f>HYPERLINK("2\1\" &amp; K1693, "Ver Imagen")</f>
        <v/>
      </c>
      <c r="M1693" t="inlineStr">
        <is>
          <t>Moda</t>
        </is>
      </c>
    </row>
    <row r="1694">
      <c r="A1694" t="n">
        <v>1693</v>
      </c>
      <c r="B1694" t="inlineStr">
        <is>
          <t>A-5058__92</t>
        </is>
      </c>
      <c r="C1694" s="1" t="n">
        <v>37.229620822</v>
      </c>
      <c r="D1694" s="1" t="n">
        <v>-7.04807459834</v>
      </c>
      <c r="E1694" s="3" t="n">
        <v>2</v>
      </c>
      <c r="F1694" s="2" t="n">
        <v>2</v>
      </c>
      <c r="G1694" s="4" t="n">
        <v>3</v>
      </c>
      <c r="H1694" s="13" t="n"/>
      <c r="I1694" s="15" t="n"/>
      <c r="J1694" s="19" t="n">
        <v>2</v>
      </c>
      <c r="K1694" s="2" t="inlineStr">
        <is>
          <t>marker_491_381024.png</t>
        </is>
      </c>
      <c r="L1694" s="11">
        <f>HYPERLINK("2\1\" &amp; K1694, "Ver Imagen")</f>
        <v/>
      </c>
      <c r="M1694" t="inlineStr">
        <is>
          <t>Moda</t>
        </is>
      </c>
    </row>
    <row r="1695">
      <c r="A1695" t="n">
        <v>1694</v>
      </c>
      <c r="B1695" t="inlineStr">
        <is>
          <t>A-5058__94</t>
        </is>
      </c>
      <c r="C1695" s="1" t="n">
        <v>37.2298710844</v>
      </c>
      <c r="D1695" s="1" t="n">
        <v>-7.04849331505</v>
      </c>
      <c r="E1695" s="3" t="n">
        <v>2</v>
      </c>
      <c r="F1695" s="2" t="n">
        <v>2</v>
      </c>
      <c r="G1695" s="4" t="n">
        <v>3</v>
      </c>
      <c r="H1695" s="13" t="n"/>
      <c r="I1695" s="15" t="n"/>
      <c r="J1695" s="19" t="n">
        <v>2</v>
      </c>
      <c r="K1695" s="2" t="inlineStr">
        <is>
          <t>marker_277_381051.png</t>
        </is>
      </c>
      <c r="L1695" s="11">
        <f>HYPERLINK("2\1\" &amp; K1695, "Ver Imagen")</f>
        <v/>
      </c>
      <c r="M1695" t="inlineStr">
        <is>
          <t>Moda</t>
        </is>
      </c>
    </row>
    <row r="1696">
      <c r="A1696" t="n">
        <v>1695</v>
      </c>
      <c r="B1696" t="inlineStr">
        <is>
          <t>A-5058__95</t>
        </is>
      </c>
      <c r="C1696" s="1" t="n">
        <v>37.2300034154</v>
      </c>
      <c r="D1696" s="1" t="n">
        <v>-7.04871344828</v>
      </c>
      <c r="E1696" s="3" t="n">
        <v>2</v>
      </c>
      <c r="F1696" s="2" t="n">
        <v>2</v>
      </c>
      <c r="G1696" s="4" t="n">
        <v>3</v>
      </c>
      <c r="H1696" s="13" t="n"/>
      <c r="I1696" s="15" t="n"/>
      <c r="J1696" s="19" t="n">
        <v>2</v>
      </c>
      <c r="K1696" s="2" t="inlineStr">
        <is>
          <t>marker_898_381061.png</t>
        </is>
      </c>
      <c r="L1696" s="11">
        <f>HYPERLINK("2\1\" &amp; K1696, "Ver Imagen")</f>
        <v/>
      </c>
      <c r="M1696" t="inlineStr">
        <is>
          <t>Moda</t>
        </is>
      </c>
    </row>
    <row r="1697">
      <c r="A1697" t="n">
        <v>1696</v>
      </c>
      <c r="B1697" t="inlineStr">
        <is>
          <t>A-5058__98</t>
        </is>
      </c>
      <c r="C1697" s="1" t="n">
        <v>37.2303486867</v>
      </c>
      <c r="D1697" s="1" t="n">
        <v>-7.04928790523</v>
      </c>
      <c r="E1697" s="3" t="n">
        <v>2</v>
      </c>
      <c r="F1697" s="2" t="n">
        <v>2</v>
      </c>
      <c r="G1697" s="4" t="n">
        <v>3</v>
      </c>
      <c r="H1697" s="13" t="n"/>
      <c r="I1697" s="15" t="n"/>
      <c r="J1697" s="19" t="n">
        <v>2</v>
      </c>
      <c r="K1697" s="2" t="inlineStr">
        <is>
          <t>marker_771_381090.png</t>
        </is>
      </c>
      <c r="L1697" s="11">
        <f>HYPERLINK("2\1\" &amp; K1697, "Ver Imagen")</f>
        <v/>
      </c>
      <c r="M1697" t="inlineStr">
        <is>
          <t>Moda</t>
        </is>
      </c>
    </row>
    <row r="1698">
      <c r="A1698" t="n">
        <v>1697</v>
      </c>
      <c r="B1698" t="inlineStr">
        <is>
          <t>A-5058__105</t>
        </is>
      </c>
      <c r="C1698" s="1" t="n">
        <v>37.2311662232</v>
      </c>
      <c r="D1698" s="1" t="n">
        <v>-7.05072991893</v>
      </c>
      <c r="E1698" s="3" t="n">
        <v>2</v>
      </c>
      <c r="F1698" s="2" t="n">
        <v>2</v>
      </c>
      <c r="G1698" s="4" t="n">
        <v>3</v>
      </c>
      <c r="H1698" s="13" t="n"/>
      <c r="I1698" s="15" t="n"/>
      <c r="J1698" s="19" t="n">
        <v>2</v>
      </c>
      <c r="K1698" s="2" t="inlineStr">
        <is>
          <t>marker_968_381185.png</t>
        </is>
      </c>
      <c r="L1698" s="11">
        <f>HYPERLINK("2\1\" &amp; K1698, "Ver Imagen")</f>
        <v/>
      </c>
      <c r="M1698" t="inlineStr">
        <is>
          <t>Moda</t>
        </is>
      </c>
    </row>
    <row r="1699">
      <c r="A1699" t="n">
        <v>1698</v>
      </c>
      <c r="B1699" t="inlineStr">
        <is>
          <t>A-5058__108</t>
        </is>
      </c>
      <c r="C1699" s="1" t="n">
        <v>37.2315063081</v>
      </c>
      <c r="D1699" s="1" t="n">
        <v>-7.05137998947</v>
      </c>
      <c r="E1699" s="3" t="n">
        <v>2</v>
      </c>
      <c r="F1699" s="2" t="n">
        <v>2</v>
      </c>
      <c r="G1699" s="4" t="n">
        <v>3</v>
      </c>
      <c r="H1699" s="13" t="n"/>
      <c r="I1699" s="15" t="n"/>
      <c r="J1699" s="19" t="n">
        <v>2</v>
      </c>
      <c r="K1699" s="2" t="inlineStr">
        <is>
          <t>marker_869_381219.png</t>
        </is>
      </c>
      <c r="L1699" s="11">
        <f>HYPERLINK("2\1\" &amp; K1699, "Ver Imagen")</f>
        <v/>
      </c>
      <c r="M1699" t="inlineStr">
        <is>
          <t>Moda</t>
        </is>
      </c>
    </row>
    <row r="1700">
      <c r="A1700" t="n">
        <v>1699</v>
      </c>
      <c r="B1700" t="inlineStr">
        <is>
          <t>A-5058__114</t>
        </is>
      </c>
      <c r="C1700" s="1" t="n">
        <v>37.2321794718</v>
      </c>
      <c r="D1700" s="1" t="n">
        <v>-7.05263215183</v>
      </c>
      <c r="E1700" s="3" t="n">
        <v>2</v>
      </c>
      <c r="F1700" s="2" t="n">
        <v>2</v>
      </c>
      <c r="G1700" s="4" t="n">
        <v>3</v>
      </c>
      <c r="H1700" s="13" t="n"/>
      <c r="I1700" s="15" t="n"/>
      <c r="J1700" s="19" t="n">
        <v>2</v>
      </c>
      <c r="K1700" s="2" t="inlineStr">
        <is>
          <t>marker_427_381283.png</t>
        </is>
      </c>
      <c r="L1700" s="11">
        <f>HYPERLINK("2\1\" &amp; K1700, "Ver Imagen")</f>
        <v/>
      </c>
      <c r="M1700" t="inlineStr">
        <is>
          <t>Moda</t>
        </is>
      </c>
    </row>
    <row r="1701">
      <c r="A1701" t="n">
        <v>1700</v>
      </c>
      <c r="B1701" t="inlineStr">
        <is>
          <t>A-5058__117</t>
        </is>
      </c>
      <c r="C1701" s="1" t="n">
        <v>37.2325307192</v>
      </c>
      <c r="D1701" s="1" t="n">
        <v>-7.05328284338</v>
      </c>
      <c r="E1701" s="3" t="n">
        <v>2</v>
      </c>
      <c r="F1701" s="2" t="n">
        <v>2</v>
      </c>
      <c r="G1701" s="4" t="n">
        <v>3</v>
      </c>
      <c r="H1701" s="13" t="n"/>
      <c r="I1701" s="15" t="n"/>
      <c r="J1701" s="19" t="n">
        <v>2</v>
      </c>
      <c r="K1701" s="2" t="inlineStr">
        <is>
          <t>marker_955_381315.png</t>
        </is>
      </c>
      <c r="L1701" s="11">
        <f>HYPERLINK("2\1\" &amp; K1701, "Ver Imagen")</f>
        <v/>
      </c>
      <c r="M1701" t="inlineStr">
        <is>
          <t>Moda</t>
        </is>
      </c>
    </row>
    <row r="1702">
      <c r="A1702" t="n">
        <v>1701</v>
      </c>
      <c r="B1702" t="inlineStr">
        <is>
          <t>A-5058__119</t>
        </is>
      </c>
      <c r="C1702" s="1" t="n">
        <v>37.2327383632</v>
      </c>
      <c r="D1702" s="1" t="n">
        <v>-7.05370918448</v>
      </c>
      <c r="E1702" s="3" t="n">
        <v>2</v>
      </c>
      <c r="F1702" s="2" t="n">
        <v>2</v>
      </c>
      <c r="G1702" s="4" t="n">
        <v>3</v>
      </c>
      <c r="H1702" s="13" t="n"/>
      <c r="I1702" s="15" t="n"/>
      <c r="J1702" s="19" t="n">
        <v>2</v>
      </c>
      <c r="K1702" s="2" t="inlineStr">
        <is>
          <t>marker_789_381334.png</t>
        </is>
      </c>
      <c r="L1702" s="11">
        <f>HYPERLINK("2\1\" &amp; K1702, "Ver Imagen")</f>
        <v/>
      </c>
      <c r="M1702" t="inlineStr">
        <is>
          <t>Moda</t>
        </is>
      </c>
    </row>
    <row r="1703">
      <c r="A1703" t="n">
        <v>1702</v>
      </c>
      <c r="B1703" t="inlineStr">
        <is>
          <t>A-5058__120</t>
        </is>
      </c>
      <c r="C1703" s="1" t="n">
        <v>37.2328278614</v>
      </c>
      <c r="D1703" s="1" t="n">
        <v>-7.05391945411</v>
      </c>
      <c r="E1703" s="3" t="n">
        <v>2</v>
      </c>
      <c r="F1703" s="2" t="n">
        <v>2</v>
      </c>
      <c r="G1703" s="4" t="n">
        <v>3</v>
      </c>
      <c r="H1703" s="13" t="n"/>
      <c r="I1703" s="15" t="n"/>
      <c r="J1703" s="19" t="n">
        <v>2</v>
      </c>
      <c r="K1703" s="2" t="inlineStr">
        <is>
          <t>marker_215_381342.png</t>
        </is>
      </c>
      <c r="L1703" s="11">
        <f>HYPERLINK("2\1\" &amp; K1703, "Ver Imagen")</f>
        <v/>
      </c>
      <c r="M1703" t="inlineStr">
        <is>
          <t>Moda</t>
        </is>
      </c>
    </row>
    <row r="1704">
      <c r="A1704" t="n">
        <v>1703</v>
      </c>
      <c r="B1704" t="inlineStr">
        <is>
          <t>A-5058__121</t>
        </is>
      </c>
      <c r="C1704" s="1" t="n">
        <v>37.2329224331</v>
      </c>
      <c r="D1704" s="1" t="n">
        <v>-7.05415626657</v>
      </c>
      <c r="E1704" s="3" t="n">
        <v>2</v>
      </c>
      <c r="F1704" s="2" t="n">
        <v>2</v>
      </c>
      <c r="G1704" s="4" t="n">
        <v>3</v>
      </c>
      <c r="H1704" s="13" t="n"/>
      <c r="I1704" s="15" t="n"/>
      <c r="J1704" s="19" t="n">
        <v>2</v>
      </c>
      <c r="K1704" s="2" t="inlineStr">
        <is>
          <t>marker_716_381351.png</t>
        </is>
      </c>
      <c r="L1704" s="11">
        <f>HYPERLINK("2\1\" &amp; K1704, "Ver Imagen")</f>
        <v/>
      </c>
      <c r="M1704" t="inlineStr">
        <is>
          <t>Moda</t>
        </is>
      </c>
    </row>
    <row r="1705">
      <c r="A1705" t="n">
        <v>1704</v>
      </c>
      <c r="B1705" t="inlineStr">
        <is>
          <t>A-5058__122</t>
        </is>
      </c>
      <c r="C1705" s="1" t="n">
        <v>37.2330057404</v>
      </c>
      <c r="D1705" s="1" t="n">
        <v>-7.05438361736</v>
      </c>
      <c r="E1705" s="3" t="n">
        <v>2</v>
      </c>
      <c r="F1705" s="2" t="n">
        <v>2</v>
      </c>
      <c r="G1705" s="4" t="n">
        <v>3</v>
      </c>
      <c r="H1705" s="13" t="n"/>
      <c r="I1705" s="15" t="n"/>
      <c r="J1705" s="19" t="n">
        <v>2</v>
      </c>
      <c r="K1705" s="2" t="inlineStr">
        <is>
          <t>marker_899_381360.png</t>
        </is>
      </c>
      <c r="L1705" s="11">
        <f>HYPERLINK("2\1\" &amp; K1705, "Ver Imagen")</f>
        <v/>
      </c>
      <c r="M1705" t="inlineStr">
        <is>
          <t>Moda</t>
        </is>
      </c>
    </row>
    <row r="1706">
      <c r="A1706" t="n">
        <v>1705</v>
      </c>
      <c r="B1706" t="inlineStr">
        <is>
          <t>A-5058__123</t>
        </is>
      </c>
      <c r="C1706" s="1" t="n">
        <v>37.2330787923</v>
      </c>
      <c r="D1706" s="1" t="n">
        <v>-7.05461009127</v>
      </c>
      <c r="E1706" s="3" t="n">
        <v>2</v>
      </c>
      <c r="F1706" s="2" t="n">
        <v>2</v>
      </c>
      <c r="G1706" s="4" t="n">
        <v>3</v>
      </c>
      <c r="H1706" s="13" t="n"/>
      <c r="I1706" s="15" t="n"/>
      <c r="J1706" s="19" t="n">
        <v>2</v>
      </c>
      <c r="K1706" s="2" t="inlineStr">
        <is>
          <t>marker_771_381369.png</t>
        </is>
      </c>
      <c r="L1706" s="11">
        <f>HYPERLINK("2\1\" &amp; K1706, "Ver Imagen")</f>
        <v/>
      </c>
      <c r="M1706" t="inlineStr">
        <is>
          <t>Moda</t>
        </is>
      </c>
    </row>
    <row r="1707">
      <c r="A1707" t="n">
        <v>1706</v>
      </c>
      <c r="B1707" t="inlineStr">
        <is>
          <t>A-5058__125</t>
        </is>
      </c>
      <c r="C1707" s="1" t="n">
        <v>37.2332098495</v>
      </c>
      <c r="D1707" s="1" t="n">
        <v>-7.05508306502</v>
      </c>
      <c r="E1707" s="3" t="n">
        <v>2</v>
      </c>
      <c r="F1707" s="2" t="n">
        <v>2</v>
      </c>
      <c r="G1707" s="4" t="n">
        <v>3</v>
      </c>
      <c r="H1707" s="13" t="n"/>
      <c r="I1707" s="15" t="n"/>
      <c r="J1707" s="19" t="n">
        <v>2</v>
      </c>
      <c r="K1707" s="2" t="inlineStr">
        <is>
          <t>marker_775_381389.png</t>
        </is>
      </c>
      <c r="L1707" s="11">
        <f>HYPERLINK("2\1\" &amp; K1707, "Ver Imagen")</f>
        <v/>
      </c>
      <c r="M1707" t="inlineStr">
        <is>
          <t>Moda</t>
        </is>
      </c>
    </row>
    <row r="1708">
      <c r="A1708" t="n">
        <v>1707</v>
      </c>
      <c r="B1708" t="inlineStr">
        <is>
          <t>A-5058__126</t>
        </is>
      </c>
      <c r="C1708" s="1" t="n">
        <v>37.2332693087</v>
      </c>
      <c r="D1708" s="1" t="n">
        <v>-7.05531469651</v>
      </c>
      <c r="E1708" s="3" t="n">
        <v>2</v>
      </c>
      <c r="F1708" s="2" t="n">
        <v>2</v>
      </c>
      <c r="G1708" s="4" t="n">
        <v>3</v>
      </c>
      <c r="H1708" s="13" t="n"/>
      <c r="I1708" s="15" t="n"/>
      <c r="J1708" s="19" t="n">
        <v>2</v>
      </c>
      <c r="K1708" s="2" t="inlineStr">
        <is>
          <t>marker_465_381398.png</t>
        </is>
      </c>
      <c r="L1708" s="11">
        <f>HYPERLINK("2\1\" &amp; K1708, "Ver Imagen")</f>
        <v/>
      </c>
      <c r="M1708" t="inlineStr">
        <is>
          <t>Moda</t>
        </is>
      </c>
    </row>
    <row r="1709">
      <c r="A1709" t="n">
        <v>1708</v>
      </c>
      <c r="B1709" t="inlineStr">
        <is>
          <t>A-5058__127</t>
        </is>
      </c>
      <c r="C1709" s="1" t="n">
        <v>37.2333274756</v>
      </c>
      <c r="D1709" s="1" t="n">
        <v>-7.05554061527</v>
      </c>
      <c r="E1709" s="3" t="n">
        <v>2</v>
      </c>
      <c r="F1709" s="2" t="n">
        <v>2</v>
      </c>
      <c r="G1709" s="4" t="n">
        <v>3</v>
      </c>
      <c r="H1709" s="13" t="n"/>
      <c r="I1709" s="15" t="n"/>
      <c r="J1709" s="19" t="n">
        <v>2</v>
      </c>
      <c r="K1709" s="2" t="inlineStr">
        <is>
          <t>marker_542_381422.png</t>
        </is>
      </c>
      <c r="L1709" s="11">
        <f>HYPERLINK("2\1\" &amp; K1709, "Ver Imagen")</f>
        <v/>
      </c>
      <c r="M1709" t="inlineStr">
        <is>
          <t>Moda</t>
        </is>
      </c>
    </row>
    <row r="1710">
      <c r="A1710" t="n">
        <v>1709</v>
      </c>
      <c r="B1710" t="inlineStr">
        <is>
          <t>A-5058__129</t>
        </is>
      </c>
      <c r="C1710" s="1" t="n">
        <v>37.2334633621</v>
      </c>
      <c r="D1710" s="1" t="n">
        <v>-7.05606400083</v>
      </c>
      <c r="E1710" s="3" t="n">
        <v>2</v>
      </c>
      <c r="F1710" s="2" t="n">
        <v>2</v>
      </c>
      <c r="G1710" s="4" t="n">
        <v>3</v>
      </c>
      <c r="H1710" s="13" t="n"/>
      <c r="I1710" s="15" t="n"/>
      <c r="J1710" s="19" t="n">
        <v>2</v>
      </c>
      <c r="K1710" s="2" t="inlineStr">
        <is>
          <t>marker_400_381446.png</t>
        </is>
      </c>
      <c r="L1710" s="11">
        <f>HYPERLINK("2\1\" &amp; K1710, "Ver Imagen")</f>
        <v/>
      </c>
      <c r="M1710" t="inlineStr">
        <is>
          <t>Moda</t>
        </is>
      </c>
    </row>
    <row r="1711">
      <c r="A1711" t="n">
        <v>1710</v>
      </c>
      <c r="B1711" t="inlineStr">
        <is>
          <t>A-5058__131</t>
        </is>
      </c>
      <c r="C1711" s="1" t="n">
        <v>37.2335869789</v>
      </c>
      <c r="D1711" s="1" t="n">
        <v>-7.0565314661</v>
      </c>
      <c r="E1711" s="3" t="n">
        <v>2</v>
      </c>
      <c r="F1711" s="2" t="n">
        <v>2</v>
      </c>
      <c r="G1711" s="4" t="n">
        <v>3</v>
      </c>
      <c r="H1711" s="13" t="n"/>
      <c r="I1711" s="15" t="n"/>
      <c r="J1711" s="19" t="n">
        <v>2</v>
      </c>
      <c r="K1711" s="2" t="inlineStr">
        <is>
          <t>marker_728_381466.png</t>
        </is>
      </c>
      <c r="L1711" s="11">
        <f>HYPERLINK("2\1\" &amp; K1711, "Ver Imagen")</f>
        <v/>
      </c>
      <c r="M1711" t="inlineStr">
        <is>
          <t>Moda</t>
        </is>
      </c>
    </row>
    <row r="1712">
      <c r="A1712" t="n">
        <v>1711</v>
      </c>
      <c r="B1712" t="inlineStr">
        <is>
          <t>A-5058__132</t>
        </is>
      </c>
      <c r="C1712" s="1" t="n">
        <v>37.233656557</v>
      </c>
      <c r="D1712" s="1" t="n">
        <v>-7.05679547031</v>
      </c>
      <c r="E1712" s="3" t="n">
        <v>2</v>
      </c>
      <c r="F1712" s="2" t="n">
        <v>2</v>
      </c>
      <c r="G1712" s="4" t="n">
        <v>3</v>
      </c>
      <c r="H1712" s="13" t="n"/>
      <c r="I1712" s="15" t="n"/>
      <c r="J1712" s="19" t="n">
        <v>2</v>
      </c>
      <c r="K1712" s="2" t="inlineStr">
        <is>
          <t>marker_946_381484.png</t>
        </is>
      </c>
      <c r="L1712" s="11">
        <f>HYPERLINK("2\1\" &amp; K1712, "Ver Imagen")</f>
        <v/>
      </c>
      <c r="M1712" t="inlineStr">
        <is>
          <t>Moda</t>
        </is>
      </c>
    </row>
    <row r="1713">
      <c r="A1713" t="n">
        <v>1712</v>
      </c>
      <c r="B1713" t="inlineStr">
        <is>
          <t>A-5058__133</t>
        </is>
      </c>
      <c r="C1713" s="1" t="n">
        <v>37.2337185396</v>
      </c>
      <c r="D1713" s="1" t="n">
        <v>-7.05703017198</v>
      </c>
      <c r="E1713" s="3" t="n">
        <v>2</v>
      </c>
      <c r="F1713" s="2" t="n">
        <v>2</v>
      </c>
      <c r="G1713" s="4" t="n">
        <v>3</v>
      </c>
      <c r="H1713" s="13" t="n"/>
      <c r="I1713" s="15" t="n"/>
      <c r="J1713" s="19" t="n">
        <v>2</v>
      </c>
      <c r="K1713" s="2" t="inlineStr">
        <is>
          <t>marker_641_381497.png</t>
        </is>
      </c>
      <c r="L1713" s="11">
        <f>HYPERLINK("2\1\" &amp; K1713, "Ver Imagen")</f>
        <v/>
      </c>
      <c r="M1713" t="inlineStr">
        <is>
          <t>Moda</t>
        </is>
      </c>
    </row>
    <row r="1714">
      <c r="A1714" t="n">
        <v>1713</v>
      </c>
      <c r="B1714" t="inlineStr">
        <is>
          <t>A-5058__134</t>
        </is>
      </c>
      <c r="C1714" s="1" t="n">
        <v>37.2337777324</v>
      </c>
      <c r="D1714" s="1" t="n">
        <v>-7.05725395764</v>
      </c>
      <c r="E1714" s="3" t="n">
        <v>2</v>
      </c>
      <c r="F1714" s="2" t="n">
        <v>2</v>
      </c>
      <c r="G1714" s="4" t="n">
        <v>3</v>
      </c>
      <c r="H1714" s="13" t="n"/>
      <c r="I1714" s="15" t="n"/>
      <c r="J1714" s="19" t="n">
        <v>2</v>
      </c>
      <c r="K1714" s="2" t="inlineStr">
        <is>
          <t>marker_819_381508.png</t>
        </is>
      </c>
      <c r="L1714" s="11">
        <f>HYPERLINK("2\1\" &amp; K1714, "Ver Imagen")</f>
        <v/>
      </c>
      <c r="M1714" t="inlineStr">
        <is>
          <t>Moda</t>
        </is>
      </c>
    </row>
    <row r="1715">
      <c r="A1715" t="n">
        <v>1714</v>
      </c>
      <c r="B1715" t="inlineStr">
        <is>
          <t>A-5058__160</t>
        </is>
      </c>
      <c r="C1715" s="1" t="n">
        <v>37.2340375351</v>
      </c>
      <c r="D1715" s="1" t="n">
        <v>-7.06381739657</v>
      </c>
      <c r="E1715" s="3" t="n">
        <v>2</v>
      </c>
      <c r="F1715" s="2" t="n">
        <v>2</v>
      </c>
      <c r="G1715" s="4" t="n">
        <v>3</v>
      </c>
      <c r="H1715" s="13" t="n"/>
      <c r="I1715" s="15" t="n"/>
      <c r="J1715" s="19" t="n">
        <v>2</v>
      </c>
      <c r="K1715" s="2" t="inlineStr">
        <is>
          <t>marker_501_381826.png</t>
        </is>
      </c>
      <c r="L1715" s="11">
        <f>HYPERLINK("2\1\" &amp; K1715, "Ver Imagen")</f>
        <v/>
      </c>
      <c r="M1715" t="inlineStr">
        <is>
          <t>Moda</t>
        </is>
      </c>
    </row>
    <row r="1716">
      <c r="A1716" t="n">
        <v>1715</v>
      </c>
      <c r="B1716" t="inlineStr">
        <is>
          <t>A-5058__236</t>
        </is>
      </c>
      <c r="C1716" s="1" t="n">
        <v>37.2394992655</v>
      </c>
      <c r="D1716" s="1" t="n">
        <v>-7.08064143974</v>
      </c>
      <c r="E1716" s="3" t="n">
        <v>2</v>
      </c>
      <c r="F1716" s="2" t="n">
        <v>2</v>
      </c>
      <c r="G1716" s="4" t="n">
        <v>3</v>
      </c>
      <c r="H1716" s="13" t="n"/>
      <c r="I1716" s="15" t="n"/>
      <c r="J1716" s="19" t="n">
        <v>2</v>
      </c>
      <c r="K1716" s="2" t="inlineStr">
        <is>
          <t>marker_579_383323.png</t>
        </is>
      </c>
      <c r="L1716" s="11">
        <f>HYPERLINK("2\1\" &amp; K1716, "Ver Imagen")</f>
        <v/>
      </c>
      <c r="M1716" t="inlineStr">
        <is>
          <t>Moda</t>
        </is>
      </c>
    </row>
    <row r="1717">
      <c r="A1717" t="n">
        <v>1716</v>
      </c>
      <c r="B1717" t="inlineStr">
        <is>
          <t>A-5058__343</t>
        </is>
      </c>
      <c r="C1717" s="1" t="n">
        <v>37.2502271421</v>
      </c>
      <c r="D1717" s="1" t="n">
        <v>-7.10296308123</v>
      </c>
      <c r="E1717" s="3" t="n">
        <v>2</v>
      </c>
      <c r="F1717" s="2" t="n">
        <v>2</v>
      </c>
      <c r="G1717" s="4" t="n">
        <v>3</v>
      </c>
      <c r="H1717" s="13" t="n"/>
      <c r="I1717" s="15" t="n"/>
      <c r="J1717" s="19" t="n">
        <v>2</v>
      </c>
      <c r="K1717" s="2" t="inlineStr">
        <is>
          <t>marker_446_384795.png</t>
        </is>
      </c>
      <c r="L1717" s="11">
        <f>HYPERLINK("2\1\" &amp; K1717, "Ver Imagen")</f>
        <v/>
      </c>
      <c r="M1717" t="inlineStr">
        <is>
          <t>Moda</t>
        </is>
      </c>
    </row>
    <row r="1718">
      <c r="A1718" t="n">
        <v>1717</v>
      </c>
      <c r="B1718" t="inlineStr">
        <is>
          <t>A-5058__348</t>
        </is>
      </c>
      <c r="C1718" s="1" t="n">
        <v>37.2511413442</v>
      </c>
      <c r="D1718" s="1" t="n">
        <v>-7.10349675147</v>
      </c>
      <c r="E1718" s="3" t="n">
        <v>2</v>
      </c>
      <c r="F1718" s="2" t="n">
        <v>2</v>
      </c>
      <c r="G1718" s="4" t="n">
        <v>3</v>
      </c>
      <c r="H1718" s="13" t="n"/>
      <c r="I1718" s="15" t="n"/>
      <c r="J1718" s="19" t="n">
        <v>2</v>
      </c>
      <c r="K1718" s="2" t="inlineStr">
        <is>
          <t>marker_488_384845.png</t>
        </is>
      </c>
      <c r="L1718" s="11">
        <f>HYPERLINK("2\1\" &amp; K1718, "Ver Imagen")</f>
        <v/>
      </c>
      <c r="M1718" t="inlineStr">
        <is>
          <t>Moda</t>
        </is>
      </c>
    </row>
    <row r="1719">
      <c r="A1719" t="n">
        <v>1718</v>
      </c>
      <c r="B1719" t="inlineStr">
        <is>
          <t>A-5058__359</t>
        </is>
      </c>
      <c r="C1719" s="1" t="n">
        <v>37.2527817957</v>
      </c>
      <c r="D1719" s="1" t="n">
        <v>-7.10532255891</v>
      </c>
      <c r="E1719" s="3" t="n">
        <v>2</v>
      </c>
      <c r="F1719" s="2" t="n">
        <v>2</v>
      </c>
      <c r="G1719" s="4" t="n">
        <v>3</v>
      </c>
      <c r="H1719" s="13" t="n"/>
      <c r="I1719" s="15" t="n"/>
      <c r="J1719" s="19" t="n">
        <v>2</v>
      </c>
      <c r="K1719" s="2" t="inlineStr">
        <is>
          <t>marker_321_384963.png</t>
        </is>
      </c>
      <c r="L1719" s="11">
        <f>HYPERLINK("2\1\" &amp; K1719, "Ver Imagen")</f>
        <v/>
      </c>
      <c r="M1719" t="inlineStr">
        <is>
          <t>Moda</t>
        </is>
      </c>
    </row>
    <row r="1720">
      <c r="A1720" t="n">
        <v>1719</v>
      </c>
      <c r="B1720" t="inlineStr">
        <is>
          <t>A-5058__368</t>
        </is>
      </c>
      <c r="C1720" s="1" t="n">
        <v>37.2536919036</v>
      </c>
      <c r="D1720" s="1" t="n">
        <v>-7.10727469034</v>
      </c>
      <c r="E1720" s="3" t="n">
        <v>2</v>
      </c>
      <c r="F1720" s="2" t="n">
        <v>2</v>
      </c>
      <c r="G1720" s="4" t="n">
        <v>3</v>
      </c>
      <c r="H1720" s="13" t="n"/>
      <c r="I1720" s="15" t="n"/>
      <c r="J1720" s="19" t="n">
        <v>2</v>
      </c>
      <c r="K1720" s="2" t="inlineStr">
        <is>
          <t>marker_243_385055.png</t>
        </is>
      </c>
      <c r="L1720" s="11">
        <f>HYPERLINK("2\1\" &amp; K1720, "Ver Imagen")</f>
        <v/>
      </c>
      <c r="M1720" t="inlineStr">
        <is>
          <t>Moda</t>
        </is>
      </c>
    </row>
    <row r="1721">
      <c r="A1721" t="n">
        <v>1720</v>
      </c>
      <c r="B1721" t="inlineStr">
        <is>
          <t>A-5058__369</t>
        </is>
      </c>
      <c r="C1721" s="1" t="n">
        <v>37.2538188436</v>
      </c>
      <c r="D1721" s="1" t="n">
        <v>-7.10745298028</v>
      </c>
      <c r="E1721" s="3" t="n">
        <v>2</v>
      </c>
      <c r="F1721" s="2" t="n">
        <v>2</v>
      </c>
      <c r="G1721" s="4" t="n">
        <v>3</v>
      </c>
      <c r="H1721" s="13" t="n"/>
      <c r="I1721" s="15" t="n"/>
      <c r="J1721" s="19" t="n">
        <v>2</v>
      </c>
      <c r="K1721" s="2" t="inlineStr">
        <is>
          <t>marker_685_385063.png</t>
        </is>
      </c>
      <c r="L1721" s="11">
        <f>HYPERLINK("2\1\" &amp; K1721, "Ver Imagen")</f>
        <v/>
      </c>
      <c r="M1721" t="inlineStr">
        <is>
          <t>Moda</t>
        </is>
      </c>
    </row>
    <row r="1722">
      <c r="A1722" t="n">
        <v>1721</v>
      </c>
      <c r="B1722" t="inlineStr">
        <is>
          <t>A-495__5</t>
        </is>
      </c>
      <c r="C1722" s="1" t="n">
        <v>37.4440457854</v>
      </c>
      <c r="D1722" s="1" t="n">
        <v>-7.09918285575</v>
      </c>
      <c r="E1722" s="3" t="n">
        <v>2</v>
      </c>
      <c r="F1722" s="2" t="n">
        <v>2</v>
      </c>
      <c r="G1722" s="4" t="n">
        <v>3</v>
      </c>
      <c r="H1722" s="13" t="n"/>
      <c r="I1722" s="15" t="n"/>
      <c r="J1722" s="19" t="n">
        <v>2</v>
      </c>
      <c r="K1722" s="2" t="inlineStr">
        <is>
          <t>marker_705_381029.png</t>
        </is>
      </c>
      <c r="L1722" s="11">
        <f>HYPERLINK("2\1\" &amp; K1722, "Ver Imagen")</f>
        <v/>
      </c>
      <c r="M1722" t="inlineStr">
        <is>
          <t>Moda</t>
        </is>
      </c>
    </row>
    <row r="1723">
      <c r="A1723" t="n">
        <v>1722</v>
      </c>
      <c r="B1723" t="inlineStr">
        <is>
          <t>A-495_1__179</t>
        </is>
      </c>
      <c r="C1723" s="1" t="n">
        <v>37.4820889405</v>
      </c>
      <c r="D1723" s="1" t="n">
        <v>-7.12831068675</v>
      </c>
      <c r="E1723" s="3" t="n">
        <v>2</v>
      </c>
      <c r="F1723" s="2" t="n">
        <v>2</v>
      </c>
      <c r="G1723" s="4" t="n">
        <v>3</v>
      </c>
      <c r="H1723" s="13" t="n"/>
      <c r="I1723" s="15" t="n"/>
      <c r="J1723" s="19" t="n">
        <v>2</v>
      </c>
      <c r="K1723" s="2" t="inlineStr">
        <is>
          <t>marker_622_383830.png</t>
        </is>
      </c>
      <c r="L1723" s="11">
        <f>HYPERLINK("2\1\" &amp; K1723, "Ver Imagen")</f>
        <v/>
      </c>
      <c r="M1723" t="inlineStr">
        <is>
          <t>Moda</t>
        </is>
      </c>
    </row>
    <row r="1724">
      <c r="A1724" t="n">
        <v>1723</v>
      </c>
      <c r="B1724" t="inlineStr">
        <is>
          <t>A-495_1__177</t>
        </is>
      </c>
      <c r="C1724" s="1" t="n">
        <v>37.4817471404</v>
      </c>
      <c r="D1724" s="1" t="n">
        <v>-7.12810144537</v>
      </c>
      <c r="E1724" s="3" t="n">
        <v>2</v>
      </c>
      <c r="F1724" s="2" t="n">
        <v>2</v>
      </c>
      <c r="G1724" s="4" t="n">
        <v>3</v>
      </c>
      <c r="H1724" s="13" t="n"/>
      <c r="I1724" s="15" t="n"/>
      <c r="J1724" s="19" t="n">
        <v>2</v>
      </c>
      <c r="K1724" s="2" t="inlineStr">
        <is>
          <t>marker_322_383925.png</t>
        </is>
      </c>
      <c r="L1724" s="11">
        <f>HYPERLINK("2\1\" &amp; K1724, "Ver Imagen")</f>
        <v/>
      </c>
      <c r="M1724" t="inlineStr">
        <is>
          <t>Moda</t>
        </is>
      </c>
    </row>
    <row r="1725">
      <c r="A1725" t="n">
        <v>1724</v>
      </c>
      <c r="B1725" t="inlineStr">
        <is>
          <t>A-495_1__176</t>
        </is>
      </c>
      <c r="C1725" s="1" t="n">
        <v>37.4815285801</v>
      </c>
      <c r="D1725" s="1" t="n">
        <v>-7.12799367997</v>
      </c>
      <c r="E1725" s="3" t="n">
        <v>2</v>
      </c>
      <c r="F1725" s="2" t="n">
        <v>2</v>
      </c>
      <c r="G1725" s="4" t="n">
        <v>3</v>
      </c>
      <c r="H1725" s="13" t="n"/>
      <c r="I1725" s="15" t="n"/>
      <c r="J1725" s="19" t="n">
        <v>2</v>
      </c>
      <c r="K1725" s="2" t="inlineStr">
        <is>
          <t>marker_153_383935.png</t>
        </is>
      </c>
      <c r="L1725" s="11">
        <f>HYPERLINK("2\1\" &amp; K1725, "Ver Imagen")</f>
        <v/>
      </c>
      <c r="M1725" t="inlineStr">
        <is>
          <t>Moda</t>
        </is>
      </c>
    </row>
    <row r="1726">
      <c r="A1726" t="n">
        <v>1725</v>
      </c>
      <c r="B1726" t="inlineStr">
        <is>
          <t>A-495_1__116</t>
        </is>
      </c>
      <c r="C1726" s="1" t="n">
        <v>37.4704227045</v>
      </c>
      <c r="D1726" s="1" t="n">
        <v>-7.12494984769</v>
      </c>
      <c r="E1726" s="3" t="n">
        <v>3</v>
      </c>
      <c r="F1726" s="2" t="n">
        <v>2</v>
      </c>
      <c r="G1726" s="4" t="n">
        <v>2</v>
      </c>
      <c r="H1726" s="13" t="n"/>
      <c r="I1726" s="15" t="n"/>
      <c r="J1726" s="19" t="n">
        <v>2</v>
      </c>
      <c r="K1726" s="2" t="inlineStr">
        <is>
          <t>marker_526_384614.png</t>
        </is>
      </c>
      <c r="L1726" s="11">
        <f>HYPERLINK("2\1\" &amp; K1726, "Ver Imagen")</f>
        <v/>
      </c>
      <c r="M1726" t="inlineStr">
        <is>
          <t>Moda</t>
        </is>
      </c>
    </row>
    <row r="1727">
      <c r="A1727" t="n">
        <v>1726</v>
      </c>
      <c r="B1727" t="inlineStr">
        <is>
          <t>A-495_1__15</t>
        </is>
      </c>
      <c r="C1727" s="1" t="n">
        <v>37.4509801926</v>
      </c>
      <c r="D1727" s="1" t="n">
        <v>-7.12741991481</v>
      </c>
      <c r="E1727" s="3" t="n">
        <v>2</v>
      </c>
      <c r="F1727" s="2" t="n">
        <v>2</v>
      </c>
      <c r="G1727" s="4" t="n">
        <v>3</v>
      </c>
      <c r="H1727" s="13" t="n"/>
      <c r="I1727" s="15" t="n"/>
      <c r="J1727" s="19" t="n">
        <v>2</v>
      </c>
      <c r="K1727" s="2" t="inlineStr">
        <is>
          <t>marker_269_386179.png</t>
        </is>
      </c>
      <c r="L1727" s="11">
        <f>HYPERLINK("2\1\" &amp; K1727, "Ver Imagen")</f>
        <v/>
      </c>
      <c r="M1727" t="inlineStr">
        <is>
          <t>Moda</t>
        </is>
      </c>
    </row>
    <row r="1728">
      <c r="A1728" t="n">
        <v>1727</v>
      </c>
      <c r="B1728" t="inlineStr">
        <is>
          <t>A-499__31</t>
        </is>
      </c>
      <c r="C1728" s="1" t="n">
        <v>37.4926101033</v>
      </c>
      <c r="D1728" s="1" t="n">
        <v>-7.27744373431</v>
      </c>
      <c r="E1728" s="3" t="n">
        <v>2</v>
      </c>
      <c r="F1728" s="2" t="n">
        <v>2</v>
      </c>
      <c r="G1728" s="4" t="n">
        <v>3</v>
      </c>
      <c r="H1728" s="13" t="n"/>
      <c r="I1728" s="15" t="n"/>
      <c r="J1728" s="19" t="n">
        <v>2</v>
      </c>
      <c r="K1728" s="2" t="inlineStr">
        <is>
          <t>marker_338_529936.png</t>
        </is>
      </c>
      <c r="L1728" s="11">
        <f>HYPERLINK("2\1\" &amp; K1728, "Ver Imagen")</f>
        <v/>
      </c>
      <c r="M1728" t="inlineStr">
        <is>
          <t>Moda</t>
        </is>
      </c>
    </row>
    <row r="1729">
      <c r="A1729" t="n">
        <v>1728</v>
      </c>
      <c r="B1729" t="inlineStr">
        <is>
          <t>A-499__32</t>
        </is>
      </c>
      <c r="C1729" s="1" t="n">
        <v>37.492823373</v>
      </c>
      <c r="D1729" s="1" t="n">
        <v>-7.27736824202</v>
      </c>
      <c r="E1729" s="3" t="n">
        <v>2</v>
      </c>
      <c r="F1729" s="2" t="n">
        <v>2</v>
      </c>
      <c r="G1729" s="4" t="n">
        <v>3</v>
      </c>
      <c r="H1729" s="13" t="n"/>
      <c r="I1729" s="15" t="n"/>
      <c r="J1729" s="19" t="n">
        <v>2</v>
      </c>
      <c r="K1729" s="2" t="inlineStr">
        <is>
          <t>marker_520_529946.png</t>
        </is>
      </c>
      <c r="L1729" s="11">
        <f>HYPERLINK("2\1\" &amp; K1729, "Ver Imagen")</f>
        <v/>
      </c>
      <c r="M1729" t="inlineStr">
        <is>
          <t>Moda</t>
        </is>
      </c>
    </row>
    <row r="1730">
      <c r="A1730" t="n">
        <v>1729</v>
      </c>
      <c r="B1730" t="inlineStr">
        <is>
          <t>A-499__44</t>
        </is>
      </c>
      <c r="C1730" s="1" t="n">
        <v>37.495168009</v>
      </c>
      <c r="D1730" s="1" t="n">
        <v>-7.27656937791</v>
      </c>
      <c r="E1730" s="3" t="n">
        <v>3</v>
      </c>
      <c r="F1730" s="2" t="n">
        <v>2</v>
      </c>
      <c r="G1730" s="4" t="n">
        <v>2</v>
      </c>
      <c r="H1730" s="13" t="n"/>
      <c r="I1730" s="15" t="n"/>
      <c r="J1730" s="19" t="n">
        <v>2</v>
      </c>
      <c r="K1730" s="2" t="inlineStr">
        <is>
          <t>marker_753_534801.png</t>
        </is>
      </c>
      <c r="L1730" s="11">
        <f>HYPERLINK("2\1\" &amp; K1730, "Ver Imagen")</f>
        <v/>
      </c>
      <c r="M1730" t="inlineStr">
        <is>
          <t>Moda</t>
        </is>
      </c>
    </row>
    <row r="1731">
      <c r="A1731" t="n">
        <v>1730</v>
      </c>
      <c r="B1731" t="inlineStr">
        <is>
          <t>A-499__47</t>
        </is>
      </c>
      <c r="C1731" s="1" t="n">
        <v>37.495536257</v>
      </c>
      <c r="D1731" s="1" t="n">
        <v>-7.27603525411</v>
      </c>
      <c r="E1731" s="3" t="n">
        <v>3</v>
      </c>
      <c r="F1731" s="2" t="n">
        <v>2</v>
      </c>
      <c r="G1731" s="4" t="n">
        <v>2</v>
      </c>
      <c r="H1731" s="13" t="n"/>
      <c r="I1731" s="15" t="n"/>
      <c r="J1731" s="19" t="n">
        <v>2</v>
      </c>
      <c r="K1731" s="2" t="inlineStr">
        <is>
          <t>marker_463_534834.png</t>
        </is>
      </c>
      <c r="L1731" s="11">
        <f>HYPERLINK("2\1\" &amp; K1731, "Ver Imagen")</f>
        <v/>
      </c>
      <c r="M1731" t="inlineStr">
        <is>
          <t>Moda</t>
        </is>
      </c>
    </row>
    <row r="1732">
      <c r="A1732" t="n">
        <v>1731</v>
      </c>
      <c r="B1732" t="inlineStr">
        <is>
          <t>A-499__53</t>
        </is>
      </c>
      <c r="C1732" s="1" t="n">
        <v>37.4957147779</v>
      </c>
      <c r="D1732" s="1" t="n">
        <v>-7.27452661377</v>
      </c>
      <c r="E1732" s="3" t="n">
        <v>2</v>
      </c>
      <c r="F1732" s="2" t="n">
        <v>2</v>
      </c>
      <c r="G1732" s="4" t="n">
        <v>3</v>
      </c>
      <c r="H1732" s="13" t="n"/>
      <c r="I1732" s="15" t="n"/>
      <c r="J1732" s="19" t="n">
        <v>2</v>
      </c>
      <c r="K1732" s="2" t="inlineStr">
        <is>
          <t>marker_560_534925.png</t>
        </is>
      </c>
      <c r="L1732" s="11">
        <f>HYPERLINK("2\1\" &amp; K1732, "Ver Imagen")</f>
        <v/>
      </c>
      <c r="M1732" t="inlineStr">
        <is>
          <t>Moda</t>
        </is>
      </c>
    </row>
    <row r="1733">
      <c r="A1733" t="n">
        <v>1732</v>
      </c>
      <c r="B1733" t="inlineStr">
        <is>
          <t>A-499__117</t>
        </is>
      </c>
      <c r="C1733" s="1" t="n">
        <v>37.5021227753</v>
      </c>
      <c r="D1733" s="1" t="n">
        <v>-7.26637475198</v>
      </c>
      <c r="E1733" s="3" t="n">
        <v>2</v>
      </c>
      <c r="F1733" s="2" t="n">
        <v>2</v>
      </c>
      <c r="G1733" s="4" t="n">
        <v>3</v>
      </c>
      <c r="H1733" s="13" t="n"/>
      <c r="I1733" s="15" t="n"/>
      <c r="J1733" s="19" t="n">
        <v>2</v>
      </c>
      <c r="K1733" s="2" t="inlineStr">
        <is>
          <t>marker_393_793542.png</t>
        </is>
      </c>
      <c r="L1733" s="11">
        <f>HYPERLINK("2\1\" &amp; K1733, "Ver Imagen")</f>
        <v/>
      </c>
      <c r="M1733" t="inlineStr">
        <is>
          <t>Moda</t>
        </is>
      </c>
    </row>
    <row r="1734">
      <c r="A1734" t="n">
        <v>1733</v>
      </c>
      <c r="B1734" t="inlineStr">
        <is>
          <t>A-497_2C__127</t>
        </is>
      </c>
      <c r="C1734" s="1" t="n">
        <v>37.2714018412</v>
      </c>
      <c r="D1734" s="1" t="n">
        <v>-6.98832023595</v>
      </c>
      <c r="E1734" s="3" t="n">
        <v>3</v>
      </c>
      <c r="F1734" s="2" t="n">
        <v>2</v>
      </c>
      <c r="G1734" s="4" t="n">
        <v>2</v>
      </c>
      <c r="H1734" s="13" t="n"/>
      <c r="I1734" s="15" t="n"/>
      <c r="J1734" s="19" t="n">
        <v>2</v>
      </c>
      <c r="K1734" s="2" t="inlineStr">
        <is>
          <t>marker_715_655741.png</t>
        </is>
      </c>
      <c r="L1734" s="11">
        <f>HYPERLINK("2\1\" &amp; K1734, "Ver Imagen")</f>
        <v/>
      </c>
      <c r="M1734" t="inlineStr">
        <is>
          <t>Moda</t>
        </is>
      </c>
    </row>
    <row r="1735">
      <c r="A1735" t="n">
        <v>1734</v>
      </c>
      <c r="B1735" t="inlineStr">
        <is>
          <t>A-497_2C__144</t>
        </is>
      </c>
      <c r="C1735" s="1" t="n">
        <v>37.2685550787</v>
      </c>
      <c r="D1735" s="1" t="n">
        <v>-6.99066287621</v>
      </c>
      <c r="E1735" s="3" t="n">
        <v>2</v>
      </c>
      <c r="F1735" s="2" t="n">
        <v>2</v>
      </c>
      <c r="G1735" s="4" t="n">
        <v>3</v>
      </c>
      <c r="H1735" s="13" t="n"/>
      <c r="I1735" s="15" t="n"/>
      <c r="J1735" s="19" t="n">
        <v>2</v>
      </c>
      <c r="K1735" s="2" t="inlineStr">
        <is>
          <t>marker_236_655906.png</t>
        </is>
      </c>
      <c r="L1735" s="11">
        <f>HYPERLINK("2\1\" &amp; K1735, "Ver Imagen")</f>
        <v/>
      </c>
      <c r="M1735" t="inlineStr">
        <is>
          <t>Moda</t>
        </is>
      </c>
    </row>
    <row r="1736">
      <c r="A1736" t="n">
        <v>1735</v>
      </c>
      <c r="B1736" t="inlineStr">
        <is>
          <t>A-497_2C__218</t>
        </is>
      </c>
      <c r="C1736" s="1" t="n">
        <v>37.2634258616</v>
      </c>
      <c r="D1736" s="1" t="n">
        <v>-7.00758061765</v>
      </c>
      <c r="E1736" s="3" t="n">
        <v>2</v>
      </c>
      <c r="F1736" s="2" t="n">
        <v>2</v>
      </c>
      <c r="G1736" s="4" t="n">
        <v>3</v>
      </c>
      <c r="H1736" s="13" t="n"/>
      <c r="I1736" s="15" t="n"/>
      <c r="J1736" s="19" t="n">
        <v>2</v>
      </c>
      <c r="K1736" s="2" t="inlineStr">
        <is>
          <t>marker_626_656735.png</t>
        </is>
      </c>
      <c r="L1736" s="11">
        <f>HYPERLINK("2\1\" &amp; K1736, "Ver Imagen")</f>
        <v/>
      </c>
      <c r="M1736" t="inlineStr">
        <is>
          <t>Moda</t>
        </is>
      </c>
    </row>
    <row r="1737">
      <c r="A1737" t="n">
        <v>1736</v>
      </c>
      <c r="B1737" t="inlineStr">
        <is>
          <t>A-497__652</t>
        </is>
      </c>
      <c r="C1737" s="1" t="n">
        <v>37.2009137797</v>
      </c>
      <c r="D1737" s="1" t="n">
        <v>-6.98975988812</v>
      </c>
      <c r="E1737" s="3" t="n">
        <v>2</v>
      </c>
      <c r="F1737" s="2" t="n">
        <v>2</v>
      </c>
      <c r="G1737" s="4" t="n">
        <v>3</v>
      </c>
      <c r="H1737" s="13" t="n"/>
      <c r="I1737" s="15" t="n"/>
      <c r="J1737" s="19" t="n">
        <v>2</v>
      </c>
      <c r="K1737" s="2" t="inlineStr">
        <is>
          <t>marker_810_371218.png</t>
        </is>
      </c>
      <c r="L1737" s="11">
        <f>HYPERLINK("2\1\" &amp; K1737, "Ver Imagen")</f>
        <v/>
      </c>
      <c r="M1737" t="inlineStr">
        <is>
          <t>Moda</t>
        </is>
      </c>
    </row>
    <row r="1738">
      <c r="A1738" t="n">
        <v>1737</v>
      </c>
      <c r="B1738" t="inlineStr">
        <is>
          <t>A-497_2C__298</t>
        </is>
      </c>
      <c r="C1738" s="1" t="n">
        <v>37.2499048051</v>
      </c>
      <c r="D1738" s="1" t="n">
        <v>-7.01805764192</v>
      </c>
      <c r="E1738" s="3" t="n">
        <v>2</v>
      </c>
      <c r="F1738" s="2" t="n">
        <v>2</v>
      </c>
      <c r="G1738" s="4" t="n">
        <v>3</v>
      </c>
      <c r="H1738" s="13" t="n"/>
      <c r="I1738" s="15" t="n"/>
      <c r="J1738" s="19" t="n">
        <v>2</v>
      </c>
      <c r="K1738" s="2" t="inlineStr">
        <is>
          <t>marker_298_320151.png</t>
        </is>
      </c>
      <c r="L1738" s="11">
        <f>HYPERLINK("2\1\" &amp; K1738, "Ver Imagen")</f>
        <v/>
      </c>
      <c r="M1738" t="inlineStr">
        <is>
          <t>Moda</t>
        </is>
      </c>
    </row>
    <row r="1739">
      <c r="A1739" t="n">
        <v>1738</v>
      </c>
      <c r="B1739" t="inlineStr">
        <is>
          <t>A-497__543</t>
        </is>
      </c>
      <c r="C1739" s="1" t="n">
        <v>37.2052417011</v>
      </c>
      <c r="D1739" s="1" t="n">
        <v>-7.01675545444</v>
      </c>
      <c r="E1739" s="3" t="n">
        <v>3</v>
      </c>
      <c r="F1739" s="2" t="n">
        <v>2</v>
      </c>
      <c r="G1739" s="4" t="n">
        <v>2</v>
      </c>
      <c r="H1739" s="13" t="n"/>
      <c r="I1739" s="15" t="n"/>
      <c r="J1739" s="19" t="n">
        <v>2</v>
      </c>
      <c r="K1739" s="2" t="inlineStr">
        <is>
          <t>marker_667_372349.png</t>
        </is>
      </c>
      <c r="L1739" s="11">
        <f>HYPERLINK("2\1\" &amp; K1739, "Ver Imagen")</f>
        <v/>
      </c>
      <c r="M1739" t="inlineStr">
        <is>
          <t>Moda</t>
        </is>
      </c>
    </row>
    <row r="1740">
      <c r="A1740" t="n">
        <v>1739</v>
      </c>
      <c r="B1740" t="inlineStr">
        <is>
          <t>A-497_2C__359</t>
        </is>
      </c>
      <c r="C1740" s="1" t="n">
        <v>37.2375870325</v>
      </c>
      <c r="D1740" s="1" t="n">
        <v>-7.01875637783</v>
      </c>
      <c r="E1740" s="3" t="n">
        <v>2</v>
      </c>
      <c r="F1740" s="2" t="n">
        <v>2</v>
      </c>
      <c r="G1740" s="4" t="n">
        <v>3</v>
      </c>
      <c r="H1740" s="13" t="n"/>
      <c r="I1740" s="15" t="n"/>
      <c r="J1740" s="19" t="n">
        <v>2</v>
      </c>
      <c r="K1740" s="2" t="inlineStr">
        <is>
          <t>marker_881_362318.png</t>
        </is>
      </c>
      <c r="L1740" s="11">
        <f>HYPERLINK("2\1\" &amp; K1740, "Ver Imagen")</f>
        <v/>
      </c>
      <c r="M1740" t="inlineStr">
        <is>
          <t>Moda</t>
        </is>
      </c>
    </row>
    <row r="1741">
      <c r="A1741" t="n">
        <v>1740</v>
      </c>
      <c r="B1741" t="inlineStr">
        <is>
          <t>A-497_2C__360</t>
        </is>
      </c>
      <c r="C1741" s="1" t="n">
        <v>37.2373875229</v>
      </c>
      <c r="D1741" s="1" t="n">
        <v>-7.01875078019</v>
      </c>
      <c r="E1741" s="3" t="n">
        <v>2</v>
      </c>
      <c r="F1741" s="2" t="n">
        <v>2</v>
      </c>
      <c r="G1741" s="4" t="n">
        <v>3</v>
      </c>
      <c r="H1741" s="13" t="n"/>
      <c r="I1741" s="15" t="n"/>
      <c r="J1741" s="19" t="n">
        <v>2</v>
      </c>
      <c r="K1741" s="2" t="inlineStr">
        <is>
          <t>marker_155_362327.png</t>
        </is>
      </c>
      <c r="L1741" s="11">
        <f>HYPERLINK("2\1\" &amp; K1741, "Ver Imagen")</f>
        <v/>
      </c>
      <c r="M1741" t="inlineStr">
        <is>
          <t>Moda</t>
        </is>
      </c>
    </row>
    <row r="1742">
      <c r="A1742" t="n">
        <v>1741</v>
      </c>
      <c r="B1742" t="inlineStr">
        <is>
          <t>A-497_2C__374</t>
        </is>
      </c>
      <c r="C1742" s="1" t="n">
        <v>37.2345783602</v>
      </c>
      <c r="D1742" s="1" t="n">
        <v>-7.01819963956</v>
      </c>
      <c r="E1742" s="3" t="n">
        <v>2</v>
      </c>
      <c r="F1742" s="2" t="n">
        <v>2</v>
      </c>
      <c r="G1742" s="4" t="n">
        <v>3</v>
      </c>
      <c r="H1742" s="13" t="n"/>
      <c r="I1742" s="15" t="n"/>
      <c r="J1742" s="19" t="n">
        <v>2</v>
      </c>
      <c r="K1742" s="2" t="inlineStr">
        <is>
          <t>marker_578_362533.png</t>
        </is>
      </c>
      <c r="L1742" s="11">
        <f>HYPERLINK("2\1\" &amp; K1742, "Ver Imagen")</f>
        <v/>
      </c>
      <c r="M1742" t="inlineStr">
        <is>
          <t>Moda</t>
        </is>
      </c>
    </row>
    <row r="1743">
      <c r="A1743" t="n">
        <v>1742</v>
      </c>
      <c r="B1743" t="inlineStr">
        <is>
          <t>A-497_2C__381</t>
        </is>
      </c>
      <c r="C1743" s="1" t="n">
        <v>37.2331673355</v>
      </c>
      <c r="D1743" s="1" t="n">
        <v>-7.01831692461</v>
      </c>
      <c r="E1743" s="3" t="n">
        <v>2</v>
      </c>
      <c r="F1743" s="2" t="n">
        <v>2</v>
      </c>
      <c r="G1743" s="4" t="n">
        <v>3</v>
      </c>
      <c r="H1743" s="13" t="n"/>
      <c r="I1743" s="15" t="n"/>
      <c r="J1743" s="19" t="n">
        <v>2</v>
      </c>
      <c r="K1743" s="2" t="inlineStr">
        <is>
          <t>marker_394_362713.png</t>
        </is>
      </c>
      <c r="L1743" s="11">
        <f>HYPERLINK("2\1\" &amp; K1743, "Ver Imagen")</f>
        <v/>
      </c>
      <c r="M1743" t="inlineStr">
        <is>
          <t>Moda</t>
        </is>
      </c>
    </row>
    <row r="1744">
      <c r="A1744" t="n">
        <v>1743</v>
      </c>
      <c r="B1744" t="inlineStr">
        <is>
          <t>A-497_2C__404</t>
        </is>
      </c>
      <c r="C1744" s="1" t="n">
        <v>37.2290790376</v>
      </c>
      <c r="D1744" s="1" t="n">
        <v>-7.02116180872</v>
      </c>
      <c r="E1744" s="3" t="n">
        <v>3</v>
      </c>
      <c r="F1744" s="2" t="n">
        <v>2</v>
      </c>
      <c r="G1744" s="4" t="n">
        <v>2</v>
      </c>
      <c r="H1744" s="13" t="n"/>
      <c r="I1744" s="15" t="n"/>
      <c r="J1744" s="19" t="n">
        <v>2</v>
      </c>
      <c r="K1744" s="2" t="inlineStr">
        <is>
          <t>marker_515_362951.png</t>
        </is>
      </c>
      <c r="L1744" s="11">
        <f>HYPERLINK("2\1\" &amp; K1744, "Ver Imagen")</f>
        <v/>
      </c>
      <c r="M1744" t="inlineStr">
        <is>
          <t>Moda</t>
        </is>
      </c>
    </row>
    <row r="1745">
      <c r="A1745" t="n">
        <v>1744</v>
      </c>
      <c r="B1745" t="inlineStr">
        <is>
          <t>A-497_2C__408</t>
        </is>
      </c>
      <c r="C1745" s="1" t="n">
        <v>37.2283931579</v>
      </c>
      <c r="D1745" s="1" t="n">
        <v>-7.02168013079</v>
      </c>
      <c r="E1745" s="3" t="n">
        <v>3</v>
      </c>
      <c r="F1745" s="2" t="n">
        <v>2</v>
      </c>
      <c r="G1745" s="4" t="n">
        <v>2</v>
      </c>
      <c r="H1745" s="13" t="n"/>
      <c r="I1745" s="15" t="n"/>
      <c r="J1745" s="19" t="n">
        <v>2</v>
      </c>
      <c r="K1745" s="2" t="inlineStr">
        <is>
          <t>marker_425_362990.png</t>
        </is>
      </c>
      <c r="L1745" s="11">
        <f>HYPERLINK("2\1\" &amp; K1745, "Ver Imagen")</f>
        <v/>
      </c>
      <c r="M1745" t="inlineStr">
        <is>
          <t>Moda</t>
        </is>
      </c>
    </row>
    <row r="1746">
      <c r="A1746" t="n">
        <v>1745</v>
      </c>
      <c r="B1746" t="inlineStr">
        <is>
          <t>A-497_2C__409</t>
        </is>
      </c>
      <c r="C1746" s="1" t="n">
        <v>37.2282047622</v>
      </c>
      <c r="D1746" s="1" t="n">
        <v>-7.02182401093</v>
      </c>
      <c r="E1746" s="3" t="n">
        <v>3</v>
      </c>
      <c r="F1746" s="2" t="n">
        <v>2</v>
      </c>
      <c r="G1746" s="4" t="n">
        <v>2</v>
      </c>
      <c r="H1746" s="13" t="n"/>
      <c r="I1746" s="15" t="n"/>
      <c r="J1746" s="19" t="n">
        <v>2</v>
      </c>
      <c r="K1746" s="2" t="inlineStr">
        <is>
          <t>marker_478_362998.png</t>
        </is>
      </c>
      <c r="L1746" s="11">
        <f>HYPERLINK("2\1\" &amp; K1746, "Ver Imagen")</f>
        <v/>
      </c>
      <c r="M1746" t="inlineStr">
        <is>
          <t>Moda</t>
        </is>
      </c>
    </row>
    <row r="1747">
      <c r="A1747" t="n">
        <v>1746</v>
      </c>
      <c r="B1747" t="inlineStr">
        <is>
          <t>A-497_2C__413</t>
        </is>
      </c>
      <c r="C1747" s="1" t="n">
        <v>37.2275749489</v>
      </c>
      <c r="D1747" s="1" t="n">
        <v>-7.02230458828</v>
      </c>
      <c r="E1747" s="3" t="n">
        <v>3</v>
      </c>
      <c r="F1747" s="2" t="n">
        <v>2</v>
      </c>
      <c r="G1747" s="4" t="n">
        <v>2</v>
      </c>
      <c r="H1747" s="13" t="n"/>
      <c r="I1747" s="15" t="n"/>
      <c r="J1747" s="19" t="n">
        <v>2</v>
      </c>
      <c r="K1747" s="2" t="inlineStr">
        <is>
          <t>marker_753_363045.png</t>
        </is>
      </c>
      <c r="L1747" s="11">
        <f>HYPERLINK("2\1\" &amp; K1747, "Ver Imagen")</f>
        <v/>
      </c>
      <c r="M1747" t="inlineStr">
        <is>
          <t>Moda</t>
        </is>
      </c>
    </row>
    <row r="1748">
      <c r="A1748" t="n">
        <v>1747</v>
      </c>
      <c r="B1748" t="inlineStr">
        <is>
          <t>A-497__479</t>
        </is>
      </c>
      <c r="C1748" s="1" t="n">
        <v>37.2153599228</v>
      </c>
      <c r="D1748" s="1" t="n">
        <v>-7.02334591071</v>
      </c>
      <c r="E1748" s="3" t="n">
        <v>2</v>
      </c>
      <c r="F1748" s="2" t="n">
        <v>2</v>
      </c>
      <c r="G1748" s="4" t="n">
        <v>3</v>
      </c>
      <c r="H1748" s="13" t="n"/>
      <c r="I1748" s="15" t="n"/>
      <c r="J1748" s="19" t="n">
        <v>2</v>
      </c>
      <c r="K1748" s="2" t="inlineStr">
        <is>
          <t>marker_139_376319.png</t>
        </is>
      </c>
      <c r="L1748" s="11">
        <f>HYPERLINK("2\1\" &amp; K1748, "Ver Imagen")</f>
        <v/>
      </c>
      <c r="M1748" t="inlineStr">
        <is>
          <t>Moda</t>
        </is>
      </c>
    </row>
    <row r="1749">
      <c r="A1749" t="n">
        <v>1748</v>
      </c>
      <c r="B1749" t="inlineStr">
        <is>
          <t>A-497__478</t>
        </is>
      </c>
      <c r="C1749" s="1" t="n">
        <v>37.2155796521</v>
      </c>
      <c r="D1749" s="1" t="n">
        <v>-7.02330660159</v>
      </c>
      <c r="E1749" s="3" t="n">
        <v>2</v>
      </c>
      <c r="F1749" s="2" t="n">
        <v>2</v>
      </c>
      <c r="G1749" s="4" t="n">
        <v>3</v>
      </c>
      <c r="H1749" s="13" t="n"/>
      <c r="I1749" s="15" t="n"/>
      <c r="J1749" s="19" t="n">
        <v>2</v>
      </c>
      <c r="K1749" s="2" t="inlineStr">
        <is>
          <t>marker_605_376330.png</t>
        </is>
      </c>
      <c r="L1749" s="11">
        <f>HYPERLINK("2\1\" &amp; K1749, "Ver Imagen")</f>
        <v/>
      </c>
      <c r="M1749" t="inlineStr">
        <is>
          <t>Moda</t>
        </is>
      </c>
    </row>
    <row r="1750">
      <c r="A1750" t="n">
        <v>1749</v>
      </c>
      <c r="B1750" t="inlineStr">
        <is>
          <t>A-497__476</t>
        </is>
      </c>
      <c r="C1750" s="1" t="n">
        <v>37.2159493317</v>
      </c>
      <c r="D1750" s="1" t="n">
        <v>-7.02323950359</v>
      </c>
      <c r="E1750" s="3" t="n">
        <v>3</v>
      </c>
      <c r="F1750" s="2" t="n">
        <v>2</v>
      </c>
      <c r="G1750" s="4" t="n">
        <v>2</v>
      </c>
      <c r="H1750" s="13" t="n"/>
      <c r="I1750" s="15" t="n"/>
      <c r="J1750" s="19" t="n">
        <v>2</v>
      </c>
      <c r="K1750" s="2" t="inlineStr">
        <is>
          <t>marker_345_376362.png</t>
        </is>
      </c>
      <c r="L1750" s="11">
        <f>HYPERLINK("2\1\" &amp; K1750, "Ver Imagen")</f>
        <v/>
      </c>
      <c r="M1750" t="inlineStr">
        <is>
          <t>Moda</t>
        </is>
      </c>
    </row>
    <row r="1751">
      <c r="A1751" t="n">
        <v>1750</v>
      </c>
      <c r="B1751" t="inlineStr">
        <is>
          <t>A-497__475</t>
        </is>
      </c>
      <c r="C1751" s="1" t="n">
        <v>37.21617353</v>
      </c>
      <c r="D1751" s="1" t="n">
        <v>-7.02319912541</v>
      </c>
      <c r="E1751" s="3" t="n">
        <v>3</v>
      </c>
      <c r="F1751" s="2" t="n">
        <v>2</v>
      </c>
      <c r="G1751" s="4" t="n">
        <v>2</v>
      </c>
      <c r="H1751" s="13" t="n"/>
      <c r="I1751" s="15" t="n"/>
      <c r="J1751" s="19" t="n">
        <v>2</v>
      </c>
      <c r="K1751" s="2" t="inlineStr">
        <is>
          <t>marker_467_376372.png</t>
        </is>
      </c>
      <c r="L1751" s="11">
        <f>HYPERLINK("2\1\" &amp; K1751, "Ver Imagen")</f>
        <v/>
      </c>
      <c r="M1751" t="inlineStr">
        <is>
          <t>Moda</t>
        </is>
      </c>
    </row>
    <row r="1752">
      <c r="A1752" t="n">
        <v>1751</v>
      </c>
      <c r="B1752" t="inlineStr">
        <is>
          <t>A-497__452</t>
        </is>
      </c>
      <c r="C1752" s="1" t="n">
        <v>37.2207949339</v>
      </c>
      <c r="D1752" s="1" t="n">
        <v>-7.02284861638</v>
      </c>
      <c r="E1752" s="3" t="n">
        <v>2</v>
      </c>
      <c r="F1752" s="2" t="n">
        <v>2</v>
      </c>
      <c r="G1752" s="4" t="n">
        <v>3</v>
      </c>
      <c r="H1752" s="13" t="n"/>
      <c r="I1752" s="15" t="n"/>
      <c r="J1752" s="19" t="n">
        <v>2</v>
      </c>
      <c r="K1752" s="2" t="inlineStr">
        <is>
          <t>marker_448_376666.png</t>
        </is>
      </c>
      <c r="L1752" s="11">
        <f>HYPERLINK("2\1\" &amp; K1752, "Ver Imagen")</f>
        <v/>
      </c>
      <c r="M1752" t="inlineStr">
        <is>
          <t>Moda</t>
        </is>
      </c>
    </row>
    <row r="1753">
      <c r="A1753" t="n">
        <v>1752</v>
      </c>
      <c r="B1753" t="inlineStr">
        <is>
          <t>A-497_2C__520</t>
        </is>
      </c>
      <c r="C1753" s="1" t="n">
        <v>37.206779394</v>
      </c>
      <c r="D1753" s="1" t="n">
        <v>-7.02110686371</v>
      </c>
      <c r="E1753" s="3" t="n">
        <v>2</v>
      </c>
      <c r="F1753" s="2" t="n">
        <v>2</v>
      </c>
      <c r="G1753" s="4" t="n">
        <v>3</v>
      </c>
      <c r="H1753" s="13" t="n"/>
      <c r="I1753" s="15" t="n"/>
      <c r="J1753" s="19" t="n">
        <v>2</v>
      </c>
      <c r="K1753" s="2" t="inlineStr">
        <is>
          <t>marker_730_364276.png</t>
        </is>
      </c>
      <c r="L1753" s="11">
        <f>HYPERLINK("2\1\" &amp; K1753, "Ver Imagen")</f>
        <v/>
      </c>
      <c r="M1753" t="inlineStr">
        <is>
          <t>Moda</t>
        </is>
      </c>
    </row>
    <row r="1754">
      <c r="A1754" t="n">
        <v>1753</v>
      </c>
      <c r="B1754" t="inlineStr">
        <is>
          <t>A-497_2C__523</t>
        </is>
      </c>
      <c r="C1754" s="1" t="n">
        <v>37.2064378099</v>
      </c>
      <c r="D1754" s="1" t="n">
        <v>-7.02055425311</v>
      </c>
      <c r="E1754" s="3" t="n">
        <v>2</v>
      </c>
      <c r="F1754" s="2" t="n">
        <v>2</v>
      </c>
      <c r="G1754" s="4" t="n">
        <v>3</v>
      </c>
      <c r="H1754" s="13" t="n"/>
      <c r="I1754" s="15" t="n"/>
      <c r="J1754" s="19" t="n">
        <v>2</v>
      </c>
      <c r="K1754" s="2" t="inlineStr">
        <is>
          <t>marker_260_364363.png</t>
        </is>
      </c>
      <c r="L1754" s="11">
        <f>HYPERLINK("2\1\" &amp; K1754, "Ver Imagen")</f>
        <v/>
      </c>
      <c r="M1754" t="inlineStr">
        <is>
          <t>Moda</t>
        </is>
      </c>
    </row>
    <row r="1755">
      <c r="A1755" t="n">
        <v>1754</v>
      </c>
      <c r="B1755" t="inlineStr">
        <is>
          <t>A-497_2C__524</t>
        </is>
      </c>
      <c r="C1755" s="1" t="n">
        <v>37.2063284213</v>
      </c>
      <c r="D1755" s="1" t="n">
        <v>-7.02035656278</v>
      </c>
      <c r="E1755" s="3" t="n">
        <v>2</v>
      </c>
      <c r="F1755" s="2" t="n">
        <v>2</v>
      </c>
      <c r="G1755" s="4" t="n">
        <v>3</v>
      </c>
      <c r="H1755" s="13" t="n"/>
      <c r="I1755" s="15" t="n"/>
      <c r="J1755" s="19" t="n">
        <v>2</v>
      </c>
      <c r="K1755" s="2" t="inlineStr">
        <is>
          <t>marker_720_364380.png</t>
        </is>
      </c>
      <c r="L1755" s="11">
        <f>HYPERLINK("2\1\" &amp; K1755, "Ver Imagen")</f>
        <v/>
      </c>
      <c r="M1755" t="inlineStr">
        <is>
          <t>Moda</t>
        </is>
      </c>
    </row>
    <row r="1756">
      <c r="A1756" t="n">
        <v>1755</v>
      </c>
      <c r="B1756" t="inlineStr">
        <is>
          <t>A-497_2C__530</t>
        </is>
      </c>
      <c r="C1756" s="1" t="n">
        <v>37.2057304518</v>
      </c>
      <c r="D1756" s="1" t="n">
        <v>-7.0189952039</v>
      </c>
      <c r="E1756" s="3" t="n">
        <v>2</v>
      </c>
      <c r="F1756" s="2" t="n">
        <v>2</v>
      </c>
      <c r="G1756" s="4" t="n">
        <v>3</v>
      </c>
      <c r="H1756" s="13" t="n"/>
      <c r="I1756" s="15" t="n"/>
      <c r="J1756" s="19" t="n">
        <v>2</v>
      </c>
      <c r="K1756" s="2" t="inlineStr">
        <is>
          <t>marker_819_364435.png</t>
        </is>
      </c>
      <c r="L1756" s="11">
        <f>HYPERLINK("2\1\" &amp; K1756, "Ver Imagen")</f>
        <v/>
      </c>
      <c r="M1756" t="inlineStr">
        <is>
          <t>Moda</t>
        </is>
      </c>
    </row>
    <row r="1757">
      <c r="A1757" t="n">
        <v>1756</v>
      </c>
      <c r="B1757" t="inlineStr">
        <is>
          <t>A-497_2C__538</t>
        </is>
      </c>
      <c r="C1757" s="1" t="n">
        <v>37.2051750055</v>
      </c>
      <c r="D1757" s="1" t="n">
        <v>-7.0171147527</v>
      </c>
      <c r="E1757" s="3" t="n">
        <v>3</v>
      </c>
      <c r="F1757" s="2" t="n">
        <v>2</v>
      </c>
      <c r="G1757" s="4" t="n">
        <v>2</v>
      </c>
      <c r="H1757" s="13" t="n"/>
      <c r="I1757" s="15" t="n"/>
      <c r="J1757" s="19" t="n">
        <v>2</v>
      </c>
      <c r="K1757" s="2" t="inlineStr">
        <is>
          <t>marker_525_364520.png</t>
        </is>
      </c>
      <c r="L1757" s="11">
        <f>HYPERLINK("2\1\" &amp; K1757, "Ver Imagen")</f>
        <v/>
      </c>
      <c r="M1757" t="inlineStr">
        <is>
          <t>Moda</t>
        </is>
      </c>
    </row>
    <row r="1758">
      <c r="A1758" t="n">
        <v>1757</v>
      </c>
      <c r="B1758" t="inlineStr">
        <is>
          <t>A-497_2C__557</t>
        </is>
      </c>
      <c r="C1758" s="1" t="n">
        <v>37.2042517611</v>
      </c>
      <c r="D1758" s="1" t="n">
        <v>-7.01253973675</v>
      </c>
      <c r="E1758" s="3" t="n">
        <v>2</v>
      </c>
      <c r="F1758" s="2" t="n">
        <v>2</v>
      </c>
      <c r="G1758" s="4" t="n">
        <v>3</v>
      </c>
      <c r="H1758" s="13" t="n"/>
      <c r="I1758" s="15" t="n"/>
      <c r="J1758" s="19" t="n">
        <v>2</v>
      </c>
      <c r="K1758" s="2" t="inlineStr">
        <is>
          <t>marker_237_366347.png</t>
        </is>
      </c>
      <c r="L1758" s="11">
        <f>HYPERLINK("2\1\" &amp; K1758, "Ver Imagen")</f>
        <v/>
      </c>
      <c r="M1758" t="inlineStr">
        <is>
          <t>Moda</t>
        </is>
      </c>
    </row>
    <row r="1759">
      <c r="A1759" t="n">
        <v>1758</v>
      </c>
      <c r="B1759" t="inlineStr">
        <is>
          <t>A-497_2C__572</t>
        </is>
      </c>
      <c r="C1759" s="1" t="n">
        <v>37.2036250579</v>
      </c>
      <c r="D1759" s="1" t="n">
        <v>-7.0088194818</v>
      </c>
      <c r="E1759" s="3" t="n">
        <v>2</v>
      </c>
      <c r="F1759" s="2" t="n">
        <v>2</v>
      </c>
      <c r="G1759" s="4" t="n">
        <v>3</v>
      </c>
      <c r="H1759" s="13" t="n"/>
      <c r="I1759" s="15" t="n"/>
      <c r="J1759" s="19" t="n">
        <v>2</v>
      </c>
      <c r="K1759" s="2" t="inlineStr">
        <is>
          <t>marker_875_366503.png</t>
        </is>
      </c>
      <c r="L1759" s="11">
        <f>HYPERLINK("2\1\" &amp; K1759, "Ver Imagen")</f>
        <v/>
      </c>
      <c r="M1759" t="inlineStr">
        <is>
          <t>Moda</t>
        </is>
      </c>
    </row>
    <row r="1760">
      <c r="A1760" t="n">
        <v>1759</v>
      </c>
      <c r="B1760" t="inlineStr">
        <is>
          <t>A-497_2C__575</t>
        </is>
      </c>
      <c r="C1760" s="1" t="n">
        <v>37.2035201278</v>
      </c>
      <c r="D1760" s="1" t="n">
        <v>-7.00812108192</v>
      </c>
      <c r="E1760" s="3" t="n">
        <v>2</v>
      </c>
      <c r="F1760" s="2" t="n">
        <v>2</v>
      </c>
      <c r="G1760" s="4" t="n">
        <v>3</v>
      </c>
      <c r="H1760" s="13" t="n"/>
      <c r="I1760" s="15" t="n"/>
      <c r="J1760" s="19" t="n">
        <v>2</v>
      </c>
      <c r="K1760" s="2" t="inlineStr">
        <is>
          <t>marker_649_366529.png</t>
        </is>
      </c>
      <c r="L1760" s="11">
        <f>HYPERLINK("2\1\" &amp; K1760, "Ver Imagen")</f>
        <v/>
      </c>
      <c r="M1760" t="inlineStr">
        <is>
          <t>Moda</t>
        </is>
      </c>
    </row>
    <row r="1761">
      <c r="A1761" t="n">
        <v>1760</v>
      </c>
      <c r="B1761" t="inlineStr">
        <is>
          <t>A-497__415</t>
        </is>
      </c>
      <c r="C1761" s="1" t="n">
        <v>37.2280405405</v>
      </c>
      <c r="D1761" s="1" t="n">
        <v>-7.02174627722</v>
      </c>
      <c r="E1761" s="3" t="n">
        <v>3</v>
      </c>
      <c r="F1761" s="2" t="n">
        <v>2</v>
      </c>
      <c r="G1761" s="4" t="n">
        <v>2</v>
      </c>
      <c r="H1761" s="13" t="n"/>
      <c r="I1761" s="15" t="n"/>
      <c r="J1761" s="19" t="n">
        <v>2</v>
      </c>
      <c r="K1761" s="2" t="inlineStr">
        <is>
          <t>marker_497_377057.png</t>
        </is>
      </c>
      <c r="L1761" s="11">
        <f>HYPERLINK("2\1\" &amp; K1761, "Ver Imagen")</f>
        <v/>
      </c>
      <c r="M1761" t="inlineStr">
        <is>
          <t>Moda</t>
        </is>
      </c>
    </row>
    <row r="1762">
      <c r="A1762" t="n">
        <v>1761</v>
      </c>
      <c r="B1762" t="inlineStr">
        <is>
          <t>A-497__387</t>
        </is>
      </c>
      <c r="C1762" s="1" t="n">
        <v>37.2328762188</v>
      </c>
      <c r="D1762" s="1" t="n">
        <v>-7.01824158972</v>
      </c>
      <c r="E1762" s="3" t="n">
        <v>2</v>
      </c>
      <c r="F1762" s="2" t="n">
        <v>2</v>
      </c>
      <c r="G1762" s="4" t="n">
        <v>3</v>
      </c>
      <c r="H1762" s="13" t="n"/>
      <c r="I1762" s="15" t="n"/>
      <c r="J1762" s="19" t="n">
        <v>2</v>
      </c>
      <c r="K1762" s="2" t="inlineStr">
        <is>
          <t>marker_993_377310.png</t>
        </is>
      </c>
      <c r="L1762" s="11">
        <f>HYPERLINK("2\1\" &amp; K1762, "Ver Imagen")</f>
        <v/>
      </c>
      <c r="M1762" t="inlineStr">
        <is>
          <t>Moda</t>
        </is>
      </c>
    </row>
    <row r="1763">
      <c r="A1763" t="n">
        <v>1762</v>
      </c>
      <c r="B1763" t="inlineStr">
        <is>
          <t>A-497__376</t>
        </is>
      </c>
      <c r="C1763" s="1" t="n">
        <v>37.2351064273</v>
      </c>
      <c r="D1763" s="1" t="n">
        <v>-7.01813421303</v>
      </c>
      <c r="E1763" s="3" t="n">
        <v>2</v>
      </c>
      <c r="F1763" s="2" t="n">
        <v>2</v>
      </c>
      <c r="G1763" s="4" t="n">
        <v>3</v>
      </c>
      <c r="H1763" s="13" t="n"/>
      <c r="I1763" s="15" t="n"/>
      <c r="J1763" s="19" t="n">
        <v>2</v>
      </c>
      <c r="K1763" s="2" t="inlineStr">
        <is>
          <t>marker_898_377405.png</t>
        </is>
      </c>
      <c r="L1763" s="11">
        <f>HYPERLINK("2\1\" &amp; K1763, "Ver Imagen")</f>
        <v/>
      </c>
      <c r="M1763" t="inlineStr">
        <is>
          <t>Moda</t>
        </is>
      </c>
    </row>
    <row r="1764">
      <c r="A1764" t="n">
        <v>1763</v>
      </c>
      <c r="B1764" t="inlineStr">
        <is>
          <t>A-497__369</t>
        </is>
      </c>
      <c r="C1764" s="1" t="n">
        <v>37.2364940012</v>
      </c>
      <c r="D1764" s="1" t="n">
        <v>-7.01847512958</v>
      </c>
      <c r="E1764" s="3" t="n">
        <v>2</v>
      </c>
      <c r="F1764" s="2" t="n">
        <v>2</v>
      </c>
      <c r="G1764" s="4" t="n">
        <v>3</v>
      </c>
      <c r="H1764" s="13" t="n"/>
      <c r="I1764" s="15" t="n"/>
      <c r="J1764" s="19" t="n">
        <v>2</v>
      </c>
      <c r="K1764" s="2" t="inlineStr">
        <is>
          <t>marker_528_377467.png</t>
        </is>
      </c>
      <c r="L1764" s="11">
        <f>HYPERLINK("2\1\" &amp; K1764, "Ver Imagen")</f>
        <v/>
      </c>
      <c r="M1764" t="inlineStr">
        <is>
          <t>Moda</t>
        </is>
      </c>
    </row>
    <row r="1765">
      <c r="A1765" t="n">
        <v>1764</v>
      </c>
      <c r="B1765" t="inlineStr">
        <is>
          <t>A-497__368</t>
        </is>
      </c>
      <c r="C1765" s="1" t="n">
        <v>37.2367008085</v>
      </c>
      <c r="D1765" s="1" t="n">
        <v>-7.01850622024</v>
      </c>
      <c r="E1765" s="3" t="n">
        <v>2</v>
      </c>
      <c r="F1765" s="2" t="n">
        <v>2</v>
      </c>
      <c r="G1765" s="4" t="n">
        <v>3</v>
      </c>
      <c r="H1765" s="13" t="n"/>
      <c r="I1765" s="15" t="n"/>
      <c r="J1765" s="19" t="n">
        <v>2</v>
      </c>
      <c r="K1765" s="2" t="inlineStr">
        <is>
          <t>marker_228_377476.png</t>
        </is>
      </c>
      <c r="L1765" s="11">
        <f>HYPERLINK("2\1\" &amp; K1765, "Ver Imagen")</f>
        <v/>
      </c>
      <c r="M1765" t="inlineStr">
        <is>
          <t>Moda</t>
        </is>
      </c>
    </row>
    <row r="1766">
      <c r="A1766" t="n">
        <v>1765</v>
      </c>
      <c r="B1766" t="inlineStr">
        <is>
          <t>A-497__312</t>
        </is>
      </c>
      <c r="C1766" s="1" t="n">
        <v>37.2480395167</v>
      </c>
      <c r="D1766" s="1" t="n">
        <v>-7.0181822282</v>
      </c>
      <c r="E1766" s="3" t="n">
        <v>2</v>
      </c>
      <c r="F1766" s="2" t="n">
        <v>2</v>
      </c>
      <c r="G1766" s="4" t="n">
        <v>3</v>
      </c>
      <c r="H1766" s="13" t="n"/>
      <c r="I1766" s="15" t="n"/>
      <c r="J1766" s="19" t="n">
        <v>2</v>
      </c>
      <c r="K1766" s="2" t="inlineStr">
        <is>
          <t>marker_738_378051.png</t>
        </is>
      </c>
      <c r="L1766" s="11">
        <f>HYPERLINK("2\1\" &amp; K1766, "Ver Imagen")</f>
        <v/>
      </c>
      <c r="M1766" t="inlineStr">
        <is>
          <t>Moda</t>
        </is>
      </c>
    </row>
    <row r="1767">
      <c r="A1767" t="n">
        <v>1766</v>
      </c>
      <c r="B1767" t="inlineStr">
        <is>
          <t>A-497__285</t>
        </is>
      </c>
      <c r="C1767" s="1" t="n">
        <v>37.2530764656</v>
      </c>
      <c r="D1767" s="1" t="n">
        <v>-7.01592020379</v>
      </c>
      <c r="E1767" s="3" t="n">
        <v>2</v>
      </c>
      <c r="F1767" s="2" t="n">
        <v>2</v>
      </c>
      <c r="G1767" s="4" t="n">
        <v>3</v>
      </c>
      <c r="H1767" s="13" t="n"/>
      <c r="I1767" s="15" t="n"/>
      <c r="J1767" s="19" t="n">
        <v>2</v>
      </c>
      <c r="K1767" s="2" t="inlineStr">
        <is>
          <t>marker_901_378417.png</t>
        </is>
      </c>
      <c r="L1767" s="11">
        <f>HYPERLINK("2\1\" &amp; K1767, "Ver Imagen")</f>
        <v/>
      </c>
      <c r="M1767" t="inlineStr">
        <is>
          <t>Moda</t>
        </is>
      </c>
    </row>
    <row r="1768">
      <c r="A1768" t="n">
        <v>1767</v>
      </c>
      <c r="B1768" t="inlineStr">
        <is>
          <t>A-497__267</t>
        </is>
      </c>
      <c r="C1768" s="1" t="n">
        <v>37.2563404343</v>
      </c>
      <c r="D1768" s="1" t="n">
        <v>-7.01384139053</v>
      </c>
      <c r="E1768" s="3" t="n">
        <v>2</v>
      </c>
      <c r="F1768" s="2" t="n">
        <v>2</v>
      </c>
      <c r="G1768" s="4" t="n">
        <v>3</v>
      </c>
      <c r="H1768" s="13" t="n"/>
      <c r="I1768" s="15" t="n"/>
      <c r="J1768" s="19" t="n">
        <v>2</v>
      </c>
      <c r="K1768" s="2" t="inlineStr">
        <is>
          <t>marker_871_378609.png</t>
        </is>
      </c>
      <c r="L1768" s="11">
        <f>HYPERLINK("2\1\" &amp; K1768, "Ver Imagen")</f>
        <v/>
      </c>
      <c r="M1768" t="inlineStr">
        <is>
          <t>Moda</t>
        </is>
      </c>
    </row>
    <row r="1769">
      <c r="A1769" t="n">
        <v>1768</v>
      </c>
      <c r="B1769" t="inlineStr">
        <is>
          <t>A-497__261</t>
        </is>
      </c>
      <c r="C1769" s="1" t="n">
        <v>37.2574184168</v>
      </c>
      <c r="D1769" s="1" t="n">
        <v>-7.01315312885</v>
      </c>
      <c r="E1769" s="3" t="n">
        <v>2</v>
      </c>
      <c r="F1769" s="2" t="n">
        <v>2</v>
      </c>
      <c r="G1769" s="4" t="n">
        <v>3</v>
      </c>
      <c r="H1769" s="13" t="n"/>
      <c r="I1769" s="15" t="n"/>
      <c r="J1769" s="19" t="n">
        <v>2</v>
      </c>
      <c r="K1769" s="2" t="inlineStr">
        <is>
          <t>marker_319_378667.png</t>
        </is>
      </c>
      <c r="L1769" s="11">
        <f>HYPERLINK("2\1\" &amp; K1769, "Ver Imagen")</f>
        <v/>
      </c>
      <c r="M1769" t="inlineStr">
        <is>
          <t>Moda</t>
        </is>
      </c>
    </row>
    <row r="1770">
      <c r="A1770" t="n">
        <v>1769</v>
      </c>
      <c r="B1770" t="inlineStr">
        <is>
          <t>A-497__254</t>
        </is>
      </c>
      <c r="C1770" s="1" t="n">
        <v>37.2586777102</v>
      </c>
      <c r="D1770" s="1" t="n">
        <v>-7.01235200464</v>
      </c>
      <c r="E1770" s="3" t="n">
        <v>2</v>
      </c>
      <c r="F1770" s="2" t="n">
        <v>2</v>
      </c>
      <c r="G1770" s="4" t="n">
        <v>3</v>
      </c>
      <c r="H1770" s="13" t="n"/>
      <c r="I1770" s="15" t="n"/>
      <c r="J1770" s="19" t="n">
        <v>2</v>
      </c>
      <c r="K1770" s="2" t="inlineStr">
        <is>
          <t>marker_171_378743.png</t>
        </is>
      </c>
      <c r="L1770" s="11">
        <f>HYPERLINK("2\1\" &amp; K1770, "Ver Imagen")</f>
        <v/>
      </c>
      <c r="M1770" t="inlineStr">
        <is>
          <t>Moda</t>
        </is>
      </c>
    </row>
    <row r="1771">
      <c r="A1771" t="n">
        <v>1770</v>
      </c>
      <c r="B1771" t="inlineStr">
        <is>
          <t>A-497__252</t>
        </is>
      </c>
      <c r="C1771" s="1" t="n">
        <v>37.2590397507</v>
      </c>
      <c r="D1771" s="1" t="n">
        <v>-7.01212116728</v>
      </c>
      <c r="E1771" s="3" t="n">
        <v>2</v>
      </c>
      <c r="F1771" s="2" t="n">
        <v>2</v>
      </c>
      <c r="G1771" s="4" t="n">
        <v>3</v>
      </c>
      <c r="H1771" s="13" t="n"/>
      <c r="I1771" s="15" t="n"/>
      <c r="J1771" s="19" t="n">
        <v>2</v>
      </c>
      <c r="K1771" s="2" t="inlineStr">
        <is>
          <t>marker_532_378764.png</t>
        </is>
      </c>
      <c r="L1771" s="11">
        <f>HYPERLINK("2\1\" &amp; K1771, "Ver Imagen")</f>
        <v/>
      </c>
      <c r="M1771" t="inlineStr">
        <is>
          <t>Moda</t>
        </is>
      </c>
    </row>
    <row r="1772">
      <c r="A1772" t="n">
        <v>1771</v>
      </c>
      <c r="B1772" t="inlineStr">
        <is>
          <t>A-497__251</t>
        </is>
      </c>
      <c r="C1772" s="1" t="n">
        <v>37.2592161204</v>
      </c>
      <c r="D1772" s="1" t="n">
        <v>-7.01200775841</v>
      </c>
      <c r="E1772" s="3" t="n">
        <v>2</v>
      </c>
      <c r="F1772" s="2" t="n">
        <v>2</v>
      </c>
      <c r="G1772" s="4" t="n">
        <v>3</v>
      </c>
      <c r="H1772" s="13" t="n"/>
      <c r="I1772" s="15" t="n"/>
      <c r="J1772" s="19" t="n">
        <v>2</v>
      </c>
      <c r="K1772" s="2" t="inlineStr">
        <is>
          <t>marker_167_378773.png</t>
        </is>
      </c>
      <c r="L1772" s="11">
        <f>HYPERLINK("2\1\" &amp; K1772, "Ver Imagen")</f>
        <v/>
      </c>
      <c r="M1772" t="inlineStr">
        <is>
          <t>Moda</t>
        </is>
      </c>
    </row>
    <row r="1773">
      <c r="A1773" t="n">
        <v>1772</v>
      </c>
      <c r="B1773" t="inlineStr">
        <is>
          <t>A-497__250</t>
        </is>
      </c>
      <c r="C1773" s="1" t="n">
        <v>37.2593856449</v>
      </c>
      <c r="D1773" s="1" t="n">
        <v>-7.01189841237</v>
      </c>
      <c r="E1773" s="3" t="n">
        <v>2</v>
      </c>
      <c r="F1773" s="2" t="n">
        <v>2</v>
      </c>
      <c r="G1773" s="4" t="n">
        <v>3</v>
      </c>
      <c r="H1773" s="13" t="n"/>
      <c r="I1773" s="15" t="n"/>
      <c r="J1773" s="19" t="n">
        <v>2</v>
      </c>
      <c r="K1773" s="2" t="inlineStr">
        <is>
          <t>marker_468_378782.png</t>
        </is>
      </c>
      <c r="L1773" s="11">
        <f>HYPERLINK("2\1\" &amp; K1773, "Ver Imagen")</f>
        <v/>
      </c>
      <c r="M1773" t="inlineStr">
        <is>
          <t>Moda</t>
        </is>
      </c>
    </row>
    <row r="1774">
      <c r="A1774" t="n">
        <v>1773</v>
      </c>
      <c r="B1774" t="inlineStr">
        <is>
          <t>A-497__240</t>
        </is>
      </c>
      <c r="C1774" s="1" t="n">
        <v>37.2612121835</v>
      </c>
      <c r="D1774" s="1" t="n">
        <v>-7.01072388991</v>
      </c>
      <c r="E1774" s="3" t="n">
        <v>2</v>
      </c>
      <c r="F1774" s="2" t="n">
        <v>2</v>
      </c>
      <c r="G1774" s="4" t="n">
        <v>3</v>
      </c>
      <c r="H1774" s="13" t="n"/>
      <c r="I1774" s="15" t="n"/>
      <c r="J1774" s="19" t="n">
        <v>2</v>
      </c>
      <c r="K1774" s="2" t="inlineStr">
        <is>
          <t>marker_216_378918.png</t>
        </is>
      </c>
      <c r="L1774" s="11">
        <f>HYPERLINK("2\1\" &amp; K1774, "Ver Imagen")</f>
        <v/>
      </c>
      <c r="M1774" t="inlineStr">
        <is>
          <t>Moda</t>
        </is>
      </c>
    </row>
    <row r="1775">
      <c r="A1775" t="n">
        <v>1774</v>
      </c>
      <c r="B1775" t="inlineStr">
        <is>
          <t>A-497__237</t>
        </is>
      </c>
      <c r="C1775" s="1" t="n">
        <v>37.2617050644</v>
      </c>
      <c r="D1775" s="1" t="n">
        <v>-7.01033116088</v>
      </c>
      <c r="E1775" s="3" t="n">
        <v>2</v>
      </c>
      <c r="F1775" s="2" t="n">
        <v>2</v>
      </c>
      <c r="G1775" s="4" t="n">
        <v>3</v>
      </c>
      <c r="H1775" s="13" t="n"/>
      <c r="I1775" s="15" t="n"/>
      <c r="J1775" s="19" t="n">
        <v>2</v>
      </c>
      <c r="K1775" s="2" t="inlineStr">
        <is>
          <t>marker_672_378943.png</t>
        </is>
      </c>
      <c r="L1775" s="11">
        <f>HYPERLINK("2\1\" &amp; K1775, "Ver Imagen")</f>
        <v/>
      </c>
      <c r="M1775" t="inlineStr">
        <is>
          <t>Moda</t>
        </is>
      </c>
    </row>
    <row r="1776">
      <c r="A1776" t="n">
        <v>1775</v>
      </c>
      <c r="B1776" t="inlineStr">
        <is>
          <t>A-497__216</t>
        </is>
      </c>
      <c r="C1776" s="1" t="n">
        <v>37.2636539552</v>
      </c>
      <c r="D1776" s="1" t="n">
        <v>-7.00580963064</v>
      </c>
      <c r="E1776" s="3" t="n">
        <v>2</v>
      </c>
      <c r="F1776" s="2" t="n">
        <v>2</v>
      </c>
      <c r="G1776" s="4" t="n">
        <v>3</v>
      </c>
      <c r="H1776" s="13" t="n"/>
      <c r="I1776" s="15" t="n"/>
      <c r="J1776" s="19" t="n">
        <v>2</v>
      </c>
      <c r="K1776" s="2" t="inlineStr">
        <is>
          <t>marker_956_379193.png</t>
        </is>
      </c>
      <c r="L1776" s="11">
        <f>HYPERLINK("2\1\" &amp; K1776, "Ver Imagen")</f>
        <v/>
      </c>
      <c r="M1776" t="inlineStr">
        <is>
          <t>Moda</t>
        </is>
      </c>
    </row>
    <row r="1777">
      <c r="A1777" t="n">
        <v>1776</v>
      </c>
      <c r="B1777" t="inlineStr">
        <is>
          <t>A-497__215</t>
        </is>
      </c>
      <c r="C1777" s="1" t="n">
        <v>37.2636940206</v>
      </c>
      <c r="D1777" s="1" t="n">
        <v>-7.00558203683</v>
      </c>
      <c r="E1777" s="3" t="n">
        <v>2</v>
      </c>
      <c r="F1777" s="2" t="n">
        <v>2</v>
      </c>
      <c r="G1777" s="4" t="n">
        <v>3</v>
      </c>
      <c r="H1777" s="13" t="n"/>
      <c r="I1777" s="15" t="n"/>
      <c r="J1777" s="19" t="n">
        <v>2</v>
      </c>
      <c r="K1777" s="2" t="inlineStr">
        <is>
          <t>marker_724_379205.png</t>
        </is>
      </c>
      <c r="L1777" s="11">
        <f>HYPERLINK("2\1\" &amp; K1777, "Ver Imagen")</f>
        <v/>
      </c>
      <c r="M1777" t="inlineStr">
        <is>
          <t>Moda</t>
        </is>
      </c>
    </row>
    <row r="1778">
      <c r="A1778" t="n">
        <v>1777</v>
      </c>
      <c r="B1778" t="inlineStr">
        <is>
          <t>A-497__214</t>
        </is>
      </c>
      <c r="C1778" s="1" t="n">
        <v>37.2637392487</v>
      </c>
      <c r="D1778" s="1" t="n">
        <v>-7.00532577436</v>
      </c>
      <c r="E1778" s="3" t="n">
        <v>2</v>
      </c>
      <c r="F1778" s="2" t="n">
        <v>2</v>
      </c>
      <c r="G1778" s="4" t="n">
        <v>3</v>
      </c>
      <c r="H1778" s="13" t="n"/>
      <c r="I1778" s="15" t="n"/>
      <c r="J1778" s="19" t="n">
        <v>2</v>
      </c>
      <c r="K1778" s="2" t="inlineStr">
        <is>
          <t>marker_847_379215.png</t>
        </is>
      </c>
      <c r="L1778" s="11">
        <f>HYPERLINK("2\1\" &amp; K1778, "Ver Imagen")</f>
        <v/>
      </c>
      <c r="M1778" t="inlineStr">
        <is>
          <t>Moda</t>
        </is>
      </c>
    </row>
    <row r="1779">
      <c r="A1779" t="n">
        <v>1778</v>
      </c>
      <c r="B1779" t="inlineStr">
        <is>
          <t>A-497__213</t>
        </is>
      </c>
      <c r="C1779" s="1" t="n">
        <v>37.263783166</v>
      </c>
      <c r="D1779" s="1" t="n">
        <v>-7.00507894518</v>
      </c>
      <c r="E1779" s="3" t="n">
        <v>2</v>
      </c>
      <c r="F1779" s="2" t="n">
        <v>2</v>
      </c>
      <c r="G1779" s="4" t="n">
        <v>3</v>
      </c>
      <c r="H1779" s="13" t="n"/>
      <c r="I1779" s="15" t="n"/>
      <c r="J1779" s="19" t="n">
        <v>2</v>
      </c>
      <c r="K1779" s="2" t="inlineStr">
        <is>
          <t>marker_449_379226.png</t>
        </is>
      </c>
      <c r="L1779" s="11">
        <f>HYPERLINK("2\1\" &amp; K1779, "Ver Imagen")</f>
        <v/>
      </c>
      <c r="M1779" t="inlineStr">
        <is>
          <t>Moda</t>
        </is>
      </c>
    </row>
    <row r="1780">
      <c r="A1780" t="n">
        <v>1779</v>
      </c>
      <c r="B1780" t="inlineStr">
        <is>
          <t>A-497__211</t>
        </is>
      </c>
      <c r="C1780" s="1" t="n">
        <v>37.2638825369</v>
      </c>
      <c r="D1780" s="1" t="n">
        <v>-7.00453165793</v>
      </c>
      <c r="E1780" s="3" t="n">
        <v>2</v>
      </c>
      <c r="F1780" s="2" t="n">
        <v>2</v>
      </c>
      <c r="G1780" s="4" t="n">
        <v>3</v>
      </c>
      <c r="H1780" s="13" t="n"/>
      <c r="I1780" s="15" t="n"/>
      <c r="J1780" s="19" t="n">
        <v>2</v>
      </c>
      <c r="K1780" s="2" t="inlineStr">
        <is>
          <t>marker_357_379246.png</t>
        </is>
      </c>
      <c r="L1780" s="11">
        <f>HYPERLINK("2\1\" &amp; K1780, "Ver Imagen")</f>
        <v/>
      </c>
      <c r="M1780" t="inlineStr">
        <is>
          <t>Moda</t>
        </is>
      </c>
    </row>
    <row r="1781">
      <c r="A1781" t="n">
        <v>1780</v>
      </c>
      <c r="B1781" t="inlineStr">
        <is>
          <t>A-497__208</t>
        </is>
      </c>
      <c r="C1781" s="1" t="n">
        <v>37.2640070522</v>
      </c>
      <c r="D1781" s="1" t="n">
        <v>-7.00382252087</v>
      </c>
      <c r="E1781" s="3" t="n">
        <v>2</v>
      </c>
      <c r="F1781" s="2" t="n">
        <v>2</v>
      </c>
      <c r="G1781" s="4" t="n">
        <v>3</v>
      </c>
      <c r="H1781" s="13" t="n"/>
      <c r="I1781" s="15" t="n"/>
      <c r="J1781" s="19" t="n">
        <v>2</v>
      </c>
      <c r="K1781" s="2" t="inlineStr">
        <is>
          <t>marker_682_379278.png</t>
        </is>
      </c>
      <c r="L1781" s="11">
        <f>HYPERLINK("2\1\" &amp; K1781, "Ver Imagen")</f>
        <v/>
      </c>
      <c r="M1781" t="inlineStr">
        <is>
          <t>Moda</t>
        </is>
      </c>
    </row>
    <row r="1782">
      <c r="A1782" t="n">
        <v>1781</v>
      </c>
      <c r="B1782" t="inlineStr">
        <is>
          <t>A-497__207</t>
        </is>
      </c>
      <c r="C1782" s="1" t="n">
        <v>37.2640577659</v>
      </c>
      <c r="D1782" s="1" t="n">
        <v>-7.00353327464</v>
      </c>
      <c r="E1782" s="3" t="n">
        <v>2</v>
      </c>
      <c r="F1782" s="2" t="n">
        <v>2</v>
      </c>
      <c r="G1782" s="4" t="n">
        <v>3</v>
      </c>
      <c r="H1782" s="13" t="n"/>
      <c r="I1782" s="15" t="n"/>
      <c r="J1782" s="19" t="n">
        <v>2</v>
      </c>
      <c r="K1782" s="2" t="inlineStr">
        <is>
          <t>marker_692_379302.png</t>
        </is>
      </c>
      <c r="L1782" s="11">
        <f>HYPERLINK("2\1\" &amp; K1782, "Ver Imagen")</f>
        <v/>
      </c>
      <c r="M1782" t="inlineStr">
        <is>
          <t>Moda</t>
        </is>
      </c>
    </row>
    <row r="1783">
      <c r="A1783" t="n">
        <v>1782</v>
      </c>
      <c r="B1783" t="inlineStr">
        <is>
          <t>A-497__157</t>
        </is>
      </c>
      <c r="C1783" s="1" t="n">
        <v>37.2670459393</v>
      </c>
      <c r="D1783" s="1" t="n">
        <v>-6.99166626748</v>
      </c>
      <c r="E1783" s="3" t="n">
        <v>2</v>
      </c>
      <c r="F1783" s="2" t="n">
        <v>2</v>
      </c>
      <c r="G1783" s="4" t="n">
        <v>3</v>
      </c>
      <c r="H1783" s="13" t="n"/>
      <c r="I1783" s="15" t="n"/>
      <c r="J1783" s="19" t="n">
        <v>2</v>
      </c>
      <c r="K1783" s="2" t="inlineStr">
        <is>
          <t>marker_359_380279.png</t>
        </is>
      </c>
      <c r="L1783" s="11">
        <f>HYPERLINK("2\1\" &amp; K1783, "Ver Imagen")</f>
        <v/>
      </c>
      <c r="M1783" t="inlineStr">
        <is>
          <t>Moda</t>
        </is>
      </c>
    </row>
    <row r="1784">
      <c r="A1784" t="n">
        <v>1783</v>
      </c>
      <c r="B1784" t="inlineStr">
        <is>
          <t>A-497__139</t>
        </is>
      </c>
      <c r="C1784" s="1" t="n">
        <v>37.2701915856</v>
      </c>
      <c r="D1784" s="1" t="n">
        <v>-6.98933786283</v>
      </c>
      <c r="E1784" s="3" t="n">
        <v>2</v>
      </c>
      <c r="F1784" s="2" t="n">
        <v>2</v>
      </c>
      <c r="G1784" s="4" t="n">
        <v>3</v>
      </c>
      <c r="H1784" s="13" t="n"/>
      <c r="I1784" s="15" t="n"/>
      <c r="J1784" s="19" t="n">
        <v>2</v>
      </c>
      <c r="K1784" s="2" t="inlineStr">
        <is>
          <t>marker_539_380450.png</t>
        </is>
      </c>
      <c r="L1784" s="11">
        <f>HYPERLINK("2\1\" &amp; K1784, "Ver Imagen")</f>
        <v/>
      </c>
      <c r="M1784" t="inlineStr">
        <is>
          <t>Moda</t>
        </is>
      </c>
    </row>
    <row r="1785">
      <c r="A1785" t="n">
        <v>1784</v>
      </c>
      <c r="B1785" t="inlineStr">
        <is>
          <t>A-497__138</t>
        </is>
      </c>
      <c r="C1785" s="1" t="n">
        <v>37.270366556</v>
      </c>
      <c r="D1785" s="1" t="n">
        <v>-6.98921351571</v>
      </c>
      <c r="E1785" s="3" t="n">
        <v>2</v>
      </c>
      <c r="F1785" s="2" t="n">
        <v>2</v>
      </c>
      <c r="G1785" s="4" t="n">
        <v>3</v>
      </c>
      <c r="H1785" s="13" t="n"/>
      <c r="I1785" s="15" t="n"/>
      <c r="J1785" s="19" t="n">
        <v>2</v>
      </c>
      <c r="K1785" s="2" t="inlineStr">
        <is>
          <t>marker_653_380459.png</t>
        </is>
      </c>
      <c r="L1785" s="11">
        <f>HYPERLINK("2\1\" &amp; K1785, "Ver Imagen")</f>
        <v/>
      </c>
      <c r="M1785" t="inlineStr">
        <is>
          <t>Moda</t>
        </is>
      </c>
    </row>
    <row r="1786">
      <c r="A1786" t="n">
        <v>1785</v>
      </c>
      <c r="B1786" t="inlineStr">
        <is>
          <t>A-497__137</t>
        </is>
      </c>
      <c r="C1786" s="1" t="n">
        <v>37.2705553572</v>
      </c>
      <c r="D1786" s="1" t="n">
        <v>-6.98907453736</v>
      </c>
      <c r="E1786" s="3" t="n">
        <v>2</v>
      </c>
      <c r="F1786" s="2" t="n">
        <v>2</v>
      </c>
      <c r="G1786" s="4" t="n">
        <v>3</v>
      </c>
      <c r="H1786" s="13" t="n"/>
      <c r="I1786" s="15" t="n"/>
      <c r="J1786" s="19" t="n">
        <v>2</v>
      </c>
      <c r="K1786" s="2" t="inlineStr">
        <is>
          <t>marker_580_380467.png</t>
        </is>
      </c>
      <c r="L1786" s="11">
        <f>HYPERLINK("2\1\" &amp; K1786, "Ver Imagen")</f>
        <v/>
      </c>
      <c r="M1786" t="inlineStr">
        <is>
          <t>Moda</t>
        </is>
      </c>
    </row>
    <row r="1787">
      <c r="A1787" t="n">
        <v>1786</v>
      </c>
      <c r="B1787" t="inlineStr">
        <is>
          <t>A-497__136</t>
        </is>
      </c>
      <c r="C1787" s="1" t="n">
        <v>37.2707196667</v>
      </c>
      <c r="D1787" s="1" t="n">
        <v>-6.98894275539</v>
      </c>
      <c r="E1787" s="3" t="n">
        <v>2</v>
      </c>
      <c r="F1787" s="2" t="n">
        <v>2</v>
      </c>
      <c r="G1787" s="4" t="n">
        <v>3</v>
      </c>
      <c r="H1787" s="13" t="n"/>
      <c r="I1787" s="15" t="n"/>
      <c r="J1787" s="19" t="n">
        <v>2</v>
      </c>
      <c r="K1787" s="2" t="inlineStr">
        <is>
          <t>marker_526_380477.png</t>
        </is>
      </c>
      <c r="L1787" s="11">
        <f>HYPERLINK("2\1\" &amp; K1787, "Ver Imagen")</f>
        <v/>
      </c>
      <c r="M1787" t="inlineStr">
        <is>
          <t>Moda</t>
        </is>
      </c>
    </row>
    <row r="1788">
      <c r="A1788" t="n">
        <v>1787</v>
      </c>
      <c r="B1788" t="inlineStr">
        <is>
          <t>A-497__135</t>
        </is>
      </c>
      <c r="C1788" s="1" t="n">
        <v>37.2708865532</v>
      </c>
      <c r="D1788" s="1" t="n">
        <v>-6.98878577354</v>
      </c>
      <c r="E1788" s="3" t="n">
        <v>2</v>
      </c>
      <c r="F1788" s="2" t="n">
        <v>2</v>
      </c>
      <c r="G1788" s="4" t="n">
        <v>3</v>
      </c>
      <c r="H1788" s="13" t="n"/>
      <c r="I1788" s="15" t="n"/>
      <c r="J1788" s="19" t="n">
        <v>2</v>
      </c>
      <c r="K1788" s="2" t="inlineStr">
        <is>
          <t>marker_257_380485.png</t>
        </is>
      </c>
      <c r="L1788" s="11">
        <f>HYPERLINK("2\1\" &amp; K1788, "Ver Imagen")</f>
        <v/>
      </c>
      <c r="M1788" t="inlineStr">
        <is>
          <t>Moda</t>
        </is>
      </c>
    </row>
    <row r="1789">
      <c r="A1789" t="n">
        <v>1788</v>
      </c>
      <c r="B1789" t="inlineStr">
        <is>
          <t>A-497__134</t>
        </is>
      </c>
      <c r="C1789" s="1" t="n">
        <v>37.2710282769</v>
      </c>
      <c r="D1789" s="1" t="n">
        <v>-6.98862698238</v>
      </c>
      <c r="E1789" s="3" t="n">
        <v>2</v>
      </c>
      <c r="F1789" s="2" t="n">
        <v>2</v>
      </c>
      <c r="G1789" s="4" t="n">
        <v>3</v>
      </c>
      <c r="H1789" s="13" t="n"/>
      <c r="I1789" s="15" t="n"/>
      <c r="J1789" s="19" t="n">
        <v>2</v>
      </c>
      <c r="K1789" s="2" t="inlineStr">
        <is>
          <t>marker_624_380495.png</t>
        </is>
      </c>
      <c r="L1789" s="11">
        <f>HYPERLINK("2\1\" &amp; K1789, "Ver Imagen")</f>
        <v/>
      </c>
      <c r="M1789" t="inlineStr">
        <is>
          <t>Moda</t>
        </is>
      </c>
    </row>
    <row r="1790">
      <c r="A1790" t="n">
        <v>1789</v>
      </c>
      <c r="B1790" t="inlineStr">
        <is>
          <t>A-490__24</t>
        </is>
      </c>
      <c r="C1790" s="1" t="n">
        <v>37.4465784911</v>
      </c>
      <c r="D1790" s="1" t="n">
        <v>-7.13223819488</v>
      </c>
      <c r="E1790" s="3" t="n">
        <v>3</v>
      </c>
      <c r="F1790" s="2" t="n">
        <v>3</v>
      </c>
      <c r="G1790" s="4" t="n">
        <v>3</v>
      </c>
      <c r="H1790" s="13" t="n"/>
      <c r="I1790" s="15" t="n"/>
      <c r="J1790" s="19" t="n">
        <v>3</v>
      </c>
      <c r="K1790" s="2" t="inlineStr">
        <is>
          <t>marker_174_730754.png</t>
        </is>
      </c>
      <c r="L1790" s="11">
        <f>HYPERLINK("3\0\" &amp; K1790, "Ver Imagen")</f>
        <v/>
      </c>
      <c r="M1790" t="inlineStr">
        <is>
          <t>Moda</t>
        </is>
      </c>
    </row>
    <row r="1791">
      <c r="A1791" t="n">
        <v>1790</v>
      </c>
      <c r="B1791" t="inlineStr">
        <is>
          <t>A-490__18</t>
        </is>
      </c>
      <c r="C1791" s="1" t="n">
        <v>37.4468470756</v>
      </c>
      <c r="D1791" s="1" t="n">
        <v>-7.13073247604</v>
      </c>
      <c r="E1791" s="3" t="n">
        <v>3</v>
      </c>
      <c r="F1791" s="2" t="n">
        <v>3</v>
      </c>
      <c r="G1791" s="4" t="n">
        <v>3</v>
      </c>
      <c r="H1791" s="13" t="n"/>
      <c r="I1791" s="15" t="n"/>
      <c r="J1791" s="19" t="n">
        <v>3</v>
      </c>
      <c r="K1791" s="2" t="inlineStr">
        <is>
          <t>marker_244_730563.png</t>
        </is>
      </c>
      <c r="L1791" s="11">
        <f>HYPERLINK("3\0\" &amp; K1791, "Ver Imagen")</f>
        <v/>
      </c>
      <c r="M1791" t="inlineStr">
        <is>
          <t>Moda</t>
        </is>
      </c>
    </row>
    <row r="1792">
      <c r="A1792" t="n">
        <v>1791</v>
      </c>
      <c r="B1792" t="inlineStr">
        <is>
          <t>A-490__214</t>
        </is>
      </c>
      <c r="C1792" s="1" t="n">
        <v>37.4615719532</v>
      </c>
      <c r="D1792" s="1" t="n">
        <v>-7.17442932149</v>
      </c>
      <c r="E1792" s="3" t="n">
        <v>3</v>
      </c>
      <c r="F1792" s="2" t="n">
        <v>3</v>
      </c>
      <c r="G1792" s="4" t="n">
        <v>3</v>
      </c>
      <c r="H1792" s="13" t="n"/>
      <c r="I1792" s="15" t="n"/>
      <c r="J1792" s="19" t="n">
        <v>3</v>
      </c>
      <c r="K1792" s="2" t="inlineStr">
        <is>
          <t>marker_141_742987.png</t>
        </is>
      </c>
      <c r="L1792" s="11">
        <f>HYPERLINK("3\0\" &amp; K1792, "Ver Imagen")</f>
        <v/>
      </c>
      <c r="M1792" t="inlineStr">
        <is>
          <t>Moda</t>
        </is>
      </c>
    </row>
    <row r="1793">
      <c r="A1793" t="n">
        <v>1792</v>
      </c>
      <c r="B1793" t="inlineStr">
        <is>
          <t>A-490__224</t>
        </is>
      </c>
      <c r="C1793" s="1" t="n">
        <v>37.4628149092</v>
      </c>
      <c r="D1793" s="1" t="n">
        <v>-7.17646179006</v>
      </c>
      <c r="E1793" s="3" t="n">
        <v>3</v>
      </c>
      <c r="F1793" s="2" t="n">
        <v>3</v>
      </c>
      <c r="G1793" s="4" t="n">
        <v>3</v>
      </c>
      <c r="H1793" s="13" t="n"/>
      <c r="I1793" s="15" t="n"/>
      <c r="J1793" s="19" t="n">
        <v>3</v>
      </c>
      <c r="K1793" s="2" t="inlineStr">
        <is>
          <t>marker_722_743676.png</t>
        </is>
      </c>
      <c r="L1793" s="11">
        <f>HYPERLINK("3\0\" &amp; K1793, "Ver Imagen")</f>
        <v/>
      </c>
      <c r="M1793" t="inlineStr">
        <is>
          <t>Moda</t>
        </is>
      </c>
    </row>
    <row r="1794">
      <c r="A1794" t="n">
        <v>1793</v>
      </c>
      <c r="B1794" t="inlineStr">
        <is>
          <t>A-490__231</t>
        </is>
      </c>
      <c r="C1794" s="1" t="n">
        <v>37.4636423132</v>
      </c>
      <c r="D1794" s="1" t="n">
        <v>-7.17784589656</v>
      </c>
      <c r="E1794" s="3" t="n">
        <v>3</v>
      </c>
      <c r="F1794" s="2" t="n">
        <v>3</v>
      </c>
      <c r="G1794" s="4" t="n">
        <v>3</v>
      </c>
      <c r="H1794" s="13" t="n"/>
      <c r="I1794" s="15" t="n"/>
      <c r="J1794" s="19" t="n">
        <v>3</v>
      </c>
      <c r="K1794" s="2" t="inlineStr">
        <is>
          <t>marker_480_743862.png</t>
        </is>
      </c>
      <c r="L1794" s="11">
        <f>HYPERLINK("3\0\" &amp; K1794, "Ver Imagen")</f>
        <v/>
      </c>
      <c r="M1794" t="inlineStr">
        <is>
          <t>Moda</t>
        </is>
      </c>
    </row>
    <row r="1795">
      <c r="A1795" t="n">
        <v>1794</v>
      </c>
      <c r="B1795" t="inlineStr">
        <is>
          <t>A-490__245</t>
        </is>
      </c>
      <c r="C1795" s="1" t="n">
        <v>37.4652506305</v>
      </c>
      <c r="D1795" s="1" t="n">
        <v>-7.18077492251</v>
      </c>
      <c r="E1795" s="3" t="n">
        <v>3</v>
      </c>
      <c r="F1795" s="2" t="n">
        <v>3</v>
      </c>
      <c r="G1795" s="4" t="n">
        <v>3</v>
      </c>
      <c r="H1795" s="13" t="n"/>
      <c r="I1795" s="15" t="n"/>
      <c r="J1795" s="19" t="n">
        <v>3</v>
      </c>
      <c r="K1795" s="2" t="inlineStr">
        <is>
          <t>marker_688_749402.png</t>
        </is>
      </c>
      <c r="L1795" s="11">
        <f>HYPERLINK("3\0\" &amp; K1795, "Ver Imagen")</f>
        <v/>
      </c>
      <c r="M1795" t="inlineStr">
        <is>
          <t>Moda</t>
        </is>
      </c>
    </row>
    <row r="1796">
      <c r="A1796" t="n">
        <v>1795</v>
      </c>
      <c r="B1796" t="inlineStr">
        <is>
          <t>A-490__587</t>
        </is>
      </c>
      <c r="C1796" s="1" t="n">
        <v>37.49017194</v>
      </c>
      <c r="D1796" s="1" t="n">
        <v>-7.25946555941</v>
      </c>
      <c r="E1796" s="3" t="n">
        <v>3</v>
      </c>
      <c r="F1796" s="2" t="n">
        <v>3</v>
      </c>
      <c r="G1796" s="4" t="n">
        <v>3</v>
      </c>
      <c r="H1796" s="13" t="n"/>
      <c r="I1796" s="15" t="n"/>
      <c r="J1796" s="19" t="n">
        <v>3</v>
      </c>
      <c r="K1796" s="2" t="inlineStr">
        <is>
          <t>marker_908_819577.png</t>
        </is>
      </c>
      <c r="L1796" s="11">
        <f>HYPERLINK("3\0\" &amp; K1796, "Ver Imagen")</f>
        <v/>
      </c>
      <c r="M1796" t="inlineStr">
        <is>
          <t>Moda</t>
        </is>
      </c>
    </row>
    <row r="1797">
      <c r="A1797" t="n">
        <v>1796</v>
      </c>
      <c r="B1797" t="inlineStr">
        <is>
          <t>A-492__79</t>
        </is>
      </c>
      <c r="C1797" s="1" t="n">
        <v>37.280579206</v>
      </c>
      <c r="D1797" s="1" t="n">
        <v>-7.00225055188</v>
      </c>
      <c r="E1797" s="3" t="n">
        <v>3</v>
      </c>
      <c r="F1797" s="2" t="n">
        <v>3</v>
      </c>
      <c r="G1797" s="4" t="n">
        <v>3</v>
      </c>
      <c r="H1797" s="13" t="n"/>
      <c r="I1797" s="15" t="n"/>
      <c r="J1797" s="19" t="n">
        <v>3</v>
      </c>
      <c r="K1797" s="2" t="inlineStr">
        <is>
          <t>marker_941_823480.png</t>
        </is>
      </c>
      <c r="L1797" s="11">
        <f>HYPERLINK("3\0\" &amp; K1797, "Ver Imagen")</f>
        <v/>
      </c>
      <c r="M1797" t="inlineStr">
        <is>
          <t>Moda</t>
        </is>
      </c>
    </row>
    <row r="1798">
      <c r="A1798" t="n">
        <v>1797</v>
      </c>
      <c r="B1798" t="inlineStr">
        <is>
          <t>A-492__82</t>
        </is>
      </c>
      <c r="C1798" s="1" t="n">
        <v>37.2806880016</v>
      </c>
      <c r="D1798" s="1" t="n">
        <v>-7.0029920334</v>
      </c>
      <c r="E1798" s="3" t="n">
        <v>3</v>
      </c>
      <c r="F1798" s="2" t="n">
        <v>3</v>
      </c>
      <c r="G1798" s="4" t="n">
        <v>3</v>
      </c>
      <c r="H1798" s="13" t="n"/>
      <c r="I1798" s="15" t="n"/>
      <c r="J1798" s="19" t="n">
        <v>3</v>
      </c>
      <c r="K1798" s="2" t="inlineStr">
        <is>
          <t>marker_185_823512.png</t>
        </is>
      </c>
      <c r="L1798" s="11">
        <f>HYPERLINK("3\0\" &amp; K1798, "Ver Imagen")</f>
        <v/>
      </c>
      <c r="M1798" t="inlineStr">
        <is>
          <t>Moda</t>
        </is>
      </c>
    </row>
    <row r="1799">
      <c r="A1799" t="n">
        <v>1798</v>
      </c>
      <c r="B1799" t="inlineStr">
        <is>
          <t>A-492__89</t>
        </is>
      </c>
      <c r="C1799" s="1" t="n">
        <v>37.2804768059</v>
      </c>
      <c r="D1799" s="1" t="n">
        <v>-7.00475923726</v>
      </c>
      <c r="E1799" s="3" t="n">
        <v>3</v>
      </c>
      <c r="F1799" s="2" t="n">
        <v>3</v>
      </c>
      <c r="G1799" s="4" t="n">
        <v>3</v>
      </c>
      <c r="H1799" s="13" t="n"/>
      <c r="I1799" s="15" t="n"/>
      <c r="J1799" s="19" t="n">
        <v>3</v>
      </c>
      <c r="K1799" s="2" t="inlineStr">
        <is>
          <t>marker_967_823605.png</t>
        </is>
      </c>
      <c r="L1799" s="11">
        <f>HYPERLINK("3\0\" &amp; K1799, "Ver Imagen")</f>
        <v/>
      </c>
      <c r="M1799" t="inlineStr">
        <is>
          <t>Moda</t>
        </is>
      </c>
    </row>
    <row r="1800">
      <c r="A1800" t="n">
        <v>1799</v>
      </c>
      <c r="B1800" t="inlineStr">
        <is>
          <t>A-492__116</t>
        </is>
      </c>
      <c r="C1800" s="1" t="n">
        <v>37.2779466502</v>
      </c>
      <c r="D1800" s="1" t="n">
        <v>-7.01082500468</v>
      </c>
      <c r="E1800" s="3" t="n">
        <v>3</v>
      </c>
      <c r="F1800" s="2" t="n">
        <v>3</v>
      </c>
      <c r="G1800" s="4" t="n">
        <v>3</v>
      </c>
      <c r="H1800" s="13" t="n"/>
      <c r="I1800" s="15" t="n"/>
      <c r="J1800" s="19" t="n">
        <v>3</v>
      </c>
      <c r="K1800" s="2" t="inlineStr">
        <is>
          <t>marker_283_824360.png</t>
        </is>
      </c>
      <c r="L1800" s="11">
        <f>HYPERLINK("3\0\" &amp; K1800, "Ver Imagen")</f>
        <v/>
      </c>
      <c r="M1800" t="inlineStr">
        <is>
          <t>Moda</t>
        </is>
      </c>
    </row>
    <row r="1801">
      <c r="A1801" t="n">
        <v>1800</v>
      </c>
      <c r="B1801" t="inlineStr">
        <is>
          <t>A-492__470</t>
        </is>
      </c>
      <c r="C1801" s="1" t="n">
        <v>37.3174097367</v>
      </c>
      <c r="D1801" s="1" t="n">
        <v>-7.070998004</v>
      </c>
      <c r="E1801" s="3" t="n">
        <v>3</v>
      </c>
      <c r="F1801" s="2" t="n">
        <v>3</v>
      </c>
      <c r="G1801" s="4" t="n">
        <v>3</v>
      </c>
      <c r="H1801" s="13" t="n"/>
      <c r="I1801" s="15" t="n"/>
      <c r="J1801" s="19" t="n">
        <v>3</v>
      </c>
      <c r="K1801" s="2" t="inlineStr">
        <is>
          <t>marker_950_840045.png</t>
        </is>
      </c>
      <c r="L1801" s="11">
        <f>HYPERLINK("3\0\" &amp; K1801, "Ver Imagen")</f>
        <v/>
      </c>
      <c r="M1801" t="inlineStr">
        <is>
          <t>Moda</t>
        </is>
      </c>
    </row>
    <row r="1802">
      <c r="A1802" t="n">
        <v>1801</v>
      </c>
      <c r="B1802" t="inlineStr">
        <is>
          <t>A-495R__44</t>
        </is>
      </c>
      <c r="C1802" s="1" t="n">
        <v>37.4531378102</v>
      </c>
      <c r="D1802" s="1" t="n">
        <v>-7.11214203966</v>
      </c>
      <c r="E1802" s="3" t="n">
        <v>3</v>
      </c>
      <c r="F1802" s="2" t="n">
        <v>3</v>
      </c>
      <c r="G1802" s="4" t="n">
        <v>3</v>
      </c>
      <c r="H1802" s="13" t="n"/>
      <c r="I1802" s="15" t="n"/>
      <c r="J1802" s="19" t="n">
        <v>3</v>
      </c>
      <c r="K1802" s="2" t="inlineStr">
        <is>
          <t>marker_237_935721.png</t>
        </is>
      </c>
      <c r="L1802" s="11">
        <f>HYPERLINK("3\0\" &amp; K1802, "Ver Imagen")</f>
        <v/>
      </c>
      <c r="M1802" t="inlineStr">
        <is>
          <t>Moda</t>
        </is>
      </c>
    </row>
    <row r="1803">
      <c r="A1803" t="n">
        <v>1802</v>
      </c>
      <c r="B1803" t="inlineStr">
        <is>
          <t>A-497__68</t>
        </is>
      </c>
      <c r="C1803" s="1" t="n">
        <v>37.2683240427</v>
      </c>
      <c r="D1803" s="1" t="n">
        <v>-6.97278793688</v>
      </c>
      <c r="E1803" s="3" t="n">
        <v>3</v>
      </c>
      <c r="F1803" s="2" t="n">
        <v>3</v>
      </c>
      <c r="G1803" s="4" t="n">
        <v>3</v>
      </c>
      <c r="H1803" s="13" t="n"/>
      <c r="I1803" s="15" t="n"/>
      <c r="J1803" s="19" t="n">
        <v>3</v>
      </c>
      <c r="K1803" s="2" t="inlineStr">
        <is>
          <t>marker_679_938063.png</t>
        </is>
      </c>
      <c r="L1803" s="11">
        <f>HYPERLINK("3\0\" &amp; K1803, "Ver Imagen")</f>
        <v/>
      </c>
      <c r="M1803" t="inlineStr">
        <is>
          <t>Moda</t>
        </is>
      </c>
    </row>
    <row r="1804">
      <c r="A1804" t="n">
        <v>1803</v>
      </c>
      <c r="B1804" t="inlineStr">
        <is>
          <t>A-497__66</t>
        </is>
      </c>
      <c r="C1804" s="1" t="n">
        <v>37.2682520375</v>
      </c>
      <c r="D1804" s="1" t="n">
        <v>-6.97239138153</v>
      </c>
      <c r="E1804" s="3" t="n">
        <v>3</v>
      </c>
      <c r="F1804" s="2" t="n">
        <v>3</v>
      </c>
      <c r="G1804" s="4" t="n">
        <v>3</v>
      </c>
      <c r="H1804" s="13" t="n"/>
      <c r="I1804" s="15" t="n"/>
      <c r="J1804" s="19" t="n">
        <v>3</v>
      </c>
      <c r="K1804" s="2" t="inlineStr">
        <is>
          <t>marker_944_938191.png</t>
        </is>
      </c>
      <c r="L1804" s="11">
        <f>HYPERLINK("3\0\" &amp; K1804, "Ver Imagen")</f>
        <v/>
      </c>
      <c r="M1804" t="inlineStr">
        <is>
          <t>Moda</t>
        </is>
      </c>
    </row>
    <row r="1805">
      <c r="A1805" t="n">
        <v>1804</v>
      </c>
      <c r="B1805" t="inlineStr">
        <is>
          <t>A-497__65</t>
        </is>
      </c>
      <c r="C1805" s="1" t="n">
        <v>37.2681942415</v>
      </c>
      <c r="D1805" s="1" t="n">
        <v>-6.97205460715</v>
      </c>
      <c r="E1805" s="3" t="n">
        <v>3</v>
      </c>
      <c r="F1805" s="2" t="n">
        <v>3</v>
      </c>
      <c r="G1805" s="4" t="n">
        <v>3</v>
      </c>
      <c r="H1805" s="13" t="n"/>
      <c r="I1805" s="15" t="n"/>
      <c r="J1805" s="19" t="n">
        <v>3</v>
      </c>
      <c r="K1805" s="2" t="inlineStr">
        <is>
          <t>marker_150_938206.png</t>
        </is>
      </c>
      <c r="L1805" s="11">
        <f>HYPERLINK("3\0\" &amp; K1805, "Ver Imagen")</f>
        <v/>
      </c>
      <c r="M1805" t="inlineStr">
        <is>
          <t>Moda</t>
        </is>
      </c>
    </row>
    <row r="1806">
      <c r="A1806" t="n">
        <v>1805</v>
      </c>
      <c r="B1806" t="inlineStr">
        <is>
          <t>A-497__50</t>
        </is>
      </c>
      <c r="C1806" s="1" t="n">
        <v>37.2677100402</v>
      </c>
      <c r="D1806" s="1" t="n">
        <v>-6.9682686943</v>
      </c>
      <c r="E1806" s="3" t="n">
        <v>3</v>
      </c>
      <c r="F1806" s="2" t="n">
        <v>3</v>
      </c>
      <c r="G1806" s="4" t="n">
        <v>3</v>
      </c>
      <c r="H1806" s="13" t="n"/>
      <c r="I1806" s="15" t="n"/>
      <c r="J1806" s="19" t="n">
        <v>3</v>
      </c>
      <c r="K1806" s="2" t="inlineStr">
        <is>
          <t>marker_989_938394.png</t>
        </is>
      </c>
      <c r="L1806" s="11">
        <f>HYPERLINK("3\0\" &amp; K1806, "Ver Imagen")</f>
        <v/>
      </c>
      <c r="M1806" t="inlineStr">
        <is>
          <t>Moda</t>
        </is>
      </c>
    </row>
    <row r="1807">
      <c r="A1807" t="n">
        <v>1806</v>
      </c>
      <c r="B1807" t="inlineStr">
        <is>
          <t>A-497__35</t>
        </is>
      </c>
      <c r="C1807" s="1" t="n">
        <v>37.2675313621</v>
      </c>
      <c r="D1807" s="1" t="n">
        <v>-6.96456463715</v>
      </c>
      <c r="E1807" s="3" t="n">
        <v>3</v>
      </c>
      <c r="F1807" s="2" t="n">
        <v>3</v>
      </c>
      <c r="G1807" s="4" t="n">
        <v>3</v>
      </c>
      <c r="H1807" s="13" t="n"/>
      <c r="I1807" s="15" t="n"/>
      <c r="J1807" s="19" t="n">
        <v>3</v>
      </c>
      <c r="K1807" s="2" t="inlineStr">
        <is>
          <t>marker_612_940330.png</t>
        </is>
      </c>
      <c r="L1807" s="11">
        <f>HYPERLINK("3\0\" &amp; K1807, "Ver Imagen")</f>
        <v/>
      </c>
      <c r="M1807" t="inlineStr">
        <is>
          <t>Moda</t>
        </is>
      </c>
    </row>
    <row r="1808">
      <c r="A1808" t="n">
        <v>1807</v>
      </c>
      <c r="B1808" t="inlineStr">
        <is>
          <t>A-497__26</t>
        </is>
      </c>
      <c r="C1808" s="1" t="n">
        <v>37.2674826505</v>
      </c>
      <c r="D1808" s="1" t="n">
        <v>-6.96225579733</v>
      </c>
      <c r="E1808" s="3" t="n">
        <v>3</v>
      </c>
      <c r="F1808" s="2" t="n">
        <v>3</v>
      </c>
      <c r="G1808" s="4" t="n">
        <v>3</v>
      </c>
      <c r="H1808" s="13" t="n"/>
      <c r="I1808" s="15" t="n"/>
      <c r="J1808" s="19" t="n">
        <v>3</v>
      </c>
      <c r="K1808" s="2" t="inlineStr">
        <is>
          <t>marker_745_940911.png</t>
        </is>
      </c>
      <c r="L1808" s="11">
        <f>HYPERLINK("3\0\" &amp; K1808, "Ver Imagen")</f>
        <v/>
      </c>
      <c r="M1808" t="inlineStr">
        <is>
          <t>Moda</t>
        </is>
      </c>
    </row>
    <row r="1809">
      <c r="A1809" t="n">
        <v>1808</v>
      </c>
      <c r="B1809" t="inlineStr">
        <is>
          <t>A-5050__117</t>
        </is>
      </c>
      <c r="C1809" s="1" t="n">
        <v>37.1962068863</v>
      </c>
      <c r="D1809" s="1" t="n">
        <v>-7.00300165156</v>
      </c>
      <c r="E1809" s="3" t="n">
        <v>3</v>
      </c>
      <c r="F1809" s="2" t="n">
        <v>3</v>
      </c>
      <c r="G1809" s="4" t="n">
        <v>3</v>
      </c>
      <c r="H1809" s="13" t="n"/>
      <c r="I1809" s="15" t="n"/>
      <c r="J1809" s="19" t="n">
        <v>3</v>
      </c>
      <c r="K1809" s="2" t="inlineStr">
        <is>
          <t>marker_561_946540.png</t>
        </is>
      </c>
      <c r="L1809" s="11">
        <f>HYPERLINK("3\0\" &amp; K1809, "Ver Imagen")</f>
        <v/>
      </c>
      <c r="M1809" t="inlineStr">
        <is>
          <t>Moda</t>
        </is>
      </c>
    </row>
    <row r="1810">
      <c r="A1810" t="n">
        <v>1809</v>
      </c>
      <c r="B1810" t="inlineStr">
        <is>
          <t>A-5050__116</t>
        </is>
      </c>
      <c r="C1810" s="1" t="n">
        <v>37.1962841871</v>
      </c>
      <c r="D1810" s="1" t="n">
        <v>-7.00317450536</v>
      </c>
      <c r="E1810" s="3" t="n">
        <v>3</v>
      </c>
      <c r="F1810" s="2" t="n">
        <v>3</v>
      </c>
      <c r="G1810" s="4" t="n">
        <v>3</v>
      </c>
      <c r="H1810" s="13" t="n"/>
      <c r="I1810" s="15" t="n"/>
      <c r="J1810" s="19" t="n">
        <v>3</v>
      </c>
      <c r="K1810" s="2" t="inlineStr">
        <is>
          <t>marker_421_946554.png</t>
        </is>
      </c>
      <c r="L1810" s="11">
        <f>HYPERLINK("3\0\" &amp; K1810, "Ver Imagen")</f>
        <v/>
      </c>
      <c r="M1810" t="inlineStr">
        <is>
          <t>Moda</t>
        </is>
      </c>
    </row>
    <row r="1811">
      <c r="A1811" t="n">
        <v>1810</v>
      </c>
      <c r="B1811" t="inlineStr">
        <is>
          <t>A-5050__104</t>
        </is>
      </c>
      <c r="C1811" s="1" t="n">
        <v>37.1974081917</v>
      </c>
      <c r="D1811" s="1" t="n">
        <v>-7.00591252505</v>
      </c>
      <c r="E1811" s="3" t="n">
        <v>3</v>
      </c>
      <c r="F1811" s="2" t="n">
        <v>3</v>
      </c>
      <c r="G1811" s="4" t="n">
        <v>3</v>
      </c>
      <c r="H1811" s="13" t="n"/>
      <c r="I1811" s="15" t="n"/>
      <c r="J1811" s="19" t="n">
        <v>3</v>
      </c>
      <c r="K1811" s="2" t="inlineStr">
        <is>
          <t>marker_100_946738.png</t>
        </is>
      </c>
      <c r="L1811" s="11">
        <f>HYPERLINK("3\0\" &amp; K1811, "Ver Imagen")</f>
        <v/>
      </c>
      <c r="M1811" t="inlineStr">
        <is>
          <t>Moda</t>
        </is>
      </c>
    </row>
    <row r="1812">
      <c r="A1812" t="n">
        <v>1811</v>
      </c>
      <c r="B1812" t="inlineStr">
        <is>
          <t>A-5050__80</t>
        </is>
      </c>
      <c r="C1812" s="1" t="n">
        <v>37.2001225642</v>
      </c>
      <c r="D1812" s="1" t="n">
        <v>-7.01094420473</v>
      </c>
      <c r="E1812" s="3" t="n">
        <v>3</v>
      </c>
      <c r="F1812" s="2" t="n">
        <v>3</v>
      </c>
      <c r="G1812" s="4" t="n">
        <v>3</v>
      </c>
      <c r="H1812" s="13" t="n"/>
      <c r="I1812" s="15" t="n"/>
      <c r="J1812" s="19" t="n">
        <v>3</v>
      </c>
      <c r="K1812" s="2" t="inlineStr">
        <is>
          <t>marker_960_948775.png</t>
        </is>
      </c>
      <c r="L1812" s="11">
        <f>HYPERLINK("3\0\" &amp; K1812, "Ver Imagen")</f>
        <v/>
      </c>
      <c r="M1812" t="inlineStr">
        <is>
          <t>Moda</t>
        </is>
      </c>
    </row>
    <row r="1813">
      <c r="A1813" t="n">
        <v>1812</v>
      </c>
      <c r="B1813" t="inlineStr">
        <is>
          <t>A-5050__76</t>
        </is>
      </c>
      <c r="C1813" s="1" t="n">
        <v>37.2006025766</v>
      </c>
      <c r="D1813" s="1" t="n">
        <v>-7.01168156327</v>
      </c>
      <c r="E1813" s="3" t="n">
        <v>3</v>
      </c>
      <c r="F1813" s="2" t="n">
        <v>3</v>
      </c>
      <c r="G1813" s="4" t="n">
        <v>3</v>
      </c>
      <c r="H1813" s="13" t="n"/>
      <c r="I1813" s="15" t="n"/>
      <c r="J1813" s="19" t="n">
        <v>3</v>
      </c>
      <c r="K1813" s="2" t="inlineStr">
        <is>
          <t>marker_380_948815.png</t>
        </is>
      </c>
      <c r="L1813" s="11">
        <f>HYPERLINK("3\0\" &amp; K1813, "Ver Imagen")</f>
        <v/>
      </c>
      <c r="M1813" t="inlineStr">
        <is>
          <t>Moda</t>
        </is>
      </c>
    </row>
    <row r="1814">
      <c r="A1814" t="n">
        <v>1813</v>
      </c>
      <c r="B1814" t="inlineStr">
        <is>
          <t>A-5050__43</t>
        </is>
      </c>
      <c r="C1814" s="1" t="n">
        <v>37.2048342602</v>
      </c>
      <c r="D1814" s="1" t="n">
        <v>-7.01818068301</v>
      </c>
      <c r="E1814" s="3" t="n">
        <v>3</v>
      </c>
      <c r="F1814" s="2" t="n">
        <v>3</v>
      </c>
      <c r="G1814" s="4" t="n">
        <v>3</v>
      </c>
      <c r="H1814" s="13" t="n"/>
      <c r="I1814" s="15" t="n"/>
      <c r="J1814" s="19" t="n">
        <v>3</v>
      </c>
      <c r="K1814" s="2" t="inlineStr">
        <is>
          <t>marker_965_949220.png</t>
        </is>
      </c>
      <c r="L1814" s="11">
        <f>HYPERLINK("3\0\" &amp; K1814, "Ver Imagen")</f>
        <v/>
      </c>
      <c r="M1814" t="inlineStr">
        <is>
          <t>Moda</t>
        </is>
      </c>
    </row>
    <row r="1815">
      <c r="A1815" t="n">
        <v>1814</v>
      </c>
      <c r="B1815" t="inlineStr">
        <is>
          <t>A-5050__42</t>
        </is>
      </c>
      <c r="C1815" s="1" t="n">
        <v>37.2049791116</v>
      </c>
      <c r="D1815" s="1" t="n">
        <v>-7.01840459699</v>
      </c>
      <c r="E1815" s="3" t="n">
        <v>3</v>
      </c>
      <c r="F1815" s="2" t="n">
        <v>3</v>
      </c>
      <c r="G1815" s="4" t="n">
        <v>3</v>
      </c>
      <c r="H1815" s="13" t="n"/>
      <c r="I1815" s="15" t="n"/>
      <c r="J1815" s="19" t="n">
        <v>3</v>
      </c>
      <c r="K1815" s="2" t="inlineStr">
        <is>
          <t>marker_660_949229.png</t>
        </is>
      </c>
      <c r="L1815" s="11">
        <f>HYPERLINK("3\0\" &amp; K1815, "Ver Imagen")</f>
        <v/>
      </c>
      <c r="M1815" t="inlineStr">
        <is>
          <t>Moda</t>
        </is>
      </c>
    </row>
    <row r="1816">
      <c r="A1816" t="n">
        <v>1815</v>
      </c>
      <c r="B1816" t="inlineStr">
        <is>
          <t>A-5050__41</t>
        </is>
      </c>
      <c r="C1816" s="1" t="n">
        <v>37.2051026725</v>
      </c>
      <c r="D1816" s="1" t="n">
        <v>-7.01859518012</v>
      </c>
      <c r="E1816" s="3" t="n">
        <v>3</v>
      </c>
      <c r="F1816" s="2" t="n">
        <v>3</v>
      </c>
      <c r="G1816" s="4" t="n">
        <v>3</v>
      </c>
      <c r="H1816" s="13" t="n"/>
      <c r="I1816" s="15" t="n"/>
      <c r="J1816" s="19" t="n">
        <v>3</v>
      </c>
      <c r="K1816" s="2" t="inlineStr">
        <is>
          <t>marker_865_949238.png</t>
        </is>
      </c>
      <c r="L1816" s="11">
        <f>HYPERLINK("3\0\" &amp; K1816, "Ver Imagen")</f>
        <v/>
      </c>
      <c r="M1816" t="inlineStr">
        <is>
          <t>Moda</t>
        </is>
      </c>
    </row>
    <row r="1817">
      <c r="A1817" t="n">
        <v>1816</v>
      </c>
      <c r="B1817" t="inlineStr">
        <is>
          <t>A-5050__39</t>
        </is>
      </c>
      <c r="C1817" s="1" t="n">
        <v>37.2053601164</v>
      </c>
      <c r="D1817" s="1" t="n">
        <v>-7.0189907466</v>
      </c>
      <c r="E1817" s="3" t="n">
        <v>3</v>
      </c>
      <c r="F1817" s="2" t="n">
        <v>3</v>
      </c>
      <c r="G1817" s="4" t="n">
        <v>3</v>
      </c>
      <c r="H1817" s="13" t="n"/>
      <c r="I1817" s="15" t="n"/>
      <c r="J1817" s="19" t="n">
        <v>3</v>
      </c>
      <c r="K1817" s="2" t="inlineStr">
        <is>
          <t>marker_774_949259.png</t>
        </is>
      </c>
      <c r="L1817" s="11">
        <f>HYPERLINK("3\0\" &amp; K1817, "Ver Imagen")</f>
        <v/>
      </c>
      <c r="M1817" t="inlineStr">
        <is>
          <t>Moda</t>
        </is>
      </c>
    </row>
    <row r="1818">
      <c r="A1818" t="n">
        <v>1817</v>
      </c>
      <c r="B1818" t="inlineStr">
        <is>
          <t>A-5050__38</t>
        </is>
      </c>
      <c r="C1818" s="1" t="n">
        <v>37.2054881641</v>
      </c>
      <c r="D1818" s="1" t="n">
        <v>-7.01918894123</v>
      </c>
      <c r="E1818" s="3" t="n">
        <v>3</v>
      </c>
      <c r="F1818" s="2" t="n">
        <v>3</v>
      </c>
      <c r="G1818" s="4" t="n">
        <v>3</v>
      </c>
      <c r="H1818" s="13" t="n"/>
      <c r="I1818" s="15" t="n"/>
      <c r="J1818" s="19" t="n">
        <v>3</v>
      </c>
      <c r="K1818" s="2" t="inlineStr">
        <is>
          <t>marker_107_949272.png</t>
        </is>
      </c>
      <c r="L1818" s="11">
        <f>HYPERLINK("3\0\" &amp; K1818, "Ver Imagen")</f>
        <v/>
      </c>
      <c r="M1818" t="inlineStr">
        <is>
          <t>Moda</t>
        </is>
      </c>
    </row>
    <row r="1819">
      <c r="A1819" t="n">
        <v>1818</v>
      </c>
      <c r="B1819" t="inlineStr">
        <is>
          <t>A-5050__37</t>
        </is>
      </c>
      <c r="C1819" s="1" t="n">
        <v>37.2056244471</v>
      </c>
      <c r="D1819" s="1" t="n">
        <v>-7.01940201454</v>
      </c>
      <c r="E1819" s="3" t="n">
        <v>3</v>
      </c>
      <c r="F1819" s="2" t="n">
        <v>3</v>
      </c>
      <c r="G1819" s="4" t="n">
        <v>3</v>
      </c>
      <c r="H1819" s="13" t="n"/>
      <c r="I1819" s="15" t="n"/>
      <c r="J1819" s="19" t="n">
        <v>3</v>
      </c>
      <c r="K1819" s="2" t="inlineStr">
        <is>
          <t>marker_238_949289.png</t>
        </is>
      </c>
      <c r="L1819" s="11">
        <f>HYPERLINK("3\0\" &amp; K1819, "Ver Imagen")</f>
        <v/>
      </c>
      <c r="M1819" t="inlineStr">
        <is>
          <t>Moda</t>
        </is>
      </c>
    </row>
    <row r="1820">
      <c r="A1820" t="n">
        <v>1819</v>
      </c>
      <c r="B1820" t="inlineStr">
        <is>
          <t>A-5050__36</t>
        </is>
      </c>
      <c r="C1820" s="1" t="n">
        <v>37.2057205546</v>
      </c>
      <c r="D1820" s="1" t="n">
        <v>-7.01955508344</v>
      </c>
      <c r="E1820" s="3" t="n">
        <v>3</v>
      </c>
      <c r="F1820" s="2" t="n">
        <v>3</v>
      </c>
      <c r="G1820" s="4" t="n">
        <v>3</v>
      </c>
      <c r="H1820" s="13" t="n"/>
      <c r="I1820" s="15" t="n"/>
      <c r="J1820" s="19" t="n">
        <v>3</v>
      </c>
      <c r="K1820" s="2" t="inlineStr">
        <is>
          <t>marker_763_949300.png</t>
        </is>
      </c>
      <c r="L1820" s="11">
        <f>HYPERLINK("3\0\" &amp; K1820, "Ver Imagen")</f>
        <v/>
      </c>
      <c r="M1820" t="inlineStr">
        <is>
          <t>Moda</t>
        </is>
      </c>
    </row>
    <row r="1821">
      <c r="A1821" t="n">
        <v>1820</v>
      </c>
      <c r="B1821" t="inlineStr">
        <is>
          <t>A-5050__34</t>
        </is>
      </c>
      <c r="C1821" s="1" t="n">
        <v>37.2059730719</v>
      </c>
      <c r="D1821" s="1" t="n">
        <v>-7.01998889516</v>
      </c>
      <c r="E1821" s="3" t="n">
        <v>3</v>
      </c>
      <c r="F1821" s="2" t="n">
        <v>3</v>
      </c>
      <c r="G1821" s="4" t="n">
        <v>3</v>
      </c>
      <c r="H1821" s="13" t="n"/>
      <c r="I1821" s="15" t="n"/>
      <c r="J1821" s="19" t="n">
        <v>3</v>
      </c>
      <c r="K1821" s="2" t="inlineStr">
        <is>
          <t>marker_633_949321.png</t>
        </is>
      </c>
      <c r="L1821" s="11">
        <f>HYPERLINK("3\0\" &amp; K1821, "Ver Imagen")</f>
        <v/>
      </c>
      <c r="M1821" t="inlineStr">
        <is>
          <t>Moda</t>
        </is>
      </c>
    </row>
    <row r="1822">
      <c r="A1822" t="n">
        <v>1821</v>
      </c>
      <c r="B1822" t="inlineStr">
        <is>
          <t>A-5050__33</t>
        </is>
      </c>
      <c r="C1822" s="1" t="n">
        <v>37.2060882395</v>
      </c>
      <c r="D1822" s="1" t="n">
        <v>-7.02019881338</v>
      </c>
      <c r="E1822" s="3" t="n">
        <v>3</v>
      </c>
      <c r="F1822" s="2" t="n">
        <v>3</v>
      </c>
      <c r="G1822" s="4" t="n">
        <v>3</v>
      </c>
      <c r="H1822" s="13" t="n"/>
      <c r="I1822" s="15" t="n"/>
      <c r="J1822" s="19" t="n">
        <v>3</v>
      </c>
      <c r="K1822" s="2" t="inlineStr">
        <is>
          <t>marker_399_949332.png</t>
        </is>
      </c>
      <c r="L1822" s="11">
        <f>HYPERLINK("3\0\" &amp; K1822, "Ver Imagen")</f>
        <v/>
      </c>
      <c r="M1822" t="inlineStr">
        <is>
          <t>Moda</t>
        </is>
      </c>
    </row>
    <row r="1823">
      <c r="A1823" t="n">
        <v>1822</v>
      </c>
      <c r="B1823" t="inlineStr">
        <is>
          <t>A-5050__32</t>
        </is>
      </c>
      <c r="C1823" s="1" t="n">
        <v>37.2062012402</v>
      </c>
      <c r="D1823" s="1" t="n">
        <v>-7.02040350911</v>
      </c>
      <c r="E1823" s="3" t="n">
        <v>3</v>
      </c>
      <c r="F1823" s="2" t="n">
        <v>3</v>
      </c>
      <c r="G1823" s="4" t="n">
        <v>3</v>
      </c>
      <c r="H1823" s="13" t="n"/>
      <c r="I1823" s="15" t="n"/>
      <c r="J1823" s="19" t="n">
        <v>3</v>
      </c>
      <c r="K1823" s="2" t="inlineStr">
        <is>
          <t>marker_226_949341.png</t>
        </is>
      </c>
      <c r="L1823" s="11">
        <f>HYPERLINK("3\0\" &amp; K1823, "Ver Imagen")</f>
        <v/>
      </c>
      <c r="M1823" t="inlineStr">
        <is>
          <t>Moda</t>
        </is>
      </c>
    </row>
    <row r="1824">
      <c r="A1824" t="n">
        <v>1823</v>
      </c>
      <c r="B1824" t="inlineStr">
        <is>
          <t>A-5050__26</t>
        </is>
      </c>
      <c r="C1824" s="1" t="n">
        <v>37.206959974</v>
      </c>
      <c r="D1824" s="1" t="n">
        <v>-7.02155843965</v>
      </c>
      <c r="E1824" s="3" t="n">
        <v>3</v>
      </c>
      <c r="F1824" s="2" t="n">
        <v>3</v>
      </c>
      <c r="G1824" s="4" t="n">
        <v>3</v>
      </c>
      <c r="H1824" s="13" t="n"/>
      <c r="I1824" s="15" t="n"/>
      <c r="J1824" s="19" t="n">
        <v>3</v>
      </c>
      <c r="K1824" s="2" t="inlineStr">
        <is>
          <t>marker_956_949397.png</t>
        </is>
      </c>
      <c r="L1824" s="11">
        <f>HYPERLINK("3\0\" &amp; K1824, "Ver Imagen")</f>
        <v/>
      </c>
      <c r="M1824" t="inlineStr">
        <is>
          <t>Moda</t>
        </is>
      </c>
    </row>
    <row r="1825">
      <c r="A1825" t="n">
        <v>1824</v>
      </c>
      <c r="B1825" t="inlineStr">
        <is>
          <t>A-5050__14</t>
        </is>
      </c>
      <c r="C1825" s="1" t="n">
        <v>37.2082658984</v>
      </c>
      <c r="D1825" s="1" t="n">
        <v>-7.02397208813</v>
      </c>
      <c r="E1825" s="3" t="n">
        <v>3</v>
      </c>
      <c r="F1825" s="2" t="n">
        <v>3</v>
      </c>
      <c r="G1825" s="4" t="n">
        <v>3</v>
      </c>
      <c r="H1825" s="13" t="n"/>
      <c r="I1825" s="15" t="n"/>
      <c r="J1825" s="19" t="n">
        <v>3</v>
      </c>
      <c r="K1825" s="2" t="inlineStr">
        <is>
          <t>marker_600_949554.png</t>
        </is>
      </c>
      <c r="L1825" s="11">
        <f>HYPERLINK("3\0\" &amp; K1825, "Ver Imagen")</f>
        <v/>
      </c>
      <c r="M1825" t="inlineStr">
        <is>
          <t>Moda</t>
        </is>
      </c>
    </row>
    <row r="1826">
      <c r="A1826" t="n">
        <v>1825</v>
      </c>
      <c r="B1826" t="inlineStr">
        <is>
          <t>A-5050__13</t>
        </is>
      </c>
      <c r="C1826" s="1" t="n">
        <v>37.2082753181</v>
      </c>
      <c r="D1826" s="1" t="n">
        <v>-7.02422227992</v>
      </c>
      <c r="E1826" s="3" t="n">
        <v>3</v>
      </c>
      <c r="F1826" s="2" t="n">
        <v>3</v>
      </c>
      <c r="G1826" s="4" t="n">
        <v>3</v>
      </c>
      <c r="H1826" s="13" t="n"/>
      <c r="I1826" s="15" t="n"/>
      <c r="J1826" s="19" t="n">
        <v>3</v>
      </c>
      <c r="K1826" s="2" t="inlineStr">
        <is>
          <t>marker_334_949565.png</t>
        </is>
      </c>
      <c r="L1826" s="11">
        <f>HYPERLINK("3\0\" &amp; K1826, "Ver Imagen")</f>
        <v/>
      </c>
      <c r="M1826" t="inlineStr">
        <is>
          <t>Moda</t>
        </is>
      </c>
    </row>
    <row r="1827">
      <c r="A1827" t="n">
        <v>1826</v>
      </c>
      <c r="B1827" t="inlineStr">
        <is>
          <t>A-5050__10</t>
        </is>
      </c>
      <c r="C1827" s="1" t="n">
        <v>37.2084160112</v>
      </c>
      <c r="D1827" s="1" t="n">
        <v>-7.02497130422</v>
      </c>
      <c r="E1827" s="3" t="n">
        <v>3</v>
      </c>
      <c r="F1827" s="2" t="n">
        <v>3</v>
      </c>
      <c r="G1827" s="4" t="n">
        <v>3</v>
      </c>
      <c r="H1827" s="13" t="n"/>
      <c r="I1827" s="15" t="n"/>
      <c r="J1827" s="19" t="n">
        <v>3</v>
      </c>
      <c r="K1827" s="2" t="inlineStr">
        <is>
          <t>marker_698_949608.png</t>
        </is>
      </c>
      <c r="L1827" s="11">
        <f>HYPERLINK("3\0\" &amp; K1827, "Ver Imagen")</f>
        <v/>
      </c>
      <c r="M1827" t="inlineStr">
        <is>
          <t>Moda</t>
        </is>
      </c>
    </row>
    <row r="1828">
      <c r="A1828" t="n">
        <v>1827</v>
      </c>
      <c r="B1828" t="inlineStr">
        <is>
          <t>A-5050__3</t>
        </is>
      </c>
      <c r="C1828" s="1" t="n">
        <v>37.2088339792</v>
      </c>
      <c r="D1828" s="1" t="n">
        <v>-7.02663400845</v>
      </c>
      <c r="E1828" s="3" t="n">
        <v>3</v>
      </c>
      <c r="F1828" s="2" t="n">
        <v>3</v>
      </c>
      <c r="G1828" s="4" t="n">
        <v>3</v>
      </c>
      <c r="H1828" s="13" t="n"/>
      <c r="I1828" s="15" t="n"/>
      <c r="J1828" s="19" t="n">
        <v>3</v>
      </c>
      <c r="K1828" s="2" t="inlineStr">
        <is>
          <t>marker_490_949681.png</t>
        </is>
      </c>
      <c r="L1828" s="11">
        <f>HYPERLINK("3\0\" &amp; K1828, "Ver Imagen")</f>
        <v/>
      </c>
      <c r="M1828" t="inlineStr">
        <is>
          <t>Moda</t>
        </is>
      </c>
    </row>
    <row r="1829">
      <c r="A1829" t="n">
        <v>1828</v>
      </c>
      <c r="B1829" t="inlineStr">
        <is>
          <t>A-5052__3</t>
        </is>
      </c>
      <c r="C1829" s="1" t="n">
        <v>37.2184998174</v>
      </c>
      <c r="D1829" s="1" t="n">
        <v>-7.12517976996</v>
      </c>
      <c r="E1829" s="3" t="n">
        <v>3</v>
      </c>
      <c r="F1829" s="2" t="n">
        <v>3</v>
      </c>
      <c r="G1829" s="4" t="n">
        <v>3</v>
      </c>
      <c r="H1829" s="13" t="n"/>
      <c r="I1829" s="15" t="n"/>
      <c r="J1829" s="19" t="n">
        <v>3</v>
      </c>
      <c r="K1829" s="2" t="inlineStr">
        <is>
          <t>marker_793_949891.png</t>
        </is>
      </c>
      <c r="L1829" s="11">
        <f>HYPERLINK("3\0\" &amp; K1829, "Ver Imagen")</f>
        <v/>
      </c>
      <c r="M1829" t="inlineStr">
        <is>
          <t>Moda</t>
        </is>
      </c>
    </row>
    <row r="1830">
      <c r="A1830" t="n">
        <v>1829</v>
      </c>
      <c r="B1830" t="inlineStr">
        <is>
          <t>A-5052__10</t>
        </is>
      </c>
      <c r="C1830" s="1" t="n">
        <v>37.2183176975</v>
      </c>
      <c r="D1830" s="1" t="n">
        <v>-7.12345844891</v>
      </c>
      <c r="E1830" s="3" t="n">
        <v>3</v>
      </c>
      <c r="F1830" s="2" t="n">
        <v>3</v>
      </c>
      <c r="G1830" s="4" t="n">
        <v>3</v>
      </c>
      <c r="H1830" s="13" t="n"/>
      <c r="I1830" s="15" t="n"/>
      <c r="J1830" s="19" t="n">
        <v>3</v>
      </c>
      <c r="K1830" s="2" t="inlineStr">
        <is>
          <t>marker_977_950021.png</t>
        </is>
      </c>
      <c r="L1830" s="11">
        <f>HYPERLINK("3\0\" &amp; K1830, "Ver Imagen")</f>
        <v/>
      </c>
      <c r="M1830" t="inlineStr">
        <is>
          <t>Moda</t>
        </is>
      </c>
    </row>
    <row r="1831">
      <c r="A1831" t="n">
        <v>1830</v>
      </c>
      <c r="B1831" t="inlineStr">
        <is>
          <t>A-5052__53</t>
        </is>
      </c>
      <c r="C1831" s="1" t="n">
        <v>37.217536696</v>
      </c>
      <c r="D1831" s="1" t="n">
        <v>-7.11273306866</v>
      </c>
      <c r="E1831" s="3" t="n">
        <v>3</v>
      </c>
      <c r="F1831" s="2" t="n">
        <v>3</v>
      </c>
      <c r="G1831" s="4" t="n">
        <v>3</v>
      </c>
      <c r="H1831" s="13" t="n"/>
      <c r="I1831" s="15" t="n"/>
      <c r="J1831" s="19" t="n">
        <v>3</v>
      </c>
      <c r="K1831" s="2" t="inlineStr">
        <is>
          <t>marker_710_956957.png</t>
        </is>
      </c>
      <c r="L1831" s="11">
        <f>HYPERLINK("3\0\" &amp; K1831, "Ver Imagen")</f>
        <v/>
      </c>
      <c r="M1831" t="inlineStr">
        <is>
          <t>Moda</t>
        </is>
      </c>
    </row>
    <row r="1832">
      <c r="A1832" t="n">
        <v>1831</v>
      </c>
      <c r="B1832" t="inlineStr">
        <is>
          <t>A-5052__55</t>
        </is>
      </c>
      <c r="C1832" s="1" t="n">
        <v>37.2175603767</v>
      </c>
      <c r="D1832" s="1" t="n">
        <v>-7.11223666925</v>
      </c>
      <c r="E1832" s="3" t="n">
        <v>3</v>
      </c>
      <c r="F1832" s="2" t="n">
        <v>3</v>
      </c>
      <c r="G1832" s="4" t="n">
        <v>3</v>
      </c>
      <c r="H1832" s="13" t="n"/>
      <c r="I1832" s="15" t="n"/>
      <c r="J1832" s="19" t="n">
        <v>3</v>
      </c>
      <c r="K1832" s="2" t="inlineStr">
        <is>
          <t>marker_352_956980.png</t>
        </is>
      </c>
      <c r="L1832" s="11">
        <f>HYPERLINK("3\0\" &amp; K1832, "Ver Imagen")</f>
        <v/>
      </c>
      <c r="M1832" t="inlineStr">
        <is>
          <t>Moda</t>
        </is>
      </c>
    </row>
    <row r="1833">
      <c r="A1833" t="n">
        <v>1832</v>
      </c>
      <c r="B1833" t="inlineStr">
        <is>
          <t>A-5052__103</t>
        </is>
      </c>
      <c r="C1833" s="1" t="n">
        <v>37.217018068</v>
      </c>
      <c r="D1833" s="1" t="n">
        <v>-7.10019833828</v>
      </c>
      <c r="E1833" s="3" t="n">
        <v>3</v>
      </c>
      <c r="F1833" s="2" t="n">
        <v>3</v>
      </c>
      <c r="G1833" s="4" t="n">
        <v>3</v>
      </c>
      <c r="H1833" s="13" t="n"/>
      <c r="I1833" s="15" t="n"/>
      <c r="J1833" s="19" t="n">
        <v>3</v>
      </c>
      <c r="K1833" s="2" t="inlineStr">
        <is>
          <t>marker_893_957711.png</t>
        </is>
      </c>
      <c r="L1833" s="11">
        <f>HYPERLINK("3\0\" &amp; K1833, "Ver Imagen")</f>
        <v/>
      </c>
      <c r="M1833" t="inlineStr">
        <is>
          <t>Moda</t>
        </is>
      </c>
    </row>
    <row r="1834">
      <c r="A1834" t="n">
        <v>1833</v>
      </c>
      <c r="B1834" t="inlineStr">
        <is>
          <t>A-5052__213</t>
        </is>
      </c>
      <c r="C1834" s="1" t="n">
        <v>37.2138051423</v>
      </c>
      <c r="D1834" s="1" t="n">
        <v>-7.07288228236</v>
      </c>
      <c r="E1834" s="3" t="n">
        <v>3</v>
      </c>
      <c r="F1834" s="2" t="n">
        <v>3</v>
      </c>
      <c r="G1834" s="4" t="n">
        <v>3</v>
      </c>
      <c r="H1834" s="13" t="n"/>
      <c r="I1834" s="15" t="n"/>
      <c r="J1834" s="19" t="n">
        <v>3</v>
      </c>
      <c r="K1834" s="2" t="inlineStr">
        <is>
          <t>marker_344_959623.png</t>
        </is>
      </c>
      <c r="L1834" s="11">
        <f>HYPERLINK("3\0\" &amp; K1834, "Ver Imagen")</f>
        <v/>
      </c>
      <c r="M1834" t="inlineStr">
        <is>
          <t>Moda</t>
        </is>
      </c>
    </row>
    <row r="1835">
      <c r="A1835" t="n">
        <v>1834</v>
      </c>
      <c r="B1835" t="inlineStr">
        <is>
          <t>A-5052__251</t>
        </is>
      </c>
      <c r="C1835" s="1" t="n">
        <v>37.2132287738</v>
      </c>
      <c r="D1835" s="1" t="n">
        <v>-7.06341015058</v>
      </c>
      <c r="E1835" s="3" t="n">
        <v>3</v>
      </c>
      <c r="F1835" s="2" t="n">
        <v>3</v>
      </c>
      <c r="G1835" s="4" t="n">
        <v>3</v>
      </c>
      <c r="H1835" s="13" t="n"/>
      <c r="I1835" s="15" t="n"/>
      <c r="J1835" s="19" t="n">
        <v>3</v>
      </c>
      <c r="K1835" s="2" t="inlineStr">
        <is>
          <t>marker_853_960103.png</t>
        </is>
      </c>
      <c r="L1835" s="11">
        <f>HYPERLINK("3\0\" &amp; K1835, "Ver Imagen")</f>
        <v/>
      </c>
      <c r="M1835" t="inlineStr">
        <is>
          <t>Moda</t>
        </is>
      </c>
    </row>
    <row r="1836">
      <c r="A1836" t="n">
        <v>1835</v>
      </c>
      <c r="B1836" t="inlineStr">
        <is>
          <t>A-5052__252</t>
        </is>
      </c>
      <c r="C1836" s="1" t="n">
        <v>37.2132202454</v>
      </c>
      <c r="D1836" s="1" t="n">
        <v>-7.06318263952</v>
      </c>
      <c r="E1836" s="3" t="n">
        <v>3</v>
      </c>
      <c r="F1836" s="2" t="n">
        <v>3</v>
      </c>
      <c r="G1836" s="4" t="n">
        <v>3</v>
      </c>
      <c r="H1836" s="13" t="n"/>
      <c r="I1836" s="15" t="n"/>
      <c r="J1836" s="19" t="n">
        <v>3</v>
      </c>
      <c r="K1836" s="2" t="inlineStr">
        <is>
          <t>marker_547_960114.png</t>
        </is>
      </c>
      <c r="L1836" s="11">
        <f>HYPERLINK("3\0\" &amp; K1836, "Ver Imagen")</f>
        <v/>
      </c>
      <c r="M1836" t="inlineStr">
        <is>
          <t>Moda</t>
        </is>
      </c>
    </row>
    <row r="1837">
      <c r="A1837" t="n">
        <v>1836</v>
      </c>
      <c r="B1837" t="inlineStr">
        <is>
          <t>A-5052__263</t>
        </is>
      </c>
      <c r="C1837" s="1" t="n">
        <v>37.2125607793</v>
      </c>
      <c r="D1837" s="1" t="n">
        <v>-7.06055311894</v>
      </c>
      <c r="E1837" s="3" t="n">
        <v>3</v>
      </c>
      <c r="F1837" s="2" t="n">
        <v>3</v>
      </c>
      <c r="G1837" s="4" t="n">
        <v>3</v>
      </c>
      <c r="H1837" s="13" t="n"/>
      <c r="I1837" s="15" t="n"/>
      <c r="J1837" s="19" t="n">
        <v>3</v>
      </c>
      <c r="K1837" s="2" t="inlineStr">
        <is>
          <t>marker_149_960234.png</t>
        </is>
      </c>
      <c r="L1837" s="11">
        <f>HYPERLINK("3\0\" &amp; K1837, "Ver Imagen")</f>
        <v/>
      </c>
      <c r="M1837" t="inlineStr">
        <is>
          <t>Moda</t>
        </is>
      </c>
    </row>
    <row r="1838">
      <c r="A1838" t="n">
        <v>1837</v>
      </c>
      <c r="B1838" t="inlineStr">
        <is>
          <t>A-5052__275</t>
        </is>
      </c>
      <c r="C1838" s="1" t="n">
        <v>37.2115393698</v>
      </c>
      <c r="D1838" s="1" t="n">
        <v>-7.05775366275</v>
      </c>
      <c r="E1838" s="3" t="n">
        <v>3</v>
      </c>
      <c r="F1838" s="2" t="n">
        <v>3</v>
      </c>
      <c r="G1838" s="4" t="n">
        <v>3</v>
      </c>
      <c r="H1838" s="13" t="n"/>
      <c r="I1838" s="15" t="n"/>
      <c r="J1838" s="19" t="n">
        <v>3</v>
      </c>
      <c r="K1838" s="2" t="inlineStr">
        <is>
          <t>marker_826_960378.png</t>
        </is>
      </c>
      <c r="L1838" s="11">
        <f>HYPERLINK("3\0\" &amp; K1838, "Ver Imagen")</f>
        <v/>
      </c>
      <c r="M1838" t="inlineStr">
        <is>
          <t>Moda</t>
        </is>
      </c>
    </row>
    <row r="1839">
      <c r="A1839" t="n">
        <v>1838</v>
      </c>
      <c r="B1839" t="inlineStr">
        <is>
          <t>A-5052__277</t>
        </is>
      </c>
      <c r="C1839" s="1" t="n">
        <v>37.2114095549</v>
      </c>
      <c r="D1839" s="1" t="n">
        <v>-7.05726701446</v>
      </c>
      <c r="E1839" s="3" t="n">
        <v>3</v>
      </c>
      <c r="F1839" s="2" t="n">
        <v>3</v>
      </c>
      <c r="G1839" s="4" t="n">
        <v>3</v>
      </c>
      <c r="H1839" s="13" t="n"/>
      <c r="I1839" s="15" t="n"/>
      <c r="J1839" s="19" t="n">
        <v>3</v>
      </c>
      <c r="K1839" s="2" t="inlineStr">
        <is>
          <t>marker_931_960477.png</t>
        </is>
      </c>
      <c r="L1839" s="11">
        <f>HYPERLINK("3\0\" &amp; K1839, "Ver Imagen")</f>
        <v/>
      </c>
      <c r="M1839" t="inlineStr">
        <is>
          <t>Moda</t>
        </is>
      </c>
    </row>
    <row r="1840">
      <c r="A1840" t="n">
        <v>1839</v>
      </c>
      <c r="B1840" t="inlineStr">
        <is>
          <t>A-5052__273</t>
        </is>
      </c>
      <c r="C1840" s="1" t="n">
        <v>37.2116858687</v>
      </c>
      <c r="D1840" s="1" t="n">
        <v>-7.05820011872</v>
      </c>
      <c r="E1840" s="3" t="n">
        <v>3</v>
      </c>
      <c r="F1840" s="2" t="n">
        <v>3</v>
      </c>
      <c r="G1840" s="4" t="n">
        <v>3</v>
      </c>
      <c r="H1840" s="13" t="n"/>
      <c r="I1840" s="15" t="n"/>
      <c r="J1840" s="19" t="n">
        <v>3</v>
      </c>
      <c r="K1840" s="2" t="inlineStr">
        <is>
          <t>marker_287_960359.png</t>
        </is>
      </c>
      <c r="L1840" s="11">
        <f>HYPERLINK("3\0\" &amp; K1840, "Ver Imagen")</f>
        <v/>
      </c>
      <c r="M1840" t="inlineStr">
        <is>
          <t>Moda</t>
        </is>
      </c>
    </row>
    <row r="1841">
      <c r="A1841" t="n">
        <v>1840</v>
      </c>
      <c r="B1841" t="inlineStr">
        <is>
          <t>A-5052__297</t>
        </is>
      </c>
      <c r="C1841" s="1" t="n">
        <v>37.2107925648</v>
      </c>
      <c r="D1841" s="1" t="n">
        <v>-7.05230991991</v>
      </c>
      <c r="E1841" s="3" t="n">
        <v>3</v>
      </c>
      <c r="F1841" s="2" t="n">
        <v>3</v>
      </c>
      <c r="G1841" s="4" t="n">
        <v>3</v>
      </c>
      <c r="H1841" s="13" t="n"/>
      <c r="I1841" s="15" t="n"/>
      <c r="J1841" s="19" t="n">
        <v>3</v>
      </c>
      <c r="K1841" s="2" t="inlineStr">
        <is>
          <t>marker_885_960865.png</t>
        </is>
      </c>
      <c r="L1841" s="11">
        <f>HYPERLINK("3\0\" &amp; K1841, "Ver Imagen")</f>
        <v/>
      </c>
      <c r="M1841" t="inlineStr">
        <is>
          <t>Moda</t>
        </is>
      </c>
    </row>
    <row r="1842">
      <c r="A1842" t="n">
        <v>1841</v>
      </c>
      <c r="B1842" t="inlineStr">
        <is>
          <t>A-5052__334</t>
        </is>
      </c>
      <c r="C1842" s="1" t="n">
        <v>37.2106256157</v>
      </c>
      <c r="D1842" s="1" t="n">
        <v>-7.04342323314</v>
      </c>
      <c r="E1842" s="3" t="n">
        <v>3</v>
      </c>
      <c r="F1842" s="2" t="n">
        <v>3</v>
      </c>
      <c r="G1842" s="4" t="n">
        <v>3</v>
      </c>
      <c r="H1842" s="13" t="n"/>
      <c r="I1842" s="15" t="n"/>
      <c r="J1842" s="19" t="n">
        <v>3</v>
      </c>
      <c r="K1842" s="2" t="inlineStr">
        <is>
          <t>marker_899_961550.png</t>
        </is>
      </c>
      <c r="L1842" s="11">
        <f>HYPERLINK("3\0\" &amp; K1842, "Ver Imagen")</f>
        <v/>
      </c>
      <c r="M1842" t="inlineStr">
        <is>
          <t>Moda</t>
        </is>
      </c>
    </row>
    <row r="1843">
      <c r="A1843" t="n">
        <v>1842</v>
      </c>
      <c r="B1843" t="inlineStr">
        <is>
          <t>A-5052__335</t>
        </is>
      </c>
      <c r="C1843" s="1" t="n">
        <v>37.2105189757</v>
      </c>
      <c r="D1843" s="1" t="n">
        <v>-7.04313663502</v>
      </c>
      <c r="E1843" s="3" t="n">
        <v>3</v>
      </c>
      <c r="F1843" s="2" t="n">
        <v>3</v>
      </c>
      <c r="G1843" s="4" t="n">
        <v>3</v>
      </c>
      <c r="H1843" s="13" t="n"/>
      <c r="I1843" s="15" t="n"/>
      <c r="J1843" s="19" t="n">
        <v>3</v>
      </c>
      <c r="K1843" s="2" t="inlineStr">
        <is>
          <t>marker_502_961560.png</t>
        </is>
      </c>
      <c r="L1843" s="11">
        <f>HYPERLINK("3\0\" &amp; K1843, "Ver Imagen")</f>
        <v/>
      </c>
      <c r="M1843" t="inlineStr">
        <is>
          <t>Moda</t>
        </is>
      </c>
    </row>
    <row r="1844">
      <c r="A1844" t="n">
        <v>1843</v>
      </c>
      <c r="B1844" t="inlineStr">
        <is>
          <t>A-5052__338</t>
        </is>
      </c>
      <c r="C1844" s="1" t="n">
        <v>37.2102849075</v>
      </c>
      <c r="D1844" s="1" t="n">
        <v>-7.04251141437</v>
      </c>
      <c r="E1844" s="3" t="n">
        <v>3</v>
      </c>
      <c r="F1844" s="2" t="n">
        <v>3</v>
      </c>
      <c r="G1844" s="4" t="n">
        <v>3</v>
      </c>
      <c r="H1844" s="13" t="n"/>
      <c r="I1844" s="15" t="n"/>
      <c r="J1844" s="19" t="n">
        <v>3</v>
      </c>
      <c r="K1844" s="2" t="inlineStr">
        <is>
          <t>marker_106_961589.png</t>
        </is>
      </c>
      <c r="L1844" s="11">
        <f>HYPERLINK("3\0\" &amp; K1844, "Ver Imagen")</f>
        <v/>
      </c>
      <c r="M1844" t="inlineStr">
        <is>
          <t>Moda</t>
        </is>
      </c>
    </row>
    <row r="1845">
      <c r="A1845" t="n">
        <v>1844</v>
      </c>
      <c r="B1845" t="inlineStr">
        <is>
          <t>A-5052__348</t>
        </is>
      </c>
      <c r="C1845" s="1" t="n">
        <v>37.2094206434</v>
      </c>
      <c r="D1845" s="1" t="n">
        <v>-7.04019532331</v>
      </c>
      <c r="E1845" s="3" t="n">
        <v>3</v>
      </c>
      <c r="F1845" s="2" t="n">
        <v>3</v>
      </c>
      <c r="G1845" s="4" t="n">
        <v>3</v>
      </c>
      <c r="H1845" s="13" t="n"/>
      <c r="I1845" s="15" t="n"/>
      <c r="J1845" s="19" t="n">
        <v>3</v>
      </c>
      <c r="K1845" s="2" t="inlineStr">
        <is>
          <t>marker_391_961723.png</t>
        </is>
      </c>
      <c r="L1845" s="11">
        <f>HYPERLINK("3\0\" &amp; K1845, "Ver Imagen")</f>
        <v/>
      </c>
      <c r="M1845" t="inlineStr">
        <is>
          <t>Moda</t>
        </is>
      </c>
    </row>
    <row r="1846">
      <c r="A1846" t="n">
        <v>1845</v>
      </c>
      <c r="B1846" t="inlineStr">
        <is>
          <t>A-5052__356</t>
        </is>
      </c>
      <c r="C1846" s="1" t="n">
        <v>37.2086992034</v>
      </c>
      <c r="D1846" s="1" t="n">
        <v>-7.03833994873</v>
      </c>
      <c r="E1846" s="3" t="n">
        <v>3</v>
      </c>
      <c r="F1846" s="2" t="n">
        <v>3</v>
      </c>
      <c r="G1846" s="4" t="n">
        <v>3</v>
      </c>
      <c r="H1846" s="13" t="n"/>
      <c r="I1846" s="15" t="n"/>
      <c r="J1846" s="19" t="n">
        <v>3</v>
      </c>
      <c r="K1846" s="2" t="inlineStr">
        <is>
          <t>marker_810_961820.png</t>
        </is>
      </c>
      <c r="L1846" s="11">
        <f>HYPERLINK("3\0\" &amp; K1846, "Ver Imagen")</f>
        <v/>
      </c>
      <c r="M1846" t="inlineStr">
        <is>
          <t>Moda</t>
        </is>
      </c>
    </row>
    <row r="1847">
      <c r="A1847" t="n">
        <v>1846</v>
      </c>
      <c r="B1847" t="inlineStr">
        <is>
          <t>A-5052__357</t>
        </is>
      </c>
      <c r="C1847" s="1" t="n">
        <v>37.2086035841</v>
      </c>
      <c r="D1847" s="1" t="n">
        <v>-7.038094551</v>
      </c>
      <c r="E1847" s="3" t="n">
        <v>3</v>
      </c>
      <c r="F1847" s="2" t="n">
        <v>3</v>
      </c>
      <c r="G1847" s="4" t="n">
        <v>3</v>
      </c>
      <c r="H1847" s="13" t="n"/>
      <c r="I1847" s="15" t="n"/>
      <c r="J1847" s="19" t="n">
        <v>3</v>
      </c>
      <c r="K1847" s="2" t="inlineStr">
        <is>
          <t>marker_246_961829.png</t>
        </is>
      </c>
      <c r="L1847" s="11">
        <f>HYPERLINK("3\0\" &amp; K1847, "Ver Imagen")</f>
        <v/>
      </c>
      <c r="M1847" t="inlineStr">
        <is>
          <t>Moda</t>
        </is>
      </c>
    </row>
    <row r="1848">
      <c r="A1848" t="n">
        <v>1847</v>
      </c>
      <c r="B1848" t="inlineStr">
        <is>
          <t>A-5052__358</t>
        </is>
      </c>
      <c r="C1848" s="1" t="n">
        <v>37.208520396</v>
      </c>
      <c r="D1848" s="1" t="n">
        <v>-7.03788098201</v>
      </c>
      <c r="E1848" s="3" t="n">
        <v>3</v>
      </c>
      <c r="F1848" s="2" t="n">
        <v>3</v>
      </c>
      <c r="G1848" s="4" t="n">
        <v>3</v>
      </c>
      <c r="H1848" s="13" t="n"/>
      <c r="I1848" s="15" t="n"/>
      <c r="J1848" s="19" t="n">
        <v>3</v>
      </c>
      <c r="K1848" s="2" t="inlineStr">
        <is>
          <t>marker_686_961840.png</t>
        </is>
      </c>
      <c r="L1848" s="11">
        <f>HYPERLINK("3\0\" &amp; K1848, "Ver Imagen")</f>
        <v/>
      </c>
      <c r="M1848" t="inlineStr">
        <is>
          <t>Moda</t>
        </is>
      </c>
    </row>
    <row r="1849">
      <c r="A1849" t="n">
        <v>1848</v>
      </c>
      <c r="B1849" t="inlineStr">
        <is>
          <t>A-5052__359</t>
        </is>
      </c>
      <c r="C1849" s="1" t="n">
        <v>37.2084551361</v>
      </c>
      <c r="D1849" s="1" t="n">
        <v>-7.03771099412</v>
      </c>
      <c r="E1849" s="3" t="n">
        <v>3</v>
      </c>
      <c r="F1849" s="2" t="n">
        <v>3</v>
      </c>
      <c r="G1849" s="4" t="n">
        <v>3</v>
      </c>
      <c r="H1849" s="13" t="n"/>
      <c r="I1849" s="15" t="n"/>
      <c r="J1849" s="19" t="n">
        <v>3</v>
      </c>
      <c r="K1849" s="2" t="inlineStr">
        <is>
          <t>marker_488_961849.png</t>
        </is>
      </c>
      <c r="L1849" s="11">
        <f>HYPERLINK("3\0\" &amp; K1849, "Ver Imagen")</f>
        <v/>
      </c>
      <c r="M1849" t="inlineStr">
        <is>
          <t>Moda</t>
        </is>
      </c>
    </row>
    <row r="1850">
      <c r="A1850" t="n">
        <v>1849</v>
      </c>
      <c r="B1850" t="inlineStr">
        <is>
          <t>A-5052__370</t>
        </is>
      </c>
      <c r="C1850" s="1" t="n">
        <v>37.2074776793</v>
      </c>
      <c r="D1850" s="1" t="n">
        <v>-7.0351751928</v>
      </c>
      <c r="E1850" s="3" t="n">
        <v>3</v>
      </c>
      <c r="F1850" s="2" t="n">
        <v>3</v>
      </c>
      <c r="G1850" s="4" t="n">
        <v>3</v>
      </c>
      <c r="H1850" s="13" t="n"/>
      <c r="I1850" s="15" t="n"/>
      <c r="J1850" s="19" t="n">
        <v>3</v>
      </c>
      <c r="K1850" s="2" t="inlineStr">
        <is>
          <t>marker_501_962294.png</t>
        </is>
      </c>
      <c r="L1850" s="11">
        <f>HYPERLINK("3\0\" &amp; K1850, "Ver Imagen")</f>
        <v/>
      </c>
      <c r="M1850" t="inlineStr">
        <is>
          <t>Moda</t>
        </is>
      </c>
    </row>
    <row r="1851">
      <c r="A1851" t="n">
        <v>1850</v>
      </c>
      <c r="B1851" t="inlineStr">
        <is>
          <t>A-5052__381</t>
        </is>
      </c>
      <c r="C1851" s="1" t="n">
        <v>37.20651533</v>
      </c>
      <c r="D1851" s="1" t="n">
        <v>-7.03267694203</v>
      </c>
      <c r="E1851" s="3" t="n">
        <v>3</v>
      </c>
      <c r="F1851" s="2" t="n">
        <v>3</v>
      </c>
      <c r="G1851" s="4" t="n">
        <v>3</v>
      </c>
      <c r="H1851" s="13" t="n"/>
      <c r="I1851" s="15" t="n"/>
      <c r="J1851" s="19" t="n">
        <v>3</v>
      </c>
      <c r="K1851" s="2" t="inlineStr">
        <is>
          <t>marker_125_962486.png</t>
        </is>
      </c>
      <c r="L1851" s="11">
        <f>HYPERLINK("3\0\" &amp; K1851, "Ver Imagen")</f>
        <v/>
      </c>
      <c r="M1851" t="inlineStr">
        <is>
          <t>Moda</t>
        </is>
      </c>
    </row>
    <row r="1852">
      <c r="A1852" t="n">
        <v>1851</v>
      </c>
      <c r="B1852" t="inlineStr">
        <is>
          <t>A-5052__384</t>
        </is>
      </c>
      <c r="C1852" s="1" t="n">
        <v>37.2062507333</v>
      </c>
      <c r="D1852" s="1" t="n">
        <v>-7.03199874194</v>
      </c>
      <c r="E1852" s="3" t="n">
        <v>3</v>
      </c>
      <c r="F1852" s="2" t="n">
        <v>3</v>
      </c>
      <c r="G1852" s="4" t="n">
        <v>3</v>
      </c>
      <c r="H1852" s="13" t="n"/>
      <c r="I1852" s="15" t="n"/>
      <c r="J1852" s="19" t="n">
        <v>3</v>
      </c>
      <c r="K1852" s="2" t="inlineStr">
        <is>
          <t>marker_857_962520.png</t>
        </is>
      </c>
      <c r="L1852" s="11">
        <f>HYPERLINK("3\0\" &amp; K1852, "Ver Imagen")</f>
        <v/>
      </c>
      <c r="M1852" t="inlineStr">
        <is>
          <t>Moda</t>
        </is>
      </c>
    </row>
    <row r="1853">
      <c r="A1853" t="n">
        <v>1852</v>
      </c>
      <c r="B1853" t="inlineStr">
        <is>
          <t>A-5052__391</t>
        </is>
      </c>
      <c r="C1853" s="1" t="n">
        <v>37.2056292586</v>
      </c>
      <c r="D1853" s="1" t="n">
        <v>-7.03038171232</v>
      </c>
      <c r="E1853" s="3" t="n">
        <v>3</v>
      </c>
      <c r="F1853" s="2" t="n">
        <v>3</v>
      </c>
      <c r="G1853" s="4" t="n">
        <v>3</v>
      </c>
      <c r="H1853" s="13" t="n"/>
      <c r="I1853" s="15" t="n"/>
      <c r="J1853" s="19" t="n">
        <v>3</v>
      </c>
      <c r="K1853" s="2" t="inlineStr">
        <is>
          <t>marker_384_962587.png</t>
        </is>
      </c>
      <c r="L1853" s="11">
        <f>HYPERLINK("3\0\" &amp; K1853, "Ver Imagen")</f>
        <v/>
      </c>
      <c r="M1853" t="inlineStr">
        <is>
          <t>Moda</t>
        </is>
      </c>
    </row>
    <row r="1854">
      <c r="A1854" t="n">
        <v>1853</v>
      </c>
      <c r="B1854" t="inlineStr">
        <is>
          <t>A-5052__395</t>
        </is>
      </c>
      <c r="C1854" s="1" t="n">
        <v>37.2052875342</v>
      </c>
      <c r="D1854" s="1" t="n">
        <v>-7.02947757783</v>
      </c>
      <c r="E1854" s="3" t="n">
        <v>3</v>
      </c>
      <c r="F1854" s="2" t="n">
        <v>3</v>
      </c>
      <c r="G1854" s="4" t="n">
        <v>3</v>
      </c>
      <c r="H1854" s="13" t="n"/>
      <c r="I1854" s="15" t="n"/>
      <c r="J1854" s="19" t="n">
        <v>3</v>
      </c>
      <c r="K1854" s="2" t="inlineStr">
        <is>
          <t>marker_261_962621.png</t>
        </is>
      </c>
      <c r="L1854" s="11">
        <f>HYPERLINK("3\0\" &amp; K1854, "Ver Imagen")</f>
        <v/>
      </c>
      <c r="M1854" t="inlineStr">
        <is>
          <t>Moda</t>
        </is>
      </c>
    </row>
    <row r="1855">
      <c r="A1855" t="n">
        <v>1854</v>
      </c>
      <c r="B1855" t="inlineStr">
        <is>
          <t>A-5052__398</t>
        </is>
      </c>
      <c r="C1855" s="1" t="n">
        <v>37.2050312514</v>
      </c>
      <c r="D1855" s="1" t="n">
        <v>-7.0288209906</v>
      </c>
      <c r="E1855" s="3" t="n">
        <v>3</v>
      </c>
      <c r="F1855" s="2" t="n">
        <v>3</v>
      </c>
      <c r="G1855" s="4" t="n">
        <v>3</v>
      </c>
      <c r="H1855" s="13" t="n"/>
      <c r="I1855" s="15" t="n"/>
      <c r="J1855" s="19" t="n">
        <v>3</v>
      </c>
      <c r="K1855" s="2" t="inlineStr">
        <is>
          <t>marker_841_962647.png</t>
        </is>
      </c>
      <c r="L1855" s="11">
        <f>HYPERLINK("3\0\" &amp; K1855, "Ver Imagen")</f>
        <v/>
      </c>
      <c r="M1855" t="inlineStr">
        <is>
          <t>Moda</t>
        </is>
      </c>
    </row>
    <row r="1856">
      <c r="A1856" t="n">
        <v>1855</v>
      </c>
      <c r="B1856" t="inlineStr">
        <is>
          <t>A-5052__399</t>
        </is>
      </c>
      <c r="C1856" s="1" t="n">
        <v>37.2049267444</v>
      </c>
      <c r="D1856" s="1" t="n">
        <v>-7.02858680606</v>
      </c>
      <c r="E1856" s="3" t="n">
        <v>3</v>
      </c>
      <c r="F1856" s="2" t="n">
        <v>3</v>
      </c>
      <c r="G1856" s="4" t="n">
        <v>3</v>
      </c>
      <c r="H1856" s="13" t="n"/>
      <c r="I1856" s="15" t="n"/>
      <c r="J1856" s="19" t="n">
        <v>3</v>
      </c>
      <c r="K1856" s="2" t="inlineStr">
        <is>
          <t>marker_424_962656.png</t>
        </is>
      </c>
      <c r="L1856" s="11">
        <f>HYPERLINK("3\0\" &amp; K1856, "Ver Imagen")</f>
        <v/>
      </c>
      <c r="M1856" t="inlineStr">
        <is>
          <t>Moda</t>
        </is>
      </c>
    </row>
    <row r="1857">
      <c r="A1857" t="n">
        <v>1856</v>
      </c>
      <c r="B1857" t="inlineStr">
        <is>
          <t>A-5052__405</t>
        </is>
      </c>
      <c r="C1857" s="1" t="n">
        <v>37.2043147155</v>
      </c>
      <c r="D1857" s="1" t="n">
        <v>-7.02726759823</v>
      </c>
      <c r="E1857" s="3" t="n">
        <v>3</v>
      </c>
      <c r="F1857" s="2" t="n">
        <v>3</v>
      </c>
      <c r="G1857" s="4" t="n">
        <v>3</v>
      </c>
      <c r="H1857" s="13" t="n"/>
      <c r="I1857" s="15" t="n"/>
      <c r="J1857" s="19" t="n">
        <v>3</v>
      </c>
      <c r="K1857" s="2" t="inlineStr">
        <is>
          <t>marker_309_962720.png</t>
        </is>
      </c>
      <c r="L1857" s="11">
        <f>HYPERLINK("3\0\" &amp; K1857, "Ver Imagen")</f>
        <v/>
      </c>
      <c r="M1857" t="inlineStr">
        <is>
          <t>Moda</t>
        </is>
      </c>
    </row>
    <row r="1858">
      <c r="A1858" t="n">
        <v>1857</v>
      </c>
      <c r="B1858" t="inlineStr">
        <is>
          <t>A-5052__406</t>
        </is>
      </c>
      <c r="C1858" s="1" t="n">
        <v>37.2042680646</v>
      </c>
      <c r="D1858" s="1" t="n">
        <v>-7.0270488589</v>
      </c>
      <c r="E1858" s="3" t="n">
        <v>3</v>
      </c>
      <c r="F1858" s="2" t="n">
        <v>3</v>
      </c>
      <c r="G1858" s="4" t="n">
        <v>3</v>
      </c>
      <c r="H1858" s="13" t="n"/>
      <c r="I1858" s="15" t="n"/>
      <c r="J1858" s="19" t="n">
        <v>3</v>
      </c>
      <c r="K1858" s="2" t="inlineStr">
        <is>
          <t>marker_501_962729.png</t>
        </is>
      </c>
      <c r="L1858" s="11">
        <f>HYPERLINK("3\0\" &amp; K1858, "Ver Imagen")</f>
        <v/>
      </c>
      <c r="M1858" t="inlineStr">
        <is>
          <t>Moda</t>
        </is>
      </c>
    </row>
    <row r="1859">
      <c r="A1859" t="n">
        <v>1858</v>
      </c>
      <c r="B1859" t="inlineStr">
        <is>
          <t>A-5053__329</t>
        </is>
      </c>
      <c r="C1859" s="1" t="n">
        <v>37.2796250257</v>
      </c>
      <c r="D1859" s="1" t="n">
        <v>-7.14519224261</v>
      </c>
      <c r="E1859" s="3" t="n">
        <v>3</v>
      </c>
      <c r="F1859" s="2" t="n">
        <v>3</v>
      </c>
      <c r="G1859" s="4" t="n">
        <v>3</v>
      </c>
      <c r="H1859" s="13" t="n"/>
      <c r="I1859" s="15" t="n"/>
      <c r="J1859" s="19" t="n">
        <v>3</v>
      </c>
      <c r="K1859" s="2" t="inlineStr">
        <is>
          <t>marker_855_964477.png</t>
        </is>
      </c>
      <c r="L1859" s="11">
        <f>HYPERLINK("3\0\" &amp; K1859, "Ver Imagen")</f>
        <v/>
      </c>
      <c r="M1859" t="inlineStr">
        <is>
          <t>Moda</t>
        </is>
      </c>
    </row>
    <row r="1860">
      <c r="A1860" t="n">
        <v>1859</v>
      </c>
      <c r="B1860" t="inlineStr">
        <is>
          <t>A-5053__327</t>
        </is>
      </c>
      <c r="C1860" s="1" t="n">
        <v>37.2793011028</v>
      </c>
      <c r="D1860" s="1" t="n">
        <v>-7.14485323732</v>
      </c>
      <c r="E1860" s="3" t="n">
        <v>3</v>
      </c>
      <c r="F1860" s="2" t="n">
        <v>3</v>
      </c>
      <c r="G1860" s="4" t="n">
        <v>3</v>
      </c>
      <c r="H1860" s="13" t="n"/>
      <c r="I1860" s="15" t="n"/>
      <c r="J1860" s="19" t="n">
        <v>3</v>
      </c>
      <c r="K1860" s="2" t="inlineStr">
        <is>
          <t>marker_754_964497.png</t>
        </is>
      </c>
      <c r="L1860" s="11">
        <f>HYPERLINK("3\0\" &amp; K1860, "Ver Imagen")</f>
        <v/>
      </c>
      <c r="M1860" t="inlineStr">
        <is>
          <t>Moda</t>
        </is>
      </c>
    </row>
    <row r="1861">
      <c r="A1861" t="n">
        <v>1860</v>
      </c>
      <c r="B1861" t="inlineStr">
        <is>
          <t>A-5053__326</t>
        </is>
      </c>
      <c r="C1861" s="1" t="n">
        <v>37.2791289835</v>
      </c>
      <c r="D1861" s="1" t="n">
        <v>-7.14471137952</v>
      </c>
      <c r="E1861" s="3" t="n">
        <v>3</v>
      </c>
      <c r="F1861" s="2" t="n">
        <v>3</v>
      </c>
      <c r="G1861" s="4" t="n">
        <v>3</v>
      </c>
      <c r="H1861" s="13" t="n"/>
      <c r="I1861" s="15" t="n"/>
      <c r="J1861" s="19" t="n">
        <v>3</v>
      </c>
      <c r="K1861" s="2" t="inlineStr">
        <is>
          <t>marker_798_964507.png</t>
        </is>
      </c>
      <c r="L1861" s="11">
        <f>HYPERLINK("3\0\" &amp; K1861, "Ver Imagen")</f>
        <v/>
      </c>
      <c r="M1861" t="inlineStr">
        <is>
          <t>Moda</t>
        </is>
      </c>
    </row>
    <row r="1862">
      <c r="A1862" t="n">
        <v>1861</v>
      </c>
      <c r="B1862" t="inlineStr">
        <is>
          <t>A-5053__316</t>
        </is>
      </c>
      <c r="C1862" s="1" t="n">
        <v>37.2773707726</v>
      </c>
      <c r="D1862" s="1" t="n">
        <v>-7.14343108519</v>
      </c>
      <c r="E1862" s="3" t="n">
        <v>3</v>
      </c>
      <c r="F1862" s="2" t="n">
        <v>3</v>
      </c>
      <c r="G1862" s="4" t="n">
        <v>3</v>
      </c>
      <c r="H1862" s="13" t="n"/>
      <c r="I1862" s="15" t="n"/>
      <c r="J1862" s="19" t="n">
        <v>3</v>
      </c>
      <c r="K1862" s="2" t="inlineStr">
        <is>
          <t>marker_471_964618.png</t>
        </is>
      </c>
      <c r="L1862" s="11">
        <f>HYPERLINK("3\0\" &amp; K1862, "Ver Imagen")</f>
        <v/>
      </c>
      <c r="M1862" t="inlineStr">
        <is>
          <t>Moda</t>
        </is>
      </c>
    </row>
    <row r="1863">
      <c r="A1863" t="n">
        <v>1862</v>
      </c>
      <c r="B1863" t="inlineStr">
        <is>
          <t>A-5053__302</t>
        </is>
      </c>
      <c r="C1863" s="1" t="n">
        <v>37.2746457092</v>
      </c>
      <c r="D1863" s="1" t="n">
        <v>-7.14250898497</v>
      </c>
      <c r="E1863" s="3" t="n">
        <v>3</v>
      </c>
      <c r="F1863" s="2" t="n">
        <v>3</v>
      </c>
      <c r="G1863" s="4" t="n">
        <v>3</v>
      </c>
      <c r="H1863" s="13" t="n"/>
      <c r="I1863" s="15" t="n"/>
      <c r="J1863" s="19" t="n">
        <v>3</v>
      </c>
      <c r="K1863" s="2" t="inlineStr">
        <is>
          <t>marker_480_964752.png</t>
        </is>
      </c>
      <c r="L1863" s="11">
        <f>HYPERLINK("3\0\" &amp; K1863, "Ver Imagen")</f>
        <v/>
      </c>
      <c r="M1863" t="inlineStr">
        <is>
          <t>Moda</t>
        </is>
      </c>
    </row>
    <row r="1864">
      <c r="A1864" t="n">
        <v>1863</v>
      </c>
      <c r="B1864" t="inlineStr">
        <is>
          <t>A-5053__299</t>
        </is>
      </c>
      <c r="C1864" s="1" t="n">
        <v>37.2740897613</v>
      </c>
      <c r="D1864" s="1" t="n">
        <v>-7.14226227602</v>
      </c>
      <c r="E1864" s="3" t="n">
        <v>3</v>
      </c>
      <c r="F1864" s="2" t="n">
        <v>3</v>
      </c>
      <c r="G1864" s="4" t="n">
        <v>3</v>
      </c>
      <c r="H1864" s="13" t="n"/>
      <c r="I1864" s="15" t="n"/>
      <c r="J1864" s="19" t="n">
        <v>3</v>
      </c>
      <c r="K1864" s="2" t="inlineStr">
        <is>
          <t>marker_317_964874.png</t>
        </is>
      </c>
      <c r="L1864" s="11">
        <f>HYPERLINK("3\0\" &amp; K1864, "Ver Imagen")</f>
        <v/>
      </c>
      <c r="M1864" t="inlineStr">
        <is>
          <t>Moda</t>
        </is>
      </c>
    </row>
    <row r="1865">
      <c r="A1865" t="n">
        <v>1864</v>
      </c>
      <c r="B1865" t="inlineStr">
        <is>
          <t>A-5053__294</t>
        </is>
      </c>
      <c r="C1865" s="1" t="n">
        <v>37.2731334662</v>
      </c>
      <c r="D1865" s="1" t="n">
        <v>-7.14184446515</v>
      </c>
      <c r="E1865" s="3" t="n">
        <v>3</v>
      </c>
      <c r="F1865" s="2" t="n">
        <v>3</v>
      </c>
      <c r="G1865" s="4" t="n">
        <v>3</v>
      </c>
      <c r="H1865" s="13" t="n"/>
      <c r="I1865" s="15" t="n"/>
      <c r="J1865" s="19" t="n">
        <v>3</v>
      </c>
      <c r="K1865" s="2" t="inlineStr">
        <is>
          <t>marker_592_964922.png</t>
        </is>
      </c>
      <c r="L1865" s="11">
        <f>HYPERLINK("3\0\" &amp; K1865, "Ver Imagen")</f>
        <v/>
      </c>
      <c r="M1865" t="inlineStr">
        <is>
          <t>Moda</t>
        </is>
      </c>
    </row>
    <row r="1866">
      <c r="A1866" t="n">
        <v>1865</v>
      </c>
      <c r="B1866" t="inlineStr">
        <is>
          <t>A-5053__280</t>
        </is>
      </c>
      <c r="C1866" s="1" t="n">
        <v>37.2706963309</v>
      </c>
      <c r="D1866" s="1" t="n">
        <v>-7.14007406619</v>
      </c>
      <c r="E1866" s="3" t="n">
        <v>3</v>
      </c>
      <c r="F1866" s="2" t="n">
        <v>3</v>
      </c>
      <c r="G1866" s="4" t="n">
        <v>3</v>
      </c>
      <c r="H1866" s="13" t="n"/>
      <c r="I1866" s="15" t="n"/>
      <c r="J1866" s="19" t="n">
        <v>3</v>
      </c>
      <c r="K1866" s="2" t="inlineStr">
        <is>
          <t>marker_694_965060.png</t>
        </is>
      </c>
      <c r="L1866" s="11">
        <f>HYPERLINK("3\0\" &amp; K1866, "Ver Imagen")</f>
        <v/>
      </c>
      <c r="M1866" t="inlineStr">
        <is>
          <t>Moda</t>
        </is>
      </c>
    </row>
    <row r="1867">
      <c r="A1867" t="n">
        <v>1866</v>
      </c>
      <c r="B1867" t="inlineStr">
        <is>
          <t>A-5053__278</t>
        </is>
      </c>
      <c r="C1867" s="1" t="n">
        <v>37.2703398422</v>
      </c>
      <c r="D1867" s="1" t="n">
        <v>-7.1398195134</v>
      </c>
      <c r="E1867" s="3" t="n">
        <v>3</v>
      </c>
      <c r="F1867" s="2" t="n">
        <v>3</v>
      </c>
      <c r="G1867" s="4" t="n">
        <v>3</v>
      </c>
      <c r="H1867" s="13" t="n"/>
      <c r="I1867" s="15" t="n"/>
      <c r="J1867" s="19" t="n">
        <v>3</v>
      </c>
      <c r="K1867" s="2" t="inlineStr">
        <is>
          <t>marker_730_965078.png</t>
        </is>
      </c>
      <c r="L1867" s="11">
        <f>HYPERLINK("3\0\" &amp; K1867, "Ver Imagen")</f>
        <v/>
      </c>
      <c r="M1867" t="inlineStr">
        <is>
          <t>Moda</t>
        </is>
      </c>
    </row>
    <row r="1868">
      <c r="A1868" t="n">
        <v>1867</v>
      </c>
      <c r="B1868" t="inlineStr">
        <is>
          <t>A-5053__270</t>
        </is>
      </c>
      <c r="C1868" s="1" t="n">
        <v>37.2690811489</v>
      </c>
      <c r="D1868" s="1" t="n">
        <v>-7.13857484452</v>
      </c>
      <c r="E1868" s="3" t="n">
        <v>3</v>
      </c>
      <c r="F1868" s="2" t="n">
        <v>3</v>
      </c>
      <c r="G1868" s="4" t="n">
        <v>3</v>
      </c>
      <c r="H1868" s="13" t="n"/>
      <c r="I1868" s="15" t="n"/>
      <c r="J1868" s="19" t="n">
        <v>3</v>
      </c>
      <c r="K1868" s="2" t="inlineStr">
        <is>
          <t>marker_567_965147.png</t>
        </is>
      </c>
      <c r="L1868" s="11">
        <f>HYPERLINK("3\0\" &amp; K1868, "Ver Imagen")</f>
        <v/>
      </c>
      <c r="M1868" t="inlineStr">
        <is>
          <t>Moda</t>
        </is>
      </c>
    </row>
    <row r="1869">
      <c r="A1869" t="n">
        <v>1868</v>
      </c>
      <c r="B1869" t="inlineStr">
        <is>
          <t>A-5053__268</t>
        </is>
      </c>
      <c r="C1869" s="1" t="n">
        <v>37.2688798033</v>
      </c>
      <c r="D1869" s="1" t="n">
        <v>-7.13816983078</v>
      </c>
      <c r="E1869" s="3" t="n">
        <v>3</v>
      </c>
      <c r="F1869" s="2" t="n">
        <v>3</v>
      </c>
      <c r="G1869" s="4" t="n">
        <v>3</v>
      </c>
      <c r="H1869" s="13" t="n"/>
      <c r="I1869" s="15" t="n"/>
      <c r="J1869" s="19" t="n">
        <v>3</v>
      </c>
      <c r="K1869" s="2" t="inlineStr">
        <is>
          <t>marker_173_965164.png</t>
        </is>
      </c>
      <c r="L1869" s="11">
        <f>HYPERLINK("3\0\" &amp; K1869, "Ver Imagen")</f>
        <v/>
      </c>
      <c r="M1869" t="inlineStr">
        <is>
          <t>Moda</t>
        </is>
      </c>
    </row>
    <row r="1870">
      <c r="A1870" t="n">
        <v>1869</v>
      </c>
      <c r="B1870" t="inlineStr">
        <is>
          <t>A-5053__250</t>
        </is>
      </c>
      <c r="C1870" s="1" t="n">
        <v>37.267462542</v>
      </c>
      <c r="D1870" s="1" t="n">
        <v>-7.13399939295</v>
      </c>
      <c r="E1870" s="3" t="n">
        <v>3</v>
      </c>
      <c r="F1870" s="2" t="n">
        <v>3</v>
      </c>
      <c r="G1870" s="4" t="n">
        <v>3</v>
      </c>
      <c r="H1870" s="13" t="n"/>
      <c r="I1870" s="15" t="n"/>
      <c r="J1870" s="19" t="n">
        <v>3</v>
      </c>
      <c r="K1870" s="2" t="inlineStr">
        <is>
          <t>marker_390_965350.png</t>
        </is>
      </c>
      <c r="L1870" s="11">
        <f>HYPERLINK("3\0\" &amp; K1870, "Ver Imagen")</f>
        <v/>
      </c>
      <c r="M1870" t="inlineStr">
        <is>
          <t>Moda</t>
        </is>
      </c>
    </row>
    <row r="1871">
      <c r="A1871" t="n">
        <v>1870</v>
      </c>
      <c r="B1871" t="inlineStr">
        <is>
          <t>A-5053__249</t>
        </is>
      </c>
      <c r="C1871" s="1" t="n">
        <v>37.267325683</v>
      </c>
      <c r="D1871" s="1" t="n">
        <v>-7.13383825868</v>
      </c>
      <c r="E1871" s="3" t="n">
        <v>3</v>
      </c>
      <c r="F1871" s="2" t="n">
        <v>3</v>
      </c>
      <c r="G1871" s="4" t="n">
        <v>3</v>
      </c>
      <c r="H1871" s="13" t="n"/>
      <c r="I1871" s="15" t="n"/>
      <c r="J1871" s="19" t="n">
        <v>3</v>
      </c>
      <c r="K1871" s="2" t="inlineStr">
        <is>
          <t>marker_624_965421.png</t>
        </is>
      </c>
      <c r="L1871" s="11">
        <f>HYPERLINK("3\0\" &amp; K1871, "Ver Imagen")</f>
        <v/>
      </c>
      <c r="M1871" t="inlineStr">
        <is>
          <t>Moda</t>
        </is>
      </c>
    </row>
    <row r="1872">
      <c r="A1872" t="n">
        <v>1871</v>
      </c>
      <c r="B1872" t="inlineStr">
        <is>
          <t>A-5053__246</t>
        </is>
      </c>
      <c r="C1872" s="1" t="n">
        <v>37.2668036401</v>
      </c>
      <c r="D1872" s="1" t="n">
        <v>-7.13337675775</v>
      </c>
      <c r="E1872" s="3" t="n">
        <v>3</v>
      </c>
      <c r="F1872" s="2" t="n">
        <v>3</v>
      </c>
      <c r="G1872" s="4" t="n">
        <v>3</v>
      </c>
      <c r="H1872" s="13" t="n"/>
      <c r="I1872" s="15" t="n"/>
      <c r="J1872" s="19" t="n">
        <v>3</v>
      </c>
      <c r="K1872" s="2" t="inlineStr">
        <is>
          <t>marker_199_965447.png</t>
        </is>
      </c>
      <c r="L1872" s="11">
        <f>HYPERLINK("3\0\" &amp; K1872, "Ver Imagen")</f>
        <v/>
      </c>
      <c r="M1872" t="inlineStr">
        <is>
          <t>Moda</t>
        </is>
      </c>
    </row>
    <row r="1873">
      <c r="A1873" t="n">
        <v>1872</v>
      </c>
      <c r="B1873" t="inlineStr">
        <is>
          <t>A-5053__242</t>
        </is>
      </c>
      <c r="C1873" s="1" t="n">
        <v>37.266120987</v>
      </c>
      <c r="D1873" s="1" t="n">
        <v>-7.13292875272</v>
      </c>
      <c r="E1873" s="3" t="n">
        <v>3</v>
      </c>
      <c r="F1873" s="2" t="n">
        <v>3</v>
      </c>
      <c r="G1873" s="4" t="n">
        <v>3</v>
      </c>
      <c r="H1873" s="13" t="n"/>
      <c r="I1873" s="15" t="n"/>
      <c r="J1873" s="19" t="n">
        <v>3</v>
      </c>
      <c r="K1873" s="2" t="inlineStr">
        <is>
          <t>marker_234_965481.png</t>
        </is>
      </c>
      <c r="L1873" s="11">
        <f>HYPERLINK("3\0\" &amp; K1873, "Ver Imagen")</f>
        <v/>
      </c>
      <c r="M1873" t="inlineStr">
        <is>
          <t>Moda</t>
        </is>
      </c>
    </row>
    <row r="1874">
      <c r="A1874" t="n">
        <v>1873</v>
      </c>
      <c r="B1874" t="inlineStr">
        <is>
          <t>A-5053__237</t>
        </is>
      </c>
      <c r="C1874" s="1" t="n">
        <v>37.2651862466</v>
      </c>
      <c r="D1874" s="1" t="n">
        <v>-7.13233774493</v>
      </c>
      <c r="E1874" s="3" t="n">
        <v>3</v>
      </c>
      <c r="F1874" s="2" t="n">
        <v>3</v>
      </c>
      <c r="G1874" s="4" t="n">
        <v>3</v>
      </c>
      <c r="H1874" s="13" t="n"/>
      <c r="I1874" s="15" t="n"/>
      <c r="J1874" s="19" t="n">
        <v>3</v>
      </c>
      <c r="K1874" s="2" t="inlineStr">
        <is>
          <t>marker_227_965527.png</t>
        </is>
      </c>
      <c r="L1874" s="11">
        <f>HYPERLINK("3\0\" &amp; K1874, "Ver Imagen")</f>
        <v/>
      </c>
      <c r="M1874" t="inlineStr">
        <is>
          <t>Moda</t>
        </is>
      </c>
    </row>
    <row r="1875">
      <c r="A1875" t="n">
        <v>1874</v>
      </c>
      <c r="B1875" t="inlineStr">
        <is>
          <t>A-5053__236</t>
        </is>
      </c>
      <c r="C1875" s="1" t="n">
        <v>37.2650011744</v>
      </c>
      <c r="D1875" s="1" t="n">
        <v>-7.13222045496</v>
      </c>
      <c r="E1875" s="3" t="n">
        <v>3</v>
      </c>
      <c r="F1875" s="2" t="n">
        <v>3</v>
      </c>
      <c r="G1875" s="4" t="n">
        <v>3</v>
      </c>
      <c r="H1875" s="13" t="n"/>
      <c r="I1875" s="15" t="n"/>
      <c r="J1875" s="19" t="n">
        <v>3</v>
      </c>
      <c r="K1875" s="2" t="inlineStr">
        <is>
          <t>marker_122_965537.png</t>
        </is>
      </c>
      <c r="L1875" s="11">
        <f>HYPERLINK("3\0\" &amp; K1875, "Ver Imagen")</f>
        <v/>
      </c>
      <c r="M1875" t="inlineStr">
        <is>
          <t>Moda</t>
        </is>
      </c>
    </row>
    <row r="1876">
      <c r="A1876" t="n">
        <v>1875</v>
      </c>
      <c r="B1876" t="inlineStr">
        <is>
          <t>A-5053__216</t>
        </is>
      </c>
      <c r="C1876" s="1" t="n">
        <v>37.2614343096</v>
      </c>
      <c r="D1876" s="1" t="n">
        <v>-7.12993614427</v>
      </c>
      <c r="E1876" s="3" t="n">
        <v>3</v>
      </c>
      <c r="F1876" s="2" t="n">
        <v>3</v>
      </c>
      <c r="G1876" s="4" t="n">
        <v>3</v>
      </c>
      <c r="H1876" s="13" t="n"/>
      <c r="I1876" s="15" t="n"/>
      <c r="J1876" s="19" t="n">
        <v>3</v>
      </c>
      <c r="K1876" s="2" t="inlineStr">
        <is>
          <t>marker_627_965728.png</t>
        </is>
      </c>
      <c r="L1876" s="11">
        <f>HYPERLINK("3\0\" &amp; K1876, "Ver Imagen")</f>
        <v/>
      </c>
      <c r="M1876" t="inlineStr">
        <is>
          <t>Moda</t>
        </is>
      </c>
    </row>
    <row r="1877">
      <c r="A1877" t="n">
        <v>1876</v>
      </c>
      <c r="B1877" t="inlineStr">
        <is>
          <t>A-5053__210</t>
        </is>
      </c>
      <c r="C1877" s="1" t="n">
        <v>37.2603458608</v>
      </c>
      <c r="D1877" s="1" t="n">
        <v>-7.12924730318</v>
      </c>
      <c r="E1877" s="3" t="n">
        <v>3</v>
      </c>
      <c r="F1877" s="2" t="n">
        <v>3</v>
      </c>
      <c r="G1877" s="4" t="n">
        <v>3</v>
      </c>
      <c r="H1877" s="13" t="n"/>
      <c r="I1877" s="15" t="n"/>
      <c r="J1877" s="19" t="n">
        <v>3</v>
      </c>
      <c r="K1877" s="2" t="inlineStr">
        <is>
          <t>marker_101_965789.png</t>
        </is>
      </c>
      <c r="L1877" s="11">
        <f>HYPERLINK("3\0\" &amp; K1877, "Ver Imagen")</f>
        <v/>
      </c>
      <c r="M1877" t="inlineStr">
        <is>
          <t>Moda</t>
        </is>
      </c>
    </row>
    <row r="1878">
      <c r="A1878" t="n">
        <v>1877</v>
      </c>
      <c r="B1878" t="inlineStr">
        <is>
          <t>A-5053__205</t>
        </is>
      </c>
      <c r="C1878" s="1" t="n">
        <v>37.2594418341</v>
      </c>
      <c r="D1878" s="1" t="n">
        <v>-7.12873693202</v>
      </c>
      <c r="E1878" s="3" t="n">
        <v>3</v>
      </c>
      <c r="F1878" s="2" t="n">
        <v>3</v>
      </c>
      <c r="G1878" s="4" t="n">
        <v>3</v>
      </c>
      <c r="H1878" s="13" t="n"/>
      <c r="I1878" s="15" t="n"/>
      <c r="J1878" s="19" t="n">
        <v>3</v>
      </c>
      <c r="K1878" s="2" t="inlineStr">
        <is>
          <t>marker_843_965843.png</t>
        </is>
      </c>
      <c r="L1878" s="11">
        <f>HYPERLINK("3\0\" &amp; K1878, "Ver Imagen")</f>
        <v/>
      </c>
      <c r="M1878" t="inlineStr">
        <is>
          <t>Moda</t>
        </is>
      </c>
    </row>
    <row r="1879">
      <c r="A1879" t="n">
        <v>1878</v>
      </c>
      <c r="B1879" t="inlineStr">
        <is>
          <t>A-5053__199</t>
        </is>
      </c>
      <c r="C1879" s="1" t="n">
        <v>37.2583306035</v>
      </c>
      <c r="D1879" s="1" t="n">
        <v>-7.12802967802</v>
      </c>
      <c r="E1879" s="3" t="n">
        <v>3</v>
      </c>
      <c r="F1879" s="2" t="n">
        <v>3</v>
      </c>
      <c r="G1879" s="4" t="n">
        <v>3</v>
      </c>
      <c r="H1879" s="13" t="n"/>
      <c r="I1879" s="15" t="n"/>
      <c r="J1879" s="19" t="n">
        <v>3</v>
      </c>
      <c r="K1879" s="2" t="inlineStr">
        <is>
          <t>marker_732_965894.png</t>
        </is>
      </c>
      <c r="L1879" s="11">
        <f>HYPERLINK("3\0\" &amp; K1879, "Ver Imagen")</f>
        <v/>
      </c>
      <c r="M1879" t="inlineStr">
        <is>
          <t>Moda</t>
        </is>
      </c>
    </row>
    <row r="1880">
      <c r="A1880" t="n">
        <v>1879</v>
      </c>
      <c r="B1880" t="inlineStr">
        <is>
          <t>A-5053__154</t>
        </is>
      </c>
      <c r="C1880" s="1" t="n">
        <v>37.2495060012</v>
      </c>
      <c r="D1880" s="1" t="n">
        <v>-7.12735557859</v>
      </c>
      <c r="E1880" s="3" t="n">
        <v>3</v>
      </c>
      <c r="F1880" s="2" t="n">
        <v>3</v>
      </c>
      <c r="G1880" s="4" t="n">
        <v>3</v>
      </c>
      <c r="H1880" s="13" t="n"/>
      <c r="I1880" s="15" t="n"/>
      <c r="J1880" s="19" t="n">
        <v>3</v>
      </c>
      <c r="K1880" s="2" t="inlineStr">
        <is>
          <t>marker_446_966350.png</t>
        </is>
      </c>
      <c r="L1880" s="11">
        <f>HYPERLINK("3\0\" &amp; K1880, "Ver Imagen")</f>
        <v/>
      </c>
      <c r="M1880" t="inlineStr">
        <is>
          <t>Moda</t>
        </is>
      </c>
    </row>
    <row r="1881">
      <c r="A1881" t="n">
        <v>1880</v>
      </c>
      <c r="B1881" t="inlineStr">
        <is>
          <t>A-5053__148</t>
        </is>
      </c>
      <c r="C1881" s="1" t="n">
        <v>37.2483161337</v>
      </c>
      <c r="D1881" s="1" t="n">
        <v>-7.12753231216</v>
      </c>
      <c r="E1881" s="3" t="n">
        <v>3</v>
      </c>
      <c r="F1881" s="2" t="n">
        <v>3</v>
      </c>
      <c r="G1881" s="4" t="n">
        <v>3</v>
      </c>
      <c r="H1881" s="13" t="n"/>
      <c r="I1881" s="15" t="n"/>
      <c r="J1881" s="19" t="n">
        <v>3</v>
      </c>
      <c r="K1881" s="2" t="inlineStr">
        <is>
          <t>marker_851_966407.png</t>
        </is>
      </c>
      <c r="L1881" s="11">
        <f>HYPERLINK("3\0\" &amp; K1881, "Ver Imagen")</f>
        <v/>
      </c>
      <c r="M1881" t="inlineStr">
        <is>
          <t>Moda</t>
        </is>
      </c>
    </row>
    <row r="1882">
      <c r="A1882" t="n">
        <v>1881</v>
      </c>
      <c r="B1882" t="inlineStr">
        <is>
          <t>A-5053__147</t>
        </is>
      </c>
      <c r="C1882" s="1" t="n">
        <v>37.248077978</v>
      </c>
      <c r="D1882" s="1" t="n">
        <v>-7.12756700587</v>
      </c>
      <c r="E1882" s="3" t="n">
        <v>3</v>
      </c>
      <c r="F1882" s="2" t="n">
        <v>3</v>
      </c>
      <c r="G1882" s="4" t="n">
        <v>3</v>
      </c>
      <c r="H1882" s="13" t="n"/>
      <c r="I1882" s="15" t="n"/>
      <c r="J1882" s="19" t="n">
        <v>3</v>
      </c>
      <c r="K1882" s="2" t="inlineStr">
        <is>
          <t>marker_195_966422.png</t>
        </is>
      </c>
      <c r="L1882" s="11">
        <f>HYPERLINK("3\0\" &amp; K1882, "Ver Imagen")</f>
        <v/>
      </c>
      <c r="M1882" t="inlineStr">
        <is>
          <t>Moda</t>
        </is>
      </c>
    </row>
    <row r="1883">
      <c r="A1883" t="n">
        <v>1882</v>
      </c>
      <c r="B1883" t="inlineStr">
        <is>
          <t>A-5053__146</t>
        </is>
      </c>
      <c r="C1883" s="1" t="n">
        <v>37.2479030947</v>
      </c>
      <c r="D1883" s="1" t="n">
        <v>-7.12759316918</v>
      </c>
      <c r="E1883" s="3" t="n">
        <v>3</v>
      </c>
      <c r="F1883" s="2" t="n">
        <v>3</v>
      </c>
      <c r="G1883" s="4" t="n">
        <v>3</v>
      </c>
      <c r="H1883" s="13" t="n"/>
      <c r="I1883" s="15" t="n"/>
      <c r="J1883" s="19" t="n">
        <v>3</v>
      </c>
      <c r="K1883" s="2" t="inlineStr">
        <is>
          <t>marker_724_966430.png</t>
        </is>
      </c>
      <c r="L1883" s="11">
        <f>HYPERLINK("3\0\" &amp; K1883, "Ver Imagen")</f>
        <v/>
      </c>
      <c r="M1883" t="inlineStr">
        <is>
          <t>Moda</t>
        </is>
      </c>
    </row>
    <row r="1884">
      <c r="A1884" t="n">
        <v>1883</v>
      </c>
      <c r="B1884" t="inlineStr">
        <is>
          <t>A-5053__145</t>
        </is>
      </c>
      <c r="C1884" s="1" t="n">
        <v>37.2476975451</v>
      </c>
      <c r="D1884" s="1" t="n">
        <v>-7.12762437575</v>
      </c>
      <c r="E1884" s="3" t="n">
        <v>3</v>
      </c>
      <c r="F1884" s="2" t="n">
        <v>3</v>
      </c>
      <c r="G1884" s="4" t="n">
        <v>3</v>
      </c>
      <c r="H1884" s="13" t="n"/>
      <c r="I1884" s="15" t="n"/>
      <c r="J1884" s="19" t="n">
        <v>3</v>
      </c>
      <c r="K1884" s="2" t="inlineStr">
        <is>
          <t>marker_420_966439.png</t>
        </is>
      </c>
      <c r="L1884" s="11">
        <f>HYPERLINK("3\0\" &amp; K1884, "Ver Imagen")</f>
        <v/>
      </c>
      <c r="M1884" t="inlineStr">
        <is>
          <t>Moda</t>
        </is>
      </c>
    </row>
    <row r="1885">
      <c r="A1885" t="n">
        <v>1884</v>
      </c>
      <c r="B1885" t="inlineStr">
        <is>
          <t>A-5053__144</t>
        </is>
      </c>
      <c r="C1885" s="1" t="n">
        <v>37.2474845549</v>
      </c>
      <c r="D1885" s="1" t="n">
        <v>-7.12765618908</v>
      </c>
      <c r="E1885" s="3" t="n">
        <v>3</v>
      </c>
      <c r="F1885" s="2" t="n">
        <v>3</v>
      </c>
      <c r="G1885" s="4" t="n">
        <v>3</v>
      </c>
      <c r="H1885" s="13" t="n"/>
      <c r="I1885" s="15" t="n"/>
      <c r="J1885" s="19" t="n">
        <v>3</v>
      </c>
      <c r="K1885" s="2" t="inlineStr">
        <is>
          <t>marker_990_966448.png</t>
        </is>
      </c>
      <c r="L1885" s="11">
        <f>HYPERLINK("3\0\" &amp; K1885, "Ver Imagen")</f>
        <v/>
      </c>
      <c r="M1885" t="inlineStr">
        <is>
          <t>Moda</t>
        </is>
      </c>
    </row>
    <row r="1886">
      <c r="A1886" t="n">
        <v>1885</v>
      </c>
      <c r="B1886" t="inlineStr">
        <is>
          <t>A-5053__142</t>
        </is>
      </c>
      <c r="C1886" s="1" t="n">
        <v>37.2471121135</v>
      </c>
      <c r="D1886" s="1" t="n">
        <v>-7.12770968024</v>
      </c>
      <c r="E1886" s="3" t="n">
        <v>3</v>
      </c>
      <c r="F1886" s="2" t="n">
        <v>3</v>
      </c>
      <c r="G1886" s="4" t="n">
        <v>3</v>
      </c>
      <c r="H1886" s="13" t="n"/>
      <c r="I1886" s="15" t="n"/>
      <c r="J1886" s="19" t="n">
        <v>3</v>
      </c>
      <c r="K1886" s="2" t="inlineStr">
        <is>
          <t>marker_266_966464.png</t>
        </is>
      </c>
      <c r="L1886" s="11">
        <f>HYPERLINK("3\0\" &amp; K1886, "Ver Imagen")</f>
        <v/>
      </c>
      <c r="M1886" t="inlineStr">
        <is>
          <t>Moda</t>
        </is>
      </c>
    </row>
    <row r="1887">
      <c r="A1887" t="n">
        <v>1886</v>
      </c>
      <c r="B1887" t="inlineStr">
        <is>
          <t>A-5053__141</t>
        </is>
      </c>
      <c r="C1887" s="1" t="n">
        <v>37.2469085743</v>
      </c>
      <c r="D1887" s="1" t="n">
        <v>-7.12773928752</v>
      </c>
      <c r="E1887" s="3" t="n">
        <v>3</v>
      </c>
      <c r="F1887" s="2" t="n">
        <v>3</v>
      </c>
      <c r="G1887" s="4" t="n">
        <v>3</v>
      </c>
      <c r="H1887" s="13" t="n"/>
      <c r="I1887" s="15" t="n"/>
      <c r="J1887" s="19" t="n">
        <v>3</v>
      </c>
      <c r="K1887" s="2" t="inlineStr">
        <is>
          <t>marker_401_966476.png</t>
        </is>
      </c>
      <c r="L1887" s="11">
        <f>HYPERLINK("3\0\" &amp; K1887, "Ver Imagen")</f>
        <v/>
      </c>
      <c r="M1887" t="inlineStr">
        <is>
          <t>Moda</t>
        </is>
      </c>
    </row>
    <row r="1888">
      <c r="A1888" t="n">
        <v>1887</v>
      </c>
      <c r="B1888" t="inlineStr">
        <is>
          <t>A-5053__40</t>
        </is>
      </c>
      <c r="C1888" s="1" t="n">
        <v>37.2266883565</v>
      </c>
      <c r="D1888" s="1" t="n">
        <v>-7.1262869725</v>
      </c>
      <c r="E1888" s="3" t="n">
        <v>3</v>
      </c>
      <c r="F1888" s="2" t="n">
        <v>3</v>
      </c>
      <c r="G1888" s="4" t="n">
        <v>3</v>
      </c>
      <c r="H1888" s="13" t="n"/>
      <c r="I1888" s="15" t="n"/>
      <c r="J1888" s="19" t="n">
        <v>3</v>
      </c>
      <c r="K1888" s="2" t="inlineStr">
        <is>
          <t>marker_107_021715.png</t>
        </is>
      </c>
      <c r="L1888" s="11">
        <f>HYPERLINK("3\0\" &amp; K1888, "Ver Imagen")</f>
        <v/>
      </c>
      <c r="M1888" t="inlineStr">
        <is>
          <t>Moda</t>
        </is>
      </c>
    </row>
    <row r="1889">
      <c r="A1889" t="n">
        <v>1888</v>
      </c>
      <c r="B1889" t="inlineStr">
        <is>
          <t>A-5053__39</t>
        </is>
      </c>
      <c r="C1889" s="1" t="n">
        <v>37.226490379</v>
      </c>
      <c r="D1889" s="1" t="n">
        <v>-7.12622690539</v>
      </c>
      <c r="E1889" s="3" t="n">
        <v>3</v>
      </c>
      <c r="F1889" s="2" t="n">
        <v>3</v>
      </c>
      <c r="G1889" s="4" t="n">
        <v>3</v>
      </c>
      <c r="H1889" s="13" t="n"/>
      <c r="I1889" s="15" t="n"/>
      <c r="J1889" s="19" t="n">
        <v>3</v>
      </c>
      <c r="K1889" s="2" t="inlineStr">
        <is>
          <t>marker_825_021725.png</t>
        </is>
      </c>
      <c r="L1889" s="11">
        <f>HYPERLINK("3\0\" &amp; K1889, "Ver Imagen")</f>
        <v/>
      </c>
      <c r="M1889" t="inlineStr">
        <is>
          <t>Moda</t>
        </is>
      </c>
    </row>
    <row r="1890">
      <c r="A1890" t="n">
        <v>1889</v>
      </c>
      <c r="B1890" t="inlineStr">
        <is>
          <t>A-5053__34</t>
        </is>
      </c>
      <c r="C1890" s="1" t="n">
        <v>37.2255079171</v>
      </c>
      <c r="D1890" s="1" t="n">
        <v>-7.12593470499</v>
      </c>
      <c r="E1890" s="3" t="n">
        <v>3</v>
      </c>
      <c r="F1890" s="2" t="n">
        <v>3</v>
      </c>
      <c r="G1890" s="4" t="n">
        <v>3</v>
      </c>
      <c r="H1890" s="13" t="n"/>
      <c r="I1890" s="15" t="n"/>
      <c r="J1890" s="19" t="n">
        <v>3</v>
      </c>
      <c r="K1890" s="2" t="inlineStr">
        <is>
          <t>marker_307_021771.png</t>
        </is>
      </c>
      <c r="L1890" s="11">
        <f>HYPERLINK("3\0\" &amp; K1890, "Ver Imagen")</f>
        <v/>
      </c>
      <c r="M1890" t="inlineStr">
        <is>
          <t>Moda</t>
        </is>
      </c>
    </row>
    <row r="1891">
      <c r="A1891" t="n">
        <v>1890</v>
      </c>
      <c r="B1891" t="inlineStr">
        <is>
          <t>A-5053__33</t>
        </is>
      </c>
      <c r="C1891" s="1" t="n">
        <v>37.2253040344</v>
      </c>
      <c r="D1891" s="1" t="n">
        <v>-7.12587181638</v>
      </c>
      <c r="E1891" s="3" t="n">
        <v>3</v>
      </c>
      <c r="F1891" s="2" t="n">
        <v>3</v>
      </c>
      <c r="G1891" s="4" t="n">
        <v>3</v>
      </c>
      <c r="H1891" s="13" t="n"/>
      <c r="I1891" s="15" t="n"/>
      <c r="J1891" s="19" t="n">
        <v>3</v>
      </c>
      <c r="K1891" s="2" t="inlineStr">
        <is>
          <t>marker_805_021780.png</t>
        </is>
      </c>
      <c r="L1891" s="11">
        <f>HYPERLINK("3\0\" &amp; K1891, "Ver Imagen")</f>
        <v/>
      </c>
      <c r="M1891" t="inlineStr">
        <is>
          <t>Moda</t>
        </is>
      </c>
    </row>
    <row r="1892">
      <c r="A1892" t="n">
        <v>1891</v>
      </c>
      <c r="B1892" t="inlineStr">
        <is>
          <t>A-5053__32</t>
        </is>
      </c>
      <c r="C1892" s="1" t="n">
        <v>37.2251022459</v>
      </c>
      <c r="D1892" s="1" t="n">
        <v>-7.12580505045</v>
      </c>
      <c r="E1892" s="3" t="n">
        <v>3</v>
      </c>
      <c r="F1892" s="2" t="n">
        <v>3</v>
      </c>
      <c r="G1892" s="4" t="n">
        <v>3</v>
      </c>
      <c r="H1892" s="13" t="n"/>
      <c r="I1892" s="15" t="n"/>
      <c r="J1892" s="19" t="n">
        <v>3</v>
      </c>
      <c r="K1892" s="2" t="inlineStr">
        <is>
          <t>marker_458_021789.png</t>
        </is>
      </c>
      <c r="L1892" s="11">
        <f>HYPERLINK("3\0\" &amp; K1892, "Ver Imagen")</f>
        <v/>
      </c>
      <c r="M1892" t="inlineStr">
        <is>
          <t>Moda</t>
        </is>
      </c>
    </row>
    <row r="1893">
      <c r="A1893" t="n">
        <v>1892</v>
      </c>
      <c r="B1893" t="inlineStr">
        <is>
          <t>A-5053__31</t>
        </is>
      </c>
      <c r="C1893" s="1" t="n">
        <v>37.2249236907</v>
      </c>
      <c r="D1893" s="1" t="n">
        <v>-7.12573594787</v>
      </c>
      <c r="E1893" s="3" t="n">
        <v>3</v>
      </c>
      <c r="F1893" s="2" t="n">
        <v>3</v>
      </c>
      <c r="G1893" s="4" t="n">
        <v>3</v>
      </c>
      <c r="H1893" s="13" t="n"/>
      <c r="I1893" s="15" t="n"/>
      <c r="J1893" s="19" t="n">
        <v>3</v>
      </c>
      <c r="K1893" s="2" t="inlineStr">
        <is>
          <t>marker_745_021799.png</t>
        </is>
      </c>
      <c r="L1893" s="11">
        <f>HYPERLINK("3\0\" &amp; K1893, "Ver Imagen")</f>
        <v/>
      </c>
      <c r="M1893" t="inlineStr">
        <is>
          <t>Moda</t>
        </is>
      </c>
    </row>
    <row r="1894">
      <c r="A1894" t="n">
        <v>1893</v>
      </c>
      <c r="B1894" t="inlineStr">
        <is>
          <t>A-5053__30</t>
        </is>
      </c>
      <c r="C1894" s="1" t="n">
        <v>37.2247440959</v>
      </c>
      <c r="D1894" s="1" t="n">
        <v>-7.12565524722</v>
      </c>
      <c r="E1894" s="3" t="n">
        <v>3</v>
      </c>
      <c r="F1894" s="2" t="n">
        <v>3</v>
      </c>
      <c r="G1894" s="4" t="n">
        <v>3</v>
      </c>
      <c r="H1894" s="13" t="n"/>
      <c r="I1894" s="15" t="n"/>
      <c r="J1894" s="19" t="n">
        <v>3</v>
      </c>
      <c r="K1894" s="2" t="inlineStr">
        <is>
          <t>marker_548_021809.png</t>
        </is>
      </c>
      <c r="L1894" s="11">
        <f>HYPERLINK("3\0\" &amp; K1894, "Ver Imagen")</f>
        <v/>
      </c>
      <c r="M1894" t="inlineStr">
        <is>
          <t>Moda</t>
        </is>
      </c>
    </row>
    <row r="1895">
      <c r="A1895" t="n">
        <v>1894</v>
      </c>
      <c r="B1895" t="inlineStr">
        <is>
          <t>A-5053__27</t>
        </is>
      </c>
      <c r="C1895" s="1" t="n">
        <v>37.224167032</v>
      </c>
      <c r="D1895" s="1" t="n">
        <v>-7.12535929022</v>
      </c>
      <c r="E1895" s="3" t="n">
        <v>3</v>
      </c>
      <c r="F1895" s="2" t="n">
        <v>3</v>
      </c>
      <c r="G1895" s="4" t="n">
        <v>3</v>
      </c>
      <c r="H1895" s="13" t="n"/>
      <c r="I1895" s="15" t="n"/>
      <c r="J1895" s="19" t="n">
        <v>3</v>
      </c>
      <c r="K1895" s="2" t="inlineStr">
        <is>
          <t>marker_194_022304.png</t>
        </is>
      </c>
      <c r="L1895" s="11">
        <f>HYPERLINK("3\0\" &amp; K1895, "Ver Imagen")</f>
        <v/>
      </c>
      <c r="M1895" t="inlineStr">
        <is>
          <t>Moda</t>
        </is>
      </c>
    </row>
    <row r="1896">
      <c r="A1896" t="n">
        <v>1895</v>
      </c>
      <c r="B1896" t="inlineStr">
        <is>
          <t>A-5053__24</t>
        </is>
      </c>
      <c r="C1896" s="1" t="n">
        <v>37.2235863888</v>
      </c>
      <c r="D1896" s="1" t="n">
        <v>-7.12513650586</v>
      </c>
      <c r="E1896" s="3" t="n">
        <v>3</v>
      </c>
      <c r="F1896" s="2" t="n">
        <v>3</v>
      </c>
      <c r="G1896" s="4" t="n">
        <v>3</v>
      </c>
      <c r="H1896" s="13" t="n"/>
      <c r="I1896" s="15" t="n"/>
      <c r="J1896" s="19" t="n">
        <v>3</v>
      </c>
      <c r="K1896" s="2" t="inlineStr">
        <is>
          <t>marker_753_022846.png</t>
        </is>
      </c>
      <c r="L1896" s="11">
        <f>HYPERLINK("3\0\" &amp; K1896, "Ver Imagen")</f>
        <v/>
      </c>
      <c r="M1896" t="inlineStr">
        <is>
          <t>Moda</t>
        </is>
      </c>
    </row>
    <row r="1897">
      <c r="A1897" t="n">
        <v>1896</v>
      </c>
      <c r="B1897" t="inlineStr">
        <is>
          <t>A-5053__13</t>
        </is>
      </c>
      <c r="C1897" s="1" t="n">
        <v>37.2214381671</v>
      </c>
      <c r="D1897" s="1" t="n">
        <v>-7.12545422589</v>
      </c>
      <c r="E1897" s="3" t="n">
        <v>3</v>
      </c>
      <c r="F1897" s="2" t="n">
        <v>3</v>
      </c>
      <c r="G1897" s="4" t="n">
        <v>3</v>
      </c>
      <c r="H1897" s="13" t="n"/>
      <c r="I1897" s="15" t="n"/>
      <c r="J1897" s="19" t="n">
        <v>3</v>
      </c>
      <c r="K1897" s="2" t="inlineStr">
        <is>
          <t>marker_634_025072.png</t>
        </is>
      </c>
      <c r="L1897" s="11">
        <f>HYPERLINK("3\0\" &amp; K1897, "Ver Imagen")</f>
        <v/>
      </c>
      <c r="M1897" t="inlineStr">
        <is>
          <t>Moda</t>
        </is>
      </c>
    </row>
    <row r="1898">
      <c r="A1898" t="n">
        <v>1897</v>
      </c>
      <c r="B1898" t="inlineStr">
        <is>
          <t>A-5053__9</t>
        </is>
      </c>
      <c r="C1898" s="1" t="n">
        <v>37.2207203137</v>
      </c>
      <c r="D1898" s="1" t="n">
        <v>-7.12574569996</v>
      </c>
      <c r="E1898" s="3" t="n">
        <v>3</v>
      </c>
      <c r="F1898" s="2" t="n">
        <v>3</v>
      </c>
      <c r="G1898" s="4" t="n">
        <v>3</v>
      </c>
      <c r="H1898" s="13" t="n"/>
      <c r="I1898" s="15" t="n"/>
      <c r="J1898" s="19" t="n">
        <v>3</v>
      </c>
      <c r="K1898" s="2" t="inlineStr">
        <is>
          <t>marker_326_025120.png</t>
        </is>
      </c>
      <c r="L1898" s="11">
        <f>HYPERLINK("3\0\" &amp; K1898, "Ver Imagen")</f>
        <v/>
      </c>
      <c r="M1898" t="inlineStr">
        <is>
          <t>Moda</t>
        </is>
      </c>
    </row>
    <row r="1899">
      <c r="A1899" t="n">
        <v>1898</v>
      </c>
      <c r="B1899" t="inlineStr">
        <is>
          <t>A-5053__8</t>
        </is>
      </c>
      <c r="C1899" s="1" t="n">
        <v>37.220539736</v>
      </c>
      <c r="D1899" s="1" t="n">
        <v>-7.12576153085</v>
      </c>
      <c r="E1899" s="3" t="n">
        <v>3</v>
      </c>
      <c r="F1899" s="2" t="n">
        <v>3</v>
      </c>
      <c r="G1899" s="4" t="n">
        <v>3</v>
      </c>
      <c r="H1899" s="13" t="n"/>
      <c r="I1899" s="15" t="n"/>
      <c r="J1899" s="19" t="n">
        <v>3</v>
      </c>
      <c r="K1899" s="2" t="inlineStr">
        <is>
          <t>marker_932_025131.png</t>
        </is>
      </c>
      <c r="L1899" s="11">
        <f>HYPERLINK("3\0\" &amp; K1899, "Ver Imagen")</f>
        <v/>
      </c>
      <c r="M1899" t="inlineStr">
        <is>
          <t>Moda</t>
        </is>
      </c>
    </row>
    <row r="1900">
      <c r="A1900" t="n">
        <v>1899</v>
      </c>
      <c r="B1900" t="inlineStr">
        <is>
          <t>A-5053__2</t>
        </is>
      </c>
      <c r="C1900" s="1" t="n">
        <v>37.2193460747</v>
      </c>
      <c r="D1900" s="1" t="n">
        <v>-7.12592133739</v>
      </c>
      <c r="E1900" s="3" t="n">
        <v>3</v>
      </c>
      <c r="F1900" s="2" t="n">
        <v>3</v>
      </c>
      <c r="G1900" s="4" t="n">
        <v>3</v>
      </c>
      <c r="H1900" s="13" t="n"/>
      <c r="I1900" s="15" t="n"/>
      <c r="J1900" s="19" t="n">
        <v>3</v>
      </c>
      <c r="K1900" s="2" t="inlineStr">
        <is>
          <t>marker_704_025197.png</t>
        </is>
      </c>
      <c r="L1900" s="11">
        <f>HYPERLINK("3\0\" &amp; K1900, "Ver Imagen")</f>
        <v/>
      </c>
      <c r="M1900" t="inlineStr">
        <is>
          <t>Moda</t>
        </is>
      </c>
    </row>
    <row r="1901">
      <c r="A1901" t="n">
        <v>1900</v>
      </c>
      <c r="B1901" t="inlineStr">
        <is>
          <t>A-5053__1</t>
        </is>
      </c>
      <c r="C1901" s="1" t="n">
        <v>37.2191294799</v>
      </c>
      <c r="D1901" s="1" t="n">
        <v>-7.12599187192</v>
      </c>
      <c r="E1901" s="3" t="n">
        <v>3</v>
      </c>
      <c r="F1901" s="2" t="n">
        <v>3</v>
      </c>
      <c r="G1901" s="4" t="n">
        <v>3</v>
      </c>
      <c r="H1901" s="13" t="n"/>
      <c r="I1901" s="15" t="n"/>
      <c r="J1901" s="19" t="n">
        <v>3</v>
      </c>
      <c r="K1901" s="2" t="inlineStr">
        <is>
          <t>marker_969_025210.png</t>
        </is>
      </c>
      <c r="L1901" s="11">
        <f>HYPERLINK("3\0\" &amp; K1901, "Ver Imagen")</f>
        <v/>
      </c>
      <c r="M1901" t="inlineStr">
        <is>
          <t>Moda</t>
        </is>
      </c>
    </row>
    <row r="1902">
      <c r="A1902" t="n">
        <v>1901</v>
      </c>
      <c r="B1902" t="inlineStr">
        <is>
          <t>A-495__19</t>
        </is>
      </c>
      <c r="C1902" s="1" t="n">
        <v>37.4435166526</v>
      </c>
      <c r="D1902" s="1" t="n">
        <v>-7.09580176616</v>
      </c>
      <c r="E1902" s="3" t="n">
        <v>3</v>
      </c>
      <c r="F1902" s="2" t="n">
        <v>3</v>
      </c>
      <c r="G1902" s="4" t="n">
        <v>3</v>
      </c>
      <c r="H1902" s="13" t="n"/>
      <c r="I1902" s="15" t="n"/>
      <c r="J1902" s="19" t="n">
        <v>3</v>
      </c>
      <c r="K1902" s="2" t="inlineStr">
        <is>
          <t>marker_973_381254.png</t>
        </is>
      </c>
      <c r="L1902" s="11">
        <f>HYPERLINK("3\0\" &amp; K1902, "Ver Imagen")</f>
        <v/>
      </c>
      <c r="M1902" t="inlineStr">
        <is>
          <t>Moda</t>
        </is>
      </c>
    </row>
    <row r="1903">
      <c r="A1903" t="n">
        <v>1902</v>
      </c>
      <c r="B1903" t="inlineStr">
        <is>
          <t>A-495__32</t>
        </is>
      </c>
      <c r="C1903" s="1" t="n">
        <v>37.4423520162</v>
      </c>
      <c r="D1903" s="1" t="n">
        <v>-7.09277041821</v>
      </c>
      <c r="E1903" s="3" t="n">
        <v>3</v>
      </c>
      <c r="F1903" s="2" t="n">
        <v>3</v>
      </c>
      <c r="G1903" s="4" t="n">
        <v>3</v>
      </c>
      <c r="H1903" s="13" t="n"/>
      <c r="I1903" s="15" t="n"/>
      <c r="J1903" s="19" t="n">
        <v>3</v>
      </c>
      <c r="K1903" s="2" t="inlineStr">
        <is>
          <t>marker_854_381413.png</t>
        </is>
      </c>
      <c r="L1903" s="11">
        <f>HYPERLINK("3\0\" &amp; K1903, "Ver Imagen")</f>
        <v/>
      </c>
      <c r="M1903" t="inlineStr">
        <is>
          <t>Moda</t>
        </is>
      </c>
    </row>
    <row r="1904">
      <c r="A1904" t="n">
        <v>1903</v>
      </c>
      <c r="B1904" t="inlineStr">
        <is>
          <t>A-495__35</t>
        </is>
      </c>
      <c r="C1904" s="1" t="n">
        <v>37.4420905413</v>
      </c>
      <c r="D1904" s="1" t="n">
        <v>-7.09212730466</v>
      </c>
      <c r="E1904" s="3" t="n">
        <v>3</v>
      </c>
      <c r="F1904" s="2" t="n">
        <v>3</v>
      </c>
      <c r="G1904" s="4" t="n">
        <v>3</v>
      </c>
      <c r="H1904" s="13" t="n"/>
      <c r="I1904" s="15" t="n"/>
      <c r="J1904" s="19" t="n">
        <v>3</v>
      </c>
      <c r="K1904" s="2" t="inlineStr">
        <is>
          <t>marker_909_381454.png</t>
        </is>
      </c>
      <c r="L1904" s="11">
        <f>HYPERLINK("3\0\" &amp; K1904, "Ver Imagen")</f>
        <v/>
      </c>
      <c r="M1904" t="inlineStr">
        <is>
          <t>Moda</t>
        </is>
      </c>
    </row>
    <row r="1905">
      <c r="A1905" t="n">
        <v>1904</v>
      </c>
      <c r="B1905" t="inlineStr">
        <is>
          <t>A-495__36</t>
        </is>
      </c>
      <c r="C1905" s="1" t="n">
        <v>37.4419816785</v>
      </c>
      <c r="D1905" s="1" t="n">
        <v>-7.0918680717</v>
      </c>
      <c r="E1905" s="3" t="n">
        <v>3</v>
      </c>
      <c r="F1905" s="2" t="n">
        <v>3</v>
      </c>
      <c r="G1905" s="4" t="n">
        <v>3</v>
      </c>
      <c r="H1905" s="13" t="n"/>
      <c r="I1905" s="15" t="n"/>
      <c r="J1905" s="19" t="n">
        <v>3</v>
      </c>
      <c r="K1905" s="2" t="inlineStr">
        <is>
          <t>marker_132_381463.png</t>
        </is>
      </c>
      <c r="L1905" s="11">
        <f>HYPERLINK("3\0\" &amp; K1905, "Ver Imagen")</f>
        <v/>
      </c>
      <c r="M1905" t="inlineStr">
        <is>
          <t>Moda</t>
        </is>
      </c>
    </row>
    <row r="1906">
      <c r="A1906" t="n">
        <v>1905</v>
      </c>
      <c r="B1906" t="inlineStr">
        <is>
          <t>A-495__37</t>
        </is>
      </c>
      <c r="C1906" s="1" t="n">
        <v>37.4418945863</v>
      </c>
      <c r="D1906" s="1" t="n">
        <v>-7.09166751232</v>
      </c>
      <c r="E1906" s="3" t="n">
        <v>3</v>
      </c>
      <c r="F1906" s="2" t="n">
        <v>3</v>
      </c>
      <c r="G1906" s="4" t="n">
        <v>3</v>
      </c>
      <c r="H1906" s="13" t="n"/>
      <c r="I1906" s="15" t="n"/>
      <c r="J1906" s="19" t="n">
        <v>3</v>
      </c>
      <c r="K1906" s="2" t="inlineStr">
        <is>
          <t>marker_497_381484.png</t>
        </is>
      </c>
      <c r="L1906" s="11">
        <f>HYPERLINK("3\0\" &amp; K1906, "Ver Imagen")</f>
        <v/>
      </c>
      <c r="M1906" t="inlineStr">
        <is>
          <t>Moda</t>
        </is>
      </c>
    </row>
    <row r="1907">
      <c r="A1907" t="n">
        <v>1906</v>
      </c>
      <c r="B1907" t="inlineStr">
        <is>
          <t>A-495__38</t>
        </is>
      </c>
      <c r="C1907" s="1" t="n">
        <v>37.4417889287</v>
      </c>
      <c r="D1907" s="1" t="n">
        <v>-7.09143330231</v>
      </c>
      <c r="E1907" s="3" t="n">
        <v>3</v>
      </c>
      <c r="F1907" s="2" t="n">
        <v>3</v>
      </c>
      <c r="G1907" s="4" t="n">
        <v>3</v>
      </c>
      <c r="H1907" s="13" t="n"/>
      <c r="I1907" s="15" t="n"/>
      <c r="J1907" s="19" t="n">
        <v>3</v>
      </c>
      <c r="K1907" s="2" t="inlineStr">
        <is>
          <t>marker_749_381493.png</t>
        </is>
      </c>
      <c r="L1907" s="11">
        <f>HYPERLINK("3\0\" &amp; K1907, "Ver Imagen")</f>
        <v/>
      </c>
      <c r="M1907" t="inlineStr">
        <is>
          <t>Moda</t>
        </is>
      </c>
    </row>
    <row r="1908">
      <c r="A1908" t="n">
        <v>1907</v>
      </c>
      <c r="B1908" t="inlineStr">
        <is>
          <t>A-495__39</t>
        </is>
      </c>
      <c r="C1908" s="1" t="n">
        <v>37.4416908877</v>
      </c>
      <c r="D1908" s="1" t="n">
        <v>-7.09122346222</v>
      </c>
      <c r="E1908" s="3" t="n">
        <v>3</v>
      </c>
      <c r="F1908" s="2" t="n">
        <v>3</v>
      </c>
      <c r="G1908" s="4" t="n">
        <v>3</v>
      </c>
      <c r="H1908" s="13" t="n"/>
      <c r="I1908" s="15" t="n"/>
      <c r="J1908" s="19" t="n">
        <v>3</v>
      </c>
      <c r="K1908" s="2" t="inlineStr">
        <is>
          <t>marker_906_381502.png</t>
        </is>
      </c>
      <c r="L1908" s="11">
        <f>HYPERLINK("3\0\" &amp; K1908, "Ver Imagen")</f>
        <v/>
      </c>
      <c r="M1908" t="inlineStr">
        <is>
          <t>Moda</t>
        </is>
      </c>
    </row>
    <row r="1909">
      <c r="A1909" t="n">
        <v>1908</v>
      </c>
      <c r="B1909" t="inlineStr">
        <is>
          <t>A-495__40</t>
        </is>
      </c>
      <c r="C1909" s="1" t="n">
        <v>37.4415811631</v>
      </c>
      <c r="D1909" s="1" t="n">
        <v>-7.09099228653</v>
      </c>
      <c r="E1909" s="3" t="n">
        <v>3</v>
      </c>
      <c r="F1909" s="2" t="n">
        <v>3</v>
      </c>
      <c r="G1909" s="4" t="n">
        <v>3</v>
      </c>
      <c r="H1909" s="13" t="n"/>
      <c r="I1909" s="15" t="n"/>
      <c r="J1909" s="19" t="n">
        <v>3</v>
      </c>
      <c r="K1909" s="2" t="inlineStr">
        <is>
          <t>marker_565_381512.png</t>
        </is>
      </c>
      <c r="L1909" s="11">
        <f>HYPERLINK("3\0\" &amp; K1909, "Ver Imagen")</f>
        <v/>
      </c>
      <c r="M1909" t="inlineStr">
        <is>
          <t>Moda</t>
        </is>
      </c>
    </row>
    <row r="1910">
      <c r="A1910" t="n">
        <v>1909</v>
      </c>
      <c r="B1910" t="inlineStr">
        <is>
          <t>A-495__41</t>
        </is>
      </c>
      <c r="C1910" s="1" t="n">
        <v>37.4414802427</v>
      </c>
      <c r="D1910" s="1" t="n">
        <v>-7.09077619508</v>
      </c>
      <c r="E1910" s="3" t="n">
        <v>3</v>
      </c>
      <c r="F1910" s="2" t="n">
        <v>3</v>
      </c>
      <c r="G1910" s="4" t="n">
        <v>3</v>
      </c>
      <c r="H1910" s="13" t="n"/>
      <c r="I1910" s="15" t="n"/>
      <c r="J1910" s="19" t="n">
        <v>3</v>
      </c>
      <c r="K1910" s="2" t="inlineStr">
        <is>
          <t>marker_793_381521.png</t>
        </is>
      </c>
      <c r="L1910" s="11">
        <f>HYPERLINK("3\0\" &amp; K1910, "Ver Imagen")</f>
        <v/>
      </c>
      <c r="M1910" t="inlineStr">
        <is>
          <t>Moda</t>
        </is>
      </c>
    </row>
    <row r="1911">
      <c r="A1911" t="n">
        <v>1910</v>
      </c>
      <c r="B1911" t="inlineStr">
        <is>
          <t>A-495__44</t>
        </is>
      </c>
      <c r="C1911" s="1" t="n">
        <v>37.4411712321</v>
      </c>
      <c r="D1911" s="1" t="n">
        <v>-7.09011578826</v>
      </c>
      <c r="E1911" s="3" t="n">
        <v>3</v>
      </c>
      <c r="F1911" s="2" t="n">
        <v>3</v>
      </c>
      <c r="G1911" s="4" t="n">
        <v>3</v>
      </c>
      <c r="H1911" s="13" t="n"/>
      <c r="I1911" s="15" t="n"/>
      <c r="J1911" s="19" t="n">
        <v>3</v>
      </c>
      <c r="K1911" s="2" t="inlineStr">
        <is>
          <t>marker_843_381554.png</t>
        </is>
      </c>
      <c r="L1911" s="11">
        <f>HYPERLINK("3\0\" &amp; K1911, "Ver Imagen")</f>
        <v/>
      </c>
      <c r="M1911" t="inlineStr">
        <is>
          <t>Moda</t>
        </is>
      </c>
    </row>
    <row r="1912">
      <c r="A1912" t="n">
        <v>1911</v>
      </c>
      <c r="B1912" t="inlineStr">
        <is>
          <t>A-495__45</t>
        </is>
      </c>
      <c r="C1912" s="1" t="n">
        <v>37.4410581457</v>
      </c>
      <c r="D1912" s="1" t="n">
        <v>-7.08987766264</v>
      </c>
      <c r="E1912" s="3" t="n">
        <v>3</v>
      </c>
      <c r="F1912" s="2" t="n">
        <v>3</v>
      </c>
      <c r="G1912" s="4" t="n">
        <v>3</v>
      </c>
      <c r="H1912" s="13" t="n"/>
      <c r="I1912" s="15" t="n"/>
      <c r="J1912" s="19" t="n">
        <v>3</v>
      </c>
      <c r="K1912" s="2" t="inlineStr">
        <is>
          <t>marker_877_381562.png</t>
        </is>
      </c>
      <c r="L1912" s="11">
        <f>HYPERLINK("3\0\" &amp; K1912, "Ver Imagen")</f>
        <v/>
      </c>
      <c r="M1912" t="inlineStr">
        <is>
          <t>Moda</t>
        </is>
      </c>
    </row>
    <row r="1913">
      <c r="A1913" t="n">
        <v>1912</v>
      </c>
      <c r="B1913" t="inlineStr">
        <is>
          <t>A-495__46</t>
        </is>
      </c>
      <c r="C1913" s="1" t="n">
        <v>37.4409541123</v>
      </c>
      <c r="D1913" s="1" t="n">
        <v>-7.0896564211</v>
      </c>
      <c r="E1913" s="3" t="n">
        <v>3</v>
      </c>
      <c r="F1913" s="2" t="n">
        <v>3</v>
      </c>
      <c r="G1913" s="4" t="n">
        <v>3</v>
      </c>
      <c r="H1913" s="13" t="n"/>
      <c r="I1913" s="15" t="n"/>
      <c r="J1913" s="19" t="n">
        <v>3</v>
      </c>
      <c r="K1913" s="2" t="inlineStr">
        <is>
          <t>marker_834_381571.png</t>
        </is>
      </c>
      <c r="L1913" s="11">
        <f>HYPERLINK("3\0\" &amp; K1913, "Ver Imagen")</f>
        <v/>
      </c>
      <c r="M1913" t="inlineStr">
        <is>
          <t>Moda</t>
        </is>
      </c>
    </row>
    <row r="1914">
      <c r="A1914" t="n">
        <v>1913</v>
      </c>
      <c r="B1914" t="inlineStr">
        <is>
          <t>A-495__47</t>
        </is>
      </c>
      <c r="C1914" s="1" t="n">
        <v>37.4408642923</v>
      </c>
      <c r="D1914" s="1" t="n">
        <v>-7.08946104736</v>
      </c>
      <c r="E1914" s="3" t="n">
        <v>3</v>
      </c>
      <c r="F1914" s="2" t="n">
        <v>3</v>
      </c>
      <c r="G1914" s="4" t="n">
        <v>3</v>
      </c>
      <c r="H1914" s="13" t="n"/>
      <c r="I1914" s="15" t="n"/>
      <c r="J1914" s="19" t="n">
        <v>3</v>
      </c>
      <c r="K1914" s="2" t="inlineStr">
        <is>
          <t>marker_127_381581.png</t>
        </is>
      </c>
      <c r="L1914" s="11">
        <f>HYPERLINK("3\0\" &amp; K1914, "Ver Imagen")</f>
        <v/>
      </c>
      <c r="M1914" t="inlineStr">
        <is>
          <t>Moda</t>
        </is>
      </c>
    </row>
    <row r="1915">
      <c r="A1915" t="n">
        <v>1914</v>
      </c>
      <c r="B1915" t="inlineStr">
        <is>
          <t>A-495__48</t>
        </is>
      </c>
      <c r="C1915" s="1" t="n">
        <v>37.4407618158</v>
      </c>
      <c r="D1915" s="1" t="n">
        <v>-7.08924046664</v>
      </c>
      <c r="E1915" s="3" t="n">
        <v>3</v>
      </c>
      <c r="F1915" s="2" t="n">
        <v>3</v>
      </c>
      <c r="G1915" s="4" t="n">
        <v>3</v>
      </c>
      <c r="H1915" s="13" t="n"/>
      <c r="I1915" s="15" t="n"/>
      <c r="J1915" s="19" t="n">
        <v>3</v>
      </c>
      <c r="K1915" s="2" t="inlineStr">
        <is>
          <t>marker_365_381591.png</t>
        </is>
      </c>
      <c r="L1915" s="11">
        <f>HYPERLINK("3\0\" &amp; K1915, "Ver Imagen")</f>
        <v/>
      </c>
      <c r="M1915" t="inlineStr">
        <is>
          <t>Moda</t>
        </is>
      </c>
    </row>
    <row r="1916">
      <c r="A1916" t="n">
        <v>1915</v>
      </c>
      <c r="B1916" t="inlineStr">
        <is>
          <t>A-495__50</t>
        </is>
      </c>
      <c r="C1916" s="1" t="n">
        <v>37.4405684615</v>
      </c>
      <c r="D1916" s="1" t="n">
        <v>-7.08883449759</v>
      </c>
      <c r="E1916" s="3" t="n">
        <v>3</v>
      </c>
      <c r="F1916" s="2" t="n">
        <v>3</v>
      </c>
      <c r="G1916" s="4" t="n">
        <v>3</v>
      </c>
      <c r="H1916" s="13" t="n"/>
      <c r="I1916" s="15" t="n"/>
      <c r="J1916" s="19" t="n">
        <v>3</v>
      </c>
      <c r="K1916" s="2" t="inlineStr">
        <is>
          <t>marker_794_381612.png</t>
        </is>
      </c>
      <c r="L1916" s="11">
        <f>HYPERLINK("3\0\" &amp; K1916, "Ver Imagen")</f>
        <v/>
      </c>
      <c r="M1916" t="inlineStr">
        <is>
          <t>Moda</t>
        </is>
      </c>
    </row>
    <row r="1917">
      <c r="A1917" t="n">
        <v>1916</v>
      </c>
      <c r="B1917" t="inlineStr">
        <is>
          <t>A-495__59</t>
        </is>
      </c>
      <c r="C1917" s="1" t="n">
        <v>37.4396156896</v>
      </c>
      <c r="D1917" s="1" t="n">
        <v>-7.08685038074</v>
      </c>
      <c r="E1917" s="3" t="n">
        <v>3</v>
      </c>
      <c r="F1917" s="2" t="n">
        <v>3</v>
      </c>
      <c r="G1917" s="4" t="n">
        <v>3</v>
      </c>
      <c r="H1917" s="13" t="n"/>
      <c r="I1917" s="15" t="n"/>
      <c r="J1917" s="19" t="n">
        <v>3</v>
      </c>
      <c r="K1917" s="2" t="inlineStr">
        <is>
          <t>marker_821_381702.png</t>
        </is>
      </c>
      <c r="L1917" s="11">
        <f>HYPERLINK("3\0\" &amp; K1917, "Ver Imagen")</f>
        <v/>
      </c>
      <c r="M1917" t="inlineStr">
        <is>
          <t>Moda</t>
        </is>
      </c>
    </row>
    <row r="1918">
      <c r="A1918" t="n">
        <v>1917</v>
      </c>
      <c r="B1918" t="inlineStr">
        <is>
          <t>A-495__60</t>
        </is>
      </c>
      <c r="C1918" s="1" t="n">
        <v>37.4395221774</v>
      </c>
      <c r="D1918" s="1" t="n">
        <v>-7.08665053199</v>
      </c>
      <c r="E1918" s="3" t="n">
        <v>3</v>
      </c>
      <c r="F1918" s="2" t="n">
        <v>3</v>
      </c>
      <c r="G1918" s="4" t="n">
        <v>3</v>
      </c>
      <c r="H1918" s="13" t="n"/>
      <c r="I1918" s="15" t="n"/>
      <c r="J1918" s="19" t="n">
        <v>3</v>
      </c>
      <c r="K1918" s="2" t="inlineStr">
        <is>
          <t>marker_824_381711.png</t>
        </is>
      </c>
      <c r="L1918" s="11">
        <f>HYPERLINK("3\0\" &amp; K1918, "Ver Imagen")</f>
        <v/>
      </c>
      <c r="M1918" t="inlineStr">
        <is>
          <t>Moda</t>
        </is>
      </c>
    </row>
    <row r="1919">
      <c r="A1919" t="n">
        <v>1918</v>
      </c>
      <c r="B1919" t="inlineStr">
        <is>
          <t>A-495__66</t>
        </is>
      </c>
      <c r="C1919" s="1" t="n">
        <v>37.4389146908</v>
      </c>
      <c r="D1919" s="1" t="n">
        <v>-7.08530657066</v>
      </c>
      <c r="E1919" s="3" t="n">
        <v>3</v>
      </c>
      <c r="F1919" s="2" t="n">
        <v>3</v>
      </c>
      <c r="G1919" s="4" t="n">
        <v>3</v>
      </c>
      <c r="H1919" s="13" t="n"/>
      <c r="I1919" s="15" t="n"/>
      <c r="J1919" s="19" t="n">
        <v>3</v>
      </c>
      <c r="K1919" s="2" t="inlineStr">
        <is>
          <t>marker_911_381776.png</t>
        </is>
      </c>
      <c r="L1919" s="11">
        <f>HYPERLINK("3\0\" &amp; K1919, "Ver Imagen")</f>
        <v/>
      </c>
      <c r="M1919" t="inlineStr">
        <is>
          <t>Moda</t>
        </is>
      </c>
    </row>
    <row r="1920">
      <c r="A1920" t="n">
        <v>1919</v>
      </c>
      <c r="B1920" t="inlineStr">
        <is>
          <t>A-495__79</t>
        </is>
      </c>
      <c r="C1920" s="1" t="n">
        <v>37.4378607216</v>
      </c>
      <c r="D1920" s="1" t="n">
        <v>-7.08231059657</v>
      </c>
      <c r="E1920" s="3" t="n">
        <v>3</v>
      </c>
      <c r="F1920" s="2" t="n">
        <v>3</v>
      </c>
      <c r="G1920" s="4" t="n">
        <v>3</v>
      </c>
      <c r="H1920" s="13" t="n"/>
      <c r="I1920" s="15" t="n"/>
      <c r="J1920" s="19" t="n">
        <v>3</v>
      </c>
      <c r="K1920" s="2" t="inlineStr">
        <is>
          <t>marker_318_381921.png</t>
        </is>
      </c>
      <c r="L1920" s="11">
        <f>HYPERLINK("3\0\" &amp; K1920, "Ver Imagen")</f>
        <v/>
      </c>
      <c r="M1920" t="inlineStr">
        <is>
          <t>Moda</t>
        </is>
      </c>
    </row>
    <row r="1921">
      <c r="A1921" t="n">
        <v>1920</v>
      </c>
      <c r="B1921" t="inlineStr">
        <is>
          <t>A-495__92</t>
        </is>
      </c>
      <c r="C1921" s="1" t="n">
        <v>37.4368492978</v>
      </c>
      <c r="D1921" s="1" t="n">
        <v>-7.07942613734</v>
      </c>
      <c r="E1921" s="3" t="n">
        <v>3</v>
      </c>
      <c r="F1921" s="2" t="n">
        <v>3</v>
      </c>
      <c r="G1921" s="4" t="n">
        <v>3</v>
      </c>
      <c r="H1921" s="13" t="n"/>
      <c r="I1921" s="15" t="n"/>
      <c r="J1921" s="19" t="n">
        <v>3</v>
      </c>
      <c r="K1921" s="2" t="inlineStr">
        <is>
          <t>marker_378_382079.png</t>
        </is>
      </c>
      <c r="L1921" s="11">
        <f>HYPERLINK("3\0\" &amp; K1921, "Ver Imagen")</f>
        <v/>
      </c>
      <c r="M1921" t="inlineStr">
        <is>
          <t>Moda</t>
        </is>
      </c>
    </row>
    <row r="1922">
      <c r="A1922" t="n">
        <v>1921</v>
      </c>
      <c r="B1922" t="inlineStr">
        <is>
          <t>A-495__93</t>
        </is>
      </c>
      <c r="C1922" s="1" t="n">
        <v>37.4367696445</v>
      </c>
      <c r="D1922" s="1" t="n">
        <v>-7.07919861516</v>
      </c>
      <c r="E1922" s="3" t="n">
        <v>3</v>
      </c>
      <c r="F1922" s="2" t="n">
        <v>3</v>
      </c>
      <c r="G1922" s="4" t="n">
        <v>3</v>
      </c>
      <c r="H1922" s="13" t="n"/>
      <c r="I1922" s="15" t="n"/>
      <c r="J1922" s="19" t="n">
        <v>3</v>
      </c>
      <c r="K1922" s="2" t="inlineStr">
        <is>
          <t>marker_900_382088.png</t>
        </is>
      </c>
      <c r="L1922" s="11">
        <f>HYPERLINK("3\0\" &amp; K1922, "Ver Imagen")</f>
        <v/>
      </c>
      <c r="M1922" t="inlineStr">
        <is>
          <t>Moda</t>
        </is>
      </c>
    </row>
    <row r="1923">
      <c r="A1923" t="n">
        <v>1922</v>
      </c>
      <c r="B1923" t="inlineStr">
        <is>
          <t>A-495__102</t>
        </is>
      </c>
      <c r="C1923" s="1" t="n">
        <v>37.4360308517</v>
      </c>
      <c r="D1923" s="1" t="n">
        <v>-7.077123705</v>
      </c>
      <c r="E1923" s="3" t="n">
        <v>3</v>
      </c>
      <c r="F1923" s="2" t="n">
        <v>3</v>
      </c>
      <c r="G1923" s="4" t="n">
        <v>3</v>
      </c>
      <c r="H1923" s="13" t="n"/>
      <c r="I1923" s="15" t="n"/>
      <c r="J1923" s="19" t="n">
        <v>3</v>
      </c>
      <c r="K1923" s="2" t="inlineStr">
        <is>
          <t>marker_208_382173.png</t>
        </is>
      </c>
      <c r="L1923" s="11">
        <f>HYPERLINK("3\0\" &amp; K1923, "Ver Imagen")</f>
        <v/>
      </c>
      <c r="M1923" t="inlineStr">
        <is>
          <t>Moda</t>
        </is>
      </c>
    </row>
    <row r="1924">
      <c r="A1924" t="n">
        <v>1923</v>
      </c>
      <c r="B1924" t="inlineStr">
        <is>
          <t>A-495__106</t>
        </is>
      </c>
      <c r="C1924" s="1" t="n">
        <v>37.4353952587</v>
      </c>
      <c r="D1924" s="1" t="n">
        <v>-7.07652194619</v>
      </c>
      <c r="E1924" s="3" t="n">
        <v>3</v>
      </c>
      <c r="F1924" s="2" t="n">
        <v>3</v>
      </c>
      <c r="G1924" s="4" t="n">
        <v>3</v>
      </c>
      <c r="H1924" s="13" t="n"/>
      <c r="I1924" s="15" t="n"/>
      <c r="J1924" s="19" t="n">
        <v>3</v>
      </c>
      <c r="K1924" s="2" t="inlineStr">
        <is>
          <t>marker_482_382224.png</t>
        </is>
      </c>
      <c r="L1924" s="11">
        <f>HYPERLINK("3\0\" &amp; K1924, "Ver Imagen")</f>
        <v/>
      </c>
      <c r="M1924" t="inlineStr">
        <is>
          <t>Moda</t>
        </is>
      </c>
    </row>
    <row r="1925">
      <c r="A1925" t="n">
        <v>1924</v>
      </c>
      <c r="B1925" t="inlineStr">
        <is>
          <t>A-5059__81</t>
        </is>
      </c>
      <c r="C1925" s="1" t="n">
        <v>37.2213580738</v>
      </c>
      <c r="D1925" s="1" t="n">
        <v>-7.05408788875</v>
      </c>
      <c r="E1925" s="3" t="n">
        <v>3</v>
      </c>
      <c r="F1925" s="2" t="n">
        <v>3</v>
      </c>
      <c r="G1925" s="4" t="n">
        <v>3</v>
      </c>
      <c r="H1925" s="13" t="n"/>
      <c r="I1925" s="15" t="n"/>
      <c r="J1925" s="19" t="n">
        <v>3</v>
      </c>
      <c r="K1925" s="2" t="inlineStr">
        <is>
          <t>marker_433_378727.png</t>
        </is>
      </c>
      <c r="L1925" s="11">
        <f>HYPERLINK("3\0\" &amp; K1925, "Ver Imagen")</f>
        <v/>
      </c>
      <c r="M1925" t="inlineStr">
        <is>
          <t>Moda</t>
        </is>
      </c>
    </row>
    <row r="1926">
      <c r="A1926" t="n">
        <v>1925</v>
      </c>
      <c r="B1926" t="inlineStr">
        <is>
          <t>A-5059__68</t>
        </is>
      </c>
      <c r="C1926" s="1" t="n">
        <v>37.2234013369</v>
      </c>
      <c r="D1926" s="1" t="n">
        <v>-7.0559805667</v>
      </c>
      <c r="E1926" s="3" t="n">
        <v>3</v>
      </c>
      <c r="F1926" s="2" t="n">
        <v>3</v>
      </c>
      <c r="G1926" s="4" t="n">
        <v>3</v>
      </c>
      <c r="H1926" s="13" t="n"/>
      <c r="I1926" s="15" t="n"/>
      <c r="J1926" s="19" t="n">
        <v>3</v>
      </c>
      <c r="K1926" s="2" t="inlineStr">
        <is>
          <t>marker_719_378865.png</t>
        </is>
      </c>
      <c r="L1926" s="11">
        <f>HYPERLINK("3\0\" &amp; K1926, "Ver Imagen")</f>
        <v/>
      </c>
      <c r="M1926" t="inlineStr">
        <is>
          <t>Moda</t>
        </is>
      </c>
    </row>
    <row r="1927">
      <c r="A1927" t="n">
        <v>1926</v>
      </c>
      <c r="B1927" t="inlineStr">
        <is>
          <t>A-5059__64</t>
        </is>
      </c>
      <c r="C1927" s="1" t="n">
        <v>37.224104197</v>
      </c>
      <c r="D1927" s="1" t="n">
        <v>-7.05638250331</v>
      </c>
      <c r="E1927" s="3" t="n">
        <v>3</v>
      </c>
      <c r="F1927" s="2" t="n">
        <v>3</v>
      </c>
      <c r="G1927" s="4" t="n">
        <v>3</v>
      </c>
      <c r="H1927" s="13" t="n"/>
      <c r="I1927" s="15" t="n"/>
      <c r="J1927" s="19" t="n">
        <v>3</v>
      </c>
      <c r="K1927" s="2" t="inlineStr">
        <is>
          <t>marker_897_378904.png</t>
        </is>
      </c>
      <c r="L1927" s="11">
        <f>HYPERLINK("3\0\" &amp; K1927, "Ver Imagen")</f>
        <v/>
      </c>
      <c r="M1927" t="inlineStr">
        <is>
          <t>Moda</t>
        </is>
      </c>
    </row>
    <row r="1928">
      <c r="A1928" t="n">
        <v>1927</v>
      </c>
      <c r="B1928" t="inlineStr">
        <is>
          <t>A-5059__63</t>
        </is>
      </c>
      <c r="C1928" s="1" t="n">
        <v>37.2242912805</v>
      </c>
      <c r="D1928" s="1" t="n">
        <v>-7.05657743729</v>
      </c>
      <c r="E1928" s="3" t="n">
        <v>3</v>
      </c>
      <c r="F1928" s="2" t="n">
        <v>3</v>
      </c>
      <c r="G1928" s="4" t="n">
        <v>3</v>
      </c>
      <c r="H1928" s="13" t="n"/>
      <c r="I1928" s="15" t="n"/>
      <c r="J1928" s="19" t="n">
        <v>3</v>
      </c>
      <c r="K1928" s="2" t="inlineStr">
        <is>
          <t>marker_665_378915.png</t>
        </is>
      </c>
      <c r="L1928" s="11">
        <f>HYPERLINK("3\0\" &amp; K1928, "Ver Imagen")</f>
        <v/>
      </c>
      <c r="M1928" t="inlineStr">
        <is>
          <t>Moda</t>
        </is>
      </c>
    </row>
    <row r="1929">
      <c r="A1929" t="n">
        <v>1928</v>
      </c>
      <c r="B1929" t="inlineStr">
        <is>
          <t>A-495__130</t>
        </is>
      </c>
      <c r="C1929" s="1" t="n">
        <v>37.4351343296</v>
      </c>
      <c r="D1929" s="1" t="n">
        <v>-7.07052334919</v>
      </c>
      <c r="E1929" s="3" t="n">
        <v>3</v>
      </c>
      <c r="F1929" s="2" t="n">
        <v>3</v>
      </c>
      <c r="G1929" s="4" t="n">
        <v>3</v>
      </c>
      <c r="H1929" s="13" t="n"/>
      <c r="I1929" s="15" t="n"/>
      <c r="J1929" s="19" t="n">
        <v>3</v>
      </c>
      <c r="K1929" s="2" t="inlineStr">
        <is>
          <t>marker_732_382477.png</t>
        </is>
      </c>
      <c r="L1929" s="11">
        <f>HYPERLINK("3\0\" &amp; K1929, "Ver Imagen")</f>
        <v/>
      </c>
      <c r="M1929" t="inlineStr">
        <is>
          <t>Moda</t>
        </is>
      </c>
    </row>
    <row r="1930">
      <c r="A1930" t="n">
        <v>1929</v>
      </c>
      <c r="B1930" t="inlineStr">
        <is>
          <t>A-5059__40</t>
        </is>
      </c>
      <c r="C1930" s="1" t="n">
        <v>37.2273193656</v>
      </c>
      <c r="D1930" s="1" t="n">
        <v>-7.06087599626</v>
      </c>
      <c r="E1930" s="3" t="n">
        <v>3</v>
      </c>
      <c r="F1930" s="2" t="n">
        <v>3</v>
      </c>
      <c r="G1930" s="4" t="n">
        <v>3</v>
      </c>
      <c r="H1930" s="13" t="n"/>
      <c r="I1930" s="15" t="n"/>
      <c r="J1930" s="19" t="n">
        <v>3</v>
      </c>
      <c r="K1930" s="2" t="inlineStr">
        <is>
          <t>marker_111_379295.png</t>
        </is>
      </c>
      <c r="L1930" s="11">
        <f>HYPERLINK("3\0\" &amp; K1930, "Ver Imagen")</f>
        <v/>
      </c>
      <c r="M1930" t="inlineStr">
        <is>
          <t>Moda</t>
        </is>
      </c>
    </row>
    <row r="1931">
      <c r="A1931" t="n">
        <v>1930</v>
      </c>
      <c r="B1931" t="inlineStr">
        <is>
          <t>A-5059__38</t>
        </is>
      </c>
      <c r="C1931" s="1" t="n">
        <v>37.2276905762</v>
      </c>
      <c r="D1931" s="1" t="n">
        <v>-7.06105400585</v>
      </c>
      <c r="E1931" s="3" t="n">
        <v>3</v>
      </c>
      <c r="F1931" s="2" t="n">
        <v>3</v>
      </c>
      <c r="G1931" s="4" t="n">
        <v>3</v>
      </c>
      <c r="H1931" s="13" t="n"/>
      <c r="I1931" s="15" t="n"/>
      <c r="J1931" s="19" t="n">
        <v>3</v>
      </c>
      <c r="K1931" s="2" t="inlineStr">
        <is>
          <t>marker_531_379313.png</t>
        </is>
      </c>
      <c r="L1931" s="11">
        <f>HYPERLINK("3\0\" &amp; K1931, "Ver Imagen")</f>
        <v/>
      </c>
      <c r="M1931" t="inlineStr">
        <is>
          <t>Moda</t>
        </is>
      </c>
    </row>
    <row r="1932">
      <c r="A1932" t="n">
        <v>1931</v>
      </c>
      <c r="B1932" t="inlineStr">
        <is>
          <t>A-5059__30</t>
        </is>
      </c>
      <c r="C1932" s="1" t="n">
        <v>37.2289435764</v>
      </c>
      <c r="D1932" s="1" t="n">
        <v>-7.06233371648</v>
      </c>
      <c r="E1932" s="3" t="n">
        <v>3</v>
      </c>
      <c r="F1932" s="2" t="n">
        <v>3</v>
      </c>
      <c r="G1932" s="4" t="n">
        <v>3</v>
      </c>
      <c r="H1932" s="13" t="n"/>
      <c r="I1932" s="15" t="n"/>
      <c r="J1932" s="19" t="n">
        <v>3</v>
      </c>
      <c r="K1932" s="2" t="inlineStr">
        <is>
          <t>marker_591_379404.png</t>
        </is>
      </c>
      <c r="L1932" s="11">
        <f>HYPERLINK("3\0\" &amp; K1932, "Ver Imagen")</f>
        <v/>
      </c>
      <c r="M1932" t="inlineStr">
        <is>
          <t>Moda</t>
        </is>
      </c>
    </row>
    <row r="1933">
      <c r="A1933" t="n">
        <v>1932</v>
      </c>
      <c r="B1933" t="inlineStr">
        <is>
          <t>A-5059__27</t>
        </is>
      </c>
      <c r="C1933" s="1" t="n">
        <v>37.2293957544</v>
      </c>
      <c r="D1933" s="1" t="n">
        <v>-7.06283652309</v>
      </c>
      <c r="E1933" s="3" t="n">
        <v>3</v>
      </c>
      <c r="F1933" s="2" t="n">
        <v>3</v>
      </c>
      <c r="G1933" s="4" t="n">
        <v>3</v>
      </c>
      <c r="H1933" s="13" t="n"/>
      <c r="I1933" s="15" t="n"/>
      <c r="J1933" s="19" t="n">
        <v>3</v>
      </c>
      <c r="K1933" s="2" t="inlineStr">
        <is>
          <t>marker_936_379430.png</t>
        </is>
      </c>
      <c r="L1933" s="11">
        <f>HYPERLINK("3\0\" &amp; K1933, "Ver Imagen")</f>
        <v/>
      </c>
      <c r="M1933" t="inlineStr">
        <is>
          <t>Moda</t>
        </is>
      </c>
    </row>
    <row r="1934">
      <c r="A1934" t="n">
        <v>1933</v>
      </c>
      <c r="B1934" t="inlineStr">
        <is>
          <t>A-495__145</t>
        </is>
      </c>
      <c r="C1934" s="1" t="n">
        <v>37.4339208741</v>
      </c>
      <c r="D1934" s="1" t="n">
        <v>-7.06703204702</v>
      </c>
      <c r="E1934" s="3" t="n">
        <v>3</v>
      </c>
      <c r="F1934" s="2" t="n">
        <v>3</v>
      </c>
      <c r="G1934" s="4" t="n">
        <v>3</v>
      </c>
      <c r="H1934" s="13" t="n"/>
      <c r="I1934" s="15" t="n"/>
      <c r="J1934" s="19" t="n">
        <v>3</v>
      </c>
      <c r="K1934" s="2" t="inlineStr">
        <is>
          <t>marker_157_382623.png</t>
        </is>
      </c>
      <c r="L1934" s="11">
        <f>HYPERLINK("3\0\" &amp; K1934, "Ver Imagen")</f>
        <v/>
      </c>
      <c r="M1934" t="inlineStr">
        <is>
          <t>Moda</t>
        </is>
      </c>
    </row>
    <row r="1935">
      <c r="A1935" t="n">
        <v>1934</v>
      </c>
      <c r="B1935" t="inlineStr">
        <is>
          <t>A-5059__25</t>
        </is>
      </c>
      <c r="C1935" s="1" t="n">
        <v>37.2297273277</v>
      </c>
      <c r="D1935" s="1" t="n">
        <v>-7.06310085319</v>
      </c>
      <c r="E1935" s="3" t="n">
        <v>3</v>
      </c>
      <c r="F1935" s="2" t="n">
        <v>3</v>
      </c>
      <c r="G1935" s="4" t="n">
        <v>3</v>
      </c>
      <c r="H1935" s="13" t="n"/>
      <c r="I1935" s="15" t="n"/>
      <c r="J1935" s="19" t="n">
        <v>3</v>
      </c>
      <c r="K1935" s="2" t="inlineStr">
        <is>
          <t>marker_850_379448.png</t>
        </is>
      </c>
      <c r="L1935" s="11">
        <f>HYPERLINK("3\0\" &amp; K1935, "Ver Imagen")</f>
        <v/>
      </c>
      <c r="M1935" t="inlineStr">
        <is>
          <t>Moda</t>
        </is>
      </c>
    </row>
    <row r="1936">
      <c r="A1936" t="n">
        <v>1935</v>
      </c>
      <c r="B1936" t="inlineStr">
        <is>
          <t>A-5059__21</t>
        </is>
      </c>
      <c r="C1936" s="1" t="n">
        <v>37.2305063967</v>
      </c>
      <c r="D1936" s="1" t="n">
        <v>-7.06336732503</v>
      </c>
      <c r="E1936" s="3" t="n">
        <v>3</v>
      </c>
      <c r="F1936" s="2" t="n">
        <v>3</v>
      </c>
      <c r="G1936" s="4" t="n">
        <v>3</v>
      </c>
      <c r="H1936" s="13" t="n"/>
      <c r="I1936" s="15" t="n"/>
      <c r="J1936" s="19" t="n">
        <v>3</v>
      </c>
      <c r="K1936" s="2" t="inlineStr">
        <is>
          <t>marker_405_379482.png</t>
        </is>
      </c>
      <c r="L1936" s="11">
        <f>HYPERLINK("3\0\" &amp; K1936, "Ver Imagen")</f>
        <v/>
      </c>
      <c r="M1936" t="inlineStr">
        <is>
          <t>Moda</t>
        </is>
      </c>
    </row>
    <row r="1937">
      <c r="A1937" t="n">
        <v>1936</v>
      </c>
      <c r="B1937" t="inlineStr">
        <is>
          <t>A-5059__19</t>
        </is>
      </c>
      <c r="C1937" s="1" t="n">
        <v>37.230907637</v>
      </c>
      <c r="D1937" s="1" t="n">
        <v>-7.06343129462</v>
      </c>
      <c r="E1937" s="3" t="n">
        <v>3</v>
      </c>
      <c r="F1937" s="2" t="n">
        <v>3</v>
      </c>
      <c r="G1937" s="4" t="n">
        <v>3</v>
      </c>
      <c r="H1937" s="13" t="n"/>
      <c r="I1937" s="15" t="n"/>
      <c r="J1937" s="19" t="n">
        <v>3</v>
      </c>
      <c r="K1937" s="2" t="inlineStr">
        <is>
          <t>marker_862_379500.png</t>
        </is>
      </c>
      <c r="L1937" s="11">
        <f>HYPERLINK("3\0\" &amp; K1937, "Ver Imagen")</f>
        <v/>
      </c>
      <c r="M1937" t="inlineStr">
        <is>
          <t>Moda</t>
        </is>
      </c>
    </row>
    <row r="1938">
      <c r="A1938" t="n">
        <v>1937</v>
      </c>
      <c r="B1938" t="inlineStr">
        <is>
          <t>A-5059__18</t>
        </is>
      </c>
      <c r="C1938" s="1" t="n">
        <v>37.2311021354</v>
      </c>
      <c r="D1938" s="1" t="n">
        <v>-7.06348371032</v>
      </c>
      <c r="E1938" s="3" t="n">
        <v>3</v>
      </c>
      <c r="F1938" s="2" t="n">
        <v>3</v>
      </c>
      <c r="G1938" s="4" t="n">
        <v>3</v>
      </c>
      <c r="H1938" s="13" t="n"/>
      <c r="I1938" s="15" t="n"/>
      <c r="J1938" s="19" t="n">
        <v>3</v>
      </c>
      <c r="K1938" s="2" t="inlineStr">
        <is>
          <t>marker_181_379509.png</t>
        </is>
      </c>
      <c r="L1938" s="11">
        <f>HYPERLINK("3\0\" &amp; K1938, "Ver Imagen")</f>
        <v/>
      </c>
      <c r="M1938" t="inlineStr">
        <is>
          <t>Moda</t>
        </is>
      </c>
    </row>
    <row r="1939">
      <c r="A1939" t="n">
        <v>1938</v>
      </c>
      <c r="B1939" t="inlineStr">
        <is>
          <t>A-5059__16</t>
        </is>
      </c>
      <c r="C1939" s="1" t="n">
        <v>37.2314632897</v>
      </c>
      <c r="D1939" s="1" t="n">
        <v>-7.06367140073</v>
      </c>
      <c r="E1939" s="3" t="n">
        <v>3</v>
      </c>
      <c r="F1939" s="2" t="n">
        <v>3</v>
      </c>
      <c r="G1939" s="4" t="n">
        <v>3</v>
      </c>
      <c r="H1939" s="13" t="n"/>
      <c r="I1939" s="15" t="n"/>
      <c r="J1939" s="19" t="n">
        <v>3</v>
      </c>
      <c r="K1939" s="2" t="inlineStr">
        <is>
          <t>marker_922_379525.png</t>
        </is>
      </c>
      <c r="L1939" s="11">
        <f>HYPERLINK("3\0\" &amp; K1939, "Ver Imagen")</f>
        <v/>
      </c>
      <c r="M1939" t="inlineStr">
        <is>
          <t>Moda</t>
        </is>
      </c>
    </row>
    <row r="1940">
      <c r="A1940" t="n">
        <v>1939</v>
      </c>
      <c r="B1940" t="inlineStr">
        <is>
          <t>A-5059__13</t>
        </is>
      </c>
      <c r="C1940" s="1" t="n">
        <v>37.2319733564</v>
      </c>
      <c r="D1940" s="1" t="n">
        <v>-7.06409822483</v>
      </c>
      <c r="E1940" s="3" t="n">
        <v>3</v>
      </c>
      <c r="F1940" s="2" t="n">
        <v>3</v>
      </c>
      <c r="G1940" s="4" t="n">
        <v>3</v>
      </c>
      <c r="H1940" s="13" t="n"/>
      <c r="I1940" s="15" t="n"/>
      <c r="J1940" s="19" t="n">
        <v>3</v>
      </c>
      <c r="K1940" s="2" t="inlineStr">
        <is>
          <t>marker_381_379554.png</t>
        </is>
      </c>
      <c r="L1940" s="11">
        <f>HYPERLINK("3\0\" &amp; K1940, "Ver Imagen")</f>
        <v/>
      </c>
      <c r="M1940" t="inlineStr">
        <is>
          <t>Moda</t>
        </is>
      </c>
    </row>
    <row r="1941">
      <c r="A1941" t="n">
        <v>1940</v>
      </c>
      <c r="B1941" t="inlineStr">
        <is>
          <t>A-5059__7</t>
        </is>
      </c>
      <c r="C1941" s="1" t="n">
        <v>37.2327714546</v>
      </c>
      <c r="D1941" s="1" t="n">
        <v>-7.06530097214</v>
      </c>
      <c r="E1941" s="3" t="n">
        <v>3</v>
      </c>
      <c r="F1941" s="2" t="n">
        <v>3</v>
      </c>
      <c r="G1941" s="4" t="n">
        <v>3</v>
      </c>
      <c r="H1941" s="13" t="n"/>
      <c r="I1941" s="15" t="n"/>
      <c r="J1941" s="19" t="n">
        <v>3</v>
      </c>
      <c r="K1941" s="2" t="inlineStr">
        <is>
          <t>marker_521_379608.png</t>
        </is>
      </c>
      <c r="L1941" s="11">
        <f>HYPERLINK("3\0\" &amp; K1941, "Ver Imagen")</f>
        <v/>
      </c>
      <c r="M1941" t="inlineStr">
        <is>
          <t>Moda</t>
        </is>
      </c>
    </row>
    <row r="1942">
      <c r="A1942" t="n">
        <v>1941</v>
      </c>
      <c r="B1942" t="inlineStr">
        <is>
          <t>A-5059__6</t>
        </is>
      </c>
      <c r="C1942" s="1" t="n">
        <v>37.2328658031</v>
      </c>
      <c r="D1942" s="1" t="n">
        <v>-7.06546349646</v>
      </c>
      <c r="E1942" s="3" t="n">
        <v>3</v>
      </c>
      <c r="F1942" s="2" t="n">
        <v>3</v>
      </c>
      <c r="G1942" s="4" t="n">
        <v>3</v>
      </c>
      <c r="H1942" s="13" t="n"/>
      <c r="I1942" s="15" t="n"/>
      <c r="J1942" s="19" t="n">
        <v>3</v>
      </c>
      <c r="K1942" s="2" t="inlineStr">
        <is>
          <t>marker_959_379616.png</t>
        </is>
      </c>
      <c r="L1942" s="11">
        <f>HYPERLINK("3\0\" &amp; K1942, "Ver Imagen")</f>
        <v/>
      </c>
      <c r="M1942" t="inlineStr">
        <is>
          <t>Moda</t>
        </is>
      </c>
    </row>
    <row r="1943">
      <c r="A1943" t="n">
        <v>1942</v>
      </c>
      <c r="B1943" t="inlineStr">
        <is>
          <t>A-5059__3</t>
        </is>
      </c>
      <c r="C1943" s="1" t="n">
        <v>37.2332795251</v>
      </c>
      <c r="D1943" s="1" t="n">
        <v>-7.06600117682</v>
      </c>
      <c r="E1943" s="3" t="n">
        <v>3</v>
      </c>
      <c r="F1943" s="2" t="n">
        <v>3</v>
      </c>
      <c r="G1943" s="4" t="n">
        <v>3</v>
      </c>
      <c r="H1943" s="13" t="n"/>
      <c r="I1943" s="15" t="n"/>
      <c r="J1943" s="19" t="n">
        <v>3</v>
      </c>
      <c r="K1943" s="2" t="inlineStr">
        <is>
          <t>marker_833_379646.png</t>
        </is>
      </c>
      <c r="L1943" s="11">
        <f>HYPERLINK("3\0\" &amp; K1943, "Ver Imagen")</f>
        <v/>
      </c>
      <c r="M1943" t="inlineStr">
        <is>
          <t>Moda</t>
        </is>
      </c>
    </row>
    <row r="1944">
      <c r="A1944" t="n">
        <v>1943</v>
      </c>
      <c r="B1944" t="inlineStr">
        <is>
          <t>A-495__156</t>
        </is>
      </c>
      <c r="C1944" s="1" t="n">
        <v>37.4327836767</v>
      </c>
      <c r="D1944" s="1" t="n">
        <v>-7.06455355223</v>
      </c>
      <c r="E1944" s="3" t="n">
        <v>3</v>
      </c>
      <c r="F1944" s="2" t="n">
        <v>3</v>
      </c>
      <c r="G1944" s="4" t="n">
        <v>3</v>
      </c>
      <c r="H1944" s="13" t="n"/>
      <c r="I1944" s="15" t="n"/>
      <c r="J1944" s="19" t="n">
        <v>3</v>
      </c>
      <c r="K1944" s="2" t="inlineStr">
        <is>
          <t>marker_862_382752.png</t>
        </is>
      </c>
      <c r="L1944" s="11">
        <f>HYPERLINK("3\0\" &amp; K1944, "Ver Imagen")</f>
        <v/>
      </c>
      <c r="M1944" t="inlineStr">
        <is>
          <t>Moda</t>
        </is>
      </c>
    </row>
    <row r="1945">
      <c r="A1945" t="n">
        <v>1944</v>
      </c>
      <c r="B1945" t="inlineStr">
        <is>
          <t>A-495__157</t>
        </is>
      </c>
      <c r="C1945" s="1" t="n">
        <v>37.4327192128</v>
      </c>
      <c r="D1945" s="1" t="n">
        <v>-7.06441337006</v>
      </c>
      <c r="E1945" s="3" t="n">
        <v>3</v>
      </c>
      <c r="F1945" s="2" t="n">
        <v>3</v>
      </c>
      <c r="G1945" s="4" t="n">
        <v>3</v>
      </c>
      <c r="H1945" s="13" t="n"/>
      <c r="I1945" s="15" t="n"/>
      <c r="J1945" s="19" t="n">
        <v>3</v>
      </c>
      <c r="K1945" s="2" t="inlineStr">
        <is>
          <t>marker_706_382763.png</t>
        </is>
      </c>
      <c r="L1945" s="11">
        <f>HYPERLINK("3\0\" &amp; K1945, "Ver Imagen")</f>
        <v/>
      </c>
      <c r="M1945" t="inlineStr">
        <is>
          <t>Moda</t>
        </is>
      </c>
    </row>
    <row r="1946">
      <c r="A1946" t="n">
        <v>1945</v>
      </c>
      <c r="B1946" t="inlineStr">
        <is>
          <t>A-5058__9</t>
        </is>
      </c>
      <c r="C1946" s="1" t="n">
        <v>37.2253422244</v>
      </c>
      <c r="D1946" s="1" t="n">
        <v>-7.02954531501</v>
      </c>
      <c r="E1946" s="3" t="n">
        <v>3</v>
      </c>
      <c r="F1946" s="2" t="n">
        <v>3</v>
      </c>
      <c r="G1946" s="4" t="n">
        <v>3</v>
      </c>
      <c r="H1946" s="13" t="n"/>
      <c r="I1946" s="15" t="n"/>
      <c r="J1946" s="19" t="n">
        <v>3</v>
      </c>
      <c r="K1946" s="2" t="inlineStr">
        <is>
          <t>marker_190_379899.png</t>
        </is>
      </c>
      <c r="L1946" s="11">
        <f>HYPERLINK("3\0\" &amp; K1946, "Ver Imagen")</f>
        <v/>
      </c>
      <c r="M1946" t="inlineStr">
        <is>
          <t>Moda</t>
        </is>
      </c>
    </row>
    <row r="1947">
      <c r="A1947" t="n">
        <v>1946</v>
      </c>
      <c r="B1947" t="inlineStr">
        <is>
          <t>A-5058__11</t>
        </is>
      </c>
      <c r="C1947" s="1" t="n">
        <v>37.2253513223</v>
      </c>
      <c r="D1947" s="1" t="n">
        <v>-7.03005020407</v>
      </c>
      <c r="E1947" s="3" t="n">
        <v>3</v>
      </c>
      <c r="F1947" s="2" t="n">
        <v>3</v>
      </c>
      <c r="G1947" s="4" t="n">
        <v>3</v>
      </c>
      <c r="H1947" s="13" t="n"/>
      <c r="I1947" s="15" t="n"/>
      <c r="J1947" s="19" t="n">
        <v>3</v>
      </c>
      <c r="K1947" s="2" t="inlineStr">
        <is>
          <t>marker_523_379917.png</t>
        </is>
      </c>
      <c r="L1947" s="11">
        <f>HYPERLINK("3\0\" &amp; K1947, "Ver Imagen")</f>
        <v/>
      </c>
      <c r="M1947" t="inlineStr">
        <is>
          <t>Moda</t>
        </is>
      </c>
    </row>
    <row r="1948">
      <c r="A1948" t="n">
        <v>1947</v>
      </c>
      <c r="B1948" t="inlineStr">
        <is>
          <t>A-5058__12</t>
        </is>
      </c>
      <c r="C1948" s="1" t="n">
        <v>37.2253482661</v>
      </c>
      <c r="D1948" s="1" t="n">
        <v>-7.03028494564</v>
      </c>
      <c r="E1948" s="3" t="n">
        <v>3</v>
      </c>
      <c r="F1948" s="2" t="n">
        <v>3</v>
      </c>
      <c r="G1948" s="4" t="n">
        <v>3</v>
      </c>
      <c r="H1948" s="13" t="n"/>
      <c r="I1948" s="15" t="n"/>
      <c r="J1948" s="19" t="n">
        <v>3</v>
      </c>
      <c r="K1948" s="2" t="inlineStr">
        <is>
          <t>marker_518_379927.png</t>
        </is>
      </c>
      <c r="L1948" s="11">
        <f>HYPERLINK("3\0\" &amp; K1948, "Ver Imagen")</f>
        <v/>
      </c>
      <c r="M1948" t="inlineStr">
        <is>
          <t>Moda</t>
        </is>
      </c>
    </row>
    <row r="1949">
      <c r="A1949" t="n">
        <v>1948</v>
      </c>
      <c r="B1949" t="inlineStr">
        <is>
          <t>A-5058__16</t>
        </is>
      </c>
      <c r="C1949" s="1" t="n">
        <v>37.2252790461</v>
      </c>
      <c r="D1949" s="1" t="n">
        <v>-7.0313062225</v>
      </c>
      <c r="E1949" s="3" t="n">
        <v>3</v>
      </c>
      <c r="F1949" s="2" t="n">
        <v>3</v>
      </c>
      <c r="G1949" s="4" t="n">
        <v>3</v>
      </c>
      <c r="H1949" s="13" t="n"/>
      <c r="I1949" s="15" t="n"/>
      <c r="J1949" s="19" t="n">
        <v>3</v>
      </c>
      <c r="K1949" s="2" t="inlineStr">
        <is>
          <t>marker_762_380001.png</t>
        </is>
      </c>
      <c r="L1949" s="11">
        <f>HYPERLINK("3\0\" &amp; K1949, "Ver Imagen")</f>
        <v/>
      </c>
      <c r="M1949" t="inlineStr">
        <is>
          <t>Moda</t>
        </is>
      </c>
    </row>
    <row r="1950">
      <c r="A1950" t="n">
        <v>1949</v>
      </c>
      <c r="B1950" t="inlineStr">
        <is>
          <t>A-5058__19</t>
        </is>
      </c>
      <c r="C1950" s="1" t="n">
        <v>37.2252126914</v>
      </c>
      <c r="D1950" s="1" t="n">
        <v>-7.03206970073</v>
      </c>
      <c r="E1950" s="3" t="n">
        <v>3</v>
      </c>
      <c r="F1950" s="2" t="n">
        <v>3</v>
      </c>
      <c r="G1950" s="4" t="n">
        <v>3</v>
      </c>
      <c r="H1950" s="13" t="n"/>
      <c r="I1950" s="15" t="n"/>
      <c r="J1950" s="19" t="n">
        <v>3</v>
      </c>
      <c r="K1950" s="2" t="inlineStr">
        <is>
          <t>marker_576_380048.png</t>
        </is>
      </c>
      <c r="L1950" s="11">
        <f>HYPERLINK("3\0\" &amp; K1950, "Ver Imagen")</f>
        <v/>
      </c>
      <c r="M1950" t="inlineStr">
        <is>
          <t>Moda</t>
        </is>
      </c>
    </row>
    <row r="1951">
      <c r="A1951" t="n">
        <v>1950</v>
      </c>
      <c r="B1951" t="inlineStr">
        <is>
          <t>A-5058__20</t>
        </is>
      </c>
      <c r="C1951" s="1" t="n">
        <v>37.225187366</v>
      </c>
      <c r="D1951" s="1" t="n">
        <v>-7.03230153066</v>
      </c>
      <c r="E1951" s="3" t="n">
        <v>3</v>
      </c>
      <c r="F1951" s="2" t="n">
        <v>3</v>
      </c>
      <c r="G1951" s="4" t="n">
        <v>3</v>
      </c>
      <c r="H1951" s="13" t="n"/>
      <c r="I1951" s="15" t="n"/>
      <c r="J1951" s="19" t="n">
        <v>3</v>
      </c>
      <c r="K1951" s="2" t="inlineStr">
        <is>
          <t>marker_381_380056.png</t>
        </is>
      </c>
      <c r="L1951" s="11">
        <f>HYPERLINK("3\0\" &amp; K1951, "Ver Imagen")</f>
        <v/>
      </c>
      <c r="M1951" t="inlineStr">
        <is>
          <t>Moda</t>
        </is>
      </c>
    </row>
    <row r="1952">
      <c r="A1952" t="n">
        <v>1951</v>
      </c>
      <c r="B1952" t="inlineStr">
        <is>
          <t>A-5058__21</t>
        </is>
      </c>
      <c r="C1952" s="1" t="n">
        <v>37.2251498117</v>
      </c>
      <c r="D1952" s="1" t="n">
        <v>-7.03256114035</v>
      </c>
      <c r="E1952" s="3" t="n">
        <v>3</v>
      </c>
      <c r="F1952" s="2" t="n">
        <v>3</v>
      </c>
      <c r="G1952" s="4" t="n">
        <v>3</v>
      </c>
      <c r="H1952" s="13" t="n"/>
      <c r="I1952" s="15" t="n"/>
      <c r="J1952" s="19" t="n">
        <v>3</v>
      </c>
      <c r="K1952" s="2" t="inlineStr">
        <is>
          <t>marker_207_380082.png</t>
        </is>
      </c>
      <c r="L1952" s="11">
        <f>HYPERLINK("3\0\" &amp; K1952, "Ver Imagen")</f>
        <v/>
      </c>
      <c r="M1952" t="inlineStr">
        <is>
          <t>Moda</t>
        </is>
      </c>
    </row>
    <row r="1953">
      <c r="A1953" t="n">
        <v>1952</v>
      </c>
      <c r="B1953" t="inlineStr">
        <is>
          <t>A-5058__23</t>
        </is>
      </c>
      <c r="C1953" s="1" t="n">
        <v>37.225037896</v>
      </c>
      <c r="D1953" s="1" t="n">
        <v>-7.03306933498</v>
      </c>
      <c r="E1953" s="3" t="n">
        <v>3</v>
      </c>
      <c r="F1953" s="2" t="n">
        <v>3</v>
      </c>
      <c r="G1953" s="4" t="n">
        <v>3</v>
      </c>
      <c r="H1953" s="13" t="n"/>
      <c r="I1953" s="15" t="n"/>
      <c r="J1953" s="19" t="n">
        <v>3</v>
      </c>
      <c r="K1953" s="2" t="inlineStr">
        <is>
          <t>marker_268_380107.png</t>
        </is>
      </c>
      <c r="L1953" s="11">
        <f>HYPERLINK("3\0\" &amp; K1953, "Ver Imagen")</f>
        <v/>
      </c>
      <c r="M1953" t="inlineStr">
        <is>
          <t>Moda</t>
        </is>
      </c>
    </row>
    <row r="1954">
      <c r="A1954" t="n">
        <v>1953</v>
      </c>
      <c r="B1954" t="inlineStr">
        <is>
          <t>A-5058__28</t>
        </is>
      </c>
      <c r="C1954" s="1" t="n">
        <v>37.2246757666</v>
      </c>
      <c r="D1954" s="1" t="n">
        <v>-7.0342272152</v>
      </c>
      <c r="E1954" s="3" t="n">
        <v>3</v>
      </c>
      <c r="F1954" s="2" t="n">
        <v>3</v>
      </c>
      <c r="G1954" s="4" t="n">
        <v>3</v>
      </c>
      <c r="H1954" s="13" t="n"/>
      <c r="I1954" s="15" t="n"/>
      <c r="J1954" s="19" t="n">
        <v>3</v>
      </c>
      <c r="K1954" s="2" t="inlineStr">
        <is>
          <t>marker_323_380169.png</t>
        </is>
      </c>
      <c r="L1954" s="11">
        <f>HYPERLINK("3\0\" &amp; K1954, "Ver Imagen")</f>
        <v/>
      </c>
      <c r="M1954" t="inlineStr">
        <is>
          <t>Moda</t>
        </is>
      </c>
    </row>
    <row r="1955">
      <c r="A1955" t="n">
        <v>1954</v>
      </c>
      <c r="B1955" t="inlineStr">
        <is>
          <t>A-5058__30</t>
        </is>
      </c>
      <c r="C1955" s="1" t="n">
        <v>37.2245641575</v>
      </c>
      <c r="D1955" s="1" t="n">
        <v>-7.03468739787</v>
      </c>
      <c r="E1955" s="3" t="n">
        <v>3</v>
      </c>
      <c r="F1955" s="2" t="n">
        <v>3</v>
      </c>
      <c r="G1955" s="4" t="n">
        <v>3</v>
      </c>
      <c r="H1955" s="13" t="n"/>
      <c r="I1955" s="15" t="n"/>
      <c r="J1955" s="19" t="n">
        <v>3</v>
      </c>
      <c r="K1955" s="2" t="inlineStr">
        <is>
          <t>marker_916_380191.png</t>
        </is>
      </c>
      <c r="L1955" s="11">
        <f>HYPERLINK("3\0\" &amp; K1955, "Ver Imagen")</f>
        <v/>
      </c>
      <c r="M1955" t="inlineStr">
        <is>
          <t>Moda</t>
        </is>
      </c>
    </row>
    <row r="1956">
      <c r="A1956" t="n">
        <v>1955</v>
      </c>
      <c r="B1956" t="inlineStr">
        <is>
          <t>A-495__167</t>
        </is>
      </c>
      <c r="C1956" s="1" t="n">
        <v>37.4316966268</v>
      </c>
      <c r="D1956" s="1" t="n">
        <v>-7.06219628807</v>
      </c>
      <c r="E1956" s="3" t="n">
        <v>3</v>
      </c>
      <c r="F1956" s="2" t="n">
        <v>3</v>
      </c>
      <c r="G1956" s="4" t="n">
        <v>3</v>
      </c>
      <c r="H1956" s="13" t="n"/>
      <c r="I1956" s="15" t="n"/>
      <c r="J1956" s="19" t="n">
        <v>3</v>
      </c>
      <c r="K1956" s="2" t="inlineStr">
        <is>
          <t>marker_855_382883.png</t>
        </is>
      </c>
      <c r="L1956" s="11">
        <f>HYPERLINK("3\0\" &amp; K1956, "Ver Imagen")</f>
        <v/>
      </c>
      <c r="M1956" t="inlineStr">
        <is>
          <t>Moda</t>
        </is>
      </c>
    </row>
    <row r="1957">
      <c r="A1957" t="n">
        <v>1956</v>
      </c>
      <c r="B1957" t="inlineStr">
        <is>
          <t>A-5058__36</t>
        </is>
      </c>
      <c r="C1957" s="1" t="n">
        <v>37.2245582557</v>
      </c>
      <c r="D1957" s="1" t="n">
        <v>-7.03596621125</v>
      </c>
      <c r="E1957" s="3" t="n">
        <v>3</v>
      </c>
      <c r="F1957" s="2" t="n">
        <v>3</v>
      </c>
      <c r="G1957" s="4" t="n">
        <v>3</v>
      </c>
      <c r="H1957" s="13" t="n"/>
      <c r="I1957" s="15" t="n"/>
      <c r="J1957" s="19" t="n">
        <v>3</v>
      </c>
      <c r="K1957" s="2" t="inlineStr">
        <is>
          <t>marker_453_380254.png</t>
        </is>
      </c>
      <c r="L1957" s="11">
        <f>HYPERLINK("3\0\" &amp; K1957, "Ver Imagen")</f>
        <v/>
      </c>
      <c r="M1957" t="inlineStr">
        <is>
          <t>Moda</t>
        </is>
      </c>
    </row>
    <row r="1958">
      <c r="A1958" t="n">
        <v>1957</v>
      </c>
      <c r="B1958" t="inlineStr">
        <is>
          <t>A-5058__41</t>
        </is>
      </c>
      <c r="C1958" s="1" t="n">
        <v>37.2246116763</v>
      </c>
      <c r="D1958" s="1" t="n">
        <v>-7.0372407291</v>
      </c>
      <c r="E1958" s="3" t="n">
        <v>3</v>
      </c>
      <c r="F1958" s="2" t="n">
        <v>3</v>
      </c>
      <c r="G1958" s="4" t="n">
        <v>3</v>
      </c>
      <c r="H1958" s="13" t="n"/>
      <c r="I1958" s="15" t="n"/>
      <c r="J1958" s="19" t="n">
        <v>3</v>
      </c>
      <c r="K1958" s="2" t="inlineStr">
        <is>
          <t>marker_267_380312.png</t>
        </is>
      </c>
      <c r="L1958" s="11">
        <f>HYPERLINK("3\0\" &amp; K1958, "Ver Imagen")</f>
        <v/>
      </c>
      <c r="M1958" t="inlineStr">
        <is>
          <t>Moda</t>
        </is>
      </c>
    </row>
    <row r="1959">
      <c r="A1959" t="n">
        <v>1958</v>
      </c>
      <c r="B1959" t="inlineStr">
        <is>
          <t>A-5058__59</t>
        </is>
      </c>
      <c r="C1959" s="1" t="n">
        <v>37.2254824702</v>
      </c>
      <c r="D1959" s="1" t="n">
        <v>-7.04163785379</v>
      </c>
      <c r="E1959" s="3" t="n">
        <v>3</v>
      </c>
      <c r="F1959" s="2" t="n">
        <v>3</v>
      </c>
      <c r="G1959" s="4" t="n">
        <v>3</v>
      </c>
      <c r="H1959" s="13" t="n"/>
      <c r="I1959" s="15" t="n"/>
      <c r="J1959" s="19" t="n">
        <v>3</v>
      </c>
      <c r="K1959" s="2" t="inlineStr">
        <is>
          <t>marker_910_380634.png</t>
        </is>
      </c>
      <c r="L1959" s="11">
        <f>HYPERLINK("3\0\" &amp; K1959, "Ver Imagen")</f>
        <v/>
      </c>
      <c r="M1959" t="inlineStr">
        <is>
          <t>Moda</t>
        </is>
      </c>
    </row>
    <row r="1960">
      <c r="A1960" t="n">
        <v>1959</v>
      </c>
      <c r="B1960" t="inlineStr">
        <is>
          <t>A-5058__73</t>
        </is>
      </c>
      <c r="C1960" s="1" t="n">
        <v>37.2269331457</v>
      </c>
      <c r="D1960" s="1" t="n">
        <v>-7.04464648677</v>
      </c>
      <c r="E1960" s="3" t="n">
        <v>3</v>
      </c>
      <c r="F1960" s="2" t="n">
        <v>3</v>
      </c>
      <c r="G1960" s="4" t="n">
        <v>3</v>
      </c>
      <c r="H1960" s="13" t="n"/>
      <c r="I1960" s="15" t="n"/>
      <c r="J1960" s="19" t="n">
        <v>3</v>
      </c>
      <c r="K1960" s="2" t="inlineStr">
        <is>
          <t>marker_447_380784.png</t>
        </is>
      </c>
      <c r="L1960" s="11">
        <f>HYPERLINK("3\0\" &amp; K1960, "Ver Imagen")</f>
        <v/>
      </c>
      <c r="M1960" t="inlineStr">
        <is>
          <t>Moda</t>
        </is>
      </c>
    </row>
    <row r="1961">
      <c r="A1961" t="n">
        <v>1960</v>
      </c>
      <c r="B1961" t="inlineStr">
        <is>
          <t>A-5058__80</t>
        </is>
      </c>
      <c r="C1961" s="1" t="n">
        <v>37.2280394386</v>
      </c>
      <c r="D1961" s="1" t="n">
        <v>-7.04576345667</v>
      </c>
      <c r="E1961" s="3" t="n">
        <v>3</v>
      </c>
      <c r="F1961" s="2" t="n">
        <v>3</v>
      </c>
      <c r="G1961" s="4" t="n">
        <v>3</v>
      </c>
      <c r="H1961" s="13" t="n"/>
      <c r="I1961" s="15" t="n"/>
      <c r="J1961" s="19" t="n">
        <v>3</v>
      </c>
      <c r="K1961" s="2" t="inlineStr">
        <is>
          <t>marker_770_380860.png</t>
        </is>
      </c>
      <c r="L1961" s="11">
        <f>HYPERLINK("3\0\" &amp; K1961, "Ver Imagen")</f>
        <v/>
      </c>
      <c r="M1961" t="inlineStr">
        <is>
          <t>Moda</t>
        </is>
      </c>
    </row>
    <row r="1962">
      <c r="A1962" t="n">
        <v>1961</v>
      </c>
      <c r="B1962" t="inlineStr">
        <is>
          <t>A-5058__81</t>
        </is>
      </c>
      <c r="C1962" s="1" t="n">
        <v>37.2282149138</v>
      </c>
      <c r="D1962" s="1" t="n">
        <v>-7.04595352479</v>
      </c>
      <c r="E1962" s="3" t="n">
        <v>3</v>
      </c>
      <c r="F1962" s="2" t="n">
        <v>3</v>
      </c>
      <c r="G1962" s="4" t="n">
        <v>3</v>
      </c>
      <c r="H1962" s="13" t="n"/>
      <c r="I1962" s="15" t="n"/>
      <c r="J1962" s="19" t="n">
        <v>3</v>
      </c>
      <c r="K1962" s="2" t="inlineStr">
        <is>
          <t>marker_320_380872.png</t>
        </is>
      </c>
      <c r="L1962" s="11">
        <f>HYPERLINK("3\0\" &amp; K1962, "Ver Imagen")</f>
        <v/>
      </c>
      <c r="M1962" t="inlineStr">
        <is>
          <t>Moda</t>
        </is>
      </c>
    </row>
    <row r="1963">
      <c r="A1963" t="n">
        <v>1962</v>
      </c>
      <c r="B1963" t="inlineStr">
        <is>
          <t>A-5058__102</t>
        </is>
      </c>
      <c r="C1963" s="1" t="n">
        <v>37.2308231911</v>
      </c>
      <c r="D1963" s="1" t="n">
        <v>-7.05009884421</v>
      </c>
      <c r="E1963" s="3" t="n">
        <v>3</v>
      </c>
      <c r="F1963" s="2" t="n">
        <v>3</v>
      </c>
      <c r="G1963" s="4" t="n">
        <v>3</v>
      </c>
      <c r="H1963" s="13" t="n"/>
      <c r="I1963" s="15" t="n"/>
      <c r="J1963" s="19" t="n">
        <v>3</v>
      </c>
      <c r="K1963" s="2" t="inlineStr">
        <is>
          <t>marker_302_381139.png</t>
        </is>
      </c>
      <c r="L1963" s="11">
        <f>HYPERLINK("3\0\" &amp; K1963, "Ver Imagen")</f>
        <v/>
      </c>
      <c r="M1963" t="inlineStr">
        <is>
          <t>Moda</t>
        </is>
      </c>
    </row>
    <row r="1964">
      <c r="A1964" t="n">
        <v>1963</v>
      </c>
      <c r="B1964" t="inlineStr">
        <is>
          <t>A-5058__103</t>
        </is>
      </c>
      <c r="C1964" s="1" t="n">
        <v>37.2309401623</v>
      </c>
      <c r="D1964" s="1" t="n">
        <v>-7.05030924039</v>
      </c>
      <c r="E1964" s="3" t="n">
        <v>3</v>
      </c>
      <c r="F1964" s="2" t="n">
        <v>3</v>
      </c>
      <c r="G1964" s="4" t="n">
        <v>3</v>
      </c>
      <c r="H1964" s="13" t="n"/>
      <c r="I1964" s="15" t="n"/>
      <c r="J1964" s="19" t="n">
        <v>3</v>
      </c>
      <c r="K1964" s="2" t="inlineStr">
        <is>
          <t>marker_350_381152.png</t>
        </is>
      </c>
      <c r="L1964" s="11">
        <f>HYPERLINK("3\0\" &amp; K1964, "Ver Imagen")</f>
        <v/>
      </c>
      <c r="M1964" t="inlineStr">
        <is>
          <t>Moda</t>
        </is>
      </c>
    </row>
    <row r="1965">
      <c r="A1965" t="n">
        <v>1964</v>
      </c>
      <c r="B1965" t="inlineStr">
        <is>
          <t>A-5058__111</t>
        </is>
      </c>
      <c r="C1965" s="1" t="n">
        <v>37.2318453375</v>
      </c>
      <c r="D1965" s="1" t="n">
        <v>-7.05200667346</v>
      </c>
      <c r="E1965" s="3" t="n">
        <v>3</v>
      </c>
      <c r="F1965" s="2" t="n">
        <v>3</v>
      </c>
      <c r="G1965" s="4" t="n">
        <v>3</v>
      </c>
      <c r="H1965" s="13" t="n"/>
      <c r="I1965" s="15" t="n"/>
      <c r="J1965" s="19" t="n">
        <v>3</v>
      </c>
      <c r="K1965" s="2" t="inlineStr">
        <is>
          <t>marker_686_381249.png</t>
        </is>
      </c>
      <c r="L1965" s="11">
        <f>HYPERLINK("3\0\" &amp; K1965, "Ver Imagen")</f>
        <v/>
      </c>
      <c r="M1965" t="inlineStr">
        <is>
          <t>Moda</t>
        </is>
      </c>
    </row>
    <row r="1966">
      <c r="A1966" t="n">
        <v>1965</v>
      </c>
      <c r="B1966" t="inlineStr">
        <is>
          <t>A-5058__118</t>
        </is>
      </c>
      <c r="C1966" s="1" t="n">
        <v>37.2326332982</v>
      </c>
      <c r="D1966" s="1" t="n">
        <v>-7.05348542816</v>
      </c>
      <c r="E1966" s="3" t="n">
        <v>3</v>
      </c>
      <c r="F1966" s="2" t="n">
        <v>3</v>
      </c>
      <c r="G1966" s="4" t="n">
        <v>3</v>
      </c>
      <c r="H1966" s="13" t="n"/>
      <c r="I1966" s="15" t="n"/>
      <c r="J1966" s="19" t="n">
        <v>3</v>
      </c>
      <c r="K1966" s="2" t="inlineStr">
        <is>
          <t>marker_937_381324.png</t>
        </is>
      </c>
      <c r="L1966" s="11">
        <f>HYPERLINK("3\0\" &amp; K1966, "Ver Imagen")</f>
        <v/>
      </c>
      <c r="M1966" t="inlineStr">
        <is>
          <t>Moda</t>
        </is>
      </c>
    </row>
    <row r="1967">
      <c r="A1967" t="n">
        <v>1966</v>
      </c>
      <c r="B1967" t="inlineStr">
        <is>
          <t>A-5058__135</t>
        </is>
      </c>
      <c r="C1967" s="1" t="n">
        <v>37.2338364099</v>
      </c>
      <c r="D1967" s="1" t="n">
        <v>-7.05747788397</v>
      </c>
      <c r="E1967" s="3" t="n">
        <v>3</v>
      </c>
      <c r="F1967" s="2" t="n">
        <v>3</v>
      </c>
      <c r="G1967" s="4" t="n">
        <v>3</v>
      </c>
      <c r="H1967" s="13" t="n"/>
      <c r="I1967" s="15" t="n"/>
      <c r="J1967" s="19" t="n">
        <v>3</v>
      </c>
      <c r="K1967" s="2" t="inlineStr">
        <is>
          <t>marker_535_381518.png</t>
        </is>
      </c>
      <c r="L1967" s="11">
        <f>HYPERLINK("3\0\" &amp; K1967, "Ver Imagen")</f>
        <v/>
      </c>
      <c r="M1967" t="inlineStr">
        <is>
          <t>Moda</t>
        </is>
      </c>
    </row>
    <row r="1968">
      <c r="A1968" t="n">
        <v>1967</v>
      </c>
      <c r="B1968" t="inlineStr">
        <is>
          <t>A-5058__141</t>
        </is>
      </c>
      <c r="C1968" s="1" t="n">
        <v>37.2341199229</v>
      </c>
      <c r="D1968" s="1" t="n">
        <v>-7.05900984446</v>
      </c>
      <c r="E1968" s="3" t="n">
        <v>3</v>
      </c>
      <c r="F1968" s="2" t="n">
        <v>3</v>
      </c>
      <c r="G1968" s="4" t="n">
        <v>3</v>
      </c>
      <c r="H1968" s="13" t="n"/>
      <c r="I1968" s="15" t="n"/>
      <c r="J1968" s="19" t="n">
        <v>3</v>
      </c>
      <c r="K1968" s="2" t="inlineStr">
        <is>
          <t>marker_490_381597.png</t>
        </is>
      </c>
      <c r="L1968" s="11">
        <f>HYPERLINK("3\0\" &amp; K1968, "Ver Imagen")</f>
        <v/>
      </c>
      <c r="M1968" t="inlineStr">
        <is>
          <t>Moda</t>
        </is>
      </c>
    </row>
    <row r="1969">
      <c r="A1969" t="n">
        <v>1968</v>
      </c>
      <c r="B1969" t="inlineStr">
        <is>
          <t>A-5058__145</t>
        </is>
      </c>
      <c r="C1969" s="1" t="n">
        <v>37.2341338302</v>
      </c>
      <c r="D1969" s="1" t="n">
        <v>-7.05999058037</v>
      </c>
      <c r="E1969" s="3" t="n">
        <v>3</v>
      </c>
      <c r="F1969" s="2" t="n">
        <v>3</v>
      </c>
      <c r="G1969" s="4" t="n">
        <v>3</v>
      </c>
      <c r="H1969" s="13" t="n"/>
      <c r="I1969" s="15" t="n"/>
      <c r="J1969" s="19" t="n">
        <v>3</v>
      </c>
      <c r="K1969" s="2" t="inlineStr">
        <is>
          <t>marker_940_381641.png</t>
        </is>
      </c>
      <c r="L1969" s="11">
        <f>HYPERLINK("3\0\" &amp; K1969, "Ver Imagen")</f>
        <v/>
      </c>
      <c r="M1969" t="inlineStr">
        <is>
          <t>Moda</t>
        </is>
      </c>
    </row>
    <row r="1970">
      <c r="A1970" t="n">
        <v>1969</v>
      </c>
      <c r="B1970" t="inlineStr">
        <is>
          <t>A-5058__149</t>
        </is>
      </c>
      <c r="C1970" s="1" t="n">
        <v>37.2341195436</v>
      </c>
      <c r="D1970" s="1" t="n">
        <v>-7.06104765236</v>
      </c>
      <c r="E1970" s="3" t="n">
        <v>3</v>
      </c>
      <c r="F1970" s="2" t="n">
        <v>3</v>
      </c>
      <c r="G1970" s="4" t="n">
        <v>3</v>
      </c>
      <c r="H1970" s="13" t="n"/>
      <c r="I1970" s="15" t="n"/>
      <c r="J1970" s="19" t="n">
        <v>3</v>
      </c>
      <c r="K1970" s="2" t="inlineStr">
        <is>
          <t>marker_592_381691.png</t>
        </is>
      </c>
      <c r="L1970" s="11">
        <f>HYPERLINK("3\0\" &amp; K1970, "Ver Imagen")</f>
        <v/>
      </c>
      <c r="M1970" t="inlineStr">
        <is>
          <t>Moda</t>
        </is>
      </c>
    </row>
    <row r="1971">
      <c r="A1971" t="n">
        <v>1970</v>
      </c>
      <c r="B1971" t="inlineStr">
        <is>
          <t>A-5058__151</t>
        </is>
      </c>
      <c r="C1971" s="1" t="n">
        <v>37.234108371</v>
      </c>
      <c r="D1971" s="1" t="n">
        <v>-7.06149466344</v>
      </c>
      <c r="E1971" s="3" t="n">
        <v>3</v>
      </c>
      <c r="F1971" s="2" t="n">
        <v>3</v>
      </c>
      <c r="G1971" s="4" t="n">
        <v>3</v>
      </c>
      <c r="H1971" s="13" t="n"/>
      <c r="I1971" s="15" t="n"/>
      <c r="J1971" s="19" t="n">
        <v>3</v>
      </c>
      <c r="K1971" s="2" t="inlineStr">
        <is>
          <t>marker_984_381718.png</t>
        </is>
      </c>
      <c r="L1971" s="11">
        <f>HYPERLINK("3\0\" &amp; K1971, "Ver Imagen")</f>
        <v/>
      </c>
      <c r="M1971" t="inlineStr">
        <is>
          <t>Moda</t>
        </is>
      </c>
    </row>
    <row r="1972">
      <c r="A1972" t="n">
        <v>1971</v>
      </c>
      <c r="B1972" t="inlineStr">
        <is>
          <t>A-5058__152</t>
        </is>
      </c>
      <c r="C1972" s="1" t="n">
        <v>37.2340977651</v>
      </c>
      <c r="D1972" s="1" t="n">
        <v>-7.06177771455</v>
      </c>
      <c r="E1972" s="3" t="n">
        <v>3</v>
      </c>
      <c r="F1972" s="2" t="n">
        <v>3</v>
      </c>
      <c r="G1972" s="4" t="n">
        <v>3</v>
      </c>
      <c r="H1972" s="13" t="n"/>
      <c r="I1972" s="15" t="n"/>
      <c r="J1972" s="19" t="n">
        <v>3</v>
      </c>
      <c r="K1972" s="2" t="inlineStr">
        <is>
          <t>marker_515_381731.png</t>
        </is>
      </c>
      <c r="L1972" s="11">
        <f>HYPERLINK("3\0\" &amp; K1972, "Ver Imagen")</f>
        <v/>
      </c>
      <c r="M1972" t="inlineStr">
        <is>
          <t>Moda</t>
        </is>
      </c>
    </row>
    <row r="1973">
      <c r="A1973" t="n">
        <v>1972</v>
      </c>
      <c r="B1973" t="inlineStr">
        <is>
          <t>A-5058__154</t>
        </is>
      </c>
      <c r="C1973" s="1" t="n">
        <v>37.2340819431</v>
      </c>
      <c r="D1973" s="1" t="n">
        <v>-7.06227538628</v>
      </c>
      <c r="E1973" s="3" t="n">
        <v>3</v>
      </c>
      <c r="F1973" s="2" t="n">
        <v>3</v>
      </c>
      <c r="G1973" s="4" t="n">
        <v>3</v>
      </c>
      <c r="H1973" s="13" t="n"/>
      <c r="I1973" s="15" t="n"/>
      <c r="J1973" s="19" t="n">
        <v>3</v>
      </c>
      <c r="K1973" s="2" t="inlineStr">
        <is>
          <t>marker_753_381750.png</t>
        </is>
      </c>
      <c r="L1973" s="11">
        <f>HYPERLINK("3\0\" &amp; K1973, "Ver Imagen")</f>
        <v/>
      </c>
      <c r="M1973" t="inlineStr">
        <is>
          <t>Moda</t>
        </is>
      </c>
    </row>
    <row r="1974">
      <c r="A1974" t="n">
        <v>1973</v>
      </c>
      <c r="B1974" t="inlineStr">
        <is>
          <t>A-5058__157</t>
        </is>
      </c>
      <c r="C1974" s="1" t="n">
        <v>37.2340616137</v>
      </c>
      <c r="D1974" s="1" t="n">
        <v>-7.06304536867</v>
      </c>
      <c r="E1974" s="3" t="n">
        <v>3</v>
      </c>
      <c r="F1974" s="2" t="n">
        <v>3</v>
      </c>
      <c r="G1974" s="4" t="n">
        <v>3</v>
      </c>
      <c r="H1974" s="13" t="n"/>
      <c r="I1974" s="15" t="n"/>
      <c r="J1974" s="19" t="n">
        <v>3</v>
      </c>
      <c r="K1974" s="2" t="inlineStr">
        <is>
          <t>marker_896_381776.png</t>
        </is>
      </c>
      <c r="L1974" s="11">
        <f>HYPERLINK("3\0\" &amp; K1974, "Ver Imagen")</f>
        <v/>
      </c>
      <c r="M1974" t="inlineStr">
        <is>
          <t>Moda</t>
        </is>
      </c>
    </row>
    <row r="1975">
      <c r="A1975" t="n">
        <v>1974</v>
      </c>
      <c r="B1975" t="inlineStr">
        <is>
          <t>A-5058__158</t>
        </is>
      </c>
      <c r="C1975" s="1" t="n">
        <v>37.234053375</v>
      </c>
      <c r="D1975" s="1" t="n">
        <v>-7.06330480056</v>
      </c>
      <c r="E1975" s="3" t="n">
        <v>3</v>
      </c>
      <c r="F1975" s="2" t="n">
        <v>3</v>
      </c>
      <c r="G1975" s="4" t="n">
        <v>3</v>
      </c>
      <c r="H1975" s="13" t="n"/>
      <c r="I1975" s="15" t="n"/>
      <c r="J1975" s="19" t="n">
        <v>3</v>
      </c>
      <c r="K1975" s="2" t="inlineStr">
        <is>
          <t>marker_858_381802.png</t>
        </is>
      </c>
      <c r="L1975" s="11">
        <f>HYPERLINK("3\0\" &amp; K1975, "Ver Imagen")</f>
        <v/>
      </c>
      <c r="M1975" t="inlineStr">
        <is>
          <t>Moda</t>
        </is>
      </c>
    </row>
    <row r="1976">
      <c r="A1976" t="n">
        <v>1975</v>
      </c>
      <c r="B1976" t="inlineStr">
        <is>
          <t>A-5058__159</t>
        </is>
      </c>
      <c r="C1976" s="1" t="n">
        <v>37.2340456412</v>
      </c>
      <c r="D1976" s="1" t="n">
        <v>-7.0635552319</v>
      </c>
      <c r="E1976" s="3" t="n">
        <v>3</v>
      </c>
      <c r="F1976" s="2" t="n">
        <v>3</v>
      </c>
      <c r="G1976" s="4" t="n">
        <v>3</v>
      </c>
      <c r="H1976" s="13" t="n"/>
      <c r="I1976" s="15" t="n"/>
      <c r="J1976" s="19" t="n">
        <v>3</v>
      </c>
      <c r="K1976" s="2" t="inlineStr">
        <is>
          <t>marker_888_381815.png</t>
        </is>
      </c>
      <c r="L1976" s="11">
        <f>HYPERLINK("3\0\" &amp; K1976, "Ver Imagen")</f>
        <v/>
      </c>
      <c r="M1976" t="inlineStr">
        <is>
          <t>Moda</t>
        </is>
      </c>
    </row>
    <row r="1977">
      <c r="A1977" t="n">
        <v>1976</v>
      </c>
      <c r="B1977" t="inlineStr">
        <is>
          <t>A-5058__161</t>
        </is>
      </c>
      <c r="C1977" s="1" t="n">
        <v>37.2340295254</v>
      </c>
      <c r="D1977" s="1" t="n">
        <v>-7.06405336537</v>
      </c>
      <c r="E1977" s="3" t="n">
        <v>3</v>
      </c>
      <c r="F1977" s="2" t="n">
        <v>3</v>
      </c>
      <c r="G1977" s="4" t="n">
        <v>3</v>
      </c>
      <c r="H1977" s="13" t="n"/>
      <c r="I1977" s="15" t="n"/>
      <c r="J1977" s="19" t="n">
        <v>3</v>
      </c>
      <c r="K1977" s="2" t="inlineStr">
        <is>
          <t>marker_277_381834.png</t>
        </is>
      </c>
      <c r="L1977" s="11">
        <f>HYPERLINK("3\0\" &amp; K1977, "Ver Imagen")</f>
        <v/>
      </c>
      <c r="M1977" t="inlineStr">
        <is>
          <t>Moda</t>
        </is>
      </c>
    </row>
    <row r="1978">
      <c r="A1978" t="n">
        <v>1977</v>
      </c>
      <c r="B1978" t="inlineStr">
        <is>
          <t>A-5058__162</t>
        </is>
      </c>
      <c r="C1978" s="1" t="n">
        <v>37.2340190431</v>
      </c>
      <c r="D1978" s="1" t="n">
        <v>-7.0643162421</v>
      </c>
      <c r="E1978" s="3" t="n">
        <v>3</v>
      </c>
      <c r="F1978" s="2" t="n">
        <v>3</v>
      </c>
      <c r="G1978" s="4" t="n">
        <v>3</v>
      </c>
      <c r="H1978" s="13" t="n"/>
      <c r="I1978" s="15" t="n"/>
      <c r="J1978" s="19" t="n">
        <v>3</v>
      </c>
      <c r="K1978" s="2" t="inlineStr">
        <is>
          <t>marker_395_381843.png</t>
        </is>
      </c>
      <c r="L1978" s="11">
        <f>HYPERLINK("3\0\" &amp; K1978, "Ver Imagen")</f>
        <v/>
      </c>
      <c r="M1978" t="inlineStr">
        <is>
          <t>Moda</t>
        </is>
      </c>
    </row>
    <row r="1979">
      <c r="A1979" t="n">
        <v>1978</v>
      </c>
      <c r="B1979" t="inlineStr">
        <is>
          <t>A-5058__164</t>
        </is>
      </c>
      <c r="C1979" s="1" t="n">
        <v>37.2339871219</v>
      </c>
      <c r="D1979" s="1" t="n">
        <v>-7.0648170331</v>
      </c>
      <c r="E1979" s="3" t="n">
        <v>3</v>
      </c>
      <c r="F1979" s="2" t="n">
        <v>3</v>
      </c>
      <c r="G1979" s="4" t="n">
        <v>3</v>
      </c>
      <c r="H1979" s="13" t="n"/>
      <c r="I1979" s="15" t="n"/>
      <c r="J1979" s="19" t="n">
        <v>3</v>
      </c>
      <c r="K1979" s="2" t="inlineStr">
        <is>
          <t>marker_201_381865.png</t>
        </is>
      </c>
      <c r="L1979" s="11">
        <f>HYPERLINK("3\0\" &amp; K1979, "Ver Imagen")</f>
        <v/>
      </c>
      <c r="M1979" t="inlineStr">
        <is>
          <t>Moda</t>
        </is>
      </c>
    </row>
    <row r="1980">
      <c r="A1980" t="n">
        <v>1979</v>
      </c>
      <c r="B1980" t="inlineStr">
        <is>
          <t>A-5058__167</t>
        </is>
      </c>
      <c r="C1980" s="1" t="n">
        <v>37.2339083103</v>
      </c>
      <c r="D1980" s="1" t="n">
        <v>-7.0655478998</v>
      </c>
      <c r="E1980" s="3" t="n">
        <v>3</v>
      </c>
      <c r="F1980" s="2" t="n">
        <v>3</v>
      </c>
      <c r="G1980" s="4" t="n">
        <v>3</v>
      </c>
      <c r="H1980" s="13" t="n"/>
      <c r="I1980" s="15" t="n"/>
      <c r="J1980" s="19" t="n">
        <v>3</v>
      </c>
      <c r="K1980" s="2" t="inlineStr">
        <is>
          <t>marker_844_382002.png</t>
        </is>
      </c>
      <c r="L1980" s="11">
        <f>HYPERLINK("3\0\" &amp; K1980, "Ver Imagen")</f>
        <v/>
      </c>
      <c r="M1980" t="inlineStr">
        <is>
          <t>Moda</t>
        </is>
      </c>
    </row>
    <row r="1981">
      <c r="A1981" t="n">
        <v>1980</v>
      </c>
      <c r="B1981" t="inlineStr">
        <is>
          <t>A-5058__173</t>
        </is>
      </c>
      <c r="C1981" s="1" t="n">
        <v>37.2337224635</v>
      </c>
      <c r="D1981" s="1" t="n">
        <v>-7.06688300696</v>
      </c>
      <c r="E1981" s="3" t="n">
        <v>3</v>
      </c>
      <c r="F1981" s="2" t="n">
        <v>3</v>
      </c>
      <c r="G1981" s="4" t="n">
        <v>3</v>
      </c>
      <c r="H1981" s="13" t="n"/>
      <c r="I1981" s="15" t="n"/>
      <c r="J1981" s="19" t="n">
        <v>3</v>
      </c>
      <c r="K1981" s="2" t="inlineStr">
        <is>
          <t>marker_833_382428.png</t>
        </is>
      </c>
      <c r="L1981" s="11">
        <f>HYPERLINK("3\0\" &amp; K1981, "Ver Imagen")</f>
        <v/>
      </c>
      <c r="M1981" t="inlineStr">
        <is>
          <t>Moda</t>
        </is>
      </c>
    </row>
    <row r="1982">
      <c r="A1982" t="n">
        <v>1981</v>
      </c>
      <c r="B1982" t="inlineStr">
        <is>
          <t>A-5058__175</t>
        </is>
      </c>
      <c r="C1982" s="1" t="n">
        <v>37.2336021269</v>
      </c>
      <c r="D1982" s="1" t="n">
        <v>-7.06742199278</v>
      </c>
      <c r="E1982" s="3" t="n">
        <v>3</v>
      </c>
      <c r="F1982" s="2" t="n">
        <v>3</v>
      </c>
      <c r="G1982" s="4" t="n">
        <v>3</v>
      </c>
      <c r="H1982" s="13" t="n"/>
      <c r="I1982" s="15" t="n"/>
      <c r="J1982" s="19" t="n">
        <v>3</v>
      </c>
      <c r="K1982" s="2" t="inlineStr">
        <is>
          <t>marker_993_382465.png</t>
        </is>
      </c>
      <c r="L1982" s="11">
        <f>HYPERLINK("3\0\" &amp; K1982, "Ver Imagen")</f>
        <v/>
      </c>
      <c r="M1982" t="inlineStr">
        <is>
          <t>Moda</t>
        </is>
      </c>
    </row>
    <row r="1983">
      <c r="A1983" t="n">
        <v>1982</v>
      </c>
      <c r="B1983" t="inlineStr">
        <is>
          <t>A-5058__177</t>
        </is>
      </c>
      <c r="C1983" s="1" t="n">
        <v>37.2335742337</v>
      </c>
      <c r="D1983" s="1" t="n">
        <v>-7.06788088492</v>
      </c>
      <c r="E1983" s="3" t="n">
        <v>3</v>
      </c>
      <c r="F1983" s="2" t="n">
        <v>3</v>
      </c>
      <c r="G1983" s="4" t="n">
        <v>3</v>
      </c>
      <c r="H1983" s="13" t="n"/>
      <c r="I1983" s="15" t="n"/>
      <c r="J1983" s="19" t="n">
        <v>3</v>
      </c>
      <c r="K1983" s="2" t="inlineStr">
        <is>
          <t>marker_800_382486.png</t>
        </is>
      </c>
      <c r="L1983" s="11">
        <f>HYPERLINK("3\0\" &amp; K1983, "Ver Imagen")</f>
        <v/>
      </c>
      <c r="M1983" t="inlineStr">
        <is>
          <t>Moda</t>
        </is>
      </c>
    </row>
    <row r="1984">
      <c r="A1984" t="n">
        <v>1983</v>
      </c>
      <c r="B1984" t="inlineStr">
        <is>
          <t>A-5058__181</t>
        </is>
      </c>
      <c r="C1984" s="1" t="n">
        <v>37.2337669611</v>
      </c>
      <c r="D1984" s="1" t="n">
        <v>-7.06884470285</v>
      </c>
      <c r="E1984" s="3" t="n">
        <v>3</v>
      </c>
      <c r="F1984" s="2" t="n">
        <v>3</v>
      </c>
      <c r="G1984" s="4" t="n">
        <v>3</v>
      </c>
      <c r="H1984" s="13" t="n"/>
      <c r="I1984" s="15" t="n"/>
      <c r="J1984" s="19" t="n">
        <v>3</v>
      </c>
      <c r="K1984" s="2" t="inlineStr">
        <is>
          <t>marker_427_382671.png</t>
        </is>
      </c>
      <c r="L1984" s="11">
        <f>HYPERLINK("3\0\" &amp; K1984, "Ver Imagen")</f>
        <v/>
      </c>
      <c r="M1984" t="inlineStr">
        <is>
          <t>Moda</t>
        </is>
      </c>
    </row>
    <row r="1985">
      <c r="A1985" t="n">
        <v>1984</v>
      </c>
      <c r="B1985" t="inlineStr">
        <is>
          <t>A-5058__192</t>
        </is>
      </c>
      <c r="C1985" s="1" t="n">
        <v>37.234504871</v>
      </c>
      <c r="D1985" s="1" t="n">
        <v>-7.07147582918</v>
      </c>
      <c r="E1985" s="3" t="n">
        <v>3</v>
      </c>
      <c r="F1985" s="2" t="n">
        <v>3</v>
      </c>
      <c r="G1985" s="4" t="n">
        <v>3</v>
      </c>
      <c r="H1985" s="13" t="n"/>
      <c r="I1985" s="15" t="n"/>
      <c r="J1985" s="19" t="n">
        <v>3</v>
      </c>
      <c r="K1985" s="2" t="inlineStr">
        <is>
          <t>marker_747_382803.png</t>
        </is>
      </c>
      <c r="L1985" s="11">
        <f>HYPERLINK("3\0\" &amp; K1985, "Ver Imagen")</f>
        <v/>
      </c>
      <c r="M1985" t="inlineStr">
        <is>
          <t>Moda</t>
        </is>
      </c>
    </row>
    <row r="1986">
      <c r="A1986" t="n">
        <v>1985</v>
      </c>
      <c r="B1986" t="inlineStr">
        <is>
          <t>A-5058__202</t>
        </is>
      </c>
      <c r="C1986" s="1" t="n">
        <v>37.2354025039</v>
      </c>
      <c r="D1986" s="1" t="n">
        <v>-7.07374132542</v>
      </c>
      <c r="E1986" s="3" t="n">
        <v>3</v>
      </c>
      <c r="F1986" s="2" t="n">
        <v>3</v>
      </c>
      <c r="G1986" s="4" t="n">
        <v>3</v>
      </c>
      <c r="H1986" s="13" t="n"/>
      <c r="I1986" s="15" t="n"/>
      <c r="J1986" s="19" t="n">
        <v>3</v>
      </c>
      <c r="K1986" s="2" t="inlineStr">
        <is>
          <t>marker_318_382911.png</t>
        </is>
      </c>
      <c r="L1986" s="11">
        <f>HYPERLINK("3\0\" &amp; K1986, "Ver Imagen")</f>
        <v/>
      </c>
      <c r="M1986" t="inlineStr">
        <is>
          <t>Moda</t>
        </is>
      </c>
    </row>
    <row r="1987">
      <c r="A1987" t="n">
        <v>1986</v>
      </c>
      <c r="B1987" t="inlineStr">
        <is>
          <t>A-5058__225</t>
        </is>
      </c>
      <c r="C1987" s="1" t="n">
        <v>37.2380758204</v>
      </c>
      <c r="D1987" s="1" t="n">
        <v>-7.07847464566</v>
      </c>
      <c r="E1987" s="3" t="n">
        <v>3</v>
      </c>
      <c r="F1987" s="2" t="n">
        <v>3</v>
      </c>
      <c r="G1987" s="4" t="n">
        <v>3</v>
      </c>
      <c r="H1987" s="13" t="n"/>
      <c r="I1987" s="15" t="n"/>
      <c r="J1987" s="19" t="n">
        <v>3</v>
      </c>
      <c r="K1987" s="2" t="inlineStr">
        <is>
          <t>marker_972_383191.png</t>
        </is>
      </c>
      <c r="L1987" s="11">
        <f>HYPERLINK("3\0\" &amp; K1987, "Ver Imagen")</f>
        <v/>
      </c>
      <c r="M1987" t="inlineStr">
        <is>
          <t>Moda</t>
        </is>
      </c>
    </row>
    <row r="1988">
      <c r="A1988" t="n">
        <v>1987</v>
      </c>
      <c r="B1988" t="inlineStr">
        <is>
          <t>A-5058__230</t>
        </is>
      </c>
      <c r="C1988" s="1" t="n">
        <v>37.2387287925</v>
      </c>
      <c r="D1988" s="1" t="n">
        <v>-7.07947560172</v>
      </c>
      <c r="E1988" s="3" t="n">
        <v>3</v>
      </c>
      <c r="F1988" s="2" t="n">
        <v>3</v>
      </c>
      <c r="G1988" s="4" t="n">
        <v>3</v>
      </c>
      <c r="H1988" s="13" t="n"/>
      <c r="I1988" s="15" t="n"/>
      <c r="J1988" s="19" t="n">
        <v>3</v>
      </c>
      <c r="K1988" s="2" t="inlineStr">
        <is>
          <t>marker_987_383249.png</t>
        </is>
      </c>
      <c r="L1988" s="11">
        <f>HYPERLINK("3\0\" &amp; K1988, "Ver Imagen")</f>
        <v/>
      </c>
      <c r="M1988" t="inlineStr">
        <is>
          <t>Moda</t>
        </is>
      </c>
    </row>
    <row r="1989">
      <c r="A1989" t="n">
        <v>1988</v>
      </c>
      <c r="B1989" t="inlineStr">
        <is>
          <t>A-5058__233</t>
        </is>
      </c>
      <c r="C1989" s="1" t="n">
        <v>37.2390988046</v>
      </c>
      <c r="D1989" s="1" t="n">
        <v>-7.08002881335</v>
      </c>
      <c r="E1989" s="3" t="n">
        <v>3</v>
      </c>
      <c r="F1989" s="2" t="n">
        <v>3</v>
      </c>
      <c r="G1989" s="4" t="n">
        <v>3</v>
      </c>
      <c r="H1989" s="13" t="n"/>
      <c r="I1989" s="15" t="n"/>
      <c r="J1989" s="19" t="n">
        <v>3</v>
      </c>
      <c r="K1989" s="2" t="inlineStr">
        <is>
          <t>marker_508_383292.png</t>
        </is>
      </c>
      <c r="L1989" s="11">
        <f>HYPERLINK("3\0\" &amp; K1989, "Ver Imagen")</f>
        <v/>
      </c>
      <c r="M1989" t="inlineStr">
        <is>
          <t>Moda</t>
        </is>
      </c>
    </row>
    <row r="1990">
      <c r="A1990" t="n">
        <v>1989</v>
      </c>
      <c r="B1990" t="inlineStr">
        <is>
          <t>A-5058__234</t>
        </is>
      </c>
      <c r="C1990" s="1" t="n">
        <v>37.239242807</v>
      </c>
      <c r="D1990" s="1" t="n">
        <v>-7.08024818365</v>
      </c>
      <c r="E1990" s="3" t="n">
        <v>3</v>
      </c>
      <c r="F1990" s="2" t="n">
        <v>3</v>
      </c>
      <c r="G1990" s="4" t="n">
        <v>3</v>
      </c>
      <c r="H1990" s="13" t="n"/>
      <c r="I1990" s="15" t="n"/>
      <c r="J1990" s="19" t="n">
        <v>3</v>
      </c>
      <c r="K1990" s="2" t="inlineStr">
        <is>
          <t>marker_710_383301.png</t>
        </is>
      </c>
      <c r="L1990" s="11">
        <f>HYPERLINK("3\0\" &amp; K1990, "Ver Imagen")</f>
        <v/>
      </c>
      <c r="M1990" t="inlineStr">
        <is>
          <t>Moda</t>
        </is>
      </c>
    </row>
    <row r="1991">
      <c r="A1991" t="n">
        <v>1990</v>
      </c>
      <c r="B1991" t="inlineStr">
        <is>
          <t>A-5058__235</t>
        </is>
      </c>
      <c r="C1991" s="1" t="n">
        <v>37.2393683325</v>
      </c>
      <c r="D1991" s="1" t="n">
        <v>-7.08044115852</v>
      </c>
      <c r="E1991" s="3" t="n">
        <v>3</v>
      </c>
      <c r="F1991" s="2" t="n">
        <v>3</v>
      </c>
      <c r="G1991" s="4" t="n">
        <v>3</v>
      </c>
      <c r="H1991" s="13" t="n"/>
      <c r="I1991" s="15" t="n"/>
      <c r="J1991" s="19" t="n">
        <v>3</v>
      </c>
      <c r="K1991" s="2" t="inlineStr">
        <is>
          <t>marker_551_383311.png</t>
        </is>
      </c>
      <c r="L1991" s="11">
        <f>HYPERLINK("3\0\" &amp; K1991, "Ver Imagen")</f>
        <v/>
      </c>
      <c r="M1991" t="inlineStr">
        <is>
          <t>Moda</t>
        </is>
      </c>
    </row>
    <row r="1992">
      <c r="A1992" t="n">
        <v>1991</v>
      </c>
      <c r="B1992" t="inlineStr">
        <is>
          <t>A-5058__263</t>
        </is>
      </c>
      <c r="C1992" s="1" t="n">
        <v>37.2425702361</v>
      </c>
      <c r="D1992" s="1" t="n">
        <v>-7.08624630406</v>
      </c>
      <c r="E1992" s="3" t="n">
        <v>3</v>
      </c>
      <c r="F1992" s="2" t="n">
        <v>3</v>
      </c>
      <c r="G1992" s="4" t="n">
        <v>3</v>
      </c>
      <c r="H1992" s="13" t="n"/>
      <c r="I1992" s="15" t="n"/>
      <c r="J1992" s="19" t="n">
        <v>3</v>
      </c>
      <c r="K1992" s="2" t="inlineStr">
        <is>
          <t>marker_105_383712.png</t>
        </is>
      </c>
      <c r="L1992" s="11">
        <f>HYPERLINK("3\0\" &amp; K1992, "Ver Imagen")</f>
        <v/>
      </c>
      <c r="M1992" t="inlineStr">
        <is>
          <t>Moda</t>
        </is>
      </c>
    </row>
    <row r="1993">
      <c r="A1993" t="n">
        <v>1992</v>
      </c>
      <c r="B1993" t="inlineStr">
        <is>
          <t>A-5058__270</t>
        </is>
      </c>
      <c r="C1993" s="1" t="n">
        <v>37.2430306362</v>
      </c>
      <c r="D1993" s="1" t="n">
        <v>-7.08788375722</v>
      </c>
      <c r="E1993" s="3" t="n">
        <v>3</v>
      </c>
      <c r="F1993" s="2" t="n">
        <v>3</v>
      </c>
      <c r="G1993" s="4" t="n">
        <v>3</v>
      </c>
      <c r="H1993" s="13" t="n"/>
      <c r="I1993" s="15" t="n"/>
      <c r="J1993" s="19" t="n">
        <v>3</v>
      </c>
      <c r="K1993" s="2" t="inlineStr">
        <is>
          <t>marker_347_383919.png</t>
        </is>
      </c>
      <c r="L1993" s="11">
        <f>HYPERLINK("3\0\" &amp; K1993, "Ver Imagen")</f>
        <v/>
      </c>
      <c r="M1993" t="inlineStr">
        <is>
          <t>Moda</t>
        </is>
      </c>
    </row>
    <row r="1994">
      <c r="A1994" t="n">
        <v>1993</v>
      </c>
      <c r="B1994" t="inlineStr">
        <is>
          <t>A-5058__271</t>
        </is>
      </c>
      <c r="C1994" s="1" t="n">
        <v>37.2431153512</v>
      </c>
      <c r="D1994" s="1" t="n">
        <v>-7.08811770978</v>
      </c>
      <c r="E1994" s="3" t="n">
        <v>3</v>
      </c>
      <c r="F1994" s="2" t="n">
        <v>3</v>
      </c>
      <c r="G1994" s="4" t="n">
        <v>3</v>
      </c>
      <c r="H1994" s="13" t="n"/>
      <c r="I1994" s="15" t="n"/>
      <c r="J1994" s="19" t="n">
        <v>3</v>
      </c>
      <c r="K1994" s="2" t="inlineStr">
        <is>
          <t>marker_983_383928.png</t>
        </is>
      </c>
      <c r="L1994" s="11">
        <f>HYPERLINK("3\0\" &amp; K1994, "Ver Imagen")</f>
        <v/>
      </c>
      <c r="M1994" t="inlineStr">
        <is>
          <t>Moda</t>
        </is>
      </c>
    </row>
    <row r="1995">
      <c r="A1995" t="n">
        <v>1994</v>
      </c>
      <c r="B1995" t="inlineStr">
        <is>
          <t>A-5058__272</t>
        </is>
      </c>
      <c r="C1995" s="1" t="n">
        <v>37.2432188458</v>
      </c>
      <c r="D1995" s="1" t="n">
        <v>-7.08837389962</v>
      </c>
      <c r="E1995" s="3" t="n">
        <v>3</v>
      </c>
      <c r="F1995" s="2" t="n">
        <v>3</v>
      </c>
      <c r="G1995" s="4" t="n">
        <v>3</v>
      </c>
      <c r="H1995" s="13" t="n"/>
      <c r="I1995" s="15" t="n"/>
      <c r="J1995" s="19" t="n">
        <v>3</v>
      </c>
      <c r="K1995" s="2" t="inlineStr">
        <is>
          <t>marker_856_383943.png</t>
        </is>
      </c>
      <c r="L1995" s="11">
        <f>HYPERLINK("3\0\" &amp; K1995, "Ver Imagen")</f>
        <v/>
      </c>
      <c r="M1995" t="inlineStr">
        <is>
          <t>Moda</t>
        </is>
      </c>
    </row>
    <row r="1996">
      <c r="A1996" t="n">
        <v>1995</v>
      </c>
      <c r="B1996" t="inlineStr">
        <is>
          <t>A-5058__275</t>
        </is>
      </c>
      <c r="C1996" s="1" t="n">
        <v>37.2435117996</v>
      </c>
      <c r="D1996" s="1" t="n">
        <v>-7.0889983276</v>
      </c>
      <c r="E1996" s="3" t="n">
        <v>3</v>
      </c>
      <c r="F1996" s="2" t="n">
        <v>3</v>
      </c>
      <c r="G1996" s="4" t="n">
        <v>3</v>
      </c>
      <c r="H1996" s="13" t="n"/>
      <c r="I1996" s="15" t="n"/>
      <c r="J1996" s="19" t="n">
        <v>3</v>
      </c>
      <c r="K1996" s="2" t="inlineStr">
        <is>
          <t>marker_426_383976.png</t>
        </is>
      </c>
      <c r="L1996" s="11">
        <f>HYPERLINK("3\0\" &amp; K1996, "Ver Imagen")</f>
        <v/>
      </c>
      <c r="M1996" t="inlineStr">
        <is>
          <t>Moda</t>
        </is>
      </c>
    </row>
    <row r="1997">
      <c r="A1997" t="n">
        <v>1996</v>
      </c>
      <c r="B1997" t="inlineStr">
        <is>
          <t>A-5058__277</t>
        </is>
      </c>
      <c r="C1997" s="1" t="n">
        <v>37.2437262045</v>
      </c>
      <c r="D1997" s="1" t="n">
        <v>-7.08942274848</v>
      </c>
      <c r="E1997" s="3" t="n">
        <v>3</v>
      </c>
      <c r="F1997" s="2" t="n">
        <v>3</v>
      </c>
      <c r="G1997" s="4" t="n">
        <v>3</v>
      </c>
      <c r="H1997" s="13" t="n"/>
      <c r="I1997" s="15" t="n"/>
      <c r="J1997" s="19" t="n">
        <v>3</v>
      </c>
      <c r="K1997" s="2" t="inlineStr">
        <is>
          <t>marker_840_383999.png</t>
        </is>
      </c>
      <c r="L1997" s="11">
        <f>HYPERLINK("3\0\" &amp; K1997, "Ver Imagen")</f>
        <v/>
      </c>
      <c r="M1997" t="inlineStr">
        <is>
          <t>Moda</t>
        </is>
      </c>
    </row>
    <row r="1998">
      <c r="A1998" t="n">
        <v>1997</v>
      </c>
      <c r="B1998" t="inlineStr">
        <is>
          <t>A-5058__290</t>
        </is>
      </c>
      <c r="C1998" s="1" t="n">
        <v>37.245103443</v>
      </c>
      <c r="D1998" s="1" t="n">
        <v>-7.09223478001</v>
      </c>
      <c r="E1998" s="3" t="n">
        <v>3</v>
      </c>
      <c r="F1998" s="2" t="n">
        <v>3</v>
      </c>
      <c r="G1998" s="4" t="n">
        <v>3</v>
      </c>
      <c r="H1998" s="13" t="n"/>
      <c r="I1998" s="15" t="n"/>
      <c r="J1998" s="19" t="n">
        <v>3</v>
      </c>
      <c r="K1998" s="2" t="inlineStr">
        <is>
          <t>marker_326_384145.png</t>
        </is>
      </c>
      <c r="L1998" s="11">
        <f>HYPERLINK("3\0\" &amp; K1998, "Ver Imagen")</f>
        <v/>
      </c>
      <c r="M1998" t="inlineStr">
        <is>
          <t>Moda</t>
        </is>
      </c>
    </row>
    <row r="1999">
      <c r="A1999" t="n">
        <v>1998</v>
      </c>
      <c r="B1999" t="inlineStr">
        <is>
          <t>A-5058__293</t>
        </is>
      </c>
      <c r="C1999" s="1" t="n">
        <v>37.2453028766</v>
      </c>
      <c r="D1999" s="1" t="n">
        <v>-7.09293603779</v>
      </c>
      <c r="E1999" s="3" t="n">
        <v>3</v>
      </c>
      <c r="F1999" s="2" t="n">
        <v>3</v>
      </c>
      <c r="G1999" s="4" t="n">
        <v>3</v>
      </c>
      <c r="H1999" s="13" t="n"/>
      <c r="I1999" s="15" t="n"/>
      <c r="J1999" s="19" t="n">
        <v>3</v>
      </c>
      <c r="K1999" s="2" t="inlineStr">
        <is>
          <t>marker_904_384182.png</t>
        </is>
      </c>
      <c r="L1999" s="11">
        <f>HYPERLINK("3\0\" &amp; K1999, "Ver Imagen")</f>
        <v/>
      </c>
      <c r="M1999" t="inlineStr">
        <is>
          <t>Moda</t>
        </is>
      </c>
    </row>
    <row r="2000">
      <c r="A2000" t="n">
        <v>1999</v>
      </c>
      <c r="B2000" t="inlineStr">
        <is>
          <t>A-5058__304</t>
        </is>
      </c>
      <c r="C2000" s="1" t="n">
        <v>37.2455676661</v>
      </c>
      <c r="D2000" s="1" t="n">
        <v>-7.09573568975</v>
      </c>
      <c r="E2000" s="3" t="n">
        <v>3</v>
      </c>
      <c r="F2000" s="2" t="n">
        <v>3</v>
      </c>
      <c r="G2000" s="4" t="n">
        <v>3</v>
      </c>
      <c r="H2000" s="13" t="n"/>
      <c r="I2000" s="15" t="n"/>
      <c r="J2000" s="19" t="n">
        <v>3</v>
      </c>
      <c r="K2000" s="2" t="inlineStr">
        <is>
          <t>marker_577_384321.png</t>
        </is>
      </c>
      <c r="L2000" s="11">
        <f>HYPERLINK("3\0\" &amp; K2000, "Ver Imagen")</f>
        <v/>
      </c>
      <c r="M2000" t="inlineStr">
        <is>
          <t>Moda</t>
        </is>
      </c>
    </row>
    <row r="2001">
      <c r="A2001" t="n">
        <v>2000</v>
      </c>
      <c r="B2001" t="inlineStr">
        <is>
          <t>A-5058__305</t>
        </is>
      </c>
      <c r="C2001" s="1" t="n">
        <v>37.2455867098</v>
      </c>
      <c r="D2001" s="1" t="n">
        <v>-7.09599498542</v>
      </c>
      <c r="E2001" s="3" t="n">
        <v>3</v>
      </c>
      <c r="F2001" s="2" t="n">
        <v>3</v>
      </c>
      <c r="G2001" s="4" t="n">
        <v>3</v>
      </c>
      <c r="H2001" s="13" t="n"/>
      <c r="I2001" s="15" t="n"/>
      <c r="J2001" s="19" t="n">
        <v>3</v>
      </c>
      <c r="K2001" s="2" t="inlineStr">
        <is>
          <t>marker_911_384333.png</t>
        </is>
      </c>
      <c r="L2001" s="11">
        <f>HYPERLINK("3\0\" &amp; K2001, "Ver Imagen")</f>
        <v/>
      </c>
      <c r="M2001" t="inlineStr">
        <is>
          <t>Moda</t>
        </is>
      </c>
    </row>
    <row r="2002">
      <c r="A2002" t="n">
        <v>2001</v>
      </c>
      <c r="B2002" t="inlineStr">
        <is>
          <t>A-5058__308</t>
        </is>
      </c>
      <c r="C2002" s="1" t="n">
        <v>37.245649158</v>
      </c>
      <c r="D2002" s="1" t="n">
        <v>-7.09674154114</v>
      </c>
      <c r="E2002" s="3" t="n">
        <v>3</v>
      </c>
      <c r="F2002" s="2" t="n">
        <v>3</v>
      </c>
      <c r="G2002" s="4" t="n">
        <v>3</v>
      </c>
      <c r="H2002" s="13" t="n"/>
      <c r="I2002" s="15" t="n"/>
      <c r="J2002" s="19" t="n">
        <v>3</v>
      </c>
      <c r="K2002" s="2" t="inlineStr">
        <is>
          <t>marker_895_384375.png</t>
        </is>
      </c>
      <c r="L2002" s="11">
        <f>HYPERLINK("3\0\" &amp; K2002, "Ver Imagen")</f>
        <v/>
      </c>
      <c r="M2002" t="inlineStr">
        <is>
          <t>Moda</t>
        </is>
      </c>
    </row>
    <row r="2003">
      <c r="A2003" t="n">
        <v>2002</v>
      </c>
      <c r="B2003" t="inlineStr">
        <is>
          <t>A-5058__309</t>
        </is>
      </c>
      <c r="C2003" s="1" t="n">
        <v>37.2456780832</v>
      </c>
      <c r="D2003" s="1" t="n">
        <v>-7.09699607257</v>
      </c>
      <c r="E2003" s="3" t="n">
        <v>3</v>
      </c>
      <c r="F2003" s="2" t="n">
        <v>3</v>
      </c>
      <c r="G2003" s="4" t="n">
        <v>3</v>
      </c>
      <c r="H2003" s="13" t="n"/>
      <c r="I2003" s="15" t="n"/>
      <c r="J2003" s="19" t="n">
        <v>3</v>
      </c>
      <c r="K2003" s="2" t="inlineStr">
        <is>
          <t>marker_603_384385.png</t>
        </is>
      </c>
      <c r="L2003" s="11">
        <f>HYPERLINK("3\0\" &amp; K2003, "Ver Imagen")</f>
        <v/>
      </c>
      <c r="M2003" t="inlineStr">
        <is>
          <t>Moda</t>
        </is>
      </c>
    </row>
    <row r="2004">
      <c r="A2004" t="n">
        <v>2003</v>
      </c>
      <c r="B2004" t="inlineStr">
        <is>
          <t>A-5058__311</t>
        </is>
      </c>
      <c r="C2004" s="1" t="n">
        <v>37.2457533765</v>
      </c>
      <c r="D2004" s="1" t="n">
        <v>-7.09748323534</v>
      </c>
      <c r="E2004" s="3" t="n">
        <v>3</v>
      </c>
      <c r="F2004" s="2" t="n">
        <v>3</v>
      </c>
      <c r="G2004" s="4" t="n">
        <v>3</v>
      </c>
      <c r="H2004" s="13" t="n"/>
      <c r="I2004" s="15" t="n"/>
      <c r="J2004" s="19" t="n">
        <v>3</v>
      </c>
      <c r="K2004" s="2" t="inlineStr">
        <is>
          <t>marker_252_384402.png</t>
        </is>
      </c>
      <c r="L2004" s="11">
        <f>HYPERLINK("3\0\" &amp; K2004, "Ver Imagen")</f>
        <v/>
      </c>
      <c r="M2004" t="inlineStr">
        <is>
          <t>Moda</t>
        </is>
      </c>
    </row>
    <row r="2005">
      <c r="A2005" t="n">
        <v>2004</v>
      </c>
      <c r="B2005" t="inlineStr">
        <is>
          <t>A-5058__327</t>
        </is>
      </c>
      <c r="C2005" s="1" t="n">
        <v>37.2475627395</v>
      </c>
      <c r="D2005" s="1" t="n">
        <v>-7.10079518983</v>
      </c>
      <c r="E2005" s="3" t="n">
        <v>3</v>
      </c>
      <c r="F2005" s="2" t="n">
        <v>3</v>
      </c>
      <c r="G2005" s="4" t="n">
        <v>3</v>
      </c>
      <c r="H2005" s="13" t="n"/>
      <c r="I2005" s="15" t="n"/>
      <c r="J2005" s="19" t="n">
        <v>3</v>
      </c>
      <c r="K2005" s="2" t="inlineStr">
        <is>
          <t>marker_870_384583.png</t>
        </is>
      </c>
      <c r="L2005" s="11">
        <f>HYPERLINK("3\0\" &amp; K2005, "Ver Imagen")</f>
        <v/>
      </c>
      <c r="M2005" t="inlineStr">
        <is>
          <t>Moda</t>
        </is>
      </c>
    </row>
    <row r="2006">
      <c r="A2006" t="n">
        <v>2005</v>
      </c>
      <c r="B2006" t="inlineStr">
        <is>
          <t>A-5058__332</t>
        </is>
      </c>
      <c r="C2006" s="1" t="n">
        <v>37.2482443727</v>
      </c>
      <c r="D2006" s="1" t="n">
        <v>-7.10172252306</v>
      </c>
      <c r="E2006" s="3" t="n">
        <v>3</v>
      </c>
      <c r="F2006" s="2" t="n">
        <v>3</v>
      </c>
      <c r="G2006" s="4" t="n">
        <v>3</v>
      </c>
      <c r="H2006" s="13" t="n"/>
      <c r="I2006" s="15" t="n"/>
      <c r="J2006" s="19" t="n">
        <v>3</v>
      </c>
      <c r="K2006" s="2" t="inlineStr">
        <is>
          <t>marker_449_384655.png</t>
        </is>
      </c>
      <c r="L2006" s="11">
        <f>HYPERLINK("3\0\" &amp; K2006, "Ver Imagen")</f>
        <v/>
      </c>
      <c r="M2006" t="inlineStr">
        <is>
          <t>Moda</t>
        </is>
      </c>
    </row>
    <row r="2007">
      <c r="A2007" t="n">
        <v>2006</v>
      </c>
      <c r="B2007" t="inlineStr">
        <is>
          <t>A-5058__337</t>
        </is>
      </c>
      <c r="C2007" s="1" t="n">
        <v>37.249133442</v>
      </c>
      <c r="D2007" s="1" t="n">
        <v>-7.10233100284</v>
      </c>
      <c r="E2007" s="3" t="n">
        <v>3</v>
      </c>
      <c r="F2007" s="2" t="n">
        <v>3</v>
      </c>
      <c r="G2007" s="4" t="n">
        <v>3</v>
      </c>
      <c r="H2007" s="13" t="n"/>
      <c r="I2007" s="15" t="n"/>
      <c r="J2007" s="19" t="n">
        <v>3</v>
      </c>
      <c r="K2007" s="2" t="inlineStr">
        <is>
          <t>marker_331_384722.png</t>
        </is>
      </c>
      <c r="L2007" s="11">
        <f>HYPERLINK("3\0\" &amp; K2007, "Ver Imagen")</f>
        <v/>
      </c>
      <c r="M2007" t="inlineStr">
        <is>
          <t>Moda</t>
        </is>
      </c>
    </row>
    <row r="2008">
      <c r="A2008" t="n">
        <v>2007</v>
      </c>
      <c r="B2008" t="inlineStr">
        <is>
          <t>A-5058__342</t>
        </is>
      </c>
      <c r="C2008" s="1" t="n">
        <v>37.2500338127</v>
      </c>
      <c r="D2008" s="1" t="n">
        <v>-7.10285249496</v>
      </c>
      <c r="E2008" s="3" t="n">
        <v>3</v>
      </c>
      <c r="F2008" s="2" t="n">
        <v>3</v>
      </c>
      <c r="G2008" s="4" t="n">
        <v>3</v>
      </c>
      <c r="H2008" s="13" t="n"/>
      <c r="I2008" s="15" t="n"/>
      <c r="J2008" s="19" t="n">
        <v>3</v>
      </c>
      <c r="K2008" s="2" t="inlineStr">
        <is>
          <t>marker_962_384785.png</t>
        </is>
      </c>
      <c r="L2008" s="11">
        <f>HYPERLINK("3\0\" &amp; K2008, "Ver Imagen")</f>
        <v/>
      </c>
      <c r="M2008" t="inlineStr">
        <is>
          <t>Moda</t>
        </is>
      </c>
    </row>
    <row r="2009">
      <c r="A2009" t="n">
        <v>2008</v>
      </c>
      <c r="B2009" t="inlineStr">
        <is>
          <t>A-5058__376</t>
        </is>
      </c>
      <c r="C2009" s="1" t="n">
        <v>37.2548192534</v>
      </c>
      <c r="D2009" s="1" t="n">
        <v>-7.10865884658</v>
      </c>
      <c r="E2009" s="3" t="n">
        <v>3</v>
      </c>
      <c r="F2009" s="2" t="n">
        <v>3</v>
      </c>
      <c r="G2009" s="4" t="n">
        <v>3</v>
      </c>
      <c r="H2009" s="13" t="n"/>
      <c r="I2009" s="15" t="n"/>
      <c r="J2009" s="19" t="n">
        <v>3</v>
      </c>
      <c r="K2009" s="2" t="inlineStr">
        <is>
          <t>marker_550_385144.png</t>
        </is>
      </c>
      <c r="L2009" s="11">
        <f>HYPERLINK("3\0\" &amp; K2009, "Ver Imagen")</f>
        <v/>
      </c>
      <c r="M2009" t="inlineStr">
        <is>
          <t>Moda</t>
        </is>
      </c>
    </row>
    <row r="2010">
      <c r="A2010" t="n">
        <v>2009</v>
      </c>
      <c r="B2010" t="inlineStr">
        <is>
          <t>A-5058__383</t>
        </is>
      </c>
      <c r="C2010" s="1" t="n">
        <v>37.2553130864</v>
      </c>
      <c r="D2010" s="1" t="n">
        <v>-7.11017305715</v>
      </c>
      <c r="E2010" s="3" t="n">
        <v>3</v>
      </c>
      <c r="F2010" s="2" t="n">
        <v>3</v>
      </c>
      <c r="G2010" s="4" t="n">
        <v>3</v>
      </c>
      <c r="H2010" s="13" t="n"/>
      <c r="I2010" s="15" t="n"/>
      <c r="J2010" s="19" t="n">
        <v>3</v>
      </c>
      <c r="K2010" s="2" t="inlineStr">
        <is>
          <t>marker_160_385241.png</t>
        </is>
      </c>
      <c r="L2010" s="11">
        <f>HYPERLINK("3\0\" &amp; K2010, "Ver Imagen")</f>
        <v/>
      </c>
      <c r="M2010" t="inlineStr">
        <is>
          <t>Moda</t>
        </is>
      </c>
    </row>
    <row r="2011">
      <c r="A2011" t="n">
        <v>2010</v>
      </c>
      <c r="B2011" t="inlineStr">
        <is>
          <t>A-5058__390</t>
        </is>
      </c>
      <c r="C2011" s="1" t="n">
        <v>37.2552765941</v>
      </c>
      <c r="D2011" s="1" t="n">
        <v>-7.1119392471</v>
      </c>
      <c r="E2011" s="3" t="n">
        <v>3</v>
      </c>
      <c r="F2011" s="2" t="n">
        <v>3</v>
      </c>
      <c r="G2011" s="4" t="n">
        <v>3</v>
      </c>
      <c r="H2011" s="13" t="n"/>
      <c r="I2011" s="15" t="n"/>
      <c r="J2011" s="19" t="n">
        <v>3</v>
      </c>
      <c r="K2011" s="2" t="inlineStr">
        <is>
          <t>marker_400_385305.png</t>
        </is>
      </c>
      <c r="L2011" s="11">
        <f>HYPERLINK("3\0\" &amp; K2011, "Ver Imagen")</f>
        <v/>
      </c>
      <c r="M2011" t="inlineStr">
        <is>
          <t>Moda</t>
        </is>
      </c>
    </row>
    <row r="2012">
      <c r="A2012" t="n">
        <v>2011</v>
      </c>
      <c r="B2012" t="inlineStr">
        <is>
          <t>A-5058__393</t>
        </is>
      </c>
      <c r="C2012" s="1" t="n">
        <v>37.2551237078</v>
      </c>
      <c r="D2012" s="1" t="n">
        <v>-7.11263663605</v>
      </c>
      <c r="E2012" s="3" t="n">
        <v>3</v>
      </c>
      <c r="F2012" s="2" t="n">
        <v>3</v>
      </c>
      <c r="G2012" s="4" t="n">
        <v>3</v>
      </c>
      <c r="H2012" s="13" t="n"/>
      <c r="I2012" s="15" t="n"/>
      <c r="J2012" s="19" t="n">
        <v>3</v>
      </c>
      <c r="K2012" s="2" t="inlineStr">
        <is>
          <t>marker_252_385332.png</t>
        </is>
      </c>
      <c r="L2012" s="11">
        <f>HYPERLINK("3\0\" &amp; K2012, "Ver Imagen")</f>
        <v/>
      </c>
      <c r="M2012" t="inlineStr">
        <is>
          <t>Moda</t>
        </is>
      </c>
    </row>
    <row r="2013">
      <c r="A2013" t="n">
        <v>2012</v>
      </c>
      <c r="B2013" t="inlineStr">
        <is>
          <t>A-5058__396</t>
        </is>
      </c>
      <c r="C2013" s="1" t="n">
        <v>37.254938344</v>
      </c>
      <c r="D2013" s="1" t="n">
        <v>-7.11338112183</v>
      </c>
      <c r="E2013" s="3" t="n">
        <v>3</v>
      </c>
      <c r="F2013" s="2" t="n">
        <v>3</v>
      </c>
      <c r="G2013" s="4" t="n">
        <v>3</v>
      </c>
      <c r="H2013" s="13" t="n"/>
      <c r="I2013" s="15" t="n"/>
      <c r="J2013" s="19" t="n">
        <v>3</v>
      </c>
      <c r="K2013" s="2" t="inlineStr">
        <is>
          <t>marker_601_385377.png</t>
        </is>
      </c>
      <c r="L2013" s="11">
        <f>HYPERLINK("3\0\" &amp; K2013, "Ver Imagen")</f>
        <v/>
      </c>
      <c r="M2013" t="inlineStr">
        <is>
          <t>Moda</t>
        </is>
      </c>
    </row>
    <row r="2014">
      <c r="A2014" t="n">
        <v>2013</v>
      </c>
      <c r="B2014" t="inlineStr">
        <is>
          <t>A-5058__400</t>
        </is>
      </c>
      <c r="C2014" s="1" t="n">
        <v>37.2546984193</v>
      </c>
      <c r="D2014" s="1" t="n">
        <v>-7.11436839687</v>
      </c>
      <c r="E2014" s="3" t="n">
        <v>3</v>
      </c>
      <c r="F2014" s="2" t="n">
        <v>3</v>
      </c>
      <c r="G2014" s="4" t="n">
        <v>3</v>
      </c>
      <c r="H2014" s="13" t="n"/>
      <c r="I2014" s="15" t="n"/>
      <c r="J2014" s="19" t="n">
        <v>3</v>
      </c>
      <c r="K2014" s="2" t="inlineStr">
        <is>
          <t>marker_855_388064.png</t>
        </is>
      </c>
      <c r="L2014" s="11">
        <f>HYPERLINK("3\0\" &amp; K2014, "Ver Imagen")</f>
        <v/>
      </c>
      <c r="M2014" t="inlineStr">
        <is>
          <t>Moda</t>
        </is>
      </c>
    </row>
    <row r="2015">
      <c r="A2015" t="n">
        <v>2014</v>
      </c>
      <c r="B2015" t="inlineStr">
        <is>
          <t>A-5058__407</t>
        </is>
      </c>
      <c r="C2015" s="1" t="n">
        <v>37.2546221626</v>
      </c>
      <c r="D2015" s="1" t="n">
        <v>-7.11609740572</v>
      </c>
      <c r="E2015" s="3" t="n">
        <v>3</v>
      </c>
      <c r="F2015" s="2" t="n">
        <v>3</v>
      </c>
      <c r="G2015" s="4" t="n">
        <v>3</v>
      </c>
      <c r="H2015" s="13" t="n"/>
      <c r="I2015" s="15" t="n"/>
      <c r="J2015" s="19" t="n">
        <v>3</v>
      </c>
      <c r="K2015" s="2" t="inlineStr">
        <is>
          <t>marker_992_388618.png</t>
        </is>
      </c>
      <c r="L2015" s="11">
        <f>HYPERLINK("3\0\" &amp; K2015, "Ver Imagen")</f>
        <v/>
      </c>
      <c r="M2015" t="inlineStr">
        <is>
          <t>Moda</t>
        </is>
      </c>
    </row>
    <row r="2016">
      <c r="A2016" t="n">
        <v>2015</v>
      </c>
      <c r="B2016" t="inlineStr">
        <is>
          <t>A-5058__408</t>
        </is>
      </c>
      <c r="C2016" s="1" t="n">
        <v>37.2546666239</v>
      </c>
      <c r="D2016" s="1" t="n">
        <v>-7.11632592991</v>
      </c>
      <c r="E2016" s="3" t="n">
        <v>3</v>
      </c>
      <c r="F2016" s="2" t="n">
        <v>3</v>
      </c>
      <c r="G2016" s="4" t="n">
        <v>3</v>
      </c>
      <c r="H2016" s="13" t="n"/>
      <c r="I2016" s="15" t="n"/>
      <c r="J2016" s="19" t="n">
        <v>3</v>
      </c>
      <c r="K2016" s="2" t="inlineStr">
        <is>
          <t>marker_419_388627.png</t>
        </is>
      </c>
      <c r="L2016" s="11">
        <f>HYPERLINK("3\0\" &amp; K2016, "Ver Imagen")</f>
        <v/>
      </c>
      <c r="M2016" t="inlineStr">
        <is>
          <t>Moda</t>
        </is>
      </c>
    </row>
    <row r="2017">
      <c r="A2017" t="n">
        <v>2016</v>
      </c>
      <c r="B2017" t="inlineStr">
        <is>
          <t>A-5058__434</t>
        </is>
      </c>
      <c r="C2017" s="1" t="n">
        <v>37.2584810184</v>
      </c>
      <c r="D2017" s="1" t="n">
        <v>-7.12053623356</v>
      </c>
      <c r="E2017" s="3" t="n">
        <v>3</v>
      </c>
      <c r="F2017" s="2" t="n">
        <v>3</v>
      </c>
      <c r="G2017" s="4" t="n">
        <v>3</v>
      </c>
      <c r="H2017" s="13" t="n"/>
      <c r="I2017" s="15" t="n"/>
      <c r="J2017" s="19" t="n">
        <v>3</v>
      </c>
      <c r="K2017" s="2" t="inlineStr">
        <is>
          <t>marker_967_388901.png</t>
        </is>
      </c>
      <c r="L2017" s="11">
        <f>HYPERLINK("3\0\" &amp; K2017, "Ver Imagen")</f>
        <v/>
      </c>
      <c r="M2017" t="inlineStr">
        <is>
          <t>Moda</t>
        </is>
      </c>
    </row>
    <row r="2018">
      <c r="A2018" t="n">
        <v>2017</v>
      </c>
      <c r="B2018" t="inlineStr">
        <is>
          <t>A-5058__443</t>
        </is>
      </c>
      <c r="C2018" s="1" t="n">
        <v>37.2588339792</v>
      </c>
      <c r="D2018" s="1" t="n">
        <v>-7.12278581994</v>
      </c>
      <c r="E2018" s="3" t="n">
        <v>3</v>
      </c>
      <c r="F2018" s="2" t="n">
        <v>3</v>
      </c>
      <c r="G2018" s="4" t="n">
        <v>3</v>
      </c>
      <c r="H2018" s="13" t="n"/>
      <c r="I2018" s="15" t="n"/>
      <c r="J2018" s="19" t="n">
        <v>3</v>
      </c>
      <c r="K2018" s="2" t="inlineStr">
        <is>
          <t>marker_930_389011.png</t>
        </is>
      </c>
      <c r="L2018" s="11">
        <f>HYPERLINK("3\0\" &amp; K2018, "Ver Imagen")</f>
        <v/>
      </c>
      <c r="M2018" t="inlineStr">
        <is>
          <t>Moda</t>
        </is>
      </c>
    </row>
    <row r="2019">
      <c r="A2019" t="n">
        <v>2018</v>
      </c>
      <c r="B2019" t="inlineStr">
        <is>
          <t>A-5058__445</t>
        </is>
      </c>
      <c r="C2019" s="1" t="n">
        <v>37.2588775198</v>
      </c>
      <c r="D2019" s="1" t="n">
        <v>-7.12331664864</v>
      </c>
      <c r="E2019" s="3" t="n">
        <v>3</v>
      </c>
      <c r="F2019" s="2" t="n">
        <v>3</v>
      </c>
      <c r="G2019" s="4" t="n">
        <v>3</v>
      </c>
      <c r="H2019" s="13" t="n"/>
      <c r="I2019" s="15" t="n"/>
      <c r="J2019" s="19" t="n">
        <v>3</v>
      </c>
      <c r="K2019" s="2" t="inlineStr">
        <is>
          <t>marker_417_389029.png</t>
        </is>
      </c>
      <c r="L2019" s="11">
        <f>HYPERLINK("3\0\" &amp; K2019, "Ver Imagen")</f>
        <v/>
      </c>
      <c r="M2019" t="inlineStr">
        <is>
          <t>Moda</t>
        </is>
      </c>
    </row>
    <row r="2020">
      <c r="A2020" t="n">
        <v>2019</v>
      </c>
      <c r="B2020" t="inlineStr">
        <is>
          <t>A-5058__453</t>
        </is>
      </c>
      <c r="C2020" s="1" t="n">
        <v>37.2591451256</v>
      </c>
      <c r="D2020" s="1" t="n">
        <v>-7.12528865363</v>
      </c>
      <c r="E2020" s="3" t="n">
        <v>3</v>
      </c>
      <c r="F2020" s="2" t="n">
        <v>3</v>
      </c>
      <c r="G2020" s="4" t="n">
        <v>3</v>
      </c>
      <c r="H2020" s="13" t="n"/>
      <c r="I2020" s="15" t="n"/>
      <c r="J2020" s="19" t="n">
        <v>3</v>
      </c>
      <c r="K2020" s="2" t="inlineStr">
        <is>
          <t>marker_629_389121.png</t>
        </is>
      </c>
      <c r="L2020" s="11">
        <f>HYPERLINK("3\0\" &amp; K2020, "Ver Imagen")</f>
        <v/>
      </c>
      <c r="M2020" t="inlineStr">
        <is>
          <t>Moda</t>
        </is>
      </c>
    </row>
    <row r="2021">
      <c r="A2021" t="n">
        <v>2020</v>
      </c>
      <c r="B2021" t="inlineStr">
        <is>
          <t>A-495__8</t>
        </is>
      </c>
      <c r="C2021" s="1" t="n">
        <v>37.4440035578</v>
      </c>
      <c r="D2021" s="1" t="n">
        <v>-7.09844229479</v>
      </c>
      <c r="E2021" s="3" t="n">
        <v>3</v>
      </c>
      <c r="F2021" s="2" t="n">
        <v>3</v>
      </c>
      <c r="G2021" s="4" t="n">
        <v>3</v>
      </c>
      <c r="H2021" s="13" t="n"/>
      <c r="I2021" s="15" t="n"/>
      <c r="J2021" s="19" t="n">
        <v>3</v>
      </c>
      <c r="K2021" s="2" t="inlineStr">
        <is>
          <t>marker_990_381057.png</t>
        </is>
      </c>
      <c r="L2021" s="11">
        <f>HYPERLINK("3\0\" &amp; K2021, "Ver Imagen")</f>
        <v/>
      </c>
      <c r="M2021" t="inlineStr">
        <is>
          <t>Moda</t>
        </is>
      </c>
    </row>
    <row r="2022">
      <c r="A2022" t="n">
        <v>2021</v>
      </c>
      <c r="B2022" t="inlineStr">
        <is>
          <t>A-495__9</t>
        </is>
      </c>
      <c r="C2022" s="1" t="n">
        <v>37.4439940175</v>
      </c>
      <c r="D2022" s="1" t="n">
        <v>-7.09822724296</v>
      </c>
      <c r="E2022" s="3" t="n">
        <v>3</v>
      </c>
      <c r="F2022" s="2" t="n">
        <v>3</v>
      </c>
      <c r="G2022" s="4" t="n">
        <v>3</v>
      </c>
      <c r="H2022" s="13" t="n"/>
      <c r="I2022" s="15" t="n"/>
      <c r="J2022" s="19" t="n">
        <v>3</v>
      </c>
      <c r="K2022" s="2" t="inlineStr">
        <is>
          <t>marker_931_381150.png</t>
        </is>
      </c>
      <c r="L2022" s="11">
        <f>HYPERLINK("3\0\" &amp; K2022, "Ver Imagen")</f>
        <v/>
      </c>
      <c r="M2022" t="inlineStr">
        <is>
          <t>Moda</t>
        </is>
      </c>
    </row>
    <row r="2023">
      <c r="A2023" t="n">
        <v>2022</v>
      </c>
      <c r="B2023" t="inlineStr">
        <is>
          <t>A-495_1__193</t>
        </is>
      </c>
      <c r="C2023" s="1" t="n">
        <v>37.4844342846</v>
      </c>
      <c r="D2023" s="1" t="n">
        <v>-7.13029926944</v>
      </c>
      <c r="E2023" s="3" t="n">
        <v>3</v>
      </c>
      <c r="F2023" s="2" t="n">
        <v>3</v>
      </c>
      <c r="G2023" s="4" t="n">
        <v>3</v>
      </c>
      <c r="H2023" s="13" t="n"/>
      <c r="I2023" s="15" t="n"/>
      <c r="J2023" s="19" t="n">
        <v>3</v>
      </c>
      <c r="K2023" s="2" t="inlineStr">
        <is>
          <t>marker_950_383702.png</t>
        </is>
      </c>
      <c r="L2023" s="11">
        <f>HYPERLINK("3\0\" &amp; K2023, "Ver Imagen")</f>
        <v/>
      </c>
      <c r="M2023" t="inlineStr">
        <is>
          <t>Moda</t>
        </is>
      </c>
    </row>
    <row r="2024">
      <c r="A2024" t="n">
        <v>2023</v>
      </c>
      <c r="B2024" t="inlineStr">
        <is>
          <t>A-495_1__178</t>
        </is>
      </c>
      <c r="C2024" s="1" t="n">
        <v>37.4819050303</v>
      </c>
      <c r="D2024" s="1" t="n">
        <v>-7.12819366079</v>
      </c>
      <c r="E2024" s="3" t="n">
        <v>3</v>
      </c>
      <c r="F2024" s="2" t="n">
        <v>3</v>
      </c>
      <c r="G2024" s="4" t="n">
        <v>3</v>
      </c>
      <c r="H2024" s="13" t="n"/>
      <c r="I2024" s="15" t="n"/>
      <c r="J2024" s="19" t="n">
        <v>3</v>
      </c>
      <c r="K2024" s="2" t="inlineStr">
        <is>
          <t>marker_323_383910.png</t>
        </is>
      </c>
      <c r="L2024" s="11">
        <f>HYPERLINK("3\0\" &amp; K2024, "Ver Imagen")</f>
        <v/>
      </c>
      <c r="M2024" t="inlineStr">
        <is>
          <t>Moda</t>
        </is>
      </c>
    </row>
    <row r="2025">
      <c r="A2025" t="n">
        <v>2024</v>
      </c>
      <c r="B2025" t="inlineStr">
        <is>
          <t>A-495_1__168</t>
        </is>
      </c>
      <c r="C2025" s="1" t="n">
        <v>37.4799478405</v>
      </c>
      <c r="D2025" s="1" t="n">
        <v>-7.12789286893</v>
      </c>
      <c r="E2025" s="3" t="n">
        <v>3</v>
      </c>
      <c r="F2025" s="2" t="n">
        <v>3</v>
      </c>
      <c r="G2025" s="4" t="n">
        <v>3</v>
      </c>
      <c r="H2025" s="13" t="n"/>
      <c r="I2025" s="15" t="n"/>
      <c r="J2025" s="19" t="n">
        <v>3</v>
      </c>
      <c r="K2025" s="2" t="inlineStr">
        <is>
          <t>marker_814_384011.png</t>
        </is>
      </c>
      <c r="L2025" s="11">
        <f>HYPERLINK("3\0\" &amp; K2025, "Ver Imagen")</f>
        <v/>
      </c>
      <c r="M2025" t="inlineStr">
        <is>
          <t>Moda</t>
        </is>
      </c>
    </row>
    <row r="2026">
      <c r="A2026" t="n">
        <v>2025</v>
      </c>
      <c r="B2026" t="inlineStr">
        <is>
          <t>A-495_1__138</t>
        </is>
      </c>
      <c r="C2026" s="1" t="n">
        <v>37.4745746644</v>
      </c>
      <c r="D2026" s="1" t="n">
        <v>-7.12609747406</v>
      </c>
      <c r="E2026" s="3" t="n">
        <v>3</v>
      </c>
      <c r="F2026" s="2" t="n">
        <v>3</v>
      </c>
      <c r="G2026" s="4" t="n">
        <v>3</v>
      </c>
      <c r="H2026" s="13" t="n"/>
      <c r="I2026" s="15" t="n"/>
      <c r="J2026" s="19" t="n">
        <v>3</v>
      </c>
      <c r="K2026" s="2" t="inlineStr">
        <is>
          <t>marker_630_384391.png</t>
        </is>
      </c>
      <c r="L2026" s="11">
        <f>HYPERLINK("3\0\" &amp; K2026, "Ver Imagen")</f>
        <v/>
      </c>
      <c r="M2026" t="inlineStr">
        <is>
          <t>Moda</t>
        </is>
      </c>
    </row>
    <row r="2027">
      <c r="A2027" t="n">
        <v>2026</v>
      </c>
      <c r="B2027" t="inlineStr">
        <is>
          <t>A-495_1__111</t>
        </is>
      </c>
      <c r="C2027" s="1" t="n">
        <v>37.4695471942</v>
      </c>
      <c r="D2027" s="1" t="n">
        <v>-7.12431666691</v>
      </c>
      <c r="E2027" s="3" t="n">
        <v>3</v>
      </c>
      <c r="F2027" s="2" t="n">
        <v>3</v>
      </c>
      <c r="G2027" s="4" t="n">
        <v>3</v>
      </c>
      <c r="H2027" s="13" t="n"/>
      <c r="I2027" s="15" t="n"/>
      <c r="J2027" s="19" t="n">
        <v>3</v>
      </c>
      <c r="K2027" s="2" t="inlineStr">
        <is>
          <t>marker_519_384711.png</t>
        </is>
      </c>
      <c r="L2027" s="11">
        <f>HYPERLINK("3\0\" &amp; K2027, "Ver Imagen")</f>
        <v/>
      </c>
      <c r="M2027" t="inlineStr">
        <is>
          <t>Moda</t>
        </is>
      </c>
    </row>
    <row r="2028">
      <c r="A2028" t="n">
        <v>2027</v>
      </c>
      <c r="B2028" t="inlineStr">
        <is>
          <t>A-495_1__99</t>
        </is>
      </c>
      <c r="C2028" s="1" t="n">
        <v>37.4673788473</v>
      </c>
      <c r="D2028" s="1" t="n">
        <v>-7.12294610956</v>
      </c>
      <c r="E2028" s="3" t="n">
        <v>3</v>
      </c>
      <c r="F2028" s="2" t="n">
        <v>3</v>
      </c>
      <c r="G2028" s="4" t="n">
        <v>3</v>
      </c>
      <c r="H2028" s="13" t="n"/>
      <c r="I2028" s="15" t="n"/>
      <c r="J2028" s="19" t="n">
        <v>3</v>
      </c>
      <c r="K2028" s="2" t="inlineStr">
        <is>
          <t>marker_714_385051.png</t>
        </is>
      </c>
      <c r="L2028" s="11">
        <f>HYPERLINK("3\0\" &amp; K2028, "Ver Imagen")</f>
        <v/>
      </c>
      <c r="M2028" t="inlineStr">
        <is>
          <t>Moda</t>
        </is>
      </c>
    </row>
    <row r="2029">
      <c r="A2029" t="n">
        <v>2028</v>
      </c>
      <c r="B2029" t="inlineStr">
        <is>
          <t>A-495_1__16</t>
        </is>
      </c>
      <c r="C2029" s="1" t="n">
        <v>37.4511681999</v>
      </c>
      <c r="D2029" s="1" t="n">
        <v>-7.12744000988</v>
      </c>
      <c r="E2029" s="3" t="n">
        <v>3</v>
      </c>
      <c r="F2029" s="2" t="n">
        <v>3</v>
      </c>
      <c r="G2029" s="4" t="n">
        <v>3</v>
      </c>
      <c r="H2029" s="13" t="n"/>
      <c r="I2029" s="15" t="n"/>
      <c r="J2029" s="19" t="n">
        <v>3</v>
      </c>
      <c r="K2029" s="2" t="inlineStr">
        <is>
          <t>marker_157_386170.png</t>
        </is>
      </c>
      <c r="L2029" s="11">
        <f>HYPERLINK("3\0\" &amp; K2029, "Ver Imagen")</f>
        <v/>
      </c>
      <c r="M2029" t="inlineStr">
        <is>
          <t>Moda</t>
        </is>
      </c>
    </row>
    <row r="2030">
      <c r="A2030" t="n">
        <v>2029</v>
      </c>
      <c r="B2030" t="inlineStr">
        <is>
          <t>A-495_1__14</t>
        </is>
      </c>
      <c r="C2030" s="1" t="n">
        <v>37.450783152</v>
      </c>
      <c r="D2030" s="1" t="n">
        <v>-7.12739237137</v>
      </c>
      <c r="E2030" s="3" t="n">
        <v>3</v>
      </c>
      <c r="F2030" s="2" t="n">
        <v>3</v>
      </c>
      <c r="G2030" s="4" t="n">
        <v>3</v>
      </c>
      <c r="H2030" s="13" t="n"/>
      <c r="I2030" s="15" t="n"/>
      <c r="J2030" s="19" t="n">
        <v>3</v>
      </c>
      <c r="K2030" s="2" t="inlineStr">
        <is>
          <t>marker_526_386187.png</t>
        </is>
      </c>
      <c r="L2030" s="11">
        <f>HYPERLINK("3\0\" &amp; K2030, "Ver Imagen")</f>
        <v/>
      </c>
      <c r="M2030" t="inlineStr">
        <is>
          <t>Moda</t>
        </is>
      </c>
    </row>
    <row r="2031">
      <c r="A2031" t="n">
        <v>2030</v>
      </c>
      <c r="B2031" t="inlineStr">
        <is>
          <t>A-495_1__6</t>
        </is>
      </c>
      <c r="C2031" s="1" t="n">
        <v>37.4492069021</v>
      </c>
      <c r="D2031" s="1" t="n">
        <v>-7.12700018059</v>
      </c>
      <c r="E2031" s="3" t="n">
        <v>3</v>
      </c>
      <c r="F2031" s="2" t="n">
        <v>3</v>
      </c>
      <c r="G2031" s="4" t="n">
        <v>3</v>
      </c>
      <c r="H2031" s="13" t="n"/>
      <c r="I2031" s="15" t="n"/>
      <c r="J2031" s="19" t="n">
        <v>3</v>
      </c>
      <c r="K2031" s="2" t="inlineStr">
        <is>
          <t>marker_498_386264.png</t>
        </is>
      </c>
      <c r="L2031" s="11">
        <f>HYPERLINK("3\0\" &amp; K2031, "Ver Imagen")</f>
        <v/>
      </c>
      <c r="M2031" t="inlineStr">
        <is>
          <t>Moda</t>
        </is>
      </c>
    </row>
    <row r="2032">
      <c r="A2032" t="n">
        <v>2031</v>
      </c>
      <c r="B2032" t="inlineStr">
        <is>
          <t>A-499__65</t>
        </is>
      </c>
      <c r="C2032" s="1" t="n">
        <v>37.4953413697</v>
      </c>
      <c r="D2032" s="1" t="n">
        <v>-7.27153364629</v>
      </c>
      <c r="E2032" s="3" t="n">
        <v>3</v>
      </c>
      <c r="F2032" s="2" t="n">
        <v>3</v>
      </c>
      <c r="G2032" s="4" t="n">
        <v>3</v>
      </c>
      <c r="H2032" s="13" t="n"/>
      <c r="I2032" s="15" t="n"/>
      <c r="J2032" s="19" t="n">
        <v>3</v>
      </c>
      <c r="K2032" s="2" t="inlineStr">
        <is>
          <t>marker_842_535124.png</t>
        </is>
      </c>
      <c r="L2032" s="11">
        <f>HYPERLINK("3\0\" &amp; K2032, "Ver Imagen")</f>
        <v/>
      </c>
      <c r="M2032" t="inlineStr">
        <is>
          <t>Moda</t>
        </is>
      </c>
    </row>
    <row r="2033">
      <c r="A2033" t="n">
        <v>2032</v>
      </c>
      <c r="B2033" t="inlineStr">
        <is>
          <t>A-499__91</t>
        </is>
      </c>
      <c r="C2033" s="1" t="n">
        <v>37.4970376448</v>
      </c>
      <c r="D2033" s="1" t="n">
        <v>-7.26810956874</v>
      </c>
      <c r="E2033" s="3" t="n">
        <v>3</v>
      </c>
      <c r="F2033" s="2" t="n">
        <v>3</v>
      </c>
      <c r="G2033" s="4" t="n">
        <v>3</v>
      </c>
      <c r="H2033" s="13" t="n"/>
      <c r="I2033" s="15" t="n"/>
      <c r="J2033" s="19" t="n">
        <v>3</v>
      </c>
      <c r="K2033" s="2" t="inlineStr">
        <is>
          <t>marker_122_790026.png</t>
        </is>
      </c>
      <c r="L2033" s="11">
        <f>HYPERLINK("3\0\" &amp; K2033, "Ver Imagen")</f>
        <v/>
      </c>
      <c r="M2033" t="inlineStr">
        <is>
          <t>Moda</t>
        </is>
      </c>
    </row>
    <row r="2034">
      <c r="A2034" t="n">
        <v>2033</v>
      </c>
      <c r="B2034" t="inlineStr">
        <is>
          <t>A-497__835</t>
        </is>
      </c>
      <c r="C2034" s="1" t="n">
        <v>37.198884875</v>
      </c>
      <c r="D2034" s="1" t="n">
        <v>-6.98254120082</v>
      </c>
      <c r="E2034" s="3" t="n">
        <v>3</v>
      </c>
      <c r="F2034" s="2" t="n">
        <v>3</v>
      </c>
      <c r="G2034" s="4" t="n">
        <v>3</v>
      </c>
      <c r="H2034" s="13" t="n"/>
      <c r="I2034" s="15" t="n"/>
      <c r="J2034" s="19" t="n">
        <v>3</v>
      </c>
      <c r="K2034" s="2" t="inlineStr">
        <is>
          <t>marker_245_367597.png</t>
        </is>
      </c>
      <c r="L2034" s="11">
        <f>HYPERLINK("3\0\" &amp; K2034, "Ver Imagen")</f>
        <v/>
      </c>
      <c r="M2034" t="inlineStr">
        <is>
          <t>Moda</t>
        </is>
      </c>
    </row>
    <row r="2035">
      <c r="A2035" t="n">
        <v>2034</v>
      </c>
      <c r="B2035" t="inlineStr">
        <is>
          <t>A-497__833</t>
        </is>
      </c>
      <c r="C2035" s="1" t="n">
        <v>37.1987167527</v>
      </c>
      <c r="D2035" s="1" t="n">
        <v>-6.98212084601</v>
      </c>
      <c r="E2035" s="3" t="n">
        <v>3</v>
      </c>
      <c r="F2035" s="2" t="n">
        <v>3</v>
      </c>
      <c r="G2035" s="4" t="n">
        <v>3</v>
      </c>
      <c r="H2035" s="13" t="n"/>
      <c r="I2035" s="15" t="n"/>
      <c r="J2035" s="19" t="n">
        <v>3</v>
      </c>
      <c r="K2035" s="2" t="inlineStr">
        <is>
          <t>marker_226_367617.png</t>
        </is>
      </c>
      <c r="L2035" s="11">
        <f>HYPERLINK("3\0\" &amp; K2035, "Ver Imagen")</f>
        <v/>
      </c>
      <c r="M2035" t="inlineStr">
        <is>
          <t>Moda</t>
        </is>
      </c>
    </row>
    <row r="2036">
      <c r="A2036" t="n">
        <v>2035</v>
      </c>
      <c r="B2036" t="inlineStr">
        <is>
          <t>A-497__830</t>
        </is>
      </c>
      <c r="C2036" s="1" t="n">
        <v>37.1984165226</v>
      </c>
      <c r="D2036" s="1" t="n">
        <v>-6.98146217359</v>
      </c>
      <c r="E2036" s="3" t="n">
        <v>3</v>
      </c>
      <c r="F2036" s="2" t="n">
        <v>3</v>
      </c>
      <c r="G2036" s="4" t="n">
        <v>3</v>
      </c>
      <c r="H2036" s="13" t="n"/>
      <c r="I2036" s="15" t="n"/>
      <c r="J2036" s="19" t="n">
        <v>3</v>
      </c>
      <c r="K2036" s="2" t="inlineStr">
        <is>
          <t>marker_636_367648.png</t>
        </is>
      </c>
      <c r="L2036" s="11">
        <f>HYPERLINK("3\0\" &amp; K2036, "Ver Imagen")</f>
        <v/>
      </c>
      <c r="M2036" t="inlineStr">
        <is>
          <t>Moda</t>
        </is>
      </c>
    </row>
    <row r="2037">
      <c r="A2037" t="n">
        <v>2036</v>
      </c>
      <c r="B2037" t="inlineStr">
        <is>
          <t>A-497__829</t>
        </is>
      </c>
      <c r="C2037" s="1" t="n">
        <v>37.1982927728</v>
      </c>
      <c r="D2037" s="1" t="n">
        <v>-6.98122158081</v>
      </c>
      <c r="E2037" s="3" t="n">
        <v>3</v>
      </c>
      <c r="F2037" s="2" t="n">
        <v>3</v>
      </c>
      <c r="G2037" s="4" t="n">
        <v>3</v>
      </c>
      <c r="H2037" s="13" t="n"/>
      <c r="I2037" s="15" t="n"/>
      <c r="J2037" s="19" t="n">
        <v>3</v>
      </c>
      <c r="K2037" s="2" t="inlineStr">
        <is>
          <t>marker_715_367657.png</t>
        </is>
      </c>
      <c r="L2037" s="11">
        <f>HYPERLINK("3\0\" &amp; K2037, "Ver Imagen")</f>
        <v/>
      </c>
      <c r="M2037" t="inlineStr">
        <is>
          <t>Moda</t>
        </is>
      </c>
    </row>
    <row r="2038">
      <c r="A2038" t="n">
        <v>2037</v>
      </c>
      <c r="B2038" t="inlineStr">
        <is>
          <t>A-497__827</t>
        </is>
      </c>
      <c r="C2038" s="1" t="n">
        <v>37.1980713338</v>
      </c>
      <c r="D2038" s="1" t="n">
        <v>-6.98083140253</v>
      </c>
      <c r="E2038" s="3" t="n">
        <v>3</v>
      </c>
      <c r="F2038" s="2" t="n">
        <v>3</v>
      </c>
      <c r="G2038" s="4" t="n">
        <v>3</v>
      </c>
      <c r="H2038" s="13" t="n"/>
      <c r="I2038" s="15" t="n"/>
      <c r="J2038" s="19" t="n">
        <v>3</v>
      </c>
      <c r="K2038" s="2" t="inlineStr">
        <is>
          <t>marker_557_367675.png</t>
        </is>
      </c>
      <c r="L2038" s="11">
        <f>HYPERLINK("3\0\" &amp; K2038, "Ver Imagen")</f>
        <v/>
      </c>
      <c r="M2038" t="inlineStr">
        <is>
          <t>Moda</t>
        </is>
      </c>
    </row>
    <row r="2039">
      <c r="A2039" t="n">
        <v>2038</v>
      </c>
      <c r="B2039" t="inlineStr">
        <is>
          <t>A-497__823</t>
        </is>
      </c>
      <c r="C2039" s="1" t="n">
        <v>37.197552757</v>
      </c>
      <c r="D2039" s="1" t="n">
        <v>-6.98008617829</v>
      </c>
      <c r="E2039" s="3" t="n">
        <v>3</v>
      </c>
      <c r="F2039" s="2" t="n">
        <v>3</v>
      </c>
      <c r="G2039" s="4" t="n">
        <v>3</v>
      </c>
      <c r="H2039" s="13" t="n"/>
      <c r="I2039" s="15" t="n"/>
      <c r="J2039" s="19" t="n">
        <v>3</v>
      </c>
      <c r="K2039" s="2" t="inlineStr">
        <is>
          <t>marker_891_367721.png</t>
        </is>
      </c>
      <c r="L2039" s="11">
        <f>HYPERLINK("3\0\" &amp; K2039, "Ver Imagen")</f>
        <v/>
      </c>
      <c r="M2039" t="inlineStr">
        <is>
          <t>Moda</t>
        </is>
      </c>
    </row>
    <row r="2040">
      <c r="A2040" t="n">
        <v>2039</v>
      </c>
      <c r="B2040" t="inlineStr">
        <is>
          <t>A-497__821</t>
        </is>
      </c>
      <c r="C2040" s="1" t="n">
        <v>37.1972246418</v>
      </c>
      <c r="D2040" s="1" t="n">
        <v>-6.97969609031</v>
      </c>
      <c r="E2040" s="3" t="n">
        <v>3</v>
      </c>
      <c r="F2040" s="2" t="n">
        <v>3</v>
      </c>
      <c r="G2040" s="4" t="n">
        <v>3</v>
      </c>
      <c r="H2040" s="13" t="n"/>
      <c r="I2040" s="15" t="n"/>
      <c r="J2040" s="19" t="n">
        <v>3</v>
      </c>
      <c r="K2040" s="2" t="inlineStr">
        <is>
          <t>marker_140_367744.png</t>
        </is>
      </c>
      <c r="L2040" s="11">
        <f>HYPERLINK("3\0\" &amp; K2040, "Ver Imagen")</f>
        <v/>
      </c>
      <c r="M2040" t="inlineStr">
        <is>
          <t>Moda</t>
        </is>
      </c>
    </row>
    <row r="2041">
      <c r="A2041" t="n">
        <v>2040</v>
      </c>
      <c r="B2041" t="inlineStr">
        <is>
          <t>A-497__820</t>
        </is>
      </c>
      <c r="C2041" s="1" t="n">
        <v>37.197089691</v>
      </c>
      <c r="D2041" s="1" t="n">
        <v>-6.97955070259</v>
      </c>
      <c r="E2041" s="3" t="n">
        <v>3</v>
      </c>
      <c r="F2041" s="2" t="n">
        <v>3</v>
      </c>
      <c r="G2041" s="4" t="n">
        <v>3</v>
      </c>
      <c r="H2041" s="13" t="n"/>
      <c r="I2041" s="15" t="n"/>
      <c r="J2041" s="19" t="n">
        <v>3</v>
      </c>
      <c r="K2041" s="2" t="inlineStr">
        <is>
          <t>marker_171_367754.png</t>
        </is>
      </c>
      <c r="L2041" s="11">
        <f>HYPERLINK("3\0\" &amp; K2041, "Ver Imagen")</f>
        <v/>
      </c>
      <c r="M2041" t="inlineStr">
        <is>
          <t>Moda</t>
        </is>
      </c>
    </row>
    <row r="2042">
      <c r="A2042" t="n">
        <v>2041</v>
      </c>
      <c r="B2042" t="inlineStr">
        <is>
          <t>A-497__819</t>
        </is>
      </c>
      <c r="C2042" s="1" t="n">
        <v>37.1969419879</v>
      </c>
      <c r="D2042" s="1" t="n">
        <v>-6.97940026167</v>
      </c>
      <c r="E2042" s="3" t="n">
        <v>3</v>
      </c>
      <c r="F2042" s="2" t="n">
        <v>3</v>
      </c>
      <c r="G2042" s="4" t="n">
        <v>3</v>
      </c>
      <c r="H2042" s="13" t="n"/>
      <c r="I2042" s="15" t="n"/>
      <c r="J2042" s="19" t="n">
        <v>3</v>
      </c>
      <c r="K2042" s="2" t="inlineStr">
        <is>
          <t>marker_477_367765.png</t>
        </is>
      </c>
      <c r="L2042" s="11">
        <f>HYPERLINK("3\0\" &amp; K2042, "Ver Imagen")</f>
        <v/>
      </c>
      <c r="M2042" t="inlineStr">
        <is>
          <t>Moda</t>
        </is>
      </c>
    </row>
    <row r="2043">
      <c r="A2043" t="n">
        <v>2042</v>
      </c>
      <c r="B2043" t="inlineStr">
        <is>
          <t>A-497__817</t>
        </is>
      </c>
      <c r="C2043" s="1" t="n">
        <v>37.1966257718</v>
      </c>
      <c r="D2043" s="1" t="n">
        <v>-6.97910574362</v>
      </c>
      <c r="E2043" s="3" t="n">
        <v>3</v>
      </c>
      <c r="F2043" s="2" t="n">
        <v>3</v>
      </c>
      <c r="G2043" s="4" t="n">
        <v>3</v>
      </c>
      <c r="H2043" s="13" t="n"/>
      <c r="I2043" s="15" t="n"/>
      <c r="J2043" s="19" t="n">
        <v>3</v>
      </c>
      <c r="K2043" s="2" t="inlineStr">
        <is>
          <t>marker_363_367783.png</t>
        </is>
      </c>
      <c r="L2043" s="11">
        <f>HYPERLINK("3\0\" &amp; K2043, "Ver Imagen")</f>
        <v/>
      </c>
      <c r="M2043" t="inlineStr">
        <is>
          <t>Moda</t>
        </is>
      </c>
    </row>
    <row r="2044">
      <c r="A2044" t="n">
        <v>2043</v>
      </c>
      <c r="B2044" t="inlineStr">
        <is>
          <t>A-497__806</t>
        </is>
      </c>
      <c r="C2044" s="1" t="n">
        <v>37.1946221322</v>
      </c>
      <c r="D2044" s="1" t="n">
        <v>-6.97792953091</v>
      </c>
      <c r="E2044" s="3" t="n">
        <v>3</v>
      </c>
      <c r="F2044" s="2" t="n">
        <v>3</v>
      </c>
      <c r="G2044" s="4" t="n">
        <v>3</v>
      </c>
      <c r="H2044" s="13" t="n"/>
      <c r="I2044" s="15" t="n"/>
      <c r="J2044" s="19" t="n">
        <v>3</v>
      </c>
      <c r="K2044" s="2" t="inlineStr">
        <is>
          <t>marker_285_367891.png</t>
        </is>
      </c>
      <c r="L2044" s="11">
        <f>HYPERLINK("3\0\" &amp; K2044, "Ver Imagen")</f>
        <v/>
      </c>
      <c r="M2044" t="inlineStr">
        <is>
          <t>Moda</t>
        </is>
      </c>
    </row>
    <row r="2045">
      <c r="A2045" t="n">
        <v>2044</v>
      </c>
      <c r="B2045" t="inlineStr">
        <is>
          <t>A-497__782</t>
        </is>
      </c>
      <c r="C2045" s="1" t="n">
        <v>37.1897737407</v>
      </c>
      <c r="D2045" s="1" t="n">
        <v>-6.9782003068</v>
      </c>
      <c r="E2045" s="3" t="n">
        <v>3</v>
      </c>
      <c r="F2045" s="2" t="n">
        <v>3</v>
      </c>
      <c r="G2045" s="4" t="n">
        <v>3</v>
      </c>
      <c r="H2045" s="13" t="n"/>
      <c r="I2045" s="15" t="n"/>
      <c r="J2045" s="19" t="n">
        <v>3</v>
      </c>
      <c r="K2045" s="2" t="inlineStr">
        <is>
          <t>marker_229_368142.png</t>
        </is>
      </c>
      <c r="L2045" s="11">
        <f>HYPERLINK("3\0\" &amp; K2045, "Ver Imagen")</f>
        <v/>
      </c>
      <c r="M2045" t="inlineStr">
        <is>
          <t>Moda</t>
        </is>
      </c>
    </row>
    <row r="2046">
      <c r="A2046" t="n">
        <v>2045</v>
      </c>
      <c r="B2046" t="inlineStr">
        <is>
          <t>A-497__780</t>
        </is>
      </c>
      <c r="C2046" s="1" t="n">
        <v>37.1894141205</v>
      </c>
      <c r="D2046" s="1" t="n">
        <v>-6.97830530522</v>
      </c>
      <c r="E2046" s="3" t="n">
        <v>3</v>
      </c>
      <c r="F2046" s="2" t="n">
        <v>3</v>
      </c>
      <c r="G2046" s="4" t="n">
        <v>3</v>
      </c>
      <c r="H2046" s="13" t="n"/>
      <c r="I2046" s="15" t="n"/>
      <c r="J2046" s="19" t="n">
        <v>3</v>
      </c>
      <c r="K2046" s="2" t="inlineStr">
        <is>
          <t>marker_688_368161.png</t>
        </is>
      </c>
      <c r="L2046" s="11">
        <f>HYPERLINK("3\0\" &amp; K2046, "Ver Imagen")</f>
        <v/>
      </c>
      <c r="M2046" t="inlineStr">
        <is>
          <t>Moda</t>
        </is>
      </c>
    </row>
    <row r="2047">
      <c r="A2047" t="n">
        <v>2046</v>
      </c>
      <c r="B2047" t="inlineStr">
        <is>
          <t>A-497__776</t>
        </is>
      </c>
      <c r="C2047" s="1" t="n">
        <v>37.1886501432</v>
      </c>
      <c r="D2047" s="1" t="n">
        <v>-6.97852674202</v>
      </c>
      <c r="E2047" s="3" t="n">
        <v>3</v>
      </c>
      <c r="F2047" s="2" t="n">
        <v>3</v>
      </c>
      <c r="G2047" s="4" t="n">
        <v>3</v>
      </c>
      <c r="H2047" s="13" t="n"/>
      <c r="I2047" s="15" t="n"/>
      <c r="J2047" s="19" t="n">
        <v>3</v>
      </c>
      <c r="K2047" s="2" t="inlineStr">
        <is>
          <t>marker_930_368220.png</t>
        </is>
      </c>
      <c r="L2047" s="11">
        <f>HYPERLINK("3\0\" &amp; K2047, "Ver Imagen")</f>
        <v/>
      </c>
      <c r="M2047" t="inlineStr">
        <is>
          <t>Moda</t>
        </is>
      </c>
    </row>
    <row r="2048">
      <c r="A2048" t="n">
        <v>2047</v>
      </c>
      <c r="B2048" t="inlineStr">
        <is>
          <t>A-497__775</t>
        </is>
      </c>
      <c r="C2048" s="1" t="n">
        <v>37.1884547248</v>
      </c>
      <c r="D2048" s="1" t="n">
        <v>-6.9786052223</v>
      </c>
      <c r="E2048" s="3" t="n">
        <v>3</v>
      </c>
      <c r="F2048" s="2" t="n">
        <v>3</v>
      </c>
      <c r="G2048" s="4" t="n">
        <v>3</v>
      </c>
      <c r="H2048" s="13" t="n"/>
      <c r="I2048" s="15" t="n"/>
      <c r="J2048" s="19" t="n">
        <v>3</v>
      </c>
      <c r="K2048" s="2" t="inlineStr">
        <is>
          <t>marker_973_368232.png</t>
        </is>
      </c>
      <c r="L2048" s="11">
        <f>HYPERLINK("3\0\" &amp; K2048, "Ver Imagen")</f>
        <v/>
      </c>
      <c r="M2048" t="inlineStr">
        <is>
          <t>Moda</t>
        </is>
      </c>
    </row>
    <row r="2049">
      <c r="A2049" t="n">
        <v>2048</v>
      </c>
      <c r="B2049" t="inlineStr">
        <is>
          <t>A-497__771</t>
        </is>
      </c>
      <c r="C2049" s="1" t="n">
        <v>37.1877733671</v>
      </c>
      <c r="D2049" s="1" t="n">
        <v>-6.9790872116</v>
      </c>
      <c r="E2049" s="3" t="n">
        <v>3</v>
      </c>
      <c r="F2049" s="2" t="n">
        <v>3</v>
      </c>
      <c r="G2049" s="4" t="n">
        <v>3</v>
      </c>
      <c r="H2049" s="13" t="n"/>
      <c r="I2049" s="15" t="n"/>
      <c r="J2049" s="19" t="n">
        <v>3</v>
      </c>
      <c r="K2049" s="2" t="inlineStr">
        <is>
          <t>marker_747_368290.png</t>
        </is>
      </c>
      <c r="L2049" s="11">
        <f>HYPERLINK("3\0\" &amp; K2049, "Ver Imagen")</f>
        <v/>
      </c>
      <c r="M2049" t="inlineStr">
        <is>
          <t>Moda</t>
        </is>
      </c>
    </row>
    <row r="2050">
      <c r="A2050" t="n">
        <v>2049</v>
      </c>
      <c r="B2050" t="inlineStr">
        <is>
          <t>A-497_2C__2</t>
        </is>
      </c>
      <c r="C2050" s="1" t="n">
        <v>37.2675150747</v>
      </c>
      <c r="D2050" s="1" t="n">
        <v>-6.95750897502</v>
      </c>
      <c r="E2050" s="3" t="n">
        <v>3</v>
      </c>
      <c r="F2050" s="2" t="n">
        <v>3</v>
      </c>
      <c r="G2050" s="4" t="n">
        <v>3</v>
      </c>
      <c r="H2050" s="13" t="n"/>
      <c r="I2050" s="15" t="n"/>
      <c r="J2050" s="19" t="n">
        <v>3</v>
      </c>
      <c r="K2050" s="2" t="inlineStr">
        <is>
          <t>marker_869_653737.png</t>
        </is>
      </c>
      <c r="L2050" s="11">
        <f>HYPERLINK("3\0\" &amp; K2050, "Ver Imagen")</f>
        <v/>
      </c>
      <c r="M2050" t="inlineStr">
        <is>
          <t>Moda</t>
        </is>
      </c>
    </row>
    <row r="2051">
      <c r="A2051" t="n">
        <v>2050</v>
      </c>
      <c r="B2051" t="inlineStr">
        <is>
          <t>A-497_2C__3</t>
        </is>
      </c>
      <c r="C2051" s="1" t="n">
        <v>37.2674411553</v>
      </c>
      <c r="D2051" s="1" t="n">
        <v>-6.95773083719</v>
      </c>
      <c r="E2051" s="3" t="n">
        <v>3</v>
      </c>
      <c r="F2051" s="2" t="n">
        <v>3</v>
      </c>
      <c r="G2051" s="4" t="n">
        <v>3</v>
      </c>
      <c r="H2051" s="13" t="n"/>
      <c r="I2051" s="15" t="n"/>
      <c r="J2051" s="19" t="n">
        <v>3</v>
      </c>
      <c r="K2051" s="2" t="inlineStr">
        <is>
          <t>marker_310_653748.png</t>
        </is>
      </c>
      <c r="L2051" s="11">
        <f>HYPERLINK("3\0\" &amp; K2051, "Ver Imagen")</f>
        <v/>
      </c>
      <c r="M2051" t="inlineStr">
        <is>
          <t>Moda</t>
        </is>
      </c>
    </row>
    <row r="2052">
      <c r="A2052" t="n">
        <v>2051</v>
      </c>
      <c r="B2052" t="inlineStr">
        <is>
          <t>A-497_2C__23</t>
        </is>
      </c>
      <c r="C2052" s="1" t="n">
        <v>37.2676135257</v>
      </c>
      <c r="D2052" s="1" t="n">
        <v>-6.96278192243</v>
      </c>
      <c r="E2052" s="3" t="n">
        <v>3</v>
      </c>
      <c r="F2052" s="2" t="n">
        <v>3</v>
      </c>
      <c r="G2052" s="4" t="n">
        <v>3</v>
      </c>
      <c r="H2052" s="13" t="n"/>
      <c r="I2052" s="15" t="n"/>
      <c r="J2052" s="19" t="n">
        <v>3</v>
      </c>
      <c r="K2052" s="2" t="inlineStr">
        <is>
          <t>marker_148_654416.png</t>
        </is>
      </c>
      <c r="L2052" s="11">
        <f>HYPERLINK("3\0\" &amp; K2052, "Ver Imagen")</f>
        <v/>
      </c>
      <c r="M2052" t="inlineStr">
        <is>
          <t>Moda</t>
        </is>
      </c>
    </row>
    <row r="2053">
      <c r="A2053" t="n">
        <v>2052</v>
      </c>
      <c r="B2053" t="inlineStr">
        <is>
          <t>A-497_2C__26</t>
        </is>
      </c>
      <c r="C2053" s="1" t="n">
        <v>37.2676371767</v>
      </c>
      <c r="D2053" s="1" t="n">
        <v>-6.9635710691</v>
      </c>
      <c r="E2053" s="3" t="n">
        <v>3</v>
      </c>
      <c r="F2053" s="2" t="n">
        <v>3</v>
      </c>
      <c r="G2053" s="4" t="n">
        <v>3</v>
      </c>
      <c r="H2053" s="13" t="n"/>
      <c r="I2053" s="15" t="n"/>
      <c r="J2053" s="19" t="n">
        <v>3</v>
      </c>
      <c r="K2053" s="2" t="inlineStr">
        <is>
          <t>marker_861_654443.png</t>
        </is>
      </c>
      <c r="L2053" s="11">
        <f>HYPERLINK("3\0\" &amp; K2053, "Ver Imagen")</f>
        <v/>
      </c>
      <c r="M2053" t="inlineStr">
        <is>
          <t>Moda</t>
        </is>
      </c>
    </row>
    <row r="2054">
      <c r="A2054" t="n">
        <v>2053</v>
      </c>
      <c r="B2054" t="inlineStr">
        <is>
          <t>A-497_2C__57</t>
        </is>
      </c>
      <c r="C2054" s="1" t="n">
        <v>37.26821075</v>
      </c>
      <c r="D2054" s="1" t="n">
        <v>-6.9713893163</v>
      </c>
      <c r="E2054" s="3" t="n">
        <v>3</v>
      </c>
      <c r="F2054" s="2" t="n">
        <v>3</v>
      </c>
      <c r="G2054" s="4" t="n">
        <v>3</v>
      </c>
      <c r="H2054" s="13" t="n"/>
      <c r="I2054" s="15" t="n"/>
      <c r="J2054" s="19" t="n">
        <v>3</v>
      </c>
      <c r="K2054" s="2" t="inlineStr">
        <is>
          <t>marker_835_654821.png</t>
        </is>
      </c>
      <c r="L2054" s="11">
        <f>HYPERLINK("3\0\" &amp; K2054, "Ver Imagen")</f>
        <v/>
      </c>
      <c r="M2054" t="inlineStr">
        <is>
          <t>Moda</t>
        </is>
      </c>
    </row>
    <row r="2055">
      <c r="A2055" t="n">
        <v>2054</v>
      </c>
      <c r="B2055" t="inlineStr">
        <is>
          <t>A-497_2C__68</t>
        </is>
      </c>
      <c r="C2055" s="1" t="n">
        <v>37.2687087952</v>
      </c>
      <c r="D2055" s="1" t="n">
        <v>-6.9741246955</v>
      </c>
      <c r="E2055" s="3" t="n">
        <v>3</v>
      </c>
      <c r="F2055" s="2" t="n">
        <v>3</v>
      </c>
      <c r="G2055" s="4" t="n">
        <v>3</v>
      </c>
      <c r="H2055" s="13" t="n"/>
      <c r="I2055" s="15" t="n"/>
      <c r="J2055" s="19" t="n">
        <v>3</v>
      </c>
      <c r="K2055" s="2" t="inlineStr">
        <is>
          <t>marker_980_654946.png</t>
        </is>
      </c>
      <c r="L2055" s="11">
        <f>HYPERLINK("3\0\" &amp; K2055, "Ver Imagen")</f>
        <v/>
      </c>
      <c r="M2055" t="inlineStr">
        <is>
          <t>Moda</t>
        </is>
      </c>
    </row>
    <row r="2056">
      <c r="A2056" t="n">
        <v>2055</v>
      </c>
      <c r="B2056" t="inlineStr">
        <is>
          <t>A-497_2C__70</t>
        </is>
      </c>
      <c r="C2056" s="1" t="n">
        <v>37.2688068586</v>
      </c>
      <c r="D2056" s="1" t="n">
        <v>-6.97457713405</v>
      </c>
      <c r="E2056" s="3" t="n">
        <v>3</v>
      </c>
      <c r="F2056" s="2" t="n">
        <v>3</v>
      </c>
      <c r="G2056" s="4" t="n">
        <v>3</v>
      </c>
      <c r="H2056" s="13" t="n"/>
      <c r="I2056" s="15" t="n"/>
      <c r="J2056" s="19" t="n">
        <v>3</v>
      </c>
      <c r="K2056" s="2" t="inlineStr">
        <is>
          <t>marker_251_655038.png</t>
        </is>
      </c>
      <c r="L2056" s="11">
        <f>HYPERLINK("3\0\" &amp; K2056, "Ver Imagen")</f>
        <v/>
      </c>
      <c r="M2056" t="inlineStr">
        <is>
          <t>Moda</t>
        </is>
      </c>
    </row>
    <row r="2057">
      <c r="A2057" t="n">
        <v>2056</v>
      </c>
      <c r="B2057" t="inlineStr">
        <is>
          <t>A-497_2C__72</t>
        </is>
      </c>
      <c r="C2057" s="1" t="n">
        <v>37.2689175348</v>
      </c>
      <c r="D2057" s="1" t="n">
        <v>-6.97506493596</v>
      </c>
      <c r="E2057" s="3" t="n">
        <v>3</v>
      </c>
      <c r="F2057" s="2" t="n">
        <v>3</v>
      </c>
      <c r="G2057" s="4" t="n">
        <v>3</v>
      </c>
      <c r="H2057" s="13" t="n"/>
      <c r="I2057" s="15" t="n"/>
      <c r="J2057" s="19" t="n">
        <v>3</v>
      </c>
      <c r="K2057" s="2" t="inlineStr">
        <is>
          <t>marker_876_655056.png</t>
        </is>
      </c>
      <c r="L2057" s="11">
        <f>HYPERLINK("3\0\" &amp; K2057, "Ver Imagen")</f>
        <v/>
      </c>
      <c r="M2057" t="inlineStr">
        <is>
          <t>Moda</t>
        </is>
      </c>
    </row>
    <row r="2058">
      <c r="A2058" t="n">
        <v>2057</v>
      </c>
      <c r="B2058" t="inlineStr">
        <is>
          <t>A-497_2C__74</t>
        </is>
      </c>
      <c r="C2058" s="1" t="n">
        <v>37.2690365319</v>
      </c>
      <c r="D2058" s="1" t="n">
        <v>-6.97556614135</v>
      </c>
      <c r="E2058" s="3" t="n">
        <v>3</v>
      </c>
      <c r="F2058" s="2" t="n">
        <v>3</v>
      </c>
      <c r="G2058" s="4" t="n">
        <v>3</v>
      </c>
      <c r="H2058" s="13" t="n"/>
      <c r="I2058" s="15" t="n"/>
      <c r="J2058" s="19" t="n">
        <v>3</v>
      </c>
      <c r="K2058" s="2" t="inlineStr">
        <is>
          <t>marker_530_655073.png</t>
        </is>
      </c>
      <c r="L2058" s="11">
        <f>HYPERLINK("3\0\" &amp; K2058, "Ver Imagen")</f>
        <v/>
      </c>
      <c r="M2058" t="inlineStr">
        <is>
          <t>Moda</t>
        </is>
      </c>
    </row>
    <row r="2059">
      <c r="A2059" t="n">
        <v>2058</v>
      </c>
      <c r="B2059" t="inlineStr">
        <is>
          <t>A-497_2C__82</t>
        </is>
      </c>
      <c r="C2059" s="1" t="n">
        <v>37.2695469619</v>
      </c>
      <c r="D2059" s="1" t="n">
        <v>-6.97745753068</v>
      </c>
      <c r="E2059" s="3" t="n">
        <v>3</v>
      </c>
      <c r="F2059" s="2" t="n">
        <v>3</v>
      </c>
      <c r="G2059" s="4" t="n">
        <v>3</v>
      </c>
      <c r="H2059" s="13" t="n"/>
      <c r="I2059" s="15" t="n"/>
      <c r="J2059" s="19" t="n">
        <v>3</v>
      </c>
      <c r="K2059" s="2" t="inlineStr">
        <is>
          <t>marker_383_655169.png</t>
        </is>
      </c>
      <c r="L2059" s="11">
        <f>HYPERLINK("3\0\" &amp; K2059, "Ver Imagen")</f>
        <v/>
      </c>
      <c r="M2059" t="inlineStr">
        <is>
          <t>Moda</t>
        </is>
      </c>
    </row>
    <row r="2060">
      <c r="A2060" t="n">
        <v>2059</v>
      </c>
      <c r="B2060" t="inlineStr">
        <is>
          <t>A-497_2C__83</t>
        </is>
      </c>
      <c r="C2060" s="1" t="n">
        <v>37.2696147817</v>
      </c>
      <c r="D2060" s="1" t="n">
        <v>-6.97769417252</v>
      </c>
      <c r="E2060" s="3" t="n">
        <v>3</v>
      </c>
      <c r="F2060" s="2" t="n">
        <v>3</v>
      </c>
      <c r="G2060" s="4" t="n">
        <v>3</v>
      </c>
      <c r="H2060" s="13" t="n"/>
      <c r="I2060" s="15" t="n"/>
      <c r="J2060" s="19" t="n">
        <v>3</v>
      </c>
      <c r="K2060" s="2" t="inlineStr">
        <is>
          <t>marker_917_655178.png</t>
        </is>
      </c>
      <c r="L2060" s="11">
        <f>HYPERLINK("3\0\" &amp; K2060, "Ver Imagen")</f>
        <v/>
      </c>
      <c r="M2060" t="inlineStr">
        <is>
          <t>Moda</t>
        </is>
      </c>
    </row>
    <row r="2061">
      <c r="A2061" t="n">
        <v>2060</v>
      </c>
      <c r="B2061" t="inlineStr">
        <is>
          <t>A-497_2C__85</t>
        </is>
      </c>
      <c r="C2061" s="1" t="n">
        <v>37.2697620334</v>
      </c>
      <c r="D2061" s="1" t="n">
        <v>-6.97820844074</v>
      </c>
      <c r="E2061" s="3" t="n">
        <v>3</v>
      </c>
      <c r="F2061" s="2" t="n">
        <v>3</v>
      </c>
      <c r="G2061" s="4" t="n">
        <v>3</v>
      </c>
      <c r="H2061" s="13" t="n"/>
      <c r="I2061" s="15" t="n"/>
      <c r="J2061" s="19" t="n">
        <v>3</v>
      </c>
      <c r="K2061" s="2" t="inlineStr">
        <is>
          <t>marker_104_655212.png</t>
        </is>
      </c>
      <c r="L2061" s="11">
        <f>HYPERLINK("3\0\" &amp; K2061, "Ver Imagen")</f>
        <v/>
      </c>
      <c r="M2061" t="inlineStr">
        <is>
          <t>Moda</t>
        </is>
      </c>
    </row>
    <row r="2062">
      <c r="A2062" t="n">
        <v>2061</v>
      </c>
      <c r="B2062" t="inlineStr">
        <is>
          <t>A-497_2C__86</t>
        </is>
      </c>
      <c r="C2062" s="1" t="n">
        <v>37.2698247928</v>
      </c>
      <c r="D2062" s="1" t="n">
        <v>-6.9784308106</v>
      </c>
      <c r="E2062" s="3" t="n">
        <v>3</v>
      </c>
      <c r="F2062" s="2" t="n">
        <v>3</v>
      </c>
      <c r="G2062" s="4" t="n">
        <v>3</v>
      </c>
      <c r="H2062" s="13" t="n"/>
      <c r="I2062" s="15" t="n"/>
      <c r="J2062" s="19" t="n">
        <v>3</v>
      </c>
      <c r="K2062" s="2" t="inlineStr">
        <is>
          <t>marker_160_655224.png</t>
        </is>
      </c>
      <c r="L2062" s="11">
        <f>HYPERLINK("3\0\" &amp; K2062, "Ver Imagen")</f>
        <v/>
      </c>
      <c r="M2062" t="inlineStr">
        <is>
          <t>Moda</t>
        </is>
      </c>
    </row>
    <row r="2063">
      <c r="A2063" t="n">
        <v>2062</v>
      </c>
      <c r="B2063" t="inlineStr">
        <is>
          <t>A-497_2C__96</t>
        </is>
      </c>
      <c r="C2063" s="1" t="n">
        <v>37.2705144515</v>
      </c>
      <c r="D2063" s="1" t="n">
        <v>-6.98082747034</v>
      </c>
      <c r="E2063" s="3" t="n">
        <v>3</v>
      </c>
      <c r="F2063" s="2" t="n">
        <v>3</v>
      </c>
      <c r="G2063" s="4" t="n">
        <v>3</v>
      </c>
      <c r="H2063" s="13" t="n"/>
      <c r="I2063" s="15" t="n"/>
      <c r="J2063" s="19" t="n">
        <v>3</v>
      </c>
      <c r="K2063" s="2" t="inlineStr">
        <is>
          <t>marker_953_655367.png</t>
        </is>
      </c>
      <c r="L2063" s="11">
        <f>HYPERLINK("3\0\" &amp; K2063, "Ver Imagen")</f>
        <v/>
      </c>
      <c r="M2063" t="inlineStr">
        <is>
          <t>Moda</t>
        </is>
      </c>
    </row>
    <row r="2064">
      <c r="A2064" t="n">
        <v>2063</v>
      </c>
      <c r="B2064" t="inlineStr">
        <is>
          <t>A-497_2C__97</t>
        </is>
      </c>
      <c r="C2064" s="1" t="n">
        <v>37.2705767682</v>
      </c>
      <c r="D2064" s="1" t="n">
        <v>-6.98104567536</v>
      </c>
      <c r="E2064" s="3" t="n">
        <v>3</v>
      </c>
      <c r="F2064" s="2" t="n">
        <v>3</v>
      </c>
      <c r="G2064" s="4" t="n">
        <v>3</v>
      </c>
      <c r="H2064" s="13" t="n"/>
      <c r="I2064" s="15" t="n"/>
      <c r="J2064" s="19" t="n">
        <v>3</v>
      </c>
      <c r="K2064" s="2" t="inlineStr">
        <is>
          <t>marker_294_655376.png</t>
        </is>
      </c>
      <c r="L2064" s="11">
        <f>HYPERLINK("3\0\" &amp; K2064, "Ver Imagen")</f>
        <v/>
      </c>
      <c r="M2064" t="inlineStr">
        <is>
          <t>Moda</t>
        </is>
      </c>
    </row>
    <row r="2065">
      <c r="A2065" t="n">
        <v>2064</v>
      </c>
      <c r="B2065" t="inlineStr">
        <is>
          <t>A-497_2C__100</t>
        </is>
      </c>
      <c r="C2065" s="1" t="n">
        <v>37.2707839879</v>
      </c>
      <c r="D2065" s="1" t="n">
        <v>-6.98177093734</v>
      </c>
      <c r="E2065" s="3" t="n">
        <v>3</v>
      </c>
      <c r="F2065" s="2" t="n">
        <v>3</v>
      </c>
      <c r="G2065" s="4" t="n">
        <v>3</v>
      </c>
      <c r="H2065" s="13" t="n"/>
      <c r="I2065" s="15" t="n"/>
      <c r="J2065" s="19" t="n">
        <v>3</v>
      </c>
      <c r="K2065" s="2" t="inlineStr">
        <is>
          <t>marker_258_655441.png</t>
        </is>
      </c>
      <c r="L2065" s="11">
        <f>HYPERLINK("3\0\" &amp; K2065, "Ver Imagen")</f>
        <v/>
      </c>
      <c r="M2065" t="inlineStr">
        <is>
          <t>Moda</t>
        </is>
      </c>
    </row>
    <row r="2066">
      <c r="A2066" t="n">
        <v>2065</v>
      </c>
      <c r="B2066" t="inlineStr">
        <is>
          <t>A-497_2C__103</t>
        </is>
      </c>
      <c r="C2066" s="1" t="n">
        <v>37.2709907866</v>
      </c>
      <c r="D2066" s="1" t="n">
        <v>-6.98248374004</v>
      </c>
      <c r="E2066" s="3" t="n">
        <v>3</v>
      </c>
      <c r="F2066" s="2" t="n">
        <v>3</v>
      </c>
      <c r="G2066" s="4" t="n">
        <v>3</v>
      </c>
      <c r="H2066" s="13" t="n"/>
      <c r="I2066" s="15" t="n"/>
      <c r="J2066" s="19" t="n">
        <v>3</v>
      </c>
      <c r="K2066" s="2" t="inlineStr">
        <is>
          <t>marker_440_655469.png</t>
        </is>
      </c>
      <c r="L2066" s="11">
        <f>HYPERLINK("3\0\" &amp; K2066, "Ver Imagen")</f>
        <v/>
      </c>
      <c r="M2066" t="inlineStr">
        <is>
          <t>Moda</t>
        </is>
      </c>
    </row>
    <row r="2067">
      <c r="A2067" t="n">
        <v>2066</v>
      </c>
      <c r="B2067" t="inlineStr">
        <is>
          <t>A-497_2C__106</t>
        </is>
      </c>
      <c r="C2067" s="1" t="n">
        <v>37.2711995245</v>
      </c>
      <c r="D2067" s="1" t="n">
        <v>-6.98320594897</v>
      </c>
      <c r="E2067" s="3" t="n">
        <v>3</v>
      </c>
      <c r="F2067" s="2" t="n">
        <v>3</v>
      </c>
      <c r="G2067" s="4" t="n">
        <v>3</v>
      </c>
      <c r="H2067" s="13" t="n"/>
      <c r="I2067" s="15" t="n"/>
      <c r="J2067" s="19" t="n">
        <v>3</v>
      </c>
      <c r="K2067" s="2" t="inlineStr">
        <is>
          <t>marker_945_655497.png</t>
        </is>
      </c>
      <c r="L2067" s="11">
        <f>HYPERLINK("3\0\" &amp; K2067, "Ver Imagen")</f>
        <v/>
      </c>
      <c r="M2067" t="inlineStr">
        <is>
          <t>Moda</t>
        </is>
      </c>
    </row>
    <row r="2068">
      <c r="A2068" t="n">
        <v>2067</v>
      </c>
      <c r="B2068" t="inlineStr">
        <is>
          <t>A-497_2C__121</t>
        </is>
      </c>
      <c r="C2068" s="1" t="n">
        <v>37.2718291605</v>
      </c>
      <c r="D2068" s="1" t="n">
        <v>-6.98689299441</v>
      </c>
      <c r="E2068" s="3" t="n">
        <v>3</v>
      </c>
      <c r="F2068" s="2" t="n">
        <v>3</v>
      </c>
      <c r="G2068" s="4" t="n">
        <v>3</v>
      </c>
      <c r="H2068" s="13" t="n"/>
      <c r="I2068" s="15" t="n"/>
      <c r="J2068" s="19" t="n">
        <v>3</v>
      </c>
      <c r="K2068" s="2" t="inlineStr">
        <is>
          <t>marker_388_655690.png</t>
        </is>
      </c>
      <c r="L2068" s="11">
        <f>HYPERLINK("3\0\" &amp; K2068, "Ver Imagen")</f>
        <v/>
      </c>
      <c r="M2068" t="inlineStr">
        <is>
          <t>Moda</t>
        </is>
      </c>
    </row>
    <row r="2069">
      <c r="A2069" t="n">
        <v>2068</v>
      </c>
      <c r="B2069" t="inlineStr">
        <is>
          <t>A-497_2C__122</t>
        </is>
      </c>
      <c r="C2069" s="1" t="n">
        <v>37.2717985276</v>
      </c>
      <c r="D2069" s="1" t="n">
        <v>-6.9871236614</v>
      </c>
      <c r="E2069" s="3" t="n">
        <v>3</v>
      </c>
      <c r="F2069" s="2" t="n">
        <v>3</v>
      </c>
      <c r="G2069" s="4" t="n">
        <v>3</v>
      </c>
      <c r="H2069" s="13" t="n"/>
      <c r="I2069" s="15" t="n"/>
      <c r="J2069" s="19" t="n">
        <v>3</v>
      </c>
      <c r="K2069" s="2" t="inlineStr">
        <is>
          <t>marker_377_655698.png</t>
        </is>
      </c>
      <c r="L2069" s="11">
        <f>HYPERLINK("3\0\" &amp; K2069, "Ver Imagen")</f>
        <v/>
      </c>
      <c r="M2069" t="inlineStr">
        <is>
          <t>Moda</t>
        </is>
      </c>
    </row>
    <row r="2070">
      <c r="A2070" t="n">
        <v>2069</v>
      </c>
      <c r="B2070" t="inlineStr">
        <is>
          <t>A-497_2C__138</t>
        </is>
      </c>
      <c r="C2070" s="1" t="n">
        <v>37.2695927899</v>
      </c>
      <c r="D2070" s="1" t="n">
        <v>-6.98993070034</v>
      </c>
      <c r="E2070" s="3" t="n">
        <v>3</v>
      </c>
      <c r="F2070" s="2" t="n">
        <v>3</v>
      </c>
      <c r="G2070" s="4" t="n">
        <v>3</v>
      </c>
      <c r="H2070" s="13" t="n"/>
      <c r="I2070" s="15" t="n"/>
      <c r="J2070" s="19" t="n">
        <v>3</v>
      </c>
      <c r="K2070" s="2" t="inlineStr">
        <is>
          <t>marker_787_655856.png</t>
        </is>
      </c>
      <c r="L2070" s="11">
        <f>HYPERLINK("3\0\" &amp; K2070, "Ver Imagen")</f>
        <v/>
      </c>
      <c r="M2070" t="inlineStr">
        <is>
          <t>Moda</t>
        </is>
      </c>
    </row>
    <row r="2071">
      <c r="A2071" t="n">
        <v>2070</v>
      </c>
      <c r="B2071" t="inlineStr">
        <is>
          <t>A-497_2C__140</t>
        </is>
      </c>
      <c r="C2071" s="1" t="n">
        <v>37.2692392531</v>
      </c>
      <c r="D2071" s="1" t="n">
        <v>-6.99018201865</v>
      </c>
      <c r="E2071" s="3" t="n">
        <v>3</v>
      </c>
      <c r="F2071" s="2" t="n">
        <v>3</v>
      </c>
      <c r="G2071" s="4" t="n">
        <v>3</v>
      </c>
      <c r="H2071" s="13" t="n"/>
      <c r="I2071" s="15" t="n"/>
      <c r="J2071" s="19" t="n">
        <v>3</v>
      </c>
      <c r="K2071" s="2" t="inlineStr">
        <is>
          <t>marker_232_655872.png</t>
        </is>
      </c>
      <c r="L2071" s="11">
        <f>HYPERLINK("3\0\" &amp; K2071, "Ver Imagen")</f>
        <v/>
      </c>
      <c r="M2071" t="inlineStr">
        <is>
          <t>Moda</t>
        </is>
      </c>
    </row>
    <row r="2072">
      <c r="A2072" t="n">
        <v>2071</v>
      </c>
      <c r="B2072" t="inlineStr">
        <is>
          <t>A-497_2C__142</t>
        </is>
      </c>
      <c r="C2072" s="1" t="n">
        <v>37.2688838522</v>
      </c>
      <c r="D2072" s="1" t="n">
        <v>-6.99043410478</v>
      </c>
      <c r="E2072" s="3" t="n">
        <v>3</v>
      </c>
      <c r="F2072" s="2" t="n">
        <v>3</v>
      </c>
      <c r="G2072" s="4" t="n">
        <v>3</v>
      </c>
      <c r="H2072" s="13" t="n"/>
      <c r="I2072" s="15" t="n"/>
      <c r="J2072" s="19" t="n">
        <v>3</v>
      </c>
      <c r="K2072" s="2" t="inlineStr">
        <is>
          <t>marker_251_655889.png</t>
        </is>
      </c>
      <c r="L2072" s="11">
        <f>HYPERLINK("3\0\" &amp; K2072, "Ver Imagen")</f>
        <v/>
      </c>
      <c r="M2072" t="inlineStr">
        <is>
          <t>Moda</t>
        </is>
      </c>
    </row>
    <row r="2073">
      <c r="A2073" t="n">
        <v>2072</v>
      </c>
      <c r="B2073" t="inlineStr">
        <is>
          <t>A-497_2C__149</t>
        </is>
      </c>
      <c r="C2073" s="1" t="n">
        <v>37.2676661306</v>
      </c>
      <c r="D2073" s="1" t="n">
        <v>-6.99129874655</v>
      </c>
      <c r="E2073" s="3" t="n">
        <v>3</v>
      </c>
      <c r="F2073" s="2" t="n">
        <v>3</v>
      </c>
      <c r="G2073" s="4" t="n">
        <v>3</v>
      </c>
      <c r="H2073" s="13" t="n"/>
      <c r="I2073" s="15" t="n"/>
      <c r="J2073" s="19" t="n">
        <v>3</v>
      </c>
      <c r="K2073" s="2" t="inlineStr">
        <is>
          <t>marker_158_655968.png</t>
        </is>
      </c>
      <c r="L2073" s="11">
        <f>HYPERLINK("3\0\" &amp; K2073, "Ver Imagen")</f>
        <v/>
      </c>
      <c r="M2073" t="inlineStr">
        <is>
          <t>Moda</t>
        </is>
      </c>
    </row>
    <row r="2074">
      <c r="A2074" t="n">
        <v>2073</v>
      </c>
      <c r="B2074" t="inlineStr">
        <is>
          <t>A-497__747</t>
        </is>
      </c>
      <c r="C2074" s="1" t="n">
        <v>37.187621752</v>
      </c>
      <c r="D2074" s="1" t="n">
        <v>-6.97845144652</v>
      </c>
      <c r="E2074" s="3" t="n">
        <v>3</v>
      </c>
      <c r="F2074" s="2" t="n">
        <v>3</v>
      </c>
      <c r="G2074" s="4" t="n">
        <v>3</v>
      </c>
      <c r="H2074" s="13" t="n"/>
      <c r="I2074" s="15" t="n"/>
      <c r="J2074" s="19" t="n">
        <v>3</v>
      </c>
      <c r="K2074" s="2" t="inlineStr">
        <is>
          <t>marker_865_368735.png</t>
        </is>
      </c>
      <c r="L2074" s="11">
        <f>HYPERLINK("3\0\" &amp; K2074, "Ver Imagen")</f>
        <v/>
      </c>
      <c r="M2074" t="inlineStr">
        <is>
          <t>Moda</t>
        </is>
      </c>
    </row>
    <row r="2075">
      <c r="A2075" t="n">
        <v>2074</v>
      </c>
      <c r="B2075" t="inlineStr">
        <is>
          <t>A-497__746</t>
        </is>
      </c>
      <c r="C2075" s="1" t="n">
        <v>37.1877820043</v>
      </c>
      <c r="D2075" s="1" t="n">
        <v>-6.97829810559</v>
      </c>
      <c r="E2075" s="3" t="n">
        <v>3</v>
      </c>
      <c r="F2075" s="2" t="n">
        <v>3</v>
      </c>
      <c r="G2075" s="4" t="n">
        <v>3</v>
      </c>
      <c r="H2075" s="13" t="n"/>
      <c r="I2075" s="15" t="n"/>
      <c r="J2075" s="19" t="n">
        <v>3</v>
      </c>
      <c r="K2075" s="2" t="inlineStr">
        <is>
          <t>marker_504_368746.png</t>
        </is>
      </c>
      <c r="L2075" s="11">
        <f>HYPERLINK("3\0\" &amp; K2075, "Ver Imagen")</f>
        <v/>
      </c>
      <c r="M2075" t="inlineStr">
        <is>
          <t>Moda</t>
        </is>
      </c>
    </row>
    <row r="2076">
      <c r="A2076" t="n">
        <v>2075</v>
      </c>
      <c r="B2076" t="inlineStr">
        <is>
          <t>A-497_2C__153</t>
        </is>
      </c>
      <c r="C2076" s="1" t="n">
        <v>37.2670045908</v>
      </c>
      <c r="D2076" s="1" t="n">
        <v>-6.99191101847</v>
      </c>
      <c r="E2076" s="3" t="n">
        <v>3</v>
      </c>
      <c r="F2076" s="2" t="n">
        <v>3</v>
      </c>
      <c r="G2076" s="4" t="n">
        <v>3</v>
      </c>
      <c r="H2076" s="13" t="n"/>
      <c r="I2076" s="15" t="n"/>
      <c r="J2076" s="19" t="n">
        <v>3</v>
      </c>
      <c r="K2076" s="2" t="inlineStr">
        <is>
          <t>marker_609_656033.png</t>
        </is>
      </c>
      <c r="L2076" s="11">
        <f>HYPERLINK("3\0\" &amp; K2076, "Ver Imagen")</f>
        <v/>
      </c>
      <c r="M2076" t="inlineStr">
        <is>
          <t>Moda</t>
        </is>
      </c>
    </row>
    <row r="2077">
      <c r="A2077" t="n">
        <v>2076</v>
      </c>
      <c r="B2077" t="inlineStr">
        <is>
          <t>A-497_2C__164</t>
        </is>
      </c>
      <c r="C2077" s="1" t="n">
        <v>37.2658470487</v>
      </c>
      <c r="D2077" s="1" t="n">
        <v>-6.99423890489</v>
      </c>
      <c r="E2077" s="3" t="n">
        <v>3</v>
      </c>
      <c r="F2077" s="2" t="n">
        <v>3</v>
      </c>
      <c r="G2077" s="4" t="n">
        <v>3</v>
      </c>
      <c r="H2077" s="13" t="n"/>
      <c r="I2077" s="15" t="n"/>
      <c r="J2077" s="19" t="n">
        <v>3</v>
      </c>
      <c r="K2077" s="2" t="inlineStr">
        <is>
          <t>marker_379_656138.png</t>
        </is>
      </c>
      <c r="L2077" s="11">
        <f>HYPERLINK("3\0\" &amp; K2077, "Ver Imagen")</f>
        <v/>
      </c>
      <c r="M2077" t="inlineStr">
        <is>
          <t>Moda</t>
        </is>
      </c>
    </row>
    <row r="2078">
      <c r="A2078" t="n">
        <v>2077</v>
      </c>
      <c r="B2078" t="inlineStr">
        <is>
          <t>A-497__725</t>
        </is>
      </c>
      <c r="C2078" s="1" t="n">
        <v>37.1919481231</v>
      </c>
      <c r="D2078" s="1" t="n">
        <v>-6.97753764997</v>
      </c>
      <c r="E2078" s="3" t="n">
        <v>3</v>
      </c>
      <c r="F2078" s="2" t="n">
        <v>3</v>
      </c>
      <c r="G2078" s="4" t="n">
        <v>3</v>
      </c>
      <c r="H2078" s="13" t="n"/>
      <c r="I2078" s="15" t="n"/>
      <c r="J2078" s="19" t="n">
        <v>3</v>
      </c>
      <c r="K2078" s="2" t="inlineStr">
        <is>
          <t>marker_138_369012.png</t>
        </is>
      </c>
      <c r="L2078" s="11">
        <f>HYPERLINK("3\0\" &amp; K2078, "Ver Imagen")</f>
        <v/>
      </c>
      <c r="M2078" t="inlineStr">
        <is>
          <t>Moda</t>
        </is>
      </c>
    </row>
    <row r="2079">
      <c r="A2079" t="n">
        <v>2078</v>
      </c>
      <c r="B2079" t="inlineStr">
        <is>
          <t>A-497__724</t>
        </is>
      </c>
      <c r="C2079" s="1" t="n">
        <v>37.1922232195</v>
      </c>
      <c r="D2079" s="1" t="n">
        <v>-6.97750685788</v>
      </c>
      <c r="E2079" s="3" t="n">
        <v>3</v>
      </c>
      <c r="F2079" s="2" t="n">
        <v>3</v>
      </c>
      <c r="G2079" s="4" t="n">
        <v>3</v>
      </c>
      <c r="H2079" s="13" t="n"/>
      <c r="I2079" s="15" t="n"/>
      <c r="J2079" s="19" t="n">
        <v>3</v>
      </c>
      <c r="K2079" s="2" t="inlineStr">
        <is>
          <t>marker_788_369022.png</t>
        </is>
      </c>
      <c r="L2079" s="11">
        <f>HYPERLINK("3\0\" &amp; K2079, "Ver Imagen")</f>
        <v/>
      </c>
      <c r="M2079" t="inlineStr">
        <is>
          <t>Moda</t>
        </is>
      </c>
    </row>
    <row r="2080">
      <c r="A2080" t="n">
        <v>2079</v>
      </c>
      <c r="B2080" t="inlineStr">
        <is>
          <t>A-497_2C__165</t>
        </is>
      </c>
      <c r="C2080" s="1" t="n">
        <v>37.2657951132</v>
      </c>
      <c r="D2080" s="1" t="n">
        <v>-6.99446539733</v>
      </c>
      <c r="E2080" s="3" t="n">
        <v>3</v>
      </c>
      <c r="F2080" s="2" t="n">
        <v>3</v>
      </c>
      <c r="G2080" s="4" t="n">
        <v>3</v>
      </c>
      <c r="H2080" s="13" t="n"/>
      <c r="I2080" s="15" t="n"/>
      <c r="J2080" s="19" t="n">
        <v>3</v>
      </c>
      <c r="K2080" s="2" t="inlineStr">
        <is>
          <t>marker_269_656147.png</t>
        </is>
      </c>
      <c r="L2080" s="11">
        <f>HYPERLINK("3\0\" &amp; K2080, "Ver Imagen")</f>
        <v/>
      </c>
      <c r="M2080" t="inlineStr">
        <is>
          <t>Moda</t>
        </is>
      </c>
    </row>
    <row r="2081">
      <c r="A2081" t="n">
        <v>2080</v>
      </c>
      <c r="B2081" t="inlineStr">
        <is>
          <t>A-497__718</t>
        </is>
      </c>
      <c r="C2081" s="1" t="n">
        <v>37.1933922047</v>
      </c>
      <c r="D2081" s="1" t="n">
        <v>-6.97749305445</v>
      </c>
      <c r="E2081" s="3" t="n">
        <v>3</v>
      </c>
      <c r="F2081" s="2" t="n">
        <v>3</v>
      </c>
      <c r="G2081" s="4" t="n">
        <v>3</v>
      </c>
      <c r="H2081" s="13" t="n"/>
      <c r="I2081" s="15" t="n"/>
      <c r="J2081" s="19" t="n">
        <v>3</v>
      </c>
      <c r="K2081" s="2" t="inlineStr">
        <is>
          <t>marker_818_369080.png</t>
        </is>
      </c>
      <c r="L2081" s="11">
        <f>HYPERLINK("3\0\" &amp; K2081, "Ver Imagen")</f>
        <v/>
      </c>
      <c r="M2081" t="inlineStr">
        <is>
          <t>Moda</t>
        </is>
      </c>
    </row>
    <row r="2082">
      <c r="A2082" t="n">
        <v>2081</v>
      </c>
      <c r="B2082" t="inlineStr">
        <is>
          <t>A-497__717</t>
        </is>
      </c>
      <c r="C2082" s="1" t="n">
        <v>37.1935591083</v>
      </c>
      <c r="D2082" s="1" t="n">
        <v>-6.97750904114</v>
      </c>
      <c r="E2082" s="3" t="n">
        <v>3</v>
      </c>
      <c r="F2082" s="2" t="n">
        <v>3</v>
      </c>
      <c r="G2082" s="4" t="n">
        <v>3</v>
      </c>
      <c r="H2082" s="13" t="n"/>
      <c r="I2082" s="15" t="n"/>
      <c r="J2082" s="19" t="n">
        <v>3</v>
      </c>
      <c r="K2082" s="2" t="inlineStr">
        <is>
          <t>marker_552_369090.png</t>
        </is>
      </c>
      <c r="L2082" s="11">
        <f>HYPERLINK("3\0\" &amp; K2082, "Ver Imagen")</f>
        <v/>
      </c>
      <c r="M2082" t="inlineStr">
        <is>
          <t>Moda</t>
        </is>
      </c>
    </row>
    <row r="2083">
      <c r="A2083" t="n">
        <v>2082</v>
      </c>
      <c r="B2083" t="inlineStr">
        <is>
          <t>A-497__716</t>
        </is>
      </c>
      <c r="C2083" s="1" t="n">
        <v>37.1937632492</v>
      </c>
      <c r="D2083" s="1" t="n">
        <v>-6.97753684914</v>
      </c>
      <c r="E2083" s="3" t="n">
        <v>3</v>
      </c>
      <c r="F2083" s="2" t="n">
        <v>3</v>
      </c>
      <c r="G2083" s="4" t="n">
        <v>3</v>
      </c>
      <c r="H2083" s="13" t="n"/>
      <c r="I2083" s="15" t="n"/>
      <c r="J2083" s="19" t="n">
        <v>3</v>
      </c>
      <c r="K2083" s="2" t="inlineStr">
        <is>
          <t>marker_840_369100.png</t>
        </is>
      </c>
      <c r="L2083" s="11">
        <f>HYPERLINK("3\0\" &amp; K2083, "Ver Imagen")</f>
        <v/>
      </c>
      <c r="M2083" t="inlineStr">
        <is>
          <t>Moda</t>
        </is>
      </c>
    </row>
    <row r="2084">
      <c r="A2084" t="n">
        <v>2083</v>
      </c>
      <c r="B2084" t="inlineStr">
        <is>
          <t>A-497_2C__176</t>
        </is>
      </c>
      <c r="C2084" s="1" t="n">
        <v>37.2652812344</v>
      </c>
      <c r="D2084" s="1" t="n">
        <v>-6.99718658291</v>
      </c>
      <c r="E2084" s="3" t="n">
        <v>3</v>
      </c>
      <c r="F2084" s="2" t="n">
        <v>3</v>
      </c>
      <c r="G2084" s="4" t="n">
        <v>3</v>
      </c>
      <c r="H2084" s="13" t="n"/>
      <c r="I2084" s="15" t="n"/>
      <c r="J2084" s="19" t="n">
        <v>3</v>
      </c>
      <c r="K2084" s="2" t="inlineStr">
        <is>
          <t>marker_909_656258.png</t>
        </is>
      </c>
      <c r="L2084" s="11">
        <f>HYPERLINK("3\0\" &amp; K2084, "Ver Imagen")</f>
        <v/>
      </c>
      <c r="M2084" t="inlineStr">
        <is>
          <t>Moda</t>
        </is>
      </c>
    </row>
    <row r="2085">
      <c r="A2085" t="n">
        <v>2084</v>
      </c>
      <c r="B2085" t="inlineStr">
        <is>
          <t>A-497_2C__177</t>
        </is>
      </c>
      <c r="C2085" s="1" t="n">
        <v>37.265236129</v>
      </c>
      <c r="D2085" s="1" t="n">
        <v>-6.99742985932</v>
      </c>
      <c r="E2085" s="3" t="n">
        <v>3</v>
      </c>
      <c r="F2085" s="2" t="n">
        <v>3</v>
      </c>
      <c r="G2085" s="4" t="n">
        <v>3</v>
      </c>
      <c r="H2085" s="13" t="n"/>
      <c r="I2085" s="15" t="n"/>
      <c r="J2085" s="19" t="n">
        <v>3</v>
      </c>
      <c r="K2085" s="2" t="inlineStr">
        <is>
          <t>marker_881_656267.png</t>
        </is>
      </c>
      <c r="L2085" s="11">
        <f>HYPERLINK("3\0\" &amp; K2085, "Ver Imagen")</f>
        <v/>
      </c>
      <c r="M2085" t="inlineStr">
        <is>
          <t>Moda</t>
        </is>
      </c>
    </row>
    <row r="2086">
      <c r="A2086" t="n">
        <v>2085</v>
      </c>
      <c r="B2086" t="inlineStr">
        <is>
          <t>A-497_2C__178</t>
        </is>
      </c>
      <c r="C2086" s="1" t="n">
        <v>37.2651948544</v>
      </c>
      <c r="D2086" s="1" t="n">
        <v>-6.99765431101</v>
      </c>
      <c r="E2086" s="3" t="n">
        <v>3</v>
      </c>
      <c r="F2086" s="2" t="n">
        <v>3</v>
      </c>
      <c r="G2086" s="4" t="n">
        <v>3</v>
      </c>
      <c r="H2086" s="13" t="n"/>
      <c r="I2086" s="15" t="n"/>
      <c r="J2086" s="19" t="n">
        <v>3</v>
      </c>
      <c r="K2086" s="2" t="inlineStr">
        <is>
          <t>marker_347_656312.png</t>
        </is>
      </c>
      <c r="L2086" s="11">
        <f>HYPERLINK("3\0\" &amp; K2086, "Ver Imagen")</f>
        <v/>
      </c>
      <c r="M2086" t="inlineStr">
        <is>
          <t>Moda</t>
        </is>
      </c>
    </row>
    <row r="2087">
      <c r="A2087" t="n">
        <v>2086</v>
      </c>
      <c r="B2087" t="inlineStr">
        <is>
          <t>A-497_2C__180</t>
        </is>
      </c>
      <c r="C2087" s="1" t="n">
        <v>37.2651004487</v>
      </c>
      <c r="D2087" s="1" t="n">
        <v>-6.9981916489</v>
      </c>
      <c r="E2087" s="3" t="n">
        <v>3</v>
      </c>
      <c r="F2087" s="2" t="n">
        <v>3</v>
      </c>
      <c r="G2087" s="4" t="n">
        <v>3</v>
      </c>
      <c r="H2087" s="13" t="n"/>
      <c r="I2087" s="15" t="n"/>
      <c r="J2087" s="19" t="n">
        <v>3</v>
      </c>
      <c r="K2087" s="2" t="inlineStr">
        <is>
          <t>marker_742_656329.png</t>
        </is>
      </c>
      <c r="L2087" s="11">
        <f>HYPERLINK("3\0\" &amp; K2087, "Ver Imagen")</f>
        <v/>
      </c>
      <c r="M2087" t="inlineStr">
        <is>
          <t>Moda</t>
        </is>
      </c>
    </row>
    <row r="2088">
      <c r="A2088" t="n">
        <v>2087</v>
      </c>
      <c r="B2088" t="inlineStr">
        <is>
          <t>A-497__713</t>
        </is>
      </c>
      <c r="C2088" s="1" t="n">
        <v>37.1943933433</v>
      </c>
      <c r="D2088" s="1" t="n">
        <v>-6.97768289498</v>
      </c>
      <c r="E2088" s="3" t="n">
        <v>3</v>
      </c>
      <c r="F2088" s="2" t="n">
        <v>3</v>
      </c>
      <c r="G2088" s="4" t="n">
        <v>3</v>
      </c>
      <c r="H2088" s="13" t="n"/>
      <c r="I2088" s="15" t="n"/>
      <c r="J2088" s="19" t="n">
        <v>3</v>
      </c>
      <c r="K2088" s="2" t="inlineStr">
        <is>
          <t>marker_198_369141.png</t>
        </is>
      </c>
      <c r="L2088" s="11">
        <f>HYPERLINK("3\0\" &amp; K2088, "Ver Imagen")</f>
        <v/>
      </c>
      <c r="M2088" t="inlineStr">
        <is>
          <t>Moda</t>
        </is>
      </c>
    </row>
    <row r="2089">
      <c r="A2089" t="n">
        <v>2088</v>
      </c>
      <c r="B2089" t="inlineStr">
        <is>
          <t>A-497_2C__181</t>
        </is>
      </c>
      <c r="C2089" s="1" t="n">
        <v>37.2650652518</v>
      </c>
      <c r="D2089" s="1" t="n">
        <v>-6.99841155546</v>
      </c>
      <c r="E2089" s="3" t="n">
        <v>3</v>
      </c>
      <c r="F2089" s="2" t="n">
        <v>3</v>
      </c>
      <c r="G2089" s="4" t="n">
        <v>3</v>
      </c>
      <c r="H2089" s="13" t="n"/>
      <c r="I2089" s="15" t="n"/>
      <c r="J2089" s="19" t="n">
        <v>3</v>
      </c>
      <c r="K2089" s="2" t="inlineStr">
        <is>
          <t>marker_792_656338.png</t>
        </is>
      </c>
      <c r="L2089" s="11">
        <f>HYPERLINK("3\0\" &amp; K2089, "Ver Imagen")</f>
        <v/>
      </c>
      <c r="M2089" t="inlineStr">
        <is>
          <t>Moda</t>
        </is>
      </c>
    </row>
    <row r="2090">
      <c r="A2090" t="n">
        <v>2089</v>
      </c>
      <c r="B2090" t="inlineStr">
        <is>
          <t>A-497_2C__182</t>
        </is>
      </c>
      <c r="C2090" s="1" t="n">
        <v>37.2650266463</v>
      </c>
      <c r="D2090" s="1" t="n">
        <v>-6.99866937159</v>
      </c>
      <c r="E2090" s="3" t="n">
        <v>3</v>
      </c>
      <c r="F2090" s="2" t="n">
        <v>3</v>
      </c>
      <c r="G2090" s="4" t="n">
        <v>3</v>
      </c>
      <c r="H2090" s="13" t="n"/>
      <c r="I2090" s="15" t="n"/>
      <c r="J2090" s="19" t="n">
        <v>3</v>
      </c>
      <c r="K2090" s="2" t="inlineStr">
        <is>
          <t>marker_392_656346.png</t>
        </is>
      </c>
      <c r="L2090" s="11">
        <f>HYPERLINK("3\0\" &amp; K2090, "Ver Imagen")</f>
        <v/>
      </c>
      <c r="M2090" t="inlineStr">
        <is>
          <t>Moda</t>
        </is>
      </c>
    </row>
    <row r="2091">
      <c r="A2091" t="n">
        <v>2090</v>
      </c>
      <c r="B2091" t="inlineStr">
        <is>
          <t>A-497__711</t>
        </is>
      </c>
      <c r="C2091" s="1" t="n">
        <v>37.1947926969</v>
      </c>
      <c r="D2091" s="1" t="n">
        <v>-6.97781280427</v>
      </c>
      <c r="E2091" s="3" t="n">
        <v>3</v>
      </c>
      <c r="F2091" s="2" t="n">
        <v>3</v>
      </c>
      <c r="G2091" s="4" t="n">
        <v>3</v>
      </c>
      <c r="H2091" s="13" t="n"/>
      <c r="I2091" s="15" t="n"/>
      <c r="J2091" s="19" t="n">
        <v>3</v>
      </c>
      <c r="K2091" s="2" t="inlineStr">
        <is>
          <t>marker_159_369166.png</t>
        </is>
      </c>
      <c r="L2091" s="11">
        <f>HYPERLINK("3\0\" &amp; K2091, "Ver Imagen")</f>
        <v/>
      </c>
      <c r="M2091" t="inlineStr">
        <is>
          <t>Moda</t>
        </is>
      </c>
    </row>
    <row r="2092">
      <c r="A2092" t="n">
        <v>2091</v>
      </c>
      <c r="B2092" t="inlineStr">
        <is>
          <t>A-497_2C__183</t>
        </is>
      </c>
      <c r="C2092" s="1" t="n">
        <v>37.2649918805</v>
      </c>
      <c r="D2092" s="1" t="n">
        <v>-6.99890330126</v>
      </c>
      <c r="E2092" s="3" t="n">
        <v>3</v>
      </c>
      <c r="F2092" s="2" t="n">
        <v>3</v>
      </c>
      <c r="G2092" s="4" t="n">
        <v>3</v>
      </c>
      <c r="H2092" s="13" t="n"/>
      <c r="I2092" s="15" t="n"/>
      <c r="J2092" s="19" t="n">
        <v>3</v>
      </c>
      <c r="K2092" s="2" t="inlineStr">
        <is>
          <t>marker_119_656355.png</t>
        </is>
      </c>
      <c r="L2092" s="11">
        <f>HYPERLINK("3\0\" &amp; K2092, "Ver Imagen")</f>
        <v/>
      </c>
      <c r="M2092" t="inlineStr">
        <is>
          <t>Moda</t>
        </is>
      </c>
    </row>
    <row r="2093">
      <c r="A2093" t="n">
        <v>2092</v>
      </c>
      <c r="B2093" t="inlineStr">
        <is>
          <t>A-497__707</t>
        </is>
      </c>
      <c r="C2093" s="1" t="n">
        <v>37.1955534739</v>
      </c>
      <c r="D2093" s="1" t="n">
        <v>-6.9781516463</v>
      </c>
      <c r="E2093" s="3" t="n">
        <v>3</v>
      </c>
      <c r="F2093" s="2" t="n">
        <v>3</v>
      </c>
      <c r="G2093" s="4" t="n">
        <v>3</v>
      </c>
      <c r="H2093" s="13" t="n"/>
      <c r="I2093" s="15" t="n"/>
      <c r="J2093" s="19" t="n">
        <v>3</v>
      </c>
      <c r="K2093" s="2" t="inlineStr">
        <is>
          <t>marker_862_370307.png</t>
        </is>
      </c>
      <c r="L2093" s="11">
        <f>HYPERLINK("3\0\" &amp; K2093, "Ver Imagen")</f>
        <v/>
      </c>
      <c r="M2093" t="inlineStr">
        <is>
          <t>Moda</t>
        </is>
      </c>
    </row>
    <row r="2094">
      <c r="A2094" t="n">
        <v>2093</v>
      </c>
      <c r="B2094" t="inlineStr">
        <is>
          <t>A-497_2C__188</t>
        </is>
      </c>
      <c r="C2094" s="1" t="n">
        <v>37.2647739648</v>
      </c>
      <c r="D2094" s="1" t="n">
        <v>-7.00018402379</v>
      </c>
      <c r="E2094" s="3" t="n">
        <v>3</v>
      </c>
      <c r="F2094" s="2" t="n">
        <v>3</v>
      </c>
      <c r="G2094" s="4" t="n">
        <v>3</v>
      </c>
      <c r="H2094" s="13" t="n"/>
      <c r="I2094" s="15" t="n"/>
      <c r="J2094" s="19" t="n">
        <v>3</v>
      </c>
      <c r="K2094" s="2" t="inlineStr">
        <is>
          <t>marker_949_656401.png</t>
        </is>
      </c>
      <c r="L2094" s="11">
        <f>HYPERLINK("3\0\" &amp; K2094, "Ver Imagen")</f>
        <v/>
      </c>
      <c r="M2094" t="inlineStr">
        <is>
          <t>Moda</t>
        </is>
      </c>
    </row>
    <row r="2095">
      <c r="A2095" t="n">
        <v>2094</v>
      </c>
      <c r="B2095" t="inlineStr">
        <is>
          <t>A-497_2C__190</t>
        </is>
      </c>
      <c r="C2095" s="1" t="n">
        <v>37.2646874809</v>
      </c>
      <c r="D2095" s="1" t="n">
        <v>-7.00067744524</v>
      </c>
      <c r="E2095" s="3" t="n">
        <v>3</v>
      </c>
      <c r="F2095" s="2" t="n">
        <v>3</v>
      </c>
      <c r="G2095" s="4" t="n">
        <v>3</v>
      </c>
      <c r="H2095" s="13" t="n"/>
      <c r="I2095" s="15" t="n"/>
      <c r="J2095" s="19" t="n">
        <v>3</v>
      </c>
      <c r="K2095" s="2" t="inlineStr">
        <is>
          <t>marker_338_656422.png</t>
        </is>
      </c>
      <c r="L2095" s="11">
        <f>HYPERLINK("3\0\" &amp; K2095, "Ver Imagen")</f>
        <v/>
      </c>
      <c r="M2095" t="inlineStr">
        <is>
          <t>Moda</t>
        </is>
      </c>
    </row>
    <row r="2096">
      <c r="A2096" t="n">
        <v>2095</v>
      </c>
      <c r="B2096" t="inlineStr">
        <is>
          <t>A-497__701</t>
        </is>
      </c>
      <c r="C2096" s="1" t="n">
        <v>37.1966038144</v>
      </c>
      <c r="D2096" s="1" t="n">
        <v>-6.97886663253</v>
      </c>
      <c r="E2096" s="3" t="n">
        <v>3</v>
      </c>
      <c r="F2096" s="2" t="n">
        <v>3</v>
      </c>
      <c r="G2096" s="4" t="n">
        <v>3</v>
      </c>
      <c r="H2096" s="13" t="n"/>
      <c r="I2096" s="15" t="n"/>
      <c r="J2096" s="19" t="n">
        <v>3</v>
      </c>
      <c r="K2096" s="2" t="inlineStr">
        <is>
          <t>marker_444_370368.png</t>
        </is>
      </c>
      <c r="L2096" s="11">
        <f>HYPERLINK("3\0\" &amp; K2096, "Ver Imagen")</f>
        <v/>
      </c>
      <c r="M2096" t="inlineStr">
        <is>
          <t>Moda</t>
        </is>
      </c>
    </row>
    <row r="2097">
      <c r="A2097" t="n">
        <v>2096</v>
      </c>
      <c r="B2097" t="inlineStr">
        <is>
          <t>A-497__700</t>
        </is>
      </c>
      <c r="C2097" s="1" t="n">
        <v>37.1967830993</v>
      </c>
      <c r="D2097" s="1" t="n">
        <v>-6.97902316693</v>
      </c>
      <c r="E2097" s="3" t="n">
        <v>3</v>
      </c>
      <c r="F2097" s="2" t="n">
        <v>3</v>
      </c>
      <c r="G2097" s="4" t="n">
        <v>3</v>
      </c>
      <c r="H2097" s="13" t="n"/>
      <c r="I2097" s="15" t="n"/>
      <c r="J2097" s="19" t="n">
        <v>3</v>
      </c>
      <c r="K2097" s="2" t="inlineStr">
        <is>
          <t>marker_671_370377.png</t>
        </is>
      </c>
      <c r="L2097" s="11">
        <f>HYPERLINK("3\0\" &amp; K2097, "Ver Imagen")</f>
        <v/>
      </c>
      <c r="M2097" t="inlineStr">
        <is>
          <t>Moda</t>
        </is>
      </c>
    </row>
    <row r="2098">
      <c r="A2098" t="n">
        <v>2097</v>
      </c>
      <c r="B2098" t="inlineStr">
        <is>
          <t>A-497_2C__215</t>
        </is>
      </c>
      <c r="C2098" s="1" t="n">
        <v>37.2635846605</v>
      </c>
      <c r="D2098" s="1" t="n">
        <v>-7.00685136431</v>
      </c>
      <c r="E2098" s="3" t="n">
        <v>3</v>
      </c>
      <c r="F2098" s="2" t="n">
        <v>3</v>
      </c>
      <c r="G2098" s="4" t="n">
        <v>3</v>
      </c>
      <c r="H2098" s="13" t="n"/>
      <c r="I2098" s="15" t="n"/>
      <c r="J2098" s="19" t="n">
        <v>3</v>
      </c>
      <c r="K2098" s="2" t="inlineStr">
        <is>
          <t>marker_319_656702.png</t>
        </is>
      </c>
      <c r="L2098" s="11">
        <f>HYPERLINK("3\0\" &amp; K2098, "Ver Imagen")</f>
        <v/>
      </c>
      <c r="M2098" t="inlineStr">
        <is>
          <t>Moda</t>
        </is>
      </c>
    </row>
    <row r="2099">
      <c r="A2099" t="n">
        <v>2098</v>
      </c>
      <c r="B2099" t="inlineStr">
        <is>
          <t>A-497_2C__216</t>
        </is>
      </c>
      <c r="C2099" s="1" t="n">
        <v>37.2635449071</v>
      </c>
      <c r="D2099" s="1" t="n">
        <v>-7.0070555932</v>
      </c>
      <c r="E2099" s="3" t="n">
        <v>3</v>
      </c>
      <c r="F2099" s="2" t="n">
        <v>3</v>
      </c>
      <c r="G2099" s="4" t="n">
        <v>3</v>
      </c>
      <c r="H2099" s="13" t="n"/>
      <c r="I2099" s="15" t="n"/>
      <c r="J2099" s="19" t="n">
        <v>3</v>
      </c>
      <c r="K2099" s="2" t="inlineStr">
        <is>
          <t>marker_658_656711.png</t>
        </is>
      </c>
      <c r="L2099" s="11">
        <f>HYPERLINK("3\0\" &amp; K2099, "Ver Imagen")</f>
        <v/>
      </c>
      <c r="M2099" t="inlineStr">
        <is>
          <t>Moda</t>
        </is>
      </c>
    </row>
    <row r="2100">
      <c r="A2100" t="n">
        <v>2099</v>
      </c>
      <c r="B2100" t="inlineStr">
        <is>
          <t>A-497__688</t>
        </is>
      </c>
      <c r="C2100" s="1" t="n">
        <v>37.198461441</v>
      </c>
      <c r="D2100" s="1" t="n">
        <v>-6.98120353518</v>
      </c>
      <c r="E2100" s="3" t="n">
        <v>3</v>
      </c>
      <c r="F2100" s="2" t="n">
        <v>3</v>
      </c>
      <c r="G2100" s="4" t="n">
        <v>3</v>
      </c>
      <c r="H2100" s="13" t="n"/>
      <c r="I2100" s="15" t="n"/>
      <c r="J2100" s="19" t="n">
        <v>3</v>
      </c>
      <c r="K2100" s="2" t="inlineStr">
        <is>
          <t>marker_125_370494.png</t>
        </is>
      </c>
      <c r="L2100" s="11">
        <f>HYPERLINK("3\0\" &amp; K2100, "Ver Imagen")</f>
        <v/>
      </c>
      <c r="M2100" t="inlineStr">
        <is>
          <t>Moda</t>
        </is>
      </c>
    </row>
    <row r="2101">
      <c r="A2101" t="n">
        <v>2100</v>
      </c>
      <c r="B2101" t="inlineStr">
        <is>
          <t>A-497__686</t>
        </is>
      </c>
      <c r="C2101" s="1" t="n">
        <v>37.1986589315</v>
      </c>
      <c r="D2101" s="1" t="n">
        <v>-6.98159391376</v>
      </c>
      <c r="E2101" s="3" t="n">
        <v>3</v>
      </c>
      <c r="F2101" s="2" t="n">
        <v>3</v>
      </c>
      <c r="G2101" s="4" t="n">
        <v>3</v>
      </c>
      <c r="H2101" s="13" t="n"/>
      <c r="I2101" s="15" t="n"/>
      <c r="J2101" s="19" t="n">
        <v>3</v>
      </c>
      <c r="K2101" s="2" t="inlineStr">
        <is>
          <t>marker_969_370512.png</t>
        </is>
      </c>
      <c r="L2101" s="11">
        <f>HYPERLINK("3\0\" &amp; K2101, "Ver Imagen")</f>
        <v/>
      </c>
      <c r="M2101" t="inlineStr">
        <is>
          <t>Moda</t>
        </is>
      </c>
    </row>
    <row r="2102">
      <c r="A2102" t="n">
        <v>2101</v>
      </c>
      <c r="B2102" t="inlineStr">
        <is>
          <t>A-497_2C__226</t>
        </is>
      </c>
      <c r="C2102" s="1" t="n">
        <v>37.2626867981</v>
      </c>
      <c r="D2102" s="1" t="n">
        <v>-7.00938273948</v>
      </c>
      <c r="E2102" s="3" t="n">
        <v>3</v>
      </c>
      <c r="F2102" s="2" t="n">
        <v>3</v>
      </c>
      <c r="G2102" s="4" t="n">
        <v>3</v>
      </c>
      <c r="H2102" s="13" t="n"/>
      <c r="I2102" s="15" t="n"/>
      <c r="J2102" s="19" t="n">
        <v>3</v>
      </c>
      <c r="K2102" s="2" t="inlineStr">
        <is>
          <t>marker_668_656848.png</t>
        </is>
      </c>
      <c r="L2102" s="11">
        <f>HYPERLINK("3\0\" &amp; K2102, "Ver Imagen")</f>
        <v/>
      </c>
      <c r="M2102" t="inlineStr">
        <is>
          <t>Moda</t>
        </is>
      </c>
    </row>
    <row r="2103">
      <c r="A2103" t="n">
        <v>2102</v>
      </c>
      <c r="B2103" t="inlineStr">
        <is>
          <t>A-497_2C__228</t>
        </is>
      </c>
      <c r="C2103" s="1" t="n">
        <v>37.2624388729</v>
      </c>
      <c r="D2103" s="1" t="n">
        <v>-7.00975177935</v>
      </c>
      <c r="E2103" s="3" t="n">
        <v>3</v>
      </c>
      <c r="F2103" s="2" t="n">
        <v>3</v>
      </c>
      <c r="G2103" s="4" t="n">
        <v>3</v>
      </c>
      <c r="H2103" s="13" t="n"/>
      <c r="I2103" s="15" t="n"/>
      <c r="J2103" s="19" t="n">
        <v>3</v>
      </c>
      <c r="K2103" s="2" t="inlineStr">
        <is>
          <t>marker_619_656865.png</t>
        </is>
      </c>
      <c r="L2103" s="11">
        <f>HYPERLINK("3\0\" &amp; K2103, "Ver Imagen")</f>
        <v/>
      </c>
      <c r="M2103" t="inlineStr">
        <is>
          <t>Moda</t>
        </is>
      </c>
    </row>
    <row r="2104">
      <c r="A2104" t="n">
        <v>2103</v>
      </c>
      <c r="B2104" t="inlineStr">
        <is>
          <t>A-497_2C__229</t>
        </is>
      </c>
      <c r="C2104" s="1" t="n">
        <v>37.2623189653</v>
      </c>
      <c r="D2104" s="1" t="n">
        <v>-7.00990754317</v>
      </c>
      <c r="E2104" s="3" t="n">
        <v>3</v>
      </c>
      <c r="F2104" s="2" t="n">
        <v>3</v>
      </c>
      <c r="G2104" s="4" t="n">
        <v>3</v>
      </c>
      <c r="H2104" s="13" t="n"/>
      <c r="I2104" s="15" t="n"/>
      <c r="J2104" s="19" t="n">
        <v>3</v>
      </c>
      <c r="K2104" s="2" t="inlineStr">
        <is>
          <t>marker_198_656873.png</t>
        </is>
      </c>
      <c r="L2104" s="11">
        <f>HYPERLINK("3\0\" &amp; K2104, "Ver Imagen")</f>
        <v/>
      </c>
      <c r="M2104" t="inlineStr">
        <is>
          <t>Moda</t>
        </is>
      </c>
    </row>
    <row r="2105">
      <c r="A2105" t="n">
        <v>2104</v>
      </c>
      <c r="B2105" t="inlineStr">
        <is>
          <t>A-497_2C__230</t>
        </is>
      </c>
      <c r="C2105" s="1" t="n">
        <v>37.2621676809</v>
      </c>
      <c r="D2105" s="1" t="n">
        <v>-7.01008665817</v>
      </c>
      <c r="E2105" s="3" t="n">
        <v>3</v>
      </c>
      <c r="F2105" s="2" t="n">
        <v>3</v>
      </c>
      <c r="G2105" s="4" t="n">
        <v>3</v>
      </c>
      <c r="H2105" s="13" t="n"/>
      <c r="I2105" s="15" t="n"/>
      <c r="J2105" s="19" t="n">
        <v>3</v>
      </c>
      <c r="K2105" s="2" t="inlineStr">
        <is>
          <t>marker_967_656882.png</t>
        </is>
      </c>
      <c r="L2105" s="11">
        <f>HYPERLINK("3\0\" &amp; K2105, "Ver Imagen")</f>
        <v/>
      </c>
      <c r="M2105" t="inlineStr">
        <is>
          <t>Moda</t>
        </is>
      </c>
    </row>
    <row r="2106">
      <c r="A2106" t="n">
        <v>2105</v>
      </c>
      <c r="B2106" t="inlineStr">
        <is>
          <t>A-497_2C__250</t>
        </is>
      </c>
      <c r="C2106" s="1" t="n">
        <v>37.2586186974</v>
      </c>
      <c r="D2106" s="1" t="n">
        <v>-7.01258665994</v>
      </c>
      <c r="E2106" s="3" t="n">
        <v>3</v>
      </c>
      <c r="F2106" s="2" t="n">
        <v>3</v>
      </c>
      <c r="G2106" s="4" t="n">
        <v>3</v>
      </c>
      <c r="H2106" s="13" t="n"/>
      <c r="I2106" s="15" t="n"/>
      <c r="J2106" s="19" t="n">
        <v>3</v>
      </c>
      <c r="K2106" s="2" t="inlineStr">
        <is>
          <t>marker_381_319401.png</t>
        </is>
      </c>
      <c r="L2106" s="11">
        <f>HYPERLINK("3\0\" &amp; K2106, "Ver Imagen")</f>
        <v/>
      </c>
      <c r="M2106" t="inlineStr">
        <is>
          <t>Moda</t>
        </is>
      </c>
    </row>
    <row r="2107">
      <c r="A2107" t="n">
        <v>2106</v>
      </c>
      <c r="B2107" t="inlineStr">
        <is>
          <t>A-497_2C__254</t>
        </is>
      </c>
      <c r="C2107" s="1" t="n">
        <v>37.2578530221</v>
      </c>
      <c r="D2107" s="1" t="n">
        <v>-7.01307257568</v>
      </c>
      <c r="E2107" s="3" t="n">
        <v>3</v>
      </c>
      <c r="F2107" s="2" t="n">
        <v>3</v>
      </c>
      <c r="G2107" s="4" t="n">
        <v>3</v>
      </c>
      <c r="H2107" s="13" t="n"/>
      <c r="I2107" s="15" t="n"/>
      <c r="J2107" s="19" t="n">
        <v>3</v>
      </c>
      <c r="K2107" s="2" t="inlineStr">
        <is>
          <t>marker_530_319441.png</t>
        </is>
      </c>
      <c r="L2107" s="11">
        <f>HYPERLINK("3\0\" &amp; K2107, "Ver Imagen")</f>
        <v/>
      </c>
      <c r="M2107" t="inlineStr">
        <is>
          <t>Moda</t>
        </is>
      </c>
    </row>
    <row r="2108">
      <c r="A2108" t="n">
        <v>2107</v>
      </c>
      <c r="B2108" t="inlineStr">
        <is>
          <t>A-497_2C__255</t>
        </is>
      </c>
      <c r="C2108" s="1" t="n">
        <v>37.2577039346</v>
      </c>
      <c r="D2108" s="1" t="n">
        <v>-7.01316534777</v>
      </c>
      <c r="E2108" s="3" t="n">
        <v>3</v>
      </c>
      <c r="F2108" s="2" t="n">
        <v>3</v>
      </c>
      <c r="G2108" s="4" t="n">
        <v>3</v>
      </c>
      <c r="H2108" s="13" t="n"/>
      <c r="I2108" s="15" t="n"/>
      <c r="J2108" s="19" t="n">
        <v>3</v>
      </c>
      <c r="K2108" s="2" t="inlineStr">
        <is>
          <t>marker_961_319523.png</t>
        </is>
      </c>
      <c r="L2108" s="11">
        <f>HYPERLINK("3\0\" &amp; K2108, "Ver Imagen")</f>
        <v/>
      </c>
      <c r="M2108" t="inlineStr">
        <is>
          <t>Moda</t>
        </is>
      </c>
    </row>
    <row r="2109">
      <c r="A2109" t="n">
        <v>2108</v>
      </c>
      <c r="B2109" t="inlineStr">
        <is>
          <t>A-497_2C__260</t>
        </is>
      </c>
      <c r="C2109" s="1" t="n">
        <v>37.2567909589</v>
      </c>
      <c r="D2109" s="1" t="n">
        <v>-7.01374641338</v>
      </c>
      <c r="E2109" s="3" t="n">
        <v>3</v>
      </c>
      <c r="F2109" s="2" t="n">
        <v>3</v>
      </c>
      <c r="G2109" s="4" t="n">
        <v>3</v>
      </c>
      <c r="H2109" s="13" t="n"/>
      <c r="I2109" s="15" t="n"/>
      <c r="J2109" s="19" t="n">
        <v>3</v>
      </c>
      <c r="K2109" s="2" t="inlineStr">
        <is>
          <t>marker_797_319590.png</t>
        </is>
      </c>
      <c r="L2109" s="11">
        <f>HYPERLINK("3\0\" &amp; K2109, "Ver Imagen")</f>
        <v/>
      </c>
      <c r="M2109" t="inlineStr">
        <is>
          <t>Moda</t>
        </is>
      </c>
    </row>
    <row r="2110">
      <c r="A2110" t="n">
        <v>2109</v>
      </c>
      <c r="B2110" t="inlineStr">
        <is>
          <t>A-497_2C__261</t>
        </is>
      </c>
      <c r="C2110" s="1" t="n">
        <v>37.2566279478</v>
      </c>
      <c r="D2110" s="1" t="n">
        <v>-7.01385026298</v>
      </c>
      <c r="E2110" s="3" t="n">
        <v>3</v>
      </c>
      <c r="F2110" s="2" t="n">
        <v>3</v>
      </c>
      <c r="G2110" s="4" t="n">
        <v>3</v>
      </c>
      <c r="H2110" s="13" t="n"/>
      <c r="I2110" s="15" t="n"/>
      <c r="J2110" s="19" t="n">
        <v>3</v>
      </c>
      <c r="K2110" s="2" t="inlineStr">
        <is>
          <t>marker_954_319599.png</t>
        </is>
      </c>
      <c r="L2110" s="11">
        <f>HYPERLINK("3\0\" &amp; K2110, "Ver Imagen")</f>
        <v/>
      </c>
      <c r="M2110" t="inlineStr">
        <is>
          <t>Moda</t>
        </is>
      </c>
    </row>
    <row r="2111">
      <c r="A2111" t="n">
        <v>2110</v>
      </c>
      <c r="B2111" t="inlineStr">
        <is>
          <t>A-497__637</t>
        </is>
      </c>
      <c r="C2111" s="1" t="n">
        <v>37.2016319056</v>
      </c>
      <c r="D2111" s="1" t="n">
        <v>-6.99341978684</v>
      </c>
      <c r="E2111" s="3" t="n">
        <v>3</v>
      </c>
      <c r="F2111" s="2" t="n">
        <v>3</v>
      </c>
      <c r="G2111" s="4" t="n">
        <v>3</v>
      </c>
      <c r="H2111" s="13" t="n"/>
      <c r="I2111" s="15" t="n"/>
      <c r="J2111" s="19" t="n">
        <v>3</v>
      </c>
      <c r="K2111" s="2" t="inlineStr">
        <is>
          <t>marker_454_371362.png</t>
        </is>
      </c>
      <c r="L2111" s="11">
        <f>HYPERLINK("3\0\" &amp; K2111, "Ver Imagen")</f>
        <v/>
      </c>
      <c r="M2111" t="inlineStr">
        <is>
          <t>Moda</t>
        </is>
      </c>
    </row>
    <row r="2112">
      <c r="A2112" t="n">
        <v>2111</v>
      </c>
      <c r="B2112" t="inlineStr">
        <is>
          <t>A-497__625</t>
        </is>
      </c>
      <c r="C2112" s="1" t="n">
        <v>37.2021484175</v>
      </c>
      <c r="D2112" s="1" t="n">
        <v>-6.99641509279</v>
      </c>
      <c r="E2112" s="3" t="n">
        <v>3</v>
      </c>
      <c r="F2112" s="2" t="n">
        <v>3</v>
      </c>
      <c r="G2112" s="4" t="n">
        <v>3</v>
      </c>
      <c r="H2112" s="13" t="n"/>
      <c r="I2112" s="15" t="n"/>
      <c r="J2112" s="19" t="n">
        <v>3</v>
      </c>
      <c r="K2112" s="2" t="inlineStr">
        <is>
          <t>marker_115_371475.png</t>
        </is>
      </c>
      <c r="L2112" s="11">
        <f>HYPERLINK("3\0\" &amp; K2112, "Ver Imagen")</f>
        <v/>
      </c>
      <c r="M2112" t="inlineStr">
        <is>
          <t>Moda</t>
        </is>
      </c>
    </row>
    <row r="2113">
      <c r="A2113" t="n">
        <v>2112</v>
      </c>
      <c r="B2113" t="inlineStr">
        <is>
          <t>A-497__624</t>
        </is>
      </c>
      <c r="C2113" s="1" t="n">
        <v>37.2021851349</v>
      </c>
      <c r="D2113" s="1" t="n">
        <v>-6.99664807068</v>
      </c>
      <c r="E2113" s="3" t="n">
        <v>3</v>
      </c>
      <c r="F2113" s="2" t="n">
        <v>3</v>
      </c>
      <c r="G2113" s="4" t="n">
        <v>3</v>
      </c>
      <c r="H2113" s="13" t="n"/>
      <c r="I2113" s="15" t="n"/>
      <c r="J2113" s="19" t="n">
        <v>3</v>
      </c>
      <c r="K2113" s="2" t="inlineStr">
        <is>
          <t>marker_527_371484.png</t>
        </is>
      </c>
      <c r="L2113" s="11">
        <f>HYPERLINK("3\0\" &amp; K2113, "Ver Imagen")</f>
        <v/>
      </c>
      <c r="M2113" t="inlineStr">
        <is>
          <t>Moda</t>
        </is>
      </c>
    </row>
    <row r="2114">
      <c r="A2114" t="n">
        <v>2113</v>
      </c>
      <c r="B2114" t="inlineStr">
        <is>
          <t>A-497__623</t>
        </is>
      </c>
      <c r="C2114" s="1" t="n">
        <v>37.2022186353</v>
      </c>
      <c r="D2114" s="1" t="n">
        <v>-6.99686113261</v>
      </c>
      <c r="E2114" s="3" t="n">
        <v>3</v>
      </c>
      <c r="F2114" s="2" t="n">
        <v>3</v>
      </c>
      <c r="G2114" s="4" t="n">
        <v>3</v>
      </c>
      <c r="H2114" s="13" t="n"/>
      <c r="I2114" s="15" t="n"/>
      <c r="J2114" s="19" t="n">
        <v>3</v>
      </c>
      <c r="K2114" s="2" t="inlineStr">
        <is>
          <t>marker_183_371499.png</t>
        </is>
      </c>
      <c r="L2114" s="11">
        <f>HYPERLINK("3\0\" &amp; K2114, "Ver Imagen")</f>
        <v/>
      </c>
      <c r="M2114" t="inlineStr">
        <is>
          <t>Moda</t>
        </is>
      </c>
    </row>
    <row r="2115">
      <c r="A2115" t="n">
        <v>2114</v>
      </c>
      <c r="B2115" t="inlineStr">
        <is>
          <t>A-497__600</t>
        </is>
      </c>
      <c r="C2115" s="1" t="n">
        <v>37.2029664737</v>
      </c>
      <c r="D2115" s="1" t="n">
        <v>-7.00263083585</v>
      </c>
      <c r="E2115" s="3" t="n">
        <v>3</v>
      </c>
      <c r="F2115" s="2" t="n">
        <v>3</v>
      </c>
      <c r="G2115" s="4" t="n">
        <v>3</v>
      </c>
      <c r="H2115" s="13" t="n"/>
      <c r="I2115" s="15" t="n"/>
      <c r="J2115" s="19" t="n">
        <v>3</v>
      </c>
      <c r="K2115" s="2" t="inlineStr">
        <is>
          <t>marker_398_371712.png</t>
        </is>
      </c>
      <c r="L2115" s="11">
        <f>HYPERLINK("3\0\" &amp; K2115, "Ver Imagen")</f>
        <v/>
      </c>
      <c r="M2115" t="inlineStr">
        <is>
          <t>Moda</t>
        </is>
      </c>
    </row>
    <row r="2116">
      <c r="A2116" t="n">
        <v>2115</v>
      </c>
      <c r="B2116" t="inlineStr">
        <is>
          <t>A-497__598</t>
        </is>
      </c>
      <c r="C2116" s="1" t="n">
        <v>37.2030182486</v>
      </c>
      <c r="D2116" s="1" t="n">
        <v>-7.00312828862</v>
      </c>
      <c r="E2116" s="3" t="n">
        <v>3</v>
      </c>
      <c r="F2116" s="2" t="n">
        <v>3</v>
      </c>
      <c r="G2116" s="4" t="n">
        <v>3</v>
      </c>
      <c r="H2116" s="13" t="n"/>
      <c r="I2116" s="15" t="n"/>
      <c r="J2116" s="19" t="n">
        <v>3</v>
      </c>
      <c r="K2116" s="2" t="inlineStr">
        <is>
          <t>marker_935_371731.png</t>
        </is>
      </c>
      <c r="L2116" s="11">
        <f>HYPERLINK("3\0\" &amp; K2116, "Ver Imagen")</f>
        <v/>
      </c>
      <c r="M2116" t="inlineStr">
        <is>
          <t>Moda</t>
        </is>
      </c>
    </row>
    <row r="2117">
      <c r="A2117" t="n">
        <v>2116</v>
      </c>
      <c r="B2117" t="inlineStr">
        <is>
          <t>A-497_2C__269</t>
        </is>
      </c>
      <c r="C2117" s="1" t="n">
        <v>37.2551511802</v>
      </c>
      <c r="D2117" s="1" t="n">
        <v>-7.01479534918</v>
      </c>
      <c r="E2117" s="3" t="n">
        <v>3</v>
      </c>
      <c r="F2117" s="2" t="n">
        <v>3</v>
      </c>
      <c r="G2117" s="4" t="n">
        <v>3</v>
      </c>
      <c r="H2117" s="13" t="n"/>
      <c r="I2117" s="15" t="n"/>
      <c r="J2117" s="19" t="n">
        <v>3</v>
      </c>
      <c r="K2117" s="2" t="inlineStr">
        <is>
          <t>marker_126_319733.png</t>
        </is>
      </c>
      <c r="L2117" s="11">
        <f>HYPERLINK("3\0\" &amp; K2117, "Ver Imagen")</f>
        <v/>
      </c>
      <c r="M2117" t="inlineStr">
        <is>
          <t>Moda</t>
        </is>
      </c>
    </row>
    <row r="2118">
      <c r="A2118" t="n">
        <v>2117</v>
      </c>
      <c r="B2118" t="inlineStr">
        <is>
          <t>A-497_2C__270</t>
        </is>
      </c>
      <c r="C2118" s="1" t="n">
        <v>37.2549941065</v>
      </c>
      <c r="D2118" s="1" t="n">
        <v>-7.01489660509</v>
      </c>
      <c r="E2118" s="3" t="n">
        <v>3</v>
      </c>
      <c r="F2118" s="2" t="n">
        <v>3</v>
      </c>
      <c r="G2118" s="4" t="n">
        <v>3</v>
      </c>
      <c r="H2118" s="13" t="n"/>
      <c r="I2118" s="15" t="n"/>
      <c r="J2118" s="19" t="n">
        <v>3</v>
      </c>
      <c r="K2118" s="2" t="inlineStr">
        <is>
          <t>marker_647_319744.png</t>
        </is>
      </c>
      <c r="L2118" s="11">
        <f>HYPERLINK("3\0\" &amp; K2118, "Ver Imagen")</f>
        <v/>
      </c>
      <c r="M2118" t="inlineStr">
        <is>
          <t>Moda</t>
        </is>
      </c>
    </row>
    <row r="2119">
      <c r="A2119" t="n">
        <v>2118</v>
      </c>
      <c r="B2119" t="inlineStr">
        <is>
          <t>A-497_2C__277</t>
        </is>
      </c>
      <c r="C2119" s="1" t="n">
        <v>37.2537359688</v>
      </c>
      <c r="D2119" s="1" t="n">
        <v>-7.01570387148</v>
      </c>
      <c r="E2119" s="3" t="n">
        <v>3</v>
      </c>
      <c r="F2119" s="2" t="n">
        <v>3</v>
      </c>
      <c r="G2119" s="4" t="n">
        <v>3</v>
      </c>
      <c r="H2119" s="13" t="n"/>
      <c r="I2119" s="15" t="n"/>
      <c r="J2119" s="19" t="n">
        <v>3</v>
      </c>
      <c r="K2119" s="2" t="inlineStr">
        <is>
          <t>marker_525_319836.png</t>
        </is>
      </c>
      <c r="L2119" s="11">
        <f>HYPERLINK("3\0\" &amp; K2119, "Ver Imagen")</f>
        <v/>
      </c>
      <c r="M2119" t="inlineStr">
        <is>
          <t>Moda</t>
        </is>
      </c>
    </row>
    <row r="2120">
      <c r="A2120" t="n">
        <v>2119</v>
      </c>
      <c r="B2120" t="inlineStr">
        <is>
          <t>A-497_2C__278</t>
        </is>
      </c>
      <c r="C2120" s="1" t="n">
        <v>37.2535720875</v>
      </c>
      <c r="D2120" s="1" t="n">
        <v>-7.01580975956</v>
      </c>
      <c r="E2120" s="3" t="n">
        <v>3</v>
      </c>
      <c r="F2120" s="2" t="n">
        <v>3</v>
      </c>
      <c r="G2120" s="4" t="n">
        <v>3</v>
      </c>
      <c r="H2120" s="13" t="n"/>
      <c r="I2120" s="15" t="n"/>
      <c r="J2120" s="19" t="n">
        <v>3</v>
      </c>
      <c r="K2120" s="2" t="inlineStr">
        <is>
          <t>marker_381_319861.png</t>
        </is>
      </c>
      <c r="L2120" s="11">
        <f>HYPERLINK("3\0\" &amp; K2120, "Ver Imagen")</f>
        <v/>
      </c>
      <c r="M2120" t="inlineStr">
        <is>
          <t>Moda</t>
        </is>
      </c>
    </row>
    <row r="2121">
      <c r="A2121" t="n">
        <v>2120</v>
      </c>
      <c r="B2121" t="inlineStr">
        <is>
          <t>A-497_2C__279</t>
        </is>
      </c>
      <c r="C2121" s="1" t="n">
        <v>37.2533846294</v>
      </c>
      <c r="D2121" s="1" t="n">
        <v>-7.0159301549</v>
      </c>
      <c r="E2121" s="3" t="n">
        <v>3</v>
      </c>
      <c r="F2121" s="2" t="n">
        <v>3</v>
      </c>
      <c r="G2121" s="4" t="n">
        <v>3</v>
      </c>
      <c r="H2121" s="13" t="n"/>
      <c r="I2121" s="15" t="n"/>
      <c r="J2121" s="19" t="n">
        <v>3</v>
      </c>
      <c r="K2121" s="2" t="inlineStr">
        <is>
          <t>marker_417_319872.png</t>
        </is>
      </c>
      <c r="L2121" s="11">
        <f>HYPERLINK("3\0\" &amp; K2121, "Ver Imagen")</f>
        <v/>
      </c>
      <c r="M2121" t="inlineStr">
        <is>
          <t>Moda</t>
        </is>
      </c>
    </row>
    <row r="2122">
      <c r="A2122" t="n">
        <v>2121</v>
      </c>
      <c r="B2122" t="inlineStr">
        <is>
          <t>A-497_2C__280</t>
        </is>
      </c>
      <c r="C2122" s="1" t="n">
        <v>37.2531830331</v>
      </c>
      <c r="D2122" s="1" t="n">
        <v>-7.0160589597</v>
      </c>
      <c r="E2122" s="3" t="n">
        <v>3</v>
      </c>
      <c r="F2122" s="2" t="n">
        <v>3</v>
      </c>
      <c r="G2122" s="4" t="n">
        <v>3</v>
      </c>
      <c r="H2122" s="13" t="n"/>
      <c r="I2122" s="15" t="n"/>
      <c r="J2122" s="19" t="n">
        <v>3</v>
      </c>
      <c r="K2122" s="2" t="inlineStr">
        <is>
          <t>marker_878_319891.png</t>
        </is>
      </c>
      <c r="L2122" s="11">
        <f>HYPERLINK("3\0\" &amp; K2122, "Ver Imagen")</f>
        <v/>
      </c>
      <c r="M2122" t="inlineStr">
        <is>
          <t>Moda</t>
        </is>
      </c>
    </row>
    <row r="2123">
      <c r="A2123" t="n">
        <v>2122</v>
      </c>
      <c r="B2123" t="inlineStr">
        <is>
          <t>A-497_2C__281</t>
        </is>
      </c>
      <c r="C2123" s="1" t="n">
        <v>37.2530235093</v>
      </c>
      <c r="D2123" s="1" t="n">
        <v>-7.01616075705</v>
      </c>
      <c r="E2123" s="3" t="n">
        <v>3</v>
      </c>
      <c r="F2123" s="2" t="n">
        <v>3</v>
      </c>
      <c r="G2123" s="4" t="n">
        <v>3</v>
      </c>
      <c r="H2123" s="13" t="n"/>
      <c r="I2123" s="15" t="n"/>
      <c r="J2123" s="19" t="n">
        <v>3</v>
      </c>
      <c r="K2123" s="2" t="inlineStr">
        <is>
          <t>marker_449_319900.png</t>
        </is>
      </c>
      <c r="L2123" s="11">
        <f>HYPERLINK("3\0\" &amp; K2123, "Ver Imagen")</f>
        <v/>
      </c>
      <c r="M2123" t="inlineStr">
        <is>
          <t>Moda</t>
        </is>
      </c>
    </row>
    <row r="2124">
      <c r="A2124" t="n">
        <v>2123</v>
      </c>
      <c r="B2124" t="inlineStr">
        <is>
          <t>A-497_2C__285</t>
        </is>
      </c>
      <c r="C2124" s="1" t="n">
        <v>37.252284152</v>
      </c>
      <c r="D2124" s="1" t="n">
        <v>-7.01663409133</v>
      </c>
      <c r="E2124" s="3" t="n">
        <v>3</v>
      </c>
      <c r="F2124" s="2" t="n">
        <v>3</v>
      </c>
      <c r="G2124" s="4" t="n">
        <v>3</v>
      </c>
      <c r="H2124" s="13" t="n"/>
      <c r="I2124" s="15" t="n"/>
      <c r="J2124" s="19" t="n">
        <v>3</v>
      </c>
      <c r="K2124" s="2" t="inlineStr">
        <is>
          <t>marker_840_319957.png</t>
        </is>
      </c>
      <c r="L2124" s="11">
        <f>HYPERLINK("3\0\" &amp; K2124, "Ver Imagen")</f>
        <v/>
      </c>
      <c r="M2124" t="inlineStr">
        <is>
          <t>Moda</t>
        </is>
      </c>
    </row>
    <row r="2125">
      <c r="A2125" t="n">
        <v>2124</v>
      </c>
      <c r="B2125" t="inlineStr">
        <is>
          <t>A-497_2C__287</t>
        </is>
      </c>
      <c r="C2125" s="1" t="n">
        <v>37.2519190133</v>
      </c>
      <c r="D2125" s="1" t="n">
        <v>-7.01686644028</v>
      </c>
      <c r="E2125" s="3" t="n">
        <v>3</v>
      </c>
      <c r="F2125" s="2" t="n">
        <v>3</v>
      </c>
      <c r="G2125" s="4" t="n">
        <v>3</v>
      </c>
      <c r="H2125" s="13" t="n"/>
      <c r="I2125" s="15" t="n"/>
      <c r="J2125" s="19" t="n">
        <v>3</v>
      </c>
      <c r="K2125" s="2" t="inlineStr">
        <is>
          <t>marker_454_320040.png</t>
        </is>
      </c>
      <c r="L2125" s="11">
        <f>HYPERLINK("3\0\" &amp; K2125, "Ver Imagen")</f>
        <v/>
      </c>
      <c r="M2125" t="inlineStr">
        <is>
          <t>Moda</t>
        </is>
      </c>
    </row>
    <row r="2126">
      <c r="A2126" t="n">
        <v>2125</v>
      </c>
      <c r="B2126" t="inlineStr">
        <is>
          <t>A-497_2C__288</t>
        </is>
      </c>
      <c r="C2126" s="1" t="n">
        <v>37.2517556662</v>
      </c>
      <c r="D2126" s="1" t="n">
        <v>-7.01697146084</v>
      </c>
      <c r="E2126" s="3" t="n">
        <v>3</v>
      </c>
      <c r="F2126" s="2" t="n">
        <v>3</v>
      </c>
      <c r="G2126" s="4" t="n">
        <v>3</v>
      </c>
      <c r="H2126" s="13" t="n"/>
      <c r="I2126" s="15" t="n"/>
      <c r="J2126" s="19" t="n">
        <v>3</v>
      </c>
      <c r="K2126" s="2" t="inlineStr">
        <is>
          <t>marker_466_320050.png</t>
        </is>
      </c>
      <c r="L2126" s="11">
        <f>HYPERLINK("3\0\" &amp; K2126, "Ver Imagen")</f>
        <v/>
      </c>
      <c r="M2126" t="inlineStr">
        <is>
          <t>Moda</t>
        </is>
      </c>
    </row>
    <row r="2127">
      <c r="A2127" t="n">
        <v>2126</v>
      </c>
      <c r="B2127" t="inlineStr">
        <is>
          <t>A-497__573</t>
        </is>
      </c>
      <c r="C2127" s="1" t="n">
        <v>37.2038573717</v>
      </c>
      <c r="D2127" s="1" t="n">
        <v>-7.00936353346</v>
      </c>
      <c r="E2127" s="3" t="n">
        <v>3</v>
      </c>
      <c r="F2127" s="2" t="n">
        <v>3</v>
      </c>
      <c r="G2127" s="4" t="n">
        <v>3</v>
      </c>
      <c r="H2127" s="13" t="n"/>
      <c r="I2127" s="15" t="n"/>
      <c r="J2127" s="19" t="n">
        <v>3</v>
      </c>
      <c r="K2127" s="2" t="inlineStr">
        <is>
          <t>marker_502_371992.png</t>
        </is>
      </c>
      <c r="L2127" s="11">
        <f>HYPERLINK("3\0\" &amp; K2127, "Ver Imagen")</f>
        <v/>
      </c>
      <c r="M2127" t="inlineStr">
        <is>
          <t>Moda</t>
        </is>
      </c>
    </row>
    <row r="2128">
      <c r="A2128" t="n">
        <v>2127</v>
      </c>
      <c r="B2128" t="inlineStr">
        <is>
          <t>A-497__567</t>
        </is>
      </c>
      <c r="C2128" s="1" t="n">
        <v>37.2041085747</v>
      </c>
      <c r="D2128" s="1" t="n">
        <v>-7.01088900559</v>
      </c>
      <c r="E2128" s="3" t="n">
        <v>3</v>
      </c>
      <c r="F2128" s="2" t="n">
        <v>3</v>
      </c>
      <c r="G2128" s="4" t="n">
        <v>3</v>
      </c>
      <c r="H2128" s="13" t="n"/>
      <c r="I2128" s="15" t="n"/>
      <c r="J2128" s="19" t="n">
        <v>3</v>
      </c>
      <c r="K2128" s="2" t="inlineStr">
        <is>
          <t>marker_649_372070.png</t>
        </is>
      </c>
      <c r="L2128" s="11">
        <f>HYPERLINK("3\0\" &amp; K2128, "Ver Imagen")</f>
        <v/>
      </c>
      <c r="M2128" t="inlineStr">
        <is>
          <t>Moda</t>
        </is>
      </c>
    </row>
    <row r="2129">
      <c r="A2129" t="n">
        <v>2128</v>
      </c>
      <c r="B2129" t="inlineStr">
        <is>
          <t>A-497__560</t>
        </is>
      </c>
      <c r="C2129" s="1" t="n">
        <v>37.2044107514</v>
      </c>
      <c r="D2129" s="1" t="n">
        <v>-7.01261416481</v>
      </c>
      <c r="E2129" s="3" t="n">
        <v>3</v>
      </c>
      <c r="F2129" s="2" t="n">
        <v>3</v>
      </c>
      <c r="G2129" s="4" t="n">
        <v>3</v>
      </c>
      <c r="H2129" s="13" t="n"/>
      <c r="I2129" s="15" t="n"/>
      <c r="J2129" s="19" t="n">
        <v>3</v>
      </c>
      <c r="K2129" s="2" t="inlineStr">
        <is>
          <t>marker_642_372144.png</t>
        </is>
      </c>
      <c r="L2129" s="11">
        <f>HYPERLINK("3\0\" &amp; K2129, "Ver Imagen")</f>
        <v/>
      </c>
      <c r="M2129" t="inlineStr">
        <is>
          <t>Moda</t>
        </is>
      </c>
    </row>
    <row r="2130">
      <c r="A2130" t="n">
        <v>2129</v>
      </c>
      <c r="B2130" t="inlineStr">
        <is>
          <t>A-497_2C__315</t>
        </is>
      </c>
      <c r="C2130" s="1" t="n">
        <v>37.2465247613</v>
      </c>
      <c r="D2130" s="1" t="n">
        <v>-7.01843274459</v>
      </c>
      <c r="E2130" s="3" t="n">
        <v>3</v>
      </c>
      <c r="F2130" s="2" t="n">
        <v>3</v>
      </c>
      <c r="G2130" s="4" t="n">
        <v>3</v>
      </c>
      <c r="H2130" s="13" t="n"/>
      <c r="I2130" s="15" t="n"/>
      <c r="J2130" s="19" t="n">
        <v>3</v>
      </c>
      <c r="K2130" s="2" t="inlineStr">
        <is>
          <t>marker_676_361879.png</t>
        </is>
      </c>
      <c r="L2130" s="11">
        <f>HYPERLINK("3\0\" &amp; K2130, "Ver Imagen")</f>
        <v/>
      </c>
      <c r="M2130" t="inlineStr">
        <is>
          <t>Moda</t>
        </is>
      </c>
    </row>
    <row r="2131">
      <c r="A2131" t="n">
        <v>2130</v>
      </c>
      <c r="B2131" t="inlineStr">
        <is>
          <t>A-497_2C__318</t>
        </is>
      </c>
      <c r="C2131" s="1" t="n">
        <v>37.2459033575</v>
      </c>
      <c r="D2131" s="1" t="n">
        <v>-7.01845487784</v>
      </c>
      <c r="E2131" s="3" t="n">
        <v>3</v>
      </c>
      <c r="F2131" s="2" t="n">
        <v>3</v>
      </c>
      <c r="G2131" s="4" t="n">
        <v>3</v>
      </c>
      <c r="H2131" s="13" t="n"/>
      <c r="I2131" s="15" t="n"/>
      <c r="J2131" s="19" t="n">
        <v>3</v>
      </c>
      <c r="K2131" s="2" t="inlineStr">
        <is>
          <t>marker_566_361910.png</t>
        </is>
      </c>
      <c r="L2131" s="11">
        <f>HYPERLINK("3\0\" &amp; K2131, "Ver Imagen")</f>
        <v/>
      </c>
      <c r="M2131" t="inlineStr">
        <is>
          <t>Moda</t>
        </is>
      </c>
    </row>
    <row r="2132">
      <c r="A2132" t="n">
        <v>2131</v>
      </c>
      <c r="B2132" t="inlineStr">
        <is>
          <t>A-497_2C__320</t>
        </is>
      </c>
      <c r="C2132" s="1" t="n">
        <v>37.2455029269</v>
      </c>
      <c r="D2132" s="1" t="n">
        <v>-7.01846818935</v>
      </c>
      <c r="E2132" s="3" t="n">
        <v>3</v>
      </c>
      <c r="F2132" s="2" t="n">
        <v>3</v>
      </c>
      <c r="G2132" s="4" t="n">
        <v>3</v>
      </c>
      <c r="H2132" s="13" t="n"/>
      <c r="I2132" s="15" t="n"/>
      <c r="J2132" s="19" t="n">
        <v>3</v>
      </c>
      <c r="K2132" s="2" t="inlineStr">
        <is>
          <t>marker_245_361930.png</t>
        </is>
      </c>
      <c r="L2132" s="11">
        <f>HYPERLINK("3\0\" &amp; K2132, "Ver Imagen")</f>
        <v/>
      </c>
      <c r="M2132" t="inlineStr">
        <is>
          <t>Moda</t>
        </is>
      </c>
    </row>
    <row r="2133">
      <c r="A2133" t="n">
        <v>2132</v>
      </c>
      <c r="B2133" t="inlineStr">
        <is>
          <t>A-497_2C__323</t>
        </is>
      </c>
      <c r="C2133" s="1" t="n">
        <v>37.2448653635</v>
      </c>
      <c r="D2133" s="1" t="n">
        <v>-7.01848939551</v>
      </c>
      <c r="E2133" s="3" t="n">
        <v>3</v>
      </c>
      <c r="F2133" s="2" t="n">
        <v>3</v>
      </c>
      <c r="G2133" s="4" t="n">
        <v>3</v>
      </c>
      <c r="H2133" s="13" t="n"/>
      <c r="I2133" s="15" t="n"/>
      <c r="J2133" s="19" t="n">
        <v>3</v>
      </c>
      <c r="K2133" s="2" t="inlineStr">
        <is>
          <t>marker_525_361957.png</t>
        </is>
      </c>
      <c r="L2133" s="11">
        <f>HYPERLINK("3\0\" &amp; K2133, "Ver Imagen")</f>
        <v/>
      </c>
      <c r="M2133" t="inlineStr">
        <is>
          <t>Moda</t>
        </is>
      </c>
    </row>
    <row r="2134">
      <c r="A2134" t="n">
        <v>2133</v>
      </c>
      <c r="B2134" t="inlineStr">
        <is>
          <t>A-497_2C__328</t>
        </is>
      </c>
      <c r="C2134" s="1" t="n">
        <v>37.243877327</v>
      </c>
      <c r="D2134" s="1" t="n">
        <v>-7.0185307432</v>
      </c>
      <c r="E2134" s="3" t="n">
        <v>3</v>
      </c>
      <c r="F2134" s="2" t="n">
        <v>3</v>
      </c>
      <c r="G2134" s="4" t="n">
        <v>3</v>
      </c>
      <c r="H2134" s="13" t="n"/>
      <c r="I2134" s="15" t="n"/>
      <c r="J2134" s="19" t="n">
        <v>3</v>
      </c>
      <c r="K2134" s="2" t="inlineStr">
        <is>
          <t>marker_262_361999.png</t>
        </is>
      </c>
      <c r="L2134" s="11">
        <f>HYPERLINK("3\0\" &amp; K2134, "Ver Imagen")</f>
        <v/>
      </c>
      <c r="M2134" t="inlineStr">
        <is>
          <t>Moda</t>
        </is>
      </c>
    </row>
    <row r="2135">
      <c r="A2135" t="n">
        <v>2134</v>
      </c>
      <c r="B2135" t="inlineStr">
        <is>
          <t>A-497_2C__334</t>
        </is>
      </c>
      <c r="C2135" s="1" t="n">
        <v>37.2426185895</v>
      </c>
      <c r="D2135" s="1" t="n">
        <v>-7.01857767976</v>
      </c>
      <c r="E2135" s="3" t="n">
        <v>3</v>
      </c>
      <c r="F2135" s="2" t="n">
        <v>3</v>
      </c>
      <c r="G2135" s="4" t="n">
        <v>3</v>
      </c>
      <c r="H2135" s="13" t="n"/>
      <c r="I2135" s="15" t="n"/>
      <c r="J2135" s="19" t="n">
        <v>3</v>
      </c>
      <c r="K2135" s="2" t="inlineStr">
        <is>
          <t>marker_319_362055.png</t>
        </is>
      </c>
      <c r="L2135" s="11">
        <f>HYPERLINK("3\0\" &amp; K2135, "Ver Imagen")</f>
        <v/>
      </c>
      <c r="M2135" t="inlineStr">
        <is>
          <t>Moda</t>
        </is>
      </c>
    </row>
    <row r="2136">
      <c r="A2136" t="n">
        <v>2135</v>
      </c>
      <c r="B2136" t="inlineStr">
        <is>
          <t>A-497_2C__339</t>
        </is>
      </c>
      <c r="C2136" s="1" t="n">
        <v>37.2416203115</v>
      </c>
      <c r="D2136" s="1" t="n">
        <v>-7.01861064506</v>
      </c>
      <c r="E2136" s="3" t="n">
        <v>3</v>
      </c>
      <c r="F2136" s="2" t="n">
        <v>3</v>
      </c>
      <c r="G2136" s="4" t="n">
        <v>3</v>
      </c>
      <c r="H2136" s="13" t="n"/>
      <c r="I2136" s="15" t="n"/>
      <c r="J2136" s="19" t="n">
        <v>3</v>
      </c>
      <c r="K2136" s="2" t="inlineStr">
        <is>
          <t>marker_713_362118.png</t>
        </is>
      </c>
      <c r="L2136" s="11">
        <f>HYPERLINK("3\0\" &amp; K2136, "Ver Imagen")</f>
        <v/>
      </c>
      <c r="M2136" t="inlineStr">
        <is>
          <t>Moda</t>
        </is>
      </c>
    </row>
    <row r="2137">
      <c r="A2137" t="n">
        <v>2136</v>
      </c>
      <c r="B2137" t="inlineStr">
        <is>
          <t>A-497_2C__341</t>
        </is>
      </c>
      <c r="C2137" s="1" t="n">
        <v>37.2412254145</v>
      </c>
      <c r="D2137" s="1" t="n">
        <v>-7.01862819229</v>
      </c>
      <c r="E2137" s="3" t="n">
        <v>3</v>
      </c>
      <c r="F2137" s="2" t="n">
        <v>3</v>
      </c>
      <c r="G2137" s="4" t="n">
        <v>3</v>
      </c>
      <c r="H2137" s="13" t="n"/>
      <c r="I2137" s="15" t="n"/>
      <c r="J2137" s="19" t="n">
        <v>3</v>
      </c>
      <c r="K2137" s="2" t="inlineStr">
        <is>
          <t>marker_461_362137.png</t>
        </is>
      </c>
      <c r="L2137" s="11">
        <f>HYPERLINK("3\0\" &amp; K2137, "Ver Imagen")</f>
        <v/>
      </c>
      <c r="M2137" t="inlineStr">
        <is>
          <t>Moda</t>
        </is>
      </c>
    </row>
    <row r="2138">
      <c r="A2138" t="n">
        <v>2137</v>
      </c>
      <c r="B2138" t="inlineStr">
        <is>
          <t>A-497_2C__342</t>
        </is>
      </c>
      <c r="C2138" s="1" t="n">
        <v>37.2410268112</v>
      </c>
      <c r="D2138" s="1" t="n">
        <v>-7.01863650903</v>
      </c>
      <c r="E2138" s="3" t="n">
        <v>3</v>
      </c>
      <c r="F2138" s="2" t="n">
        <v>3</v>
      </c>
      <c r="G2138" s="4" t="n">
        <v>3</v>
      </c>
      <c r="H2138" s="13" t="n"/>
      <c r="I2138" s="15" t="n"/>
      <c r="J2138" s="19" t="n">
        <v>3</v>
      </c>
      <c r="K2138" s="2" t="inlineStr">
        <is>
          <t>marker_753_362147.png</t>
        </is>
      </c>
      <c r="L2138" s="11">
        <f>HYPERLINK("3\0\" &amp; K2138, "Ver Imagen")</f>
        <v/>
      </c>
      <c r="M2138" t="inlineStr">
        <is>
          <t>Moda</t>
        </is>
      </c>
    </row>
    <row r="2139">
      <c r="A2139" t="n">
        <v>2138</v>
      </c>
      <c r="B2139" t="inlineStr">
        <is>
          <t>A-497_2C__346</t>
        </is>
      </c>
      <c r="C2139" s="1" t="n">
        <v>37.2402348585</v>
      </c>
      <c r="D2139" s="1" t="n">
        <v>-7.01866733323</v>
      </c>
      <c r="E2139" s="3" t="n">
        <v>3</v>
      </c>
      <c r="F2139" s="2" t="n">
        <v>3</v>
      </c>
      <c r="G2139" s="4" t="n">
        <v>3</v>
      </c>
      <c r="H2139" s="13" t="n"/>
      <c r="I2139" s="15" t="n"/>
      <c r="J2139" s="19" t="n">
        <v>3</v>
      </c>
      <c r="K2139" s="2" t="inlineStr">
        <is>
          <t>marker_182_362184.png</t>
        </is>
      </c>
      <c r="L2139" s="11">
        <f>HYPERLINK("3\0\" &amp; K2139, "Ver Imagen")</f>
        <v/>
      </c>
      <c r="M2139" t="inlineStr">
        <is>
          <t>Moda</t>
        </is>
      </c>
    </row>
    <row r="2140">
      <c r="A2140" t="n">
        <v>2139</v>
      </c>
      <c r="B2140" t="inlineStr">
        <is>
          <t>A-497__531</t>
        </is>
      </c>
      <c r="C2140" s="1" t="n">
        <v>37.2061524427</v>
      </c>
      <c r="D2140" s="1" t="n">
        <v>-7.01961515686</v>
      </c>
      <c r="E2140" s="3" t="n">
        <v>3</v>
      </c>
      <c r="F2140" s="2" t="n">
        <v>3</v>
      </c>
      <c r="G2140" s="4" t="n">
        <v>3</v>
      </c>
      <c r="H2140" s="13" t="n"/>
      <c r="I2140" s="15" t="n"/>
      <c r="J2140" s="19" t="n">
        <v>3</v>
      </c>
      <c r="K2140" s="2" t="inlineStr">
        <is>
          <t>marker_895_372493.png</t>
        </is>
      </c>
      <c r="L2140" s="11">
        <f>HYPERLINK("3\0\" &amp; K2140, "Ver Imagen")</f>
        <v/>
      </c>
      <c r="M2140" t="inlineStr">
        <is>
          <t>Moda</t>
        </is>
      </c>
    </row>
    <row r="2141">
      <c r="A2141" t="n">
        <v>2140</v>
      </c>
      <c r="B2141" t="inlineStr">
        <is>
          <t>A-497_2C__351</t>
        </is>
      </c>
      <c r="C2141" s="1" t="n">
        <v>37.2391960543</v>
      </c>
      <c r="D2141" s="1" t="n">
        <v>-7.01871036556</v>
      </c>
      <c r="E2141" s="3" t="n">
        <v>3</v>
      </c>
      <c r="F2141" s="2" t="n">
        <v>3</v>
      </c>
      <c r="G2141" s="4" t="n">
        <v>3</v>
      </c>
      <c r="H2141" s="13" t="n"/>
      <c r="I2141" s="15" t="n"/>
      <c r="J2141" s="19" t="n">
        <v>3</v>
      </c>
      <c r="K2141" s="2" t="inlineStr">
        <is>
          <t>marker_881_362240.png</t>
        </is>
      </c>
      <c r="L2141" s="11">
        <f>HYPERLINK("3\0\" &amp; K2141, "Ver Imagen")</f>
        <v/>
      </c>
      <c r="M2141" t="inlineStr">
        <is>
          <t>Moda</t>
        </is>
      </c>
    </row>
    <row r="2142">
      <c r="A2142" t="n">
        <v>2141</v>
      </c>
      <c r="B2142" t="inlineStr">
        <is>
          <t>A-497_2C__353</t>
        </is>
      </c>
      <c r="C2142" s="1" t="n">
        <v>37.2388258973</v>
      </c>
      <c r="D2142" s="1" t="n">
        <v>-7.01872665349</v>
      </c>
      <c r="E2142" s="3" t="n">
        <v>3</v>
      </c>
      <c r="F2142" s="2" t="n">
        <v>3</v>
      </c>
      <c r="G2142" s="4" t="n">
        <v>3</v>
      </c>
      <c r="H2142" s="13" t="n"/>
      <c r="I2142" s="15" t="n"/>
      <c r="J2142" s="19" t="n">
        <v>3</v>
      </c>
      <c r="K2142" s="2" t="inlineStr">
        <is>
          <t>marker_559_362258.png</t>
        </is>
      </c>
      <c r="L2142" s="11">
        <f>HYPERLINK("3\0\" &amp; K2142, "Ver Imagen")</f>
        <v/>
      </c>
      <c r="M2142" t="inlineStr">
        <is>
          <t>Moda</t>
        </is>
      </c>
    </row>
    <row r="2143">
      <c r="A2143" t="n">
        <v>2142</v>
      </c>
      <c r="B2143" t="inlineStr">
        <is>
          <t>A-497_2C__355</t>
        </is>
      </c>
      <c r="C2143" s="1" t="n">
        <v>37.23842355</v>
      </c>
      <c r="D2143" s="1" t="n">
        <v>-7.01874247061</v>
      </c>
      <c r="E2143" s="3" t="n">
        <v>3</v>
      </c>
      <c r="F2143" s="2" t="n">
        <v>3</v>
      </c>
      <c r="G2143" s="4" t="n">
        <v>3</v>
      </c>
      <c r="H2143" s="13" t="n"/>
      <c r="I2143" s="15" t="n"/>
      <c r="J2143" s="19" t="n">
        <v>3</v>
      </c>
      <c r="K2143" s="2" t="inlineStr">
        <is>
          <t>marker_718_362279.png</t>
        </is>
      </c>
      <c r="L2143" s="11">
        <f>HYPERLINK("3\0\" &amp; K2143, "Ver Imagen")</f>
        <v/>
      </c>
      <c r="M2143" t="inlineStr">
        <is>
          <t>Moda</t>
        </is>
      </c>
    </row>
    <row r="2144">
      <c r="A2144" t="n">
        <v>2143</v>
      </c>
      <c r="B2144" t="inlineStr">
        <is>
          <t>A-497_2C__356</t>
        </is>
      </c>
      <c r="C2144" s="1" t="n">
        <v>37.2381609507</v>
      </c>
      <c r="D2144" s="1" t="n">
        <v>-7.01875063355</v>
      </c>
      <c r="E2144" s="3" t="n">
        <v>3</v>
      </c>
      <c r="F2144" s="2" t="n">
        <v>3</v>
      </c>
      <c r="G2144" s="4" t="n">
        <v>3</v>
      </c>
      <c r="H2144" s="13" t="n"/>
      <c r="I2144" s="15" t="n"/>
      <c r="J2144" s="19" t="n">
        <v>3</v>
      </c>
      <c r="K2144" s="2" t="inlineStr">
        <is>
          <t>marker_627_362292.png</t>
        </is>
      </c>
      <c r="L2144" s="11">
        <f>HYPERLINK("3\0\" &amp; K2144, "Ver Imagen")</f>
        <v/>
      </c>
      <c r="M2144" t="inlineStr">
        <is>
          <t>Moda</t>
        </is>
      </c>
    </row>
    <row r="2145">
      <c r="A2145" t="n">
        <v>2144</v>
      </c>
      <c r="B2145" t="inlineStr">
        <is>
          <t>A-497_2C__357</t>
        </is>
      </c>
      <c r="C2145" s="1" t="n">
        <v>37.2379608457</v>
      </c>
      <c r="D2145" s="1" t="n">
        <v>-7.01875561332</v>
      </c>
      <c r="E2145" s="3" t="n">
        <v>3</v>
      </c>
      <c r="F2145" s="2" t="n">
        <v>3</v>
      </c>
      <c r="G2145" s="4" t="n">
        <v>3</v>
      </c>
      <c r="H2145" s="13" t="n"/>
      <c r="I2145" s="15" t="n"/>
      <c r="J2145" s="19" t="n">
        <v>3</v>
      </c>
      <c r="K2145" s="2" t="inlineStr">
        <is>
          <t>marker_967_362301.png</t>
        </is>
      </c>
      <c r="L2145" s="11">
        <f>HYPERLINK("3\0\" &amp; K2145, "Ver Imagen")</f>
        <v/>
      </c>
      <c r="M2145" t="inlineStr">
        <is>
          <t>Moda</t>
        </is>
      </c>
    </row>
    <row r="2146">
      <c r="A2146" t="n">
        <v>2145</v>
      </c>
      <c r="B2146" t="inlineStr">
        <is>
          <t>A-497_2C__358</t>
        </is>
      </c>
      <c r="C2146" s="1" t="n">
        <v>37.237784983</v>
      </c>
      <c r="D2146" s="1" t="n">
        <v>-7.01875773174</v>
      </c>
      <c r="E2146" s="3" t="n">
        <v>3</v>
      </c>
      <c r="F2146" s="2" t="n">
        <v>3</v>
      </c>
      <c r="G2146" s="4" t="n">
        <v>3</v>
      </c>
      <c r="H2146" s="13" t="n"/>
      <c r="I2146" s="15" t="n"/>
      <c r="J2146" s="19" t="n">
        <v>3</v>
      </c>
      <c r="K2146" s="2" t="inlineStr">
        <is>
          <t>marker_885_362310.png</t>
        </is>
      </c>
      <c r="L2146" s="11">
        <f>HYPERLINK("3\0\" &amp; K2146, "Ver Imagen")</f>
        <v/>
      </c>
      <c r="M2146" t="inlineStr">
        <is>
          <t>Moda</t>
        </is>
      </c>
    </row>
    <row r="2147">
      <c r="A2147" t="n">
        <v>2146</v>
      </c>
      <c r="B2147" t="inlineStr">
        <is>
          <t>A-497__522</t>
        </is>
      </c>
      <c r="C2147" s="1" t="n">
        <v>37.2072101788</v>
      </c>
      <c r="D2147" s="1" t="n">
        <v>-7.02140549</v>
      </c>
      <c r="E2147" s="3" t="n">
        <v>3</v>
      </c>
      <c r="F2147" s="2" t="n">
        <v>3</v>
      </c>
      <c r="G2147" s="4" t="n">
        <v>3</v>
      </c>
      <c r="H2147" s="13" t="n"/>
      <c r="I2147" s="15" t="n"/>
      <c r="J2147" s="19" t="n">
        <v>3</v>
      </c>
      <c r="K2147" s="2" t="inlineStr">
        <is>
          <t>marker_716_372576.png</t>
        </is>
      </c>
      <c r="L2147" s="11">
        <f>HYPERLINK("3\0\" &amp; K2147, "Ver Imagen")</f>
        <v/>
      </c>
      <c r="M2147" t="inlineStr">
        <is>
          <t>Moda</t>
        </is>
      </c>
    </row>
    <row r="2148">
      <c r="A2148" t="n">
        <v>2147</v>
      </c>
      <c r="B2148" t="inlineStr">
        <is>
          <t>A-497__516</t>
        </is>
      </c>
      <c r="C2148" s="1" t="n">
        <v>37.2081552741</v>
      </c>
      <c r="D2148" s="1" t="n">
        <v>-7.02239954798</v>
      </c>
      <c r="E2148" s="3" t="n">
        <v>3</v>
      </c>
      <c r="F2148" s="2" t="n">
        <v>3</v>
      </c>
      <c r="G2148" s="4" t="n">
        <v>3</v>
      </c>
      <c r="H2148" s="13" t="n"/>
      <c r="I2148" s="15" t="n"/>
      <c r="J2148" s="19" t="n">
        <v>3</v>
      </c>
      <c r="K2148" s="2" t="inlineStr">
        <is>
          <t>marker_841_372634.png</t>
        </is>
      </c>
      <c r="L2148" s="11">
        <f>HYPERLINK("3\0\" &amp; K2148, "Ver Imagen")</f>
        <v/>
      </c>
      <c r="M2148" t="inlineStr">
        <is>
          <t>Moda</t>
        </is>
      </c>
    </row>
    <row r="2149">
      <c r="A2149" t="n">
        <v>2148</v>
      </c>
      <c r="B2149" t="inlineStr">
        <is>
          <t>A-497_2C__383</t>
        </is>
      </c>
      <c r="C2149" s="1" t="n">
        <v>37.2327808988</v>
      </c>
      <c r="D2149" s="1" t="n">
        <v>-7.01846884163</v>
      </c>
      <c r="E2149" s="3" t="n">
        <v>3</v>
      </c>
      <c r="F2149" s="2" t="n">
        <v>3</v>
      </c>
      <c r="G2149" s="4" t="n">
        <v>3</v>
      </c>
      <c r="H2149" s="13" t="n"/>
      <c r="I2149" s="15" t="n"/>
      <c r="J2149" s="19" t="n">
        <v>3</v>
      </c>
      <c r="K2149" s="2" t="inlineStr">
        <is>
          <t>marker_980_362730.png</t>
        </is>
      </c>
      <c r="L2149" s="11">
        <f>HYPERLINK("3\0\" &amp; K2149, "Ver Imagen")</f>
        <v/>
      </c>
      <c r="M2149" t="inlineStr">
        <is>
          <t>Moda</t>
        </is>
      </c>
    </row>
    <row r="2150">
      <c r="A2150" t="n">
        <v>2149</v>
      </c>
      <c r="B2150" t="inlineStr">
        <is>
          <t>A-497_2C__384</t>
        </is>
      </c>
      <c r="C2150" s="1" t="n">
        <v>37.2325979444</v>
      </c>
      <c r="D2150" s="1" t="n">
        <v>-7.01856168095</v>
      </c>
      <c r="E2150" s="3" t="n">
        <v>3</v>
      </c>
      <c r="F2150" s="2" t="n">
        <v>3</v>
      </c>
      <c r="G2150" s="4" t="n">
        <v>3</v>
      </c>
      <c r="H2150" s="13" t="n"/>
      <c r="I2150" s="15" t="n"/>
      <c r="J2150" s="19" t="n">
        <v>3</v>
      </c>
      <c r="K2150" s="2" t="inlineStr">
        <is>
          <t>marker_158_362740.png</t>
        </is>
      </c>
      <c r="L2150" s="11">
        <f>HYPERLINK("3\0\" &amp; K2150, "Ver Imagen")</f>
        <v/>
      </c>
      <c r="M2150" t="inlineStr">
        <is>
          <t>Moda</t>
        </is>
      </c>
    </row>
    <row r="2151">
      <c r="A2151" t="n">
        <v>2150</v>
      </c>
      <c r="B2151" t="inlineStr">
        <is>
          <t>A-497_2C__385</t>
        </is>
      </c>
      <c r="C2151" s="1" t="n">
        <v>37.2324166847</v>
      </c>
      <c r="D2151" s="1" t="n">
        <v>-7.01866664925</v>
      </c>
      <c r="E2151" s="3" t="n">
        <v>3</v>
      </c>
      <c r="F2151" s="2" t="n">
        <v>3</v>
      </c>
      <c r="G2151" s="4" t="n">
        <v>3</v>
      </c>
      <c r="H2151" s="13" t="n"/>
      <c r="I2151" s="15" t="n"/>
      <c r="J2151" s="19" t="n">
        <v>3</v>
      </c>
      <c r="K2151" s="2" t="inlineStr">
        <is>
          <t>marker_619_362749.png</t>
        </is>
      </c>
      <c r="L2151" s="11">
        <f>HYPERLINK("3\0\" &amp; K2151, "Ver Imagen")</f>
        <v/>
      </c>
      <c r="M2151" t="inlineStr">
        <is>
          <t>Moda</t>
        </is>
      </c>
    </row>
    <row r="2152">
      <c r="A2152" t="n">
        <v>2151</v>
      </c>
      <c r="B2152" t="inlineStr">
        <is>
          <t>A-497_2C__386</t>
        </is>
      </c>
      <c r="C2152" s="1" t="n">
        <v>37.2322433297</v>
      </c>
      <c r="D2152" s="1" t="n">
        <v>-7.01877784959</v>
      </c>
      <c r="E2152" s="3" t="n">
        <v>3</v>
      </c>
      <c r="F2152" s="2" t="n">
        <v>3</v>
      </c>
      <c r="G2152" s="4" t="n">
        <v>3</v>
      </c>
      <c r="H2152" s="13" t="n"/>
      <c r="I2152" s="15" t="n"/>
      <c r="J2152" s="19" t="n">
        <v>3</v>
      </c>
      <c r="K2152" s="2" t="inlineStr">
        <is>
          <t>marker_934_362758.png</t>
        </is>
      </c>
      <c r="L2152" s="11">
        <f>HYPERLINK("3\0\" &amp; K2152, "Ver Imagen")</f>
        <v/>
      </c>
      <c r="M2152" t="inlineStr">
        <is>
          <t>Moda</t>
        </is>
      </c>
    </row>
    <row r="2153">
      <c r="A2153" t="n">
        <v>2152</v>
      </c>
      <c r="B2153" t="inlineStr">
        <is>
          <t>A-497_2C__387</t>
        </is>
      </c>
      <c r="C2153" s="1" t="n">
        <v>37.2320818839</v>
      </c>
      <c r="D2153" s="1" t="n">
        <v>-7.01888916311</v>
      </c>
      <c r="E2153" s="3" t="n">
        <v>3</v>
      </c>
      <c r="F2153" s="2" t="n">
        <v>3</v>
      </c>
      <c r="G2153" s="4" t="n">
        <v>3</v>
      </c>
      <c r="H2153" s="13" t="n"/>
      <c r="I2153" s="15" t="n"/>
      <c r="J2153" s="19" t="n">
        <v>3</v>
      </c>
      <c r="K2153" s="2" t="inlineStr">
        <is>
          <t>marker_528_362770.png</t>
        </is>
      </c>
      <c r="L2153" s="11">
        <f>HYPERLINK("3\0\" &amp; K2153, "Ver Imagen")</f>
        <v/>
      </c>
      <c r="M2153" t="inlineStr">
        <is>
          <t>Moda</t>
        </is>
      </c>
    </row>
    <row r="2154">
      <c r="A2154" t="n">
        <v>2153</v>
      </c>
      <c r="B2154" t="inlineStr">
        <is>
          <t>A-497_2C__388</t>
        </is>
      </c>
      <c r="C2154" s="1" t="n">
        <v>37.2319120008</v>
      </c>
      <c r="D2154" s="1" t="n">
        <v>-7.01901149071</v>
      </c>
      <c r="E2154" s="3" t="n">
        <v>3</v>
      </c>
      <c r="F2154" s="2" t="n">
        <v>3</v>
      </c>
      <c r="G2154" s="4" t="n">
        <v>3</v>
      </c>
      <c r="H2154" s="13" t="n"/>
      <c r="I2154" s="15" t="n"/>
      <c r="J2154" s="19" t="n">
        <v>3</v>
      </c>
      <c r="K2154" s="2" t="inlineStr">
        <is>
          <t>marker_708_362781.png</t>
        </is>
      </c>
      <c r="L2154" s="11">
        <f>HYPERLINK("3\0\" &amp; K2154, "Ver Imagen")</f>
        <v/>
      </c>
      <c r="M2154" t="inlineStr">
        <is>
          <t>Moda</t>
        </is>
      </c>
    </row>
    <row r="2155">
      <c r="A2155" t="n">
        <v>2154</v>
      </c>
      <c r="B2155" t="inlineStr">
        <is>
          <t>A-497_2C__390</t>
        </is>
      </c>
      <c r="C2155" s="1" t="n">
        <v>37.2315215258</v>
      </c>
      <c r="D2155" s="1" t="n">
        <v>-7.01930177268</v>
      </c>
      <c r="E2155" s="3" t="n">
        <v>3</v>
      </c>
      <c r="F2155" s="2" t="n">
        <v>3</v>
      </c>
      <c r="G2155" s="4" t="n">
        <v>3</v>
      </c>
      <c r="H2155" s="13" t="n"/>
      <c r="I2155" s="15" t="n"/>
      <c r="J2155" s="19" t="n">
        <v>3</v>
      </c>
      <c r="K2155" s="2" t="inlineStr">
        <is>
          <t>marker_987_362808.png</t>
        </is>
      </c>
      <c r="L2155" s="11">
        <f>HYPERLINK("3\0\" &amp; K2155, "Ver Imagen")</f>
        <v/>
      </c>
      <c r="M2155" t="inlineStr">
        <is>
          <t>Moda</t>
        </is>
      </c>
    </row>
    <row r="2156">
      <c r="A2156" t="n">
        <v>2155</v>
      </c>
      <c r="B2156" t="inlineStr">
        <is>
          <t>A-497_2C__391</t>
        </is>
      </c>
      <c r="C2156" s="1" t="n">
        <v>37.2313635376</v>
      </c>
      <c r="D2156" s="1" t="n">
        <v>-7.01942212627</v>
      </c>
      <c r="E2156" s="3" t="n">
        <v>3</v>
      </c>
      <c r="F2156" s="2" t="n">
        <v>3</v>
      </c>
      <c r="G2156" s="4" t="n">
        <v>3</v>
      </c>
      <c r="H2156" s="13" t="n"/>
      <c r="I2156" s="15" t="n"/>
      <c r="J2156" s="19" t="n">
        <v>3</v>
      </c>
      <c r="K2156" s="2" t="inlineStr">
        <is>
          <t>marker_959_362817.png</t>
        </is>
      </c>
      <c r="L2156" s="11">
        <f>HYPERLINK("3\0\" &amp; K2156, "Ver Imagen")</f>
        <v/>
      </c>
      <c r="M2156" t="inlineStr">
        <is>
          <t>Moda</t>
        </is>
      </c>
    </row>
    <row r="2157">
      <c r="A2157" t="n">
        <v>2156</v>
      </c>
      <c r="B2157" t="inlineStr">
        <is>
          <t>A-497__508</t>
        </is>
      </c>
      <c r="C2157" s="1" t="n">
        <v>37.2095548302</v>
      </c>
      <c r="D2157" s="1" t="n">
        <v>-7.02332078712</v>
      </c>
      <c r="E2157" s="3" t="n">
        <v>3</v>
      </c>
      <c r="F2157" s="2" t="n">
        <v>3</v>
      </c>
      <c r="G2157" s="4" t="n">
        <v>3</v>
      </c>
      <c r="H2157" s="13" t="n"/>
      <c r="I2157" s="15" t="n"/>
      <c r="J2157" s="19" t="n">
        <v>3</v>
      </c>
      <c r="K2157" s="2" t="inlineStr">
        <is>
          <t>marker_802_372712.png</t>
        </is>
      </c>
      <c r="L2157" s="11">
        <f>HYPERLINK("3\0\" &amp; K2157, "Ver Imagen")</f>
        <v/>
      </c>
      <c r="M2157" t="inlineStr">
        <is>
          <t>Moda</t>
        </is>
      </c>
    </row>
    <row r="2158">
      <c r="A2158" t="n">
        <v>2157</v>
      </c>
      <c r="B2158" t="inlineStr">
        <is>
          <t>A-497__504</t>
        </is>
      </c>
      <c r="C2158" s="1" t="n">
        <v>37.2103478051</v>
      </c>
      <c r="D2158" s="1" t="n">
        <v>-7.02362901709</v>
      </c>
      <c r="E2158" s="3" t="n">
        <v>3</v>
      </c>
      <c r="F2158" s="2" t="n">
        <v>3</v>
      </c>
      <c r="G2158" s="4" t="n">
        <v>3</v>
      </c>
      <c r="H2158" s="13" t="n"/>
      <c r="I2158" s="15" t="n"/>
      <c r="J2158" s="19" t="n">
        <v>3</v>
      </c>
      <c r="K2158" s="2" t="inlineStr">
        <is>
          <t>marker_399_375962.png</t>
        </is>
      </c>
      <c r="L2158" s="11">
        <f>HYPERLINK("3\0\" &amp; K2158, "Ver Imagen")</f>
        <v/>
      </c>
      <c r="M2158" t="inlineStr">
        <is>
          <t>Moda</t>
        </is>
      </c>
    </row>
    <row r="2159">
      <c r="A2159" t="n">
        <v>2158</v>
      </c>
      <c r="B2159" t="inlineStr">
        <is>
          <t>A-497__501</t>
        </is>
      </c>
      <c r="C2159" s="1" t="n">
        <v>37.2109089812</v>
      </c>
      <c r="D2159" s="1" t="n">
        <v>-7.0237678485</v>
      </c>
      <c r="E2159" s="3" t="n">
        <v>3</v>
      </c>
      <c r="F2159" s="2" t="n">
        <v>3</v>
      </c>
      <c r="G2159" s="4" t="n">
        <v>3</v>
      </c>
      <c r="H2159" s="13" t="n"/>
      <c r="I2159" s="15" t="n"/>
      <c r="J2159" s="19" t="n">
        <v>3</v>
      </c>
      <c r="K2159" s="2" t="inlineStr">
        <is>
          <t>marker_518_376075.png</t>
        </is>
      </c>
      <c r="L2159" s="11">
        <f>HYPERLINK("3\0\" &amp; K2159, "Ver Imagen")</f>
        <v/>
      </c>
      <c r="M2159" t="inlineStr">
        <is>
          <t>Moda</t>
        </is>
      </c>
    </row>
    <row r="2160">
      <c r="A2160" t="n">
        <v>2159</v>
      </c>
      <c r="B2160" t="inlineStr">
        <is>
          <t>A-497__499</t>
        </is>
      </c>
      <c r="C2160" s="1" t="n">
        <v>37.2113609575</v>
      </c>
      <c r="D2160" s="1" t="n">
        <v>-7.02383423709</v>
      </c>
      <c r="E2160" s="3" t="n">
        <v>3</v>
      </c>
      <c r="F2160" s="2" t="n">
        <v>3</v>
      </c>
      <c r="G2160" s="4" t="n">
        <v>3</v>
      </c>
      <c r="H2160" s="13" t="n"/>
      <c r="I2160" s="15" t="n"/>
      <c r="J2160" s="19" t="n">
        <v>3</v>
      </c>
      <c r="K2160" s="2" t="inlineStr">
        <is>
          <t>marker_863_376107.png</t>
        </is>
      </c>
      <c r="L2160" s="11">
        <f>HYPERLINK("3\0\" &amp; K2160, "Ver Imagen")</f>
        <v/>
      </c>
      <c r="M2160" t="inlineStr">
        <is>
          <t>Moda</t>
        </is>
      </c>
    </row>
    <row r="2161">
      <c r="A2161" t="n">
        <v>2160</v>
      </c>
      <c r="B2161" t="inlineStr">
        <is>
          <t>A-497__497</t>
        </is>
      </c>
      <c r="C2161" s="1" t="n">
        <v>37.211763181</v>
      </c>
      <c r="D2161" s="1" t="n">
        <v>-7.0238577453</v>
      </c>
      <c r="E2161" s="3" t="n">
        <v>3</v>
      </c>
      <c r="F2161" s="2" t="n">
        <v>3</v>
      </c>
      <c r="G2161" s="4" t="n">
        <v>3</v>
      </c>
      <c r="H2161" s="13" t="n"/>
      <c r="I2161" s="15" t="n"/>
      <c r="J2161" s="19" t="n">
        <v>3</v>
      </c>
      <c r="K2161" s="2" t="inlineStr">
        <is>
          <t>marker_976_376132.png</t>
        </is>
      </c>
      <c r="L2161" s="11">
        <f>HYPERLINK("3\0\" &amp; K2161, "Ver Imagen")</f>
        <v/>
      </c>
      <c r="M2161" t="inlineStr">
        <is>
          <t>Moda</t>
        </is>
      </c>
    </row>
    <row r="2162">
      <c r="A2162" t="n">
        <v>2161</v>
      </c>
      <c r="B2162" t="inlineStr">
        <is>
          <t>A-497_2C__454</t>
        </is>
      </c>
      <c r="C2162" s="1" t="n">
        <v>37.2193913484</v>
      </c>
      <c r="D2162" s="1" t="n">
        <v>-7.02294975694</v>
      </c>
      <c r="E2162" s="3" t="n">
        <v>3</v>
      </c>
      <c r="F2162" s="2" t="n">
        <v>3</v>
      </c>
      <c r="G2162" s="4" t="n">
        <v>3</v>
      </c>
      <c r="H2162" s="13" t="n"/>
      <c r="I2162" s="15" t="n"/>
      <c r="J2162" s="19" t="n">
        <v>3</v>
      </c>
      <c r="K2162" s="2" t="inlineStr">
        <is>
          <t>marker_616_363456.png</t>
        </is>
      </c>
      <c r="L2162" s="11">
        <f>HYPERLINK("3\0\" &amp; K2162, "Ver Imagen")</f>
        <v/>
      </c>
      <c r="M2162" t="inlineStr">
        <is>
          <t>Moda</t>
        </is>
      </c>
    </row>
    <row r="2163">
      <c r="A2163" t="n">
        <v>2162</v>
      </c>
      <c r="B2163" t="inlineStr">
        <is>
          <t>A-497_2C__455</t>
        </is>
      </c>
      <c r="C2163" s="1" t="n">
        <v>37.2192442729</v>
      </c>
      <c r="D2163" s="1" t="n">
        <v>-7.02295328514</v>
      </c>
      <c r="E2163" s="3" t="n">
        <v>3</v>
      </c>
      <c r="F2163" s="2" t="n">
        <v>3</v>
      </c>
      <c r="G2163" s="4" t="n">
        <v>3</v>
      </c>
      <c r="H2163" s="13" t="n"/>
      <c r="I2163" s="15" t="n"/>
      <c r="J2163" s="19" t="n">
        <v>3</v>
      </c>
      <c r="K2163" s="2" t="inlineStr">
        <is>
          <t>marker_402_363464.png</t>
        </is>
      </c>
      <c r="L2163" s="11">
        <f>HYPERLINK("3\0\" &amp; K2163, "Ver Imagen")</f>
        <v/>
      </c>
      <c r="M2163" t="inlineStr">
        <is>
          <t>Moda</t>
        </is>
      </c>
    </row>
    <row r="2164">
      <c r="A2164" t="n">
        <v>2163</v>
      </c>
      <c r="B2164" t="inlineStr">
        <is>
          <t>A-497_2C__456</t>
        </is>
      </c>
      <c r="C2164" s="1" t="n">
        <v>37.21902095</v>
      </c>
      <c r="D2164" s="1" t="n">
        <v>-7.02296330148</v>
      </c>
      <c r="E2164" s="3" t="n">
        <v>3</v>
      </c>
      <c r="F2164" s="2" t="n">
        <v>3</v>
      </c>
      <c r="G2164" s="4" t="n">
        <v>3</v>
      </c>
      <c r="H2164" s="13" t="n"/>
      <c r="I2164" s="15" t="n"/>
      <c r="J2164" s="19" t="n">
        <v>3</v>
      </c>
      <c r="K2164" s="2" t="inlineStr">
        <is>
          <t>marker_847_363475.png</t>
        </is>
      </c>
      <c r="L2164" s="11">
        <f>HYPERLINK("3\0\" &amp; K2164, "Ver Imagen")</f>
        <v/>
      </c>
      <c r="M2164" t="inlineStr">
        <is>
          <t>Moda</t>
        </is>
      </c>
    </row>
    <row r="2165">
      <c r="A2165" t="n">
        <v>2164</v>
      </c>
      <c r="B2165" t="inlineStr">
        <is>
          <t>A-497_2C__462</t>
        </is>
      </c>
      <c r="C2165" s="1" t="n">
        <v>37.2178271662</v>
      </c>
      <c r="D2165" s="1" t="n">
        <v>-7.02309512224</v>
      </c>
      <c r="E2165" s="3" t="n">
        <v>3</v>
      </c>
      <c r="F2165" s="2" t="n">
        <v>3</v>
      </c>
      <c r="G2165" s="4" t="n">
        <v>3</v>
      </c>
      <c r="H2165" s="13" t="n"/>
      <c r="I2165" s="15" t="n"/>
      <c r="J2165" s="19" t="n">
        <v>3</v>
      </c>
      <c r="K2165" s="2" t="inlineStr">
        <is>
          <t>marker_461_363555.png</t>
        </is>
      </c>
      <c r="L2165" s="11">
        <f>HYPERLINK("3\0\" &amp; K2165, "Ver Imagen")</f>
        <v/>
      </c>
      <c r="M2165" t="inlineStr">
        <is>
          <t>Moda</t>
        </is>
      </c>
    </row>
    <row r="2166">
      <c r="A2166" t="n">
        <v>2165</v>
      </c>
      <c r="B2166" t="inlineStr">
        <is>
          <t>A-497_2C__466</t>
        </is>
      </c>
      <c r="C2166" s="1" t="n">
        <v>37.2170025912</v>
      </c>
      <c r="D2166" s="1" t="n">
        <v>-7.02323765715</v>
      </c>
      <c r="E2166" s="3" t="n">
        <v>3</v>
      </c>
      <c r="F2166" s="2" t="n">
        <v>3</v>
      </c>
      <c r="G2166" s="4" t="n">
        <v>3</v>
      </c>
      <c r="H2166" s="13" t="n"/>
      <c r="I2166" s="15" t="n"/>
      <c r="J2166" s="19" t="n">
        <v>3</v>
      </c>
      <c r="K2166" s="2" t="inlineStr">
        <is>
          <t>marker_122_363600.png</t>
        </is>
      </c>
      <c r="L2166" s="11">
        <f>HYPERLINK("3\0\" &amp; K2166, "Ver Imagen")</f>
        <v/>
      </c>
      <c r="M2166" t="inlineStr">
        <is>
          <t>Moda</t>
        </is>
      </c>
    </row>
    <row r="2167">
      <c r="A2167" t="n">
        <v>2166</v>
      </c>
      <c r="B2167" t="inlineStr">
        <is>
          <t>A-497_2C__469</t>
        </is>
      </c>
      <c r="C2167" s="1" t="n">
        <v>37.216412132</v>
      </c>
      <c r="D2167" s="1" t="n">
        <v>-7.02334367589</v>
      </c>
      <c r="E2167" s="3" t="n">
        <v>3</v>
      </c>
      <c r="F2167" s="2" t="n">
        <v>3</v>
      </c>
      <c r="G2167" s="4" t="n">
        <v>3</v>
      </c>
      <c r="H2167" s="13" t="n"/>
      <c r="I2167" s="15" t="n"/>
      <c r="J2167" s="19" t="n">
        <v>3</v>
      </c>
      <c r="K2167" s="2" t="inlineStr">
        <is>
          <t>marker_338_363628.png</t>
        </is>
      </c>
      <c r="L2167" s="11">
        <f>HYPERLINK("3\0\" &amp; K2167, "Ver Imagen")</f>
        <v/>
      </c>
      <c r="M2167" t="inlineStr">
        <is>
          <t>Moda</t>
        </is>
      </c>
    </row>
    <row r="2168">
      <c r="A2168" t="n">
        <v>2167</v>
      </c>
      <c r="B2168" t="inlineStr">
        <is>
          <t>A-497_2C__473</t>
        </is>
      </c>
      <c r="C2168" s="1" t="n">
        <v>37.2155825703</v>
      </c>
      <c r="D2168" s="1" t="n">
        <v>-7.02348590198</v>
      </c>
      <c r="E2168" s="3" t="n">
        <v>3</v>
      </c>
      <c r="F2168" s="2" t="n">
        <v>3</v>
      </c>
      <c r="G2168" s="4" t="n">
        <v>3</v>
      </c>
      <c r="H2168" s="13" t="n"/>
      <c r="I2168" s="15" t="n"/>
      <c r="J2168" s="19" t="n">
        <v>3</v>
      </c>
      <c r="K2168" s="2" t="inlineStr">
        <is>
          <t>marker_847_363678.png</t>
        </is>
      </c>
      <c r="L2168" s="11">
        <f>HYPERLINK("3\0\" &amp; K2168, "Ver Imagen")</f>
        <v/>
      </c>
      <c r="M2168" t="inlineStr">
        <is>
          <t>Moda</t>
        </is>
      </c>
    </row>
    <row r="2169">
      <c r="A2169" t="n">
        <v>2168</v>
      </c>
      <c r="B2169" t="inlineStr">
        <is>
          <t>A-497_2C__476</t>
        </is>
      </c>
      <c r="C2169" s="1" t="n">
        <v>37.215010542</v>
      </c>
      <c r="D2169" s="1" t="n">
        <v>-7.02358287034</v>
      </c>
      <c r="E2169" s="3" t="n">
        <v>3</v>
      </c>
      <c r="F2169" s="2" t="n">
        <v>3</v>
      </c>
      <c r="G2169" s="4" t="n">
        <v>3</v>
      </c>
      <c r="H2169" s="13" t="n"/>
      <c r="I2169" s="15" t="n"/>
      <c r="J2169" s="19" t="n">
        <v>3</v>
      </c>
      <c r="K2169" s="2" t="inlineStr">
        <is>
          <t>marker_179_363716.png</t>
        </is>
      </c>
      <c r="L2169" s="11">
        <f>HYPERLINK("3\0\" &amp; K2169, "Ver Imagen")</f>
        <v/>
      </c>
      <c r="M2169" t="inlineStr">
        <is>
          <t>Moda</t>
        </is>
      </c>
    </row>
    <row r="2170">
      <c r="A2170" t="n">
        <v>2169</v>
      </c>
      <c r="B2170" t="inlineStr">
        <is>
          <t>A-497_2C__481</t>
        </is>
      </c>
      <c r="C2170" s="1" t="n">
        <v>37.2139700775</v>
      </c>
      <c r="D2170" s="1" t="n">
        <v>-7.02377724664</v>
      </c>
      <c r="E2170" s="3" t="n">
        <v>3</v>
      </c>
      <c r="F2170" s="2" t="n">
        <v>3</v>
      </c>
      <c r="G2170" s="4" t="n">
        <v>3</v>
      </c>
      <c r="H2170" s="13" t="n"/>
      <c r="I2170" s="15" t="n"/>
      <c r="J2170" s="19" t="n">
        <v>3</v>
      </c>
      <c r="K2170" s="2" t="inlineStr">
        <is>
          <t>marker_823_363781.png</t>
        </is>
      </c>
      <c r="L2170" s="11">
        <f>HYPERLINK("3\0\" &amp; K2170, "Ver Imagen")</f>
        <v/>
      </c>
      <c r="M2170" t="inlineStr">
        <is>
          <t>Moda</t>
        </is>
      </c>
    </row>
    <row r="2171">
      <c r="A2171" t="n">
        <v>2170</v>
      </c>
      <c r="B2171" t="inlineStr">
        <is>
          <t>A-497_2C__482</t>
        </is>
      </c>
      <c r="C2171" s="1" t="n">
        <v>37.2137994182</v>
      </c>
      <c r="D2171" s="1" t="n">
        <v>-7.02380793459</v>
      </c>
      <c r="E2171" s="3" t="n">
        <v>3</v>
      </c>
      <c r="F2171" s="2" t="n">
        <v>3</v>
      </c>
      <c r="G2171" s="4" t="n">
        <v>3</v>
      </c>
      <c r="H2171" s="13" t="n"/>
      <c r="I2171" s="15" t="n"/>
      <c r="J2171" s="19" t="n">
        <v>3</v>
      </c>
      <c r="K2171" s="2" t="inlineStr">
        <is>
          <t>marker_598_363792.png</t>
        </is>
      </c>
      <c r="L2171" s="11">
        <f>HYPERLINK("3\0\" &amp; K2171, "Ver Imagen")</f>
        <v/>
      </c>
      <c r="M2171" t="inlineStr">
        <is>
          <t>Moda</t>
        </is>
      </c>
    </row>
    <row r="2172">
      <c r="A2172" t="n">
        <v>2171</v>
      </c>
      <c r="B2172" t="inlineStr">
        <is>
          <t>A-497_2C__483</t>
        </is>
      </c>
      <c r="C2172" s="1" t="n">
        <v>37.2136046659</v>
      </c>
      <c r="D2172" s="1" t="n">
        <v>-7.02384210421</v>
      </c>
      <c r="E2172" s="3" t="n">
        <v>3</v>
      </c>
      <c r="F2172" s="2" t="n">
        <v>3</v>
      </c>
      <c r="G2172" s="4" t="n">
        <v>3</v>
      </c>
      <c r="H2172" s="13" t="n"/>
      <c r="I2172" s="15" t="n"/>
      <c r="J2172" s="19" t="n">
        <v>3</v>
      </c>
      <c r="K2172" s="2" t="inlineStr">
        <is>
          <t>marker_416_363804.png</t>
        </is>
      </c>
      <c r="L2172" s="11">
        <f>HYPERLINK("3\0\" &amp; K2172, "Ver Imagen")</f>
        <v/>
      </c>
      <c r="M2172" t="inlineStr">
        <is>
          <t>Moda</t>
        </is>
      </c>
    </row>
    <row r="2173">
      <c r="A2173" t="n">
        <v>2172</v>
      </c>
      <c r="B2173" t="inlineStr">
        <is>
          <t>A-497_2C__486</t>
        </is>
      </c>
      <c r="C2173" s="1" t="n">
        <v>37.212971575</v>
      </c>
      <c r="D2173" s="1" t="n">
        <v>-7.02394623118</v>
      </c>
      <c r="E2173" s="3" t="n">
        <v>3</v>
      </c>
      <c r="F2173" s="2" t="n">
        <v>3</v>
      </c>
      <c r="G2173" s="4" t="n">
        <v>3</v>
      </c>
      <c r="H2173" s="13" t="n"/>
      <c r="I2173" s="15" t="n"/>
      <c r="J2173" s="19" t="n">
        <v>3</v>
      </c>
      <c r="K2173" s="2" t="inlineStr">
        <is>
          <t>marker_694_363832.png</t>
        </is>
      </c>
      <c r="L2173" s="11">
        <f>HYPERLINK("3\0\" &amp; K2173, "Ver Imagen")</f>
        <v/>
      </c>
      <c r="M2173" t="inlineStr">
        <is>
          <t>Moda</t>
        </is>
      </c>
    </row>
    <row r="2174">
      <c r="A2174" t="n">
        <v>2173</v>
      </c>
      <c r="B2174" t="inlineStr">
        <is>
          <t>A-497_2C__540</t>
        </is>
      </c>
      <c r="C2174" s="1" t="n">
        <v>37.2050546797</v>
      </c>
      <c r="D2174" s="1" t="n">
        <v>-7.01659412004</v>
      </c>
      <c r="E2174" s="3" t="n">
        <v>3</v>
      </c>
      <c r="F2174" s="2" t="n">
        <v>3</v>
      </c>
      <c r="G2174" s="4" t="n">
        <v>3</v>
      </c>
      <c r="H2174" s="13" t="n"/>
      <c r="I2174" s="15" t="n"/>
      <c r="J2174" s="19" t="n">
        <v>3</v>
      </c>
      <c r="K2174" s="2" t="inlineStr">
        <is>
          <t>marker_848_364541.png</t>
        </is>
      </c>
      <c r="L2174" s="11">
        <f>HYPERLINK("3\0\" &amp; K2174, "Ver Imagen")</f>
        <v/>
      </c>
      <c r="M2174" t="inlineStr">
        <is>
          <t>Moda</t>
        </is>
      </c>
    </row>
    <row r="2175">
      <c r="A2175" t="n">
        <v>2174</v>
      </c>
      <c r="B2175" t="inlineStr">
        <is>
          <t>A-497_2C__542</t>
        </is>
      </c>
      <c r="C2175" s="1" t="n">
        <v>37.2049496774</v>
      </c>
      <c r="D2175" s="1" t="n">
        <v>-7.01610991344</v>
      </c>
      <c r="E2175" s="3" t="n">
        <v>3</v>
      </c>
      <c r="F2175" s="2" t="n">
        <v>3</v>
      </c>
      <c r="G2175" s="4" t="n">
        <v>3</v>
      </c>
      <c r="H2175" s="13" t="n"/>
      <c r="I2175" s="15" t="n"/>
      <c r="J2175" s="19" t="n">
        <v>3</v>
      </c>
      <c r="K2175" s="2" t="inlineStr">
        <is>
          <t>marker_245_364607.png</t>
        </is>
      </c>
      <c r="L2175" s="11">
        <f>HYPERLINK("3\0\" &amp; K2175, "Ver Imagen")</f>
        <v/>
      </c>
      <c r="M2175" t="inlineStr">
        <is>
          <t>Moda</t>
        </is>
      </c>
    </row>
    <row r="2176">
      <c r="A2176" t="n">
        <v>2175</v>
      </c>
      <c r="B2176" t="inlineStr">
        <is>
          <t>A-497_2C__545</t>
        </is>
      </c>
      <c r="C2176" s="1" t="n">
        <v>37.2048318977</v>
      </c>
      <c r="D2176" s="1" t="n">
        <v>-7.01554726742</v>
      </c>
      <c r="E2176" s="3" t="n">
        <v>3</v>
      </c>
      <c r="F2176" s="2" t="n">
        <v>3</v>
      </c>
      <c r="G2176" s="4" t="n">
        <v>3</v>
      </c>
      <c r="H2176" s="13" t="n"/>
      <c r="I2176" s="15" t="n"/>
      <c r="J2176" s="19" t="n">
        <v>3</v>
      </c>
      <c r="K2176" s="2" t="inlineStr">
        <is>
          <t>marker_945_364628.png</t>
        </is>
      </c>
      <c r="L2176" s="11">
        <f>HYPERLINK("3\0\" &amp; K2176, "Ver Imagen")</f>
        <v/>
      </c>
      <c r="M2176" t="inlineStr">
        <is>
          <t>Moda</t>
        </is>
      </c>
    </row>
    <row r="2177">
      <c r="A2177" t="n">
        <v>2176</v>
      </c>
      <c r="B2177" t="inlineStr">
        <is>
          <t>A-497_2C__546</t>
        </is>
      </c>
      <c r="C2177" s="1" t="n">
        <v>37.204774362</v>
      </c>
      <c r="D2177" s="1" t="n">
        <v>-7.01526655009</v>
      </c>
      <c r="E2177" s="3" t="n">
        <v>3</v>
      </c>
      <c r="F2177" s="2" t="n">
        <v>3</v>
      </c>
      <c r="G2177" s="4" t="n">
        <v>3</v>
      </c>
      <c r="H2177" s="13" t="n"/>
      <c r="I2177" s="15" t="n"/>
      <c r="J2177" s="19" t="n">
        <v>3</v>
      </c>
      <c r="K2177" s="2" t="inlineStr">
        <is>
          <t>marker_377_364644.png</t>
        </is>
      </c>
      <c r="L2177" s="11">
        <f>HYPERLINK("3\0\" &amp; K2177, "Ver Imagen")</f>
        <v/>
      </c>
      <c r="M2177" t="inlineStr">
        <is>
          <t>Moda</t>
        </is>
      </c>
    </row>
    <row r="2178">
      <c r="A2178" t="n">
        <v>2177</v>
      </c>
      <c r="B2178" t="inlineStr">
        <is>
          <t>A-497_2C__547</t>
        </is>
      </c>
      <c r="C2178" s="1" t="n">
        <v>37.204724009</v>
      </c>
      <c r="D2178" s="1" t="n">
        <v>-7.01501670082</v>
      </c>
      <c r="E2178" s="3" t="n">
        <v>3</v>
      </c>
      <c r="F2178" s="2" t="n">
        <v>3</v>
      </c>
      <c r="G2178" s="4" t="n">
        <v>3</v>
      </c>
      <c r="H2178" s="13" t="n"/>
      <c r="I2178" s="15" t="n"/>
      <c r="J2178" s="19" t="n">
        <v>3</v>
      </c>
      <c r="K2178" s="2" t="inlineStr">
        <is>
          <t>marker_720_364655.png</t>
        </is>
      </c>
      <c r="L2178" s="11">
        <f>HYPERLINK("3\0\" &amp; K2178, "Ver Imagen")</f>
        <v/>
      </c>
      <c r="M2178" t="inlineStr">
        <is>
          <t>Moda</t>
        </is>
      </c>
    </row>
    <row r="2179">
      <c r="A2179" t="n">
        <v>2178</v>
      </c>
      <c r="B2179" t="inlineStr">
        <is>
          <t>A-497_2C__549</t>
        </is>
      </c>
      <c r="C2179" s="1" t="n">
        <v>37.204637704</v>
      </c>
      <c r="D2179" s="1" t="n">
        <v>-7.01457819893</v>
      </c>
      <c r="E2179" s="3" t="n">
        <v>3</v>
      </c>
      <c r="F2179" s="2" t="n">
        <v>3</v>
      </c>
      <c r="G2179" s="4" t="n">
        <v>3</v>
      </c>
      <c r="H2179" s="13" t="n"/>
      <c r="I2179" s="15" t="n"/>
      <c r="J2179" s="19" t="n">
        <v>3</v>
      </c>
      <c r="K2179" s="2" t="inlineStr">
        <is>
          <t>marker_812_364675.png</t>
        </is>
      </c>
      <c r="L2179" s="11">
        <f>HYPERLINK("3\0\" &amp; K2179, "Ver Imagen")</f>
        <v/>
      </c>
      <c r="M2179" t="inlineStr">
        <is>
          <t>Moda</t>
        </is>
      </c>
    </row>
    <row r="2180">
      <c r="A2180" t="n">
        <v>2179</v>
      </c>
      <c r="B2180" t="inlineStr">
        <is>
          <t>A-497_2C__552</t>
        </is>
      </c>
      <c r="C2180" s="1" t="n">
        <v>37.2044936084</v>
      </c>
      <c r="D2180" s="1" t="n">
        <v>-7.01384109526</v>
      </c>
      <c r="E2180" s="3" t="n">
        <v>3</v>
      </c>
      <c r="F2180" s="2" t="n">
        <v>3</v>
      </c>
      <c r="G2180" s="4" t="n">
        <v>3</v>
      </c>
      <c r="H2180" s="13" t="n"/>
      <c r="I2180" s="15" t="n"/>
      <c r="J2180" s="19" t="n">
        <v>3</v>
      </c>
      <c r="K2180" s="2" t="inlineStr">
        <is>
          <t>marker_695_364702.png</t>
        </is>
      </c>
      <c r="L2180" s="11">
        <f>HYPERLINK("3\0\" &amp; K2180, "Ver Imagen")</f>
        <v/>
      </c>
      <c r="M2180" t="inlineStr">
        <is>
          <t>Moda</t>
        </is>
      </c>
    </row>
    <row r="2181">
      <c r="A2181" t="n">
        <v>2180</v>
      </c>
      <c r="B2181" t="inlineStr">
        <is>
          <t>A-497_2C__558</t>
        </is>
      </c>
      <c r="C2181" s="1" t="n">
        <v>37.2042027709</v>
      </c>
      <c r="D2181" s="1" t="n">
        <v>-7.01227062516</v>
      </c>
      <c r="E2181" s="3" t="n">
        <v>3</v>
      </c>
      <c r="F2181" s="2" t="n">
        <v>3</v>
      </c>
      <c r="G2181" s="4" t="n">
        <v>3</v>
      </c>
      <c r="H2181" s="13" t="n"/>
      <c r="I2181" s="15" t="n"/>
      <c r="J2181" s="19" t="n">
        <v>3</v>
      </c>
      <c r="K2181" s="2" t="inlineStr">
        <is>
          <t>marker_349_366355.png</t>
        </is>
      </c>
      <c r="L2181" s="11">
        <f>HYPERLINK("3\0\" &amp; K2181, "Ver Imagen")</f>
        <v/>
      </c>
      <c r="M2181" t="inlineStr">
        <is>
          <t>Moda</t>
        </is>
      </c>
    </row>
    <row r="2182">
      <c r="A2182" t="n">
        <v>2181</v>
      </c>
      <c r="B2182" t="inlineStr">
        <is>
          <t>A-497_2C__563</t>
        </is>
      </c>
      <c r="C2182" s="1" t="n">
        <v>37.2040022761</v>
      </c>
      <c r="D2182" s="1" t="n">
        <v>-7.01112585687</v>
      </c>
      <c r="E2182" s="3" t="n">
        <v>3</v>
      </c>
      <c r="F2182" s="2" t="n">
        <v>3</v>
      </c>
      <c r="G2182" s="4" t="n">
        <v>3</v>
      </c>
      <c r="H2182" s="13" t="n"/>
      <c r="I2182" s="15" t="n"/>
      <c r="J2182" s="19" t="n">
        <v>3</v>
      </c>
      <c r="K2182" s="2" t="inlineStr">
        <is>
          <t>marker_381_366416.png</t>
        </is>
      </c>
      <c r="L2182" s="11">
        <f>HYPERLINK("3\0\" &amp; K2182, "Ver Imagen")</f>
        <v/>
      </c>
      <c r="M2182" t="inlineStr">
        <is>
          <t>Moda</t>
        </is>
      </c>
    </row>
    <row r="2183">
      <c r="A2183" t="n">
        <v>2182</v>
      </c>
      <c r="B2183" t="inlineStr">
        <is>
          <t>A-497_2C__566</t>
        </is>
      </c>
      <c r="C2183" s="1" t="n">
        <v>37.2038628211</v>
      </c>
      <c r="D2183" s="1" t="n">
        <v>-7.0102980619</v>
      </c>
      <c r="E2183" s="3" t="n">
        <v>3</v>
      </c>
      <c r="F2183" s="2" t="n">
        <v>3</v>
      </c>
      <c r="G2183" s="4" t="n">
        <v>3</v>
      </c>
      <c r="H2183" s="13" t="n"/>
      <c r="I2183" s="15" t="n"/>
      <c r="J2183" s="19" t="n">
        <v>3</v>
      </c>
      <c r="K2183" s="2" t="inlineStr">
        <is>
          <t>marker_352_366449.png</t>
        </is>
      </c>
      <c r="L2183" s="11">
        <f>HYPERLINK("3\0\" &amp; K2183, "Ver Imagen")</f>
        <v/>
      </c>
      <c r="M2183" t="inlineStr">
        <is>
          <t>Moda</t>
        </is>
      </c>
    </row>
    <row r="2184">
      <c r="A2184" t="n">
        <v>2183</v>
      </c>
      <c r="B2184" t="inlineStr">
        <is>
          <t>A-497_2C__567</t>
        </is>
      </c>
      <c r="C2184" s="1" t="n">
        <v>37.2038203865</v>
      </c>
      <c r="D2184" s="1" t="n">
        <v>-7.01004588951</v>
      </c>
      <c r="E2184" s="3" t="n">
        <v>3</v>
      </c>
      <c r="F2184" s="2" t="n">
        <v>3</v>
      </c>
      <c r="G2184" s="4" t="n">
        <v>3</v>
      </c>
      <c r="H2184" s="13" t="n"/>
      <c r="I2184" s="15" t="n"/>
      <c r="J2184" s="19" t="n">
        <v>3</v>
      </c>
      <c r="K2184" s="2" t="inlineStr">
        <is>
          <t>marker_628_366459.png</t>
        </is>
      </c>
      <c r="L2184" s="11">
        <f>HYPERLINK("3\0\" &amp; K2184, "Ver Imagen")</f>
        <v/>
      </c>
      <c r="M2184" t="inlineStr">
        <is>
          <t>Moda</t>
        </is>
      </c>
    </row>
    <row r="2185">
      <c r="A2185" t="n">
        <v>2184</v>
      </c>
      <c r="B2185" t="inlineStr">
        <is>
          <t>A-497_2C__568</t>
        </is>
      </c>
      <c r="C2185" s="1" t="n">
        <v>37.203784823</v>
      </c>
      <c r="D2185" s="1" t="n">
        <v>-7.00983161473</v>
      </c>
      <c r="E2185" s="3" t="n">
        <v>3</v>
      </c>
      <c r="F2185" s="2" t="n">
        <v>3</v>
      </c>
      <c r="G2185" s="4" t="n">
        <v>3</v>
      </c>
      <c r="H2185" s="13" t="n"/>
      <c r="I2185" s="15" t="n"/>
      <c r="J2185" s="19" t="n">
        <v>3</v>
      </c>
      <c r="K2185" s="2" t="inlineStr">
        <is>
          <t>marker_919_366467.png</t>
        </is>
      </c>
      <c r="L2185" s="11">
        <f>HYPERLINK("3\0\" &amp; K2185, "Ver Imagen")</f>
        <v/>
      </c>
      <c r="M2185" t="inlineStr">
        <is>
          <t>Moda</t>
        </is>
      </c>
    </row>
    <row r="2186">
      <c r="A2186" t="n">
        <v>2185</v>
      </c>
      <c r="B2186" t="inlineStr">
        <is>
          <t>A-497_2C__570</t>
        </is>
      </c>
      <c r="C2186" s="1" t="n">
        <v>37.2037064983</v>
      </c>
      <c r="D2186" s="1" t="n">
        <v>-7.0093476665</v>
      </c>
      <c r="E2186" s="3" t="n">
        <v>3</v>
      </c>
      <c r="F2186" s="2" t="n">
        <v>3</v>
      </c>
      <c r="G2186" s="4" t="n">
        <v>3</v>
      </c>
      <c r="H2186" s="13" t="n"/>
      <c r="I2186" s="15" t="n"/>
      <c r="J2186" s="19" t="n">
        <v>3</v>
      </c>
      <c r="K2186" s="2" t="inlineStr">
        <is>
          <t>marker_522_366485.png</t>
        </is>
      </c>
      <c r="L2186" s="11">
        <f>HYPERLINK("3\0\" &amp; K2186, "Ver Imagen")</f>
        <v/>
      </c>
      <c r="M2186" t="inlineStr">
        <is>
          <t>Moda</t>
        </is>
      </c>
    </row>
    <row r="2187">
      <c r="A2187" t="n">
        <v>2186</v>
      </c>
      <c r="B2187" t="inlineStr">
        <is>
          <t>A-497_2C__571</t>
        </is>
      </c>
      <c r="C2187" s="1" t="n">
        <v>37.203661897</v>
      </c>
      <c r="D2187" s="1" t="n">
        <v>-7.00906164563</v>
      </c>
      <c r="E2187" s="3" t="n">
        <v>3</v>
      </c>
      <c r="F2187" s="2" t="n">
        <v>3</v>
      </c>
      <c r="G2187" s="4" t="n">
        <v>3</v>
      </c>
      <c r="H2187" s="13" t="n"/>
      <c r="I2187" s="15" t="n"/>
      <c r="J2187" s="19" t="n">
        <v>3</v>
      </c>
      <c r="K2187" s="2" t="inlineStr">
        <is>
          <t>marker_629_366495.png</t>
        </is>
      </c>
      <c r="L2187" s="11">
        <f>HYPERLINK("3\0\" &amp; K2187, "Ver Imagen")</f>
        <v/>
      </c>
      <c r="M2187" t="inlineStr">
        <is>
          <t>Moda</t>
        </is>
      </c>
    </row>
    <row r="2188">
      <c r="A2188" t="n">
        <v>2187</v>
      </c>
      <c r="B2188" t="inlineStr">
        <is>
          <t>A-497_2C__578</t>
        </is>
      </c>
      <c r="C2188" s="1" t="n">
        <v>37.2034084951</v>
      </c>
      <c r="D2188" s="1" t="n">
        <v>-7.00735313578</v>
      </c>
      <c r="E2188" s="3" t="n">
        <v>3</v>
      </c>
      <c r="F2188" s="2" t="n">
        <v>3</v>
      </c>
      <c r="G2188" s="4" t="n">
        <v>3</v>
      </c>
      <c r="H2188" s="13" t="n"/>
      <c r="I2188" s="15" t="n"/>
      <c r="J2188" s="19" t="n">
        <v>3</v>
      </c>
      <c r="K2188" s="2" t="inlineStr">
        <is>
          <t>marker_956_366555.png</t>
        </is>
      </c>
      <c r="L2188" s="11">
        <f>HYPERLINK("3\0\" &amp; K2188, "Ver Imagen")</f>
        <v/>
      </c>
      <c r="M2188" t="inlineStr">
        <is>
          <t>Moda</t>
        </is>
      </c>
    </row>
    <row r="2189">
      <c r="A2189" t="n">
        <v>2188</v>
      </c>
      <c r="B2189" t="inlineStr">
        <is>
          <t>A-497_2C__580</t>
        </is>
      </c>
      <c r="C2189" s="1" t="n">
        <v>37.2033348099</v>
      </c>
      <c r="D2189" s="1" t="n">
        <v>-7.00682151736</v>
      </c>
      <c r="E2189" s="3" t="n">
        <v>3</v>
      </c>
      <c r="F2189" s="2" t="n">
        <v>3</v>
      </c>
      <c r="G2189" s="4" t="n">
        <v>3</v>
      </c>
      <c r="H2189" s="13" t="n"/>
      <c r="I2189" s="15" t="n"/>
      <c r="J2189" s="19" t="n">
        <v>3</v>
      </c>
      <c r="K2189" s="2" t="inlineStr">
        <is>
          <t>marker_373_366571.png</t>
        </is>
      </c>
      <c r="L2189" s="11">
        <f>HYPERLINK("3\0\" &amp; K2189, "Ver Imagen")</f>
        <v/>
      </c>
      <c r="M2189" t="inlineStr">
        <is>
          <t>Moda</t>
        </is>
      </c>
    </row>
    <row r="2190">
      <c r="A2190" t="n">
        <v>2189</v>
      </c>
      <c r="B2190" t="inlineStr">
        <is>
          <t>A-497_2C__581</t>
        </is>
      </c>
      <c r="C2190" s="1" t="n">
        <v>37.2033049651</v>
      </c>
      <c r="D2190" s="1" t="n">
        <v>-7.00659598062</v>
      </c>
      <c r="E2190" s="3" t="n">
        <v>3</v>
      </c>
      <c r="F2190" s="2" t="n">
        <v>3</v>
      </c>
      <c r="G2190" s="4" t="n">
        <v>3</v>
      </c>
      <c r="H2190" s="13" t="n"/>
      <c r="I2190" s="15" t="n"/>
      <c r="J2190" s="19" t="n">
        <v>3</v>
      </c>
      <c r="K2190" s="2" t="inlineStr">
        <is>
          <t>marker_919_366579.png</t>
        </is>
      </c>
      <c r="L2190" s="11">
        <f>HYPERLINK("3\0\" &amp; K2190, "Ver Imagen")</f>
        <v/>
      </c>
      <c r="M2190" t="inlineStr">
        <is>
          <t>Moda</t>
        </is>
      </c>
    </row>
    <row r="2191">
      <c r="A2191" t="n">
        <v>2190</v>
      </c>
      <c r="B2191" t="inlineStr">
        <is>
          <t>A-497_2C__582</t>
        </is>
      </c>
      <c r="C2191" s="1" t="n">
        <v>37.2032682672</v>
      </c>
      <c r="D2191" s="1" t="n">
        <v>-7.00631864321</v>
      </c>
      <c r="E2191" s="3" t="n">
        <v>3</v>
      </c>
      <c r="F2191" s="2" t="n">
        <v>3</v>
      </c>
      <c r="G2191" s="4" t="n">
        <v>3</v>
      </c>
      <c r="H2191" s="13" t="n"/>
      <c r="I2191" s="15" t="n"/>
      <c r="J2191" s="19" t="n">
        <v>3</v>
      </c>
      <c r="K2191" s="2" t="inlineStr">
        <is>
          <t>marker_708_366592.png</t>
        </is>
      </c>
      <c r="L2191" s="11">
        <f>HYPERLINK("3\0\" &amp; K2191, "Ver Imagen")</f>
        <v/>
      </c>
      <c r="M2191" t="inlineStr">
        <is>
          <t>Moda</t>
        </is>
      </c>
    </row>
    <row r="2192">
      <c r="A2192" t="n">
        <v>2191</v>
      </c>
      <c r="B2192" t="inlineStr">
        <is>
          <t>A-497_2C__583</t>
        </is>
      </c>
      <c r="C2192" s="1" t="n">
        <v>37.2032420913</v>
      </c>
      <c r="D2192" s="1" t="n">
        <v>-7.0061255267</v>
      </c>
      <c r="E2192" s="3" t="n">
        <v>3</v>
      </c>
      <c r="F2192" s="2" t="n">
        <v>3</v>
      </c>
      <c r="G2192" s="4" t="n">
        <v>3</v>
      </c>
      <c r="H2192" s="13" t="n"/>
      <c r="I2192" s="15" t="n"/>
      <c r="J2192" s="19" t="n">
        <v>3</v>
      </c>
      <c r="K2192" s="2" t="inlineStr">
        <is>
          <t>marker_284_366601.png</t>
        </is>
      </c>
      <c r="L2192" s="11">
        <f>HYPERLINK("3\0\" &amp; K2192, "Ver Imagen")</f>
        <v/>
      </c>
      <c r="M2192" t="inlineStr">
        <is>
          <t>Moda</t>
        </is>
      </c>
    </row>
    <row r="2193">
      <c r="A2193" t="n">
        <v>2192</v>
      </c>
      <c r="B2193" t="inlineStr">
        <is>
          <t>A-497_2C__586</t>
        </is>
      </c>
      <c r="C2193" s="1" t="n">
        <v>37.2031353716</v>
      </c>
      <c r="D2193" s="1" t="n">
        <v>-7.00534292839</v>
      </c>
      <c r="E2193" s="3" t="n">
        <v>3</v>
      </c>
      <c r="F2193" s="2" t="n">
        <v>3</v>
      </c>
      <c r="G2193" s="4" t="n">
        <v>3</v>
      </c>
      <c r="H2193" s="13" t="n"/>
      <c r="I2193" s="15" t="n"/>
      <c r="J2193" s="19" t="n">
        <v>3</v>
      </c>
      <c r="K2193" s="2" t="inlineStr">
        <is>
          <t>marker_481_366624.png</t>
        </is>
      </c>
      <c r="L2193" s="11">
        <f>HYPERLINK("3\0\" &amp; K2193, "Ver Imagen")</f>
        <v/>
      </c>
      <c r="M2193" t="inlineStr">
        <is>
          <t>Moda</t>
        </is>
      </c>
    </row>
    <row r="2194">
      <c r="A2194" t="n">
        <v>2193</v>
      </c>
      <c r="B2194" t="inlineStr">
        <is>
          <t>A-497_2C__587</t>
        </is>
      </c>
      <c r="C2194" s="1" t="n">
        <v>37.2031073067</v>
      </c>
      <c r="D2194" s="1" t="n">
        <v>-7.00513072363</v>
      </c>
      <c r="E2194" s="3" t="n">
        <v>3</v>
      </c>
      <c r="F2194" s="2" t="n">
        <v>3</v>
      </c>
      <c r="G2194" s="4" t="n">
        <v>3</v>
      </c>
      <c r="H2194" s="13" t="n"/>
      <c r="I2194" s="15" t="n"/>
      <c r="J2194" s="19" t="n">
        <v>3</v>
      </c>
      <c r="K2194" s="2" t="inlineStr">
        <is>
          <t>marker_891_366639.png</t>
        </is>
      </c>
      <c r="L2194" s="11">
        <f>HYPERLINK("3\0\" &amp; K2194, "Ver Imagen")</f>
        <v/>
      </c>
      <c r="M2194" t="inlineStr">
        <is>
          <t>Moda</t>
        </is>
      </c>
    </row>
    <row r="2195">
      <c r="A2195" t="n">
        <v>2194</v>
      </c>
      <c r="B2195" t="inlineStr">
        <is>
          <t>A-497_2C__589</t>
        </is>
      </c>
      <c r="C2195" s="1" t="n">
        <v>37.2030437772</v>
      </c>
      <c r="D2195" s="1" t="n">
        <v>-7.00462654901</v>
      </c>
      <c r="E2195" s="3" t="n">
        <v>3</v>
      </c>
      <c r="F2195" s="2" t="n">
        <v>3</v>
      </c>
      <c r="G2195" s="4" t="n">
        <v>3</v>
      </c>
      <c r="H2195" s="13" t="n"/>
      <c r="I2195" s="15" t="n"/>
      <c r="J2195" s="19" t="n">
        <v>3</v>
      </c>
      <c r="K2195" s="2" t="inlineStr">
        <is>
          <t>marker_450_366662.png</t>
        </is>
      </c>
      <c r="L2195" s="11">
        <f>HYPERLINK("3\0\" &amp; K2195, "Ver Imagen")</f>
        <v/>
      </c>
      <c r="M2195" t="inlineStr">
        <is>
          <t>Moda</t>
        </is>
      </c>
    </row>
    <row r="2196">
      <c r="A2196" t="n">
        <v>2195</v>
      </c>
      <c r="B2196" t="inlineStr">
        <is>
          <t>A-497_2C__590</t>
        </is>
      </c>
      <c r="C2196" s="1" t="n">
        <v>37.20300981</v>
      </c>
      <c r="D2196" s="1" t="n">
        <v>-7.00434591667</v>
      </c>
      <c r="E2196" s="3" t="n">
        <v>3</v>
      </c>
      <c r="F2196" s="2" t="n">
        <v>3</v>
      </c>
      <c r="G2196" s="4" t="n">
        <v>3</v>
      </c>
      <c r="H2196" s="13" t="n"/>
      <c r="I2196" s="15" t="n"/>
      <c r="J2196" s="19" t="n">
        <v>3</v>
      </c>
      <c r="K2196" s="2" t="inlineStr">
        <is>
          <t>marker_283_366671.png</t>
        </is>
      </c>
      <c r="L2196" s="11">
        <f>HYPERLINK("3\0\" &amp; K2196, "Ver Imagen")</f>
        <v/>
      </c>
      <c r="M2196" t="inlineStr">
        <is>
          <t>Moda</t>
        </is>
      </c>
    </row>
    <row r="2197">
      <c r="A2197" t="n">
        <v>2196</v>
      </c>
      <c r="B2197" t="inlineStr">
        <is>
          <t>A-497_2C__593</t>
        </is>
      </c>
      <c r="C2197" s="1" t="n">
        <v>37.2029290949</v>
      </c>
      <c r="D2197" s="1" t="n">
        <v>-7.00362793221</v>
      </c>
      <c r="E2197" s="3" t="n">
        <v>3</v>
      </c>
      <c r="F2197" s="2" t="n">
        <v>3</v>
      </c>
      <c r="G2197" s="4" t="n">
        <v>3</v>
      </c>
      <c r="H2197" s="13" t="n"/>
      <c r="I2197" s="15" t="n"/>
      <c r="J2197" s="19" t="n">
        <v>3</v>
      </c>
      <c r="K2197" s="2" t="inlineStr">
        <is>
          <t>marker_782_366699.png</t>
        </is>
      </c>
      <c r="L2197" s="11">
        <f>HYPERLINK("3\0\" &amp; K2197, "Ver Imagen")</f>
        <v/>
      </c>
      <c r="M2197" t="inlineStr">
        <is>
          <t>Moda</t>
        </is>
      </c>
    </row>
    <row r="2198">
      <c r="A2198" t="n">
        <v>2197</v>
      </c>
      <c r="B2198" t="inlineStr">
        <is>
          <t>A-497_2C__594</t>
        </is>
      </c>
      <c r="C2198" s="1" t="n">
        <v>37.2029009678</v>
      </c>
      <c r="D2198" s="1" t="n">
        <v>-7.00336968226</v>
      </c>
      <c r="E2198" s="3" t="n">
        <v>3</v>
      </c>
      <c r="F2198" s="2" t="n">
        <v>3</v>
      </c>
      <c r="G2198" s="4" t="n">
        <v>3</v>
      </c>
      <c r="H2198" s="13" t="n"/>
      <c r="I2198" s="15" t="n"/>
      <c r="J2198" s="19" t="n">
        <v>3</v>
      </c>
      <c r="K2198" s="2" t="inlineStr">
        <is>
          <t>marker_721_366707.png</t>
        </is>
      </c>
      <c r="L2198" s="11">
        <f>HYPERLINK("3\0\" &amp; K2198, "Ver Imagen")</f>
        <v/>
      </c>
      <c r="M2198" t="inlineStr">
        <is>
          <t>Moda</t>
        </is>
      </c>
    </row>
    <row r="2199">
      <c r="A2199" t="n">
        <v>2198</v>
      </c>
      <c r="B2199" t="inlineStr">
        <is>
          <t>A-497_2C__596</t>
        </is>
      </c>
      <c r="C2199" s="1" t="n">
        <v>37.2028407069</v>
      </c>
      <c r="D2199" s="1" t="n">
        <v>-7.0028206389</v>
      </c>
      <c r="E2199" s="3" t="n">
        <v>3</v>
      </c>
      <c r="F2199" s="2" t="n">
        <v>3</v>
      </c>
      <c r="G2199" s="4" t="n">
        <v>3</v>
      </c>
      <c r="H2199" s="13" t="n"/>
      <c r="I2199" s="15" t="n"/>
      <c r="J2199" s="19" t="n">
        <v>3</v>
      </c>
      <c r="K2199" s="2" t="inlineStr">
        <is>
          <t>marker_665_366726.png</t>
        </is>
      </c>
      <c r="L2199" s="11">
        <f>HYPERLINK("3\0\" &amp; K2199, "Ver Imagen")</f>
        <v/>
      </c>
      <c r="M2199" t="inlineStr">
        <is>
          <t>Moda</t>
        </is>
      </c>
    </row>
    <row r="2200">
      <c r="A2200" t="n">
        <v>2199</v>
      </c>
      <c r="B2200" t="inlineStr">
        <is>
          <t>A-497_2C__598</t>
        </is>
      </c>
      <c r="C2200" s="1" t="n">
        <v>37.2027907249</v>
      </c>
      <c r="D2200" s="1" t="n">
        <v>-7.00237707801</v>
      </c>
      <c r="E2200" s="3" t="n">
        <v>3</v>
      </c>
      <c r="F2200" s="2" t="n">
        <v>3</v>
      </c>
      <c r="G2200" s="4" t="n">
        <v>3</v>
      </c>
      <c r="H2200" s="13" t="n"/>
      <c r="I2200" s="15" t="n"/>
      <c r="J2200" s="19" t="n">
        <v>3</v>
      </c>
      <c r="K2200" s="2" t="inlineStr">
        <is>
          <t>marker_860_366742.png</t>
        </is>
      </c>
      <c r="L2200" s="11">
        <f>HYPERLINK("3\0\" &amp; K2200, "Ver Imagen")</f>
        <v/>
      </c>
      <c r="M2200" t="inlineStr">
        <is>
          <t>Moda</t>
        </is>
      </c>
    </row>
    <row r="2201">
      <c r="A2201" t="n">
        <v>2200</v>
      </c>
      <c r="B2201" t="inlineStr">
        <is>
          <t>A-497_2C__599</t>
        </is>
      </c>
      <c r="C2201" s="1" t="n">
        <v>37.2027652622</v>
      </c>
      <c r="D2201" s="1" t="n">
        <v>-7.00215280466</v>
      </c>
      <c r="E2201" s="3" t="n">
        <v>3</v>
      </c>
      <c r="F2201" s="2" t="n">
        <v>3</v>
      </c>
      <c r="G2201" s="4" t="n">
        <v>3</v>
      </c>
      <c r="H2201" s="13" t="n"/>
      <c r="I2201" s="15" t="n"/>
      <c r="J2201" s="19" t="n">
        <v>3</v>
      </c>
      <c r="K2201" s="2" t="inlineStr">
        <is>
          <t>marker_124_366754.png</t>
        </is>
      </c>
      <c r="L2201" s="11">
        <f>HYPERLINK("3\0\" &amp; K2201, "Ver Imagen")</f>
        <v/>
      </c>
      <c r="M2201" t="inlineStr">
        <is>
          <t>Moda</t>
        </is>
      </c>
    </row>
    <row r="2202">
      <c r="A2202" t="n">
        <v>2201</v>
      </c>
      <c r="B2202" t="inlineStr">
        <is>
          <t>A-497_2C__603</t>
        </is>
      </c>
      <c r="C2202" s="1" t="n">
        <v>37.2026410006</v>
      </c>
      <c r="D2202" s="1" t="n">
        <v>-7.00107136345</v>
      </c>
      <c r="E2202" s="3" t="n">
        <v>3</v>
      </c>
      <c r="F2202" s="2" t="n">
        <v>3</v>
      </c>
      <c r="G2202" s="4" t="n">
        <v>3</v>
      </c>
      <c r="H2202" s="13" t="n"/>
      <c r="I2202" s="15" t="n"/>
      <c r="J2202" s="19" t="n">
        <v>3</v>
      </c>
      <c r="K2202" s="2" t="inlineStr">
        <is>
          <t>marker_226_366794.png</t>
        </is>
      </c>
      <c r="L2202" s="11">
        <f>HYPERLINK("3\0\" &amp; K2202, "Ver Imagen")</f>
        <v/>
      </c>
      <c r="M2202" t="inlineStr">
        <is>
          <t>Moda</t>
        </is>
      </c>
    </row>
    <row r="2203">
      <c r="A2203" t="n">
        <v>2202</v>
      </c>
      <c r="B2203" t="inlineStr">
        <is>
          <t>A-497_2C__604</t>
        </is>
      </c>
      <c r="C2203" s="1" t="n">
        <v>37.2026121515</v>
      </c>
      <c r="D2203" s="1" t="n">
        <v>-7.00083697481</v>
      </c>
      <c r="E2203" s="3" t="n">
        <v>3</v>
      </c>
      <c r="F2203" s="2" t="n">
        <v>3</v>
      </c>
      <c r="G2203" s="4" t="n">
        <v>3</v>
      </c>
      <c r="H2203" s="13" t="n"/>
      <c r="I2203" s="15" t="n"/>
      <c r="J2203" s="19" t="n">
        <v>3</v>
      </c>
      <c r="K2203" s="2" t="inlineStr">
        <is>
          <t>marker_305_366802.png</t>
        </is>
      </c>
      <c r="L2203" s="11">
        <f>HYPERLINK("3\0\" &amp; K2203, "Ver Imagen")</f>
        <v/>
      </c>
      <c r="M2203" t="inlineStr">
        <is>
          <t>Moda</t>
        </is>
      </c>
    </row>
    <row r="2204">
      <c r="A2204" t="n">
        <v>2203</v>
      </c>
      <c r="B2204" t="inlineStr">
        <is>
          <t>A-497_2C__605</t>
        </is>
      </c>
      <c r="C2204" s="1" t="n">
        <v>37.2025820566</v>
      </c>
      <c r="D2204" s="1" t="n">
        <v>-7.00059873224</v>
      </c>
      <c r="E2204" s="3" t="n">
        <v>3</v>
      </c>
      <c r="F2204" s="2" t="n">
        <v>3</v>
      </c>
      <c r="G2204" s="4" t="n">
        <v>3</v>
      </c>
      <c r="H2204" s="13" t="n"/>
      <c r="I2204" s="15" t="n"/>
      <c r="J2204" s="19" t="n">
        <v>3</v>
      </c>
      <c r="K2204" s="2" t="inlineStr">
        <is>
          <t>marker_118_366811.png</t>
        </is>
      </c>
      <c r="L2204" s="11">
        <f>HYPERLINK("3\0\" &amp; K2204, "Ver Imagen")</f>
        <v/>
      </c>
      <c r="M2204" t="inlineStr">
        <is>
          <t>Moda</t>
        </is>
      </c>
    </row>
    <row r="2205">
      <c r="A2205" t="n">
        <v>2204</v>
      </c>
      <c r="B2205" t="inlineStr">
        <is>
          <t>A-497_2C__607</t>
        </is>
      </c>
      <c r="C2205" s="1" t="n">
        <v>37.202513973</v>
      </c>
      <c r="D2205" s="1" t="n">
        <v>-7.00007019417</v>
      </c>
      <c r="E2205" s="3" t="n">
        <v>3</v>
      </c>
      <c r="F2205" s="2" t="n">
        <v>3</v>
      </c>
      <c r="G2205" s="4" t="n">
        <v>3</v>
      </c>
      <c r="H2205" s="13" t="n"/>
      <c r="I2205" s="15" t="n"/>
      <c r="J2205" s="19" t="n">
        <v>3</v>
      </c>
      <c r="K2205" s="2" t="inlineStr">
        <is>
          <t>marker_754_366843.png</t>
        </is>
      </c>
      <c r="L2205" s="11">
        <f>HYPERLINK("3\0\" &amp; K2205, "Ver Imagen")</f>
        <v/>
      </c>
      <c r="M2205" t="inlineStr">
        <is>
          <t>Moda</t>
        </is>
      </c>
    </row>
    <row r="2206">
      <c r="A2206" t="n">
        <v>2205</v>
      </c>
      <c r="B2206" t="inlineStr">
        <is>
          <t>A-497_2C__610</t>
        </is>
      </c>
      <c r="C2206" s="1" t="n">
        <v>37.2024149848</v>
      </c>
      <c r="D2206" s="1" t="n">
        <v>-6.99929846308</v>
      </c>
      <c r="E2206" s="3" t="n">
        <v>3</v>
      </c>
      <c r="F2206" s="2" t="n">
        <v>3</v>
      </c>
      <c r="G2206" s="4" t="n">
        <v>3</v>
      </c>
      <c r="H2206" s="13" t="n"/>
      <c r="I2206" s="15" t="n"/>
      <c r="J2206" s="19" t="n">
        <v>3</v>
      </c>
      <c r="K2206" s="2" t="inlineStr">
        <is>
          <t>marker_533_366871.png</t>
        </is>
      </c>
      <c r="L2206" s="11">
        <f>HYPERLINK("3\0\" &amp; K2206, "Ver Imagen")</f>
        <v/>
      </c>
      <c r="M2206" t="inlineStr">
        <is>
          <t>Moda</t>
        </is>
      </c>
    </row>
    <row r="2207">
      <c r="A2207" t="n">
        <v>2206</v>
      </c>
      <c r="B2207" t="inlineStr">
        <is>
          <t>A-497_2C__611</t>
        </is>
      </c>
      <c r="C2207" s="1" t="n">
        <v>37.2023828258</v>
      </c>
      <c r="D2207" s="1" t="n">
        <v>-6.99905198147</v>
      </c>
      <c r="E2207" s="3" t="n">
        <v>3</v>
      </c>
      <c r="F2207" s="2" t="n">
        <v>3</v>
      </c>
      <c r="G2207" s="4" t="n">
        <v>3</v>
      </c>
      <c r="H2207" s="13" t="n"/>
      <c r="I2207" s="15" t="n"/>
      <c r="J2207" s="19" t="n">
        <v>3</v>
      </c>
      <c r="K2207" s="2" t="inlineStr">
        <is>
          <t>marker_872_366881.png</t>
        </is>
      </c>
      <c r="L2207" s="11">
        <f>HYPERLINK("3\0\" &amp; K2207, "Ver Imagen")</f>
        <v/>
      </c>
      <c r="M2207" t="inlineStr">
        <is>
          <t>Moda</t>
        </is>
      </c>
    </row>
    <row r="2208">
      <c r="A2208" t="n">
        <v>2207</v>
      </c>
      <c r="B2208" t="inlineStr">
        <is>
          <t>A-497_2C__612</t>
        </is>
      </c>
      <c r="C2208" s="1" t="n">
        <v>37.2023507854</v>
      </c>
      <c r="D2208" s="1" t="n">
        <v>-6.99881985364</v>
      </c>
      <c r="E2208" s="3" t="n">
        <v>3</v>
      </c>
      <c r="F2208" s="2" t="n">
        <v>3</v>
      </c>
      <c r="G2208" s="4" t="n">
        <v>3</v>
      </c>
      <c r="H2208" s="13" t="n"/>
      <c r="I2208" s="15" t="n"/>
      <c r="J2208" s="19" t="n">
        <v>3</v>
      </c>
      <c r="K2208" s="2" t="inlineStr">
        <is>
          <t>marker_713_366890.png</t>
        </is>
      </c>
      <c r="L2208" s="11">
        <f>HYPERLINK("3\0\" &amp; K2208, "Ver Imagen")</f>
        <v/>
      </c>
      <c r="M2208" t="inlineStr">
        <is>
          <t>Moda</t>
        </is>
      </c>
    </row>
    <row r="2209">
      <c r="A2209" t="n">
        <v>2208</v>
      </c>
      <c r="B2209" t="inlineStr">
        <is>
          <t>A-497_2C__613</t>
        </is>
      </c>
      <c r="C2209" s="1" t="n">
        <v>37.2023103105</v>
      </c>
      <c r="D2209" s="1" t="n">
        <v>-6.99853790284</v>
      </c>
      <c r="E2209" s="3" t="n">
        <v>3</v>
      </c>
      <c r="F2209" s="2" t="n">
        <v>3</v>
      </c>
      <c r="G2209" s="4" t="n">
        <v>3</v>
      </c>
      <c r="H2209" s="13" t="n"/>
      <c r="I2209" s="15" t="n"/>
      <c r="J2209" s="19" t="n">
        <v>3</v>
      </c>
      <c r="K2209" s="2" t="inlineStr">
        <is>
          <t>marker_365_366901.png</t>
        </is>
      </c>
      <c r="L2209" s="11">
        <f>HYPERLINK("3\0\" &amp; K2209, "Ver Imagen")</f>
        <v/>
      </c>
      <c r="M2209" t="inlineStr">
        <is>
          <t>Moda</t>
        </is>
      </c>
    </row>
    <row r="2210">
      <c r="A2210" t="n">
        <v>2209</v>
      </c>
      <c r="B2210" t="inlineStr">
        <is>
          <t>A-497_2C__614</t>
        </is>
      </c>
      <c r="C2210" s="1" t="n">
        <v>37.2022774236</v>
      </c>
      <c r="D2210" s="1" t="n">
        <v>-6.99831225982</v>
      </c>
      <c r="E2210" s="3" t="n">
        <v>3</v>
      </c>
      <c r="F2210" s="2" t="n">
        <v>3</v>
      </c>
      <c r="G2210" s="4" t="n">
        <v>3</v>
      </c>
      <c r="H2210" s="13" t="n"/>
      <c r="I2210" s="15" t="n"/>
      <c r="J2210" s="19" t="n">
        <v>3</v>
      </c>
      <c r="K2210" s="2" t="inlineStr">
        <is>
          <t>marker_937_366909.png</t>
        </is>
      </c>
      <c r="L2210" s="11">
        <f>HYPERLINK("3\0\" &amp; K2210, "Ver Imagen")</f>
        <v/>
      </c>
      <c r="M2210" t="inlineStr">
        <is>
          <t>Moda</t>
        </is>
      </c>
    </row>
    <row r="2211">
      <c r="A2211" t="n">
        <v>2210</v>
      </c>
      <c r="B2211" t="inlineStr">
        <is>
          <t>A-497_2C__616</t>
        </is>
      </c>
      <c r="C2211" s="1" t="n">
        <v>37.2022065182</v>
      </c>
      <c r="D2211" s="1" t="n">
        <v>-6.99782728029</v>
      </c>
      <c r="E2211" s="3" t="n">
        <v>3</v>
      </c>
      <c r="F2211" s="2" t="n">
        <v>3</v>
      </c>
      <c r="G2211" s="4" t="n">
        <v>3</v>
      </c>
      <c r="H2211" s="13" t="n"/>
      <c r="I2211" s="15" t="n"/>
      <c r="J2211" s="19" t="n">
        <v>3</v>
      </c>
      <c r="K2211" s="2" t="inlineStr">
        <is>
          <t>marker_722_366928.png</t>
        </is>
      </c>
      <c r="L2211" s="11">
        <f>HYPERLINK("3\0\" &amp; K2211, "Ver Imagen")</f>
        <v/>
      </c>
      <c r="M2211" t="inlineStr">
        <is>
          <t>Moda</t>
        </is>
      </c>
    </row>
    <row r="2212">
      <c r="A2212" t="n">
        <v>2211</v>
      </c>
      <c r="B2212" t="inlineStr">
        <is>
          <t>A-497_2C__618</t>
        </is>
      </c>
      <c r="C2212" s="1" t="n">
        <v>37.2021335525</v>
      </c>
      <c r="D2212" s="1" t="n">
        <v>-6.99733061067</v>
      </c>
      <c r="E2212" s="3" t="n">
        <v>3</v>
      </c>
      <c r="F2212" s="2" t="n">
        <v>3</v>
      </c>
      <c r="G2212" s="4" t="n">
        <v>3</v>
      </c>
      <c r="H2212" s="13" t="n"/>
      <c r="I2212" s="15" t="n"/>
      <c r="J2212" s="19" t="n">
        <v>3</v>
      </c>
      <c r="K2212" s="2" t="inlineStr">
        <is>
          <t>marker_285_366962.png</t>
        </is>
      </c>
      <c r="L2212" s="11">
        <f>HYPERLINK("3\0\" &amp; K2212, "Ver Imagen")</f>
        <v/>
      </c>
      <c r="M2212" t="inlineStr">
        <is>
          <t>Moda</t>
        </is>
      </c>
    </row>
    <row r="2213">
      <c r="A2213" t="n">
        <v>2212</v>
      </c>
      <c r="B2213" t="inlineStr">
        <is>
          <t>A-497_2C__619</t>
        </is>
      </c>
      <c r="C2213" s="1" t="n">
        <v>37.2020930768</v>
      </c>
      <c r="D2213" s="1" t="n">
        <v>-6.99705840632</v>
      </c>
      <c r="E2213" s="3" t="n">
        <v>3</v>
      </c>
      <c r="F2213" s="2" t="n">
        <v>3</v>
      </c>
      <c r="G2213" s="4" t="n">
        <v>3</v>
      </c>
      <c r="H2213" s="13" t="n"/>
      <c r="I2213" s="15" t="n"/>
      <c r="J2213" s="19" t="n">
        <v>3</v>
      </c>
      <c r="K2213" s="2" t="inlineStr">
        <is>
          <t>marker_911_366970.png</t>
        </is>
      </c>
      <c r="L2213" s="11">
        <f>HYPERLINK("3\0\" &amp; K2213, "Ver Imagen")</f>
        <v/>
      </c>
      <c r="M2213" t="inlineStr">
        <is>
          <t>Moda</t>
        </is>
      </c>
    </row>
    <row r="2214">
      <c r="A2214" t="n">
        <v>2213</v>
      </c>
      <c r="B2214" t="inlineStr">
        <is>
          <t>A-497_2C__621</t>
        </is>
      </c>
      <c r="C2214" s="1" t="n">
        <v>37.2020181877</v>
      </c>
      <c r="D2214" s="1" t="n">
        <v>-6.99656702684</v>
      </c>
      <c r="E2214" s="3" t="n">
        <v>3</v>
      </c>
      <c r="F2214" s="2" t="n">
        <v>3</v>
      </c>
      <c r="G2214" s="4" t="n">
        <v>3</v>
      </c>
      <c r="H2214" s="13" t="n"/>
      <c r="I2214" s="15" t="n"/>
      <c r="J2214" s="19" t="n">
        <v>3</v>
      </c>
      <c r="K2214" s="2" t="inlineStr">
        <is>
          <t>marker_223_366995.png</t>
        </is>
      </c>
      <c r="L2214" s="11">
        <f>HYPERLINK("3\0\" &amp; K2214, "Ver Imagen")</f>
        <v/>
      </c>
      <c r="M2214" t="inlineStr">
        <is>
          <t>Moda</t>
        </is>
      </c>
    </row>
    <row r="2215">
      <c r="A2215" t="n">
        <v>2214</v>
      </c>
      <c r="B2215" t="inlineStr">
        <is>
          <t>A-497_2C__622</t>
        </is>
      </c>
      <c r="C2215" s="1" t="n">
        <v>37.2019797443</v>
      </c>
      <c r="D2215" s="1" t="n">
        <v>-6.9963245274</v>
      </c>
      <c r="E2215" s="3" t="n">
        <v>3</v>
      </c>
      <c r="F2215" s="2" t="n">
        <v>3</v>
      </c>
      <c r="G2215" s="4" t="n">
        <v>3</v>
      </c>
      <c r="H2215" s="13" t="n"/>
      <c r="I2215" s="15" t="n"/>
      <c r="J2215" s="19" t="n">
        <v>3</v>
      </c>
      <c r="K2215" s="2" t="inlineStr">
        <is>
          <t>marker_958_367004.png</t>
        </is>
      </c>
      <c r="L2215" s="11">
        <f>HYPERLINK("3\0\" &amp; K2215, "Ver Imagen")</f>
        <v/>
      </c>
      <c r="M2215" t="inlineStr">
        <is>
          <t>Moda</t>
        </is>
      </c>
    </row>
    <row r="2216">
      <c r="A2216" t="n">
        <v>2215</v>
      </c>
      <c r="B2216" t="inlineStr">
        <is>
          <t>A-497__406</t>
        </is>
      </c>
      <c r="C2216" s="1" t="n">
        <v>37.2295335465</v>
      </c>
      <c r="D2216" s="1" t="n">
        <v>-7.02061303766</v>
      </c>
      <c r="E2216" s="3" t="n">
        <v>3</v>
      </c>
      <c r="F2216" s="2" t="n">
        <v>3</v>
      </c>
      <c r="G2216" s="4" t="n">
        <v>3</v>
      </c>
      <c r="H2216" s="13" t="n"/>
      <c r="I2216" s="15" t="n"/>
      <c r="J2216" s="19" t="n">
        <v>3</v>
      </c>
      <c r="K2216" s="2" t="inlineStr">
        <is>
          <t>marker_987_377135.png</t>
        </is>
      </c>
      <c r="L2216" s="11">
        <f>HYPERLINK("3\0\" &amp; K2216, "Ver Imagen")</f>
        <v/>
      </c>
      <c r="M2216" t="inlineStr">
        <is>
          <t>Moda</t>
        </is>
      </c>
    </row>
    <row r="2217">
      <c r="A2217" t="n">
        <v>2216</v>
      </c>
      <c r="B2217" t="inlineStr">
        <is>
          <t>A-497__395</t>
        </is>
      </c>
      <c r="C2217" s="1" t="n">
        <v>37.2314269458</v>
      </c>
      <c r="D2217" s="1" t="n">
        <v>-7.01916311077</v>
      </c>
      <c r="E2217" s="3" t="n">
        <v>3</v>
      </c>
      <c r="F2217" s="2" t="n">
        <v>3</v>
      </c>
      <c r="G2217" s="4" t="n">
        <v>3</v>
      </c>
      <c r="H2217" s="13" t="n"/>
      <c r="I2217" s="15" t="n"/>
      <c r="J2217" s="19" t="n">
        <v>3</v>
      </c>
      <c r="K2217" s="2" t="inlineStr">
        <is>
          <t>marker_912_377237.png</t>
        </is>
      </c>
      <c r="L2217" s="11">
        <f>HYPERLINK("3\0\" &amp; K2217, "Ver Imagen")</f>
        <v/>
      </c>
      <c r="M2217" t="inlineStr">
        <is>
          <t>Moda</t>
        </is>
      </c>
    </row>
    <row r="2218">
      <c r="A2218" t="n">
        <v>2217</v>
      </c>
      <c r="B2218" t="inlineStr">
        <is>
          <t>A-497__392</t>
        </is>
      </c>
      <c r="C2218" s="1" t="n">
        <v>37.2319902449</v>
      </c>
      <c r="D2218" s="1" t="n">
        <v>-7.0187449968</v>
      </c>
      <c r="E2218" s="3" t="n">
        <v>3</v>
      </c>
      <c r="F2218" s="2" t="n">
        <v>3</v>
      </c>
      <c r="G2218" s="4" t="n">
        <v>3</v>
      </c>
      <c r="H2218" s="13" t="n"/>
      <c r="I2218" s="15" t="n"/>
      <c r="J2218" s="19" t="n">
        <v>3</v>
      </c>
      <c r="K2218" s="2" t="inlineStr">
        <is>
          <t>marker_459_377265.png</t>
        </is>
      </c>
      <c r="L2218" s="11">
        <f>HYPERLINK("3\0\" &amp; K2218, "Ver Imagen")</f>
        <v/>
      </c>
      <c r="M2218" t="inlineStr">
        <is>
          <t>Moda</t>
        </is>
      </c>
    </row>
    <row r="2219">
      <c r="A2219" t="n">
        <v>2218</v>
      </c>
      <c r="B2219" t="inlineStr">
        <is>
          <t>A-497__388</t>
        </is>
      </c>
      <c r="C2219" s="1" t="n">
        <v>37.2327031001</v>
      </c>
      <c r="D2219" s="1" t="n">
        <v>-7.01831848436</v>
      </c>
      <c r="E2219" s="3" t="n">
        <v>3</v>
      </c>
      <c r="F2219" s="2" t="n">
        <v>3</v>
      </c>
      <c r="G2219" s="4" t="n">
        <v>3</v>
      </c>
      <c r="H2219" s="13" t="n"/>
      <c r="I2219" s="15" t="n"/>
      <c r="J2219" s="19" t="n">
        <v>3</v>
      </c>
      <c r="K2219" s="2" t="inlineStr">
        <is>
          <t>marker_681_377301.png</t>
        </is>
      </c>
      <c r="L2219" s="11">
        <f>HYPERLINK("3\0\" &amp; K2219, "Ver Imagen")</f>
        <v/>
      </c>
      <c r="M2219" t="inlineStr">
        <is>
          <t>Moda</t>
        </is>
      </c>
    </row>
    <row r="2220">
      <c r="A2220" t="n">
        <v>2219</v>
      </c>
      <c r="B2220" t="inlineStr">
        <is>
          <t>A-497__386</t>
        </is>
      </c>
      <c r="C2220" s="1" t="n">
        <v>37.233096108</v>
      </c>
      <c r="D2220" s="1" t="n">
        <v>-7.01816101182</v>
      </c>
      <c r="E2220" s="3" t="n">
        <v>3</v>
      </c>
      <c r="F2220" s="2" t="n">
        <v>3</v>
      </c>
      <c r="G2220" s="4" t="n">
        <v>3</v>
      </c>
      <c r="H2220" s="13" t="n"/>
      <c r="I2220" s="15" t="n"/>
      <c r="J2220" s="19" t="n">
        <v>3</v>
      </c>
      <c r="K2220" s="2" t="inlineStr">
        <is>
          <t>marker_339_377318.png</t>
        </is>
      </c>
      <c r="L2220" s="11">
        <f>HYPERLINK("3\0\" &amp; K2220, "Ver Imagen")</f>
        <v/>
      </c>
      <c r="M2220" t="inlineStr">
        <is>
          <t>Moda</t>
        </is>
      </c>
    </row>
    <row r="2221">
      <c r="A2221" t="n">
        <v>2220</v>
      </c>
      <c r="B2221" t="inlineStr">
        <is>
          <t>A-497__363</t>
        </is>
      </c>
      <c r="C2221" s="1" t="n">
        <v>37.2377127411</v>
      </c>
      <c r="D2221" s="1" t="n">
        <v>-7.01857174204</v>
      </c>
      <c r="E2221" s="3" t="n">
        <v>3</v>
      </c>
      <c r="F2221" s="2" t="n">
        <v>3</v>
      </c>
      <c r="G2221" s="4" t="n">
        <v>3</v>
      </c>
      <c r="H2221" s="13" t="n"/>
      <c r="I2221" s="15" t="n"/>
      <c r="J2221" s="19" t="n">
        <v>3</v>
      </c>
      <c r="K2221" s="2" t="inlineStr">
        <is>
          <t>marker_758_377522.png</t>
        </is>
      </c>
      <c r="L2221" s="11">
        <f>HYPERLINK("3\0\" &amp; K2221, "Ver Imagen")</f>
        <v/>
      </c>
      <c r="M2221" t="inlineStr">
        <is>
          <t>Moda</t>
        </is>
      </c>
    </row>
    <row r="2222">
      <c r="A2222" t="n">
        <v>2221</v>
      </c>
      <c r="B2222" t="inlineStr">
        <is>
          <t>A-497__338</t>
        </is>
      </c>
      <c r="C2222" s="1" t="n">
        <v>37.2427466307</v>
      </c>
      <c r="D2222" s="1" t="n">
        <v>-7.018380944</v>
      </c>
      <c r="E2222" s="3" t="n">
        <v>3</v>
      </c>
      <c r="F2222" s="2" t="n">
        <v>3</v>
      </c>
      <c r="G2222" s="4" t="n">
        <v>3</v>
      </c>
      <c r="H2222" s="13" t="n"/>
      <c r="I2222" s="15" t="n"/>
      <c r="J2222" s="19" t="n">
        <v>3</v>
      </c>
      <c r="K2222" s="2" t="inlineStr">
        <is>
          <t>marker_723_377790.png</t>
        </is>
      </c>
      <c r="L2222" s="11">
        <f>HYPERLINK("3\0\" &amp; K2222, "Ver Imagen")</f>
        <v/>
      </c>
      <c r="M2222" t="inlineStr">
        <is>
          <t>Moda</t>
        </is>
      </c>
    </row>
    <row r="2223">
      <c r="A2223" t="n">
        <v>2222</v>
      </c>
      <c r="B2223" t="inlineStr">
        <is>
          <t>A-497__334</t>
        </is>
      </c>
      <c r="C2223" s="1" t="n">
        <v>37.2436100563</v>
      </c>
      <c r="D2223" s="1" t="n">
        <v>-7.01834390554</v>
      </c>
      <c r="E2223" s="3" t="n">
        <v>3</v>
      </c>
      <c r="F2223" s="2" t="n">
        <v>3</v>
      </c>
      <c r="G2223" s="4" t="n">
        <v>3</v>
      </c>
      <c r="H2223" s="13" t="n"/>
      <c r="I2223" s="15" t="n"/>
      <c r="J2223" s="19" t="n">
        <v>3</v>
      </c>
      <c r="K2223" s="2" t="inlineStr">
        <is>
          <t>marker_331_377835.png</t>
        </is>
      </c>
      <c r="L2223" s="11">
        <f>HYPERLINK("3\0\" &amp; K2223, "Ver Imagen")</f>
        <v/>
      </c>
      <c r="M2223" t="inlineStr">
        <is>
          <t>Moda</t>
        </is>
      </c>
    </row>
    <row r="2224">
      <c r="A2224" t="n">
        <v>2223</v>
      </c>
      <c r="B2224" t="inlineStr">
        <is>
          <t>A-497__323</t>
        </is>
      </c>
      <c r="C2224" s="1" t="n">
        <v>37.2458013189</v>
      </c>
      <c r="D2224" s="1" t="n">
        <v>-7.01826647518</v>
      </c>
      <c r="E2224" s="3" t="n">
        <v>3</v>
      </c>
      <c r="F2224" s="2" t="n">
        <v>3</v>
      </c>
      <c r="G2224" s="4" t="n">
        <v>3</v>
      </c>
      <c r="H2224" s="13" t="n"/>
      <c r="I2224" s="15" t="n"/>
      <c r="J2224" s="19" t="n">
        <v>3</v>
      </c>
      <c r="K2224" s="2" t="inlineStr">
        <is>
          <t>marker_211_377934.png</t>
        </is>
      </c>
      <c r="L2224" s="11">
        <f>HYPERLINK("3\0\" &amp; K2224, "Ver Imagen")</f>
        <v/>
      </c>
      <c r="M2224" t="inlineStr">
        <is>
          <t>Moda</t>
        </is>
      </c>
    </row>
    <row r="2225">
      <c r="A2225" t="n">
        <v>2224</v>
      </c>
      <c r="B2225" t="inlineStr">
        <is>
          <t>A-497__320</t>
        </is>
      </c>
      <c r="C2225" s="1" t="n">
        <v>37.2464171615</v>
      </c>
      <c r="D2225" s="1" t="n">
        <v>-7.01824727435</v>
      </c>
      <c r="E2225" s="3" t="n">
        <v>3</v>
      </c>
      <c r="F2225" s="2" t="n">
        <v>3</v>
      </c>
      <c r="G2225" s="4" t="n">
        <v>3</v>
      </c>
      <c r="H2225" s="13" t="n"/>
      <c r="I2225" s="15" t="n"/>
      <c r="J2225" s="19" t="n">
        <v>3</v>
      </c>
      <c r="K2225" s="2" t="inlineStr">
        <is>
          <t>marker_982_377963.png</t>
        </is>
      </c>
      <c r="L2225" s="11">
        <f>HYPERLINK("3\0\" &amp; K2225, "Ver Imagen")</f>
        <v/>
      </c>
      <c r="M2225" t="inlineStr">
        <is>
          <t>Moda</t>
        </is>
      </c>
    </row>
    <row r="2226">
      <c r="A2226" t="n">
        <v>2225</v>
      </c>
      <c r="B2226" t="inlineStr">
        <is>
          <t>A-497__318</t>
        </is>
      </c>
      <c r="C2226" s="1" t="n">
        <v>37.2468035705</v>
      </c>
      <c r="D2226" s="1" t="n">
        <v>-7.01823318612</v>
      </c>
      <c r="E2226" s="3" t="n">
        <v>3</v>
      </c>
      <c r="F2226" s="2" t="n">
        <v>3</v>
      </c>
      <c r="G2226" s="4" t="n">
        <v>3</v>
      </c>
      <c r="H2226" s="13" t="n"/>
      <c r="I2226" s="15" t="n"/>
      <c r="J2226" s="19" t="n">
        <v>3</v>
      </c>
      <c r="K2226" s="2" t="inlineStr">
        <is>
          <t>marker_874_377988.png</t>
        </is>
      </c>
      <c r="L2226" s="11">
        <f>HYPERLINK("3\0\" &amp; K2226, "Ver Imagen")</f>
        <v/>
      </c>
      <c r="M2226" t="inlineStr">
        <is>
          <t>Moda</t>
        </is>
      </c>
    </row>
    <row r="2227">
      <c r="A2227" t="n">
        <v>2226</v>
      </c>
      <c r="B2227" t="inlineStr">
        <is>
          <t>A-497__316</t>
        </is>
      </c>
      <c r="C2227" s="1" t="n">
        <v>37.2471950929</v>
      </c>
      <c r="D2227" s="1" t="n">
        <v>-7.01821862608</v>
      </c>
      <c r="E2227" s="3" t="n">
        <v>3</v>
      </c>
      <c r="F2227" s="2" t="n">
        <v>3</v>
      </c>
      <c r="G2227" s="4" t="n">
        <v>3</v>
      </c>
      <c r="H2227" s="13" t="n"/>
      <c r="I2227" s="15" t="n"/>
      <c r="J2227" s="19" t="n">
        <v>3</v>
      </c>
      <c r="K2227" s="2" t="inlineStr">
        <is>
          <t>marker_251_378006.png</t>
        </is>
      </c>
      <c r="L2227" s="11">
        <f>HYPERLINK("3\0\" &amp; K2227, "Ver Imagen")</f>
        <v/>
      </c>
      <c r="M2227" t="inlineStr">
        <is>
          <t>Moda</t>
        </is>
      </c>
    </row>
    <row r="2228">
      <c r="A2228" t="n">
        <v>2227</v>
      </c>
      <c r="B2228" t="inlineStr">
        <is>
          <t>A-497__308</t>
        </is>
      </c>
      <c r="C2228" s="1" t="n">
        <v>37.2488444321</v>
      </c>
      <c r="D2228" s="1" t="n">
        <v>-7.01812761363</v>
      </c>
      <c r="E2228" s="3" t="n">
        <v>3</v>
      </c>
      <c r="F2228" s="2" t="n">
        <v>3</v>
      </c>
      <c r="G2228" s="4" t="n">
        <v>3</v>
      </c>
      <c r="H2228" s="13" t="n"/>
      <c r="I2228" s="15" t="n"/>
      <c r="J2228" s="19" t="n">
        <v>3</v>
      </c>
      <c r="K2228" s="2" t="inlineStr">
        <is>
          <t>marker_451_378120.png</t>
        </is>
      </c>
      <c r="L2228" s="11">
        <f>HYPERLINK("3\0\" &amp; K2228, "Ver Imagen")</f>
        <v/>
      </c>
      <c r="M2228" t="inlineStr">
        <is>
          <t>Moda</t>
        </is>
      </c>
    </row>
    <row r="2229">
      <c r="A2229" t="n">
        <v>2228</v>
      </c>
      <c r="B2229" t="inlineStr">
        <is>
          <t>A-497__305</t>
        </is>
      </c>
      <c r="C2229" s="1" t="n">
        <v>37.2494289779</v>
      </c>
      <c r="D2229" s="1" t="n">
        <v>-7.01802110482</v>
      </c>
      <c r="E2229" s="3" t="n">
        <v>3</v>
      </c>
      <c r="F2229" s="2" t="n">
        <v>3</v>
      </c>
      <c r="G2229" s="4" t="n">
        <v>3</v>
      </c>
      <c r="H2229" s="13" t="n"/>
      <c r="I2229" s="15" t="n"/>
      <c r="J2229" s="19" t="n">
        <v>3</v>
      </c>
      <c r="K2229" s="2" t="inlineStr">
        <is>
          <t>marker_425_378148.png</t>
        </is>
      </c>
      <c r="L2229" s="11">
        <f>HYPERLINK("3\0\" &amp; K2229, "Ver Imagen")</f>
        <v/>
      </c>
      <c r="M2229" t="inlineStr">
        <is>
          <t>Moda</t>
        </is>
      </c>
    </row>
    <row r="2230">
      <c r="A2230" t="n">
        <v>2229</v>
      </c>
      <c r="B2230" t="inlineStr">
        <is>
          <t>A-497__294</t>
        </is>
      </c>
      <c r="C2230" s="1" t="n">
        <v>37.2514638831</v>
      </c>
      <c r="D2230" s="1" t="n">
        <v>-7.01694297164</v>
      </c>
      <c r="E2230" s="3" t="n">
        <v>3</v>
      </c>
      <c r="F2230" s="2" t="n">
        <v>3</v>
      </c>
      <c r="G2230" s="4" t="n">
        <v>3</v>
      </c>
      <c r="H2230" s="13" t="n"/>
      <c r="I2230" s="15" t="n"/>
      <c r="J2230" s="19" t="n">
        <v>3</v>
      </c>
      <c r="K2230" s="2" t="inlineStr">
        <is>
          <t>marker_888_378301.png</t>
        </is>
      </c>
      <c r="L2230" s="11">
        <f>HYPERLINK("3\0\" &amp; K2230, "Ver Imagen")</f>
        <v/>
      </c>
      <c r="M2230" t="inlineStr">
        <is>
          <t>Moda</t>
        </is>
      </c>
    </row>
    <row r="2231">
      <c r="A2231" t="n">
        <v>2230</v>
      </c>
      <c r="B2231" t="inlineStr">
        <is>
          <t>A-497__278</t>
        </is>
      </c>
      <c r="C2231" s="1" t="n">
        <v>37.2543921461</v>
      </c>
      <c r="D2231" s="1" t="n">
        <v>-7.01508019661</v>
      </c>
      <c r="E2231" s="3" t="n">
        <v>3</v>
      </c>
      <c r="F2231" s="2" t="n">
        <v>3</v>
      </c>
      <c r="G2231" s="4" t="n">
        <v>3</v>
      </c>
      <c r="H2231" s="13" t="n"/>
      <c r="I2231" s="15" t="n"/>
      <c r="J2231" s="19" t="n">
        <v>3</v>
      </c>
      <c r="K2231" s="2" t="inlineStr">
        <is>
          <t>marker_187_378496.png</t>
        </is>
      </c>
      <c r="L2231" s="11">
        <f>HYPERLINK("3\0\" &amp; K2231, "Ver Imagen")</f>
        <v/>
      </c>
      <c r="M2231" t="inlineStr">
        <is>
          <t>Moda</t>
        </is>
      </c>
    </row>
    <row r="2232">
      <c r="A2232" t="n">
        <v>2231</v>
      </c>
      <c r="B2232" t="inlineStr">
        <is>
          <t>A-497__269</t>
        </is>
      </c>
      <c r="C2232" s="1" t="n">
        <v>37.2560169963</v>
      </c>
      <c r="D2232" s="1" t="n">
        <v>-7.01404925881</v>
      </c>
      <c r="E2232" s="3" t="n">
        <v>3</v>
      </c>
      <c r="F2232" s="2" t="n">
        <v>3</v>
      </c>
      <c r="G2232" s="4" t="n">
        <v>3</v>
      </c>
      <c r="H2232" s="13" t="n"/>
      <c r="I2232" s="15" t="n"/>
      <c r="J2232" s="19" t="n">
        <v>3</v>
      </c>
      <c r="K2232" s="2" t="inlineStr">
        <is>
          <t>marker_422_378593.png</t>
        </is>
      </c>
      <c r="L2232" s="11">
        <f>HYPERLINK("3\0\" &amp; K2232, "Ver Imagen")</f>
        <v/>
      </c>
      <c r="M2232" t="inlineStr">
        <is>
          <t>Moda</t>
        </is>
      </c>
    </row>
    <row r="2233">
      <c r="A2233" t="n">
        <v>2232</v>
      </c>
      <c r="B2233" t="inlineStr">
        <is>
          <t>A-497__268</t>
        </is>
      </c>
      <c r="C2233" s="1" t="n">
        <v>37.256161617</v>
      </c>
      <c r="D2233" s="1" t="n">
        <v>-7.01395629753</v>
      </c>
      <c r="E2233" s="3" t="n">
        <v>3</v>
      </c>
      <c r="F2233" s="2" t="n">
        <v>3</v>
      </c>
      <c r="G2233" s="4" t="n">
        <v>3</v>
      </c>
      <c r="H2233" s="13" t="n"/>
      <c r="I2233" s="15" t="n"/>
      <c r="J2233" s="19" t="n">
        <v>3</v>
      </c>
      <c r="K2233" s="2" t="inlineStr">
        <is>
          <t>marker_646_378601.png</t>
        </is>
      </c>
      <c r="L2233" s="11">
        <f>HYPERLINK("3\0\" &amp; K2233, "Ver Imagen")</f>
        <v/>
      </c>
      <c r="M2233" t="inlineStr">
        <is>
          <t>Moda</t>
        </is>
      </c>
    </row>
    <row r="2234">
      <c r="A2234" t="n">
        <v>2233</v>
      </c>
      <c r="B2234" t="inlineStr">
        <is>
          <t>A-497__263</t>
        </is>
      </c>
      <c r="C2234" s="1" t="n">
        <v>37.2570545326</v>
      </c>
      <c r="D2234" s="1" t="n">
        <v>-7.0133849848</v>
      </c>
      <c r="E2234" s="3" t="n">
        <v>3</v>
      </c>
      <c r="F2234" s="2" t="n">
        <v>3</v>
      </c>
      <c r="G2234" s="4" t="n">
        <v>3</v>
      </c>
      <c r="H2234" s="13" t="n"/>
      <c r="I2234" s="15" t="n"/>
      <c r="J2234" s="19" t="n">
        <v>3</v>
      </c>
      <c r="K2234" s="2" t="inlineStr">
        <is>
          <t>marker_445_378649.png</t>
        </is>
      </c>
      <c r="L2234" s="11">
        <f>HYPERLINK("3\0\" &amp; K2234, "Ver Imagen")</f>
        <v/>
      </c>
      <c r="M2234" t="inlineStr">
        <is>
          <t>Moda</t>
        </is>
      </c>
    </row>
    <row r="2235">
      <c r="A2235" t="n">
        <v>2234</v>
      </c>
      <c r="B2235" t="inlineStr">
        <is>
          <t>A-497__245</t>
        </is>
      </c>
      <c r="C2235" s="1" t="n">
        <v>37.2603056048</v>
      </c>
      <c r="D2235" s="1" t="n">
        <v>-7.0113135765</v>
      </c>
      <c r="E2235" s="3" t="n">
        <v>3</v>
      </c>
      <c r="F2235" s="2" t="n">
        <v>3</v>
      </c>
      <c r="G2235" s="4" t="n">
        <v>3</v>
      </c>
      <c r="H2235" s="13" t="n"/>
      <c r="I2235" s="15" t="n"/>
      <c r="J2235" s="19" t="n">
        <v>3</v>
      </c>
      <c r="K2235" s="2" t="inlineStr">
        <is>
          <t>marker_835_378834.png</t>
        </is>
      </c>
      <c r="L2235" s="11">
        <f>HYPERLINK("3\0\" &amp; K2235, "Ver Imagen")</f>
        <v/>
      </c>
      <c r="M2235" t="inlineStr">
        <is>
          <t>Moda</t>
        </is>
      </c>
    </row>
    <row r="2236">
      <c r="A2236" t="n">
        <v>2235</v>
      </c>
      <c r="B2236" t="inlineStr">
        <is>
          <t>A-497__244</t>
        </is>
      </c>
      <c r="C2236" s="1" t="n">
        <v>37.2604760039</v>
      </c>
      <c r="D2236" s="1" t="n">
        <v>-7.01120553572</v>
      </c>
      <c r="E2236" s="3" t="n">
        <v>3</v>
      </c>
      <c r="F2236" s="2" t="n">
        <v>3</v>
      </c>
      <c r="G2236" s="4" t="n">
        <v>3</v>
      </c>
      <c r="H2236" s="13" t="n"/>
      <c r="I2236" s="15" t="n"/>
      <c r="J2236" s="19" t="n">
        <v>3</v>
      </c>
      <c r="K2236" s="2" t="inlineStr">
        <is>
          <t>marker_423_378844.png</t>
        </is>
      </c>
      <c r="L2236" s="11">
        <f>HYPERLINK("3\0\" &amp; K2236, "Ver Imagen")</f>
        <v/>
      </c>
      <c r="M2236" t="inlineStr">
        <is>
          <t>Moda</t>
        </is>
      </c>
    </row>
    <row r="2237">
      <c r="A2237" t="n">
        <v>2236</v>
      </c>
      <c r="B2237" t="inlineStr">
        <is>
          <t>A-497__242</t>
        </is>
      </c>
      <c r="C2237" s="1" t="n">
        <v>37.2608661335</v>
      </c>
      <c r="D2237" s="1" t="n">
        <v>-7.01095592328</v>
      </c>
      <c r="E2237" s="3" t="n">
        <v>3</v>
      </c>
      <c r="F2237" s="2" t="n">
        <v>3</v>
      </c>
      <c r="G2237" s="4" t="n">
        <v>3</v>
      </c>
      <c r="H2237" s="13" t="n"/>
      <c r="I2237" s="15" t="n"/>
      <c r="J2237" s="19" t="n">
        <v>3</v>
      </c>
      <c r="K2237" s="2" t="inlineStr">
        <is>
          <t>marker_192_378861.png</t>
        </is>
      </c>
      <c r="L2237" s="11">
        <f>HYPERLINK("3\0\" &amp; K2237, "Ver Imagen")</f>
        <v/>
      </c>
      <c r="M2237" t="inlineStr">
        <is>
          <t>Moda</t>
        </is>
      </c>
    </row>
    <row r="2238">
      <c r="A2238" t="n">
        <v>2237</v>
      </c>
      <c r="B2238" t="inlineStr">
        <is>
          <t>A-497__241</t>
        </is>
      </c>
      <c r="C2238" s="1" t="n">
        <v>37.2610338659</v>
      </c>
      <c r="D2238" s="1" t="n">
        <v>-7.01084580568</v>
      </c>
      <c r="E2238" s="3" t="n">
        <v>3</v>
      </c>
      <c r="F2238" s="2" t="n">
        <v>3</v>
      </c>
      <c r="G2238" s="4" t="n">
        <v>3</v>
      </c>
      <c r="H2238" s="13" t="n"/>
      <c r="I2238" s="15" t="n"/>
      <c r="J2238" s="19" t="n">
        <v>3</v>
      </c>
      <c r="K2238" s="2" t="inlineStr">
        <is>
          <t>marker_259_378871.png</t>
        </is>
      </c>
      <c r="L2238" s="11">
        <f>HYPERLINK("3\0\" &amp; K2238, "Ver Imagen")</f>
        <v/>
      </c>
      <c r="M2238" t="inlineStr">
        <is>
          <t>Moda</t>
        </is>
      </c>
    </row>
    <row r="2239">
      <c r="A2239" t="n">
        <v>2238</v>
      </c>
      <c r="B2239" t="inlineStr">
        <is>
          <t>A-497__234</t>
        </is>
      </c>
      <c r="C2239" s="1" t="n">
        <v>37.2621547088</v>
      </c>
      <c r="D2239" s="1" t="n">
        <v>-7.00985619009</v>
      </c>
      <c r="E2239" s="3" t="n">
        <v>3</v>
      </c>
      <c r="F2239" s="2" t="n">
        <v>3</v>
      </c>
      <c r="G2239" s="4" t="n">
        <v>3</v>
      </c>
      <c r="H2239" s="13" t="n"/>
      <c r="I2239" s="15" t="n"/>
      <c r="J2239" s="19" t="n">
        <v>3</v>
      </c>
      <c r="K2239" s="2" t="inlineStr">
        <is>
          <t>marker_567_378991.png</t>
        </is>
      </c>
      <c r="L2239" s="11">
        <f>HYPERLINK("3\0\" &amp; K2239, "Ver Imagen")</f>
        <v/>
      </c>
      <c r="M2239" t="inlineStr">
        <is>
          <t>Moda</t>
        </is>
      </c>
    </row>
    <row r="2240">
      <c r="A2240" t="n">
        <v>2239</v>
      </c>
      <c r="B2240" t="inlineStr">
        <is>
          <t>A-497__233</t>
        </is>
      </c>
      <c r="C2240" s="1" t="n">
        <v>37.2623017167</v>
      </c>
      <c r="D2240" s="1" t="n">
        <v>-7.00967085307</v>
      </c>
      <c r="E2240" s="3" t="n">
        <v>3</v>
      </c>
      <c r="F2240" s="2" t="n">
        <v>3</v>
      </c>
      <c r="G2240" s="4" t="n">
        <v>3</v>
      </c>
      <c r="H2240" s="13" t="n"/>
      <c r="I2240" s="15" t="n"/>
      <c r="J2240" s="19" t="n">
        <v>3</v>
      </c>
      <c r="K2240" s="2" t="inlineStr">
        <is>
          <t>marker_504_379002.png</t>
        </is>
      </c>
      <c r="L2240" s="11">
        <f>HYPERLINK("3\0\" &amp; K2240, "Ver Imagen")</f>
        <v/>
      </c>
      <c r="M2240" t="inlineStr">
        <is>
          <t>Moda</t>
        </is>
      </c>
    </row>
    <row r="2241">
      <c r="A2241" t="n">
        <v>2240</v>
      </c>
      <c r="B2241" t="inlineStr">
        <is>
          <t>A-497__230</t>
        </is>
      </c>
      <c r="C2241" s="1" t="n">
        <v>37.2626916397</v>
      </c>
      <c r="D2241" s="1" t="n">
        <v>-7.00908395351</v>
      </c>
      <c r="E2241" s="3" t="n">
        <v>3</v>
      </c>
      <c r="F2241" s="2" t="n">
        <v>3</v>
      </c>
      <c r="G2241" s="4" t="n">
        <v>3</v>
      </c>
      <c r="H2241" s="13" t="n"/>
      <c r="I2241" s="15" t="n"/>
      <c r="J2241" s="19" t="n">
        <v>3</v>
      </c>
      <c r="K2241" s="2" t="inlineStr">
        <is>
          <t>marker_745_379038.png</t>
        </is>
      </c>
      <c r="L2241" s="11">
        <f>HYPERLINK("3\0\" &amp; K2241, "Ver Imagen")</f>
        <v/>
      </c>
      <c r="M2241" t="inlineStr">
        <is>
          <t>Moda</t>
        </is>
      </c>
    </row>
    <row r="2242">
      <c r="A2242" t="n">
        <v>2241</v>
      </c>
      <c r="B2242" t="inlineStr">
        <is>
          <t>A-497__225</t>
        </is>
      </c>
      <c r="C2242" s="1" t="n">
        <v>37.2631963544</v>
      </c>
      <c r="D2242" s="1" t="n">
        <v>-7.00796173095</v>
      </c>
      <c r="E2242" s="3" t="n">
        <v>3</v>
      </c>
      <c r="F2242" s="2" t="n">
        <v>3</v>
      </c>
      <c r="G2242" s="4" t="n">
        <v>3</v>
      </c>
      <c r="H2242" s="13" t="n"/>
      <c r="I2242" s="15" t="n"/>
      <c r="J2242" s="19" t="n">
        <v>3</v>
      </c>
      <c r="K2242" s="2" t="inlineStr">
        <is>
          <t>marker_806_379089.png</t>
        </is>
      </c>
      <c r="L2242" s="11">
        <f>HYPERLINK("3\0\" &amp; K2242, "Ver Imagen")</f>
        <v/>
      </c>
      <c r="M2242" t="inlineStr">
        <is>
          <t>Moda</t>
        </is>
      </c>
    </row>
    <row r="2243">
      <c r="A2243" t="n">
        <v>2242</v>
      </c>
      <c r="B2243" t="inlineStr">
        <is>
          <t>A-497__224</t>
        </is>
      </c>
      <c r="C2243" s="1" t="n">
        <v>37.2632681721</v>
      </c>
      <c r="D2243" s="1" t="n">
        <v>-7.00773046043</v>
      </c>
      <c r="E2243" s="3" t="n">
        <v>3</v>
      </c>
      <c r="F2243" s="2" t="n">
        <v>3</v>
      </c>
      <c r="G2243" s="4" t="n">
        <v>3</v>
      </c>
      <c r="H2243" s="13" t="n"/>
      <c r="I2243" s="15" t="n"/>
      <c r="J2243" s="19" t="n">
        <v>3</v>
      </c>
      <c r="K2243" s="2" t="inlineStr">
        <is>
          <t>marker_459_379102.png</t>
        </is>
      </c>
      <c r="L2243" s="11">
        <f>HYPERLINK("3\0\" &amp; K2243, "Ver Imagen")</f>
        <v/>
      </c>
      <c r="M2243" t="inlineStr">
        <is>
          <t>Moda</t>
        </is>
      </c>
    </row>
    <row r="2244">
      <c r="A2244" t="n">
        <v>2243</v>
      </c>
      <c r="B2244" t="inlineStr">
        <is>
          <t>A-497__218</t>
        </is>
      </c>
      <c r="C2244" s="1" t="n">
        <v>37.2635693985</v>
      </c>
      <c r="D2244" s="1" t="n">
        <v>-7.00628860723</v>
      </c>
      <c r="E2244" s="3" t="n">
        <v>3</v>
      </c>
      <c r="F2244" s="2" t="n">
        <v>3</v>
      </c>
      <c r="G2244" s="4" t="n">
        <v>3</v>
      </c>
      <c r="H2244" s="13" t="n"/>
      <c r="I2244" s="15" t="n"/>
      <c r="J2244" s="19" t="n">
        <v>3</v>
      </c>
      <c r="K2244" s="2" t="inlineStr">
        <is>
          <t>marker_916_379165.png</t>
        </is>
      </c>
      <c r="L2244" s="11">
        <f>HYPERLINK("3\0\" &amp; K2244, "Ver Imagen")</f>
        <v/>
      </c>
      <c r="M2244" t="inlineStr">
        <is>
          <t>Moda</t>
        </is>
      </c>
    </row>
    <row r="2245">
      <c r="A2245" t="n">
        <v>2244</v>
      </c>
      <c r="B2245" t="inlineStr">
        <is>
          <t>A-497__217</t>
        </is>
      </c>
      <c r="C2245" s="1" t="n">
        <v>37.2636238515</v>
      </c>
      <c r="D2245" s="1" t="n">
        <v>-7.00598046583</v>
      </c>
      <c r="E2245" s="3" t="n">
        <v>3</v>
      </c>
      <c r="F2245" s="2" t="n">
        <v>3</v>
      </c>
      <c r="G2245" s="4" t="n">
        <v>3</v>
      </c>
      <c r="H2245" s="13" t="n"/>
      <c r="I2245" s="15" t="n"/>
      <c r="J2245" s="19" t="n">
        <v>3</v>
      </c>
      <c r="K2245" s="2" t="inlineStr">
        <is>
          <t>marker_660_379183.png</t>
        </is>
      </c>
      <c r="L2245" s="11">
        <f>HYPERLINK("3\0\" &amp; K2245, "Ver Imagen")</f>
        <v/>
      </c>
      <c r="M2245" t="inlineStr">
        <is>
          <t>Moda</t>
        </is>
      </c>
    </row>
    <row r="2246">
      <c r="A2246" t="n">
        <v>2245</v>
      </c>
      <c r="B2246" t="inlineStr">
        <is>
          <t>A-497__210</t>
        </is>
      </c>
      <c r="C2246" s="1" t="n">
        <v>37.2639258348</v>
      </c>
      <c r="D2246" s="1" t="n">
        <v>-7.00428745963</v>
      </c>
      <c r="E2246" s="3" t="n">
        <v>3</v>
      </c>
      <c r="F2246" s="2" t="n">
        <v>3</v>
      </c>
      <c r="G2246" s="4" t="n">
        <v>3</v>
      </c>
      <c r="H2246" s="13" t="n"/>
      <c r="I2246" s="15" t="n"/>
      <c r="J2246" s="19" t="n">
        <v>3</v>
      </c>
      <c r="K2246" s="2" t="inlineStr">
        <is>
          <t>marker_618_379259.png</t>
        </is>
      </c>
      <c r="L2246" s="11">
        <f>HYPERLINK("3\0\" &amp; K2246, "Ver Imagen")</f>
        <v/>
      </c>
      <c r="M2246" t="inlineStr">
        <is>
          <t>Moda</t>
        </is>
      </c>
    </row>
    <row r="2247">
      <c r="A2247" t="n">
        <v>2246</v>
      </c>
      <c r="B2247" t="inlineStr">
        <is>
          <t>A-497__209</t>
        </is>
      </c>
      <c r="C2247" s="1" t="n">
        <v>37.2639652886</v>
      </c>
      <c r="D2247" s="1" t="n">
        <v>-7.00406151432</v>
      </c>
      <c r="E2247" s="3" t="n">
        <v>3</v>
      </c>
      <c r="F2247" s="2" t="n">
        <v>3</v>
      </c>
      <c r="G2247" s="4" t="n">
        <v>3</v>
      </c>
      <c r="H2247" s="13" t="n"/>
      <c r="I2247" s="15" t="n"/>
      <c r="J2247" s="19" t="n">
        <v>3</v>
      </c>
      <c r="K2247" s="2" t="inlineStr">
        <is>
          <t>marker_957_379268.png</t>
        </is>
      </c>
      <c r="L2247" s="11">
        <f>HYPERLINK("3\0\" &amp; K2247, "Ver Imagen")</f>
        <v/>
      </c>
      <c r="M2247" t="inlineStr">
        <is>
          <t>Moda</t>
        </is>
      </c>
    </row>
    <row r="2248">
      <c r="A2248" t="n">
        <v>2247</v>
      </c>
      <c r="B2248" t="inlineStr">
        <is>
          <t>A-497__202</t>
        </is>
      </c>
      <c r="C2248" s="1" t="n">
        <v>37.2642747482</v>
      </c>
      <c r="D2248" s="1" t="n">
        <v>-7.00230504074</v>
      </c>
      <c r="E2248" s="3" t="n">
        <v>3</v>
      </c>
      <c r="F2248" s="2" t="n">
        <v>3</v>
      </c>
      <c r="G2248" s="4" t="n">
        <v>3</v>
      </c>
      <c r="H2248" s="13" t="n"/>
      <c r="I2248" s="15" t="n"/>
      <c r="J2248" s="19" t="n">
        <v>3</v>
      </c>
      <c r="K2248" s="2" t="inlineStr">
        <is>
          <t>marker_846_379392.png</t>
        </is>
      </c>
      <c r="L2248" s="11">
        <f>HYPERLINK("3\0\" &amp; K2248, "Ver Imagen")</f>
        <v/>
      </c>
      <c r="M2248" t="inlineStr">
        <is>
          <t>Moda</t>
        </is>
      </c>
    </row>
    <row r="2249">
      <c r="A2249" t="n">
        <v>2248</v>
      </c>
      <c r="B2249" t="inlineStr">
        <is>
          <t>A-497__201</t>
        </is>
      </c>
      <c r="C2249" s="1" t="n">
        <v>37.2643161946</v>
      </c>
      <c r="D2249" s="1" t="n">
        <v>-7.00207402187</v>
      </c>
      <c r="E2249" s="3" t="n">
        <v>3</v>
      </c>
      <c r="F2249" s="2" t="n">
        <v>3</v>
      </c>
      <c r="G2249" s="4" t="n">
        <v>3</v>
      </c>
      <c r="H2249" s="13" t="n"/>
      <c r="I2249" s="15" t="n"/>
      <c r="J2249" s="19" t="n">
        <v>3</v>
      </c>
      <c r="K2249" s="2" t="inlineStr">
        <is>
          <t>marker_629_379401.png</t>
        </is>
      </c>
      <c r="L2249" s="11">
        <f>HYPERLINK("3\0\" &amp; K2249, "Ver Imagen")</f>
        <v/>
      </c>
      <c r="M2249" t="inlineStr">
        <is>
          <t>Moda</t>
        </is>
      </c>
    </row>
    <row r="2250">
      <c r="A2250" t="n">
        <v>2249</v>
      </c>
      <c r="B2250" t="inlineStr">
        <is>
          <t>A-497__200</t>
        </is>
      </c>
      <c r="C2250" s="1" t="n">
        <v>37.2643603125</v>
      </c>
      <c r="D2250" s="1" t="n">
        <v>-7.00182877621</v>
      </c>
      <c r="E2250" s="3" t="n">
        <v>3</v>
      </c>
      <c r="F2250" s="2" t="n">
        <v>3</v>
      </c>
      <c r="G2250" s="4" t="n">
        <v>3</v>
      </c>
      <c r="H2250" s="13" t="n"/>
      <c r="I2250" s="15" t="n"/>
      <c r="J2250" s="19" t="n">
        <v>3</v>
      </c>
      <c r="K2250" s="2" t="inlineStr">
        <is>
          <t>marker_623_379410.png</t>
        </is>
      </c>
      <c r="L2250" s="11">
        <f>HYPERLINK("3\0\" &amp; K2250, "Ver Imagen")</f>
        <v/>
      </c>
      <c r="M2250" t="inlineStr">
        <is>
          <t>Moda</t>
        </is>
      </c>
    </row>
    <row r="2251">
      <c r="A2251" t="n">
        <v>2250</v>
      </c>
      <c r="B2251" t="inlineStr">
        <is>
          <t>A-497__199</t>
        </is>
      </c>
      <c r="C2251" s="1" t="n">
        <v>37.2644016621</v>
      </c>
      <c r="D2251" s="1" t="n">
        <v>-7.00159806839</v>
      </c>
      <c r="E2251" s="3" t="n">
        <v>3</v>
      </c>
      <c r="F2251" s="2" t="n">
        <v>3</v>
      </c>
      <c r="G2251" s="4" t="n">
        <v>3</v>
      </c>
      <c r="H2251" s="13" t="n"/>
      <c r="I2251" s="15" t="n"/>
      <c r="J2251" s="19" t="n">
        <v>3</v>
      </c>
      <c r="K2251" s="2" t="inlineStr">
        <is>
          <t>marker_323_379419.png</t>
        </is>
      </c>
      <c r="L2251" s="11">
        <f>HYPERLINK("3\0\" &amp; K2251, "Ver Imagen")</f>
        <v/>
      </c>
      <c r="M2251" t="inlineStr">
        <is>
          <t>Moda</t>
        </is>
      </c>
    </row>
    <row r="2252">
      <c r="A2252" t="n">
        <v>2251</v>
      </c>
      <c r="B2252" t="inlineStr">
        <is>
          <t>A-497__194</t>
        </is>
      </c>
      <c r="C2252" s="1" t="n">
        <v>37.264623636</v>
      </c>
      <c r="D2252" s="1" t="n">
        <v>-7.0003678151</v>
      </c>
      <c r="E2252" s="3" t="n">
        <v>3</v>
      </c>
      <c r="F2252" s="2" t="n">
        <v>3</v>
      </c>
      <c r="G2252" s="4" t="n">
        <v>3</v>
      </c>
      <c r="H2252" s="13" t="n"/>
      <c r="I2252" s="15" t="n"/>
      <c r="J2252" s="19" t="n">
        <v>3</v>
      </c>
      <c r="K2252" s="2" t="inlineStr">
        <is>
          <t>marker_957_379470.png</t>
        </is>
      </c>
      <c r="L2252" s="11">
        <f>HYPERLINK("3\0\" &amp; K2252, "Ver Imagen")</f>
        <v/>
      </c>
      <c r="M2252" t="inlineStr">
        <is>
          <t>Moda</t>
        </is>
      </c>
    </row>
    <row r="2253">
      <c r="A2253" t="n">
        <v>2252</v>
      </c>
      <c r="B2253" t="inlineStr">
        <is>
          <t>A-497__191</t>
        </is>
      </c>
      <c r="C2253" s="1" t="n">
        <v>37.2647608845</v>
      </c>
      <c r="D2253" s="1" t="n">
        <v>-6.99959840409</v>
      </c>
      <c r="E2253" s="3" t="n">
        <v>3</v>
      </c>
      <c r="F2253" s="2" t="n">
        <v>3</v>
      </c>
      <c r="G2253" s="4" t="n">
        <v>3</v>
      </c>
      <c r="H2253" s="13" t="n"/>
      <c r="I2253" s="15" t="n"/>
      <c r="J2253" s="19" t="n">
        <v>3</v>
      </c>
      <c r="K2253" s="2" t="inlineStr">
        <is>
          <t>marker_412_379501.png</t>
        </is>
      </c>
      <c r="L2253" s="11">
        <f>HYPERLINK("3\0\" &amp; K2253, "Ver Imagen")</f>
        <v/>
      </c>
      <c r="M2253" t="inlineStr">
        <is>
          <t>Moda</t>
        </is>
      </c>
    </row>
    <row r="2254">
      <c r="A2254" t="n">
        <v>2253</v>
      </c>
      <c r="B2254" t="inlineStr">
        <is>
          <t>A-497__190</t>
        </is>
      </c>
      <c r="C2254" s="1" t="n">
        <v>37.2648136586</v>
      </c>
      <c r="D2254" s="1" t="n">
        <v>-6.99929539101</v>
      </c>
      <c r="E2254" s="3" t="n">
        <v>3</v>
      </c>
      <c r="F2254" s="2" t="n">
        <v>3</v>
      </c>
      <c r="G2254" s="4" t="n">
        <v>3</v>
      </c>
      <c r="H2254" s="13" t="n"/>
      <c r="I2254" s="15" t="n"/>
      <c r="J2254" s="19" t="n">
        <v>3</v>
      </c>
      <c r="K2254" s="2" t="inlineStr">
        <is>
          <t>marker_913_379511.png</t>
        </is>
      </c>
      <c r="L2254" s="11">
        <f>HYPERLINK("3\0\" &amp; K2254, "Ver Imagen")</f>
        <v/>
      </c>
      <c r="M2254" t="inlineStr">
        <is>
          <t>Moda</t>
        </is>
      </c>
    </row>
    <row r="2255">
      <c r="A2255" t="n">
        <v>2254</v>
      </c>
      <c r="B2255" t="inlineStr">
        <is>
          <t>A-497__189</t>
        </is>
      </c>
      <c r="C2255" s="1" t="n">
        <v>37.2648486601</v>
      </c>
      <c r="D2255" s="1" t="n">
        <v>-6.99909421334</v>
      </c>
      <c r="E2255" s="3" t="n">
        <v>3</v>
      </c>
      <c r="F2255" s="2" t="n">
        <v>3</v>
      </c>
      <c r="G2255" s="4" t="n">
        <v>3</v>
      </c>
      <c r="H2255" s="13" t="n"/>
      <c r="I2255" s="15" t="n"/>
      <c r="J2255" s="19" t="n">
        <v>3</v>
      </c>
      <c r="K2255" s="2" t="inlineStr">
        <is>
          <t>marker_917_379530.png</t>
        </is>
      </c>
      <c r="L2255" s="11">
        <f>HYPERLINK("3\0\" &amp; K2255, "Ver Imagen")</f>
        <v/>
      </c>
      <c r="M2255" t="inlineStr">
        <is>
          <t>Moda</t>
        </is>
      </c>
    </row>
    <row r="2256">
      <c r="A2256" t="n">
        <v>2255</v>
      </c>
      <c r="B2256" t="inlineStr">
        <is>
          <t>A-497__184</t>
        </is>
      </c>
      <c r="C2256" s="1" t="n">
        <v>37.2650604755</v>
      </c>
      <c r="D2256" s="1" t="n">
        <v>-6.99788552453</v>
      </c>
      <c r="E2256" s="3" t="n">
        <v>3</v>
      </c>
      <c r="F2256" s="2" t="n">
        <v>3</v>
      </c>
      <c r="G2256" s="4" t="n">
        <v>3</v>
      </c>
      <c r="H2256" s="13" t="n"/>
      <c r="I2256" s="15" t="n"/>
      <c r="J2256" s="19" t="n">
        <v>3</v>
      </c>
      <c r="K2256" s="2" t="inlineStr">
        <is>
          <t>marker_141_379596.png</t>
        </is>
      </c>
      <c r="L2256" s="11">
        <f>HYPERLINK("3\0\" &amp; K2256, "Ver Imagen")</f>
        <v/>
      </c>
      <c r="M2256" t="inlineStr">
        <is>
          <t>Moda</t>
        </is>
      </c>
    </row>
    <row r="2257">
      <c r="A2257" t="n">
        <v>2256</v>
      </c>
      <c r="B2257" t="inlineStr">
        <is>
          <t>A-497__173</t>
        </is>
      </c>
      <c r="C2257" s="1" t="n">
        <v>37.2655448092</v>
      </c>
      <c r="D2257" s="1" t="n">
        <v>-6.9951668424</v>
      </c>
      <c r="E2257" s="3" t="n">
        <v>3</v>
      </c>
      <c r="F2257" s="2" t="n">
        <v>3</v>
      </c>
      <c r="G2257" s="4" t="n">
        <v>3</v>
      </c>
      <c r="H2257" s="13" t="n"/>
      <c r="I2257" s="15" t="n"/>
      <c r="J2257" s="19" t="n">
        <v>3</v>
      </c>
      <c r="K2257" s="2" t="inlineStr">
        <is>
          <t>marker_849_379724.png</t>
        </is>
      </c>
      <c r="L2257" s="11">
        <f>HYPERLINK("3\0\" &amp; K2257, "Ver Imagen")</f>
        <v/>
      </c>
      <c r="M2257" t="inlineStr">
        <is>
          <t>Moda</t>
        </is>
      </c>
    </row>
    <row r="2258">
      <c r="A2258" t="n">
        <v>2257</v>
      </c>
      <c r="B2258" t="inlineStr">
        <is>
          <t>A-497__172</t>
        </is>
      </c>
      <c r="C2258" s="1" t="n">
        <v>37.2655839279</v>
      </c>
      <c r="D2258" s="1" t="n">
        <v>-6.99494598196</v>
      </c>
      <c r="E2258" s="3" t="n">
        <v>3</v>
      </c>
      <c r="F2258" s="2" t="n">
        <v>3</v>
      </c>
      <c r="G2258" s="4" t="n">
        <v>3</v>
      </c>
      <c r="H2258" s="13" t="n"/>
      <c r="I2258" s="15" t="n"/>
      <c r="J2258" s="19" t="n">
        <v>3</v>
      </c>
      <c r="K2258" s="2" t="inlineStr">
        <is>
          <t>marker_875_379736.png</t>
        </is>
      </c>
      <c r="L2258" s="11">
        <f>HYPERLINK("3\0\" &amp; K2258, "Ver Imagen")</f>
        <v/>
      </c>
      <c r="M2258" t="inlineStr">
        <is>
          <t>Moda</t>
        </is>
      </c>
    </row>
    <row r="2259">
      <c r="A2259" t="n">
        <v>2258</v>
      </c>
      <c r="B2259" t="inlineStr">
        <is>
          <t>A-497__171</t>
        </is>
      </c>
      <c r="C2259" s="1" t="n">
        <v>37.265644721</v>
      </c>
      <c r="D2259" s="1" t="n">
        <v>-6.9946178927</v>
      </c>
      <c r="E2259" s="3" t="n">
        <v>3</v>
      </c>
      <c r="F2259" s="2" t="n">
        <v>3</v>
      </c>
      <c r="G2259" s="4" t="n">
        <v>3</v>
      </c>
      <c r="H2259" s="13" t="n"/>
      <c r="I2259" s="15" t="n"/>
      <c r="J2259" s="19" t="n">
        <v>3</v>
      </c>
      <c r="K2259" s="2" t="inlineStr">
        <is>
          <t>marker_189_379754.png</t>
        </is>
      </c>
      <c r="L2259" s="11">
        <f>HYPERLINK("3\0\" &amp; K2259, "Ver Imagen")</f>
        <v/>
      </c>
      <c r="M2259" t="inlineStr">
        <is>
          <t>Moda</t>
        </is>
      </c>
    </row>
    <row r="2260">
      <c r="A2260" t="n">
        <v>2259</v>
      </c>
      <c r="B2260" t="inlineStr">
        <is>
          <t>A-497__169</t>
        </is>
      </c>
      <c r="C2260" s="1" t="n">
        <v>37.2657522204</v>
      </c>
      <c r="D2260" s="1" t="n">
        <v>-6.994133589</v>
      </c>
      <c r="E2260" s="3" t="n">
        <v>3</v>
      </c>
      <c r="F2260" s="2" t="n">
        <v>3</v>
      </c>
      <c r="G2260" s="4" t="n">
        <v>3</v>
      </c>
      <c r="H2260" s="13" t="n"/>
      <c r="I2260" s="15" t="n"/>
      <c r="J2260" s="19" t="n">
        <v>3</v>
      </c>
      <c r="K2260" s="2" t="inlineStr">
        <is>
          <t>marker_703_380161.png</t>
        </is>
      </c>
      <c r="L2260" s="11">
        <f>HYPERLINK("3\0\" &amp; K2260, "Ver Imagen")</f>
        <v/>
      </c>
      <c r="M2260" t="inlineStr">
        <is>
          <t>Moda</t>
        </is>
      </c>
    </row>
    <row r="2261">
      <c r="A2261" t="n">
        <v>2260</v>
      </c>
      <c r="B2261" t="inlineStr">
        <is>
          <t>A-497__167</t>
        </is>
      </c>
      <c r="C2261" s="1" t="n">
        <v>37.2658789244</v>
      </c>
      <c r="D2261" s="1" t="n">
        <v>-6.99369593126</v>
      </c>
      <c r="E2261" s="3" t="n">
        <v>3</v>
      </c>
      <c r="F2261" s="2" t="n">
        <v>3</v>
      </c>
      <c r="G2261" s="4" t="n">
        <v>3</v>
      </c>
      <c r="H2261" s="13" t="n"/>
      <c r="I2261" s="15" t="n"/>
      <c r="J2261" s="19" t="n">
        <v>3</v>
      </c>
      <c r="K2261" s="2" t="inlineStr">
        <is>
          <t>marker_704_380183.png</t>
        </is>
      </c>
      <c r="L2261" s="11">
        <f>HYPERLINK("3\0\" &amp; K2261, "Ver Imagen")</f>
        <v/>
      </c>
      <c r="M2261" t="inlineStr">
        <is>
          <t>Moda</t>
        </is>
      </c>
    </row>
    <row r="2262">
      <c r="A2262" t="n">
        <v>2261</v>
      </c>
      <c r="B2262" t="inlineStr">
        <is>
          <t>A-497__162</t>
        </is>
      </c>
      <c r="C2262" s="1" t="n">
        <v>37.2663678345</v>
      </c>
      <c r="D2262" s="1" t="n">
        <v>-6.99257970201</v>
      </c>
      <c r="E2262" s="3" t="n">
        <v>3</v>
      </c>
      <c r="F2262" s="2" t="n">
        <v>3</v>
      </c>
      <c r="G2262" s="4" t="n">
        <v>3</v>
      </c>
      <c r="H2262" s="13" t="n"/>
      <c r="I2262" s="15" t="n"/>
      <c r="J2262" s="19" t="n">
        <v>3</v>
      </c>
      <c r="K2262" s="2" t="inlineStr">
        <is>
          <t>marker_968_380232.png</t>
        </is>
      </c>
      <c r="L2262" s="11">
        <f>HYPERLINK("3\0\" &amp; K2262, "Ver Imagen")</f>
        <v/>
      </c>
      <c r="M2262" t="inlineStr">
        <is>
          <t>Moda</t>
        </is>
      </c>
    </row>
    <row r="2263">
      <c r="A2263" t="n">
        <v>2262</v>
      </c>
      <c r="B2263" t="inlineStr">
        <is>
          <t>A-497__159</t>
        </is>
      </c>
      <c r="C2263" s="1" t="n">
        <v>37.2667620654</v>
      </c>
      <c r="D2263" s="1" t="n">
        <v>-6.99199450768</v>
      </c>
      <c r="E2263" s="3" t="n">
        <v>3</v>
      </c>
      <c r="F2263" s="2" t="n">
        <v>3</v>
      </c>
      <c r="G2263" s="4" t="n">
        <v>3</v>
      </c>
      <c r="H2263" s="13" t="n"/>
      <c r="I2263" s="15" t="n"/>
      <c r="J2263" s="19" t="n">
        <v>3</v>
      </c>
      <c r="K2263" s="2" t="inlineStr">
        <is>
          <t>marker_863_380260.png</t>
        </is>
      </c>
      <c r="L2263" s="11">
        <f>HYPERLINK("3\0\" &amp; K2263, "Ver Imagen")</f>
        <v/>
      </c>
      <c r="M2263" t="inlineStr">
        <is>
          <t>Moda</t>
        </is>
      </c>
    </row>
    <row r="2264">
      <c r="A2264" t="n">
        <v>2263</v>
      </c>
      <c r="B2264" t="inlineStr">
        <is>
          <t>A-497__158</t>
        </is>
      </c>
      <c r="C2264" s="1" t="n">
        <v>37.2668989628</v>
      </c>
      <c r="D2264" s="1" t="n">
        <v>-6.99182867811</v>
      </c>
      <c r="E2264" s="3" t="n">
        <v>3</v>
      </c>
      <c r="F2264" s="2" t="n">
        <v>3</v>
      </c>
      <c r="G2264" s="4" t="n">
        <v>3</v>
      </c>
      <c r="H2264" s="13" t="n"/>
      <c r="I2264" s="15" t="n"/>
      <c r="J2264" s="19" t="n">
        <v>3</v>
      </c>
      <c r="K2264" s="2" t="inlineStr">
        <is>
          <t>marker_856_380270.png</t>
        </is>
      </c>
      <c r="L2264" s="11">
        <f>HYPERLINK("3\0\" &amp; K2264, "Ver Imagen")</f>
        <v/>
      </c>
      <c r="M2264" t="inlineStr">
        <is>
          <t>Moda</t>
        </is>
      </c>
    </row>
    <row r="2265">
      <c r="A2265" t="n">
        <v>2264</v>
      </c>
      <c r="B2265" t="inlineStr">
        <is>
          <t>A-497__156</t>
        </is>
      </c>
      <c r="C2265" s="1" t="n">
        <v>37.2672054619</v>
      </c>
      <c r="D2265" s="1" t="n">
        <v>-6.99150697588</v>
      </c>
      <c r="E2265" s="3" t="n">
        <v>3</v>
      </c>
      <c r="F2265" s="2" t="n">
        <v>3</v>
      </c>
      <c r="G2265" s="4" t="n">
        <v>3</v>
      </c>
      <c r="H2265" s="13" t="n"/>
      <c r="I2265" s="15" t="n"/>
      <c r="J2265" s="19" t="n">
        <v>3</v>
      </c>
      <c r="K2265" s="2" t="inlineStr">
        <is>
          <t>marker_369_380288.png</t>
        </is>
      </c>
      <c r="L2265" s="11">
        <f>HYPERLINK("3\0\" &amp; K2265, "Ver Imagen")</f>
        <v/>
      </c>
      <c r="M2265" t="inlineStr">
        <is>
          <t>Moda</t>
        </is>
      </c>
    </row>
    <row r="2266">
      <c r="A2266" t="n">
        <v>2265</v>
      </c>
      <c r="B2266" t="inlineStr">
        <is>
          <t>A-497__151</t>
        </is>
      </c>
      <c r="C2266" s="1" t="n">
        <v>37.2680793065</v>
      </c>
      <c r="D2266" s="1" t="n">
        <v>-6.99082254166</v>
      </c>
      <c r="E2266" s="3" t="n">
        <v>3</v>
      </c>
      <c r="F2266" s="2" t="n">
        <v>3</v>
      </c>
      <c r="G2266" s="4" t="n">
        <v>3</v>
      </c>
      <c r="H2266" s="13" t="n"/>
      <c r="I2266" s="15" t="n"/>
      <c r="J2266" s="19" t="n">
        <v>3</v>
      </c>
      <c r="K2266" s="2" t="inlineStr">
        <is>
          <t>marker_915_380340.png</t>
        </is>
      </c>
      <c r="L2266" s="11">
        <f>HYPERLINK("3\0\" &amp; K2266, "Ver Imagen")</f>
        <v/>
      </c>
      <c r="M2266" t="inlineStr">
        <is>
          <t>Moda</t>
        </is>
      </c>
    </row>
    <row r="2267">
      <c r="A2267" t="n">
        <v>2266</v>
      </c>
      <c r="B2267" t="inlineStr">
        <is>
          <t>A-497__150</t>
        </is>
      </c>
      <c r="C2267" s="1" t="n">
        <v>37.268258453</v>
      </c>
      <c r="D2267" s="1" t="n">
        <v>-6.99069505013</v>
      </c>
      <c r="E2267" s="3" t="n">
        <v>3</v>
      </c>
      <c r="F2267" s="2" t="n">
        <v>3</v>
      </c>
      <c r="G2267" s="4" t="n">
        <v>3</v>
      </c>
      <c r="H2267" s="13" t="n"/>
      <c r="I2267" s="15" t="n"/>
      <c r="J2267" s="19" t="n">
        <v>3</v>
      </c>
      <c r="K2267" s="2" t="inlineStr">
        <is>
          <t>marker_753_380349.png</t>
        </is>
      </c>
      <c r="L2267" s="11">
        <f>HYPERLINK("3\0\" &amp; K2267, "Ver Imagen")</f>
        <v/>
      </c>
      <c r="M2267" t="inlineStr">
        <is>
          <t>Moda</t>
        </is>
      </c>
    </row>
    <row r="2268">
      <c r="A2268" t="n">
        <v>2267</v>
      </c>
      <c r="B2268" t="inlineStr">
        <is>
          <t>A-497__149</t>
        </is>
      </c>
      <c r="C2268" s="1" t="n">
        <v>37.2684255652</v>
      </c>
      <c r="D2268" s="1" t="n">
        <v>-6.9905764248</v>
      </c>
      <c r="E2268" s="3" t="n">
        <v>3</v>
      </c>
      <c r="F2268" s="2" t="n">
        <v>3</v>
      </c>
      <c r="G2268" s="4" t="n">
        <v>3</v>
      </c>
      <c r="H2268" s="13" t="n"/>
      <c r="I2268" s="15" t="n"/>
      <c r="J2268" s="19" t="n">
        <v>3</v>
      </c>
      <c r="K2268" s="2" t="inlineStr">
        <is>
          <t>marker_684_380358.png</t>
        </is>
      </c>
      <c r="L2268" s="11">
        <f>HYPERLINK("3\0\" &amp; K2268, "Ver Imagen")</f>
        <v/>
      </c>
      <c r="M2268" t="inlineStr">
        <is>
          <t>Moda</t>
        </is>
      </c>
    </row>
    <row r="2269">
      <c r="A2269" t="n">
        <v>2268</v>
      </c>
      <c r="B2269" t="inlineStr">
        <is>
          <t>A-497__133</t>
        </is>
      </c>
      <c r="C2269" s="1" t="n">
        <v>37.271157412</v>
      </c>
      <c r="D2269" s="1" t="n">
        <v>-6.98845505617</v>
      </c>
      <c r="E2269" s="3" t="n">
        <v>3</v>
      </c>
      <c r="F2269" s="2" t="n">
        <v>3</v>
      </c>
      <c r="G2269" s="4" t="n">
        <v>3</v>
      </c>
      <c r="H2269" s="13" t="n"/>
      <c r="I2269" s="15" t="n"/>
      <c r="J2269" s="19" t="n">
        <v>3</v>
      </c>
      <c r="K2269" s="2" t="inlineStr">
        <is>
          <t>marker_424_380503.png</t>
        </is>
      </c>
      <c r="L2269" s="11">
        <f>HYPERLINK("3\0\" &amp; K2269, "Ver Imagen")</f>
        <v/>
      </c>
      <c r="M2269" t="inlineStr">
        <is>
          <t>Moda</t>
        </is>
      </c>
    </row>
    <row r="2270">
      <c r="A2270" t="n">
        <v>2269</v>
      </c>
      <c r="B2270" t="inlineStr">
        <is>
          <t>A-497__127</t>
        </is>
      </c>
      <c r="C2270" s="1" t="n">
        <v>37.2716843679</v>
      </c>
      <c r="D2270" s="1" t="n">
        <v>-6.98710144536</v>
      </c>
      <c r="E2270" s="3" t="n">
        <v>3</v>
      </c>
      <c r="F2270" s="2" t="n">
        <v>3</v>
      </c>
      <c r="G2270" s="4" t="n">
        <v>3</v>
      </c>
      <c r="H2270" s="13" t="n"/>
      <c r="I2270" s="15" t="n"/>
      <c r="J2270" s="19" t="n">
        <v>3</v>
      </c>
      <c r="K2270" s="2" t="inlineStr">
        <is>
          <t>marker_251_380559.png</t>
        </is>
      </c>
      <c r="L2270" s="11">
        <f>HYPERLINK("3\0\" &amp; K2270, "Ver Imagen")</f>
        <v/>
      </c>
      <c r="M2270" t="inlineStr">
        <is>
          <t>Moda</t>
        </is>
      </c>
    </row>
    <row r="2271">
      <c r="A2271" t="n">
        <v>2270</v>
      </c>
      <c r="B2271" t="inlineStr">
        <is>
          <t>A-497__126</t>
        </is>
      </c>
      <c r="C2271" s="1" t="n">
        <v>37.2717147319</v>
      </c>
      <c r="D2271" s="1" t="n">
        <v>-6.98686790044</v>
      </c>
      <c r="E2271" s="3" t="n">
        <v>3</v>
      </c>
      <c r="F2271" s="2" t="n">
        <v>3</v>
      </c>
      <c r="G2271" s="4" t="n">
        <v>3</v>
      </c>
      <c r="H2271" s="13" t="n"/>
      <c r="I2271" s="15" t="n"/>
      <c r="J2271" s="19" t="n">
        <v>3</v>
      </c>
      <c r="K2271" s="2" t="inlineStr">
        <is>
          <t>marker_323_380571.png</t>
        </is>
      </c>
      <c r="L2271" s="11">
        <f>HYPERLINK("3\0\" &amp; K2271, "Ver Imagen")</f>
        <v/>
      </c>
      <c r="M2271" t="inlineStr">
        <is>
          <t>Moda</t>
        </is>
      </c>
    </row>
    <row r="2272">
      <c r="A2272" t="n">
        <v>2271</v>
      </c>
      <c r="B2272" t="inlineStr">
        <is>
          <t>A-497__121</t>
        </is>
      </c>
      <c r="C2272" s="1" t="n">
        <v>37.2716711909</v>
      </c>
      <c r="D2272" s="1" t="n">
        <v>-6.98558920878</v>
      </c>
      <c r="E2272" s="3" t="n">
        <v>3</v>
      </c>
      <c r="F2272" s="2" t="n">
        <v>3</v>
      </c>
      <c r="G2272" s="4" t="n">
        <v>3</v>
      </c>
      <c r="H2272" s="13" t="n"/>
      <c r="I2272" s="15" t="n"/>
      <c r="J2272" s="19" t="n">
        <v>3</v>
      </c>
      <c r="K2272" s="2" t="inlineStr">
        <is>
          <t>marker_880_380617.png</t>
        </is>
      </c>
      <c r="L2272" s="11">
        <f>HYPERLINK("3\0\" &amp; K2272, "Ver Imagen")</f>
        <v/>
      </c>
      <c r="M2272" t="inlineStr">
        <is>
          <t>Moda</t>
        </is>
      </c>
    </row>
    <row r="2273">
      <c r="A2273" t="n">
        <v>2272</v>
      </c>
      <c r="B2273" t="inlineStr">
        <is>
          <t>A-497__120</t>
        </is>
      </c>
      <c r="C2273" s="1" t="n">
        <v>37.2716375195</v>
      </c>
      <c r="D2273" s="1" t="n">
        <v>-6.98538240998</v>
      </c>
      <c r="E2273" s="3" t="n">
        <v>3</v>
      </c>
      <c r="F2273" s="2" t="n">
        <v>3</v>
      </c>
      <c r="G2273" s="4" t="n">
        <v>3</v>
      </c>
      <c r="H2273" s="13" t="n"/>
      <c r="I2273" s="15" t="n"/>
      <c r="J2273" s="19" t="n">
        <v>3</v>
      </c>
      <c r="K2273" s="2" t="inlineStr">
        <is>
          <t>marker_246_380625.png</t>
        </is>
      </c>
      <c r="L2273" s="11">
        <f>HYPERLINK("3\0\" &amp; K2273, "Ver Imagen")</f>
        <v/>
      </c>
      <c r="M2273" t="inlineStr">
        <is>
          <t>Moda</t>
        </is>
      </c>
    </row>
    <row r="2274">
      <c r="A2274" t="n">
        <v>2273</v>
      </c>
      <c r="B2274" t="inlineStr">
        <is>
          <t>A-497__117</t>
        </is>
      </c>
      <c r="C2274" s="1" t="n">
        <v>37.2714759957</v>
      </c>
      <c r="D2274" s="1" t="n">
        <v>-6.98464937861</v>
      </c>
      <c r="E2274" s="3" t="n">
        <v>3</v>
      </c>
      <c r="F2274" s="2" t="n">
        <v>3</v>
      </c>
      <c r="G2274" s="4" t="n">
        <v>3</v>
      </c>
      <c r="H2274" s="13" t="n"/>
      <c r="I2274" s="15" t="n"/>
      <c r="J2274" s="19" t="n">
        <v>3</v>
      </c>
      <c r="K2274" s="2" t="inlineStr">
        <is>
          <t>marker_721_380650.png</t>
        </is>
      </c>
      <c r="L2274" s="11">
        <f>HYPERLINK("3\0\" &amp; K2274, "Ver Imagen")</f>
        <v/>
      </c>
      <c r="M2274" t="inlineStr">
        <is>
          <t>Moda</t>
        </is>
      </c>
    </row>
    <row r="2275">
      <c r="A2275" t="n">
        <v>2274</v>
      </c>
      <c r="B2275" t="inlineStr">
        <is>
          <t>A-497__103</t>
        </is>
      </c>
      <c r="C2275" s="1" t="n">
        <v>37.2705211414</v>
      </c>
      <c r="D2275" s="1" t="n">
        <v>-6.98127862677</v>
      </c>
      <c r="E2275" s="3" t="n">
        <v>3</v>
      </c>
      <c r="F2275" s="2" t="n">
        <v>3</v>
      </c>
      <c r="G2275" s="4" t="n">
        <v>3</v>
      </c>
      <c r="H2275" s="13" t="n"/>
      <c r="I2275" s="15" t="n"/>
      <c r="J2275" s="19" t="n">
        <v>3</v>
      </c>
      <c r="K2275" s="2" t="inlineStr">
        <is>
          <t>marker_304_380809.png</t>
        </is>
      </c>
      <c r="L2275" s="11">
        <f>HYPERLINK("3\0\" &amp; K2275, "Ver Imagen")</f>
        <v/>
      </c>
      <c r="M2275" t="inlineStr">
        <is>
          <t>Moda</t>
        </is>
      </c>
    </row>
    <row r="2276">
      <c r="A2276" t="n">
        <v>2275</v>
      </c>
      <c r="B2276" t="inlineStr">
        <is>
          <t>A-497__102</t>
        </is>
      </c>
      <c r="C2276" s="1" t="n">
        <v>37.2704612002</v>
      </c>
      <c r="D2276" s="1" t="n">
        <v>-6.98107499853</v>
      </c>
      <c r="E2276" s="3" t="n">
        <v>3</v>
      </c>
      <c r="F2276" s="2" t="n">
        <v>3</v>
      </c>
      <c r="G2276" s="4" t="n">
        <v>3</v>
      </c>
      <c r="H2276" s="13" t="n"/>
      <c r="I2276" s="15" t="n"/>
      <c r="J2276" s="19" t="n">
        <v>3</v>
      </c>
      <c r="K2276" s="2" t="inlineStr">
        <is>
          <t>marker_559_380818.png</t>
        </is>
      </c>
      <c r="L2276" s="11">
        <f>HYPERLINK("3\0\" &amp; K2276, "Ver Imagen")</f>
        <v/>
      </c>
      <c r="M2276" t="inlineStr">
        <is>
          <t>Moda</t>
        </is>
      </c>
    </row>
    <row r="2277">
      <c r="A2277" t="n">
        <v>2276</v>
      </c>
      <c r="B2277" t="inlineStr">
        <is>
          <t>A-497__101</t>
        </is>
      </c>
      <c r="C2277" s="1" t="n">
        <v>37.2703862922</v>
      </c>
      <c r="D2277" s="1" t="n">
        <v>-6.98081869084</v>
      </c>
      <c r="E2277" s="3" t="n">
        <v>3</v>
      </c>
      <c r="F2277" s="2" t="n">
        <v>3</v>
      </c>
      <c r="G2277" s="4" t="n">
        <v>3</v>
      </c>
      <c r="H2277" s="13" t="n"/>
      <c r="I2277" s="15" t="n"/>
      <c r="J2277" s="19" t="n">
        <v>3</v>
      </c>
      <c r="K2277" s="2" t="inlineStr">
        <is>
          <t>marker_407_380828.png</t>
        </is>
      </c>
      <c r="L2277" s="11">
        <f>HYPERLINK("3\0\" &amp; K2277, "Ver Imagen")</f>
        <v/>
      </c>
      <c r="M2277" t="inlineStr">
        <is>
          <t>Moda</t>
        </is>
      </c>
    </row>
    <row r="2278">
      <c r="A2278" t="n">
        <v>2277</v>
      </c>
      <c r="B2278" t="inlineStr">
        <is>
          <t>A-497__99</t>
        </is>
      </c>
      <c r="C2278" s="1" t="n">
        <v>37.2702553549</v>
      </c>
      <c r="D2278" s="1" t="n">
        <v>-6.98036209522</v>
      </c>
      <c r="E2278" s="3" t="n">
        <v>3</v>
      </c>
      <c r="F2278" s="2" t="n">
        <v>3</v>
      </c>
      <c r="G2278" s="4" t="n">
        <v>3</v>
      </c>
      <c r="H2278" s="13" t="n"/>
      <c r="I2278" s="15" t="n"/>
      <c r="J2278" s="19" t="n">
        <v>3</v>
      </c>
      <c r="K2278" s="2" t="inlineStr">
        <is>
          <t>marker_237_380847.png</t>
        </is>
      </c>
      <c r="L2278" s="11">
        <f>HYPERLINK("3\0\" &amp; K2278, "Ver Imagen")</f>
        <v/>
      </c>
      <c r="M2278" t="inlineStr">
        <is>
          <t>Moda</t>
        </is>
      </c>
    </row>
    <row r="2279">
      <c r="A2279" t="n">
        <v>2278</v>
      </c>
      <c r="B2279" t="inlineStr">
        <is>
          <t>A-497__98</t>
        </is>
      </c>
      <c r="C2279" s="1" t="n">
        <v>37.2701824321</v>
      </c>
      <c r="D2279" s="1" t="n">
        <v>-6.98010484653</v>
      </c>
      <c r="E2279" s="3" t="n">
        <v>3</v>
      </c>
      <c r="F2279" s="2" t="n">
        <v>3</v>
      </c>
      <c r="G2279" s="4" t="n">
        <v>3</v>
      </c>
      <c r="H2279" s="13" t="n"/>
      <c r="I2279" s="15" t="n"/>
      <c r="J2279" s="19" t="n">
        <v>3</v>
      </c>
      <c r="K2279" s="2" t="inlineStr">
        <is>
          <t>marker_800_380857.png</t>
        </is>
      </c>
      <c r="L2279" s="11">
        <f>HYPERLINK("3\0\" &amp; K2279, "Ver Imagen")</f>
        <v/>
      </c>
      <c r="M2279" t="inlineStr">
        <is>
          <t>Moda</t>
        </is>
      </c>
    </row>
    <row r="2280">
      <c r="A2280" t="n">
        <v>2279</v>
      </c>
      <c r="B2280" t="inlineStr">
        <is>
          <t>A-497__95</t>
        </is>
      </c>
      <c r="C2280" s="1" t="n">
        <v>37.2699788906</v>
      </c>
      <c r="D2280" s="1" t="n">
        <v>-6.97939018743</v>
      </c>
      <c r="E2280" s="3" t="n">
        <v>3</v>
      </c>
      <c r="F2280" s="2" t="n">
        <v>3</v>
      </c>
      <c r="G2280" s="4" t="n">
        <v>3</v>
      </c>
      <c r="H2280" s="13" t="n"/>
      <c r="I2280" s="15" t="n"/>
      <c r="J2280" s="19" t="n">
        <v>3</v>
      </c>
      <c r="K2280" s="2" t="inlineStr">
        <is>
          <t>marker_831_380887.png</t>
        </is>
      </c>
      <c r="L2280" s="11">
        <f>HYPERLINK("3\0\" &amp; K2280, "Ver Imagen")</f>
        <v/>
      </c>
      <c r="M2280" t="inlineStr">
        <is>
          <t>Moda</t>
        </is>
      </c>
    </row>
    <row r="2281">
      <c r="A2281" t="n">
        <v>2280</v>
      </c>
      <c r="B2281" t="inlineStr">
        <is>
          <t>A-490__49</t>
        </is>
      </c>
      <c r="C2281" s="1" t="n">
        <v>37.4467172004</v>
      </c>
      <c r="D2281" s="1" t="n">
        <v>-7.13836221893</v>
      </c>
      <c r="E2281" s="3" t="n">
        <v>2</v>
      </c>
      <c r="F2281" s="2" t="n">
        <v>3</v>
      </c>
      <c r="G2281" s="4" t="n">
        <v>3</v>
      </c>
      <c r="H2281" s="13" t="n"/>
      <c r="I2281" s="15" t="n"/>
      <c r="J2281" s="19" t="n">
        <v>3</v>
      </c>
      <c r="K2281" s="2" t="inlineStr">
        <is>
          <t>marker_100_732269.png</t>
        </is>
      </c>
      <c r="L2281" s="11">
        <f>HYPERLINK("3\1\" &amp; K2281, "Ver Imagen")</f>
        <v/>
      </c>
      <c r="M2281" t="inlineStr">
        <is>
          <t>Moda</t>
        </is>
      </c>
    </row>
    <row r="2282">
      <c r="A2282" t="n">
        <v>2281</v>
      </c>
      <c r="B2282" t="inlineStr">
        <is>
          <t>A-490__84</t>
        </is>
      </c>
      <c r="C2282" s="1" t="n">
        <v>37.4486622089</v>
      </c>
      <c r="D2282" s="1" t="n">
        <v>-7.14671197218</v>
      </c>
      <c r="E2282" s="3" t="n">
        <v>2</v>
      </c>
      <c r="F2282" s="2" t="n">
        <v>3</v>
      </c>
      <c r="G2282" s="4" t="n">
        <v>3</v>
      </c>
      <c r="H2282" s="13" t="n"/>
      <c r="I2282" s="15" t="n"/>
      <c r="J2282" s="19" t="n">
        <v>3</v>
      </c>
      <c r="K2282" s="2" t="inlineStr">
        <is>
          <t>marker_380_738767.png</t>
        </is>
      </c>
      <c r="L2282" s="11">
        <f>HYPERLINK("3\1\" &amp; K2282, "Ver Imagen")</f>
        <v/>
      </c>
      <c r="M2282" t="inlineStr">
        <is>
          <t>Moda</t>
        </is>
      </c>
    </row>
    <row r="2283">
      <c r="A2283" t="n">
        <v>2282</v>
      </c>
      <c r="B2283" t="inlineStr">
        <is>
          <t>A-490__70</t>
        </is>
      </c>
      <c r="C2283" s="1" t="n">
        <v>37.4484821529</v>
      </c>
      <c r="D2283" s="1" t="n">
        <v>-7.14316029588</v>
      </c>
      <c r="E2283" s="3" t="n">
        <v>2</v>
      </c>
      <c r="F2283" s="2" t="n">
        <v>3</v>
      </c>
      <c r="G2283" s="4" t="n">
        <v>3</v>
      </c>
      <c r="H2283" s="13" t="n"/>
      <c r="I2283" s="15" t="n"/>
      <c r="J2283" s="19" t="n">
        <v>3</v>
      </c>
      <c r="K2283" s="2" t="inlineStr">
        <is>
          <t>marker_536_738154.png</t>
        </is>
      </c>
      <c r="L2283" s="11">
        <f>HYPERLINK("3\1\" &amp; K2283, "Ver Imagen")</f>
        <v/>
      </c>
      <c r="M2283" t="inlineStr">
        <is>
          <t>Moda</t>
        </is>
      </c>
    </row>
    <row r="2284">
      <c r="A2284" t="n">
        <v>2283</v>
      </c>
      <c r="B2284" t="inlineStr">
        <is>
          <t>A-490__90</t>
        </is>
      </c>
      <c r="C2284" s="1" t="n">
        <v>37.4487368901</v>
      </c>
      <c r="D2284" s="1" t="n">
        <v>-7.14823640721</v>
      </c>
      <c r="E2284" s="3" t="n">
        <v>2</v>
      </c>
      <c r="F2284" s="2" t="n">
        <v>3</v>
      </c>
      <c r="G2284" s="4" t="n">
        <v>3</v>
      </c>
      <c r="H2284" s="13" t="n"/>
      <c r="I2284" s="15" t="n"/>
      <c r="J2284" s="19" t="n">
        <v>3</v>
      </c>
      <c r="K2284" s="2" t="inlineStr">
        <is>
          <t>marker_205_738971.png</t>
        </is>
      </c>
      <c r="L2284" s="11">
        <f>HYPERLINK("3\1\" &amp; K2284, "Ver Imagen")</f>
        <v/>
      </c>
      <c r="M2284" t="inlineStr">
        <is>
          <t>Moda</t>
        </is>
      </c>
    </row>
    <row r="2285">
      <c r="A2285" t="n">
        <v>2284</v>
      </c>
      <c r="B2285" t="inlineStr">
        <is>
          <t>A-490__142</t>
        </is>
      </c>
      <c r="C2285" s="1" t="n">
        <v>37.4524372751</v>
      </c>
      <c r="D2285" s="1" t="n">
        <v>-7.16034665848</v>
      </c>
      <c r="E2285" s="3" t="n">
        <v>2</v>
      </c>
      <c r="F2285" s="2" t="n">
        <v>3</v>
      </c>
      <c r="G2285" s="4" t="n">
        <v>3</v>
      </c>
      <c r="H2285" s="13" t="n"/>
      <c r="I2285" s="15" t="n"/>
      <c r="J2285" s="19" t="n">
        <v>3</v>
      </c>
      <c r="K2285" s="2" t="inlineStr">
        <is>
          <t>marker_692_740577.png</t>
        </is>
      </c>
      <c r="L2285" s="11">
        <f>HYPERLINK("3\1\" &amp; K2285, "Ver Imagen")</f>
        <v/>
      </c>
      <c r="M2285" t="inlineStr">
        <is>
          <t>Moda</t>
        </is>
      </c>
    </row>
    <row r="2286">
      <c r="A2286" t="n">
        <v>2285</v>
      </c>
      <c r="B2286" t="inlineStr">
        <is>
          <t>A-492__92</t>
        </is>
      </c>
      <c r="C2286" s="1" t="n">
        <v>37.2802295353</v>
      </c>
      <c r="D2286" s="1" t="n">
        <v>-7.00542197189</v>
      </c>
      <c r="E2286" s="3" t="n">
        <v>2</v>
      </c>
      <c r="F2286" s="2" t="n">
        <v>3</v>
      </c>
      <c r="G2286" s="4" t="n">
        <v>3</v>
      </c>
      <c r="H2286" s="13" t="n"/>
      <c r="I2286" s="15" t="n"/>
      <c r="J2286" s="19" t="n">
        <v>3</v>
      </c>
      <c r="K2286" s="2" t="inlineStr">
        <is>
          <t>marker_598_823673.png</t>
        </is>
      </c>
      <c r="L2286" s="11">
        <f>HYPERLINK("3\1\" &amp; K2286, "Ver Imagen")</f>
        <v/>
      </c>
      <c r="M2286" t="inlineStr">
        <is>
          <t>Moda</t>
        </is>
      </c>
    </row>
    <row r="2287">
      <c r="A2287" t="n">
        <v>2286</v>
      </c>
      <c r="B2287" t="inlineStr">
        <is>
          <t>A-492__94</t>
        </is>
      </c>
      <c r="C2287" s="1" t="n">
        <v>37.2800522461</v>
      </c>
      <c r="D2287" s="1" t="n">
        <v>-7.00587127345</v>
      </c>
      <c r="E2287" s="3" t="n">
        <v>2</v>
      </c>
      <c r="F2287" s="2" t="n">
        <v>3</v>
      </c>
      <c r="G2287" s="4" t="n">
        <v>3</v>
      </c>
      <c r="H2287" s="13" t="n"/>
      <c r="I2287" s="15" t="n"/>
      <c r="J2287" s="19" t="n">
        <v>3</v>
      </c>
      <c r="K2287" s="2" t="inlineStr">
        <is>
          <t>marker_373_823693.png</t>
        </is>
      </c>
      <c r="L2287" s="11">
        <f>HYPERLINK("3\1\" &amp; K2287, "Ver Imagen")</f>
        <v/>
      </c>
      <c r="M2287" t="inlineStr">
        <is>
          <t>Moda</t>
        </is>
      </c>
    </row>
    <row r="2288">
      <c r="A2288" t="n">
        <v>2287</v>
      </c>
      <c r="B2288" t="inlineStr">
        <is>
          <t>A-492__106</t>
        </is>
      </c>
      <c r="C2288" s="1" t="n">
        <v>37.2789763605</v>
      </c>
      <c r="D2288" s="1" t="n">
        <v>-7.00861939682</v>
      </c>
      <c r="E2288" s="3" t="n">
        <v>2</v>
      </c>
      <c r="F2288" s="2" t="n">
        <v>3</v>
      </c>
      <c r="G2288" s="4" t="n">
        <v>3</v>
      </c>
      <c r="H2288" s="13" t="n"/>
      <c r="I2288" s="15" t="n"/>
      <c r="J2288" s="19" t="n">
        <v>3</v>
      </c>
      <c r="K2288" s="2" t="inlineStr">
        <is>
          <t>marker_780_824225.png</t>
        </is>
      </c>
      <c r="L2288" s="11">
        <f>HYPERLINK("3\1\" &amp; K2288, "Ver Imagen")</f>
        <v/>
      </c>
      <c r="M2288" t="inlineStr">
        <is>
          <t>Moda</t>
        </is>
      </c>
    </row>
    <row r="2289">
      <c r="A2289" t="n">
        <v>2288</v>
      </c>
      <c r="B2289" t="inlineStr">
        <is>
          <t>A-492__134</t>
        </is>
      </c>
      <c r="C2289" s="1" t="n">
        <v>37.2760103529</v>
      </c>
      <c r="D2289" s="1" t="n">
        <v>-7.01461648129</v>
      </c>
      <c r="E2289" s="3" t="n">
        <v>3</v>
      </c>
      <c r="F2289" s="2" t="n">
        <v>3</v>
      </c>
      <c r="G2289" s="4" t="n">
        <v>2</v>
      </c>
      <c r="H2289" s="13" t="n"/>
      <c r="I2289" s="15" t="n"/>
      <c r="J2289" s="19" t="n">
        <v>3</v>
      </c>
      <c r="K2289" s="2" t="inlineStr">
        <is>
          <t>marker_482_824590.png</t>
        </is>
      </c>
      <c r="L2289" s="11">
        <f>HYPERLINK("3\1\" &amp; K2289, "Ver Imagen")</f>
        <v/>
      </c>
      <c r="M2289" t="inlineStr">
        <is>
          <t>Moda</t>
        </is>
      </c>
    </row>
    <row r="2290">
      <c r="A2290" t="n">
        <v>2289</v>
      </c>
      <c r="B2290" t="inlineStr">
        <is>
          <t>A-492__135</t>
        </is>
      </c>
      <c r="C2290" s="1" t="n">
        <v>37.2759366051</v>
      </c>
      <c r="D2290" s="1" t="n">
        <v>-7.01485054905</v>
      </c>
      <c r="E2290" s="3" t="n">
        <v>2</v>
      </c>
      <c r="F2290" s="2" t="n">
        <v>3</v>
      </c>
      <c r="G2290" s="4" t="n">
        <v>3</v>
      </c>
      <c r="H2290" s="13" t="n"/>
      <c r="I2290" s="15" t="n"/>
      <c r="J2290" s="19" t="n">
        <v>3</v>
      </c>
      <c r="K2290" s="2" t="inlineStr">
        <is>
          <t>marker_362_824601.png</t>
        </is>
      </c>
      <c r="L2290" s="11">
        <f>HYPERLINK("3\1\" &amp; K2290, "Ver Imagen")</f>
        <v/>
      </c>
      <c r="M2290" t="inlineStr">
        <is>
          <t>Moda</t>
        </is>
      </c>
    </row>
    <row r="2291">
      <c r="A2291" t="n">
        <v>2290</v>
      </c>
      <c r="B2291" t="inlineStr">
        <is>
          <t>A-492__163</t>
        </is>
      </c>
      <c r="C2291" s="1" t="n">
        <v>37.2759854997</v>
      </c>
      <c r="D2291" s="1" t="n">
        <v>-7.02152162162</v>
      </c>
      <c r="E2291" s="3" t="n">
        <v>2</v>
      </c>
      <c r="F2291" s="2" t="n">
        <v>3</v>
      </c>
      <c r="G2291" s="4" t="n">
        <v>3</v>
      </c>
      <c r="H2291" s="13" t="n"/>
      <c r="I2291" s="15" t="n"/>
      <c r="J2291" s="19" t="n">
        <v>3</v>
      </c>
      <c r="K2291" s="2" t="inlineStr">
        <is>
          <t>marker_610_831355.png</t>
        </is>
      </c>
      <c r="L2291" s="11">
        <f>HYPERLINK("3\1\" &amp; K2291, "Ver Imagen")</f>
        <v/>
      </c>
      <c r="M2291" t="inlineStr">
        <is>
          <t>Moda</t>
        </is>
      </c>
    </row>
    <row r="2292">
      <c r="A2292" t="n">
        <v>2291</v>
      </c>
      <c r="B2292" t="inlineStr">
        <is>
          <t>A-492__171</t>
        </is>
      </c>
      <c r="C2292" s="1" t="n">
        <v>37.2762624495</v>
      </c>
      <c r="D2292" s="1" t="n">
        <v>-7.02349354641</v>
      </c>
      <c r="E2292" s="3" t="n">
        <v>2</v>
      </c>
      <c r="F2292" s="2" t="n">
        <v>3</v>
      </c>
      <c r="G2292" s="4" t="n">
        <v>3</v>
      </c>
      <c r="H2292" s="13" t="n"/>
      <c r="I2292" s="15" t="n"/>
      <c r="J2292" s="19" t="n">
        <v>3</v>
      </c>
      <c r="K2292" s="2" t="inlineStr">
        <is>
          <t>marker_291_831471.png</t>
        </is>
      </c>
      <c r="L2292" s="11">
        <f>HYPERLINK("3\1\" &amp; K2292, "Ver Imagen")</f>
        <v/>
      </c>
      <c r="M2292" t="inlineStr">
        <is>
          <t>Moda</t>
        </is>
      </c>
    </row>
    <row r="2293">
      <c r="A2293" t="n">
        <v>2292</v>
      </c>
      <c r="B2293" t="inlineStr">
        <is>
          <t>A-492__308</t>
        </is>
      </c>
      <c r="C2293" s="1" t="n">
        <v>37.2936890052</v>
      </c>
      <c r="D2293" s="1" t="n">
        <v>-7.04685258913</v>
      </c>
      <c r="E2293" s="3" t="n">
        <v>2</v>
      </c>
      <c r="F2293" s="2" t="n">
        <v>3</v>
      </c>
      <c r="G2293" s="4" t="n">
        <v>3</v>
      </c>
      <c r="H2293" s="13" t="n"/>
      <c r="I2293" s="15" t="n"/>
      <c r="J2293" s="19" t="n">
        <v>3</v>
      </c>
      <c r="K2293" s="2" t="inlineStr">
        <is>
          <t>marker_216_837646.png</t>
        </is>
      </c>
      <c r="L2293" s="11">
        <f>HYPERLINK("3\1\" &amp; K2293, "Ver Imagen")</f>
        <v/>
      </c>
      <c r="M2293" t="inlineStr">
        <is>
          <t>Moda</t>
        </is>
      </c>
    </row>
    <row r="2294">
      <c r="A2294" t="n">
        <v>2293</v>
      </c>
      <c r="B2294" t="inlineStr">
        <is>
          <t>A-492__310</t>
        </is>
      </c>
      <c r="C2294" s="1" t="n">
        <v>37.2939692693</v>
      </c>
      <c r="D2294" s="1" t="n">
        <v>-7.0472386257</v>
      </c>
      <c r="E2294" s="3" t="n">
        <v>2</v>
      </c>
      <c r="F2294" s="2" t="n">
        <v>3</v>
      </c>
      <c r="G2294" s="4" t="n">
        <v>3</v>
      </c>
      <c r="H2294" s="13" t="n"/>
      <c r="I2294" s="15" t="n"/>
      <c r="J2294" s="19" t="n">
        <v>3</v>
      </c>
      <c r="K2294" s="2" t="inlineStr">
        <is>
          <t>marker_791_837670.png</t>
        </is>
      </c>
      <c r="L2294" s="11">
        <f>HYPERLINK("3\1\" &amp; K2294, "Ver Imagen")</f>
        <v/>
      </c>
      <c r="M2294" t="inlineStr">
        <is>
          <t>Moda</t>
        </is>
      </c>
    </row>
    <row r="2295">
      <c r="A2295" t="n">
        <v>2294</v>
      </c>
      <c r="B2295" t="inlineStr">
        <is>
          <t>A-492__351</t>
        </is>
      </c>
      <c r="C2295" s="1" t="n">
        <v>37.2994965168</v>
      </c>
      <c r="D2295" s="1" t="n">
        <v>-7.05466300126</v>
      </c>
      <c r="E2295" s="3" t="n">
        <v>2</v>
      </c>
      <c r="F2295" s="2" t="n">
        <v>3</v>
      </c>
      <c r="G2295" s="4" t="n">
        <v>3</v>
      </c>
      <c r="H2295" s="13" t="n"/>
      <c r="I2295" s="15" t="n"/>
      <c r="J2295" s="19" t="n">
        <v>3</v>
      </c>
      <c r="K2295" s="2" t="inlineStr">
        <is>
          <t>marker_113_838376.png</t>
        </is>
      </c>
      <c r="L2295" s="11">
        <f>HYPERLINK("3\1\" &amp; K2295, "Ver Imagen")</f>
        <v/>
      </c>
      <c r="M2295" t="inlineStr">
        <is>
          <t>Moda</t>
        </is>
      </c>
    </row>
    <row r="2296">
      <c r="A2296" t="n">
        <v>2295</v>
      </c>
      <c r="B2296" t="inlineStr">
        <is>
          <t>A-492__400</t>
        </is>
      </c>
      <c r="C2296" s="1" t="n">
        <v>37.308884899</v>
      </c>
      <c r="D2296" s="1" t="n">
        <v>-7.05745627429</v>
      </c>
      <c r="E2296" s="3" t="n">
        <v>2</v>
      </c>
      <c r="F2296" s="2" t="n">
        <v>3</v>
      </c>
      <c r="G2296" s="4" t="n">
        <v>3</v>
      </c>
      <c r="H2296" s="13" t="n"/>
      <c r="I2296" s="15" t="n"/>
      <c r="J2296" s="19" t="n">
        <v>3</v>
      </c>
      <c r="K2296" s="2" t="inlineStr">
        <is>
          <t>marker_317_839162.png</t>
        </is>
      </c>
      <c r="L2296" s="11">
        <f>HYPERLINK("3\1\" &amp; K2296, "Ver Imagen")</f>
        <v/>
      </c>
      <c r="M2296" t="inlineStr">
        <is>
          <t>Moda</t>
        </is>
      </c>
    </row>
    <row r="2297">
      <c r="A2297" t="n">
        <v>2296</v>
      </c>
      <c r="B2297" t="inlineStr">
        <is>
          <t>A-495R__20</t>
        </is>
      </c>
      <c r="C2297" s="1" t="n">
        <v>37.4487309185</v>
      </c>
      <c r="D2297" s="1" t="n">
        <v>-7.10972771567</v>
      </c>
      <c r="E2297" s="3" t="n">
        <v>2</v>
      </c>
      <c r="F2297" s="2" t="n">
        <v>3</v>
      </c>
      <c r="G2297" s="4" t="n">
        <v>3</v>
      </c>
      <c r="H2297" s="13" t="n"/>
      <c r="I2297" s="15" t="n"/>
      <c r="J2297" s="19" t="n">
        <v>3</v>
      </c>
      <c r="K2297" s="2" t="inlineStr">
        <is>
          <t>marker_801_936731.png</t>
        </is>
      </c>
      <c r="L2297" s="11">
        <f>HYPERLINK("3\1\" &amp; K2297, "Ver Imagen")</f>
        <v/>
      </c>
      <c r="M2297" t="inlineStr">
        <is>
          <t>Moda</t>
        </is>
      </c>
    </row>
    <row r="2298">
      <c r="A2298" t="n">
        <v>2297</v>
      </c>
      <c r="B2298" t="inlineStr">
        <is>
          <t>A-5050__181</t>
        </is>
      </c>
      <c r="C2298" s="1" t="n">
        <v>37.1899710495</v>
      </c>
      <c r="D2298" s="1" t="n">
        <v>-6.988768794</v>
      </c>
      <c r="E2298" s="3" t="n">
        <v>2</v>
      </c>
      <c r="F2298" s="2" t="n">
        <v>3</v>
      </c>
      <c r="G2298" s="4" t="n">
        <v>3</v>
      </c>
      <c r="H2298" s="13" t="n"/>
      <c r="I2298" s="15" t="n"/>
      <c r="J2298" s="19" t="n">
        <v>3</v>
      </c>
      <c r="K2298" s="2" t="inlineStr">
        <is>
          <t>marker_442_944163.png</t>
        </is>
      </c>
      <c r="L2298" s="11">
        <f>HYPERLINK("3\1\" &amp; K2298, "Ver Imagen")</f>
        <v/>
      </c>
      <c r="M2298" t="inlineStr">
        <is>
          <t>Moda</t>
        </is>
      </c>
    </row>
    <row r="2299">
      <c r="A2299" t="n">
        <v>2298</v>
      </c>
      <c r="B2299" t="inlineStr">
        <is>
          <t>A-5050__150</t>
        </is>
      </c>
      <c r="C2299" s="1" t="n">
        <v>37.1931153875</v>
      </c>
      <c r="D2299" s="1" t="n">
        <v>-6.99559868534</v>
      </c>
      <c r="E2299" s="3" t="n">
        <v>2</v>
      </c>
      <c r="F2299" s="2" t="n">
        <v>3</v>
      </c>
      <c r="G2299" s="4" t="n">
        <v>3</v>
      </c>
      <c r="H2299" s="13" t="n"/>
      <c r="I2299" s="15" t="n"/>
      <c r="J2299" s="19" t="n">
        <v>3</v>
      </c>
      <c r="K2299" s="2" t="inlineStr">
        <is>
          <t>marker_671_945387.png</t>
        </is>
      </c>
      <c r="L2299" s="11">
        <f>HYPERLINK("3\1\" &amp; K2299, "Ver Imagen")</f>
        <v/>
      </c>
      <c r="M2299" t="inlineStr">
        <is>
          <t>Moda</t>
        </is>
      </c>
    </row>
    <row r="2300">
      <c r="A2300" t="n">
        <v>2299</v>
      </c>
      <c r="B2300" t="inlineStr">
        <is>
          <t>A-5050__146</t>
        </is>
      </c>
      <c r="C2300" s="1" t="n">
        <v>37.1934855682</v>
      </c>
      <c r="D2300" s="1" t="n">
        <v>-6.99647459489</v>
      </c>
      <c r="E2300" s="3" t="n">
        <v>2</v>
      </c>
      <c r="F2300" s="2" t="n">
        <v>3</v>
      </c>
      <c r="G2300" s="4" t="n">
        <v>3</v>
      </c>
      <c r="H2300" s="13" t="n"/>
      <c r="I2300" s="15" t="n"/>
      <c r="J2300" s="19" t="n">
        <v>3</v>
      </c>
      <c r="K2300" s="2" t="inlineStr">
        <is>
          <t>marker_432_945443.png</t>
        </is>
      </c>
      <c r="L2300" s="11">
        <f>HYPERLINK("3\1\" &amp; K2300, "Ver Imagen")</f>
        <v/>
      </c>
      <c r="M2300" t="inlineStr">
        <is>
          <t>Moda</t>
        </is>
      </c>
    </row>
    <row r="2301">
      <c r="A2301" t="n">
        <v>2300</v>
      </c>
      <c r="B2301" t="inlineStr">
        <is>
          <t>A-5050__143</t>
        </is>
      </c>
      <c r="C2301" s="1" t="n">
        <v>37.1937711857</v>
      </c>
      <c r="D2301" s="1" t="n">
        <v>-6.99715671953</v>
      </c>
      <c r="E2301" s="3" t="n">
        <v>2</v>
      </c>
      <c r="F2301" s="2" t="n">
        <v>3</v>
      </c>
      <c r="G2301" s="4" t="n">
        <v>3</v>
      </c>
      <c r="H2301" s="13" t="n"/>
      <c r="I2301" s="15" t="n"/>
      <c r="J2301" s="19" t="n">
        <v>3</v>
      </c>
      <c r="K2301" s="2" t="inlineStr">
        <is>
          <t>marker_874_945809.png</t>
        </is>
      </c>
      <c r="L2301" s="11">
        <f>HYPERLINK("3\1\" &amp; K2301, "Ver Imagen")</f>
        <v/>
      </c>
      <c r="M2301" t="inlineStr">
        <is>
          <t>Moda</t>
        </is>
      </c>
    </row>
    <row r="2302">
      <c r="A2302" t="n">
        <v>2301</v>
      </c>
      <c r="B2302" t="inlineStr">
        <is>
          <t>A-5050__127</t>
        </is>
      </c>
      <c r="C2302" s="1" t="n">
        <v>37.1952416517</v>
      </c>
      <c r="D2302" s="1" t="n">
        <v>-7.00073364896</v>
      </c>
      <c r="E2302" s="3" t="n">
        <v>2</v>
      </c>
      <c r="F2302" s="2" t="n">
        <v>3</v>
      </c>
      <c r="G2302" s="4" t="n">
        <v>3</v>
      </c>
      <c r="H2302" s="13" t="n"/>
      <c r="I2302" s="15" t="n"/>
      <c r="J2302" s="19" t="n">
        <v>3</v>
      </c>
      <c r="K2302" s="2" t="inlineStr">
        <is>
          <t>marker_931_946343.png</t>
        </is>
      </c>
      <c r="L2302" s="11">
        <f>HYPERLINK("3\1\" &amp; K2302, "Ver Imagen")</f>
        <v/>
      </c>
      <c r="M2302" t="inlineStr">
        <is>
          <t>Moda</t>
        </is>
      </c>
    </row>
    <row r="2303">
      <c r="A2303" t="n">
        <v>2302</v>
      </c>
      <c r="B2303" t="inlineStr">
        <is>
          <t>A-5050__124</t>
        </is>
      </c>
      <c r="C2303" s="1" t="n">
        <v>37.195527312</v>
      </c>
      <c r="D2303" s="1" t="n">
        <v>-7.00142841513</v>
      </c>
      <c r="E2303" s="3" t="n">
        <v>2</v>
      </c>
      <c r="F2303" s="2" t="n">
        <v>3</v>
      </c>
      <c r="G2303" s="4" t="n">
        <v>3</v>
      </c>
      <c r="H2303" s="13" t="n"/>
      <c r="I2303" s="15" t="n"/>
      <c r="J2303" s="19" t="n">
        <v>3</v>
      </c>
      <c r="K2303" s="2" t="inlineStr">
        <is>
          <t>marker_726_946375.png</t>
        </is>
      </c>
      <c r="L2303" s="11">
        <f>HYPERLINK("3\1\" &amp; K2303, "Ver Imagen")</f>
        <v/>
      </c>
      <c r="M2303" t="inlineStr">
        <is>
          <t>Moda</t>
        </is>
      </c>
    </row>
    <row r="2304">
      <c r="A2304" t="n">
        <v>2303</v>
      </c>
      <c r="B2304" t="inlineStr">
        <is>
          <t>A-5050__123</t>
        </is>
      </c>
      <c r="C2304" s="1" t="n">
        <v>37.195626871</v>
      </c>
      <c r="D2304" s="1" t="n">
        <v>-7.00166955124</v>
      </c>
      <c r="E2304" s="3" t="n">
        <v>2</v>
      </c>
      <c r="F2304" s="2" t="n">
        <v>3</v>
      </c>
      <c r="G2304" s="4" t="n">
        <v>3</v>
      </c>
      <c r="H2304" s="13" t="n"/>
      <c r="I2304" s="15" t="n"/>
      <c r="J2304" s="19" t="n">
        <v>3</v>
      </c>
      <c r="K2304" s="2" t="inlineStr">
        <is>
          <t>marker_284_946471.png</t>
        </is>
      </c>
      <c r="L2304" s="11">
        <f>HYPERLINK("3\1\" &amp; K2304, "Ver Imagen")</f>
        <v/>
      </c>
      <c r="M2304" t="inlineStr">
        <is>
          <t>Moda</t>
        </is>
      </c>
    </row>
    <row r="2305">
      <c r="A2305" t="n">
        <v>2304</v>
      </c>
      <c r="B2305" t="inlineStr">
        <is>
          <t>A-5050__122</t>
        </is>
      </c>
      <c r="C2305" s="1" t="n">
        <v>37.1957044858</v>
      </c>
      <c r="D2305" s="1" t="n">
        <v>-7.0018564437</v>
      </c>
      <c r="E2305" s="3" t="n">
        <v>2</v>
      </c>
      <c r="F2305" s="2" t="n">
        <v>3</v>
      </c>
      <c r="G2305" s="4" t="n">
        <v>3</v>
      </c>
      <c r="H2305" s="13" t="n"/>
      <c r="I2305" s="15" t="n"/>
      <c r="J2305" s="19" t="n">
        <v>3</v>
      </c>
      <c r="K2305" s="2" t="inlineStr">
        <is>
          <t>marker_158_946481.png</t>
        </is>
      </c>
      <c r="L2305" s="11">
        <f>HYPERLINK("3\1\" &amp; K2305, "Ver Imagen")</f>
        <v/>
      </c>
      <c r="M2305" t="inlineStr">
        <is>
          <t>Moda</t>
        </is>
      </c>
    </row>
    <row r="2306">
      <c r="A2306" t="n">
        <v>2305</v>
      </c>
      <c r="B2306" t="inlineStr">
        <is>
          <t>A-5050__121</t>
        </is>
      </c>
      <c r="C2306" s="1" t="n">
        <v>37.1957960224</v>
      </c>
      <c r="D2306" s="1" t="n">
        <v>-7.00207591417</v>
      </c>
      <c r="E2306" s="3" t="n">
        <v>2</v>
      </c>
      <c r="F2306" s="2" t="n">
        <v>3</v>
      </c>
      <c r="G2306" s="4" t="n">
        <v>3</v>
      </c>
      <c r="H2306" s="13" t="n"/>
      <c r="I2306" s="15" t="n"/>
      <c r="J2306" s="19" t="n">
        <v>3</v>
      </c>
      <c r="K2306" s="2" t="inlineStr">
        <is>
          <t>marker_390_946495.png</t>
        </is>
      </c>
      <c r="L2306" s="11">
        <f>HYPERLINK("3\1\" &amp; K2306, "Ver Imagen")</f>
        <v/>
      </c>
      <c r="M2306" t="inlineStr">
        <is>
          <t>Moda</t>
        </is>
      </c>
    </row>
    <row r="2307">
      <c r="A2307" t="n">
        <v>2306</v>
      </c>
      <c r="B2307" t="inlineStr">
        <is>
          <t>A-5050__119</t>
        </is>
      </c>
      <c r="C2307" s="1" t="n">
        <v>37.1960129267</v>
      </c>
      <c r="D2307" s="1" t="n">
        <v>-7.00257752242</v>
      </c>
      <c r="E2307" s="3" t="n">
        <v>2</v>
      </c>
      <c r="F2307" s="2" t="n">
        <v>3</v>
      </c>
      <c r="G2307" s="4" t="n">
        <v>3</v>
      </c>
      <c r="H2307" s="13" t="n"/>
      <c r="I2307" s="15" t="n"/>
      <c r="J2307" s="19" t="n">
        <v>3</v>
      </c>
      <c r="K2307" s="2" t="inlineStr">
        <is>
          <t>marker_414_946518.png</t>
        </is>
      </c>
      <c r="L2307" s="11">
        <f>HYPERLINK("3\1\" &amp; K2307, "Ver Imagen")</f>
        <v/>
      </c>
      <c r="M2307" t="inlineStr">
        <is>
          <t>Moda</t>
        </is>
      </c>
    </row>
    <row r="2308">
      <c r="A2308" t="n">
        <v>2307</v>
      </c>
      <c r="B2308" t="inlineStr">
        <is>
          <t>A-5050__118</t>
        </is>
      </c>
      <c r="C2308" s="1" t="n">
        <v>37.196104335</v>
      </c>
      <c r="D2308" s="1" t="n">
        <v>-7.00277897396</v>
      </c>
      <c r="E2308" s="3" t="n">
        <v>2</v>
      </c>
      <c r="F2308" s="2" t="n">
        <v>3</v>
      </c>
      <c r="G2308" s="4" t="n">
        <v>3</v>
      </c>
      <c r="H2308" s="13" t="n"/>
      <c r="I2308" s="15" t="n"/>
      <c r="J2308" s="19" t="n">
        <v>3</v>
      </c>
      <c r="K2308" s="2" t="inlineStr">
        <is>
          <t>marker_968_946529.png</t>
        </is>
      </c>
      <c r="L2308" s="11">
        <f>HYPERLINK("3\1\" &amp; K2308, "Ver Imagen")</f>
        <v/>
      </c>
      <c r="M2308" t="inlineStr">
        <is>
          <t>Moda</t>
        </is>
      </c>
    </row>
    <row r="2309">
      <c r="A2309" t="n">
        <v>2308</v>
      </c>
      <c r="B2309" t="inlineStr">
        <is>
          <t>A-5050__115</t>
        </is>
      </c>
      <c r="C2309" s="1" t="n">
        <v>37.1964032127</v>
      </c>
      <c r="D2309" s="1" t="n">
        <v>-7.0034521995</v>
      </c>
      <c r="E2309" s="3" t="n">
        <v>2</v>
      </c>
      <c r="F2309" s="2" t="n">
        <v>3</v>
      </c>
      <c r="G2309" s="4" t="n">
        <v>3</v>
      </c>
      <c r="H2309" s="13" t="n"/>
      <c r="I2309" s="15" t="n"/>
      <c r="J2309" s="19" t="n">
        <v>3</v>
      </c>
      <c r="K2309" s="2" t="inlineStr">
        <is>
          <t>marker_723_946566.png</t>
        </is>
      </c>
      <c r="L2309" s="11">
        <f>HYPERLINK("3\1\" &amp; K2309, "Ver Imagen")</f>
        <v/>
      </c>
      <c r="M2309" t="inlineStr">
        <is>
          <t>Moda</t>
        </is>
      </c>
    </row>
    <row r="2310">
      <c r="A2310" t="n">
        <v>2309</v>
      </c>
      <c r="B2310" t="inlineStr">
        <is>
          <t>A-5050__114</t>
        </is>
      </c>
      <c r="C2310" s="1" t="n">
        <v>37.1964859805</v>
      </c>
      <c r="D2310" s="1" t="n">
        <v>-7.00365134824</v>
      </c>
      <c r="E2310" s="3" t="n">
        <v>2</v>
      </c>
      <c r="F2310" s="2" t="n">
        <v>3</v>
      </c>
      <c r="G2310" s="4" t="n">
        <v>3</v>
      </c>
      <c r="H2310" s="13" t="n"/>
      <c r="I2310" s="15" t="n"/>
      <c r="J2310" s="19" t="n">
        <v>3</v>
      </c>
      <c r="K2310" s="2" t="inlineStr">
        <is>
          <t>marker_176_946582.png</t>
        </is>
      </c>
      <c r="L2310" s="11">
        <f>HYPERLINK("3\1\" &amp; K2310, "Ver Imagen")</f>
        <v/>
      </c>
      <c r="M2310" t="inlineStr">
        <is>
          <t>Moda</t>
        </is>
      </c>
    </row>
    <row r="2311">
      <c r="A2311" t="n">
        <v>2310</v>
      </c>
      <c r="B2311" t="inlineStr">
        <is>
          <t>A-5050__113</t>
        </is>
      </c>
      <c r="C2311" s="1" t="n">
        <v>37.1965832699</v>
      </c>
      <c r="D2311" s="1" t="n">
        <v>-7.00389026927</v>
      </c>
      <c r="E2311" s="3" t="n">
        <v>2</v>
      </c>
      <c r="F2311" s="2" t="n">
        <v>3</v>
      </c>
      <c r="G2311" s="4" t="n">
        <v>3</v>
      </c>
      <c r="H2311" s="13" t="n"/>
      <c r="I2311" s="15" t="n"/>
      <c r="J2311" s="19" t="n">
        <v>3</v>
      </c>
      <c r="K2311" s="2" t="inlineStr">
        <is>
          <t>marker_717_946611.png</t>
        </is>
      </c>
      <c r="L2311" s="11">
        <f>HYPERLINK("3\1\" &amp; K2311, "Ver Imagen")</f>
        <v/>
      </c>
      <c r="M2311" t="inlineStr">
        <is>
          <t>Moda</t>
        </is>
      </c>
    </row>
    <row r="2312">
      <c r="A2312" t="n">
        <v>2311</v>
      </c>
      <c r="B2312" t="inlineStr">
        <is>
          <t>A-5050__112</t>
        </is>
      </c>
      <c r="C2312" s="1" t="n">
        <v>37.1966722549</v>
      </c>
      <c r="D2312" s="1" t="n">
        <v>-7.00411501787</v>
      </c>
      <c r="E2312" s="3" t="n">
        <v>2</v>
      </c>
      <c r="F2312" s="2" t="n">
        <v>3</v>
      </c>
      <c r="G2312" s="4" t="n">
        <v>3</v>
      </c>
      <c r="H2312" s="13" t="n"/>
      <c r="I2312" s="15" t="n"/>
      <c r="J2312" s="19" t="n">
        <v>3</v>
      </c>
      <c r="K2312" s="2" t="inlineStr">
        <is>
          <t>marker_992_946639.png</t>
        </is>
      </c>
      <c r="L2312" s="11">
        <f>HYPERLINK("3\1\" &amp; K2312, "Ver Imagen")</f>
        <v/>
      </c>
      <c r="M2312" t="inlineStr">
        <is>
          <t>Moda</t>
        </is>
      </c>
    </row>
    <row r="2313">
      <c r="A2313" t="n">
        <v>2312</v>
      </c>
      <c r="B2313" t="inlineStr">
        <is>
          <t>A-5050__110</t>
        </is>
      </c>
      <c r="C2313" s="1" t="n">
        <v>37.1968418985</v>
      </c>
      <c r="D2313" s="1" t="n">
        <v>-7.00454869101</v>
      </c>
      <c r="E2313" s="3" t="n">
        <v>2</v>
      </c>
      <c r="F2313" s="2" t="n">
        <v>3</v>
      </c>
      <c r="G2313" s="4" t="n">
        <v>3</v>
      </c>
      <c r="H2313" s="13" t="n"/>
      <c r="I2313" s="15" t="n"/>
      <c r="J2313" s="19" t="n">
        <v>3</v>
      </c>
      <c r="K2313" s="2" t="inlineStr">
        <is>
          <t>marker_256_946664.png</t>
        </is>
      </c>
      <c r="L2313" s="11">
        <f>HYPERLINK("3\1\" &amp; K2313, "Ver Imagen")</f>
        <v/>
      </c>
      <c r="M2313" t="inlineStr">
        <is>
          <t>Moda</t>
        </is>
      </c>
    </row>
    <row r="2314">
      <c r="A2314" t="n">
        <v>2313</v>
      </c>
      <c r="B2314" t="inlineStr">
        <is>
          <t>A-5050__109</t>
        </is>
      </c>
      <c r="C2314" s="1" t="n">
        <v>37.1969477175</v>
      </c>
      <c r="D2314" s="1" t="n">
        <v>-7.00481426199</v>
      </c>
      <c r="E2314" s="3" t="n">
        <v>2</v>
      </c>
      <c r="F2314" s="2" t="n">
        <v>3</v>
      </c>
      <c r="G2314" s="4" t="n">
        <v>3</v>
      </c>
      <c r="H2314" s="13" t="n"/>
      <c r="I2314" s="15" t="n"/>
      <c r="J2314" s="19" t="n">
        <v>3</v>
      </c>
      <c r="K2314" s="2" t="inlineStr">
        <is>
          <t>marker_586_946674.png</t>
        </is>
      </c>
      <c r="L2314" s="11">
        <f>HYPERLINK("3\1\" &amp; K2314, "Ver Imagen")</f>
        <v/>
      </c>
      <c r="M2314" t="inlineStr">
        <is>
          <t>Moda</t>
        </is>
      </c>
    </row>
    <row r="2315">
      <c r="A2315" t="n">
        <v>2314</v>
      </c>
      <c r="B2315" t="inlineStr">
        <is>
          <t>A-5050__108</t>
        </is>
      </c>
      <c r="C2315" s="1" t="n">
        <v>37.1970136683</v>
      </c>
      <c r="D2315" s="1" t="n">
        <v>-7.00497789219</v>
      </c>
      <c r="E2315" s="3" t="n">
        <v>2</v>
      </c>
      <c r="F2315" s="2" t="n">
        <v>3</v>
      </c>
      <c r="G2315" s="4" t="n">
        <v>3</v>
      </c>
      <c r="H2315" s="13" t="n"/>
      <c r="I2315" s="15" t="n"/>
      <c r="J2315" s="19" t="n">
        <v>3</v>
      </c>
      <c r="K2315" s="2" t="inlineStr">
        <is>
          <t>marker_869_946686.png</t>
        </is>
      </c>
      <c r="L2315" s="11">
        <f>HYPERLINK("3\1\" &amp; K2315, "Ver Imagen")</f>
        <v/>
      </c>
      <c r="M2315" t="inlineStr">
        <is>
          <t>Moda</t>
        </is>
      </c>
    </row>
    <row r="2316">
      <c r="A2316" t="n">
        <v>2315</v>
      </c>
      <c r="B2316" t="inlineStr">
        <is>
          <t>A-5050__103</t>
        </is>
      </c>
      <c r="C2316" s="1" t="n">
        <v>37.1975099884</v>
      </c>
      <c r="D2316" s="1" t="n">
        <v>-7.00614001309</v>
      </c>
      <c r="E2316" s="3" t="n">
        <v>2</v>
      </c>
      <c r="F2316" s="2" t="n">
        <v>3</v>
      </c>
      <c r="G2316" s="4" t="n">
        <v>3</v>
      </c>
      <c r="H2316" s="13" t="n"/>
      <c r="I2316" s="15" t="n"/>
      <c r="J2316" s="19" t="n">
        <v>3</v>
      </c>
      <c r="K2316" s="2" t="inlineStr">
        <is>
          <t>marker_643_946755.png</t>
        </is>
      </c>
      <c r="L2316" s="11">
        <f>HYPERLINK("3\1\" &amp; K2316, "Ver Imagen")</f>
        <v/>
      </c>
      <c r="M2316" t="inlineStr">
        <is>
          <t>Moda</t>
        </is>
      </c>
    </row>
    <row r="2317">
      <c r="A2317" t="n">
        <v>2316</v>
      </c>
      <c r="B2317" t="inlineStr">
        <is>
          <t>A-5050__100</t>
        </is>
      </c>
      <c r="C2317" s="1" t="n">
        <v>37.1978038922</v>
      </c>
      <c r="D2317" s="1" t="n">
        <v>-7.0067726129</v>
      </c>
      <c r="E2317" s="3" t="n">
        <v>2</v>
      </c>
      <c r="F2317" s="2" t="n">
        <v>3</v>
      </c>
      <c r="G2317" s="4" t="n">
        <v>3</v>
      </c>
      <c r="H2317" s="13" t="n"/>
      <c r="I2317" s="15" t="n"/>
      <c r="J2317" s="19" t="n">
        <v>3</v>
      </c>
      <c r="K2317" s="2" t="inlineStr">
        <is>
          <t>marker_596_946804.png</t>
        </is>
      </c>
      <c r="L2317" s="11">
        <f>HYPERLINK("3\1\" &amp; K2317, "Ver Imagen")</f>
        <v/>
      </c>
      <c r="M2317" t="inlineStr">
        <is>
          <t>Moda</t>
        </is>
      </c>
    </row>
    <row r="2318">
      <c r="A2318" t="n">
        <v>2317</v>
      </c>
      <c r="B2318" t="inlineStr">
        <is>
          <t>A-5050__99</t>
        </is>
      </c>
      <c r="C2318" s="1" t="n">
        <v>37.1979094064</v>
      </c>
      <c r="D2318" s="1" t="n">
        <v>-7.0069904976</v>
      </c>
      <c r="E2318" s="3" t="n">
        <v>2</v>
      </c>
      <c r="F2318" s="2" t="n">
        <v>3</v>
      </c>
      <c r="G2318" s="4" t="n">
        <v>3</v>
      </c>
      <c r="H2318" s="13" t="n"/>
      <c r="I2318" s="15" t="n"/>
      <c r="J2318" s="19" t="n">
        <v>3</v>
      </c>
      <c r="K2318" s="2" t="inlineStr">
        <is>
          <t>marker_945_946813.png</t>
        </is>
      </c>
      <c r="L2318" s="11">
        <f>HYPERLINK("3\1\" &amp; K2318, "Ver Imagen")</f>
        <v/>
      </c>
      <c r="M2318" t="inlineStr">
        <is>
          <t>Moda</t>
        </is>
      </c>
    </row>
    <row r="2319">
      <c r="A2319" t="n">
        <v>2318</v>
      </c>
      <c r="B2319" t="inlineStr">
        <is>
          <t>A-5050__98</t>
        </is>
      </c>
      <c r="C2319" s="1" t="n">
        <v>37.1980110497</v>
      </c>
      <c r="D2319" s="1" t="n">
        <v>-7.00719728324</v>
      </c>
      <c r="E2319" s="3" t="n">
        <v>2</v>
      </c>
      <c r="F2319" s="2" t="n">
        <v>3</v>
      </c>
      <c r="G2319" s="4" t="n">
        <v>3</v>
      </c>
      <c r="H2319" s="13" t="n"/>
      <c r="I2319" s="15" t="n"/>
      <c r="J2319" s="19" t="n">
        <v>3</v>
      </c>
      <c r="K2319" s="2" t="inlineStr">
        <is>
          <t>marker_379_946827.png</t>
        </is>
      </c>
      <c r="L2319" s="11">
        <f>HYPERLINK("3\1\" &amp; K2319, "Ver Imagen")</f>
        <v/>
      </c>
      <c r="M2319" t="inlineStr">
        <is>
          <t>Moda</t>
        </is>
      </c>
    </row>
    <row r="2320">
      <c r="A2320" t="n">
        <v>2319</v>
      </c>
      <c r="B2320" t="inlineStr">
        <is>
          <t>A-5050__97</t>
        </is>
      </c>
      <c r="C2320" s="1" t="n">
        <v>37.1981345243</v>
      </c>
      <c r="D2320" s="1" t="n">
        <v>-7.00744562056</v>
      </c>
      <c r="E2320" s="3" t="n">
        <v>2</v>
      </c>
      <c r="F2320" s="2" t="n">
        <v>3</v>
      </c>
      <c r="G2320" s="4" t="n">
        <v>3</v>
      </c>
      <c r="H2320" s="13" t="n"/>
      <c r="I2320" s="15" t="n"/>
      <c r="J2320" s="19" t="n">
        <v>3</v>
      </c>
      <c r="K2320" s="2" t="inlineStr">
        <is>
          <t>marker_356_946843.png</t>
        </is>
      </c>
      <c r="L2320" s="11">
        <f>HYPERLINK("3\1\" &amp; K2320, "Ver Imagen")</f>
        <v/>
      </c>
      <c r="M2320" t="inlineStr">
        <is>
          <t>Moda</t>
        </is>
      </c>
    </row>
    <row r="2321">
      <c r="A2321" t="n">
        <v>2320</v>
      </c>
      <c r="B2321" t="inlineStr">
        <is>
          <t>A-5050__96</t>
        </is>
      </c>
      <c r="C2321" s="1" t="n">
        <v>37.1982260444</v>
      </c>
      <c r="D2321" s="1" t="n">
        <v>-7.00762892903</v>
      </c>
      <c r="E2321" s="3" t="n">
        <v>2</v>
      </c>
      <c r="F2321" s="2" t="n">
        <v>3</v>
      </c>
      <c r="G2321" s="4" t="n">
        <v>3</v>
      </c>
      <c r="H2321" s="13" t="n"/>
      <c r="I2321" s="15" t="n"/>
      <c r="J2321" s="19" t="n">
        <v>3</v>
      </c>
      <c r="K2321" s="2" t="inlineStr">
        <is>
          <t>marker_655_946870.png</t>
        </is>
      </c>
      <c r="L2321" s="11">
        <f>HYPERLINK("3\1\" &amp; K2321, "Ver Imagen")</f>
        <v/>
      </c>
      <c r="M2321" t="inlineStr">
        <is>
          <t>Moda</t>
        </is>
      </c>
    </row>
    <row r="2322">
      <c r="A2322" t="n">
        <v>2321</v>
      </c>
      <c r="B2322" t="inlineStr">
        <is>
          <t>A-5050__94</t>
        </is>
      </c>
      <c r="C2322" s="1" t="n">
        <v>37.1984328079</v>
      </c>
      <c r="D2322" s="1" t="n">
        <v>-7.00803650922</v>
      </c>
      <c r="E2322" s="3" t="n">
        <v>2</v>
      </c>
      <c r="F2322" s="2" t="n">
        <v>3</v>
      </c>
      <c r="G2322" s="4" t="n">
        <v>3</v>
      </c>
      <c r="H2322" s="13" t="n"/>
      <c r="I2322" s="15" t="n"/>
      <c r="J2322" s="19" t="n">
        <v>3</v>
      </c>
      <c r="K2322" s="2" t="inlineStr">
        <is>
          <t>marker_686_947013.png</t>
        </is>
      </c>
      <c r="L2322" s="11">
        <f>HYPERLINK("3\1\" &amp; K2322, "Ver Imagen")</f>
        <v/>
      </c>
      <c r="M2322" t="inlineStr">
        <is>
          <t>Moda</t>
        </is>
      </c>
    </row>
    <row r="2323">
      <c r="A2323" t="n">
        <v>2322</v>
      </c>
      <c r="B2323" t="inlineStr">
        <is>
          <t>A-5050__93</t>
        </is>
      </c>
      <c r="C2323" s="1" t="n">
        <v>37.1985640479</v>
      </c>
      <c r="D2323" s="1" t="n">
        <v>-7.00829131292</v>
      </c>
      <c r="E2323" s="3" t="n">
        <v>2</v>
      </c>
      <c r="F2323" s="2" t="n">
        <v>3</v>
      </c>
      <c r="G2323" s="4" t="n">
        <v>3</v>
      </c>
      <c r="H2323" s="13" t="n"/>
      <c r="I2323" s="15" t="n"/>
      <c r="J2323" s="19" t="n">
        <v>3</v>
      </c>
      <c r="K2323" s="2" t="inlineStr">
        <is>
          <t>marker_626_947377.png</t>
        </is>
      </c>
      <c r="L2323" s="11">
        <f>HYPERLINK("3\1\" &amp; K2323, "Ver Imagen")</f>
        <v/>
      </c>
      <c r="M2323" t="inlineStr">
        <is>
          <t>Moda</t>
        </is>
      </c>
    </row>
    <row r="2324">
      <c r="A2324" t="n">
        <v>2323</v>
      </c>
      <c r="B2324" t="inlineStr">
        <is>
          <t>A-5050__92</t>
        </is>
      </c>
      <c r="C2324" s="1" t="n">
        <v>37.1986688678</v>
      </c>
      <c r="D2324" s="1" t="n">
        <v>-7.00849234783</v>
      </c>
      <c r="E2324" s="3" t="n">
        <v>2</v>
      </c>
      <c r="F2324" s="2" t="n">
        <v>3</v>
      </c>
      <c r="G2324" s="4" t="n">
        <v>3</v>
      </c>
      <c r="H2324" s="13" t="n"/>
      <c r="I2324" s="15" t="n"/>
      <c r="J2324" s="19" t="n">
        <v>3</v>
      </c>
      <c r="K2324" s="2" t="inlineStr">
        <is>
          <t>marker_899_947391.png</t>
        </is>
      </c>
      <c r="L2324" s="11">
        <f>HYPERLINK("3\1\" &amp; K2324, "Ver Imagen")</f>
        <v/>
      </c>
      <c r="M2324" t="inlineStr">
        <is>
          <t>Moda</t>
        </is>
      </c>
    </row>
    <row r="2325">
      <c r="A2325" t="n">
        <v>2324</v>
      </c>
      <c r="B2325" t="inlineStr">
        <is>
          <t>A-5050__91</t>
        </is>
      </c>
      <c r="C2325" s="1" t="n">
        <v>37.1987758426</v>
      </c>
      <c r="D2325" s="1" t="n">
        <v>-7.00869203289</v>
      </c>
      <c r="E2325" s="3" t="n">
        <v>2</v>
      </c>
      <c r="F2325" s="2" t="n">
        <v>3</v>
      </c>
      <c r="G2325" s="4" t="n">
        <v>3</v>
      </c>
      <c r="H2325" s="13" t="n"/>
      <c r="I2325" s="15" t="n"/>
      <c r="J2325" s="19" t="n">
        <v>3</v>
      </c>
      <c r="K2325" s="2" t="inlineStr">
        <is>
          <t>marker_699_947401.png</t>
        </is>
      </c>
      <c r="L2325" s="11">
        <f>HYPERLINK("3\1\" &amp; K2325, "Ver Imagen")</f>
        <v/>
      </c>
      <c r="M2325" t="inlineStr">
        <is>
          <t>Moda</t>
        </is>
      </c>
    </row>
    <row r="2326">
      <c r="A2326" t="n">
        <v>2325</v>
      </c>
      <c r="B2326" t="inlineStr">
        <is>
          <t>A-5050__90</t>
        </is>
      </c>
      <c r="C2326" s="1" t="n">
        <v>37.1988869688</v>
      </c>
      <c r="D2326" s="1" t="n">
        <v>-7.00889329532</v>
      </c>
      <c r="E2326" s="3" t="n">
        <v>2</v>
      </c>
      <c r="F2326" s="2" t="n">
        <v>3</v>
      </c>
      <c r="G2326" s="4" t="n">
        <v>3</v>
      </c>
      <c r="H2326" s="13" t="n"/>
      <c r="I2326" s="15" t="n"/>
      <c r="J2326" s="19" t="n">
        <v>3</v>
      </c>
      <c r="K2326" s="2" t="inlineStr">
        <is>
          <t>marker_128_947412.png</t>
        </is>
      </c>
      <c r="L2326" s="11">
        <f>HYPERLINK("3\1\" &amp; K2326, "Ver Imagen")</f>
        <v/>
      </c>
      <c r="M2326" t="inlineStr">
        <is>
          <t>Moda</t>
        </is>
      </c>
    </row>
    <row r="2327">
      <c r="A2327" t="n">
        <v>2326</v>
      </c>
      <c r="B2327" t="inlineStr">
        <is>
          <t>A-5050__89</t>
        </is>
      </c>
      <c r="C2327" s="1" t="n">
        <v>37.1990201249</v>
      </c>
      <c r="D2327" s="1" t="n">
        <v>-7.00912787418</v>
      </c>
      <c r="E2327" s="3" t="n">
        <v>2</v>
      </c>
      <c r="F2327" s="2" t="n">
        <v>3</v>
      </c>
      <c r="G2327" s="4" t="n">
        <v>3</v>
      </c>
      <c r="H2327" s="13" t="n"/>
      <c r="I2327" s="15" t="n"/>
      <c r="J2327" s="19" t="n">
        <v>3</v>
      </c>
      <c r="K2327" s="2" t="inlineStr">
        <is>
          <t>marker_730_947424.png</t>
        </is>
      </c>
      <c r="L2327" s="11">
        <f>HYPERLINK("3\1\" &amp; K2327, "Ver Imagen")</f>
        <v/>
      </c>
      <c r="M2327" t="inlineStr">
        <is>
          <t>Moda</t>
        </is>
      </c>
    </row>
    <row r="2328">
      <c r="A2328" t="n">
        <v>2327</v>
      </c>
      <c r="B2328" t="inlineStr">
        <is>
          <t>A-5050__86</t>
        </is>
      </c>
      <c r="C2328" s="1" t="n">
        <v>37.1993685349</v>
      </c>
      <c r="D2328" s="1" t="n">
        <v>-7.00972052921</v>
      </c>
      <c r="E2328" s="3" t="n">
        <v>2</v>
      </c>
      <c r="F2328" s="2" t="n">
        <v>3</v>
      </c>
      <c r="G2328" s="4" t="n">
        <v>3</v>
      </c>
      <c r="H2328" s="13" t="n"/>
      <c r="I2328" s="15" t="n"/>
      <c r="J2328" s="19" t="n">
        <v>3</v>
      </c>
      <c r="K2328" s="2" t="inlineStr">
        <is>
          <t>marker_462_947457.png</t>
        </is>
      </c>
      <c r="L2328" s="11">
        <f>HYPERLINK("3\1\" &amp; K2328, "Ver Imagen")</f>
        <v/>
      </c>
      <c r="M2328" t="inlineStr">
        <is>
          <t>Moda</t>
        </is>
      </c>
    </row>
    <row r="2329">
      <c r="A2329" t="n">
        <v>2328</v>
      </c>
      <c r="B2329" t="inlineStr">
        <is>
          <t>A-5050__84</t>
        </is>
      </c>
      <c r="C2329" s="1" t="n">
        <v>37.1996057853</v>
      </c>
      <c r="D2329" s="1" t="n">
        <v>-7.01011704823</v>
      </c>
      <c r="E2329" s="3" t="n">
        <v>2</v>
      </c>
      <c r="F2329" s="2" t="n">
        <v>3</v>
      </c>
      <c r="G2329" s="4" t="n">
        <v>3</v>
      </c>
      <c r="H2329" s="13" t="n"/>
      <c r="I2329" s="15" t="n"/>
      <c r="J2329" s="19" t="n">
        <v>3</v>
      </c>
      <c r="K2329" s="2" t="inlineStr">
        <is>
          <t>marker_803_948654.png</t>
        </is>
      </c>
      <c r="L2329" s="11">
        <f>HYPERLINK("3\1\" &amp; K2329, "Ver Imagen")</f>
        <v/>
      </c>
      <c r="M2329" t="inlineStr">
        <is>
          <t>Moda</t>
        </is>
      </c>
    </row>
    <row r="2330">
      <c r="A2330" t="n">
        <v>2329</v>
      </c>
      <c r="B2330" t="inlineStr">
        <is>
          <t>A-5050__83</t>
        </is>
      </c>
      <c r="C2330" s="1" t="n">
        <v>37.1997641181</v>
      </c>
      <c r="D2330" s="1" t="n">
        <v>-7.01037683559</v>
      </c>
      <c r="E2330" s="3" t="n">
        <v>2</v>
      </c>
      <c r="F2330" s="2" t="n">
        <v>3</v>
      </c>
      <c r="G2330" s="4" t="n">
        <v>3</v>
      </c>
      <c r="H2330" s="13" t="n"/>
      <c r="I2330" s="15" t="n"/>
      <c r="J2330" s="19" t="n">
        <v>3</v>
      </c>
      <c r="K2330" s="2" t="inlineStr">
        <is>
          <t>marker_460_948734.png</t>
        </is>
      </c>
      <c r="L2330" s="11">
        <f>HYPERLINK("3\1\" &amp; K2330, "Ver Imagen")</f>
        <v/>
      </c>
      <c r="M2330" t="inlineStr">
        <is>
          <t>Moda</t>
        </is>
      </c>
    </row>
    <row r="2331">
      <c r="A2331" t="n">
        <v>2330</v>
      </c>
      <c r="B2331" t="inlineStr">
        <is>
          <t>A-5050__78</t>
        </is>
      </c>
      <c r="C2331" s="1" t="n">
        <v>37.2003750289</v>
      </c>
      <c r="D2331" s="1" t="n">
        <v>-7.0113339004</v>
      </c>
      <c r="E2331" s="3" t="n">
        <v>2</v>
      </c>
      <c r="F2331" s="2" t="n">
        <v>3</v>
      </c>
      <c r="G2331" s="4" t="n">
        <v>3</v>
      </c>
      <c r="H2331" s="13" t="n"/>
      <c r="I2331" s="15" t="n"/>
      <c r="J2331" s="19" t="n">
        <v>3</v>
      </c>
      <c r="K2331" s="2" t="inlineStr">
        <is>
          <t>marker_167_948792.png</t>
        </is>
      </c>
      <c r="L2331" s="11">
        <f>HYPERLINK("3\1\" &amp; K2331, "Ver Imagen")</f>
        <v/>
      </c>
      <c r="M2331" t="inlineStr">
        <is>
          <t>Moda</t>
        </is>
      </c>
    </row>
    <row r="2332">
      <c r="A2332" t="n">
        <v>2331</v>
      </c>
      <c r="B2332" t="inlineStr">
        <is>
          <t>A-5050__77</t>
        </is>
      </c>
      <c r="C2332" s="1" t="n">
        <v>37.2005060192</v>
      </c>
      <c r="D2332" s="1" t="n">
        <v>-7.01153418079</v>
      </c>
      <c r="E2332" s="3" t="n">
        <v>2</v>
      </c>
      <c r="F2332" s="2" t="n">
        <v>3</v>
      </c>
      <c r="G2332" s="4" t="n">
        <v>3</v>
      </c>
      <c r="H2332" s="13" t="n"/>
      <c r="I2332" s="15" t="n"/>
      <c r="J2332" s="19" t="n">
        <v>3</v>
      </c>
      <c r="K2332" s="2" t="inlineStr">
        <is>
          <t>marker_588_948803.png</t>
        </is>
      </c>
      <c r="L2332" s="11">
        <f>HYPERLINK("3\1\" &amp; K2332, "Ver Imagen")</f>
        <v/>
      </c>
      <c r="M2332" t="inlineStr">
        <is>
          <t>Moda</t>
        </is>
      </c>
    </row>
    <row r="2333">
      <c r="A2333" t="n">
        <v>2332</v>
      </c>
      <c r="B2333" t="inlineStr">
        <is>
          <t>A-5050__74</t>
        </is>
      </c>
      <c r="C2333" s="1" t="n">
        <v>37.2008896217</v>
      </c>
      <c r="D2333" s="1" t="n">
        <v>-7.01211760492</v>
      </c>
      <c r="E2333" s="3" t="n">
        <v>2</v>
      </c>
      <c r="F2333" s="2" t="n">
        <v>3</v>
      </c>
      <c r="G2333" s="4" t="n">
        <v>3</v>
      </c>
      <c r="H2333" s="13" t="n"/>
      <c r="I2333" s="15" t="n"/>
      <c r="J2333" s="19" t="n">
        <v>3</v>
      </c>
      <c r="K2333" s="2" t="inlineStr">
        <is>
          <t>marker_289_948836.png</t>
        </is>
      </c>
      <c r="L2333" s="11">
        <f>HYPERLINK("3\1\" &amp; K2333, "Ver Imagen")</f>
        <v/>
      </c>
      <c r="M2333" t="inlineStr">
        <is>
          <t>Moda</t>
        </is>
      </c>
    </row>
    <row r="2334">
      <c r="A2334" t="n">
        <v>2333</v>
      </c>
      <c r="B2334" t="inlineStr">
        <is>
          <t>A-5050__73</t>
        </is>
      </c>
      <c r="C2334" s="1" t="n">
        <v>37.2010028433</v>
      </c>
      <c r="D2334" s="1" t="n">
        <v>-7.01229034505</v>
      </c>
      <c r="E2334" s="3" t="n">
        <v>2</v>
      </c>
      <c r="F2334" s="2" t="n">
        <v>3</v>
      </c>
      <c r="G2334" s="4" t="n">
        <v>3</v>
      </c>
      <c r="H2334" s="13" t="n"/>
      <c r="I2334" s="15" t="n"/>
      <c r="J2334" s="19" t="n">
        <v>3</v>
      </c>
      <c r="K2334" s="2" t="inlineStr">
        <is>
          <t>marker_256_948844.png</t>
        </is>
      </c>
      <c r="L2334" s="11">
        <f>HYPERLINK("3\1\" &amp; K2334, "Ver Imagen")</f>
        <v/>
      </c>
      <c r="M2334" t="inlineStr">
        <is>
          <t>Moda</t>
        </is>
      </c>
    </row>
    <row r="2335">
      <c r="A2335" t="n">
        <v>2334</v>
      </c>
      <c r="B2335" t="inlineStr">
        <is>
          <t>A-5050__72</t>
        </is>
      </c>
      <c r="C2335" s="1" t="n">
        <v>37.2011460046</v>
      </c>
      <c r="D2335" s="1" t="n">
        <v>-7.0125094781</v>
      </c>
      <c r="E2335" s="3" t="n">
        <v>2</v>
      </c>
      <c r="F2335" s="2" t="n">
        <v>3</v>
      </c>
      <c r="G2335" s="4" t="n">
        <v>3</v>
      </c>
      <c r="H2335" s="13" t="n"/>
      <c r="I2335" s="15" t="n"/>
      <c r="J2335" s="19" t="n">
        <v>3</v>
      </c>
      <c r="K2335" s="2" t="inlineStr">
        <is>
          <t>marker_401_948853.png</t>
        </is>
      </c>
      <c r="L2335" s="11">
        <f>HYPERLINK("3\1\" &amp; K2335, "Ver Imagen")</f>
        <v/>
      </c>
      <c r="M2335" t="inlineStr">
        <is>
          <t>Moda</t>
        </is>
      </c>
    </row>
    <row r="2336">
      <c r="A2336" t="n">
        <v>2335</v>
      </c>
      <c r="B2336" t="inlineStr">
        <is>
          <t>A-5050__71</t>
        </is>
      </c>
      <c r="C2336" s="1" t="n">
        <v>37.2013013402</v>
      </c>
      <c r="D2336" s="1" t="n">
        <v>-7.01274757318</v>
      </c>
      <c r="E2336" s="3" t="n">
        <v>2</v>
      </c>
      <c r="F2336" s="2" t="n">
        <v>3</v>
      </c>
      <c r="G2336" s="4" t="n">
        <v>3</v>
      </c>
      <c r="H2336" s="13" t="n"/>
      <c r="I2336" s="15" t="n"/>
      <c r="J2336" s="19" t="n">
        <v>3</v>
      </c>
      <c r="K2336" s="2" t="inlineStr">
        <is>
          <t>marker_875_948864.png</t>
        </is>
      </c>
      <c r="L2336" s="11">
        <f>HYPERLINK("3\1\" &amp; K2336, "Ver Imagen")</f>
        <v/>
      </c>
      <c r="M2336" t="inlineStr">
        <is>
          <t>Moda</t>
        </is>
      </c>
    </row>
    <row r="2337">
      <c r="A2337" t="n">
        <v>2336</v>
      </c>
      <c r="B2337" t="inlineStr">
        <is>
          <t>A-5050__70</t>
        </is>
      </c>
      <c r="C2337" s="1" t="n">
        <v>37.2013992469</v>
      </c>
      <c r="D2337" s="1" t="n">
        <v>-7.0128977314</v>
      </c>
      <c r="E2337" s="3" t="n">
        <v>2</v>
      </c>
      <c r="F2337" s="2" t="n">
        <v>3</v>
      </c>
      <c r="G2337" s="4" t="n">
        <v>3</v>
      </c>
      <c r="H2337" s="13" t="n"/>
      <c r="I2337" s="15" t="n"/>
      <c r="J2337" s="19" t="n">
        <v>3</v>
      </c>
      <c r="K2337" s="2" t="inlineStr">
        <is>
          <t>marker_707_948873.png</t>
        </is>
      </c>
      <c r="L2337" s="11">
        <f>HYPERLINK("3\1\" &amp; K2337, "Ver Imagen")</f>
        <v/>
      </c>
      <c r="M2337" t="inlineStr">
        <is>
          <t>Moda</t>
        </is>
      </c>
    </row>
    <row r="2338">
      <c r="A2338" t="n">
        <v>2337</v>
      </c>
      <c r="B2338" t="inlineStr">
        <is>
          <t>A-5050__69</t>
        </is>
      </c>
      <c r="C2338" s="1" t="n">
        <v>37.2015245288</v>
      </c>
      <c r="D2338" s="1" t="n">
        <v>-7.01309003656</v>
      </c>
      <c r="E2338" s="3" t="n">
        <v>2</v>
      </c>
      <c r="F2338" s="2" t="n">
        <v>3</v>
      </c>
      <c r="G2338" s="4" t="n">
        <v>3</v>
      </c>
      <c r="H2338" s="13" t="n"/>
      <c r="I2338" s="15" t="n"/>
      <c r="J2338" s="19" t="n">
        <v>3</v>
      </c>
      <c r="K2338" s="2" t="inlineStr">
        <is>
          <t>marker_355_948882.png</t>
        </is>
      </c>
      <c r="L2338" s="11">
        <f>HYPERLINK("3\1\" &amp; K2338, "Ver Imagen")</f>
        <v/>
      </c>
      <c r="M2338" t="inlineStr">
        <is>
          <t>Moda</t>
        </is>
      </c>
    </row>
    <row r="2339">
      <c r="A2339" t="n">
        <v>2338</v>
      </c>
      <c r="B2339" t="inlineStr">
        <is>
          <t>A-5050__68</t>
        </is>
      </c>
      <c r="C2339" s="1" t="n">
        <v>37.2016508267</v>
      </c>
      <c r="D2339" s="1" t="n">
        <v>-7.0132835876</v>
      </c>
      <c r="E2339" s="3" t="n">
        <v>2</v>
      </c>
      <c r="F2339" s="2" t="n">
        <v>3</v>
      </c>
      <c r="G2339" s="4" t="n">
        <v>3</v>
      </c>
      <c r="H2339" s="13" t="n"/>
      <c r="I2339" s="15" t="n"/>
      <c r="J2339" s="19" t="n">
        <v>3</v>
      </c>
      <c r="K2339" s="2" t="inlineStr">
        <is>
          <t>marker_519_948891.png</t>
        </is>
      </c>
      <c r="L2339" s="11">
        <f>HYPERLINK("3\1\" &amp; K2339, "Ver Imagen")</f>
        <v/>
      </c>
      <c r="M2339" t="inlineStr">
        <is>
          <t>Moda</t>
        </is>
      </c>
    </row>
    <row r="2340">
      <c r="A2340" t="n">
        <v>2339</v>
      </c>
      <c r="B2340" t="inlineStr">
        <is>
          <t>A-5050__67</t>
        </is>
      </c>
      <c r="C2340" s="1" t="n">
        <v>37.2017646625</v>
      </c>
      <c r="D2340" s="1" t="n">
        <v>-7.01345793591</v>
      </c>
      <c r="E2340" s="3" t="n">
        <v>2</v>
      </c>
      <c r="F2340" s="2" t="n">
        <v>3</v>
      </c>
      <c r="G2340" s="4" t="n">
        <v>3</v>
      </c>
      <c r="H2340" s="13" t="n"/>
      <c r="I2340" s="15" t="n"/>
      <c r="J2340" s="19" t="n">
        <v>3</v>
      </c>
      <c r="K2340" s="2" t="inlineStr">
        <is>
          <t>marker_560_948900.png</t>
        </is>
      </c>
      <c r="L2340" s="11">
        <f>HYPERLINK("3\1\" &amp; K2340, "Ver Imagen")</f>
        <v/>
      </c>
      <c r="M2340" t="inlineStr">
        <is>
          <t>Moda</t>
        </is>
      </c>
    </row>
    <row r="2341">
      <c r="A2341" t="n">
        <v>2340</v>
      </c>
      <c r="B2341" t="inlineStr">
        <is>
          <t>A-5050__66</t>
        </is>
      </c>
      <c r="C2341" s="1" t="n">
        <v>37.2019082247</v>
      </c>
      <c r="D2341" s="1" t="n">
        <v>-7.01367838578</v>
      </c>
      <c r="E2341" s="3" t="n">
        <v>2</v>
      </c>
      <c r="F2341" s="2" t="n">
        <v>3</v>
      </c>
      <c r="G2341" s="4" t="n">
        <v>3</v>
      </c>
      <c r="H2341" s="13" t="n"/>
      <c r="I2341" s="15" t="n"/>
      <c r="J2341" s="19" t="n">
        <v>3</v>
      </c>
      <c r="K2341" s="2" t="inlineStr">
        <is>
          <t>marker_152_948909.png</t>
        </is>
      </c>
      <c r="L2341" s="11">
        <f>HYPERLINK("3\1\" &amp; K2341, "Ver Imagen")</f>
        <v/>
      </c>
      <c r="M2341" t="inlineStr">
        <is>
          <t>Moda</t>
        </is>
      </c>
    </row>
    <row r="2342">
      <c r="A2342" t="n">
        <v>2341</v>
      </c>
      <c r="B2342" t="inlineStr">
        <is>
          <t>A-5050__64</t>
        </is>
      </c>
      <c r="C2342" s="1" t="n">
        <v>37.2021600391</v>
      </c>
      <c r="D2342" s="1" t="n">
        <v>-7.0140656715</v>
      </c>
      <c r="E2342" s="3" t="n">
        <v>2</v>
      </c>
      <c r="F2342" s="2" t="n">
        <v>3</v>
      </c>
      <c r="G2342" s="4" t="n">
        <v>3</v>
      </c>
      <c r="H2342" s="13" t="n"/>
      <c r="I2342" s="15" t="n"/>
      <c r="J2342" s="19" t="n">
        <v>3</v>
      </c>
      <c r="K2342" s="2" t="inlineStr">
        <is>
          <t>marker_488_948988.png</t>
        </is>
      </c>
      <c r="L2342" s="11">
        <f>HYPERLINK("3\1\" &amp; K2342, "Ver Imagen")</f>
        <v/>
      </c>
      <c r="M2342" t="inlineStr">
        <is>
          <t>Moda</t>
        </is>
      </c>
    </row>
    <row r="2343">
      <c r="A2343" t="n">
        <v>2342</v>
      </c>
      <c r="B2343" t="inlineStr">
        <is>
          <t>A-5050__63</t>
        </is>
      </c>
      <c r="C2343" s="1" t="n">
        <v>37.2023003168</v>
      </c>
      <c r="D2343" s="1" t="n">
        <v>-7.0142816285</v>
      </c>
      <c r="E2343" s="3" t="n">
        <v>2</v>
      </c>
      <c r="F2343" s="2" t="n">
        <v>3</v>
      </c>
      <c r="G2343" s="4" t="n">
        <v>3</v>
      </c>
      <c r="H2343" s="13" t="n"/>
      <c r="I2343" s="15" t="n"/>
      <c r="J2343" s="19" t="n">
        <v>3</v>
      </c>
      <c r="K2343" s="2" t="inlineStr">
        <is>
          <t>marker_192_948997.png</t>
        </is>
      </c>
      <c r="L2343" s="11">
        <f>HYPERLINK("3\1\" &amp; K2343, "Ver Imagen")</f>
        <v/>
      </c>
      <c r="M2343" t="inlineStr">
        <is>
          <t>Moda</t>
        </is>
      </c>
    </row>
    <row r="2344">
      <c r="A2344" t="n">
        <v>2343</v>
      </c>
      <c r="B2344" t="inlineStr">
        <is>
          <t>A-5050__61</t>
        </is>
      </c>
      <c r="C2344" s="1" t="n">
        <v>37.2025574819</v>
      </c>
      <c r="D2344" s="1" t="n">
        <v>-7.01467639311</v>
      </c>
      <c r="E2344" s="3" t="n">
        <v>2</v>
      </c>
      <c r="F2344" s="2" t="n">
        <v>3</v>
      </c>
      <c r="G2344" s="4" t="n">
        <v>3</v>
      </c>
      <c r="H2344" s="13" t="n"/>
      <c r="I2344" s="15" t="n"/>
      <c r="J2344" s="19" t="n">
        <v>3</v>
      </c>
      <c r="K2344" s="2" t="inlineStr">
        <is>
          <t>marker_928_949032.png</t>
        </is>
      </c>
      <c r="L2344" s="11">
        <f>HYPERLINK("3\1\" &amp; K2344, "Ver Imagen")</f>
        <v/>
      </c>
      <c r="M2344" t="inlineStr">
        <is>
          <t>Moda</t>
        </is>
      </c>
    </row>
    <row r="2345">
      <c r="A2345" t="n">
        <v>2344</v>
      </c>
      <c r="B2345" t="inlineStr">
        <is>
          <t>A-5050__55</t>
        </is>
      </c>
      <c r="C2345" s="1" t="n">
        <v>37.2033053605</v>
      </c>
      <c r="D2345" s="1" t="n">
        <v>-7.01581661627</v>
      </c>
      <c r="E2345" s="3" t="n">
        <v>2</v>
      </c>
      <c r="F2345" s="2" t="n">
        <v>3</v>
      </c>
      <c r="G2345" s="4" t="n">
        <v>3</v>
      </c>
      <c r="H2345" s="13" t="n"/>
      <c r="I2345" s="15" t="n"/>
      <c r="J2345" s="19" t="n">
        <v>3</v>
      </c>
      <c r="K2345" s="2" t="inlineStr">
        <is>
          <t>marker_738_949109.png</t>
        </is>
      </c>
      <c r="L2345" s="11">
        <f>HYPERLINK("3\1\" &amp; K2345, "Ver Imagen")</f>
        <v/>
      </c>
      <c r="M2345" t="inlineStr">
        <is>
          <t>Moda</t>
        </is>
      </c>
    </row>
    <row r="2346">
      <c r="A2346" t="n">
        <v>2345</v>
      </c>
      <c r="B2346" t="inlineStr">
        <is>
          <t>A-5050__52</t>
        </is>
      </c>
      <c r="C2346" s="1" t="n">
        <v>37.2036980023</v>
      </c>
      <c r="D2346" s="1" t="n">
        <v>-7.01642346911</v>
      </c>
      <c r="E2346" s="3" t="n">
        <v>2</v>
      </c>
      <c r="F2346" s="2" t="n">
        <v>3</v>
      </c>
      <c r="G2346" s="4" t="n">
        <v>3</v>
      </c>
      <c r="H2346" s="13" t="n"/>
      <c r="I2346" s="15" t="n"/>
      <c r="J2346" s="19" t="n">
        <v>3</v>
      </c>
      <c r="K2346" s="2" t="inlineStr">
        <is>
          <t>marker_979_949137.png</t>
        </is>
      </c>
      <c r="L2346" s="11">
        <f>HYPERLINK("3\1\" &amp; K2346, "Ver Imagen")</f>
        <v/>
      </c>
      <c r="M2346" t="inlineStr">
        <is>
          <t>Moda</t>
        </is>
      </c>
    </row>
    <row r="2347">
      <c r="A2347" t="n">
        <v>2346</v>
      </c>
      <c r="B2347" t="inlineStr">
        <is>
          <t>A-5050__50</t>
        </is>
      </c>
      <c r="C2347" s="1" t="n">
        <v>37.2039636799</v>
      </c>
      <c r="D2347" s="1" t="n">
        <v>-7.0168350353</v>
      </c>
      <c r="E2347" s="3" t="n">
        <v>2</v>
      </c>
      <c r="F2347" s="2" t="n">
        <v>3</v>
      </c>
      <c r="G2347" s="4" t="n">
        <v>3</v>
      </c>
      <c r="H2347" s="13" t="n"/>
      <c r="I2347" s="15" t="n"/>
      <c r="J2347" s="19" t="n">
        <v>3</v>
      </c>
      <c r="K2347" s="2" t="inlineStr">
        <is>
          <t>marker_440_949154.png</t>
        </is>
      </c>
      <c r="L2347" s="11">
        <f>HYPERLINK("3\1\" &amp; K2347, "Ver Imagen")</f>
        <v/>
      </c>
      <c r="M2347" t="inlineStr">
        <is>
          <t>Moda</t>
        </is>
      </c>
    </row>
    <row r="2348">
      <c r="A2348" t="n">
        <v>2347</v>
      </c>
      <c r="B2348" t="inlineStr">
        <is>
          <t>A-5050__44</t>
        </is>
      </c>
      <c r="C2348" s="1" t="n">
        <v>37.2047178791</v>
      </c>
      <c r="D2348" s="1" t="n">
        <v>-7.01800064329</v>
      </c>
      <c r="E2348" s="3" t="n">
        <v>2</v>
      </c>
      <c r="F2348" s="2" t="n">
        <v>3</v>
      </c>
      <c r="G2348" s="4" t="n">
        <v>3</v>
      </c>
      <c r="H2348" s="13" t="n"/>
      <c r="I2348" s="15" t="n"/>
      <c r="J2348" s="19" t="n">
        <v>3</v>
      </c>
      <c r="K2348" s="2" t="inlineStr">
        <is>
          <t>marker_354_949211.png</t>
        </is>
      </c>
      <c r="L2348" s="11">
        <f>HYPERLINK("3\1\" &amp; K2348, "Ver Imagen")</f>
        <v/>
      </c>
      <c r="M2348" t="inlineStr">
        <is>
          <t>Moda</t>
        </is>
      </c>
    </row>
    <row r="2349">
      <c r="A2349" t="n">
        <v>2348</v>
      </c>
      <c r="B2349" t="inlineStr">
        <is>
          <t>A-5050__30</t>
        </is>
      </c>
      <c r="C2349" s="1" t="n">
        <v>37.2064426525</v>
      </c>
      <c r="D2349" s="1" t="n">
        <v>-7.0208177672</v>
      </c>
      <c r="E2349" s="3" t="n">
        <v>2</v>
      </c>
      <c r="F2349" s="2" t="n">
        <v>3</v>
      </c>
      <c r="G2349" s="4" t="n">
        <v>3</v>
      </c>
      <c r="H2349" s="13" t="n"/>
      <c r="I2349" s="15" t="n"/>
      <c r="J2349" s="19" t="n">
        <v>3</v>
      </c>
      <c r="K2349" s="2" t="inlineStr">
        <is>
          <t>marker_340_949358.png</t>
        </is>
      </c>
      <c r="L2349" s="11">
        <f>HYPERLINK("3\1\" &amp; K2349, "Ver Imagen")</f>
        <v/>
      </c>
      <c r="M2349" t="inlineStr">
        <is>
          <t>Moda</t>
        </is>
      </c>
    </row>
    <row r="2350">
      <c r="A2350" t="n">
        <v>2349</v>
      </c>
      <c r="B2350" t="inlineStr">
        <is>
          <t>A-5050__28</t>
        </is>
      </c>
      <c r="C2350" s="1" t="n">
        <v>37.2067159968</v>
      </c>
      <c r="D2350" s="1" t="n">
        <v>-7.02122977277</v>
      </c>
      <c r="E2350" s="3" t="n">
        <v>2</v>
      </c>
      <c r="F2350" s="2" t="n">
        <v>3</v>
      </c>
      <c r="G2350" s="4" t="n">
        <v>3</v>
      </c>
      <c r="H2350" s="13" t="n"/>
      <c r="I2350" s="15" t="n"/>
      <c r="J2350" s="19" t="n">
        <v>3</v>
      </c>
      <c r="K2350" s="2" t="inlineStr">
        <is>
          <t>marker_474_949379.png</t>
        </is>
      </c>
      <c r="L2350" s="11">
        <f>HYPERLINK("3\1\" &amp; K2350, "Ver Imagen")</f>
        <v/>
      </c>
      <c r="M2350" t="inlineStr">
        <is>
          <t>Moda</t>
        </is>
      </c>
    </row>
    <row r="2351">
      <c r="A2351" t="n">
        <v>2350</v>
      </c>
      <c r="B2351" t="inlineStr">
        <is>
          <t>A-5050__27</t>
        </is>
      </c>
      <c r="C2351" s="1" t="n">
        <v>37.2068253717</v>
      </c>
      <c r="D2351" s="1" t="n">
        <v>-7.02138080225</v>
      </c>
      <c r="E2351" s="3" t="n">
        <v>2</v>
      </c>
      <c r="F2351" s="2" t="n">
        <v>3</v>
      </c>
      <c r="G2351" s="4" t="n">
        <v>3</v>
      </c>
      <c r="H2351" s="13" t="n"/>
      <c r="I2351" s="15" t="n"/>
      <c r="J2351" s="19" t="n">
        <v>3</v>
      </c>
      <c r="K2351" s="2" t="inlineStr">
        <is>
          <t>marker_309_949389.png</t>
        </is>
      </c>
      <c r="L2351" s="11">
        <f>HYPERLINK("3\1\" &amp; K2351, "Ver Imagen")</f>
        <v/>
      </c>
      <c r="M2351" t="inlineStr">
        <is>
          <t>Moda</t>
        </is>
      </c>
    </row>
    <row r="2352">
      <c r="A2352" t="n">
        <v>2351</v>
      </c>
      <c r="B2352" t="inlineStr">
        <is>
          <t>A-5050__16</t>
        </is>
      </c>
      <c r="C2352" s="1" t="n">
        <v>37.2082410355</v>
      </c>
      <c r="D2352" s="1" t="n">
        <v>-7.02345407451</v>
      </c>
      <c r="E2352" s="3" t="n">
        <v>2</v>
      </c>
      <c r="F2352" s="2" t="n">
        <v>3</v>
      </c>
      <c r="G2352" s="4" t="n">
        <v>3</v>
      </c>
      <c r="H2352" s="13" t="n"/>
      <c r="I2352" s="15" t="n"/>
      <c r="J2352" s="19" t="n">
        <v>3</v>
      </c>
      <c r="K2352" s="2" t="inlineStr">
        <is>
          <t>marker_793_949535.png</t>
        </is>
      </c>
      <c r="L2352" s="11">
        <f>HYPERLINK("3\1\" &amp; K2352, "Ver Imagen")</f>
        <v/>
      </c>
      <c r="M2352" t="inlineStr">
        <is>
          <t>Moda</t>
        </is>
      </c>
    </row>
    <row r="2353">
      <c r="A2353" t="n">
        <v>2352</v>
      </c>
      <c r="B2353" t="inlineStr">
        <is>
          <t>A-5050__15</t>
        </is>
      </c>
      <c r="C2353" s="1" t="n">
        <v>37.2082601909</v>
      </c>
      <c r="D2353" s="1" t="n">
        <v>-7.02371897971</v>
      </c>
      <c r="E2353" s="3" t="n">
        <v>2</v>
      </c>
      <c r="F2353" s="2" t="n">
        <v>3</v>
      </c>
      <c r="G2353" s="4" t="n">
        <v>3</v>
      </c>
      <c r="H2353" s="13" t="n"/>
      <c r="I2353" s="15" t="n"/>
      <c r="J2353" s="19" t="n">
        <v>3</v>
      </c>
      <c r="K2353" s="2" t="inlineStr">
        <is>
          <t>marker_368_949545.png</t>
        </is>
      </c>
      <c r="L2353" s="11">
        <f>HYPERLINK("3\1\" &amp; K2353, "Ver Imagen")</f>
        <v/>
      </c>
      <c r="M2353" t="inlineStr">
        <is>
          <t>Moda</t>
        </is>
      </c>
    </row>
    <row r="2354">
      <c r="A2354" t="n">
        <v>2353</v>
      </c>
      <c r="B2354" t="inlineStr">
        <is>
          <t>A-5050__12</t>
        </is>
      </c>
      <c r="C2354" s="1" t="n">
        <v>37.2082971083</v>
      </c>
      <c r="D2354" s="1" t="n">
        <v>-7.02445251309</v>
      </c>
      <c r="E2354" s="3" t="n">
        <v>2</v>
      </c>
      <c r="F2354" s="2" t="n">
        <v>3</v>
      </c>
      <c r="G2354" s="4" t="n">
        <v>3</v>
      </c>
      <c r="H2354" s="13" t="n"/>
      <c r="I2354" s="15" t="n"/>
      <c r="J2354" s="19" t="n">
        <v>3</v>
      </c>
      <c r="K2354" s="2" t="inlineStr">
        <is>
          <t>marker_441_949576.png</t>
        </is>
      </c>
      <c r="L2354" s="11">
        <f>HYPERLINK("3\1\" &amp; K2354, "Ver Imagen")</f>
        <v/>
      </c>
      <c r="M2354" t="inlineStr">
        <is>
          <t>Moda</t>
        </is>
      </c>
    </row>
    <row r="2355">
      <c r="A2355" t="n">
        <v>2354</v>
      </c>
      <c r="B2355" t="inlineStr">
        <is>
          <t>A-5050__9</t>
        </is>
      </c>
      <c r="C2355" s="1" t="n">
        <v>37.208479237</v>
      </c>
      <c r="D2355" s="1" t="n">
        <v>-7.02516786244</v>
      </c>
      <c r="E2355" s="3" t="n">
        <v>2</v>
      </c>
      <c r="F2355" s="2" t="n">
        <v>3</v>
      </c>
      <c r="G2355" s="4" t="n">
        <v>3</v>
      </c>
      <c r="H2355" s="13" t="n"/>
      <c r="I2355" s="15" t="n"/>
      <c r="J2355" s="19" t="n">
        <v>3</v>
      </c>
      <c r="K2355" s="2" t="inlineStr">
        <is>
          <t>marker_739_949618.png</t>
        </is>
      </c>
      <c r="L2355" s="11">
        <f>HYPERLINK("3\1\" &amp; K2355, "Ver Imagen")</f>
        <v/>
      </c>
      <c r="M2355" t="inlineStr">
        <is>
          <t>Moda</t>
        </is>
      </c>
    </row>
    <row r="2356">
      <c r="A2356" t="n">
        <v>2355</v>
      </c>
      <c r="B2356" t="inlineStr">
        <is>
          <t>A-5050__8</t>
        </is>
      </c>
      <c r="C2356" s="1" t="n">
        <v>37.2085671487</v>
      </c>
      <c r="D2356" s="1" t="n">
        <v>-7.02543935453</v>
      </c>
      <c r="E2356" s="3" t="n">
        <v>2</v>
      </c>
      <c r="F2356" s="2" t="n">
        <v>3</v>
      </c>
      <c r="G2356" s="4" t="n">
        <v>3</v>
      </c>
      <c r="H2356" s="13" t="n"/>
      <c r="I2356" s="15" t="n"/>
      <c r="J2356" s="19" t="n">
        <v>3</v>
      </c>
      <c r="K2356" s="2" t="inlineStr">
        <is>
          <t>marker_301_949628.png</t>
        </is>
      </c>
      <c r="L2356" s="11">
        <f>HYPERLINK("3\1\" &amp; K2356, "Ver Imagen")</f>
        <v/>
      </c>
      <c r="M2356" t="inlineStr">
        <is>
          <t>Moda</t>
        </is>
      </c>
    </row>
    <row r="2357">
      <c r="A2357" t="n">
        <v>2356</v>
      </c>
      <c r="B2357" t="inlineStr">
        <is>
          <t>A-5050__4</t>
        </is>
      </c>
      <c r="C2357" s="1" t="n">
        <v>37.2087918211</v>
      </c>
      <c r="D2357" s="1" t="n">
        <v>-7.02636763376</v>
      </c>
      <c r="E2357" s="3" t="n">
        <v>2</v>
      </c>
      <c r="F2357" s="2" t="n">
        <v>3</v>
      </c>
      <c r="G2357" s="4" t="n">
        <v>3</v>
      </c>
      <c r="H2357" s="13" t="n"/>
      <c r="I2357" s="15" t="n"/>
      <c r="J2357" s="19" t="n">
        <v>3</v>
      </c>
      <c r="K2357" s="2" t="inlineStr">
        <is>
          <t>marker_168_949670.png</t>
        </is>
      </c>
      <c r="L2357" s="11">
        <f>HYPERLINK("3\1\" &amp; K2357, "Ver Imagen")</f>
        <v/>
      </c>
      <c r="M2357" t="inlineStr">
        <is>
          <t>Moda</t>
        </is>
      </c>
    </row>
    <row r="2358">
      <c r="A2358" t="n">
        <v>2357</v>
      </c>
      <c r="B2358" t="inlineStr">
        <is>
          <t>A-5050__1</t>
        </is>
      </c>
      <c r="C2358" s="1" t="n">
        <v>37.2089324287</v>
      </c>
      <c r="D2358" s="1" t="n">
        <v>-7.02709551172</v>
      </c>
      <c r="E2358" s="3" t="n">
        <v>2</v>
      </c>
      <c r="F2358" s="2" t="n">
        <v>3</v>
      </c>
      <c r="G2358" s="4" t="n">
        <v>3</v>
      </c>
      <c r="H2358" s="13" t="n"/>
      <c r="I2358" s="15" t="n"/>
      <c r="J2358" s="19" t="n">
        <v>3</v>
      </c>
      <c r="K2358" s="2" t="inlineStr">
        <is>
          <t>marker_983_949732.png</t>
        </is>
      </c>
      <c r="L2358" s="11">
        <f>HYPERLINK("3\1\" &amp; K2358, "Ver Imagen")</f>
        <v/>
      </c>
      <c r="M2358" t="inlineStr">
        <is>
          <t>Moda</t>
        </is>
      </c>
    </row>
    <row r="2359">
      <c r="A2359" t="n">
        <v>2358</v>
      </c>
      <c r="B2359" t="inlineStr">
        <is>
          <t>A-5052__16</t>
        </is>
      </c>
      <c r="C2359" s="1" t="n">
        <v>37.2179130303</v>
      </c>
      <c r="D2359" s="1" t="n">
        <v>-7.12201098481</v>
      </c>
      <c r="E2359" s="3" t="n">
        <v>2</v>
      </c>
      <c r="F2359" s="2" t="n">
        <v>3</v>
      </c>
      <c r="G2359" s="4" t="n">
        <v>3</v>
      </c>
      <c r="H2359" s="13" t="n"/>
      <c r="I2359" s="15" t="n"/>
      <c r="J2359" s="19" t="n">
        <v>3</v>
      </c>
      <c r="K2359" s="2" t="inlineStr">
        <is>
          <t>marker_146_950171.png</t>
        </is>
      </c>
      <c r="L2359" s="11">
        <f>HYPERLINK("3\1\" &amp; K2359, "Ver Imagen")</f>
        <v/>
      </c>
      <c r="M2359" t="inlineStr">
        <is>
          <t>Moda</t>
        </is>
      </c>
    </row>
    <row r="2360">
      <c r="A2360" t="n">
        <v>2359</v>
      </c>
      <c r="B2360" t="inlineStr">
        <is>
          <t>A-5052__23</t>
        </is>
      </c>
      <c r="C2360" s="1" t="n">
        <v>37.2180491529</v>
      </c>
      <c r="D2360" s="1" t="n">
        <v>-7.12028894305</v>
      </c>
      <c r="E2360" s="3" t="n">
        <v>2</v>
      </c>
      <c r="F2360" s="2" t="n">
        <v>3</v>
      </c>
      <c r="G2360" s="4" t="n">
        <v>3</v>
      </c>
      <c r="H2360" s="13" t="n"/>
      <c r="I2360" s="15" t="n"/>
      <c r="J2360" s="19" t="n">
        <v>3</v>
      </c>
      <c r="K2360" s="2" t="inlineStr">
        <is>
          <t>marker_944_951506.png</t>
        </is>
      </c>
      <c r="L2360" s="11">
        <f>HYPERLINK("3\1\" &amp; K2360, "Ver Imagen")</f>
        <v/>
      </c>
      <c r="M2360" t="inlineStr">
        <is>
          <t>Moda</t>
        </is>
      </c>
    </row>
    <row r="2361">
      <c r="A2361" t="n">
        <v>2360</v>
      </c>
      <c r="B2361" t="inlineStr">
        <is>
          <t>A-5052__24</t>
        </is>
      </c>
      <c r="C2361" s="1" t="n">
        <v>37.2180684279</v>
      </c>
      <c r="D2361" s="1" t="n">
        <v>-7.12002398249</v>
      </c>
      <c r="E2361" s="3" t="n">
        <v>2</v>
      </c>
      <c r="F2361" s="2" t="n">
        <v>3</v>
      </c>
      <c r="G2361" s="4" t="n">
        <v>3</v>
      </c>
      <c r="H2361" s="13" t="n"/>
      <c r="I2361" s="15" t="n"/>
      <c r="J2361" s="19" t="n">
        <v>3</v>
      </c>
      <c r="K2361" s="2" t="inlineStr">
        <is>
          <t>marker_273_951519.png</t>
        </is>
      </c>
      <c r="L2361" s="11">
        <f>HYPERLINK("3\1\" &amp; K2361, "Ver Imagen")</f>
        <v/>
      </c>
      <c r="M2361" t="inlineStr">
        <is>
          <t>Moda</t>
        </is>
      </c>
    </row>
    <row r="2362">
      <c r="A2362" t="n">
        <v>2361</v>
      </c>
      <c r="B2362" t="inlineStr">
        <is>
          <t>A-5052__25</t>
        </is>
      </c>
      <c r="C2362" s="1" t="n">
        <v>37.2180896226</v>
      </c>
      <c r="D2362" s="1" t="n">
        <v>-7.11976228703</v>
      </c>
      <c r="E2362" s="3" t="n">
        <v>3</v>
      </c>
      <c r="F2362" s="2" t="n">
        <v>3</v>
      </c>
      <c r="G2362" s="4" t="n">
        <v>2</v>
      </c>
      <c r="H2362" s="13" t="n"/>
      <c r="I2362" s="15" t="n"/>
      <c r="J2362" s="19" t="n">
        <v>3</v>
      </c>
      <c r="K2362" s="2" t="inlineStr">
        <is>
          <t>marker_177_951529.png</t>
        </is>
      </c>
      <c r="L2362" s="11">
        <f>HYPERLINK("3\1\" &amp; K2362, "Ver Imagen")</f>
        <v/>
      </c>
      <c r="M2362" t="inlineStr">
        <is>
          <t>Moda</t>
        </is>
      </c>
    </row>
    <row r="2363">
      <c r="A2363" t="n">
        <v>2362</v>
      </c>
      <c r="B2363" t="inlineStr">
        <is>
          <t>A-5052__104</t>
        </is>
      </c>
      <c r="C2363" s="1" t="n">
        <v>37.217045483</v>
      </c>
      <c r="D2363" s="1" t="n">
        <v>-7.0999430146</v>
      </c>
      <c r="E2363" s="3" t="n">
        <v>2</v>
      </c>
      <c r="F2363" s="2" t="n">
        <v>3</v>
      </c>
      <c r="G2363" s="4" t="n">
        <v>3</v>
      </c>
      <c r="H2363" s="13" t="n"/>
      <c r="I2363" s="15" t="n"/>
      <c r="J2363" s="19" t="n">
        <v>3</v>
      </c>
      <c r="K2363" s="2" t="inlineStr">
        <is>
          <t>marker_819_957721.png</t>
        </is>
      </c>
      <c r="L2363" s="11">
        <f>HYPERLINK("3\1\" &amp; K2363, "Ver Imagen")</f>
        <v/>
      </c>
      <c r="M2363" t="inlineStr">
        <is>
          <t>Moda</t>
        </is>
      </c>
    </row>
    <row r="2364">
      <c r="A2364" t="n">
        <v>2363</v>
      </c>
      <c r="B2364" t="inlineStr">
        <is>
          <t>A-5052__145</t>
        </is>
      </c>
      <c r="C2364" s="1" t="n">
        <v>37.216085142</v>
      </c>
      <c r="D2364" s="1" t="n">
        <v>-7.08967702611</v>
      </c>
      <c r="E2364" s="3" t="n">
        <v>2</v>
      </c>
      <c r="F2364" s="2" t="n">
        <v>3</v>
      </c>
      <c r="G2364" s="4" t="n">
        <v>3</v>
      </c>
      <c r="H2364" s="13" t="n"/>
      <c r="I2364" s="15" t="n"/>
      <c r="J2364" s="19" t="n">
        <v>3</v>
      </c>
      <c r="K2364" s="2" t="inlineStr">
        <is>
          <t>marker_412_958420.png</t>
        </is>
      </c>
      <c r="L2364" s="11">
        <f>HYPERLINK("3\1\" &amp; K2364, "Ver Imagen")</f>
        <v/>
      </c>
      <c r="M2364" t="inlineStr">
        <is>
          <t>Moda</t>
        </is>
      </c>
    </row>
    <row r="2365">
      <c r="A2365" t="n">
        <v>2364</v>
      </c>
      <c r="B2365" t="inlineStr">
        <is>
          <t>A-5052__172</t>
        </is>
      </c>
      <c r="C2365" s="1" t="n">
        <v>37.2159110677</v>
      </c>
      <c r="D2365" s="1" t="n">
        <v>-7.08291512721</v>
      </c>
      <c r="E2365" s="3" t="n">
        <v>2</v>
      </c>
      <c r="F2365" s="2" t="n">
        <v>3</v>
      </c>
      <c r="G2365" s="4" t="n">
        <v>3</v>
      </c>
      <c r="H2365" s="13" t="n"/>
      <c r="I2365" s="15" t="n"/>
      <c r="J2365" s="19" t="n">
        <v>3</v>
      </c>
      <c r="K2365" s="2" t="inlineStr">
        <is>
          <t>marker_769_958978.png</t>
        </is>
      </c>
      <c r="L2365" s="11">
        <f>HYPERLINK("3\1\" &amp; K2365, "Ver Imagen")</f>
        <v/>
      </c>
      <c r="M2365" t="inlineStr">
        <is>
          <t>Moda</t>
        </is>
      </c>
    </row>
    <row r="2366">
      <c r="A2366" t="n">
        <v>2365</v>
      </c>
      <c r="B2366" t="inlineStr">
        <is>
          <t>A-5052__173</t>
        </is>
      </c>
      <c r="C2366" s="1" t="n">
        <v>37.2158356936</v>
      </c>
      <c r="D2366" s="1" t="n">
        <v>-7.0826640414</v>
      </c>
      <c r="E2366" s="3" t="n">
        <v>2</v>
      </c>
      <c r="F2366" s="2" t="n">
        <v>3</v>
      </c>
      <c r="G2366" s="4" t="n">
        <v>3</v>
      </c>
      <c r="H2366" s="13" t="n"/>
      <c r="I2366" s="15" t="n"/>
      <c r="J2366" s="19" t="n">
        <v>3</v>
      </c>
      <c r="K2366" s="2" t="inlineStr">
        <is>
          <t>marker_551_958989.png</t>
        </is>
      </c>
      <c r="L2366" s="11">
        <f>HYPERLINK("3\1\" &amp; K2366, "Ver Imagen")</f>
        <v/>
      </c>
      <c r="M2366" t="inlineStr">
        <is>
          <t>Moda</t>
        </is>
      </c>
    </row>
    <row r="2367">
      <c r="A2367" t="n">
        <v>2366</v>
      </c>
      <c r="B2367" t="inlineStr">
        <is>
          <t>A-5052__217</t>
        </is>
      </c>
      <c r="C2367" s="1" t="n">
        <v>37.2136954614</v>
      </c>
      <c r="D2367" s="1" t="n">
        <v>-7.07187224805</v>
      </c>
      <c r="E2367" s="3" t="n">
        <v>2</v>
      </c>
      <c r="F2367" s="2" t="n">
        <v>3</v>
      </c>
      <c r="G2367" s="4" t="n">
        <v>3</v>
      </c>
      <c r="H2367" s="13" t="n"/>
      <c r="I2367" s="15" t="n"/>
      <c r="J2367" s="19" t="n">
        <v>3</v>
      </c>
      <c r="K2367" s="2" t="inlineStr">
        <is>
          <t>marker_556_959690.png</t>
        </is>
      </c>
      <c r="L2367" s="11">
        <f>HYPERLINK("3\1\" &amp; K2367, "Ver Imagen")</f>
        <v/>
      </c>
      <c r="M2367" t="inlineStr">
        <is>
          <t>Moda</t>
        </is>
      </c>
    </row>
    <row r="2368">
      <c r="A2368" t="n">
        <v>2367</v>
      </c>
      <c r="B2368" t="inlineStr">
        <is>
          <t>A-5052__256</t>
        </is>
      </c>
      <c r="C2368" s="1" t="n">
        <v>37.2130884274</v>
      </c>
      <c r="D2368" s="1" t="n">
        <v>-7.0621746789</v>
      </c>
      <c r="E2368" s="3" t="n">
        <v>2</v>
      </c>
      <c r="F2368" s="2" t="n">
        <v>3</v>
      </c>
      <c r="G2368" s="4" t="n">
        <v>3</v>
      </c>
      <c r="H2368" s="13" t="n"/>
      <c r="I2368" s="15" t="n"/>
      <c r="J2368" s="19" t="n">
        <v>3</v>
      </c>
      <c r="K2368" s="2" t="inlineStr">
        <is>
          <t>marker_473_960155.png</t>
        </is>
      </c>
      <c r="L2368" s="11">
        <f>HYPERLINK("3\1\" &amp; K2368, "Ver Imagen")</f>
        <v/>
      </c>
      <c r="M2368" t="inlineStr">
        <is>
          <t>Moda</t>
        </is>
      </c>
    </row>
    <row r="2369">
      <c r="A2369" t="n">
        <v>2368</v>
      </c>
      <c r="B2369" t="inlineStr">
        <is>
          <t>A-5052__271</t>
        </is>
      </c>
      <c r="C2369" s="1" t="n">
        <v>37.2118710196</v>
      </c>
      <c r="D2369" s="1" t="n">
        <v>-7.05870195929</v>
      </c>
      <c r="E2369" s="3" t="n">
        <v>2</v>
      </c>
      <c r="F2369" s="2" t="n">
        <v>3</v>
      </c>
      <c r="G2369" s="4" t="n">
        <v>3</v>
      </c>
      <c r="H2369" s="13" t="n"/>
      <c r="I2369" s="15" t="n"/>
      <c r="J2369" s="19" t="n">
        <v>3</v>
      </c>
      <c r="K2369" s="2" t="inlineStr">
        <is>
          <t>marker_375_960331.png</t>
        </is>
      </c>
      <c r="L2369" s="11">
        <f>HYPERLINK("3\1\" &amp; K2369, "Ver Imagen")</f>
        <v/>
      </c>
      <c r="M2369" t="inlineStr">
        <is>
          <t>Moda</t>
        </is>
      </c>
    </row>
    <row r="2370">
      <c r="A2370" t="n">
        <v>2369</v>
      </c>
      <c r="B2370" t="inlineStr">
        <is>
          <t>A-5052__274</t>
        </is>
      </c>
      <c r="C2370" s="1" t="n">
        <v>37.2116088106</v>
      </c>
      <c r="D2370" s="1" t="n">
        <v>-7.05797516305</v>
      </c>
      <c r="E2370" s="3" t="n">
        <v>2</v>
      </c>
      <c r="F2370" s="2" t="n">
        <v>3</v>
      </c>
      <c r="G2370" s="4" t="n">
        <v>3</v>
      </c>
      <c r="H2370" s="13" t="n"/>
      <c r="I2370" s="15" t="n"/>
      <c r="J2370" s="19" t="n">
        <v>3</v>
      </c>
      <c r="K2370" s="2" t="inlineStr">
        <is>
          <t>marker_797_960369.png</t>
        </is>
      </c>
      <c r="L2370" s="11">
        <f>HYPERLINK("3\1\" &amp; K2370, "Ver Imagen")</f>
        <v/>
      </c>
      <c r="M2370" t="inlineStr">
        <is>
          <t>Moda</t>
        </is>
      </c>
    </row>
    <row r="2371">
      <c r="A2371" t="n">
        <v>2370</v>
      </c>
      <c r="B2371" t="inlineStr">
        <is>
          <t>A-5052__276</t>
        </is>
      </c>
      <c r="C2371" s="1" t="n">
        <v>37.2114808962</v>
      </c>
      <c r="D2371" s="1" t="n">
        <v>-7.05754882687</v>
      </c>
      <c r="E2371" s="3" t="n">
        <v>2</v>
      </c>
      <c r="F2371" s="2" t="n">
        <v>3</v>
      </c>
      <c r="G2371" s="4" t="n">
        <v>3</v>
      </c>
      <c r="H2371" s="13" t="n"/>
      <c r="I2371" s="15" t="n"/>
      <c r="J2371" s="19" t="n">
        <v>3</v>
      </c>
      <c r="K2371" s="2" t="inlineStr">
        <is>
          <t>marker_936_960390.png</t>
        </is>
      </c>
      <c r="L2371" s="11">
        <f>HYPERLINK("3\1\" &amp; K2371, "Ver Imagen")</f>
        <v/>
      </c>
      <c r="M2371" t="inlineStr">
        <is>
          <t>Moda</t>
        </is>
      </c>
    </row>
    <row r="2372">
      <c r="A2372" t="n">
        <v>2371</v>
      </c>
      <c r="B2372" t="inlineStr">
        <is>
          <t>A-5052__278</t>
        </is>
      </c>
      <c r="C2372" s="1" t="n">
        <v>37.2113618355</v>
      </c>
      <c r="D2372" s="1" t="n">
        <v>-7.05703346811</v>
      </c>
      <c r="E2372" s="3" t="n">
        <v>2</v>
      </c>
      <c r="F2372" s="2" t="n">
        <v>3</v>
      </c>
      <c r="G2372" s="4" t="n">
        <v>3</v>
      </c>
      <c r="H2372" s="13" t="n"/>
      <c r="I2372" s="15" t="n"/>
      <c r="J2372" s="19" t="n">
        <v>3</v>
      </c>
      <c r="K2372" s="2" t="inlineStr">
        <is>
          <t>marker_841_960495.png</t>
        </is>
      </c>
      <c r="L2372" s="11">
        <f>HYPERLINK("3\1\" &amp; K2372, "Ver Imagen")</f>
        <v/>
      </c>
      <c r="M2372" t="inlineStr">
        <is>
          <t>Moda</t>
        </is>
      </c>
    </row>
    <row r="2373">
      <c r="A2373" t="n">
        <v>2372</v>
      </c>
      <c r="B2373" t="inlineStr">
        <is>
          <t>A-5052__286</t>
        </is>
      </c>
      <c r="C2373" s="1" t="n">
        <v>37.211099234</v>
      </c>
      <c r="D2373" s="1" t="n">
        <v>-7.05500949752</v>
      </c>
      <c r="E2373" s="3" t="n">
        <v>2</v>
      </c>
      <c r="F2373" s="2" t="n">
        <v>3</v>
      </c>
      <c r="G2373" s="4" t="n">
        <v>3</v>
      </c>
      <c r="H2373" s="13" t="n"/>
      <c r="I2373" s="15" t="n"/>
      <c r="J2373" s="19" t="n">
        <v>3</v>
      </c>
      <c r="K2373" s="2" t="inlineStr">
        <is>
          <t>marker_896_960594.png</t>
        </is>
      </c>
      <c r="L2373" s="11">
        <f>HYPERLINK("3\1\" &amp; K2373, "Ver Imagen")</f>
        <v/>
      </c>
      <c r="M2373" t="inlineStr">
        <is>
          <t>Moda</t>
        </is>
      </c>
    </row>
    <row r="2374">
      <c r="A2374" t="n">
        <v>2373</v>
      </c>
      <c r="B2374" t="inlineStr">
        <is>
          <t>A-5052__288</t>
        </is>
      </c>
      <c r="C2374" s="1" t="n">
        <v>37.2110398753</v>
      </c>
      <c r="D2374" s="1" t="n">
        <v>-7.05454787037</v>
      </c>
      <c r="E2374" s="3" t="n">
        <v>2</v>
      </c>
      <c r="F2374" s="2" t="n">
        <v>3</v>
      </c>
      <c r="G2374" s="4" t="n">
        <v>3</v>
      </c>
      <c r="H2374" s="13" t="n"/>
      <c r="I2374" s="15" t="n"/>
      <c r="J2374" s="19" t="n">
        <v>3</v>
      </c>
      <c r="K2374" s="2" t="inlineStr">
        <is>
          <t>marker_165_960619.png</t>
        </is>
      </c>
      <c r="L2374" s="11">
        <f>HYPERLINK("3\1\" &amp; K2374, "Ver Imagen")</f>
        <v/>
      </c>
      <c r="M2374" t="inlineStr">
        <is>
          <t>Moda</t>
        </is>
      </c>
    </row>
    <row r="2375">
      <c r="A2375" t="n">
        <v>2374</v>
      </c>
      <c r="B2375" t="inlineStr">
        <is>
          <t>A-5052__295</t>
        </is>
      </c>
      <c r="C2375" s="1" t="n">
        <v>37.210787921</v>
      </c>
      <c r="D2375" s="1" t="n">
        <v>-7.05279675463</v>
      </c>
      <c r="E2375" s="3" t="n">
        <v>2</v>
      </c>
      <c r="F2375" s="2" t="n">
        <v>3</v>
      </c>
      <c r="G2375" s="4" t="n">
        <v>3</v>
      </c>
      <c r="H2375" s="13" t="n"/>
      <c r="I2375" s="15" t="n"/>
      <c r="J2375" s="19" t="n">
        <v>3</v>
      </c>
      <c r="K2375" s="2" t="inlineStr">
        <is>
          <t>marker_583_960765.png</t>
        </is>
      </c>
      <c r="L2375" s="11">
        <f>HYPERLINK("3\1\" &amp; K2375, "Ver Imagen")</f>
        <v/>
      </c>
      <c r="M2375" t="inlineStr">
        <is>
          <t>Moda</t>
        </is>
      </c>
    </row>
    <row r="2376">
      <c r="A2376" t="n">
        <v>2375</v>
      </c>
      <c r="B2376" t="inlineStr">
        <is>
          <t>A-5052__305</t>
        </is>
      </c>
      <c r="C2376" s="1" t="n">
        <v>37.211200072</v>
      </c>
      <c r="D2376" s="1" t="n">
        <v>-7.05037610516</v>
      </c>
      <c r="E2376" s="3" t="n">
        <v>2</v>
      </c>
      <c r="F2376" s="2" t="n">
        <v>3</v>
      </c>
      <c r="G2376" s="4" t="n">
        <v>3</v>
      </c>
      <c r="H2376" s="13" t="n"/>
      <c r="I2376" s="15" t="n"/>
      <c r="J2376" s="19" t="n">
        <v>3</v>
      </c>
      <c r="K2376" s="2" t="inlineStr">
        <is>
          <t>marker_864_961011.png</t>
        </is>
      </c>
      <c r="L2376" s="11">
        <f>HYPERLINK("3\1\" &amp; K2376, "Ver Imagen")</f>
        <v/>
      </c>
      <c r="M2376" t="inlineStr">
        <is>
          <t>Moda</t>
        </is>
      </c>
    </row>
    <row r="2377">
      <c r="A2377" t="n">
        <v>2376</v>
      </c>
      <c r="B2377" t="inlineStr">
        <is>
          <t>A-5052__315</t>
        </is>
      </c>
      <c r="C2377" s="1" t="n">
        <v>37.2117602319</v>
      </c>
      <c r="D2377" s="1" t="n">
        <v>-7.04798181643</v>
      </c>
      <c r="E2377" s="3" t="n">
        <v>2</v>
      </c>
      <c r="F2377" s="2" t="n">
        <v>3</v>
      </c>
      <c r="G2377" s="4" t="n">
        <v>3</v>
      </c>
      <c r="H2377" s="13" t="n"/>
      <c r="I2377" s="15" t="n"/>
      <c r="J2377" s="19" t="n">
        <v>3</v>
      </c>
      <c r="K2377" s="2" t="inlineStr">
        <is>
          <t>marker_390_961183.png</t>
        </is>
      </c>
      <c r="L2377" s="11">
        <f>HYPERLINK("3\1\" &amp; K2377, "Ver Imagen")</f>
        <v/>
      </c>
      <c r="M2377" t="inlineStr">
        <is>
          <t>Moda</t>
        </is>
      </c>
    </row>
    <row r="2378">
      <c r="A2378" t="n">
        <v>2377</v>
      </c>
      <c r="B2378" t="inlineStr">
        <is>
          <t>A-5052__316</t>
        </is>
      </c>
      <c r="C2378" s="1" t="n">
        <v>37.2117338652</v>
      </c>
      <c r="D2378" s="1" t="n">
        <v>-7.04770279989</v>
      </c>
      <c r="E2378" s="3" t="n">
        <v>2</v>
      </c>
      <c r="F2378" s="2" t="n">
        <v>3</v>
      </c>
      <c r="G2378" s="4" t="n">
        <v>3</v>
      </c>
      <c r="H2378" s="13" t="n"/>
      <c r="I2378" s="15" t="n"/>
      <c r="J2378" s="19" t="n">
        <v>3</v>
      </c>
      <c r="K2378" s="2" t="inlineStr">
        <is>
          <t>marker_438_961193.png</t>
        </is>
      </c>
      <c r="L2378" s="11">
        <f>HYPERLINK("3\1\" &amp; K2378, "Ver Imagen")</f>
        <v/>
      </c>
      <c r="M2378" t="inlineStr">
        <is>
          <t>Moda</t>
        </is>
      </c>
    </row>
    <row r="2379">
      <c r="A2379" t="n">
        <v>2378</v>
      </c>
      <c r="B2379" t="inlineStr">
        <is>
          <t>A-5052__320</t>
        </is>
      </c>
      <c r="C2379" s="1" t="n">
        <v>37.211559398</v>
      </c>
      <c r="D2379" s="1" t="n">
        <v>-7.04671453949</v>
      </c>
      <c r="E2379" s="3" t="n">
        <v>2</v>
      </c>
      <c r="F2379" s="2" t="n">
        <v>3</v>
      </c>
      <c r="G2379" s="4" t="n">
        <v>3</v>
      </c>
      <c r="H2379" s="13" t="n"/>
      <c r="I2379" s="15" t="n"/>
      <c r="J2379" s="19" t="n">
        <v>3</v>
      </c>
      <c r="K2379" s="2" t="inlineStr">
        <is>
          <t>marker_565_961270.png</t>
        </is>
      </c>
      <c r="L2379" s="11">
        <f>HYPERLINK("3\1\" &amp; K2379, "Ver Imagen")</f>
        <v/>
      </c>
      <c r="M2379" t="inlineStr">
        <is>
          <t>Moda</t>
        </is>
      </c>
    </row>
    <row r="2380">
      <c r="A2380" t="n">
        <v>2379</v>
      </c>
      <c r="B2380" t="inlineStr">
        <is>
          <t>A-5052__329</t>
        </is>
      </c>
      <c r="C2380" s="1" t="n">
        <v>37.2110275597</v>
      </c>
      <c r="D2380" s="1" t="n">
        <v>-7.04450629617</v>
      </c>
      <c r="E2380" s="3" t="n">
        <v>2</v>
      </c>
      <c r="F2380" s="2" t="n">
        <v>3</v>
      </c>
      <c r="G2380" s="4" t="n">
        <v>3</v>
      </c>
      <c r="H2380" s="13" t="n"/>
      <c r="I2380" s="15" t="n"/>
      <c r="J2380" s="19" t="n">
        <v>3</v>
      </c>
      <c r="K2380" s="2" t="inlineStr">
        <is>
          <t>marker_805_961491.png</t>
        </is>
      </c>
      <c r="L2380" s="11">
        <f>HYPERLINK("3\1\" &amp; K2380, "Ver Imagen")</f>
        <v/>
      </c>
      <c r="M2380" t="inlineStr">
        <is>
          <t>Moda</t>
        </is>
      </c>
    </row>
    <row r="2381">
      <c r="A2381" t="n">
        <v>2380</v>
      </c>
      <c r="B2381" t="inlineStr">
        <is>
          <t>A-5052__336</t>
        </is>
      </c>
      <c r="C2381" s="1" t="n">
        <v>37.210461176</v>
      </c>
      <c r="D2381" s="1" t="n">
        <v>-7.04298017171</v>
      </c>
      <c r="E2381" s="3" t="n">
        <v>2</v>
      </c>
      <c r="F2381" s="2" t="n">
        <v>3</v>
      </c>
      <c r="G2381" s="4" t="n">
        <v>3</v>
      </c>
      <c r="H2381" s="13" t="n"/>
      <c r="I2381" s="15" t="n"/>
      <c r="J2381" s="19" t="n">
        <v>3</v>
      </c>
      <c r="K2381" s="2" t="inlineStr">
        <is>
          <t>marker_567_961569.png</t>
        </is>
      </c>
      <c r="L2381" s="11">
        <f>HYPERLINK("3\1\" &amp; K2381, "Ver Imagen")</f>
        <v/>
      </c>
      <c r="M2381" t="inlineStr">
        <is>
          <t>Moda</t>
        </is>
      </c>
    </row>
    <row r="2382">
      <c r="A2382" t="n">
        <v>2381</v>
      </c>
      <c r="B2382" t="inlineStr">
        <is>
          <t>A-5052__349</t>
        </is>
      </c>
      <c r="C2382" s="1" t="n">
        <v>37.2093350088</v>
      </c>
      <c r="D2382" s="1" t="n">
        <v>-7.03996691709</v>
      </c>
      <c r="E2382" s="3" t="n">
        <v>2</v>
      </c>
      <c r="F2382" s="2" t="n">
        <v>3</v>
      </c>
      <c r="G2382" s="4" t="n">
        <v>3</v>
      </c>
      <c r="H2382" s="13" t="n"/>
      <c r="I2382" s="15" t="n"/>
      <c r="J2382" s="19" t="n">
        <v>3</v>
      </c>
      <c r="K2382" s="2" t="inlineStr">
        <is>
          <t>marker_580_961734.png</t>
        </is>
      </c>
      <c r="L2382" s="11">
        <f>HYPERLINK("3\1\" &amp; K2382, "Ver Imagen")</f>
        <v/>
      </c>
      <c r="M2382" t="inlineStr">
        <is>
          <t>Moda</t>
        </is>
      </c>
    </row>
    <row r="2383">
      <c r="A2383" t="n">
        <v>2382</v>
      </c>
      <c r="B2383" t="inlineStr">
        <is>
          <t>A-5052__350</t>
        </is>
      </c>
      <c r="C2383" s="1" t="n">
        <v>37.2092366804</v>
      </c>
      <c r="D2383" s="1" t="n">
        <v>-7.03971079319</v>
      </c>
      <c r="E2383" s="3" t="n">
        <v>2</v>
      </c>
      <c r="F2383" s="2" t="n">
        <v>3</v>
      </c>
      <c r="G2383" s="4" t="n">
        <v>3</v>
      </c>
      <c r="H2383" s="13" t="n"/>
      <c r="I2383" s="15" t="n"/>
      <c r="J2383" s="19" t="n">
        <v>3</v>
      </c>
      <c r="K2383" s="2" t="inlineStr">
        <is>
          <t>marker_501_961745.png</t>
        </is>
      </c>
      <c r="L2383" s="11">
        <f>HYPERLINK("3\1\" &amp; K2383, "Ver Imagen")</f>
        <v/>
      </c>
      <c r="M2383" t="inlineStr">
        <is>
          <t>Moda</t>
        </is>
      </c>
    </row>
    <row r="2384">
      <c r="A2384" t="n">
        <v>2383</v>
      </c>
      <c r="B2384" t="inlineStr">
        <is>
          <t>A-5052__351</t>
        </is>
      </c>
      <c r="C2384" s="1" t="n">
        <v>37.2091543307</v>
      </c>
      <c r="D2384" s="1" t="n">
        <v>-7.03950167563</v>
      </c>
      <c r="E2384" s="3" t="n">
        <v>2</v>
      </c>
      <c r="F2384" s="2" t="n">
        <v>3</v>
      </c>
      <c r="G2384" s="4" t="n">
        <v>3</v>
      </c>
      <c r="H2384" s="13" t="n"/>
      <c r="I2384" s="15" t="n"/>
      <c r="J2384" s="19" t="n">
        <v>3</v>
      </c>
      <c r="K2384" s="2" t="inlineStr">
        <is>
          <t>marker_699_961757.png</t>
        </is>
      </c>
      <c r="L2384" s="11">
        <f>HYPERLINK("3\1\" &amp; K2384, "Ver Imagen")</f>
        <v/>
      </c>
      <c r="M2384" t="inlineStr">
        <is>
          <t>Moda</t>
        </is>
      </c>
    </row>
    <row r="2385">
      <c r="A2385" t="n">
        <v>2384</v>
      </c>
      <c r="B2385" t="inlineStr">
        <is>
          <t>A-5052__362</t>
        </is>
      </c>
      <c r="C2385" s="1" t="n">
        <v>37.208188092</v>
      </c>
      <c r="D2385" s="1" t="n">
        <v>-7.03701349798</v>
      </c>
      <c r="E2385" s="3" t="n">
        <v>2</v>
      </c>
      <c r="F2385" s="2" t="n">
        <v>3</v>
      </c>
      <c r="G2385" s="4" t="n">
        <v>3</v>
      </c>
      <c r="H2385" s="13" t="n"/>
      <c r="I2385" s="15" t="n"/>
      <c r="J2385" s="19" t="n">
        <v>3</v>
      </c>
      <c r="K2385" s="2" t="inlineStr">
        <is>
          <t>marker_998_961879.png</t>
        </is>
      </c>
      <c r="L2385" s="11">
        <f>HYPERLINK("3\1\" &amp; K2385, "Ver Imagen")</f>
        <v/>
      </c>
      <c r="M2385" t="inlineStr">
        <is>
          <t>Moda</t>
        </is>
      </c>
    </row>
    <row r="2386">
      <c r="A2386" t="n">
        <v>2385</v>
      </c>
      <c r="B2386" t="inlineStr">
        <is>
          <t>A-5052__365</t>
        </is>
      </c>
      <c r="C2386" s="1" t="n">
        <v>37.2079282104</v>
      </c>
      <c r="D2386" s="1" t="n">
        <v>-7.03634349705</v>
      </c>
      <c r="E2386" s="3" t="n">
        <v>3</v>
      </c>
      <c r="F2386" s="2" t="n">
        <v>3</v>
      </c>
      <c r="G2386" s="4" t="n">
        <v>2</v>
      </c>
      <c r="H2386" s="13" t="n"/>
      <c r="I2386" s="15" t="n"/>
      <c r="J2386" s="19" t="n">
        <v>3</v>
      </c>
      <c r="K2386" s="2" t="inlineStr">
        <is>
          <t>marker_466_961931.png</t>
        </is>
      </c>
      <c r="L2386" s="11">
        <f>HYPERLINK("3\1\" &amp; K2386, "Ver Imagen")</f>
        <v/>
      </c>
      <c r="M2386" t="inlineStr">
        <is>
          <t>Moda</t>
        </is>
      </c>
    </row>
    <row r="2387">
      <c r="A2387" t="n">
        <v>2386</v>
      </c>
      <c r="B2387" t="inlineStr">
        <is>
          <t>A-5052__368</t>
        </is>
      </c>
      <c r="C2387" s="1" t="n">
        <v>37.2076529518</v>
      </c>
      <c r="D2387" s="1" t="n">
        <v>-7.03562388248</v>
      </c>
      <c r="E2387" s="3" t="n">
        <v>3</v>
      </c>
      <c r="F2387" s="2" t="n">
        <v>3</v>
      </c>
      <c r="G2387" s="4" t="n">
        <v>2</v>
      </c>
      <c r="H2387" s="13" t="n"/>
      <c r="I2387" s="15" t="n"/>
      <c r="J2387" s="19" t="n">
        <v>3</v>
      </c>
      <c r="K2387" s="2" t="inlineStr">
        <is>
          <t>marker_962_962273.png</t>
        </is>
      </c>
      <c r="L2387" s="11">
        <f>HYPERLINK("3\1\" &amp; K2387, "Ver Imagen")</f>
        <v/>
      </c>
      <c r="M2387" t="inlineStr">
        <is>
          <t>Moda</t>
        </is>
      </c>
    </row>
    <row r="2388">
      <c r="A2388" t="n">
        <v>2387</v>
      </c>
      <c r="B2388" t="inlineStr">
        <is>
          <t>A-5052__371</t>
        </is>
      </c>
      <c r="C2388" s="1" t="n">
        <v>37.2073928383</v>
      </c>
      <c r="D2388" s="1" t="n">
        <v>-7.03495819947</v>
      </c>
      <c r="E2388" s="3" t="n">
        <v>2</v>
      </c>
      <c r="F2388" s="2" t="n">
        <v>3</v>
      </c>
      <c r="G2388" s="4" t="n">
        <v>3</v>
      </c>
      <c r="H2388" s="13" t="n"/>
      <c r="I2388" s="15" t="n"/>
      <c r="J2388" s="19" t="n">
        <v>3</v>
      </c>
      <c r="K2388" s="2" t="inlineStr">
        <is>
          <t>marker_399_962304.png</t>
        </is>
      </c>
      <c r="L2388" s="11">
        <f>HYPERLINK("3\1\" &amp; K2388, "Ver Imagen")</f>
        <v/>
      </c>
      <c r="M2388" t="inlineStr">
        <is>
          <t>Moda</t>
        </is>
      </c>
    </row>
    <row r="2389">
      <c r="A2389" t="n">
        <v>2388</v>
      </c>
      <c r="B2389" t="inlineStr">
        <is>
          <t>A-5052__382</t>
        </is>
      </c>
      <c r="C2389" s="1" t="n">
        <v>37.2064297427</v>
      </c>
      <c r="D2389" s="1" t="n">
        <v>-7.03245678462</v>
      </c>
      <c r="E2389" s="3" t="n">
        <v>2</v>
      </c>
      <c r="F2389" s="2" t="n">
        <v>3</v>
      </c>
      <c r="G2389" s="4" t="n">
        <v>3</v>
      </c>
      <c r="H2389" s="13" t="n"/>
      <c r="I2389" s="15" t="n"/>
      <c r="J2389" s="19" t="n">
        <v>3</v>
      </c>
      <c r="K2389" s="2" t="inlineStr">
        <is>
          <t>marker_725_962502.png</t>
        </is>
      </c>
      <c r="L2389" s="11">
        <f>HYPERLINK("3\1\" &amp; K2389, "Ver Imagen")</f>
        <v/>
      </c>
      <c r="M2389" t="inlineStr">
        <is>
          <t>Moda</t>
        </is>
      </c>
    </row>
    <row r="2390">
      <c r="A2390" t="n">
        <v>2389</v>
      </c>
      <c r="B2390" t="inlineStr">
        <is>
          <t>A-5052__387</t>
        </is>
      </c>
      <c r="C2390" s="1" t="n">
        <v>37.2059820411</v>
      </c>
      <c r="D2390" s="1" t="n">
        <v>-7.03130256625</v>
      </c>
      <c r="E2390" s="3" t="n">
        <v>2</v>
      </c>
      <c r="F2390" s="2" t="n">
        <v>3</v>
      </c>
      <c r="G2390" s="4" t="n">
        <v>3</v>
      </c>
      <c r="H2390" s="13" t="n"/>
      <c r="I2390" s="15" t="n"/>
      <c r="J2390" s="19" t="n">
        <v>3</v>
      </c>
      <c r="K2390" s="2" t="inlineStr">
        <is>
          <t>marker_716_962548.png</t>
        </is>
      </c>
      <c r="L2390" s="11">
        <f>HYPERLINK("3\1\" &amp; K2390, "Ver Imagen")</f>
        <v/>
      </c>
      <c r="M2390" t="inlineStr">
        <is>
          <t>Moda</t>
        </is>
      </c>
    </row>
    <row r="2391">
      <c r="A2391" t="n">
        <v>2390</v>
      </c>
      <c r="B2391" t="inlineStr">
        <is>
          <t>A-5052__388</t>
        </is>
      </c>
      <c r="C2391" s="1" t="n">
        <v>37.2058899382</v>
      </c>
      <c r="D2391" s="1" t="n">
        <v>-7.03105830871</v>
      </c>
      <c r="E2391" s="3" t="n">
        <v>2</v>
      </c>
      <c r="F2391" s="2" t="n">
        <v>3</v>
      </c>
      <c r="G2391" s="4" t="n">
        <v>3</v>
      </c>
      <c r="H2391" s="13" t="n"/>
      <c r="I2391" s="15" t="n"/>
      <c r="J2391" s="19" t="n">
        <v>3</v>
      </c>
      <c r="K2391" s="2" t="inlineStr">
        <is>
          <t>marker_590_962558.png</t>
        </is>
      </c>
      <c r="L2391" s="11">
        <f>HYPERLINK("3\1\" &amp; K2391, "Ver Imagen")</f>
        <v/>
      </c>
      <c r="M2391" t="inlineStr">
        <is>
          <t>Moda</t>
        </is>
      </c>
    </row>
    <row r="2392">
      <c r="A2392" t="n">
        <v>2391</v>
      </c>
      <c r="B2392" t="inlineStr">
        <is>
          <t>A-5052__393</t>
        </is>
      </c>
      <c r="C2392" s="1" t="n">
        <v>37.2054619562</v>
      </c>
      <c r="D2392" s="1" t="n">
        <v>-7.02994350743</v>
      </c>
      <c r="E2392" s="3" t="n">
        <v>2</v>
      </c>
      <c r="F2392" s="2" t="n">
        <v>3</v>
      </c>
      <c r="G2392" s="4" t="n">
        <v>3</v>
      </c>
      <c r="H2392" s="13" t="n"/>
      <c r="I2392" s="15" t="n"/>
      <c r="J2392" s="19" t="n">
        <v>3</v>
      </c>
      <c r="K2392" s="2" t="inlineStr">
        <is>
          <t>marker_509_962604.png</t>
        </is>
      </c>
      <c r="L2392" s="11">
        <f>HYPERLINK("3\1\" &amp; K2392, "Ver Imagen")</f>
        <v/>
      </c>
      <c r="M2392" t="inlineStr">
        <is>
          <t>Moda</t>
        </is>
      </c>
    </row>
    <row r="2393">
      <c r="A2393" t="n">
        <v>2392</v>
      </c>
      <c r="B2393" t="inlineStr">
        <is>
          <t>A-5052__396</t>
        </is>
      </c>
      <c r="C2393" s="1" t="n">
        <v>37.2052033213</v>
      </c>
      <c r="D2393" s="1" t="n">
        <v>-7.02925464204</v>
      </c>
      <c r="E2393" s="3" t="n">
        <v>2</v>
      </c>
      <c r="F2393" s="2" t="n">
        <v>3</v>
      </c>
      <c r="G2393" s="4" t="n">
        <v>3</v>
      </c>
      <c r="H2393" s="13" t="n"/>
      <c r="I2393" s="15" t="n"/>
      <c r="J2393" s="19" t="n">
        <v>3</v>
      </c>
      <c r="K2393" s="2" t="inlineStr">
        <is>
          <t>marker_457_962629.png</t>
        </is>
      </c>
      <c r="L2393" s="11">
        <f>HYPERLINK("3\1\" &amp; K2393, "Ver Imagen")</f>
        <v/>
      </c>
      <c r="M2393" t="inlineStr">
        <is>
          <t>Moda</t>
        </is>
      </c>
    </row>
    <row r="2394">
      <c r="A2394" t="n">
        <v>2393</v>
      </c>
      <c r="B2394" t="inlineStr">
        <is>
          <t>A-5052__397</t>
        </is>
      </c>
      <c r="C2394" s="1" t="n">
        <v>37.2051190447</v>
      </c>
      <c r="D2394" s="1" t="n">
        <v>-7.02903749599</v>
      </c>
      <c r="E2394" s="3" t="n">
        <v>2</v>
      </c>
      <c r="F2394" s="2" t="n">
        <v>3</v>
      </c>
      <c r="G2394" s="4" t="n">
        <v>3</v>
      </c>
      <c r="H2394" s="13" t="n"/>
      <c r="I2394" s="15" t="n"/>
      <c r="J2394" s="19" t="n">
        <v>3</v>
      </c>
      <c r="K2394" s="2" t="inlineStr">
        <is>
          <t>marker_511_962638.png</t>
        </is>
      </c>
      <c r="L2394" s="11">
        <f>HYPERLINK("3\1\" &amp; K2394, "Ver Imagen")</f>
        <v/>
      </c>
      <c r="M2394" t="inlineStr">
        <is>
          <t>Moda</t>
        </is>
      </c>
    </row>
    <row r="2395">
      <c r="A2395" t="n">
        <v>2394</v>
      </c>
      <c r="B2395" t="inlineStr">
        <is>
          <t>A-5052__400</t>
        </is>
      </c>
      <c r="C2395" s="1" t="n">
        <v>37.2048138974</v>
      </c>
      <c r="D2395" s="1" t="n">
        <v>-7.02837795408</v>
      </c>
      <c r="E2395" s="3" t="n">
        <v>2</v>
      </c>
      <c r="F2395" s="2" t="n">
        <v>3</v>
      </c>
      <c r="G2395" s="4" t="n">
        <v>3</v>
      </c>
      <c r="H2395" s="13" t="n"/>
      <c r="I2395" s="15" t="n"/>
      <c r="J2395" s="19" t="n">
        <v>3</v>
      </c>
      <c r="K2395" s="2" t="inlineStr">
        <is>
          <t>marker_893_962665.png</t>
        </is>
      </c>
      <c r="L2395" s="11">
        <f>HYPERLINK("3\1\" &amp; K2395, "Ver Imagen")</f>
        <v/>
      </c>
      <c r="M2395" t="inlineStr">
        <is>
          <t>Moda</t>
        </is>
      </c>
    </row>
    <row r="2396">
      <c r="A2396" t="n">
        <v>2395</v>
      </c>
      <c r="B2396" t="inlineStr">
        <is>
          <t>A-5052__445</t>
        </is>
      </c>
      <c r="C2396" s="1" t="n">
        <v>37.2009239718</v>
      </c>
      <c r="D2396" s="1" t="n">
        <v>-7.01810042339</v>
      </c>
      <c r="E2396" s="3" t="n">
        <v>2</v>
      </c>
      <c r="F2396" s="2" t="n">
        <v>3</v>
      </c>
      <c r="G2396" s="4" t="n">
        <v>3</v>
      </c>
      <c r="H2396" s="13" t="n"/>
      <c r="I2396" s="15" t="n"/>
      <c r="J2396" s="19" t="n">
        <v>3</v>
      </c>
      <c r="K2396" s="2" t="inlineStr">
        <is>
          <t>marker_564_963128.png</t>
        </is>
      </c>
      <c r="L2396" s="11">
        <f>HYPERLINK("3\1\" &amp; K2396, "Ver Imagen")</f>
        <v/>
      </c>
      <c r="M2396" t="inlineStr">
        <is>
          <t>Moda</t>
        </is>
      </c>
    </row>
    <row r="2397">
      <c r="A2397" t="n">
        <v>2396</v>
      </c>
      <c r="B2397" t="inlineStr">
        <is>
          <t>A-5052__446</t>
        </is>
      </c>
      <c r="C2397" s="1" t="n">
        <v>37.2008313791</v>
      </c>
      <c r="D2397" s="1" t="n">
        <v>-7.01786043893</v>
      </c>
      <c r="E2397" s="3" t="n">
        <v>2</v>
      </c>
      <c r="F2397" s="2" t="n">
        <v>3</v>
      </c>
      <c r="G2397" s="4" t="n">
        <v>3</v>
      </c>
      <c r="H2397" s="13" t="n"/>
      <c r="I2397" s="15" t="n"/>
      <c r="J2397" s="19" t="n">
        <v>3</v>
      </c>
      <c r="K2397" s="2" t="inlineStr">
        <is>
          <t>marker_237_963137.png</t>
        </is>
      </c>
      <c r="L2397" s="11">
        <f>HYPERLINK("3\1\" &amp; K2397, "Ver Imagen")</f>
        <v/>
      </c>
      <c r="M2397" t="inlineStr">
        <is>
          <t>Moda</t>
        </is>
      </c>
    </row>
    <row r="2398">
      <c r="A2398" t="n">
        <v>2397</v>
      </c>
      <c r="B2398" t="inlineStr">
        <is>
          <t>A-5052__474</t>
        </is>
      </c>
      <c r="C2398" s="1" t="n">
        <v>37.1983804407</v>
      </c>
      <c r="D2398" s="1" t="n">
        <v>-7.01148758469</v>
      </c>
      <c r="E2398" s="3" t="n">
        <v>2</v>
      </c>
      <c r="F2398" s="2" t="n">
        <v>3</v>
      </c>
      <c r="G2398" s="4" t="n">
        <v>3</v>
      </c>
      <c r="H2398" s="13" t="n"/>
      <c r="I2398" s="15" t="n"/>
      <c r="J2398" s="19" t="n">
        <v>3</v>
      </c>
      <c r="K2398" s="2" t="inlineStr">
        <is>
          <t>marker_551_963432.png</t>
        </is>
      </c>
      <c r="L2398" s="11">
        <f>HYPERLINK("3\1\" &amp; K2398, "Ver Imagen")</f>
        <v/>
      </c>
      <c r="M2398" t="inlineStr">
        <is>
          <t>Moda</t>
        </is>
      </c>
    </row>
    <row r="2399">
      <c r="A2399" t="n">
        <v>2398</v>
      </c>
      <c r="B2399" t="inlineStr">
        <is>
          <t>A-5052__479</t>
        </is>
      </c>
      <c r="C2399" s="1" t="n">
        <v>37.19794075</v>
      </c>
      <c r="D2399" s="1" t="n">
        <v>-7.01035414138</v>
      </c>
      <c r="E2399" s="3" t="n">
        <v>2</v>
      </c>
      <c r="F2399" s="2" t="n">
        <v>3</v>
      </c>
      <c r="G2399" s="4" t="n">
        <v>3</v>
      </c>
      <c r="H2399" s="13" t="n"/>
      <c r="I2399" s="15" t="n"/>
      <c r="J2399" s="19" t="n">
        <v>3</v>
      </c>
      <c r="K2399" s="2" t="inlineStr">
        <is>
          <t>marker_427_963482.png</t>
        </is>
      </c>
      <c r="L2399" s="11">
        <f>HYPERLINK("3\1\" &amp; K2399, "Ver Imagen")</f>
        <v/>
      </c>
      <c r="M2399" t="inlineStr">
        <is>
          <t>Moda</t>
        </is>
      </c>
    </row>
    <row r="2400">
      <c r="A2400" t="n">
        <v>2399</v>
      </c>
      <c r="B2400" t="inlineStr">
        <is>
          <t>A-5052__480</t>
        </is>
      </c>
      <c r="C2400" s="1" t="n">
        <v>37.1978615229</v>
      </c>
      <c r="D2400" s="1" t="n">
        <v>-7.01014702932</v>
      </c>
      <c r="E2400" s="3" t="n">
        <v>2</v>
      </c>
      <c r="F2400" s="2" t="n">
        <v>3</v>
      </c>
      <c r="G2400" s="4" t="n">
        <v>3</v>
      </c>
      <c r="H2400" s="13" t="n"/>
      <c r="I2400" s="15" t="n"/>
      <c r="J2400" s="19" t="n">
        <v>3</v>
      </c>
      <c r="K2400" s="2" t="inlineStr">
        <is>
          <t>marker_346_963491.png</t>
        </is>
      </c>
      <c r="L2400" s="11">
        <f>HYPERLINK("3\1\" &amp; K2400, "Ver Imagen")</f>
        <v/>
      </c>
      <c r="M2400" t="inlineStr">
        <is>
          <t>Moda</t>
        </is>
      </c>
    </row>
    <row r="2401">
      <c r="A2401" t="n">
        <v>2400</v>
      </c>
      <c r="B2401" t="inlineStr">
        <is>
          <t>A-5053__378</t>
        </is>
      </c>
      <c r="C2401" s="1" t="n">
        <v>37.2879503244</v>
      </c>
      <c r="D2401" s="1" t="n">
        <v>-7.14158401364</v>
      </c>
      <c r="E2401" s="3" t="n">
        <v>2</v>
      </c>
      <c r="F2401" s="2" t="n">
        <v>3</v>
      </c>
      <c r="G2401" s="4" t="n">
        <v>3</v>
      </c>
      <c r="H2401" s="13" t="n"/>
      <c r="I2401" s="15" t="n"/>
      <c r="J2401" s="19" t="n">
        <v>3</v>
      </c>
      <c r="K2401" s="2" t="inlineStr">
        <is>
          <t>marker_696_963876.png</t>
        </is>
      </c>
      <c r="L2401" s="11">
        <f>HYPERLINK("3\1\" &amp; K2401, "Ver Imagen")</f>
        <v/>
      </c>
      <c r="M2401" t="inlineStr">
        <is>
          <t>Moda</t>
        </is>
      </c>
    </row>
    <row r="2402">
      <c r="A2402" t="n">
        <v>2401</v>
      </c>
      <c r="B2402" t="inlineStr">
        <is>
          <t>A-5053__363</t>
        </is>
      </c>
      <c r="C2402" s="1" t="n">
        <v>37.2853153244</v>
      </c>
      <c r="D2402" s="1" t="n">
        <v>-7.14249523696</v>
      </c>
      <c r="E2402" s="3" t="n">
        <v>2</v>
      </c>
      <c r="F2402" s="2" t="n">
        <v>3</v>
      </c>
      <c r="G2402" s="4" t="n">
        <v>3</v>
      </c>
      <c r="H2402" s="13" t="n"/>
      <c r="I2402" s="15" t="n"/>
      <c r="J2402" s="19" t="n">
        <v>3</v>
      </c>
      <c r="K2402" s="2" t="inlineStr">
        <is>
          <t>marker_388_964027.png</t>
        </is>
      </c>
      <c r="L2402" s="11">
        <f>HYPERLINK("3\1\" &amp; K2402, "Ver Imagen")</f>
        <v/>
      </c>
      <c r="M2402" t="inlineStr">
        <is>
          <t>Moda</t>
        </is>
      </c>
    </row>
    <row r="2403">
      <c r="A2403" t="n">
        <v>2402</v>
      </c>
      <c r="B2403" t="inlineStr">
        <is>
          <t>A-5053__362</t>
        </is>
      </c>
      <c r="C2403" s="1" t="n">
        <v>37.2852013007</v>
      </c>
      <c r="D2403" s="1" t="n">
        <v>-7.14268288546</v>
      </c>
      <c r="E2403" s="3" t="n">
        <v>2</v>
      </c>
      <c r="F2403" s="2" t="n">
        <v>3</v>
      </c>
      <c r="G2403" s="4" t="n">
        <v>3</v>
      </c>
      <c r="H2403" s="13" t="n"/>
      <c r="I2403" s="15" t="n"/>
      <c r="J2403" s="19" t="n">
        <v>3</v>
      </c>
      <c r="K2403" s="2" t="inlineStr">
        <is>
          <t>marker_433_964040.png</t>
        </is>
      </c>
      <c r="L2403" s="11">
        <f>HYPERLINK("3\1\" &amp; K2403, "Ver Imagen")</f>
        <v/>
      </c>
      <c r="M2403" t="inlineStr">
        <is>
          <t>Moda</t>
        </is>
      </c>
    </row>
    <row r="2404">
      <c r="A2404" t="n">
        <v>2403</v>
      </c>
      <c r="B2404" t="inlineStr">
        <is>
          <t>A-5053__360</t>
        </is>
      </c>
      <c r="C2404" s="1" t="n">
        <v>37.2849856347</v>
      </c>
      <c r="D2404" s="1" t="n">
        <v>-7.14307963396</v>
      </c>
      <c r="E2404" s="3" t="n">
        <v>2</v>
      </c>
      <c r="F2404" s="2" t="n">
        <v>3</v>
      </c>
      <c r="G2404" s="4" t="n">
        <v>3</v>
      </c>
      <c r="H2404" s="13" t="n"/>
      <c r="I2404" s="15" t="n"/>
      <c r="J2404" s="19" t="n">
        <v>3</v>
      </c>
      <c r="K2404" s="2" t="inlineStr">
        <is>
          <t>marker_864_964065.png</t>
        </is>
      </c>
      <c r="L2404" s="11">
        <f>HYPERLINK("3\1\" &amp; K2404, "Ver Imagen")</f>
        <v/>
      </c>
      <c r="M2404" t="inlineStr">
        <is>
          <t>Moda</t>
        </is>
      </c>
    </row>
    <row r="2405">
      <c r="A2405" t="n">
        <v>2404</v>
      </c>
      <c r="B2405" t="inlineStr">
        <is>
          <t>A-5053__330</t>
        </is>
      </c>
      <c r="C2405" s="1" t="n">
        <v>37.2797351984</v>
      </c>
      <c r="D2405" s="1" t="n">
        <v>-7.14537795778</v>
      </c>
      <c r="E2405" s="3" t="n">
        <v>2</v>
      </c>
      <c r="F2405" s="2" t="n">
        <v>3</v>
      </c>
      <c r="G2405" s="4" t="n">
        <v>3</v>
      </c>
      <c r="H2405" s="13" t="n"/>
      <c r="I2405" s="15" t="n"/>
      <c r="J2405" s="19" t="n">
        <v>3</v>
      </c>
      <c r="K2405" s="2" t="inlineStr">
        <is>
          <t>marker_297_964467.png</t>
        </is>
      </c>
      <c r="L2405" s="11">
        <f>HYPERLINK("3\1\" &amp; K2405, "Ver Imagen")</f>
        <v/>
      </c>
      <c r="M2405" t="inlineStr">
        <is>
          <t>Moda</t>
        </is>
      </c>
    </row>
    <row r="2406">
      <c r="A2406" t="n">
        <v>2405</v>
      </c>
      <c r="B2406" t="inlineStr">
        <is>
          <t>A-5053__318</t>
        </is>
      </c>
      <c r="C2406" s="1" t="n">
        <v>37.277737791</v>
      </c>
      <c r="D2406" s="1" t="n">
        <v>-7.14365305917</v>
      </c>
      <c r="E2406" s="3" t="n">
        <v>2</v>
      </c>
      <c r="F2406" s="2" t="n">
        <v>3</v>
      </c>
      <c r="G2406" s="4" t="n">
        <v>3</v>
      </c>
      <c r="H2406" s="13" t="n"/>
      <c r="I2406" s="15" t="n"/>
      <c r="J2406" s="19" t="n">
        <v>3</v>
      </c>
      <c r="K2406" s="2" t="inlineStr">
        <is>
          <t>marker_422_964592.png</t>
        </is>
      </c>
      <c r="L2406" s="11">
        <f>HYPERLINK("3\1\" &amp; K2406, "Ver Imagen")</f>
        <v/>
      </c>
      <c r="M2406" t="inlineStr">
        <is>
          <t>Moda</t>
        </is>
      </c>
    </row>
    <row r="2407">
      <c r="A2407" t="n">
        <v>2406</v>
      </c>
      <c r="B2407" t="inlineStr">
        <is>
          <t>A-5053__315</t>
        </is>
      </c>
      <c r="C2407" s="1" t="n">
        <v>37.2771817578</v>
      </c>
      <c r="D2407" s="1" t="n">
        <v>-7.1433315832</v>
      </c>
      <c r="E2407" s="3" t="n">
        <v>3</v>
      </c>
      <c r="F2407" s="2" t="n">
        <v>3</v>
      </c>
      <c r="G2407" s="4" t="n">
        <v>2</v>
      </c>
      <c r="H2407" s="13" t="n"/>
      <c r="I2407" s="15" t="n"/>
      <c r="J2407" s="19" t="n">
        <v>3</v>
      </c>
      <c r="K2407" s="2" t="inlineStr">
        <is>
          <t>marker_425_964626.png</t>
        </is>
      </c>
      <c r="L2407" s="11">
        <f>HYPERLINK("3\1\" &amp; K2407, "Ver Imagen")</f>
        <v/>
      </c>
      <c r="M2407" t="inlineStr">
        <is>
          <t>Moda</t>
        </is>
      </c>
    </row>
    <row r="2408">
      <c r="A2408" t="n">
        <v>2407</v>
      </c>
      <c r="B2408" t="inlineStr">
        <is>
          <t>A-5053__301</t>
        </is>
      </c>
      <c r="C2408" s="1" t="n">
        <v>37.2744656533</v>
      </c>
      <c r="D2408" s="1" t="n">
        <v>-7.14242885521</v>
      </c>
      <c r="E2408" s="3" t="n">
        <v>2</v>
      </c>
      <c r="F2408" s="2" t="n">
        <v>3</v>
      </c>
      <c r="G2408" s="4" t="n">
        <v>3</v>
      </c>
      <c r="H2408" s="13" t="n"/>
      <c r="I2408" s="15" t="n"/>
      <c r="J2408" s="19" t="n">
        <v>3</v>
      </c>
      <c r="K2408" s="2" t="inlineStr">
        <is>
          <t>marker_588_964762.png</t>
        </is>
      </c>
      <c r="L2408" s="11">
        <f>HYPERLINK("3\1\" &amp; K2408, "Ver Imagen")</f>
        <v/>
      </c>
      <c r="M2408" t="inlineStr">
        <is>
          <t>Moda</t>
        </is>
      </c>
    </row>
    <row r="2409">
      <c r="A2409" t="n">
        <v>2408</v>
      </c>
      <c r="B2409" t="inlineStr">
        <is>
          <t>A-5053__300</t>
        </is>
      </c>
      <c r="C2409" s="1" t="n">
        <v>37.2742937681</v>
      </c>
      <c r="D2409" s="1" t="n">
        <v>-7.14235185373</v>
      </c>
      <c r="E2409" s="3" t="n">
        <v>3</v>
      </c>
      <c r="F2409" s="2" t="n">
        <v>3</v>
      </c>
      <c r="G2409" s="4" t="n">
        <v>2</v>
      </c>
      <c r="H2409" s="13" t="n"/>
      <c r="I2409" s="15" t="n"/>
      <c r="J2409" s="19" t="n">
        <v>3</v>
      </c>
      <c r="K2409" s="2" t="inlineStr">
        <is>
          <t>marker_654_964845.png</t>
        </is>
      </c>
      <c r="L2409" s="11">
        <f>HYPERLINK("3\1\" &amp; K2409, "Ver Imagen")</f>
        <v/>
      </c>
      <c r="M2409" t="inlineStr">
        <is>
          <t>Moda</t>
        </is>
      </c>
    </row>
    <row r="2410">
      <c r="A2410" t="n">
        <v>2409</v>
      </c>
      <c r="B2410" t="inlineStr">
        <is>
          <t>A-5053__240</t>
        </is>
      </c>
      <c r="C2410" s="1" t="n">
        <v>37.2657364915</v>
      </c>
      <c r="D2410" s="1" t="n">
        <v>-7.13268324511</v>
      </c>
      <c r="E2410" s="3" t="n">
        <v>2</v>
      </c>
      <c r="F2410" s="2" t="n">
        <v>3</v>
      </c>
      <c r="G2410" s="4" t="n">
        <v>3</v>
      </c>
      <c r="H2410" s="13" t="n"/>
      <c r="I2410" s="15" t="n"/>
      <c r="J2410" s="19" t="n">
        <v>3</v>
      </c>
      <c r="K2410" s="2" t="inlineStr">
        <is>
          <t>marker_443_965499.png</t>
        </is>
      </c>
      <c r="L2410" s="11">
        <f>HYPERLINK("3\1\" &amp; K2410, "Ver Imagen")</f>
        <v/>
      </c>
      <c r="M2410" t="inlineStr">
        <is>
          <t>Moda</t>
        </is>
      </c>
    </row>
    <row r="2411">
      <c r="A2411" t="n">
        <v>2410</v>
      </c>
      <c r="B2411" t="inlineStr">
        <is>
          <t>A-5053__229</t>
        </is>
      </c>
      <c r="C2411" s="1" t="n">
        <v>37.2637864768</v>
      </c>
      <c r="D2411" s="1" t="n">
        <v>-7.13146407684</v>
      </c>
      <c r="E2411" s="3" t="n">
        <v>2</v>
      </c>
      <c r="F2411" s="2" t="n">
        <v>3</v>
      </c>
      <c r="G2411" s="4" t="n">
        <v>3</v>
      </c>
      <c r="H2411" s="13" t="n"/>
      <c r="I2411" s="15" t="n"/>
      <c r="J2411" s="19" t="n">
        <v>3</v>
      </c>
      <c r="K2411" s="2" t="inlineStr">
        <is>
          <t>marker_881_965603.png</t>
        </is>
      </c>
      <c r="L2411" s="11">
        <f>HYPERLINK("3\1\" &amp; K2411, "Ver Imagen")</f>
        <v/>
      </c>
      <c r="M2411" t="inlineStr">
        <is>
          <t>Moda</t>
        </is>
      </c>
    </row>
    <row r="2412">
      <c r="A2412" t="n">
        <v>2411</v>
      </c>
      <c r="B2412" t="inlineStr">
        <is>
          <t>A-5053__227</t>
        </is>
      </c>
      <c r="C2412" s="1" t="n">
        <v>37.2633940611</v>
      </c>
      <c r="D2412" s="1" t="n">
        <v>-7.13121149045</v>
      </c>
      <c r="E2412" s="3" t="n">
        <v>3</v>
      </c>
      <c r="F2412" s="2" t="n">
        <v>3</v>
      </c>
      <c r="G2412" s="4" t="n">
        <v>2</v>
      </c>
      <c r="H2412" s="13" t="n"/>
      <c r="I2412" s="15" t="n"/>
      <c r="J2412" s="19" t="n">
        <v>3</v>
      </c>
      <c r="K2412" s="2" t="inlineStr">
        <is>
          <t>marker_138_965623.png</t>
        </is>
      </c>
      <c r="L2412" s="11">
        <f>HYPERLINK("3\1\" &amp; K2412, "Ver Imagen")</f>
        <v/>
      </c>
      <c r="M2412" t="inlineStr">
        <is>
          <t>Moda</t>
        </is>
      </c>
    </row>
    <row r="2413">
      <c r="A2413" t="n">
        <v>2412</v>
      </c>
      <c r="B2413" t="inlineStr">
        <is>
          <t>A-5053__206</t>
        </is>
      </c>
      <c r="C2413" s="1" t="n">
        <v>37.2596188792</v>
      </c>
      <c r="D2413" s="1" t="n">
        <v>-7.12884903099</v>
      </c>
      <c r="E2413" s="3" t="n">
        <v>2</v>
      </c>
      <c r="F2413" s="2" t="n">
        <v>3</v>
      </c>
      <c r="G2413" s="4" t="n">
        <v>3</v>
      </c>
      <c r="H2413" s="13" t="n"/>
      <c r="I2413" s="15" t="n"/>
      <c r="J2413" s="19" t="n">
        <v>3</v>
      </c>
      <c r="K2413" s="2" t="inlineStr">
        <is>
          <t>marker_445_965834.png</t>
        </is>
      </c>
      <c r="L2413" s="11">
        <f>HYPERLINK("3\1\" &amp; K2413, "Ver Imagen")</f>
        <v/>
      </c>
      <c r="M2413" t="inlineStr">
        <is>
          <t>Moda</t>
        </is>
      </c>
    </row>
    <row r="2414">
      <c r="A2414" t="n">
        <v>2413</v>
      </c>
      <c r="B2414" t="inlineStr">
        <is>
          <t>A-5053__152</t>
        </is>
      </c>
      <c r="C2414" s="1" t="n">
        <v>37.2491046567</v>
      </c>
      <c r="D2414" s="1" t="n">
        <v>-7.12741653044</v>
      </c>
      <c r="E2414" s="3" t="n">
        <v>2</v>
      </c>
      <c r="F2414" s="2" t="n">
        <v>3</v>
      </c>
      <c r="G2414" s="4" t="n">
        <v>3</v>
      </c>
      <c r="H2414" s="13" t="n"/>
      <c r="I2414" s="15" t="n"/>
      <c r="J2414" s="19" t="n">
        <v>3</v>
      </c>
      <c r="K2414" s="2" t="inlineStr">
        <is>
          <t>marker_806_966370.png</t>
        </is>
      </c>
      <c r="L2414" s="11">
        <f>HYPERLINK("3\1\" &amp; K2414, "Ver Imagen")</f>
        <v/>
      </c>
      <c r="M2414" t="inlineStr">
        <is>
          <t>Moda</t>
        </is>
      </c>
    </row>
    <row r="2415">
      <c r="A2415" t="n">
        <v>2414</v>
      </c>
      <c r="B2415" t="inlineStr">
        <is>
          <t>A-5053__143</t>
        </is>
      </c>
      <c r="C2415" s="1" t="n">
        <v>37.2472974035</v>
      </c>
      <c r="D2415" s="1" t="n">
        <v>-7.12768321445</v>
      </c>
      <c r="E2415" s="3" t="n">
        <v>2</v>
      </c>
      <c r="F2415" s="2" t="n">
        <v>3</v>
      </c>
      <c r="G2415" s="4" t="n">
        <v>3</v>
      </c>
      <c r="H2415" s="13" t="n"/>
      <c r="I2415" s="15" t="n"/>
      <c r="J2415" s="19" t="n">
        <v>3</v>
      </c>
      <c r="K2415" s="2" t="inlineStr">
        <is>
          <t>marker_750_966456.png</t>
        </is>
      </c>
      <c r="L2415" s="11">
        <f>HYPERLINK("3\1\" &amp; K2415, "Ver Imagen")</f>
        <v/>
      </c>
      <c r="M2415" t="inlineStr">
        <is>
          <t>Moda</t>
        </is>
      </c>
    </row>
    <row r="2416">
      <c r="A2416" t="n">
        <v>2415</v>
      </c>
      <c r="B2416" t="inlineStr">
        <is>
          <t>A-5053__100</t>
        </is>
      </c>
      <c r="C2416" s="1" t="n">
        <v>37.2386494443</v>
      </c>
      <c r="D2416" s="1" t="n">
        <v>-7.12843881172</v>
      </c>
      <c r="E2416" s="3" t="n">
        <v>2</v>
      </c>
      <c r="F2416" s="2" t="n">
        <v>3</v>
      </c>
      <c r="G2416" s="4" t="n">
        <v>3</v>
      </c>
      <c r="H2416" s="13" t="n"/>
      <c r="I2416" s="15" t="n"/>
      <c r="J2416" s="19" t="n">
        <v>3</v>
      </c>
      <c r="K2416" s="2" t="inlineStr">
        <is>
          <t>marker_606_019813.png</t>
        </is>
      </c>
      <c r="L2416" s="11">
        <f>HYPERLINK("3\1\" &amp; K2416, "Ver Imagen")</f>
        <v/>
      </c>
      <c r="M2416" t="inlineStr">
        <is>
          <t>Moda</t>
        </is>
      </c>
    </row>
    <row r="2417">
      <c r="A2417" t="n">
        <v>2416</v>
      </c>
      <c r="B2417" t="inlineStr">
        <is>
          <t>A-5053__95</t>
        </is>
      </c>
      <c r="C2417" s="1" t="n">
        <v>37.2376337621</v>
      </c>
      <c r="D2417" s="1" t="n">
        <v>-7.1283394487</v>
      </c>
      <c r="E2417" s="3" t="n">
        <v>2</v>
      </c>
      <c r="F2417" s="2" t="n">
        <v>3</v>
      </c>
      <c r="G2417" s="4" t="n">
        <v>3</v>
      </c>
      <c r="H2417" s="13" t="n"/>
      <c r="I2417" s="15" t="n"/>
      <c r="J2417" s="19" t="n">
        <v>3</v>
      </c>
      <c r="K2417" s="2" t="inlineStr">
        <is>
          <t>marker_583_019860.png</t>
        </is>
      </c>
      <c r="L2417" s="11">
        <f>HYPERLINK("3\1\" &amp; K2417, "Ver Imagen")</f>
        <v/>
      </c>
      <c r="M2417" t="inlineStr">
        <is>
          <t>Moda</t>
        </is>
      </c>
    </row>
    <row r="2418">
      <c r="A2418" t="n">
        <v>2417</v>
      </c>
      <c r="B2418" t="inlineStr">
        <is>
          <t>A-5053__38</t>
        </is>
      </c>
      <c r="C2418" s="1" t="n">
        <v>37.2262654505</v>
      </c>
      <c r="D2418" s="1" t="n">
        <v>-7.12616031857</v>
      </c>
      <c r="E2418" s="3" t="n">
        <v>2</v>
      </c>
      <c r="F2418" s="2" t="n">
        <v>3</v>
      </c>
      <c r="G2418" s="4" t="n">
        <v>3</v>
      </c>
      <c r="H2418" s="13" t="n"/>
      <c r="I2418" s="15" t="n"/>
      <c r="J2418" s="19" t="n">
        <v>3</v>
      </c>
      <c r="K2418" s="2" t="inlineStr">
        <is>
          <t>marker_711_021734.png</t>
        </is>
      </c>
      <c r="L2418" s="11">
        <f>HYPERLINK("3\1\" &amp; K2418, "Ver Imagen")</f>
        <v/>
      </c>
      <c r="M2418" t="inlineStr">
        <is>
          <t>Moda</t>
        </is>
      </c>
    </row>
    <row r="2419">
      <c r="A2419" t="n">
        <v>2418</v>
      </c>
      <c r="B2419" t="inlineStr">
        <is>
          <t>A-5053__36</t>
        </is>
      </c>
      <c r="C2419" s="1" t="n">
        <v>37.2259132335</v>
      </c>
      <c r="D2419" s="1" t="n">
        <v>-7.12605436326</v>
      </c>
      <c r="E2419" s="3" t="n">
        <v>2</v>
      </c>
      <c r="F2419" s="2" t="n">
        <v>3</v>
      </c>
      <c r="G2419" s="4" t="n">
        <v>3</v>
      </c>
      <c r="H2419" s="13" t="n"/>
      <c r="I2419" s="15" t="n"/>
      <c r="J2419" s="19" t="n">
        <v>3</v>
      </c>
      <c r="K2419" s="2" t="inlineStr">
        <is>
          <t>marker_253_021753.png</t>
        </is>
      </c>
      <c r="L2419" s="11">
        <f>HYPERLINK("3\1\" &amp; K2419, "Ver Imagen")</f>
        <v/>
      </c>
      <c r="M2419" t="inlineStr">
        <is>
          <t>Moda</t>
        </is>
      </c>
    </row>
    <row r="2420">
      <c r="A2420" t="n">
        <v>2419</v>
      </c>
      <c r="B2420" t="inlineStr">
        <is>
          <t>A-5053__35</t>
        </is>
      </c>
      <c r="C2420" s="1" t="n">
        <v>37.2257050986</v>
      </c>
      <c r="D2420" s="1" t="n">
        <v>-7.12599292047</v>
      </c>
      <c r="E2420" s="3" t="n">
        <v>3</v>
      </c>
      <c r="F2420" s="2" t="n">
        <v>3</v>
      </c>
      <c r="G2420" s="4" t="n">
        <v>2</v>
      </c>
      <c r="H2420" s="13" t="n"/>
      <c r="I2420" s="15" t="n"/>
      <c r="J2420" s="19" t="n">
        <v>3</v>
      </c>
      <c r="K2420" s="2" t="inlineStr">
        <is>
          <t>marker_944_021762.png</t>
        </is>
      </c>
      <c r="L2420" s="11">
        <f>HYPERLINK("3\1\" &amp; K2420, "Ver Imagen")</f>
        <v/>
      </c>
      <c r="M2420" t="inlineStr">
        <is>
          <t>Moda</t>
        </is>
      </c>
    </row>
    <row r="2421">
      <c r="A2421" t="n">
        <v>2420</v>
      </c>
      <c r="B2421" t="inlineStr">
        <is>
          <t>A-5053__28</t>
        </is>
      </c>
      <c r="C2421" s="1" t="n">
        <v>37.2243778047</v>
      </c>
      <c r="D2421" s="1" t="n">
        <v>-7.12546294091</v>
      </c>
      <c r="E2421" s="3" t="n">
        <v>3</v>
      </c>
      <c r="F2421" s="2" t="n">
        <v>3</v>
      </c>
      <c r="G2421" s="4" t="n">
        <v>2</v>
      </c>
      <c r="H2421" s="13" t="n"/>
      <c r="I2421" s="15" t="n"/>
      <c r="J2421" s="19" t="n">
        <v>3</v>
      </c>
      <c r="K2421" s="2" t="inlineStr">
        <is>
          <t>marker_171_021831.png</t>
        </is>
      </c>
      <c r="L2421" s="11">
        <f>HYPERLINK("3\1\" &amp; K2421, "Ver Imagen")</f>
        <v/>
      </c>
      <c r="M2421" t="inlineStr">
        <is>
          <t>Moda</t>
        </is>
      </c>
    </row>
    <row r="2422">
      <c r="A2422" t="n">
        <v>2421</v>
      </c>
      <c r="B2422" t="inlineStr">
        <is>
          <t>A-495__26</t>
        </is>
      </c>
      <c r="C2422" s="1" t="n">
        <v>37.4428846834</v>
      </c>
      <c r="D2422" s="1" t="n">
        <v>-7.09415449049</v>
      </c>
      <c r="E2422" s="3" t="n">
        <v>3</v>
      </c>
      <c r="F2422" s="2" t="n">
        <v>3</v>
      </c>
      <c r="G2422" s="4" t="n">
        <v>2</v>
      </c>
      <c r="H2422" s="13" t="n"/>
      <c r="I2422" s="15" t="n"/>
      <c r="J2422" s="19" t="n">
        <v>3</v>
      </c>
      <c r="K2422" s="2" t="inlineStr">
        <is>
          <t>marker_210_381361.png</t>
        </is>
      </c>
      <c r="L2422" s="11">
        <f>HYPERLINK("3\1\" &amp; K2422, "Ver Imagen")</f>
        <v/>
      </c>
      <c r="M2422" t="inlineStr">
        <is>
          <t>Moda</t>
        </is>
      </c>
    </row>
    <row r="2423">
      <c r="A2423" t="n">
        <v>2422</v>
      </c>
      <c r="B2423" t="inlineStr">
        <is>
          <t>A-495__49</t>
        </is>
      </c>
      <c r="C2423" s="1" t="n">
        <v>37.4406572789</v>
      </c>
      <c r="D2423" s="1" t="n">
        <v>-7.08902053777</v>
      </c>
      <c r="E2423" s="3" t="n">
        <v>3</v>
      </c>
      <c r="F2423" s="2" t="n">
        <v>3</v>
      </c>
      <c r="G2423" s="4" t="n">
        <v>2</v>
      </c>
      <c r="H2423" s="13" t="n"/>
      <c r="I2423" s="15" t="n"/>
      <c r="J2423" s="19" t="n">
        <v>3</v>
      </c>
      <c r="K2423" s="2" t="inlineStr">
        <is>
          <t>marker_358_381600.png</t>
        </is>
      </c>
      <c r="L2423" s="11">
        <f>HYPERLINK("3\1\" &amp; K2423, "Ver Imagen")</f>
        <v/>
      </c>
      <c r="M2423" t="inlineStr">
        <is>
          <t>Moda</t>
        </is>
      </c>
    </row>
    <row r="2424">
      <c r="A2424" t="n">
        <v>2423</v>
      </c>
      <c r="B2424" t="inlineStr">
        <is>
          <t>A-495__52</t>
        </is>
      </c>
      <c r="C2424" s="1" t="n">
        <v>37.4403515042</v>
      </c>
      <c r="D2424" s="1" t="n">
        <v>-7.08837993316</v>
      </c>
      <c r="E2424" s="3" t="n">
        <v>3</v>
      </c>
      <c r="F2424" s="2" t="n">
        <v>3</v>
      </c>
      <c r="G2424" s="4" t="n">
        <v>2</v>
      </c>
      <c r="H2424" s="13" t="n"/>
      <c r="I2424" s="15" t="n"/>
      <c r="J2424" s="19" t="n">
        <v>3</v>
      </c>
      <c r="K2424" s="2" t="inlineStr">
        <is>
          <t>marker_934_381634.png</t>
        </is>
      </c>
      <c r="L2424" s="11">
        <f>HYPERLINK("3\1\" &amp; K2424, "Ver Imagen")</f>
        <v/>
      </c>
      <c r="M2424" t="inlineStr">
        <is>
          <t>Moda</t>
        </is>
      </c>
    </row>
    <row r="2425">
      <c r="A2425" t="n">
        <v>2424</v>
      </c>
      <c r="B2425" t="inlineStr">
        <is>
          <t>A-495__63</t>
        </is>
      </c>
      <c r="C2425" s="1" t="n">
        <v>37.4391988964</v>
      </c>
      <c r="D2425" s="1" t="n">
        <v>-7.08595650408</v>
      </c>
      <c r="E2425" s="3" t="n">
        <v>3</v>
      </c>
      <c r="F2425" s="2" t="n">
        <v>3</v>
      </c>
      <c r="G2425" s="4" t="n">
        <v>2</v>
      </c>
      <c r="H2425" s="13" t="n"/>
      <c r="I2425" s="15" t="n"/>
      <c r="J2425" s="19" t="n">
        <v>3</v>
      </c>
      <c r="K2425" s="2" t="inlineStr">
        <is>
          <t>marker_485_381742.png</t>
        </is>
      </c>
      <c r="L2425" s="11">
        <f>HYPERLINK("3\1\" &amp; K2425, "Ver Imagen")</f>
        <v/>
      </c>
      <c r="M2425" t="inlineStr">
        <is>
          <t>Moda</t>
        </is>
      </c>
    </row>
    <row r="2426">
      <c r="A2426" t="n">
        <v>2425</v>
      </c>
      <c r="B2426" t="inlineStr">
        <is>
          <t>A-495__82</t>
        </is>
      </c>
      <c r="C2426" s="1" t="n">
        <v>37.4376142247</v>
      </c>
      <c r="D2426" s="1" t="n">
        <v>-7.08160274552</v>
      </c>
      <c r="E2426" s="3" t="n">
        <v>2</v>
      </c>
      <c r="F2426" s="2" t="n">
        <v>3</v>
      </c>
      <c r="G2426" s="4" t="n">
        <v>3</v>
      </c>
      <c r="H2426" s="13" t="n"/>
      <c r="I2426" s="15" t="n"/>
      <c r="J2426" s="19" t="n">
        <v>3</v>
      </c>
      <c r="K2426" s="2" t="inlineStr">
        <is>
          <t>marker_104_381953.png</t>
        </is>
      </c>
      <c r="L2426" s="11">
        <f>HYPERLINK("3\1\" &amp; K2426, "Ver Imagen")</f>
        <v/>
      </c>
      <c r="M2426" t="inlineStr">
        <is>
          <t>Moda</t>
        </is>
      </c>
    </row>
    <row r="2427">
      <c r="A2427" t="n">
        <v>2426</v>
      </c>
      <c r="B2427" t="inlineStr">
        <is>
          <t>A-495__94</t>
        </is>
      </c>
      <c r="C2427" s="1" t="n">
        <v>37.43668925</v>
      </c>
      <c r="D2427" s="1" t="n">
        <v>-7.07896671234</v>
      </c>
      <c r="E2427" s="3" t="n">
        <v>3</v>
      </c>
      <c r="F2427" s="2" t="n">
        <v>3</v>
      </c>
      <c r="G2427" s="4" t="n">
        <v>2</v>
      </c>
      <c r="H2427" s="13" t="n"/>
      <c r="I2427" s="15" t="n"/>
      <c r="J2427" s="19" t="n">
        <v>3</v>
      </c>
      <c r="K2427" s="2" t="inlineStr">
        <is>
          <t>marker_102_382099.png</t>
        </is>
      </c>
      <c r="L2427" s="11">
        <f>HYPERLINK("3\1\" &amp; K2427, "Ver Imagen")</f>
        <v/>
      </c>
      <c r="M2427" t="inlineStr">
        <is>
          <t>Moda</t>
        </is>
      </c>
    </row>
    <row r="2428">
      <c r="A2428" t="n">
        <v>2427</v>
      </c>
      <c r="B2428" t="inlineStr">
        <is>
          <t>A-495__96</t>
        </is>
      </c>
      <c r="C2428" s="1" t="n">
        <v>37.4365210365</v>
      </c>
      <c r="D2428" s="1" t="n">
        <v>-7.07848101272</v>
      </c>
      <c r="E2428" s="3" t="n">
        <v>3</v>
      </c>
      <c r="F2428" s="2" t="n">
        <v>3</v>
      </c>
      <c r="G2428" s="4" t="n">
        <v>2</v>
      </c>
      <c r="H2428" s="13" t="n"/>
      <c r="I2428" s="15" t="n"/>
      <c r="J2428" s="19" t="n">
        <v>3</v>
      </c>
      <c r="K2428" s="2" t="inlineStr">
        <is>
          <t>marker_928_382116.png</t>
        </is>
      </c>
      <c r="L2428" s="11">
        <f>HYPERLINK("3\1\" &amp; K2428, "Ver Imagen")</f>
        <v/>
      </c>
      <c r="M2428" t="inlineStr">
        <is>
          <t>Moda</t>
        </is>
      </c>
    </row>
    <row r="2429">
      <c r="A2429" t="n">
        <v>2428</v>
      </c>
      <c r="B2429" t="inlineStr">
        <is>
          <t>A-495__101</t>
        </is>
      </c>
      <c r="C2429" s="1" t="n">
        <v>37.4361237626</v>
      </c>
      <c r="D2429" s="1" t="n">
        <v>-7.0773463025</v>
      </c>
      <c r="E2429" s="3" t="n">
        <v>3</v>
      </c>
      <c r="F2429" s="2" t="n">
        <v>3</v>
      </c>
      <c r="G2429" s="4" t="n">
        <v>2</v>
      </c>
      <c r="H2429" s="13" t="n"/>
      <c r="I2429" s="15" t="n"/>
      <c r="J2429" s="19" t="n">
        <v>3</v>
      </c>
      <c r="K2429" s="2" t="inlineStr">
        <is>
          <t>marker_677_382164.png</t>
        </is>
      </c>
      <c r="L2429" s="11">
        <f>HYPERLINK("3\1\" &amp; K2429, "Ver Imagen")</f>
        <v/>
      </c>
      <c r="M2429" t="inlineStr">
        <is>
          <t>Moda</t>
        </is>
      </c>
    </row>
    <row r="2430">
      <c r="A2430" t="n">
        <v>2429</v>
      </c>
      <c r="B2430" t="inlineStr">
        <is>
          <t>A-5059__72</t>
        </is>
      </c>
      <c r="C2430" s="1" t="n">
        <v>37.2226452324</v>
      </c>
      <c r="D2430" s="1" t="n">
        <v>-7.05564120345</v>
      </c>
      <c r="E2430" s="3" t="n">
        <v>3</v>
      </c>
      <c r="F2430" s="2" t="n">
        <v>3</v>
      </c>
      <c r="G2430" s="4" t="n">
        <v>2</v>
      </c>
      <c r="H2430" s="13" t="n"/>
      <c r="I2430" s="15" t="n"/>
      <c r="J2430" s="19" t="n">
        <v>3</v>
      </c>
      <c r="K2430" s="2" t="inlineStr">
        <is>
          <t>marker_687_378830.png</t>
        </is>
      </c>
      <c r="L2430" s="11">
        <f>HYPERLINK("3\1\" &amp; K2430, "Ver Imagen")</f>
        <v/>
      </c>
      <c r="M2430" t="inlineStr">
        <is>
          <t>Moda</t>
        </is>
      </c>
    </row>
    <row r="2431">
      <c r="A2431" t="n">
        <v>2430</v>
      </c>
      <c r="B2431" t="inlineStr">
        <is>
          <t>A-5059__57</t>
        </is>
      </c>
      <c r="C2431" s="1" t="n">
        <v>37.2250196129</v>
      </c>
      <c r="D2431" s="1" t="n">
        <v>-7.05773935442</v>
      </c>
      <c r="E2431" s="3" t="n">
        <v>3</v>
      </c>
      <c r="F2431" s="2" t="n">
        <v>3</v>
      </c>
      <c r="G2431" s="4" t="n">
        <v>2</v>
      </c>
      <c r="H2431" s="13" t="n"/>
      <c r="I2431" s="15" t="n"/>
      <c r="J2431" s="19" t="n">
        <v>3</v>
      </c>
      <c r="K2431" s="2" t="inlineStr">
        <is>
          <t>marker_868_378975.png</t>
        </is>
      </c>
      <c r="L2431" s="11">
        <f>HYPERLINK("3\1\" &amp; K2431, "Ver Imagen")</f>
        <v/>
      </c>
      <c r="M2431" t="inlineStr">
        <is>
          <t>Moda</t>
        </is>
      </c>
    </row>
    <row r="2432">
      <c r="A2432" t="n">
        <v>2431</v>
      </c>
      <c r="B2432" t="inlineStr">
        <is>
          <t>A-5059__56</t>
        </is>
      </c>
      <c r="C2432" s="1" t="n">
        <v>37.2251596513</v>
      </c>
      <c r="D2432" s="1" t="n">
        <v>-7.05797577778</v>
      </c>
      <c r="E2432" s="3" t="n">
        <v>3</v>
      </c>
      <c r="F2432" s="2" t="n">
        <v>3</v>
      </c>
      <c r="G2432" s="4" t="n">
        <v>2</v>
      </c>
      <c r="H2432" s="13" t="n"/>
      <c r="I2432" s="15" t="n"/>
      <c r="J2432" s="19" t="n">
        <v>3</v>
      </c>
      <c r="K2432" s="2" t="inlineStr">
        <is>
          <t>marker_973_378985.png</t>
        </is>
      </c>
      <c r="L2432" s="11">
        <f>HYPERLINK("3\1\" &amp; K2432, "Ver Imagen")</f>
        <v/>
      </c>
      <c r="M2432" t="inlineStr">
        <is>
          <t>Moda</t>
        </is>
      </c>
    </row>
    <row r="2433">
      <c r="A2433" t="n">
        <v>2432</v>
      </c>
      <c r="B2433" t="inlineStr">
        <is>
          <t>A-495__131</t>
        </is>
      </c>
      <c r="C2433" s="1" t="n">
        <v>37.4350898186</v>
      </c>
      <c r="D2433" s="1" t="n">
        <v>-7.0702987203</v>
      </c>
      <c r="E2433" s="3" t="n">
        <v>3</v>
      </c>
      <c r="F2433" s="2" t="n">
        <v>3</v>
      </c>
      <c r="G2433" s="4" t="n">
        <v>2</v>
      </c>
      <c r="H2433" s="13" t="n"/>
      <c r="I2433" s="15" t="n"/>
      <c r="J2433" s="19" t="n">
        <v>3</v>
      </c>
      <c r="K2433" s="2" t="inlineStr">
        <is>
          <t>marker_591_382485.png</t>
        </is>
      </c>
      <c r="L2433" s="11">
        <f>HYPERLINK("3\1\" &amp; K2433, "Ver Imagen")</f>
        <v/>
      </c>
      <c r="M2433" t="inlineStr">
        <is>
          <t>Moda</t>
        </is>
      </c>
    </row>
    <row r="2434">
      <c r="A2434" t="n">
        <v>2433</v>
      </c>
      <c r="B2434" t="inlineStr">
        <is>
          <t>A-495__136</t>
        </is>
      </c>
      <c r="C2434" s="1" t="n">
        <v>37.4347372038</v>
      </c>
      <c r="D2434" s="1" t="n">
        <v>-7.06897196515</v>
      </c>
      <c r="E2434" s="3" t="n">
        <v>3</v>
      </c>
      <c r="F2434" s="2" t="n">
        <v>3</v>
      </c>
      <c r="G2434" s="4" t="n">
        <v>2</v>
      </c>
      <c r="H2434" s="13" t="n"/>
      <c r="I2434" s="15" t="n"/>
      <c r="J2434" s="19" t="n">
        <v>3</v>
      </c>
      <c r="K2434" s="2" t="inlineStr">
        <is>
          <t>marker_916_382543.png</t>
        </is>
      </c>
      <c r="L2434" s="11">
        <f>HYPERLINK("3\1\" &amp; K2434, "Ver Imagen")</f>
        <v/>
      </c>
      <c r="M2434" t="inlineStr">
        <is>
          <t>Moda</t>
        </is>
      </c>
    </row>
    <row r="2435">
      <c r="A2435" t="n">
        <v>2434</v>
      </c>
      <c r="B2435" t="inlineStr">
        <is>
          <t>A-495__140</t>
        </is>
      </c>
      <c r="C2435" s="1" t="n">
        <v>37.4344145462</v>
      </c>
      <c r="D2435" s="1" t="n">
        <v>-7.06812950658</v>
      </c>
      <c r="E2435" s="3" t="n">
        <v>2</v>
      </c>
      <c r="F2435" s="2" t="n">
        <v>3</v>
      </c>
      <c r="G2435" s="4" t="n">
        <v>3</v>
      </c>
      <c r="H2435" s="13" t="n"/>
      <c r="I2435" s="15" t="n"/>
      <c r="J2435" s="19" t="n">
        <v>3</v>
      </c>
      <c r="K2435" s="2" t="inlineStr">
        <is>
          <t>marker_432_382578.png</t>
        </is>
      </c>
      <c r="L2435" s="11">
        <f>HYPERLINK("3\1\" &amp; K2435, "Ver Imagen")</f>
        <v/>
      </c>
      <c r="M2435" t="inlineStr">
        <is>
          <t>Moda</t>
        </is>
      </c>
    </row>
    <row r="2436">
      <c r="A2436" t="n">
        <v>2435</v>
      </c>
      <c r="B2436" t="inlineStr">
        <is>
          <t>A-495__141</t>
        </is>
      </c>
      <c r="C2436" s="1" t="n">
        <v>37.4342999183</v>
      </c>
      <c r="D2436" s="1" t="n">
        <v>-7.06786407031</v>
      </c>
      <c r="E2436" s="3" t="n">
        <v>2</v>
      </c>
      <c r="F2436" s="2" t="n">
        <v>3</v>
      </c>
      <c r="G2436" s="4" t="n">
        <v>3</v>
      </c>
      <c r="H2436" s="13" t="n"/>
      <c r="I2436" s="15" t="n"/>
      <c r="J2436" s="19" t="n">
        <v>3</v>
      </c>
      <c r="K2436" s="2" t="inlineStr">
        <is>
          <t>marker_731_382588.png</t>
        </is>
      </c>
      <c r="L2436" s="11">
        <f>HYPERLINK("3\1\" &amp; K2436, "Ver Imagen")</f>
        <v/>
      </c>
      <c r="M2436" t="inlineStr">
        <is>
          <t>Moda</t>
        </is>
      </c>
    </row>
    <row r="2437">
      <c r="A2437" t="n">
        <v>2436</v>
      </c>
      <c r="B2437" t="inlineStr">
        <is>
          <t>A-495__142</t>
        </is>
      </c>
      <c r="C2437" s="1" t="n">
        <v>37.4342261561</v>
      </c>
      <c r="D2437" s="1" t="n">
        <v>-7.06769850309</v>
      </c>
      <c r="E2437" s="3" t="n">
        <v>2</v>
      </c>
      <c r="F2437" s="2" t="n">
        <v>3</v>
      </c>
      <c r="G2437" s="4" t="n">
        <v>3</v>
      </c>
      <c r="H2437" s="13" t="n"/>
      <c r="I2437" s="15" t="n"/>
      <c r="J2437" s="19" t="n">
        <v>3</v>
      </c>
      <c r="K2437" s="2" t="inlineStr">
        <is>
          <t>marker_647_382597.png</t>
        </is>
      </c>
      <c r="L2437" s="11">
        <f>HYPERLINK("3\1\" &amp; K2437, "Ver Imagen")</f>
        <v/>
      </c>
      <c r="M2437" t="inlineStr">
        <is>
          <t>Moda</t>
        </is>
      </c>
    </row>
    <row r="2438">
      <c r="A2438" t="n">
        <v>2437</v>
      </c>
      <c r="B2438" t="inlineStr">
        <is>
          <t>A-495__143</t>
        </is>
      </c>
      <c r="C2438" s="1" t="n">
        <v>37.4341246466</v>
      </c>
      <c r="D2438" s="1" t="n">
        <v>-7.06747448557</v>
      </c>
      <c r="E2438" s="3" t="n">
        <v>2</v>
      </c>
      <c r="F2438" s="2" t="n">
        <v>3</v>
      </c>
      <c r="G2438" s="4" t="n">
        <v>3</v>
      </c>
      <c r="H2438" s="13" t="n"/>
      <c r="I2438" s="15" t="n"/>
      <c r="J2438" s="19" t="n">
        <v>3</v>
      </c>
      <c r="K2438" s="2" t="inlineStr">
        <is>
          <t>marker_874_382606.png</t>
        </is>
      </c>
      <c r="L2438" s="11">
        <f>HYPERLINK("3\1\" &amp; K2438, "Ver Imagen")</f>
        <v/>
      </c>
      <c r="M2438" t="inlineStr">
        <is>
          <t>Moda</t>
        </is>
      </c>
    </row>
    <row r="2439">
      <c r="A2439" t="n">
        <v>2438</v>
      </c>
      <c r="B2439" t="inlineStr">
        <is>
          <t>A-495__148</t>
        </is>
      </c>
      <c r="C2439" s="1" t="n">
        <v>37.4335914699</v>
      </c>
      <c r="D2439" s="1" t="n">
        <v>-7.0663119869</v>
      </c>
      <c r="E2439" s="3" t="n">
        <v>3</v>
      </c>
      <c r="F2439" s="2" t="n">
        <v>3</v>
      </c>
      <c r="G2439" s="4" t="n">
        <v>2</v>
      </c>
      <c r="H2439" s="13" t="n"/>
      <c r="I2439" s="15" t="n"/>
      <c r="J2439" s="19" t="n">
        <v>3</v>
      </c>
      <c r="K2439" s="2" t="inlineStr">
        <is>
          <t>marker_564_382664.png</t>
        </is>
      </c>
      <c r="L2439" s="11">
        <f>HYPERLINK("3\1\" &amp; K2439, "Ver Imagen")</f>
        <v/>
      </c>
      <c r="M2439" t="inlineStr">
        <is>
          <t>Moda</t>
        </is>
      </c>
    </row>
    <row r="2440">
      <c r="A2440" t="n">
        <v>2439</v>
      </c>
      <c r="B2440" t="inlineStr">
        <is>
          <t>A-495__149</t>
        </is>
      </c>
      <c r="C2440" s="1" t="n">
        <v>37.4335063025</v>
      </c>
      <c r="D2440" s="1" t="n">
        <v>-7.06612447275</v>
      </c>
      <c r="E2440" s="3" t="n">
        <v>3</v>
      </c>
      <c r="F2440" s="2" t="n">
        <v>3</v>
      </c>
      <c r="G2440" s="4" t="n">
        <v>2</v>
      </c>
      <c r="H2440" s="13" t="n"/>
      <c r="I2440" s="15" t="n"/>
      <c r="J2440" s="19" t="n">
        <v>3</v>
      </c>
      <c r="K2440" s="2" t="inlineStr">
        <is>
          <t>marker_867_382675.png</t>
        </is>
      </c>
      <c r="L2440" s="11">
        <f>HYPERLINK("3\1\" &amp; K2440, "Ver Imagen")</f>
        <v/>
      </c>
      <c r="M2440" t="inlineStr">
        <is>
          <t>Moda</t>
        </is>
      </c>
    </row>
    <row r="2441">
      <c r="A2441" t="n">
        <v>2440</v>
      </c>
      <c r="B2441" t="inlineStr">
        <is>
          <t>A-495__150</t>
        </is>
      </c>
      <c r="C2441" s="1" t="n">
        <v>37.4334219546</v>
      </c>
      <c r="D2441" s="1" t="n">
        <v>-7.06593936716</v>
      </c>
      <c r="E2441" s="3" t="n">
        <v>3</v>
      </c>
      <c r="F2441" s="2" t="n">
        <v>3</v>
      </c>
      <c r="G2441" s="4" t="n">
        <v>2</v>
      </c>
      <c r="H2441" s="13" t="n"/>
      <c r="I2441" s="15" t="n"/>
      <c r="J2441" s="19" t="n">
        <v>3</v>
      </c>
      <c r="K2441" s="2" t="inlineStr">
        <is>
          <t>marker_558_382684.png</t>
        </is>
      </c>
      <c r="L2441" s="11">
        <f>HYPERLINK("3\1\" &amp; K2441, "Ver Imagen")</f>
        <v/>
      </c>
      <c r="M2441" t="inlineStr">
        <is>
          <t>Moda</t>
        </is>
      </c>
    </row>
    <row r="2442">
      <c r="A2442" t="n">
        <v>2441</v>
      </c>
      <c r="B2442" t="inlineStr">
        <is>
          <t>A-5059__12</t>
        </is>
      </c>
      <c r="C2442" s="1" t="n">
        <v>37.232127153</v>
      </c>
      <c r="D2442" s="1" t="n">
        <v>-7.0642571174</v>
      </c>
      <c r="E2442" s="3" t="n">
        <v>3</v>
      </c>
      <c r="F2442" s="2" t="n">
        <v>3</v>
      </c>
      <c r="G2442" s="4" t="n">
        <v>2</v>
      </c>
      <c r="H2442" s="13" t="n"/>
      <c r="I2442" s="15" t="n"/>
      <c r="J2442" s="19" t="n">
        <v>3</v>
      </c>
      <c r="K2442" s="2" t="inlineStr">
        <is>
          <t>marker_829_379562.png</t>
        </is>
      </c>
      <c r="L2442" s="11">
        <f>HYPERLINK("3\1\" &amp; K2442, "Ver Imagen")</f>
        <v/>
      </c>
      <c r="M2442" t="inlineStr">
        <is>
          <t>Moda</t>
        </is>
      </c>
    </row>
    <row r="2443">
      <c r="A2443" t="n">
        <v>2442</v>
      </c>
      <c r="B2443" t="inlineStr">
        <is>
          <t>A-5059__11</t>
        </is>
      </c>
      <c r="C2443" s="1" t="n">
        <v>37.2322860366</v>
      </c>
      <c r="D2443" s="1" t="n">
        <v>-7.06444914527</v>
      </c>
      <c r="E2443" s="3" t="n">
        <v>3</v>
      </c>
      <c r="F2443" s="2" t="n">
        <v>3</v>
      </c>
      <c r="G2443" s="4" t="n">
        <v>2</v>
      </c>
      <c r="H2443" s="13" t="n"/>
      <c r="I2443" s="15" t="n"/>
      <c r="J2443" s="19" t="n">
        <v>3</v>
      </c>
      <c r="K2443" s="2" t="inlineStr">
        <is>
          <t>marker_977_379572.png</t>
        </is>
      </c>
      <c r="L2443" s="11">
        <f>HYPERLINK("3\1\" &amp; K2443, "Ver Imagen")</f>
        <v/>
      </c>
      <c r="M2443" t="inlineStr">
        <is>
          <t>Moda</t>
        </is>
      </c>
    </row>
    <row r="2444">
      <c r="A2444" t="n">
        <v>2443</v>
      </c>
      <c r="B2444" t="inlineStr">
        <is>
          <t>A-495__154</t>
        </is>
      </c>
      <c r="C2444" s="1" t="n">
        <v>37.433015175</v>
      </c>
      <c r="D2444" s="1" t="n">
        <v>-7.06505474277</v>
      </c>
      <c r="E2444" s="3" t="n">
        <v>3</v>
      </c>
      <c r="F2444" s="2" t="n">
        <v>3</v>
      </c>
      <c r="G2444" s="4" t="n">
        <v>2</v>
      </c>
      <c r="H2444" s="13" t="n"/>
      <c r="I2444" s="15" t="n"/>
      <c r="J2444" s="19" t="n">
        <v>3</v>
      </c>
      <c r="K2444" s="2" t="inlineStr">
        <is>
          <t>marker_270_382724.png</t>
        </is>
      </c>
      <c r="L2444" s="11">
        <f>HYPERLINK("3\1\" &amp; K2444, "Ver Imagen")</f>
        <v/>
      </c>
      <c r="M2444" t="inlineStr">
        <is>
          <t>Moda</t>
        </is>
      </c>
    </row>
    <row r="2445">
      <c r="A2445" t="n">
        <v>2444</v>
      </c>
      <c r="B2445" t="inlineStr">
        <is>
          <t>A-5058__1</t>
        </is>
      </c>
      <c r="C2445" s="1" t="n">
        <v>37.2252377201</v>
      </c>
      <c r="D2445" s="1" t="n">
        <v>-7.02750187089</v>
      </c>
      <c r="E2445" s="3" t="n">
        <v>3</v>
      </c>
      <c r="F2445" s="2" t="n">
        <v>3</v>
      </c>
      <c r="G2445" s="4" t="n">
        <v>2</v>
      </c>
      <c r="H2445" s="13" t="n"/>
      <c r="I2445" s="15" t="n"/>
      <c r="J2445" s="19" t="n">
        <v>3</v>
      </c>
      <c r="K2445" s="2" t="inlineStr">
        <is>
          <t>marker_937_379787.png</t>
        </is>
      </c>
      <c r="L2445" s="11">
        <f>HYPERLINK("3\1\" &amp; K2445, "Ver Imagen")</f>
        <v/>
      </c>
      <c r="M2445" t="inlineStr">
        <is>
          <t>Moda</t>
        </is>
      </c>
    </row>
    <row r="2446">
      <c r="A2446" t="n">
        <v>2445</v>
      </c>
      <c r="B2446" t="inlineStr">
        <is>
          <t>A-495__158</t>
        </is>
      </c>
      <c r="C2446" s="1" t="n">
        <v>37.432607992</v>
      </c>
      <c r="D2446" s="1" t="n">
        <v>-7.06417163816</v>
      </c>
      <c r="E2446" s="3" t="n">
        <v>2</v>
      </c>
      <c r="F2446" s="2" t="n">
        <v>3</v>
      </c>
      <c r="G2446" s="4" t="n">
        <v>3</v>
      </c>
      <c r="H2446" s="13" t="n"/>
      <c r="I2446" s="15" t="n"/>
      <c r="J2446" s="19" t="n">
        <v>3</v>
      </c>
      <c r="K2446" s="2" t="inlineStr">
        <is>
          <t>marker_252_382782.png</t>
        </is>
      </c>
      <c r="L2446" s="11">
        <f>HYPERLINK("3\1\" &amp; K2446, "Ver Imagen")</f>
        <v/>
      </c>
      <c r="M2446" t="inlineStr">
        <is>
          <t>Moda</t>
        </is>
      </c>
    </row>
    <row r="2447">
      <c r="A2447" t="n">
        <v>2446</v>
      </c>
      <c r="B2447" t="inlineStr">
        <is>
          <t>A-5058__10</t>
        </is>
      </c>
      <c r="C2447" s="1" t="n">
        <v>37.2253478748</v>
      </c>
      <c r="D2447" s="1" t="n">
        <v>-7.02976602953</v>
      </c>
      <c r="E2447" s="3" t="n">
        <v>3</v>
      </c>
      <c r="F2447" s="2" t="n">
        <v>3</v>
      </c>
      <c r="G2447" s="4" t="n">
        <v>2</v>
      </c>
      <c r="H2447" s="13" t="n"/>
      <c r="I2447" s="15" t="n"/>
      <c r="J2447" s="19" t="n">
        <v>3</v>
      </c>
      <c r="K2447" s="2" t="inlineStr">
        <is>
          <t>marker_838_379909.png</t>
        </is>
      </c>
      <c r="L2447" s="11">
        <f>HYPERLINK("3\1\" &amp; K2447, "Ver Imagen")</f>
        <v/>
      </c>
      <c r="M2447" t="inlineStr">
        <is>
          <t>Moda</t>
        </is>
      </c>
    </row>
    <row r="2448">
      <c r="A2448" t="n">
        <v>2447</v>
      </c>
      <c r="B2448" t="inlineStr">
        <is>
          <t>A-5058__17</t>
        </is>
      </c>
      <c r="C2448" s="1" t="n">
        <v>37.2252572059</v>
      </c>
      <c r="D2448" s="1" t="n">
        <v>-7.03156625049</v>
      </c>
      <c r="E2448" s="3" t="n">
        <v>2</v>
      </c>
      <c r="F2448" s="2" t="n">
        <v>3</v>
      </c>
      <c r="G2448" s="4" t="n">
        <v>3</v>
      </c>
      <c r="H2448" s="13" t="n"/>
      <c r="I2448" s="15" t="n"/>
      <c r="J2448" s="19" t="n">
        <v>3</v>
      </c>
      <c r="K2448" s="2" t="inlineStr">
        <is>
          <t>marker_399_380010.png</t>
        </is>
      </c>
      <c r="L2448" s="11">
        <f>HYPERLINK("3\1\" &amp; K2448, "Ver Imagen")</f>
        <v/>
      </c>
      <c r="M2448" t="inlineStr">
        <is>
          <t>Moda</t>
        </is>
      </c>
    </row>
    <row r="2449">
      <c r="A2449" t="n">
        <v>2448</v>
      </c>
      <c r="B2449" t="inlineStr">
        <is>
          <t>A-5058__18</t>
        </is>
      </c>
      <c r="C2449" s="1" t="n">
        <v>37.2252362215</v>
      </c>
      <c r="D2449" s="1" t="n">
        <v>-7.03181332875</v>
      </c>
      <c r="E2449" s="3" t="n">
        <v>2</v>
      </c>
      <c r="F2449" s="2" t="n">
        <v>3</v>
      </c>
      <c r="G2449" s="4" t="n">
        <v>3</v>
      </c>
      <c r="H2449" s="13" t="n"/>
      <c r="I2449" s="15" t="n"/>
      <c r="J2449" s="19" t="n">
        <v>3</v>
      </c>
      <c r="K2449" s="2" t="inlineStr">
        <is>
          <t>marker_713_380040.png</t>
        </is>
      </c>
      <c r="L2449" s="11">
        <f>HYPERLINK("3\1\" &amp; K2449, "Ver Imagen")</f>
        <v/>
      </c>
      <c r="M2449" t="inlineStr">
        <is>
          <t>Moda</t>
        </is>
      </c>
    </row>
    <row r="2450">
      <c r="A2450" t="n">
        <v>2449</v>
      </c>
      <c r="B2450" t="inlineStr">
        <is>
          <t>A-5058__27</t>
        </is>
      </c>
      <c r="C2450" s="1" t="n">
        <v>37.2247451567</v>
      </c>
      <c r="D2450" s="1" t="n">
        <v>-7.03400002932</v>
      </c>
      <c r="E2450" s="3" t="n">
        <v>2</v>
      </c>
      <c r="F2450" s="2" t="n">
        <v>3</v>
      </c>
      <c r="G2450" s="4" t="n">
        <v>3</v>
      </c>
      <c r="H2450" s="13" t="n"/>
      <c r="I2450" s="15" t="n"/>
      <c r="J2450" s="19" t="n">
        <v>3</v>
      </c>
      <c r="K2450" s="2" t="inlineStr">
        <is>
          <t>marker_297_380157.png</t>
        </is>
      </c>
      <c r="L2450" s="11">
        <f>HYPERLINK("3\1\" &amp; K2450, "Ver Imagen")</f>
        <v/>
      </c>
      <c r="M2450" t="inlineStr">
        <is>
          <t>Moda</t>
        </is>
      </c>
    </row>
    <row r="2451">
      <c r="A2451" t="n">
        <v>2450</v>
      </c>
      <c r="B2451" t="inlineStr">
        <is>
          <t>A-5058__58</t>
        </is>
      </c>
      <c r="C2451" s="1" t="n">
        <v>37.225395262</v>
      </c>
      <c r="D2451" s="1" t="n">
        <v>-7.04142528818</v>
      </c>
      <c r="E2451" s="3" t="n">
        <v>2</v>
      </c>
      <c r="F2451" s="2" t="n">
        <v>3</v>
      </c>
      <c r="G2451" s="4" t="n">
        <v>3</v>
      </c>
      <c r="H2451" s="13" t="n"/>
      <c r="I2451" s="15" t="n"/>
      <c r="J2451" s="19" t="n">
        <v>3</v>
      </c>
      <c r="K2451" s="2" t="inlineStr">
        <is>
          <t>marker_872_380619.png</t>
        </is>
      </c>
      <c r="L2451" s="11">
        <f>HYPERLINK("3\1\" &amp; K2451, "Ver Imagen")</f>
        <v/>
      </c>
      <c r="M2451" t="inlineStr">
        <is>
          <t>Moda</t>
        </is>
      </c>
    </row>
    <row r="2452">
      <c r="A2452" t="n">
        <v>2451</v>
      </c>
      <c r="B2452" t="inlineStr">
        <is>
          <t>A-5058__63</t>
        </is>
      </c>
      <c r="C2452" s="1" t="n">
        <v>37.2258725283</v>
      </c>
      <c r="D2452" s="1" t="n">
        <v>-7.04252208492</v>
      </c>
      <c r="E2452" s="3" t="n">
        <v>2</v>
      </c>
      <c r="F2452" s="2" t="n">
        <v>3</v>
      </c>
      <c r="G2452" s="4" t="n">
        <v>3</v>
      </c>
      <c r="H2452" s="13" t="n"/>
      <c r="I2452" s="15" t="n"/>
      <c r="J2452" s="19" t="n">
        <v>3</v>
      </c>
      <c r="K2452" s="2" t="inlineStr">
        <is>
          <t>marker_967_380672.png</t>
        </is>
      </c>
      <c r="L2452" s="11">
        <f>HYPERLINK("3\1\" &amp; K2452, "Ver Imagen")</f>
        <v/>
      </c>
      <c r="M2452" t="inlineStr">
        <is>
          <t>Moda</t>
        </is>
      </c>
    </row>
    <row r="2453">
      <c r="A2453" t="n">
        <v>2452</v>
      </c>
      <c r="B2453" t="inlineStr">
        <is>
          <t>A-5058__64</t>
        </is>
      </c>
      <c r="C2453" s="1" t="n">
        <v>37.2259705371</v>
      </c>
      <c r="D2453" s="1" t="n">
        <v>-7.04273616847</v>
      </c>
      <c r="E2453" s="3" t="n">
        <v>2</v>
      </c>
      <c r="F2453" s="2" t="n">
        <v>3</v>
      </c>
      <c r="G2453" s="4" t="n">
        <v>3</v>
      </c>
      <c r="H2453" s="13" t="n"/>
      <c r="I2453" s="15" t="n"/>
      <c r="J2453" s="19" t="n">
        <v>3</v>
      </c>
      <c r="K2453" s="2" t="inlineStr">
        <is>
          <t>marker_192_380681.png</t>
        </is>
      </c>
      <c r="L2453" s="11">
        <f>HYPERLINK("3\1\" &amp; K2453, "Ver Imagen")</f>
        <v/>
      </c>
      <c r="M2453" t="inlineStr">
        <is>
          <t>Moda</t>
        </is>
      </c>
    </row>
    <row r="2454">
      <c r="A2454" t="n">
        <v>2453</v>
      </c>
      <c r="B2454" t="inlineStr">
        <is>
          <t>A-5058__87</t>
        </is>
      </c>
      <c r="C2454" s="1" t="n">
        <v>37.2290146938</v>
      </c>
      <c r="D2454" s="1" t="n">
        <v>-7.04706868799</v>
      </c>
      <c r="E2454" s="3" t="n">
        <v>2</v>
      </c>
      <c r="F2454" s="2" t="n">
        <v>3</v>
      </c>
      <c r="G2454" s="4" t="n">
        <v>3</v>
      </c>
      <c r="H2454" s="13" t="n"/>
      <c r="I2454" s="15" t="n"/>
      <c r="J2454" s="19" t="n">
        <v>3</v>
      </c>
      <c r="K2454" s="2" t="inlineStr">
        <is>
          <t>marker_818_380954.png</t>
        </is>
      </c>
      <c r="L2454" s="11">
        <f>HYPERLINK("3\1\" &amp; K2454, "Ver Imagen")</f>
        <v/>
      </c>
      <c r="M2454" t="inlineStr">
        <is>
          <t>Moda</t>
        </is>
      </c>
    </row>
    <row r="2455">
      <c r="A2455" t="n">
        <v>2454</v>
      </c>
      <c r="B2455" t="inlineStr">
        <is>
          <t>A-5058__115</t>
        </is>
      </c>
      <c r="C2455" s="1" t="n">
        <v>37.232294405</v>
      </c>
      <c r="D2455" s="1" t="n">
        <v>-7.05284237333</v>
      </c>
      <c r="E2455" s="3" t="n">
        <v>2</v>
      </c>
      <c r="F2455" s="2" t="n">
        <v>3</v>
      </c>
      <c r="G2455" s="4" t="n">
        <v>3</v>
      </c>
      <c r="H2455" s="13" t="n"/>
      <c r="I2455" s="15" t="n"/>
      <c r="J2455" s="19" t="n">
        <v>3</v>
      </c>
      <c r="K2455" s="2" t="inlineStr">
        <is>
          <t>marker_833_381293.png</t>
        </is>
      </c>
      <c r="L2455" s="11">
        <f>HYPERLINK("3\1\" &amp; K2455, "Ver Imagen")</f>
        <v/>
      </c>
      <c r="M2455" t="inlineStr">
        <is>
          <t>Moda</t>
        </is>
      </c>
    </row>
    <row r="2456">
      <c r="A2456" t="n">
        <v>2455</v>
      </c>
      <c r="B2456" t="inlineStr">
        <is>
          <t>A-495_1__144</t>
        </is>
      </c>
      <c r="C2456" s="1" t="n">
        <v>37.4757832306</v>
      </c>
      <c r="D2456" s="1" t="n">
        <v>-7.12583624761</v>
      </c>
      <c r="E2456" s="3" t="n">
        <v>3</v>
      </c>
      <c r="F2456" s="2" t="n">
        <v>3</v>
      </c>
      <c r="G2456" s="4" t="n">
        <v>2</v>
      </c>
      <c r="H2456" s="13" t="n"/>
      <c r="I2456" s="15" t="n"/>
      <c r="J2456" s="19" t="n">
        <v>3</v>
      </c>
      <c r="K2456" s="2" t="inlineStr">
        <is>
          <t>marker_718_384313.png</t>
        </is>
      </c>
      <c r="L2456" s="11">
        <f>HYPERLINK("3\1\" &amp; K2456, "Ver Imagen")</f>
        <v/>
      </c>
      <c r="M2456" t="inlineStr">
        <is>
          <t>Moda</t>
        </is>
      </c>
    </row>
    <row r="2457">
      <c r="A2457" t="n">
        <v>2456</v>
      </c>
      <c r="B2457" t="inlineStr">
        <is>
          <t>A-495_1__141</t>
        </is>
      </c>
      <c r="C2457" s="1" t="n">
        <v>37.4751430197</v>
      </c>
      <c r="D2457" s="1" t="n">
        <v>-7.12597410278</v>
      </c>
      <c r="E2457" s="3" t="n">
        <v>3</v>
      </c>
      <c r="F2457" s="2" t="n">
        <v>3</v>
      </c>
      <c r="G2457" s="4" t="n">
        <v>2</v>
      </c>
      <c r="H2457" s="13" t="n"/>
      <c r="I2457" s="15" t="n"/>
      <c r="J2457" s="19" t="n">
        <v>3</v>
      </c>
      <c r="K2457" s="2" t="inlineStr">
        <is>
          <t>marker_837_384352.png</t>
        </is>
      </c>
      <c r="L2457" s="11">
        <f>HYPERLINK("3\1\" &amp; K2457, "Ver Imagen")</f>
        <v/>
      </c>
      <c r="M2457" t="inlineStr">
        <is>
          <t>Moda</t>
        </is>
      </c>
    </row>
    <row r="2458">
      <c r="A2458" t="n">
        <v>2457</v>
      </c>
      <c r="B2458" t="inlineStr">
        <is>
          <t>A-495_1__140</t>
        </is>
      </c>
      <c r="C2458" s="1" t="n">
        <v>37.4749570511</v>
      </c>
      <c r="D2458" s="1" t="n">
        <v>-7.12601536522</v>
      </c>
      <c r="E2458" s="3" t="n">
        <v>3</v>
      </c>
      <c r="F2458" s="2" t="n">
        <v>3</v>
      </c>
      <c r="G2458" s="4" t="n">
        <v>2</v>
      </c>
      <c r="H2458" s="13" t="n"/>
      <c r="I2458" s="15" t="n"/>
      <c r="J2458" s="19" t="n">
        <v>3</v>
      </c>
      <c r="K2458" s="2" t="inlineStr">
        <is>
          <t>marker_967_384364.png</t>
        </is>
      </c>
      <c r="L2458" s="11">
        <f>HYPERLINK("3\1\" &amp; K2458, "Ver Imagen")</f>
        <v/>
      </c>
      <c r="M2458" t="inlineStr">
        <is>
          <t>Moda</t>
        </is>
      </c>
    </row>
    <row r="2459">
      <c r="A2459" t="n">
        <v>2458</v>
      </c>
      <c r="B2459" t="inlineStr">
        <is>
          <t>A-495_1__112</t>
        </is>
      </c>
      <c r="C2459" s="1" t="n">
        <v>37.469742925</v>
      </c>
      <c r="D2459" s="1" t="n">
        <v>-7.12445207387</v>
      </c>
      <c r="E2459" s="3" t="n">
        <v>3</v>
      </c>
      <c r="F2459" s="2" t="n">
        <v>3</v>
      </c>
      <c r="G2459" s="4" t="n">
        <v>2</v>
      </c>
      <c r="H2459" s="13" t="n"/>
      <c r="I2459" s="15" t="n"/>
      <c r="J2459" s="19" t="n">
        <v>3</v>
      </c>
      <c r="K2459" s="2" t="inlineStr">
        <is>
          <t>marker_104_384702.png</t>
        </is>
      </c>
      <c r="L2459" s="11">
        <f>HYPERLINK("3\1\" &amp; K2459, "Ver Imagen")</f>
        <v/>
      </c>
      <c r="M2459" t="inlineStr">
        <is>
          <t>Moda</t>
        </is>
      </c>
    </row>
    <row r="2460">
      <c r="A2460" t="n">
        <v>2459</v>
      </c>
      <c r="B2460" t="inlineStr">
        <is>
          <t>A-495_1__100</t>
        </is>
      </c>
      <c r="C2460" s="1" t="n">
        <v>37.4675400774</v>
      </c>
      <c r="D2460" s="1" t="n">
        <v>-7.12302475366</v>
      </c>
      <c r="E2460" s="3" t="n">
        <v>3</v>
      </c>
      <c r="F2460" s="2" t="n">
        <v>3</v>
      </c>
      <c r="G2460" s="4" t="n">
        <v>2</v>
      </c>
      <c r="H2460" s="13" t="n"/>
      <c r="I2460" s="15" t="n"/>
      <c r="J2460" s="19" t="n">
        <v>3</v>
      </c>
      <c r="K2460" s="2" t="inlineStr">
        <is>
          <t>marker_187_385023.png</t>
        </is>
      </c>
      <c r="L2460" s="11">
        <f>HYPERLINK("3\1\" &amp; K2460, "Ver Imagen")</f>
        <v/>
      </c>
      <c r="M2460" t="inlineStr">
        <is>
          <t>Moda</t>
        </is>
      </c>
    </row>
    <row r="2461">
      <c r="A2461" t="n">
        <v>2460</v>
      </c>
      <c r="B2461" t="inlineStr">
        <is>
          <t>A-495_1__20</t>
        </is>
      </c>
      <c r="C2461" s="1" t="n">
        <v>37.4519899201</v>
      </c>
      <c r="D2461" s="1" t="n">
        <v>-7.1274645613</v>
      </c>
      <c r="E2461" s="3" t="n">
        <v>3</v>
      </c>
      <c r="F2461" s="2" t="n">
        <v>3</v>
      </c>
      <c r="G2461" s="4" t="n">
        <v>2</v>
      </c>
      <c r="H2461" s="13" t="n"/>
      <c r="I2461" s="15" t="n"/>
      <c r="J2461" s="19" t="n">
        <v>3</v>
      </c>
      <c r="K2461" s="2" t="inlineStr">
        <is>
          <t>marker_220_386124.png</t>
        </is>
      </c>
      <c r="L2461" s="11">
        <f>HYPERLINK("3\1\" &amp; K2461, "Ver Imagen")</f>
        <v/>
      </c>
      <c r="M2461" t="inlineStr">
        <is>
          <t>Moda</t>
        </is>
      </c>
    </row>
    <row r="2462">
      <c r="A2462" t="n">
        <v>2461</v>
      </c>
      <c r="B2462" t="inlineStr">
        <is>
          <t>A-499__46</t>
        </is>
      </c>
      <c r="C2462" s="1" t="n">
        <v>37.495415258</v>
      </c>
      <c r="D2462" s="1" t="n">
        <v>-7.27628503831</v>
      </c>
      <c r="E2462" s="3" t="n">
        <v>3</v>
      </c>
      <c r="F2462" s="2" t="n">
        <v>3</v>
      </c>
      <c r="G2462" s="4" t="n">
        <v>2</v>
      </c>
      <c r="H2462" s="13" t="n"/>
      <c r="I2462" s="15" t="n"/>
      <c r="J2462" s="19" t="n">
        <v>3</v>
      </c>
      <c r="K2462" s="2" t="inlineStr">
        <is>
          <t>marker_536_534823.png</t>
        </is>
      </c>
      <c r="L2462" s="11">
        <f>HYPERLINK("3\1\" &amp; K2462, "Ver Imagen")</f>
        <v/>
      </c>
      <c r="M2462" t="inlineStr">
        <is>
          <t>Moda</t>
        </is>
      </c>
    </row>
    <row r="2463">
      <c r="A2463" t="n">
        <v>2462</v>
      </c>
      <c r="B2463" t="inlineStr">
        <is>
          <t>A-499__56</t>
        </is>
      </c>
      <c r="C2463" s="1" t="n">
        <v>37.4956721302</v>
      </c>
      <c r="D2463" s="1" t="n">
        <v>-7.27377371648</v>
      </c>
      <c r="E2463" s="3" t="n">
        <v>3</v>
      </c>
      <c r="F2463" s="2" t="n">
        <v>3</v>
      </c>
      <c r="G2463" s="4" t="n">
        <v>2</v>
      </c>
      <c r="H2463" s="13" t="n"/>
      <c r="I2463" s="15" t="n"/>
      <c r="J2463" s="19" t="n">
        <v>3</v>
      </c>
      <c r="K2463" s="2" t="inlineStr">
        <is>
          <t>marker_975_534954.png</t>
        </is>
      </c>
      <c r="L2463" s="11">
        <f>HYPERLINK("3\1\" &amp; K2463, "Ver Imagen")</f>
        <v/>
      </c>
      <c r="M2463" t="inlineStr">
        <is>
          <t>Moda</t>
        </is>
      </c>
    </row>
    <row r="2464">
      <c r="A2464" t="n">
        <v>2463</v>
      </c>
      <c r="B2464" t="inlineStr">
        <is>
          <t>A-499__85</t>
        </is>
      </c>
      <c r="C2464" s="1" t="n">
        <v>37.4958362596</v>
      </c>
      <c r="D2464" s="1" t="n">
        <v>-7.26811558294</v>
      </c>
      <c r="E2464" s="3" t="n">
        <v>2</v>
      </c>
      <c r="F2464" s="2" t="n">
        <v>3</v>
      </c>
      <c r="G2464" s="4" t="n">
        <v>3</v>
      </c>
      <c r="H2464" s="13" t="n"/>
      <c r="I2464" s="15" t="n"/>
      <c r="J2464" s="19" t="n">
        <v>3</v>
      </c>
      <c r="K2464" s="2" t="inlineStr">
        <is>
          <t>marker_323_789412.png</t>
        </is>
      </c>
      <c r="L2464" s="11">
        <f>HYPERLINK("3\1\" &amp; K2464, "Ver Imagen")</f>
        <v/>
      </c>
      <c r="M2464" t="inlineStr">
        <is>
          <t>Moda</t>
        </is>
      </c>
    </row>
    <row r="2465">
      <c r="A2465" t="n">
        <v>2464</v>
      </c>
      <c r="B2465" t="inlineStr">
        <is>
          <t>A-499__92</t>
        </is>
      </c>
      <c r="C2465" s="1" t="n">
        <v>37.4972238318</v>
      </c>
      <c r="D2465" s="1" t="n">
        <v>-7.26805240972</v>
      </c>
      <c r="E2465" s="3" t="n">
        <v>2</v>
      </c>
      <c r="F2465" s="2" t="n">
        <v>3</v>
      </c>
      <c r="G2465" s="4" t="n">
        <v>3</v>
      </c>
      <c r="H2465" s="13" t="n"/>
      <c r="I2465" s="15" t="n"/>
      <c r="J2465" s="19" t="n">
        <v>3</v>
      </c>
      <c r="K2465" s="2" t="inlineStr">
        <is>
          <t>marker_511_790086.png</t>
        </is>
      </c>
      <c r="L2465" s="11">
        <f>HYPERLINK("3\1\" &amp; K2465, "Ver Imagen")</f>
        <v/>
      </c>
      <c r="M2465" t="inlineStr">
        <is>
          <t>Moda</t>
        </is>
      </c>
    </row>
    <row r="2466">
      <c r="A2466" t="n">
        <v>2465</v>
      </c>
      <c r="B2466" t="inlineStr">
        <is>
          <t>A-497__789</t>
        </is>
      </c>
      <c r="C2466" s="1" t="n">
        <v>37.19118799</v>
      </c>
      <c r="D2466" s="1" t="n">
        <v>-6.97784052019</v>
      </c>
      <c r="E2466" s="3" t="n">
        <v>2</v>
      </c>
      <c r="F2466" s="2" t="n">
        <v>3</v>
      </c>
      <c r="G2466" s="4" t="n">
        <v>3</v>
      </c>
      <c r="H2466" s="13" t="n"/>
      <c r="I2466" s="15" t="n"/>
      <c r="J2466" s="19" t="n">
        <v>3</v>
      </c>
      <c r="K2466" s="2" t="inlineStr">
        <is>
          <t>marker_551_368072.png</t>
        </is>
      </c>
      <c r="L2466" s="11">
        <f>HYPERLINK("3\1\" &amp; K2466, "Ver Imagen")</f>
        <v/>
      </c>
      <c r="M2466" t="inlineStr">
        <is>
          <t>Moda</t>
        </is>
      </c>
    </row>
    <row r="2467">
      <c r="A2467" t="n">
        <v>2466</v>
      </c>
      <c r="B2467" t="inlineStr">
        <is>
          <t>A-499__113</t>
        </is>
      </c>
      <c r="C2467" s="1" t="n">
        <v>37.5013407979</v>
      </c>
      <c r="D2467" s="1" t="n">
        <v>-7.26664392653</v>
      </c>
      <c r="E2467" s="3" t="n">
        <v>2</v>
      </c>
      <c r="F2467" s="2" t="n">
        <v>3</v>
      </c>
      <c r="G2467" s="4" t="n">
        <v>3</v>
      </c>
      <c r="H2467" s="13" t="n"/>
      <c r="I2467" s="15" t="n"/>
      <c r="J2467" s="19" t="n">
        <v>3</v>
      </c>
      <c r="K2467" s="2" t="inlineStr">
        <is>
          <t>marker_401_793446.png</t>
        </is>
      </c>
      <c r="L2467" s="11">
        <f>HYPERLINK("3\1\" &amp; K2467, "Ver Imagen")</f>
        <v/>
      </c>
      <c r="M2467" t="inlineStr">
        <is>
          <t>Moda</t>
        </is>
      </c>
    </row>
    <row r="2468">
      <c r="A2468" t="n">
        <v>2467</v>
      </c>
      <c r="B2468" t="inlineStr">
        <is>
          <t>A-499__114</t>
        </is>
      </c>
      <c r="C2468" s="1" t="n">
        <v>37.5015479862</v>
      </c>
      <c r="D2468" s="1" t="n">
        <v>-7.26657317196</v>
      </c>
      <c r="E2468" s="3" t="n">
        <v>3</v>
      </c>
      <c r="F2468" s="2" t="n">
        <v>3</v>
      </c>
      <c r="G2468" s="4" t="n">
        <v>2</v>
      </c>
      <c r="H2468" s="13" t="n"/>
      <c r="I2468" s="15" t="n"/>
      <c r="J2468" s="19" t="n">
        <v>3</v>
      </c>
      <c r="K2468" s="2" t="inlineStr">
        <is>
          <t>marker_816_793463.png</t>
        </is>
      </c>
      <c r="L2468" s="11">
        <f>HYPERLINK("3\1\" &amp; K2468, "Ver Imagen")</f>
        <v/>
      </c>
      <c r="M2468" t="inlineStr">
        <is>
          <t>Moda</t>
        </is>
      </c>
    </row>
    <row r="2469">
      <c r="A2469" t="n">
        <v>2468</v>
      </c>
      <c r="B2469" t="inlineStr">
        <is>
          <t>A-497_2C__4</t>
        </is>
      </c>
      <c r="C2469" s="1" t="n">
        <v>37.2673939844</v>
      </c>
      <c r="D2469" s="1" t="n">
        <v>-6.95796340638</v>
      </c>
      <c r="E2469" s="3" t="n">
        <v>2</v>
      </c>
      <c r="F2469" s="2" t="n">
        <v>3</v>
      </c>
      <c r="G2469" s="4" t="n">
        <v>3</v>
      </c>
      <c r="H2469" s="13" t="n"/>
      <c r="I2469" s="15" t="n"/>
      <c r="J2469" s="19" t="n">
        <v>3</v>
      </c>
      <c r="K2469" s="2" t="inlineStr">
        <is>
          <t>marker_847_653758.png</t>
        </is>
      </c>
      <c r="L2469" s="11">
        <f>HYPERLINK("3\1\" &amp; K2469, "Ver Imagen")</f>
        <v/>
      </c>
      <c r="M2469" t="inlineStr">
        <is>
          <t>Moda</t>
        </is>
      </c>
    </row>
    <row r="2470">
      <c r="A2470" t="n">
        <v>2469</v>
      </c>
      <c r="B2470" t="inlineStr">
        <is>
          <t>A-499__140</t>
        </is>
      </c>
      <c r="C2470" s="1" t="n">
        <v>37.5066548201</v>
      </c>
      <c r="D2470" s="1" t="n">
        <v>-7.26541905721</v>
      </c>
      <c r="E2470" s="3" t="n">
        <v>2</v>
      </c>
      <c r="F2470" s="2" t="n">
        <v>3</v>
      </c>
      <c r="G2470" s="4" t="n">
        <v>3</v>
      </c>
      <c r="H2470" s="13" t="n"/>
      <c r="I2470" s="15" t="n"/>
      <c r="J2470" s="19" t="n">
        <v>3</v>
      </c>
      <c r="K2470" s="2" t="inlineStr">
        <is>
          <t>marker_471_794068.png</t>
        </is>
      </c>
      <c r="L2470" s="11">
        <f>HYPERLINK("3\1\" &amp; K2470, "Ver Imagen")</f>
        <v/>
      </c>
      <c r="M2470" t="inlineStr">
        <is>
          <t>Moda</t>
        </is>
      </c>
    </row>
    <row r="2471">
      <c r="A2471" t="n">
        <v>2470</v>
      </c>
      <c r="B2471" t="inlineStr">
        <is>
          <t>A-499__142</t>
        </is>
      </c>
      <c r="C2471" s="1" t="n">
        <v>37.5070320099</v>
      </c>
      <c r="D2471" s="1" t="n">
        <v>-7.26561247912</v>
      </c>
      <c r="E2471" s="3" t="n">
        <v>2</v>
      </c>
      <c r="F2471" s="2" t="n">
        <v>3</v>
      </c>
      <c r="G2471" s="4" t="n">
        <v>3</v>
      </c>
      <c r="H2471" s="13" t="n"/>
      <c r="I2471" s="15" t="n"/>
      <c r="J2471" s="19" t="n">
        <v>3</v>
      </c>
      <c r="K2471" s="2" t="inlineStr">
        <is>
          <t>marker_947_794112.png</t>
        </is>
      </c>
      <c r="L2471" s="11">
        <f>HYPERLINK("3\1\" &amp; K2471, "Ver Imagen")</f>
        <v/>
      </c>
      <c r="M2471" t="inlineStr">
        <is>
          <t>Moda</t>
        </is>
      </c>
    </row>
    <row r="2472">
      <c r="A2472" t="n">
        <v>2471</v>
      </c>
      <c r="B2472" t="inlineStr">
        <is>
          <t>A-499__159</t>
        </is>
      </c>
      <c r="C2472" s="1" t="n">
        <v>37.5100416303</v>
      </c>
      <c r="D2472" s="1" t="n">
        <v>-7.26759940969</v>
      </c>
      <c r="E2472" s="3" t="n">
        <v>2</v>
      </c>
      <c r="F2472" s="2" t="n">
        <v>3</v>
      </c>
      <c r="G2472" s="4" t="n">
        <v>3</v>
      </c>
      <c r="H2472" s="13" t="n"/>
      <c r="I2472" s="15" t="n"/>
      <c r="J2472" s="19" t="n">
        <v>3</v>
      </c>
      <c r="K2472" s="2" t="inlineStr">
        <is>
          <t>marker_247_794565.png</t>
        </is>
      </c>
      <c r="L2472" s="11">
        <f>HYPERLINK("3\1\" &amp; K2472, "Ver Imagen")</f>
        <v/>
      </c>
      <c r="M2472" t="inlineStr">
        <is>
          <t>Moda</t>
        </is>
      </c>
    </row>
    <row r="2473">
      <c r="A2473" t="n">
        <v>2472</v>
      </c>
      <c r="B2473" t="inlineStr">
        <is>
          <t>A-499__177</t>
        </is>
      </c>
      <c r="C2473" s="1" t="n">
        <v>37.5135420318</v>
      </c>
      <c r="D2473" s="1" t="n">
        <v>-7.26895162754</v>
      </c>
      <c r="E2473" s="3" t="n">
        <v>3</v>
      </c>
      <c r="F2473" s="2" t="n">
        <v>3</v>
      </c>
      <c r="G2473" s="4" t="n">
        <v>2</v>
      </c>
      <c r="H2473" s="13" t="n"/>
      <c r="I2473" s="15" t="n"/>
      <c r="J2473" s="19" t="n">
        <v>3</v>
      </c>
      <c r="K2473" s="2" t="inlineStr">
        <is>
          <t>marker_549_795586.png</t>
        </is>
      </c>
      <c r="L2473" s="11">
        <f>HYPERLINK("3\1\" &amp; K2473, "Ver Imagen")</f>
        <v/>
      </c>
      <c r="M2473" t="inlineStr">
        <is>
          <t>Moda</t>
        </is>
      </c>
    </row>
    <row r="2474">
      <c r="A2474" t="n">
        <v>2473</v>
      </c>
      <c r="B2474" t="inlineStr">
        <is>
          <t>A-499__243</t>
        </is>
      </c>
      <c r="C2474" s="1" t="n">
        <v>37.5234708191</v>
      </c>
      <c r="D2474" s="1" t="n">
        <v>-7.25894469386</v>
      </c>
      <c r="E2474" s="3" t="n">
        <v>2</v>
      </c>
      <c r="F2474" s="2" t="n">
        <v>3</v>
      </c>
      <c r="G2474" s="4" t="n">
        <v>3</v>
      </c>
      <c r="H2474" s="13" t="n"/>
      <c r="I2474" s="15" t="n"/>
      <c r="J2474" s="19" t="n">
        <v>3</v>
      </c>
      <c r="K2474" s="2" t="inlineStr">
        <is>
          <t>marker_784_796905.png</t>
        </is>
      </c>
      <c r="L2474" s="11">
        <f>HYPERLINK("3\1\" &amp; K2474, "Ver Imagen")</f>
        <v/>
      </c>
      <c r="M2474" t="inlineStr">
        <is>
          <t>Moda</t>
        </is>
      </c>
    </row>
    <row r="2475">
      <c r="A2475" t="n">
        <v>2474</v>
      </c>
      <c r="B2475" t="inlineStr">
        <is>
          <t>A-499__256</t>
        </is>
      </c>
      <c r="C2475" s="1" t="n">
        <v>37.5253416085</v>
      </c>
      <c r="D2475" s="1" t="n">
        <v>-7.2566679682</v>
      </c>
      <c r="E2475" s="3" t="n">
        <v>2</v>
      </c>
      <c r="F2475" s="2" t="n">
        <v>3</v>
      </c>
      <c r="G2475" s="4" t="n">
        <v>3</v>
      </c>
      <c r="H2475" s="13" t="n"/>
      <c r="I2475" s="15" t="n"/>
      <c r="J2475" s="19" t="n">
        <v>3</v>
      </c>
      <c r="K2475" s="2" t="inlineStr">
        <is>
          <t>marker_803_797085.png</t>
        </is>
      </c>
      <c r="L2475" s="11">
        <f>HYPERLINK("3\1\" &amp; K2475, "Ver Imagen")</f>
        <v/>
      </c>
      <c r="M2475" t="inlineStr">
        <is>
          <t>Moda</t>
        </is>
      </c>
    </row>
    <row r="2476">
      <c r="A2476" t="n">
        <v>2475</v>
      </c>
      <c r="B2476" t="inlineStr">
        <is>
          <t>A-497__748</t>
        </is>
      </c>
      <c r="C2476" s="1" t="n">
        <v>37.1875272112</v>
      </c>
      <c r="D2476" s="1" t="n">
        <v>-6.97866115648</v>
      </c>
      <c r="E2476" s="3" t="n">
        <v>2</v>
      </c>
      <c r="F2476" s="2" t="n">
        <v>3</v>
      </c>
      <c r="G2476" s="4" t="n">
        <v>3</v>
      </c>
      <c r="H2476" s="13" t="n"/>
      <c r="I2476" s="15" t="n"/>
      <c r="J2476" s="19" t="n">
        <v>3</v>
      </c>
      <c r="K2476" s="2" t="inlineStr">
        <is>
          <t>marker_297_368724.png</t>
        </is>
      </c>
      <c r="L2476" s="11">
        <f>HYPERLINK("3\1\" &amp; K2476, "Ver Imagen")</f>
        <v/>
      </c>
      <c r="M2476" t="inlineStr">
        <is>
          <t>Moda</t>
        </is>
      </c>
    </row>
    <row r="2477">
      <c r="A2477" t="n">
        <v>2476</v>
      </c>
      <c r="B2477" t="inlineStr">
        <is>
          <t>A-497_2C__161</t>
        </is>
      </c>
      <c r="C2477" s="1" t="n">
        <v>37.2660637436</v>
      </c>
      <c r="D2477" s="1" t="n">
        <v>-6.99351170596</v>
      </c>
      <c r="E2477" s="3" t="n">
        <v>2</v>
      </c>
      <c r="F2477" s="2" t="n">
        <v>3</v>
      </c>
      <c r="G2477" s="4" t="n">
        <v>3</v>
      </c>
      <c r="H2477" s="13" t="n"/>
      <c r="I2477" s="15" t="n"/>
      <c r="J2477" s="19" t="n">
        <v>3</v>
      </c>
      <c r="K2477" s="2" t="inlineStr">
        <is>
          <t>marker_174_656111.png</t>
        </is>
      </c>
      <c r="L2477" s="11">
        <f>HYPERLINK("3\1\" &amp; K2477, "Ver Imagen")</f>
        <v/>
      </c>
      <c r="M2477" t="inlineStr">
        <is>
          <t>Moda</t>
        </is>
      </c>
    </row>
    <row r="2478">
      <c r="A2478" t="n">
        <v>2477</v>
      </c>
      <c r="B2478" t="inlineStr">
        <is>
          <t>A-497_2C__224</t>
        </is>
      </c>
      <c r="C2478" s="1" t="n">
        <v>37.2629208666</v>
      </c>
      <c r="D2478" s="1" t="n">
        <v>-7.0089561291</v>
      </c>
      <c r="E2478" s="3" t="n">
        <v>2</v>
      </c>
      <c r="F2478" s="2" t="n">
        <v>3</v>
      </c>
      <c r="G2478" s="4" t="n">
        <v>3</v>
      </c>
      <c r="H2478" s="13" t="n"/>
      <c r="I2478" s="15" t="n"/>
      <c r="J2478" s="19" t="n">
        <v>3</v>
      </c>
      <c r="K2478" s="2" t="inlineStr">
        <is>
          <t>marker_423_656823.png</t>
        </is>
      </c>
      <c r="L2478" s="11">
        <f>HYPERLINK("3\1\" &amp; K2478, "Ver Imagen")</f>
        <v/>
      </c>
      <c r="M2478" t="inlineStr">
        <is>
          <t>Moda</t>
        </is>
      </c>
    </row>
    <row r="2479">
      <c r="A2479" t="n">
        <v>2478</v>
      </c>
      <c r="B2479" t="inlineStr">
        <is>
          <t>A-497_2C__225</t>
        </is>
      </c>
      <c r="C2479" s="1" t="n">
        <v>37.2628331609</v>
      </c>
      <c r="D2479" s="1" t="n">
        <v>-7.00912662257</v>
      </c>
      <c r="E2479" s="3" t="n">
        <v>2</v>
      </c>
      <c r="F2479" s="2" t="n">
        <v>3</v>
      </c>
      <c r="G2479" s="4" t="n">
        <v>3</v>
      </c>
      <c r="H2479" s="13" t="n"/>
      <c r="I2479" s="15" t="n"/>
      <c r="J2479" s="19" t="n">
        <v>3</v>
      </c>
      <c r="K2479" s="2" t="inlineStr">
        <is>
          <t>marker_427_656838.png</t>
        </is>
      </c>
      <c r="L2479" s="11">
        <f>HYPERLINK("3\1\" &amp; K2479, "Ver Imagen")</f>
        <v/>
      </c>
      <c r="M2479" t="inlineStr">
        <is>
          <t>Moda</t>
        </is>
      </c>
    </row>
    <row r="2480">
      <c r="A2480" t="n">
        <v>2479</v>
      </c>
      <c r="B2480" t="inlineStr">
        <is>
          <t>A-497_2C__264</t>
        </is>
      </c>
      <c r="C2480" s="1" t="n">
        <v>37.2560664534</v>
      </c>
      <c r="D2480" s="1" t="n">
        <v>-7.01420727151</v>
      </c>
      <c r="E2480" s="3" t="n">
        <v>2</v>
      </c>
      <c r="F2480" s="2" t="n">
        <v>3</v>
      </c>
      <c r="G2480" s="4" t="n">
        <v>3</v>
      </c>
      <c r="H2480" s="13" t="n"/>
      <c r="I2480" s="15" t="n"/>
      <c r="J2480" s="19" t="n">
        <v>3</v>
      </c>
      <c r="K2480" s="2" t="inlineStr">
        <is>
          <t>marker_925_319669.png</t>
        </is>
      </c>
      <c r="L2480" s="11">
        <f>HYPERLINK("3\1\" &amp; K2480, "Ver Imagen")</f>
        <v/>
      </c>
      <c r="M2480" t="inlineStr">
        <is>
          <t>Moda</t>
        </is>
      </c>
    </row>
    <row r="2481">
      <c r="A2481" t="n">
        <v>2480</v>
      </c>
      <c r="B2481" t="inlineStr">
        <is>
          <t>A-497_2C__266</t>
        </is>
      </c>
      <c r="C2481" s="1" t="n">
        <v>37.2557061303</v>
      </c>
      <c r="D2481" s="1" t="n">
        <v>-7.01443919357</v>
      </c>
      <c r="E2481" s="3" t="n">
        <v>2</v>
      </c>
      <c r="F2481" s="2" t="n">
        <v>3</v>
      </c>
      <c r="G2481" s="4" t="n">
        <v>3</v>
      </c>
      <c r="H2481" s="13" t="n"/>
      <c r="I2481" s="15" t="n"/>
      <c r="J2481" s="19" t="n">
        <v>3</v>
      </c>
      <c r="K2481" s="2" t="inlineStr">
        <is>
          <t>marker_255_319697.png</t>
        </is>
      </c>
      <c r="L2481" s="11">
        <f>HYPERLINK("3\1\" &amp; K2481, "Ver Imagen")</f>
        <v/>
      </c>
      <c r="M2481" t="inlineStr">
        <is>
          <t>Moda</t>
        </is>
      </c>
    </row>
    <row r="2482">
      <c r="A2482" t="n">
        <v>2481</v>
      </c>
      <c r="B2482" t="inlineStr">
        <is>
          <t>A-497_2C__267</t>
        </is>
      </c>
      <c r="C2482" s="1" t="n">
        <v>37.2555280852</v>
      </c>
      <c r="D2482" s="1" t="n">
        <v>-7.01455401953</v>
      </c>
      <c r="E2482" s="3" t="n">
        <v>2</v>
      </c>
      <c r="F2482" s="2" t="n">
        <v>3</v>
      </c>
      <c r="G2482" s="4" t="n">
        <v>3</v>
      </c>
      <c r="H2482" s="13" t="n"/>
      <c r="I2482" s="15" t="n"/>
      <c r="J2482" s="19" t="n">
        <v>3</v>
      </c>
      <c r="K2482" s="2" t="inlineStr">
        <is>
          <t>marker_785_319706.png</t>
        </is>
      </c>
      <c r="L2482" s="11">
        <f>HYPERLINK("3\1\" &amp; K2482, "Ver Imagen")</f>
        <v/>
      </c>
      <c r="M2482" t="inlineStr">
        <is>
          <t>Moda</t>
        </is>
      </c>
    </row>
    <row r="2483">
      <c r="A2483" t="n">
        <v>2482</v>
      </c>
      <c r="B2483" t="inlineStr">
        <is>
          <t>A-497__570</t>
        </is>
      </c>
      <c r="C2483" s="1" t="n">
        <v>37.2039792141</v>
      </c>
      <c r="D2483" s="1" t="n">
        <v>-7.0101281187</v>
      </c>
      <c r="E2483" s="3" t="n">
        <v>2</v>
      </c>
      <c r="F2483" s="2" t="n">
        <v>3</v>
      </c>
      <c r="G2483" s="4" t="n">
        <v>3</v>
      </c>
      <c r="H2483" s="13" t="n"/>
      <c r="I2483" s="15" t="n"/>
      <c r="J2483" s="19" t="n">
        <v>3</v>
      </c>
      <c r="K2483" s="2" t="inlineStr">
        <is>
          <t>marker_529_372035.png</t>
        </is>
      </c>
      <c r="L2483" s="11">
        <f>HYPERLINK("3\1\" &amp; K2483, "Ver Imagen")</f>
        <v/>
      </c>
      <c r="M2483" t="inlineStr">
        <is>
          <t>Moda</t>
        </is>
      </c>
    </row>
    <row r="2484">
      <c r="A2484" t="n">
        <v>2483</v>
      </c>
      <c r="B2484" t="inlineStr">
        <is>
          <t>A-497__290</t>
        </is>
      </c>
      <c r="C2484" s="1" t="n">
        <v>37.2521763924</v>
      </c>
      <c r="D2484" s="1" t="n">
        <v>-7.01648883377</v>
      </c>
      <c r="E2484" s="3" t="n">
        <v>2</v>
      </c>
      <c r="F2484" s="2" t="n">
        <v>3</v>
      </c>
      <c r="G2484" s="4" t="n">
        <v>3</v>
      </c>
      <c r="H2484" s="13" t="n"/>
      <c r="I2484" s="15" t="n"/>
      <c r="J2484" s="19" t="n">
        <v>3</v>
      </c>
      <c r="K2484" s="2" t="inlineStr">
        <is>
          <t>marker_121_378353.png</t>
        </is>
      </c>
      <c r="L2484" s="11">
        <f>HYPERLINK("3\1\" &amp; K2484, "Ver Imagen")</f>
        <v/>
      </c>
      <c r="M2484" t="inlineStr">
        <is>
          <t>Moda</t>
        </is>
      </c>
    </row>
    <row r="2485">
      <c r="A2485" t="n">
        <v>2484</v>
      </c>
      <c r="B2485" t="inlineStr">
        <is>
          <t>A-497__275</t>
        </is>
      </c>
      <c r="C2485" s="1" t="n">
        <v>37.2549326473</v>
      </c>
      <c r="D2485" s="1" t="n">
        <v>-7.01473305697</v>
      </c>
      <c r="E2485" s="3" t="n">
        <v>2</v>
      </c>
      <c r="F2485" s="2" t="n">
        <v>3</v>
      </c>
      <c r="G2485" s="4" t="n">
        <v>3</v>
      </c>
      <c r="H2485" s="13" t="n"/>
      <c r="I2485" s="15" t="n"/>
      <c r="J2485" s="19" t="n">
        <v>3</v>
      </c>
      <c r="K2485" s="2" t="inlineStr">
        <is>
          <t>marker_905_378526.png</t>
        </is>
      </c>
      <c r="L2485" s="11">
        <f>HYPERLINK("3\1\" &amp; K2485, "Ver Imagen")</f>
        <v/>
      </c>
      <c r="M2485" t="inlineStr">
        <is>
          <t>Moda</t>
        </is>
      </c>
    </row>
    <row r="2486">
      <c r="A2486" t="n">
        <v>2485</v>
      </c>
      <c r="B2486" t="inlineStr">
        <is>
          <t>A-497__205</t>
        </is>
      </c>
      <c r="C2486" s="1" t="n">
        <v>37.2641465957</v>
      </c>
      <c r="D2486" s="1" t="n">
        <v>-7.00302719811</v>
      </c>
      <c r="E2486" s="3" t="n">
        <v>2</v>
      </c>
      <c r="F2486" s="2" t="n">
        <v>3</v>
      </c>
      <c r="G2486" s="4" t="n">
        <v>3</v>
      </c>
      <c r="H2486" s="13" t="n"/>
      <c r="I2486" s="15" t="n"/>
      <c r="J2486" s="19" t="n">
        <v>3</v>
      </c>
      <c r="K2486" s="2" t="inlineStr">
        <is>
          <t>marker_909_379324.png</t>
        </is>
      </c>
      <c r="L2486" s="11">
        <f>HYPERLINK("3\1\" &amp; K2486, "Ver Imagen")</f>
        <v/>
      </c>
      <c r="M2486" t="inlineStr">
        <is>
          <t>Moda</t>
        </is>
      </c>
    </row>
    <row r="2487">
      <c r="A2487" t="n">
        <v>2486</v>
      </c>
      <c r="B2487" t="inlineStr">
        <is>
          <t>A-497__187</t>
        </is>
      </c>
      <c r="C2487" s="1" t="n">
        <v>37.2649299363</v>
      </c>
      <c r="D2487" s="1" t="n">
        <v>-6.99862741803</v>
      </c>
      <c r="E2487" s="3" t="n">
        <v>2</v>
      </c>
      <c r="F2487" s="2" t="n">
        <v>3</v>
      </c>
      <c r="G2487" s="4" t="n">
        <v>3</v>
      </c>
      <c r="H2487" s="13" t="n"/>
      <c r="I2487" s="15" t="n"/>
      <c r="J2487" s="19" t="n">
        <v>3</v>
      </c>
      <c r="K2487" s="2" t="inlineStr">
        <is>
          <t>marker_378_379553.png</t>
        </is>
      </c>
      <c r="L2487" s="11">
        <f>HYPERLINK("3\1\" &amp; K2487, "Ver Imagen")</f>
        <v/>
      </c>
      <c r="M2487" t="inlineStr">
        <is>
          <t>Moda</t>
        </is>
      </c>
    </row>
    <row r="2488">
      <c r="A2488" t="n">
        <v>2487</v>
      </c>
      <c r="B2488" t="inlineStr">
        <is>
          <t>A-497__115</t>
        </is>
      </c>
      <c r="C2488" s="1" t="n">
        <v>37.2713463201</v>
      </c>
      <c r="D2488" s="1" t="n">
        <v>-6.98416106475</v>
      </c>
      <c r="E2488" s="3" t="n">
        <v>2</v>
      </c>
      <c r="F2488" s="2" t="n">
        <v>3</v>
      </c>
      <c r="G2488" s="4" t="n">
        <v>3</v>
      </c>
      <c r="H2488" s="13" t="n"/>
      <c r="I2488" s="15" t="n"/>
      <c r="J2488" s="19" t="n">
        <v>3</v>
      </c>
      <c r="K2488" s="2" t="inlineStr">
        <is>
          <t>marker_708_380667.png</t>
        </is>
      </c>
      <c r="L2488" s="11">
        <f>HYPERLINK("3\1\" &amp; K2488, "Ver Imagen")</f>
        <v/>
      </c>
      <c r="M2488" t="inlineStr">
        <is>
          <t>Moda</t>
        </is>
      </c>
    </row>
    <row r="2489">
      <c r="A2489" t="n">
        <v>2488</v>
      </c>
      <c r="B2489" t="inlineStr">
        <is>
          <t>A-490__14</t>
        </is>
      </c>
      <c r="C2489" s="1" t="n">
        <v>37.4470985557</v>
      </c>
      <c r="D2489" s="1" t="n">
        <v>-7.12976859862</v>
      </c>
      <c r="E2489" s="3" t="n">
        <v>3</v>
      </c>
      <c r="F2489" s="2" t="n">
        <v>4</v>
      </c>
      <c r="G2489" s="4" t="n">
        <v>3</v>
      </c>
      <c r="H2489" s="13" t="n"/>
      <c r="I2489" s="15" t="n"/>
      <c r="J2489" s="19" t="n">
        <v>3</v>
      </c>
      <c r="K2489" s="2" t="inlineStr">
        <is>
          <t>marker_843_728108.png</t>
        </is>
      </c>
      <c r="L2489" s="11">
        <f>HYPERLINK("3\1\" &amp; K2489, "Ver Imagen")</f>
        <v/>
      </c>
      <c r="M2489" t="inlineStr">
        <is>
          <t>Moda</t>
        </is>
      </c>
    </row>
    <row r="2490">
      <c r="A2490" t="n">
        <v>2489</v>
      </c>
      <c r="B2490" t="inlineStr">
        <is>
          <t>A-490__31</t>
        </is>
      </c>
      <c r="C2490" s="1" t="n">
        <v>37.446314007</v>
      </c>
      <c r="D2490" s="1" t="n">
        <v>-7.13401643677</v>
      </c>
      <c r="E2490" s="3" t="n">
        <v>2</v>
      </c>
      <c r="F2490" s="2" t="n">
        <v>3</v>
      </c>
      <c r="G2490" s="4" t="n">
        <v>3</v>
      </c>
      <c r="H2490" s="13" t="n"/>
      <c r="I2490" s="15" t="n"/>
      <c r="J2490" s="19" t="n">
        <v>3</v>
      </c>
      <c r="K2490" s="2" t="inlineStr">
        <is>
          <t>marker_407_730957.png</t>
        </is>
      </c>
      <c r="L2490" s="11">
        <f>HYPERLINK("3\1\" &amp; K2490, "Ver Imagen")</f>
        <v/>
      </c>
      <c r="M2490" t="inlineStr">
        <is>
          <t>Moda</t>
        </is>
      </c>
    </row>
    <row r="2491">
      <c r="A2491" t="n">
        <v>2490</v>
      </c>
      <c r="B2491" t="inlineStr">
        <is>
          <t>A-490__10</t>
        </is>
      </c>
      <c r="C2491" s="1" t="n">
        <v>37.4471405666</v>
      </c>
      <c r="D2491" s="1" t="n">
        <v>-7.1287802785</v>
      </c>
      <c r="E2491" s="3" t="n">
        <v>2</v>
      </c>
      <c r="F2491" s="2" t="n">
        <v>3</v>
      </c>
      <c r="G2491" s="4" t="n">
        <v>3</v>
      </c>
      <c r="H2491" s="13" t="n"/>
      <c r="I2491" s="15" t="n"/>
      <c r="J2491" s="19" t="n">
        <v>3</v>
      </c>
      <c r="K2491" s="2" t="inlineStr">
        <is>
          <t>marker_175_725035.png</t>
        </is>
      </c>
      <c r="L2491" s="11">
        <f>HYPERLINK("3\1\" &amp; K2491, "Ver Imagen")</f>
        <v/>
      </c>
      <c r="M2491" t="inlineStr">
        <is>
          <t>Moda</t>
        </is>
      </c>
    </row>
    <row r="2492">
      <c r="A2492" t="n">
        <v>2491</v>
      </c>
      <c r="B2492" t="inlineStr">
        <is>
          <t>A-490__12</t>
        </is>
      </c>
      <c r="C2492" s="1" t="n">
        <v>37.4471486646</v>
      </c>
      <c r="D2492" s="1" t="n">
        <v>-7.12921895021</v>
      </c>
      <c r="E2492" s="3" t="n">
        <v>3</v>
      </c>
      <c r="F2492" s="2" t="n">
        <v>4</v>
      </c>
      <c r="G2492" s="4" t="n">
        <v>3</v>
      </c>
      <c r="H2492" s="13" t="n"/>
      <c r="I2492" s="15" t="n"/>
      <c r="J2492" s="19" t="n">
        <v>3</v>
      </c>
      <c r="K2492" s="2" t="inlineStr">
        <is>
          <t>marker_831_726118.png</t>
        </is>
      </c>
      <c r="L2492" s="11">
        <f>HYPERLINK("3\1\" &amp; K2492, "Ver Imagen")</f>
        <v/>
      </c>
      <c r="M2492" t="inlineStr">
        <is>
          <t>Moda</t>
        </is>
      </c>
    </row>
    <row r="2493">
      <c r="A2493" t="n">
        <v>2492</v>
      </c>
      <c r="B2493" t="inlineStr">
        <is>
          <t>A-490__13</t>
        </is>
      </c>
      <c r="C2493" s="1" t="n">
        <v>37.4471353383</v>
      </c>
      <c r="D2493" s="1" t="n">
        <v>-7.12951576879</v>
      </c>
      <c r="E2493" s="3" t="n">
        <v>3</v>
      </c>
      <c r="F2493" s="2" t="n">
        <v>4</v>
      </c>
      <c r="G2493" s="4" t="n">
        <v>3</v>
      </c>
      <c r="H2493" s="13" t="n"/>
      <c r="I2493" s="15" t="n"/>
      <c r="J2493" s="19" t="n">
        <v>3</v>
      </c>
      <c r="K2493" s="2" t="inlineStr">
        <is>
          <t>marker_467_728073.png</t>
        </is>
      </c>
      <c r="L2493" s="11">
        <f>HYPERLINK("3\1\" &amp; K2493, "Ver Imagen")</f>
        <v/>
      </c>
      <c r="M2493" t="inlineStr">
        <is>
          <t>Moda</t>
        </is>
      </c>
    </row>
    <row r="2494">
      <c r="A2494" t="n">
        <v>2493</v>
      </c>
      <c r="B2494" t="inlineStr">
        <is>
          <t>A-490__25</t>
        </is>
      </c>
      <c r="C2494" s="1" t="n">
        <v>37.446544814</v>
      </c>
      <c r="D2494" s="1" t="n">
        <v>-7.13244771598</v>
      </c>
      <c r="E2494" s="3" t="n">
        <v>3</v>
      </c>
      <c r="F2494" s="2" t="n">
        <v>4</v>
      </c>
      <c r="G2494" s="4" t="n">
        <v>3</v>
      </c>
      <c r="H2494" s="13" t="n"/>
      <c r="I2494" s="15" t="n"/>
      <c r="J2494" s="19" t="n">
        <v>3</v>
      </c>
      <c r="K2494" s="2" t="inlineStr">
        <is>
          <t>marker_219_730793.png</t>
        </is>
      </c>
      <c r="L2494" s="11">
        <f>HYPERLINK("3\1\" &amp; K2494, "Ver Imagen")</f>
        <v/>
      </c>
      <c r="M2494" t="inlineStr">
        <is>
          <t>Moda</t>
        </is>
      </c>
    </row>
    <row r="2495">
      <c r="A2495" t="n">
        <v>2494</v>
      </c>
      <c r="B2495" t="inlineStr">
        <is>
          <t>A-490__43</t>
        </is>
      </c>
      <c r="C2495" s="1" t="n">
        <v>37.4463036675</v>
      </c>
      <c r="D2495" s="1" t="n">
        <v>-7.13694729829</v>
      </c>
      <c r="E2495" s="3" t="n">
        <v>2</v>
      </c>
      <c r="F2495" s="2" t="n">
        <v>3</v>
      </c>
      <c r="G2495" s="4" t="n">
        <v>3</v>
      </c>
      <c r="H2495" s="13" t="n"/>
      <c r="I2495" s="15" t="n"/>
      <c r="J2495" s="19" t="n">
        <v>3</v>
      </c>
      <c r="K2495" s="2" t="inlineStr">
        <is>
          <t>marker_105_731262.png</t>
        </is>
      </c>
      <c r="L2495" s="11">
        <f>HYPERLINK("3\1\" &amp; K2495, "Ver Imagen")</f>
        <v/>
      </c>
      <c r="M2495" t="inlineStr">
        <is>
          <t>Moda</t>
        </is>
      </c>
    </row>
    <row r="2496">
      <c r="A2496" t="n">
        <v>2495</v>
      </c>
      <c r="B2496" t="inlineStr">
        <is>
          <t>A-490__44</t>
        </is>
      </c>
      <c r="C2496" s="1" t="n">
        <v>37.4463796774</v>
      </c>
      <c r="D2496" s="1" t="n">
        <v>-7.13720809715</v>
      </c>
      <c r="E2496" s="3" t="n">
        <v>3</v>
      </c>
      <c r="F2496" s="2" t="n">
        <v>4</v>
      </c>
      <c r="G2496" s="4" t="n">
        <v>3</v>
      </c>
      <c r="H2496" s="13" t="n"/>
      <c r="I2496" s="15" t="n"/>
      <c r="J2496" s="19" t="n">
        <v>3</v>
      </c>
      <c r="K2496" s="2" t="inlineStr">
        <is>
          <t>marker_343_731292.png</t>
        </is>
      </c>
      <c r="L2496" s="11">
        <f>HYPERLINK("3\1\" &amp; K2496, "Ver Imagen")</f>
        <v/>
      </c>
      <c r="M2496" t="inlineStr">
        <is>
          <t>Moda</t>
        </is>
      </c>
    </row>
    <row r="2497">
      <c r="A2497" t="n">
        <v>2496</v>
      </c>
      <c r="B2497" t="inlineStr">
        <is>
          <t>A-490__45</t>
        </is>
      </c>
      <c r="C2497" s="1" t="n">
        <v>37.4464414899</v>
      </c>
      <c r="D2497" s="1" t="n">
        <v>-7.13741332873</v>
      </c>
      <c r="E2497" s="3" t="n">
        <v>2</v>
      </c>
      <c r="F2497" s="2" t="n">
        <v>3</v>
      </c>
      <c r="G2497" s="4" t="n">
        <v>3</v>
      </c>
      <c r="H2497" s="13" t="n"/>
      <c r="I2497" s="15" t="n"/>
      <c r="J2497" s="19" t="n">
        <v>3</v>
      </c>
      <c r="K2497" s="2" t="inlineStr">
        <is>
          <t>marker_761_731313.png</t>
        </is>
      </c>
      <c r="L2497" s="11">
        <f>HYPERLINK("3\1\" &amp; K2497, "Ver Imagen")</f>
        <v/>
      </c>
      <c r="M2497" t="inlineStr">
        <is>
          <t>Moda</t>
        </is>
      </c>
    </row>
    <row r="2498">
      <c r="A2498" t="n">
        <v>2497</v>
      </c>
      <c r="B2498" t="inlineStr">
        <is>
          <t>A-490__46</t>
        </is>
      </c>
      <c r="C2498" s="1" t="n">
        <v>37.4465249974</v>
      </c>
      <c r="D2498" s="1" t="n">
        <v>-7.13769539763</v>
      </c>
      <c r="E2498" s="3" t="n">
        <v>2</v>
      </c>
      <c r="F2498" s="2" t="n">
        <v>3</v>
      </c>
      <c r="G2498" s="4" t="n">
        <v>3</v>
      </c>
      <c r="H2498" s="13" t="n"/>
      <c r="I2498" s="15" t="n"/>
      <c r="J2498" s="19" t="n">
        <v>3</v>
      </c>
      <c r="K2498" s="2" t="inlineStr">
        <is>
          <t>marker_359_731353.png</t>
        </is>
      </c>
      <c r="L2498" s="11">
        <f>HYPERLINK("3\1\" &amp; K2498, "Ver Imagen")</f>
        <v/>
      </c>
      <c r="M2498" t="inlineStr">
        <is>
          <t>Moda</t>
        </is>
      </c>
    </row>
    <row r="2499">
      <c r="A2499" t="n">
        <v>2498</v>
      </c>
      <c r="B2499" t="inlineStr">
        <is>
          <t>A-490__75</t>
        </is>
      </c>
      <c r="C2499" s="1" t="n">
        <v>37.4485485196</v>
      </c>
      <c r="D2499" s="1" t="n">
        <v>-7.14444604187</v>
      </c>
      <c r="E2499" s="3" t="n">
        <v>2</v>
      </c>
      <c r="F2499" s="2" t="n">
        <v>3</v>
      </c>
      <c r="G2499" s="4" t="n">
        <v>3</v>
      </c>
      <c r="H2499" s="13" t="n"/>
      <c r="I2499" s="15" t="n"/>
      <c r="J2499" s="19" t="n">
        <v>3</v>
      </c>
      <c r="K2499" s="2" t="inlineStr">
        <is>
          <t>marker_838_738462.png</t>
        </is>
      </c>
      <c r="L2499" s="11">
        <f>HYPERLINK("3\1\" &amp; K2499, "Ver Imagen")</f>
        <v/>
      </c>
      <c r="M2499" t="inlineStr">
        <is>
          <t>Moda</t>
        </is>
      </c>
    </row>
    <row r="2500">
      <c r="A2500" t="n">
        <v>2499</v>
      </c>
      <c r="B2500" t="inlineStr">
        <is>
          <t>A-490__85</t>
        </is>
      </c>
      <c r="C2500" s="1" t="n">
        <v>37.4486749891</v>
      </c>
      <c r="D2500" s="1" t="n">
        <v>-7.14698081291</v>
      </c>
      <c r="E2500" s="3" t="n">
        <v>3</v>
      </c>
      <c r="F2500" s="2" t="n">
        <v>3</v>
      </c>
      <c r="G2500" s="4" t="n">
        <v>4</v>
      </c>
      <c r="H2500" s="13" t="n"/>
      <c r="I2500" s="15" t="n"/>
      <c r="J2500" s="19" t="n">
        <v>3</v>
      </c>
      <c r="K2500" s="2" t="inlineStr">
        <is>
          <t>marker_577_738784.png</t>
        </is>
      </c>
      <c r="L2500" s="11">
        <f>HYPERLINK("3\1\" &amp; K2500, "Ver Imagen")</f>
        <v/>
      </c>
      <c r="M2500" t="inlineStr">
        <is>
          <t>Moda</t>
        </is>
      </c>
    </row>
    <row r="2501">
      <c r="A2501" t="n">
        <v>2500</v>
      </c>
      <c r="B2501" t="inlineStr">
        <is>
          <t>A-490__92</t>
        </is>
      </c>
      <c r="C2501" s="1" t="n">
        <v>37.4487690014</v>
      </c>
      <c r="D2501" s="1" t="n">
        <v>-7.14874729503</v>
      </c>
      <c r="E2501" s="3" t="n">
        <v>2</v>
      </c>
      <c r="F2501" s="2" t="n">
        <v>3</v>
      </c>
      <c r="G2501" s="4" t="n">
        <v>3</v>
      </c>
      <c r="H2501" s="13" t="n"/>
      <c r="I2501" s="15" t="n"/>
      <c r="J2501" s="19" t="n">
        <v>3</v>
      </c>
      <c r="K2501" s="2" t="inlineStr">
        <is>
          <t>marker_921_739013.png</t>
        </is>
      </c>
      <c r="L2501" s="11">
        <f>HYPERLINK("3\1\" &amp; K2501, "Ver Imagen")</f>
        <v/>
      </c>
      <c r="M2501" t="inlineStr">
        <is>
          <t>Moda</t>
        </is>
      </c>
    </row>
    <row r="2502">
      <c r="A2502" t="n">
        <v>2501</v>
      </c>
      <c r="B2502" t="inlineStr">
        <is>
          <t>A-490__107</t>
        </is>
      </c>
      <c r="C2502" s="1" t="n">
        <v>37.4499665055</v>
      </c>
      <c r="D2502" s="1" t="n">
        <v>-7.15220664195</v>
      </c>
      <c r="E2502" s="3" t="n">
        <v>2</v>
      </c>
      <c r="F2502" s="2" t="n">
        <v>3</v>
      </c>
      <c r="G2502" s="4" t="n">
        <v>3</v>
      </c>
      <c r="H2502" s="13" t="n"/>
      <c r="I2502" s="15" t="n"/>
      <c r="J2502" s="19" t="n">
        <v>3</v>
      </c>
      <c r="K2502" s="2" t="inlineStr">
        <is>
          <t>marker_535_739693.png</t>
        </is>
      </c>
      <c r="L2502" s="11">
        <f>HYPERLINK("3\1\" &amp; K2502, "Ver Imagen")</f>
        <v/>
      </c>
      <c r="M2502" t="inlineStr">
        <is>
          <t>Moda</t>
        </is>
      </c>
    </row>
    <row r="2503">
      <c r="A2503" t="n">
        <v>2502</v>
      </c>
      <c r="B2503" t="inlineStr">
        <is>
          <t>A-490__108</t>
        </is>
      </c>
      <c r="C2503" s="1" t="n">
        <v>37.4500597122</v>
      </c>
      <c r="D2503" s="1" t="n">
        <v>-7.15235843595</v>
      </c>
      <c r="E2503" s="3" t="n">
        <v>2</v>
      </c>
      <c r="F2503" s="2" t="n">
        <v>3</v>
      </c>
      <c r="G2503" s="4" t="n">
        <v>3</v>
      </c>
      <c r="H2503" s="13" t="n"/>
      <c r="I2503" s="15" t="n"/>
      <c r="J2503" s="19" t="n">
        <v>3</v>
      </c>
      <c r="K2503" s="2" t="inlineStr">
        <is>
          <t>marker_248_739710.png</t>
        </is>
      </c>
      <c r="L2503" s="11">
        <f>HYPERLINK("3\1\" &amp; K2503, "Ver Imagen")</f>
        <v/>
      </c>
      <c r="M2503" t="inlineStr">
        <is>
          <t>Moda</t>
        </is>
      </c>
    </row>
    <row r="2504">
      <c r="A2504" t="n">
        <v>2503</v>
      </c>
      <c r="B2504" t="inlineStr">
        <is>
          <t>A-490__135</t>
        </is>
      </c>
      <c r="C2504" s="1" t="n">
        <v>37.4520857267</v>
      </c>
      <c r="D2504" s="1" t="n">
        <v>-7.15869003498</v>
      </c>
      <c r="E2504" s="3" t="n">
        <v>2</v>
      </c>
      <c r="F2504" s="2" t="n">
        <v>3</v>
      </c>
      <c r="G2504" s="4" t="n">
        <v>3</v>
      </c>
      <c r="H2504" s="13" t="n"/>
      <c r="I2504" s="15" t="n"/>
      <c r="J2504" s="19" t="n">
        <v>3</v>
      </c>
      <c r="K2504" s="2" t="inlineStr">
        <is>
          <t>marker_796_740338.png</t>
        </is>
      </c>
      <c r="L2504" s="11">
        <f>HYPERLINK("3\1\" &amp; K2504, "Ver Imagen")</f>
        <v/>
      </c>
      <c r="M2504" t="inlineStr">
        <is>
          <t>Moda</t>
        </is>
      </c>
    </row>
    <row r="2505">
      <c r="A2505" t="n">
        <v>2504</v>
      </c>
      <c r="B2505" t="inlineStr">
        <is>
          <t>A-490__152</t>
        </is>
      </c>
      <c r="C2505" s="1" t="n">
        <v>37.4533853426</v>
      </c>
      <c r="D2505" s="1" t="n">
        <v>-7.16255661864</v>
      </c>
      <c r="E2505" s="3" t="n">
        <v>2</v>
      </c>
      <c r="F2505" s="2" t="n">
        <v>3</v>
      </c>
      <c r="G2505" s="4" t="n">
        <v>3</v>
      </c>
      <c r="H2505" s="13" t="n"/>
      <c r="I2505" s="15" t="n"/>
      <c r="J2505" s="19" t="n">
        <v>3</v>
      </c>
      <c r="K2505" s="2" t="inlineStr">
        <is>
          <t>marker_497_740796.png</t>
        </is>
      </c>
      <c r="L2505" s="11">
        <f>HYPERLINK("3\1\" &amp; K2505, "Ver Imagen")</f>
        <v/>
      </c>
      <c r="M2505" t="inlineStr">
        <is>
          <t>Moda</t>
        </is>
      </c>
    </row>
    <row r="2506">
      <c r="A2506" t="n">
        <v>2505</v>
      </c>
      <c r="B2506" t="inlineStr">
        <is>
          <t>A-490__154</t>
        </is>
      </c>
      <c r="C2506" s="1" t="n">
        <v>37.4536132331</v>
      </c>
      <c r="D2506" s="1" t="n">
        <v>-7.1630079387</v>
      </c>
      <c r="E2506" s="3" t="n">
        <v>2</v>
      </c>
      <c r="F2506" s="2" t="n">
        <v>3</v>
      </c>
      <c r="G2506" s="4" t="n">
        <v>3</v>
      </c>
      <c r="H2506" s="13" t="n"/>
      <c r="I2506" s="15" t="n"/>
      <c r="J2506" s="19" t="n">
        <v>3</v>
      </c>
      <c r="K2506" s="2" t="inlineStr">
        <is>
          <t>marker_149_740862.png</t>
        </is>
      </c>
      <c r="L2506" s="11">
        <f>HYPERLINK("3\1\" &amp; K2506, "Ver Imagen")</f>
        <v/>
      </c>
      <c r="M2506" t="inlineStr">
        <is>
          <t>Moda</t>
        </is>
      </c>
    </row>
    <row r="2507">
      <c r="A2507" t="n">
        <v>2506</v>
      </c>
      <c r="B2507" t="inlineStr">
        <is>
          <t>A-490__155</t>
        </is>
      </c>
      <c r="C2507" s="1" t="n">
        <v>37.453746182</v>
      </c>
      <c r="D2507" s="1" t="n">
        <v>-7.16326490995</v>
      </c>
      <c r="E2507" s="3" t="n">
        <v>2</v>
      </c>
      <c r="F2507" s="2" t="n">
        <v>3</v>
      </c>
      <c r="G2507" s="4" t="n">
        <v>3</v>
      </c>
      <c r="H2507" s="13" t="n"/>
      <c r="I2507" s="15" t="n"/>
      <c r="J2507" s="19" t="n">
        <v>3</v>
      </c>
      <c r="K2507" s="2" t="inlineStr">
        <is>
          <t>marker_194_740878.png</t>
        </is>
      </c>
      <c r="L2507" s="11">
        <f>HYPERLINK("3\1\" &amp; K2507, "Ver Imagen")</f>
        <v/>
      </c>
      <c r="M2507" t="inlineStr">
        <is>
          <t>Moda</t>
        </is>
      </c>
    </row>
    <row r="2508">
      <c r="A2508" t="n">
        <v>2507</v>
      </c>
      <c r="B2508" t="inlineStr">
        <is>
          <t>A-490__167</t>
        </is>
      </c>
      <c r="C2508" s="1" t="n">
        <v>37.4551310698</v>
      </c>
      <c r="D2508" s="1" t="n">
        <v>-7.16573617978</v>
      </c>
      <c r="E2508" s="3" t="n">
        <v>2</v>
      </c>
      <c r="F2508" s="2" t="n">
        <v>3</v>
      </c>
      <c r="G2508" s="4" t="n">
        <v>3</v>
      </c>
      <c r="H2508" s="13" t="n"/>
      <c r="I2508" s="15" t="n"/>
      <c r="J2508" s="19" t="n">
        <v>3</v>
      </c>
      <c r="K2508" s="2" t="inlineStr">
        <is>
          <t>marker_371_741405.png</t>
        </is>
      </c>
      <c r="L2508" s="11">
        <f>HYPERLINK("3\1\" &amp; K2508, "Ver Imagen")</f>
        <v/>
      </c>
      <c r="M2508" t="inlineStr">
        <is>
          <t>Moda</t>
        </is>
      </c>
    </row>
    <row r="2509">
      <c r="A2509" t="n">
        <v>2508</v>
      </c>
      <c r="B2509" t="inlineStr">
        <is>
          <t>A-490__172</t>
        </is>
      </c>
      <c r="C2509" s="1" t="n">
        <v>37.4558259587</v>
      </c>
      <c r="D2509" s="1" t="n">
        <v>-7.16658490279</v>
      </c>
      <c r="E2509" s="3" t="n">
        <v>2</v>
      </c>
      <c r="F2509" s="2" t="n">
        <v>3</v>
      </c>
      <c r="G2509" s="4" t="n">
        <v>3</v>
      </c>
      <c r="H2509" s="13" t="n"/>
      <c r="I2509" s="15" t="n"/>
      <c r="J2509" s="19" t="n">
        <v>3</v>
      </c>
      <c r="K2509" s="2" t="inlineStr">
        <is>
          <t>marker_873_741529.png</t>
        </is>
      </c>
      <c r="L2509" s="11">
        <f>HYPERLINK("3\1\" &amp; K2509, "Ver Imagen")</f>
        <v/>
      </c>
      <c r="M2509" t="inlineStr">
        <is>
          <t>Moda</t>
        </is>
      </c>
    </row>
    <row r="2510">
      <c r="A2510" t="n">
        <v>2509</v>
      </c>
      <c r="B2510" t="inlineStr">
        <is>
          <t>A-490__176</t>
        </is>
      </c>
      <c r="C2510" s="1" t="n">
        <v>37.4564175002</v>
      </c>
      <c r="D2510" s="1" t="n">
        <v>-7.16731143002</v>
      </c>
      <c r="E2510" s="3" t="n">
        <v>2</v>
      </c>
      <c r="F2510" s="2" t="n">
        <v>3</v>
      </c>
      <c r="G2510" s="4" t="n">
        <v>3</v>
      </c>
      <c r="H2510" s="13" t="n"/>
      <c r="I2510" s="15" t="n"/>
      <c r="J2510" s="19" t="n">
        <v>3</v>
      </c>
      <c r="K2510" s="2" t="inlineStr">
        <is>
          <t>marker_291_741629.png</t>
        </is>
      </c>
      <c r="L2510" s="11">
        <f>HYPERLINK("3\1\" &amp; K2510, "Ver Imagen")</f>
        <v/>
      </c>
      <c r="M2510" t="inlineStr">
        <is>
          <t>Moda</t>
        </is>
      </c>
    </row>
    <row r="2511">
      <c r="A2511" t="n">
        <v>2510</v>
      </c>
      <c r="B2511" t="inlineStr">
        <is>
          <t>A-490__177</t>
        </is>
      </c>
      <c r="C2511" s="1" t="n">
        <v>37.4566640316</v>
      </c>
      <c r="D2511" s="1" t="n">
        <v>-7.16761884108</v>
      </c>
      <c r="E2511" s="3" t="n">
        <v>2</v>
      </c>
      <c r="F2511" s="2" t="n">
        <v>3</v>
      </c>
      <c r="G2511" s="4" t="n">
        <v>3</v>
      </c>
      <c r="H2511" s="13" t="n"/>
      <c r="I2511" s="15" t="n"/>
      <c r="J2511" s="19" t="n">
        <v>3</v>
      </c>
      <c r="K2511" s="2" t="inlineStr">
        <is>
          <t>marker_256_741685.png</t>
        </is>
      </c>
      <c r="L2511" s="11">
        <f>HYPERLINK("3\1\" &amp; K2511, "Ver Imagen")</f>
        <v/>
      </c>
      <c r="M2511" t="inlineStr">
        <is>
          <t>Moda</t>
        </is>
      </c>
    </row>
    <row r="2512">
      <c r="A2512" t="n">
        <v>2511</v>
      </c>
      <c r="B2512" t="inlineStr">
        <is>
          <t>A-490__182</t>
        </is>
      </c>
      <c r="C2512" s="1" t="n">
        <v>37.4572703121</v>
      </c>
      <c r="D2512" s="1" t="n">
        <v>-7.16837137221</v>
      </c>
      <c r="E2512" s="3" t="n">
        <v>2</v>
      </c>
      <c r="F2512" s="2" t="n">
        <v>3</v>
      </c>
      <c r="G2512" s="4" t="n">
        <v>3</v>
      </c>
      <c r="H2512" s="13" t="n"/>
      <c r="I2512" s="15" t="n"/>
      <c r="J2512" s="19" t="n">
        <v>3</v>
      </c>
      <c r="K2512" s="2" t="inlineStr">
        <is>
          <t>marker_798_741847.png</t>
        </is>
      </c>
      <c r="L2512" s="11">
        <f>HYPERLINK("3\1\" &amp; K2512, "Ver Imagen")</f>
        <v/>
      </c>
      <c r="M2512" t="inlineStr">
        <is>
          <t>Moda</t>
        </is>
      </c>
    </row>
    <row r="2513">
      <c r="A2513" t="n">
        <v>2512</v>
      </c>
      <c r="B2513" t="inlineStr">
        <is>
          <t>A-490__185</t>
        </is>
      </c>
      <c r="C2513" s="1" t="n">
        <v>37.4577083208</v>
      </c>
      <c r="D2513" s="1" t="n">
        <v>-7.16890698208</v>
      </c>
      <c r="E2513" s="3" t="n">
        <v>2</v>
      </c>
      <c r="F2513" s="2" t="n">
        <v>3</v>
      </c>
      <c r="G2513" s="4" t="n">
        <v>3</v>
      </c>
      <c r="H2513" s="13" t="n"/>
      <c r="I2513" s="15" t="n"/>
      <c r="J2513" s="19" t="n">
        <v>3</v>
      </c>
      <c r="K2513" s="2" t="inlineStr">
        <is>
          <t>marker_370_741932.png</t>
        </is>
      </c>
      <c r="L2513" s="11">
        <f>HYPERLINK("3\1\" &amp; K2513, "Ver Imagen")</f>
        <v/>
      </c>
      <c r="M2513" t="inlineStr">
        <is>
          <t>Moda</t>
        </is>
      </c>
    </row>
    <row r="2514">
      <c r="A2514" t="n">
        <v>2513</v>
      </c>
      <c r="B2514" t="inlineStr">
        <is>
          <t>A-490__188</t>
        </is>
      </c>
      <c r="C2514" s="1" t="n">
        <v>37.4581458901</v>
      </c>
      <c r="D2514" s="1" t="n">
        <v>-7.16944476619</v>
      </c>
      <c r="E2514" s="3" t="n">
        <v>2</v>
      </c>
      <c r="F2514" s="2" t="n">
        <v>3</v>
      </c>
      <c r="G2514" s="4" t="n">
        <v>3</v>
      </c>
      <c r="H2514" s="13" t="n"/>
      <c r="I2514" s="15" t="n"/>
      <c r="J2514" s="19" t="n">
        <v>3</v>
      </c>
      <c r="K2514" s="2" t="inlineStr">
        <is>
          <t>marker_674_742002.png</t>
        </is>
      </c>
      <c r="L2514" s="11">
        <f>HYPERLINK("3\1\" &amp; K2514, "Ver Imagen")</f>
        <v/>
      </c>
      <c r="M2514" t="inlineStr">
        <is>
          <t>Moda</t>
        </is>
      </c>
    </row>
    <row r="2515">
      <c r="A2515" t="n">
        <v>2514</v>
      </c>
      <c r="B2515" t="inlineStr">
        <is>
          <t>A-490__197</t>
        </is>
      </c>
      <c r="C2515" s="1" t="n">
        <v>37.4594551724</v>
      </c>
      <c r="D2515" s="1" t="n">
        <v>-7.17105096792</v>
      </c>
      <c r="E2515" s="3" t="n">
        <v>2</v>
      </c>
      <c r="F2515" s="2" t="n">
        <v>3</v>
      </c>
      <c r="G2515" s="4" t="n">
        <v>3</v>
      </c>
      <c r="H2515" s="13" t="n"/>
      <c r="I2515" s="15" t="n"/>
      <c r="J2515" s="19" t="n">
        <v>3</v>
      </c>
      <c r="K2515" s="2" t="inlineStr">
        <is>
          <t>marker_673_742243.png</t>
        </is>
      </c>
      <c r="L2515" s="11">
        <f>HYPERLINK("3\1\" &amp; K2515, "Ver Imagen")</f>
        <v/>
      </c>
      <c r="M2515" t="inlineStr">
        <is>
          <t>Moda</t>
        </is>
      </c>
    </row>
    <row r="2516">
      <c r="A2516" t="n">
        <v>2515</v>
      </c>
      <c r="B2516" t="inlineStr">
        <is>
          <t>A-490__204</t>
        </is>
      </c>
      <c r="C2516" s="1" t="n">
        <v>37.4603390436</v>
      </c>
      <c r="D2516" s="1" t="n">
        <v>-7.17239397711</v>
      </c>
      <c r="E2516" s="3" t="n">
        <v>2</v>
      </c>
      <c r="F2516" s="2" t="n">
        <v>3</v>
      </c>
      <c r="G2516" s="4" t="n">
        <v>3</v>
      </c>
      <c r="H2516" s="13" t="n"/>
      <c r="I2516" s="15" t="n"/>
      <c r="J2516" s="19" t="n">
        <v>3</v>
      </c>
      <c r="K2516" s="2" t="inlineStr">
        <is>
          <t>marker_193_742465.png</t>
        </is>
      </c>
      <c r="L2516" s="11">
        <f>HYPERLINK("3\1\" &amp; K2516, "Ver Imagen")</f>
        <v/>
      </c>
      <c r="M2516" t="inlineStr">
        <is>
          <t>Moda</t>
        </is>
      </c>
    </row>
    <row r="2517">
      <c r="A2517" t="n">
        <v>2516</v>
      </c>
      <c r="B2517" t="inlineStr">
        <is>
          <t>A-490__210</t>
        </is>
      </c>
      <c r="C2517" s="1" t="n">
        <v>37.461122651</v>
      </c>
      <c r="D2517" s="1" t="n">
        <v>-7.17368406464</v>
      </c>
      <c r="E2517" s="3" t="n">
        <v>2</v>
      </c>
      <c r="F2517" s="2" t="n">
        <v>3</v>
      </c>
      <c r="G2517" s="4" t="n">
        <v>3</v>
      </c>
      <c r="H2517" s="13" t="n"/>
      <c r="I2517" s="15" t="n"/>
      <c r="J2517" s="19" t="n">
        <v>3</v>
      </c>
      <c r="K2517" s="2" t="inlineStr">
        <is>
          <t>marker_877_742670.png</t>
        </is>
      </c>
      <c r="L2517" s="11">
        <f>HYPERLINK("3\1\" &amp; K2517, "Ver Imagen")</f>
        <v/>
      </c>
      <c r="M2517" t="inlineStr">
        <is>
          <t>Moda</t>
        </is>
      </c>
    </row>
    <row r="2518">
      <c r="A2518" t="n">
        <v>2517</v>
      </c>
      <c r="B2518" t="inlineStr">
        <is>
          <t>A-490__211</t>
        </is>
      </c>
      <c r="C2518" s="1" t="n">
        <v>37.4612177877</v>
      </c>
      <c r="D2518" s="1" t="n">
        <v>-7.17384179785</v>
      </c>
      <c r="E2518" s="3" t="n">
        <v>2</v>
      </c>
      <c r="F2518" s="2" t="n">
        <v>3</v>
      </c>
      <c r="G2518" s="4" t="n">
        <v>3</v>
      </c>
      <c r="H2518" s="13" t="n"/>
      <c r="I2518" s="15" t="n"/>
      <c r="J2518" s="19" t="n">
        <v>3</v>
      </c>
      <c r="K2518" s="2" t="inlineStr">
        <is>
          <t>marker_377_742718.png</t>
        </is>
      </c>
      <c r="L2518" s="11">
        <f>HYPERLINK("3\1\" &amp; K2518, "Ver Imagen")</f>
        <v/>
      </c>
      <c r="M2518" t="inlineStr">
        <is>
          <t>Moda</t>
        </is>
      </c>
    </row>
    <row r="2519">
      <c r="A2519" t="n">
        <v>2518</v>
      </c>
      <c r="B2519" t="inlineStr">
        <is>
          <t>A-490__212</t>
        </is>
      </c>
      <c r="C2519" s="1" t="n">
        <v>37.461325625</v>
      </c>
      <c r="D2519" s="1" t="n">
        <v>-7.17402091206</v>
      </c>
      <c r="E2519" s="3" t="n">
        <v>2</v>
      </c>
      <c r="F2519" s="2" t="n">
        <v>3</v>
      </c>
      <c r="G2519" s="4" t="n">
        <v>3</v>
      </c>
      <c r="H2519" s="13" t="n"/>
      <c r="I2519" s="15" t="n"/>
      <c r="J2519" s="19" t="n">
        <v>3</v>
      </c>
      <c r="K2519" s="2" t="inlineStr">
        <is>
          <t>marker_584_742745.png</t>
        </is>
      </c>
      <c r="L2519" s="11">
        <f>HYPERLINK("3\1\" &amp; K2519, "Ver Imagen")</f>
        <v/>
      </c>
      <c r="M2519" t="inlineStr">
        <is>
          <t>Moda</t>
        </is>
      </c>
    </row>
    <row r="2520">
      <c r="A2520" t="n">
        <v>2519</v>
      </c>
      <c r="B2520" t="inlineStr">
        <is>
          <t>A-490__219</t>
        </is>
      </c>
      <c r="C2520" s="1" t="n">
        <v>37.4622256926</v>
      </c>
      <c r="D2520" s="1" t="n">
        <v>-7.17550124687</v>
      </c>
      <c r="E2520" s="3" t="n">
        <v>2</v>
      </c>
      <c r="F2520" s="2" t="n">
        <v>3</v>
      </c>
      <c r="G2520" s="4" t="n">
        <v>3</v>
      </c>
      <c r="H2520" s="13" t="n"/>
      <c r="I2520" s="15" t="n"/>
      <c r="J2520" s="19" t="n">
        <v>3</v>
      </c>
      <c r="K2520" s="2" t="inlineStr">
        <is>
          <t>marker_548_743338.png</t>
        </is>
      </c>
      <c r="L2520" s="11">
        <f>HYPERLINK("3\1\" &amp; K2520, "Ver Imagen")</f>
        <v/>
      </c>
      <c r="M2520" t="inlineStr">
        <is>
          <t>Moda</t>
        </is>
      </c>
    </row>
    <row r="2521">
      <c r="A2521" t="n">
        <v>2520</v>
      </c>
      <c r="B2521" t="inlineStr">
        <is>
          <t>A-490__232</t>
        </is>
      </c>
      <c r="C2521" s="1" t="n">
        <v>37.4637597756</v>
      </c>
      <c r="D2521" s="1" t="n">
        <v>-7.17806259869</v>
      </c>
      <c r="E2521" s="3" t="n">
        <v>2</v>
      </c>
      <c r="F2521" s="2" t="n">
        <v>3</v>
      </c>
      <c r="G2521" s="4" t="n">
        <v>3</v>
      </c>
      <c r="H2521" s="13" t="n"/>
      <c r="I2521" s="15" t="n"/>
      <c r="J2521" s="19" t="n">
        <v>3</v>
      </c>
      <c r="K2521" s="2" t="inlineStr">
        <is>
          <t>marker_892_743885.png</t>
        </is>
      </c>
      <c r="L2521" s="11">
        <f>HYPERLINK("3\1\" &amp; K2521, "Ver Imagen")</f>
        <v/>
      </c>
      <c r="M2521" t="inlineStr">
        <is>
          <t>Moda</t>
        </is>
      </c>
    </row>
    <row r="2522">
      <c r="A2522" t="n">
        <v>2521</v>
      </c>
      <c r="B2522" t="inlineStr">
        <is>
          <t>A-490__234</t>
        </is>
      </c>
      <c r="C2522" s="1" t="n">
        <v>37.4640438239</v>
      </c>
      <c r="D2522" s="1" t="n">
        <v>-7.17859728438</v>
      </c>
      <c r="E2522" s="3" t="n">
        <v>2</v>
      </c>
      <c r="F2522" s="2" t="n">
        <v>3</v>
      </c>
      <c r="G2522" s="4" t="n">
        <v>3</v>
      </c>
      <c r="H2522" s="13" t="n"/>
      <c r="I2522" s="15" t="n"/>
      <c r="J2522" s="19" t="n">
        <v>3</v>
      </c>
      <c r="K2522" s="2" t="inlineStr">
        <is>
          <t>marker_683_743933.png</t>
        </is>
      </c>
      <c r="L2522" s="11">
        <f>HYPERLINK("3\1\" &amp; K2522, "Ver Imagen")</f>
        <v/>
      </c>
      <c r="M2522" t="inlineStr">
        <is>
          <t>Moda</t>
        </is>
      </c>
    </row>
    <row r="2523">
      <c r="A2523" t="n">
        <v>2522</v>
      </c>
      <c r="B2523" t="inlineStr">
        <is>
          <t>A-490__244</t>
        </is>
      </c>
      <c r="C2523" s="1" t="n">
        <v>37.4651683935</v>
      </c>
      <c r="D2523" s="1" t="n">
        <v>-7.18062079121</v>
      </c>
      <c r="E2523" s="3" t="n">
        <v>2</v>
      </c>
      <c r="F2523" s="2" t="n">
        <v>3</v>
      </c>
      <c r="G2523" s="4" t="n">
        <v>3</v>
      </c>
      <c r="H2523" s="13" t="n"/>
      <c r="I2523" s="15" t="n"/>
      <c r="J2523" s="19" t="n">
        <v>3</v>
      </c>
      <c r="K2523" s="2" t="inlineStr">
        <is>
          <t>marker_474_749376.png</t>
        </is>
      </c>
      <c r="L2523" s="11">
        <f>HYPERLINK("3\1\" &amp; K2523, "Ver Imagen")</f>
        <v/>
      </c>
      <c r="M2523" t="inlineStr">
        <is>
          <t>Moda</t>
        </is>
      </c>
    </row>
    <row r="2524">
      <c r="A2524" t="n">
        <v>2523</v>
      </c>
      <c r="B2524" t="inlineStr">
        <is>
          <t>A-490__255</t>
        </is>
      </c>
      <c r="C2524" s="1" t="n">
        <v>37.4664162064</v>
      </c>
      <c r="D2524" s="1" t="n">
        <v>-7.18294734852</v>
      </c>
      <c r="E2524" s="3" t="n">
        <v>2</v>
      </c>
      <c r="F2524" s="2" t="n">
        <v>3</v>
      </c>
      <c r="G2524" s="4" t="n">
        <v>3</v>
      </c>
      <c r="H2524" s="13" t="n"/>
      <c r="I2524" s="15" t="n"/>
      <c r="J2524" s="19" t="n">
        <v>3</v>
      </c>
      <c r="K2524" s="2" t="inlineStr">
        <is>
          <t>marker_300_749612.png</t>
        </is>
      </c>
      <c r="L2524" s="11">
        <f>HYPERLINK("3\1\" &amp; K2524, "Ver Imagen")</f>
        <v/>
      </c>
      <c r="M2524" t="inlineStr">
        <is>
          <t>Moda</t>
        </is>
      </c>
    </row>
    <row r="2525">
      <c r="A2525" t="n">
        <v>2524</v>
      </c>
      <c r="B2525" t="inlineStr">
        <is>
          <t>A-490__95</t>
        </is>
      </c>
      <c r="C2525" s="1" t="n">
        <v>37.4488811025</v>
      </c>
      <c r="D2525" s="1" t="n">
        <v>-7.14948149502</v>
      </c>
      <c r="E2525" s="3" t="n">
        <v>4</v>
      </c>
      <c r="F2525" s="2" t="n">
        <v>3</v>
      </c>
      <c r="G2525" s="4" t="n">
        <v>3</v>
      </c>
      <c r="H2525" s="13" t="n"/>
      <c r="I2525" s="15" t="n"/>
      <c r="J2525" s="19" t="n">
        <v>3</v>
      </c>
      <c r="K2525" s="2" t="inlineStr">
        <is>
          <t>marker_640_739071.png</t>
        </is>
      </c>
      <c r="L2525" s="11">
        <f>HYPERLINK("3\1\" &amp; K2525, "Ver Imagen")</f>
        <v/>
      </c>
      <c r="M2525" t="inlineStr">
        <is>
          <t>Moda</t>
        </is>
      </c>
    </row>
    <row r="2526">
      <c r="A2526" t="n">
        <v>2525</v>
      </c>
      <c r="B2526" t="inlineStr">
        <is>
          <t>A-490__358</t>
        </is>
      </c>
      <c r="C2526" s="1" t="n">
        <v>37.4776566871</v>
      </c>
      <c r="D2526" s="1" t="n">
        <v>-7.20490560856</v>
      </c>
      <c r="E2526" s="3" t="n">
        <v>2</v>
      </c>
      <c r="F2526" s="2" t="n">
        <v>3</v>
      </c>
      <c r="G2526" s="4" t="n">
        <v>3</v>
      </c>
      <c r="H2526" s="13" t="n"/>
      <c r="I2526" s="15" t="n"/>
      <c r="J2526" s="19" t="n">
        <v>3</v>
      </c>
      <c r="K2526" s="2" t="inlineStr">
        <is>
          <t>marker_947_751841.png</t>
        </is>
      </c>
      <c r="L2526" s="11">
        <f>HYPERLINK("3\1\" &amp; K2526, "Ver Imagen")</f>
        <v/>
      </c>
      <c r="M2526" t="inlineStr">
        <is>
          <t>Moda</t>
        </is>
      </c>
    </row>
    <row r="2527">
      <c r="A2527" t="n">
        <v>2526</v>
      </c>
      <c r="B2527" t="inlineStr">
        <is>
          <t>A-490__367</t>
        </is>
      </c>
      <c r="C2527" s="1" t="n">
        <v>37.4785016935</v>
      </c>
      <c r="D2527" s="1" t="n">
        <v>-7.20687970571</v>
      </c>
      <c r="E2527" s="3" t="n">
        <v>2</v>
      </c>
      <c r="F2527" s="2" t="n">
        <v>3</v>
      </c>
      <c r="G2527" s="4" t="n">
        <v>3</v>
      </c>
      <c r="H2527" s="13" t="n"/>
      <c r="I2527" s="15" t="n"/>
      <c r="J2527" s="19" t="n">
        <v>3</v>
      </c>
      <c r="K2527" s="2" t="inlineStr">
        <is>
          <t>marker_998_752032.png</t>
        </is>
      </c>
      <c r="L2527" s="11">
        <f>HYPERLINK("3\1\" &amp; K2527, "Ver Imagen")</f>
        <v/>
      </c>
      <c r="M2527" t="inlineStr">
        <is>
          <t>Moda</t>
        </is>
      </c>
    </row>
    <row r="2528">
      <c r="A2528" t="n">
        <v>2527</v>
      </c>
      <c r="B2528" t="inlineStr">
        <is>
          <t>A-490__369</t>
        </is>
      </c>
      <c r="C2528" s="1" t="n">
        <v>37.4787352008</v>
      </c>
      <c r="D2528" s="1" t="n">
        <v>-7.20741884249</v>
      </c>
      <c r="E2528" s="3" t="n">
        <v>2</v>
      </c>
      <c r="F2528" s="2" t="n">
        <v>3</v>
      </c>
      <c r="G2528" s="4" t="n">
        <v>3</v>
      </c>
      <c r="H2528" s="13" t="n"/>
      <c r="I2528" s="15" t="n"/>
      <c r="J2528" s="19" t="n">
        <v>3</v>
      </c>
      <c r="K2528" s="2" t="inlineStr">
        <is>
          <t>marker_913_752081.png</t>
        </is>
      </c>
      <c r="L2528" s="11">
        <f>HYPERLINK("3\1\" &amp; K2528, "Ver Imagen")</f>
        <v/>
      </c>
      <c r="M2528" t="inlineStr">
        <is>
          <t>Moda</t>
        </is>
      </c>
    </row>
    <row r="2529">
      <c r="A2529" t="n">
        <v>2528</v>
      </c>
      <c r="B2529" t="inlineStr">
        <is>
          <t>A-490__376</t>
        </is>
      </c>
      <c r="C2529" s="1" t="n">
        <v>37.4793789426</v>
      </c>
      <c r="D2529" s="1" t="n">
        <v>-7.20894344194</v>
      </c>
      <c r="E2529" s="3" t="n">
        <v>2</v>
      </c>
      <c r="F2529" s="2" t="n">
        <v>3</v>
      </c>
      <c r="G2529" s="4" t="n">
        <v>3</v>
      </c>
      <c r="H2529" s="13" t="n"/>
      <c r="I2529" s="15" t="n"/>
      <c r="J2529" s="19" t="n">
        <v>3</v>
      </c>
      <c r="K2529" s="2" t="inlineStr">
        <is>
          <t>marker_274_752244.png</t>
        </is>
      </c>
      <c r="L2529" s="11">
        <f>HYPERLINK("3\1\" &amp; K2529, "Ver Imagen")</f>
        <v/>
      </c>
      <c r="M2529" t="inlineStr">
        <is>
          <t>Moda</t>
        </is>
      </c>
    </row>
    <row r="2530">
      <c r="A2530" t="n">
        <v>2529</v>
      </c>
      <c r="B2530" t="inlineStr">
        <is>
          <t>A-490__377</t>
        </is>
      </c>
      <c r="C2530" s="1" t="n">
        <v>37.4794719586</v>
      </c>
      <c r="D2530" s="1" t="n">
        <v>-7.20915197823</v>
      </c>
      <c r="E2530" s="3" t="n">
        <v>2</v>
      </c>
      <c r="F2530" s="2" t="n">
        <v>3</v>
      </c>
      <c r="G2530" s="4" t="n">
        <v>3</v>
      </c>
      <c r="H2530" s="13" t="n"/>
      <c r="I2530" s="15" t="n"/>
      <c r="J2530" s="19" t="n">
        <v>3</v>
      </c>
      <c r="K2530" s="2" t="inlineStr">
        <is>
          <t>marker_365_752273.png</t>
        </is>
      </c>
      <c r="L2530" s="11">
        <f>HYPERLINK("3\1\" &amp; K2530, "Ver Imagen")</f>
        <v/>
      </c>
      <c r="M2530" t="inlineStr">
        <is>
          <t>Moda</t>
        </is>
      </c>
    </row>
    <row r="2531">
      <c r="A2531" t="n">
        <v>2530</v>
      </c>
      <c r="B2531" t="inlineStr">
        <is>
          <t>A-490__383</t>
        </is>
      </c>
      <c r="C2531" s="1" t="n">
        <v>37.480065739</v>
      </c>
      <c r="D2531" s="1" t="n">
        <v>-7.21051246176</v>
      </c>
      <c r="E2531" s="3" t="n">
        <v>2</v>
      </c>
      <c r="F2531" s="2" t="n">
        <v>3</v>
      </c>
      <c r="G2531" s="4" t="n">
        <v>3</v>
      </c>
      <c r="H2531" s="13" t="n"/>
      <c r="I2531" s="15" t="n"/>
      <c r="J2531" s="19" t="n">
        <v>3</v>
      </c>
      <c r="K2531" s="2" t="inlineStr">
        <is>
          <t>marker_616_752410.png</t>
        </is>
      </c>
      <c r="L2531" s="11">
        <f>HYPERLINK("3\1\" &amp; K2531, "Ver Imagen")</f>
        <v/>
      </c>
      <c r="M2531" t="inlineStr">
        <is>
          <t>Moda</t>
        </is>
      </c>
    </row>
    <row r="2532">
      <c r="A2532" t="n">
        <v>2531</v>
      </c>
      <c r="B2532" t="inlineStr">
        <is>
          <t>A-490__385</t>
        </is>
      </c>
      <c r="C2532" s="1" t="n">
        <v>37.4802412721</v>
      </c>
      <c r="D2532" s="1" t="n">
        <v>-7.21092005038</v>
      </c>
      <c r="E2532" s="3" t="n">
        <v>2</v>
      </c>
      <c r="F2532" s="2" t="n">
        <v>3</v>
      </c>
      <c r="G2532" s="4" t="n">
        <v>3</v>
      </c>
      <c r="H2532" s="13" t="n"/>
      <c r="I2532" s="15" t="n"/>
      <c r="J2532" s="19" t="n">
        <v>3</v>
      </c>
      <c r="K2532" s="2" t="inlineStr">
        <is>
          <t>marker_597_752447.png</t>
        </is>
      </c>
      <c r="L2532" s="11">
        <f>HYPERLINK("3\1\" &amp; K2532, "Ver Imagen")</f>
        <v/>
      </c>
      <c r="M2532" t="inlineStr">
        <is>
          <t>Moda</t>
        </is>
      </c>
    </row>
    <row r="2533">
      <c r="A2533" t="n">
        <v>2532</v>
      </c>
      <c r="B2533" t="inlineStr">
        <is>
          <t>A-490__387</t>
        </is>
      </c>
      <c r="C2533" s="1" t="n">
        <v>37.4804502304</v>
      </c>
      <c r="D2533" s="1" t="n">
        <v>-7.2114030523</v>
      </c>
      <c r="E2533" s="3" t="n">
        <v>2</v>
      </c>
      <c r="F2533" s="2" t="n">
        <v>3</v>
      </c>
      <c r="G2533" s="4" t="n">
        <v>3</v>
      </c>
      <c r="H2533" s="13" t="n"/>
      <c r="I2533" s="15" t="n"/>
      <c r="J2533" s="19" t="n">
        <v>3</v>
      </c>
      <c r="K2533" s="2" t="inlineStr">
        <is>
          <t>marker_884_752479.png</t>
        </is>
      </c>
      <c r="L2533" s="11">
        <f>HYPERLINK("3\1\" &amp; K2533, "Ver Imagen")</f>
        <v/>
      </c>
      <c r="M2533" t="inlineStr">
        <is>
          <t>Moda</t>
        </is>
      </c>
    </row>
    <row r="2534">
      <c r="A2534" t="n">
        <v>2533</v>
      </c>
      <c r="B2534" t="inlineStr">
        <is>
          <t>A-490__389</t>
        </is>
      </c>
      <c r="C2534" s="1" t="n">
        <v>37.4806416097</v>
      </c>
      <c r="D2534" s="1" t="n">
        <v>-7.21188131299</v>
      </c>
      <c r="E2534" s="3" t="n">
        <v>2</v>
      </c>
      <c r="F2534" s="2" t="n">
        <v>3</v>
      </c>
      <c r="G2534" s="4" t="n">
        <v>3</v>
      </c>
      <c r="H2534" s="13" t="n"/>
      <c r="I2534" s="15" t="n"/>
      <c r="J2534" s="19" t="n">
        <v>3</v>
      </c>
      <c r="K2534" s="2" t="inlineStr">
        <is>
          <t>marker_766_752511.png</t>
        </is>
      </c>
      <c r="L2534" s="11">
        <f>HYPERLINK("3\1\" &amp; K2534, "Ver Imagen")</f>
        <v/>
      </c>
      <c r="M2534" t="inlineStr">
        <is>
          <t>Moda</t>
        </is>
      </c>
    </row>
    <row r="2535">
      <c r="A2535" t="n">
        <v>2534</v>
      </c>
      <c r="B2535" t="inlineStr">
        <is>
          <t>A-490__396</t>
        </is>
      </c>
      <c r="C2535" s="1" t="n">
        <v>37.4812499289</v>
      </c>
      <c r="D2535" s="1" t="n">
        <v>-7.21353623815</v>
      </c>
      <c r="E2535" s="3" t="n">
        <v>2</v>
      </c>
      <c r="F2535" s="2" t="n">
        <v>3</v>
      </c>
      <c r="G2535" s="4" t="n">
        <v>3</v>
      </c>
      <c r="H2535" s="13" t="n"/>
      <c r="I2535" s="15" t="n"/>
      <c r="J2535" s="19" t="n">
        <v>3</v>
      </c>
      <c r="K2535" s="2" t="inlineStr">
        <is>
          <t>marker_349_752931.png</t>
        </is>
      </c>
      <c r="L2535" s="11">
        <f>HYPERLINK("3\1\" &amp; K2535, "Ver Imagen")</f>
        <v/>
      </c>
      <c r="M2535" t="inlineStr">
        <is>
          <t>Moda</t>
        </is>
      </c>
    </row>
    <row r="2536">
      <c r="A2536" t="n">
        <v>2535</v>
      </c>
      <c r="B2536" t="inlineStr">
        <is>
          <t>A-490__398</t>
        </is>
      </c>
      <c r="C2536" s="1" t="n">
        <v>37.4813991181</v>
      </c>
      <c r="D2536" s="1" t="n">
        <v>-7.21393910105</v>
      </c>
      <c r="E2536" s="3" t="n">
        <v>2</v>
      </c>
      <c r="F2536" s="2" t="n">
        <v>3</v>
      </c>
      <c r="G2536" s="4" t="n">
        <v>3</v>
      </c>
      <c r="H2536" s="13" t="n"/>
      <c r="I2536" s="15" t="n"/>
      <c r="J2536" s="19" t="n">
        <v>3</v>
      </c>
      <c r="K2536" s="2" t="inlineStr">
        <is>
          <t>marker_944_752982.png</t>
        </is>
      </c>
      <c r="L2536" s="11">
        <f>HYPERLINK("3\1\" &amp; K2536, "Ver Imagen")</f>
        <v/>
      </c>
      <c r="M2536" t="inlineStr">
        <is>
          <t>Moda</t>
        </is>
      </c>
    </row>
    <row r="2537">
      <c r="A2537" t="n">
        <v>2536</v>
      </c>
      <c r="B2537" t="inlineStr">
        <is>
          <t>A-490__414</t>
        </is>
      </c>
      <c r="C2537" s="1" t="n">
        <v>37.4825203083</v>
      </c>
      <c r="D2537" s="1" t="n">
        <v>-7.21773712346</v>
      </c>
      <c r="E2537" s="3" t="n">
        <v>2</v>
      </c>
      <c r="F2537" s="2" t="n">
        <v>3</v>
      </c>
      <c r="G2537" s="4" t="n">
        <v>3</v>
      </c>
      <c r="H2537" s="13" t="n"/>
      <c r="I2537" s="15" t="n"/>
      <c r="J2537" s="19" t="n">
        <v>3</v>
      </c>
      <c r="K2537" s="2" t="inlineStr">
        <is>
          <t>marker_770_754191.png</t>
        </is>
      </c>
      <c r="L2537" s="11">
        <f>HYPERLINK("3\1\" &amp; K2537, "Ver Imagen")</f>
        <v/>
      </c>
      <c r="M2537" t="inlineStr">
        <is>
          <t>Moda</t>
        </is>
      </c>
    </row>
    <row r="2538">
      <c r="A2538" t="n">
        <v>2537</v>
      </c>
      <c r="B2538" t="inlineStr">
        <is>
          <t>A-490__416</t>
        </is>
      </c>
      <c r="C2538" s="1" t="n">
        <v>37.4826313401</v>
      </c>
      <c r="D2538" s="1" t="n">
        <v>-7.21829941092</v>
      </c>
      <c r="E2538" s="3" t="n">
        <v>2</v>
      </c>
      <c r="F2538" s="2" t="n">
        <v>3</v>
      </c>
      <c r="G2538" s="4" t="n">
        <v>3</v>
      </c>
      <c r="H2538" s="13" t="n"/>
      <c r="I2538" s="15" t="n"/>
      <c r="J2538" s="19" t="n">
        <v>3</v>
      </c>
      <c r="K2538" s="2" t="inlineStr">
        <is>
          <t>marker_138_754233.png</t>
        </is>
      </c>
      <c r="L2538" s="11">
        <f>HYPERLINK("3\1\" &amp; K2538, "Ver Imagen")</f>
        <v/>
      </c>
      <c r="M2538" t="inlineStr">
        <is>
          <t>Moda</t>
        </is>
      </c>
    </row>
    <row r="2539">
      <c r="A2539" t="n">
        <v>2538</v>
      </c>
      <c r="B2539" t="inlineStr">
        <is>
          <t>A-490__430</t>
        </is>
      </c>
      <c r="C2539" s="1" t="n">
        <v>37.483299159</v>
      </c>
      <c r="D2539" s="1" t="n">
        <v>-7.22168840553</v>
      </c>
      <c r="E2539" s="3" t="n">
        <v>2</v>
      </c>
      <c r="F2539" s="2" t="n">
        <v>3</v>
      </c>
      <c r="G2539" s="4" t="n">
        <v>3</v>
      </c>
      <c r="H2539" s="13" t="n"/>
      <c r="I2539" s="15" t="n"/>
      <c r="J2539" s="19" t="n">
        <v>3</v>
      </c>
      <c r="K2539" s="2" t="inlineStr">
        <is>
          <t>marker_901_754480.png</t>
        </is>
      </c>
      <c r="L2539" s="11">
        <f>HYPERLINK("3\1\" &amp; K2539, "Ver Imagen")</f>
        <v/>
      </c>
      <c r="M2539" t="inlineStr">
        <is>
          <t>Moda</t>
        </is>
      </c>
    </row>
    <row r="2540">
      <c r="A2540" t="n">
        <v>2539</v>
      </c>
      <c r="B2540" t="inlineStr">
        <is>
          <t>A-490__436</t>
        </is>
      </c>
      <c r="C2540" s="1" t="n">
        <v>37.4835837007</v>
      </c>
      <c r="D2540" s="1" t="n">
        <v>-7.22314961542</v>
      </c>
      <c r="E2540" s="3" t="n">
        <v>2</v>
      </c>
      <c r="F2540" s="2" t="n">
        <v>3</v>
      </c>
      <c r="G2540" s="4" t="n">
        <v>3</v>
      </c>
      <c r="H2540" s="13" t="n"/>
      <c r="I2540" s="15" t="n"/>
      <c r="J2540" s="19" t="n">
        <v>3</v>
      </c>
      <c r="K2540" s="2" t="inlineStr">
        <is>
          <t>marker_412_754590.png</t>
        </is>
      </c>
      <c r="L2540" s="11">
        <f>HYPERLINK("3\1\" &amp; K2540, "Ver Imagen")</f>
        <v/>
      </c>
      <c r="M2540" t="inlineStr">
        <is>
          <t>Moda</t>
        </is>
      </c>
    </row>
    <row r="2541">
      <c r="A2541" t="n">
        <v>2540</v>
      </c>
      <c r="B2541" t="inlineStr">
        <is>
          <t>A-490__437</t>
        </is>
      </c>
      <c r="C2541" s="1" t="n">
        <v>37.4836295729</v>
      </c>
      <c r="D2541" s="1" t="n">
        <v>-7.22338453065</v>
      </c>
      <c r="E2541" s="3" t="n">
        <v>2</v>
      </c>
      <c r="F2541" s="2" t="n">
        <v>3</v>
      </c>
      <c r="G2541" s="4" t="n">
        <v>3</v>
      </c>
      <c r="H2541" s="13" t="n"/>
      <c r="I2541" s="15" t="n"/>
      <c r="J2541" s="19" t="n">
        <v>3</v>
      </c>
      <c r="K2541" s="2" t="inlineStr">
        <is>
          <t>marker_608_754604.png</t>
        </is>
      </c>
      <c r="L2541" s="11">
        <f>HYPERLINK("3\1\" &amp; K2541, "Ver Imagen")</f>
        <v/>
      </c>
      <c r="M2541" t="inlineStr">
        <is>
          <t>Moda</t>
        </is>
      </c>
    </row>
    <row r="2542">
      <c r="A2542" t="n">
        <v>2541</v>
      </c>
      <c r="B2542" t="inlineStr">
        <is>
          <t>A-490__456</t>
        </is>
      </c>
      <c r="C2542" s="1" t="n">
        <v>37.4845421331</v>
      </c>
      <c r="D2542" s="1" t="n">
        <v>-7.22809527869</v>
      </c>
      <c r="E2542" s="3" t="n">
        <v>2</v>
      </c>
      <c r="F2542" s="2" t="n">
        <v>3</v>
      </c>
      <c r="G2542" s="4" t="n">
        <v>3</v>
      </c>
      <c r="H2542" s="13" t="n"/>
      <c r="I2542" s="15" t="n"/>
      <c r="J2542" s="19" t="n">
        <v>3</v>
      </c>
      <c r="K2542" s="2" t="inlineStr">
        <is>
          <t>marker_131_755145.png</t>
        </is>
      </c>
      <c r="L2542" s="11">
        <f>HYPERLINK("3\1\" &amp; K2542, "Ver Imagen")</f>
        <v/>
      </c>
      <c r="M2542" t="inlineStr">
        <is>
          <t>Moda</t>
        </is>
      </c>
    </row>
    <row r="2543">
      <c r="A2543" t="n">
        <v>2542</v>
      </c>
      <c r="B2543" t="inlineStr">
        <is>
          <t>A-490__458</t>
        </is>
      </c>
      <c r="C2543" s="1" t="n">
        <v>37.4846427784</v>
      </c>
      <c r="D2543" s="1" t="n">
        <v>-7.22860709909</v>
      </c>
      <c r="E2543" s="3" t="n">
        <v>2</v>
      </c>
      <c r="F2543" s="2" t="n">
        <v>3</v>
      </c>
      <c r="G2543" s="4" t="n">
        <v>3</v>
      </c>
      <c r="H2543" s="13" t="n"/>
      <c r="I2543" s="15" t="n"/>
      <c r="J2543" s="19" t="n">
        <v>3</v>
      </c>
      <c r="K2543" s="2" t="inlineStr">
        <is>
          <t>marker_893_755182.png</t>
        </is>
      </c>
      <c r="L2543" s="11">
        <f>HYPERLINK("3\1\" &amp; K2543, "Ver Imagen")</f>
        <v/>
      </c>
      <c r="M2543" t="inlineStr">
        <is>
          <t>Moda</t>
        </is>
      </c>
    </row>
    <row r="2544">
      <c r="A2544" t="n">
        <v>2543</v>
      </c>
      <c r="B2544" t="inlineStr">
        <is>
          <t>A-490__484</t>
        </is>
      </c>
      <c r="C2544" s="1" t="n">
        <v>37.4858783757</v>
      </c>
      <c r="D2544" s="1" t="n">
        <v>-7.23504913401</v>
      </c>
      <c r="E2544" s="3" t="n">
        <v>2</v>
      </c>
      <c r="F2544" s="2" t="n">
        <v>3</v>
      </c>
      <c r="G2544" s="4" t="n">
        <v>3</v>
      </c>
      <c r="H2544" s="13" t="n"/>
      <c r="I2544" s="15" t="n"/>
      <c r="J2544" s="19" t="n">
        <v>3</v>
      </c>
      <c r="K2544" s="2" t="inlineStr">
        <is>
          <t>marker_759_755657.png</t>
        </is>
      </c>
      <c r="L2544" s="11">
        <f>HYPERLINK("3\1\" &amp; K2544, "Ver Imagen")</f>
        <v/>
      </c>
      <c r="M2544" t="inlineStr">
        <is>
          <t>Moda</t>
        </is>
      </c>
    </row>
    <row r="2545">
      <c r="A2545" t="n">
        <v>2544</v>
      </c>
      <c r="B2545" t="inlineStr">
        <is>
          <t>A-490__521</t>
        </is>
      </c>
      <c r="C2545" s="1" t="n">
        <v>37.4875036277</v>
      </c>
      <c r="D2545" s="1" t="n">
        <v>-7.24415000585</v>
      </c>
      <c r="E2545" s="3" t="n">
        <v>2</v>
      </c>
      <c r="F2545" s="2" t="n">
        <v>3</v>
      </c>
      <c r="G2545" s="4" t="n">
        <v>3</v>
      </c>
      <c r="H2545" s="13" t="n"/>
      <c r="I2545" s="15" t="n"/>
      <c r="J2545" s="19" t="n">
        <v>3</v>
      </c>
      <c r="K2545" s="2" t="inlineStr">
        <is>
          <t>marker_416_818071.png</t>
        </is>
      </c>
      <c r="L2545" s="11">
        <f>HYPERLINK("3\1\" &amp; K2545, "Ver Imagen")</f>
        <v/>
      </c>
      <c r="M2545" t="inlineStr">
        <is>
          <t>Moda</t>
        </is>
      </c>
    </row>
    <row r="2546">
      <c r="A2546" t="n">
        <v>2545</v>
      </c>
      <c r="B2546" t="inlineStr">
        <is>
          <t>A-490__525</t>
        </is>
      </c>
      <c r="C2546" s="1" t="n">
        <v>37.4878612567</v>
      </c>
      <c r="D2546" s="1" t="n">
        <v>-7.24505264186</v>
      </c>
      <c r="E2546" s="3" t="n">
        <v>2</v>
      </c>
      <c r="F2546" s="2" t="n">
        <v>3</v>
      </c>
      <c r="G2546" s="4" t="n">
        <v>3</v>
      </c>
      <c r="H2546" s="13" t="n"/>
      <c r="I2546" s="15" t="n"/>
      <c r="J2546" s="19" t="n">
        <v>3</v>
      </c>
      <c r="K2546" s="2" t="inlineStr">
        <is>
          <t>marker_981_818126.png</t>
        </is>
      </c>
      <c r="L2546" s="11">
        <f>HYPERLINK("3\1\" &amp; K2546, "Ver Imagen")</f>
        <v/>
      </c>
      <c r="M2546" t="inlineStr">
        <is>
          <t>Moda</t>
        </is>
      </c>
    </row>
    <row r="2547">
      <c r="A2547" t="n">
        <v>2546</v>
      </c>
      <c r="B2547" t="inlineStr">
        <is>
          <t>A-490__533</t>
        </is>
      </c>
      <c r="C2547" s="1" t="n">
        <v>37.4885919779</v>
      </c>
      <c r="D2547" s="1" t="n">
        <v>-7.24690490818</v>
      </c>
      <c r="E2547" s="3" t="n">
        <v>2</v>
      </c>
      <c r="F2547" s="2" t="n">
        <v>3</v>
      </c>
      <c r="G2547" s="4" t="n">
        <v>3</v>
      </c>
      <c r="H2547" s="13" t="n"/>
      <c r="I2547" s="15" t="n"/>
      <c r="J2547" s="19" t="n">
        <v>3</v>
      </c>
      <c r="K2547" s="2" t="inlineStr">
        <is>
          <t>marker_780_818247.png</t>
        </is>
      </c>
      <c r="L2547" s="11">
        <f>HYPERLINK("3\1\" &amp; K2547, "Ver Imagen")</f>
        <v/>
      </c>
      <c r="M2547" t="inlineStr">
        <is>
          <t>Moda</t>
        </is>
      </c>
    </row>
    <row r="2548">
      <c r="A2548" t="n">
        <v>2547</v>
      </c>
      <c r="B2548" t="inlineStr">
        <is>
          <t>A-490__536</t>
        </is>
      </c>
      <c r="C2548" s="1" t="n">
        <v>37.4889108343</v>
      </c>
      <c r="D2548" s="1" t="n">
        <v>-7.24750554781</v>
      </c>
      <c r="E2548" s="3" t="n">
        <v>2</v>
      </c>
      <c r="F2548" s="2" t="n">
        <v>3</v>
      </c>
      <c r="G2548" s="4" t="n">
        <v>3</v>
      </c>
      <c r="H2548" s="13" t="n"/>
      <c r="I2548" s="15" t="n"/>
      <c r="J2548" s="19" t="n">
        <v>3</v>
      </c>
      <c r="K2548" s="2" t="inlineStr">
        <is>
          <t>marker_407_818290.png</t>
        </is>
      </c>
      <c r="L2548" s="11">
        <f>HYPERLINK("3\1\" &amp; K2548, "Ver Imagen")</f>
        <v/>
      </c>
      <c r="M2548" t="inlineStr">
        <is>
          <t>Moda</t>
        </is>
      </c>
    </row>
    <row r="2549">
      <c r="A2549" t="n">
        <v>2548</v>
      </c>
      <c r="B2549" t="inlineStr">
        <is>
          <t>A-490__603</t>
        </is>
      </c>
      <c r="C2549" s="1" t="n">
        <v>37.4925434432</v>
      </c>
      <c r="D2549" s="1" t="n">
        <v>-7.26208658731</v>
      </c>
      <c r="E2549" s="3" t="n">
        <v>2</v>
      </c>
      <c r="F2549" s="2" t="n">
        <v>3</v>
      </c>
      <c r="G2549" s="4" t="n">
        <v>3</v>
      </c>
      <c r="H2549" s="13" t="n"/>
      <c r="I2549" s="15" t="n"/>
      <c r="J2549" s="19" t="n">
        <v>3</v>
      </c>
      <c r="K2549" s="2" t="inlineStr">
        <is>
          <t>marker_726_820127.png</t>
        </is>
      </c>
      <c r="L2549" s="11">
        <f>HYPERLINK("3\1\" &amp; K2549, "Ver Imagen")</f>
        <v/>
      </c>
      <c r="M2549" t="inlineStr">
        <is>
          <t>Moda</t>
        </is>
      </c>
    </row>
    <row r="2550">
      <c r="A2550" t="n">
        <v>2549</v>
      </c>
      <c r="B2550" t="inlineStr">
        <is>
          <t>A-490__605</t>
        </is>
      </c>
      <c r="C2550" s="1" t="n">
        <v>37.4928076297</v>
      </c>
      <c r="D2550" s="1" t="n">
        <v>-7.2625681552</v>
      </c>
      <c r="E2550" s="3" t="n">
        <v>2</v>
      </c>
      <c r="F2550" s="2" t="n">
        <v>3</v>
      </c>
      <c r="G2550" s="4" t="n">
        <v>3</v>
      </c>
      <c r="H2550" s="13" t="n"/>
      <c r="I2550" s="15" t="n"/>
      <c r="J2550" s="19" t="n">
        <v>3</v>
      </c>
      <c r="K2550" s="2" t="inlineStr">
        <is>
          <t>marker_893_820151.png</t>
        </is>
      </c>
      <c r="L2550" s="11">
        <f>HYPERLINK("3\1\" &amp; K2550, "Ver Imagen")</f>
        <v/>
      </c>
      <c r="M2550" t="inlineStr">
        <is>
          <t>Moda</t>
        </is>
      </c>
    </row>
    <row r="2551">
      <c r="A2551" t="n">
        <v>2550</v>
      </c>
      <c r="B2551" t="inlineStr">
        <is>
          <t>A-490__620</t>
        </is>
      </c>
      <c r="C2551" s="1" t="n">
        <v>37.4943058671</v>
      </c>
      <c r="D2551" s="1" t="n">
        <v>-7.26585388076</v>
      </c>
      <c r="E2551" s="3" t="n">
        <v>2</v>
      </c>
      <c r="F2551" s="2" t="n">
        <v>3</v>
      </c>
      <c r="G2551" s="4" t="n">
        <v>3</v>
      </c>
      <c r="H2551" s="13" t="n"/>
      <c r="I2551" s="15" t="n"/>
      <c r="J2551" s="19" t="n">
        <v>3</v>
      </c>
      <c r="K2551" s="2" t="inlineStr">
        <is>
          <t>marker_534_820311.png</t>
        </is>
      </c>
      <c r="L2551" s="11">
        <f>HYPERLINK("3\1\" &amp; K2551, "Ver Imagen")</f>
        <v/>
      </c>
      <c r="M2551" t="inlineStr">
        <is>
          <t>Moda</t>
        </is>
      </c>
    </row>
    <row r="2552">
      <c r="A2552" t="n">
        <v>2551</v>
      </c>
      <c r="B2552" t="inlineStr">
        <is>
          <t>A-490__624</t>
        </is>
      </c>
      <c r="C2552" s="1" t="n">
        <v>37.4947710611</v>
      </c>
      <c r="D2552" s="1" t="n">
        <v>-7.26664682923</v>
      </c>
      <c r="E2552" s="3" t="n">
        <v>2</v>
      </c>
      <c r="F2552" s="2" t="n">
        <v>3</v>
      </c>
      <c r="G2552" s="4" t="n">
        <v>3</v>
      </c>
      <c r="H2552" s="13" t="n"/>
      <c r="I2552" s="15" t="n"/>
      <c r="J2552" s="19" t="n">
        <v>3</v>
      </c>
      <c r="K2552" s="2" t="inlineStr">
        <is>
          <t>marker_794_820353.png</t>
        </is>
      </c>
      <c r="L2552" s="11">
        <f>HYPERLINK("3\1\" &amp; K2552, "Ver Imagen")</f>
        <v/>
      </c>
      <c r="M2552" t="inlineStr">
        <is>
          <t>Moda</t>
        </is>
      </c>
    </row>
    <row r="2553">
      <c r="A2553" t="n">
        <v>2552</v>
      </c>
      <c r="B2553" t="inlineStr">
        <is>
          <t>A-492__45</t>
        </is>
      </c>
      <c r="C2553" s="1" t="n">
        <v>37.2789670004</v>
      </c>
      <c r="D2553" s="1" t="n">
        <v>-6.99437034903</v>
      </c>
      <c r="E2553" s="3" t="n">
        <v>3</v>
      </c>
      <c r="F2553" s="2" t="n">
        <v>2</v>
      </c>
      <c r="G2553" s="4" t="n">
        <v>3</v>
      </c>
      <c r="H2553" s="13" t="n"/>
      <c r="I2553" s="15" t="n"/>
      <c r="J2553" s="19" t="n">
        <v>3</v>
      </c>
      <c r="K2553" s="2" t="inlineStr">
        <is>
          <t>marker_651_822938.png</t>
        </is>
      </c>
      <c r="L2553" s="11">
        <f>HYPERLINK("3\1\" &amp; K2553, "Ver Imagen")</f>
        <v/>
      </c>
      <c r="M2553" t="inlineStr">
        <is>
          <t>Moda</t>
        </is>
      </c>
    </row>
    <row r="2554">
      <c r="A2554" t="n">
        <v>2553</v>
      </c>
      <c r="B2554" t="inlineStr">
        <is>
          <t>A-492__47</t>
        </is>
      </c>
      <c r="C2554" s="1" t="n">
        <v>37.2791238022</v>
      </c>
      <c r="D2554" s="1" t="n">
        <v>-6.9949128761</v>
      </c>
      <c r="E2554" s="3" t="n">
        <v>3</v>
      </c>
      <c r="F2554" s="2" t="n">
        <v>2</v>
      </c>
      <c r="G2554" s="4" t="n">
        <v>3</v>
      </c>
      <c r="H2554" s="13" t="n"/>
      <c r="I2554" s="15" t="n"/>
      <c r="J2554" s="19" t="n">
        <v>3</v>
      </c>
      <c r="K2554" s="2" t="inlineStr">
        <is>
          <t>marker_772_822963.png</t>
        </is>
      </c>
      <c r="L2554" s="11">
        <f>HYPERLINK("3\1\" &amp; K2554, "Ver Imagen")</f>
        <v/>
      </c>
      <c r="M2554" t="inlineStr">
        <is>
          <t>Moda</t>
        </is>
      </c>
    </row>
    <row r="2555">
      <c r="A2555" t="n">
        <v>2554</v>
      </c>
      <c r="B2555" t="inlineStr">
        <is>
          <t>A-492__77</t>
        </is>
      </c>
      <c r="C2555" s="1" t="n">
        <v>37.2804904799</v>
      </c>
      <c r="D2555" s="1" t="n">
        <v>-7.00173115467</v>
      </c>
      <c r="E2555" s="3" t="n">
        <v>3</v>
      </c>
      <c r="F2555" s="2" t="n">
        <v>2</v>
      </c>
      <c r="G2555" s="4" t="n">
        <v>3</v>
      </c>
      <c r="H2555" s="13" t="n"/>
      <c r="I2555" s="15" t="n"/>
      <c r="J2555" s="19" t="n">
        <v>3</v>
      </c>
      <c r="K2555" s="2" t="inlineStr">
        <is>
          <t>marker_749_823431.png</t>
        </is>
      </c>
      <c r="L2555" s="11">
        <f>HYPERLINK("3\1\" &amp; K2555, "Ver Imagen")</f>
        <v/>
      </c>
      <c r="M2555" t="inlineStr">
        <is>
          <t>Moda</t>
        </is>
      </c>
    </row>
    <row r="2556">
      <c r="A2556" t="n">
        <v>2555</v>
      </c>
      <c r="B2556" t="inlineStr">
        <is>
          <t>A-492__78</t>
        </is>
      </c>
      <c r="C2556" s="1" t="n">
        <v>37.2805351691</v>
      </c>
      <c r="D2556" s="1" t="n">
        <v>-7.00200604448</v>
      </c>
      <c r="E2556" s="3" t="n">
        <v>2</v>
      </c>
      <c r="F2556" s="2" t="n">
        <v>3</v>
      </c>
      <c r="G2556" s="4" t="n">
        <v>3</v>
      </c>
      <c r="H2556" s="13" t="n"/>
      <c r="I2556" s="15" t="n"/>
      <c r="J2556" s="19" t="n">
        <v>3</v>
      </c>
      <c r="K2556" s="2" t="inlineStr">
        <is>
          <t>marker_818_823467.png</t>
        </is>
      </c>
      <c r="L2556" s="11">
        <f>HYPERLINK("3\1\" &amp; K2556, "Ver Imagen")</f>
        <v/>
      </c>
      <c r="M2556" t="inlineStr">
        <is>
          <t>Moda</t>
        </is>
      </c>
    </row>
    <row r="2557">
      <c r="A2557" t="n">
        <v>2556</v>
      </c>
      <c r="B2557" t="inlineStr">
        <is>
          <t>A-492__86</t>
        </is>
      </c>
      <c r="C2557" s="1" t="n">
        <v>37.2806621715</v>
      </c>
      <c r="D2557" s="1" t="n">
        <v>-7.00398110252</v>
      </c>
      <c r="E2557" s="3" t="n">
        <v>3</v>
      </c>
      <c r="F2557" s="2" t="n">
        <v>2</v>
      </c>
      <c r="G2557" s="4" t="n">
        <v>3</v>
      </c>
      <c r="H2557" s="13" t="n"/>
      <c r="I2557" s="15" t="n"/>
      <c r="J2557" s="19" t="n">
        <v>3</v>
      </c>
      <c r="K2557" s="2" t="inlineStr">
        <is>
          <t>marker_395_823569.png</t>
        </is>
      </c>
      <c r="L2557" s="11">
        <f>HYPERLINK("3\1\" &amp; K2557, "Ver Imagen")</f>
        <v/>
      </c>
      <c r="M2557" t="inlineStr">
        <is>
          <t>Moda</t>
        </is>
      </c>
    </row>
    <row r="2558">
      <c r="A2558" t="n">
        <v>2557</v>
      </c>
      <c r="B2558" t="inlineStr">
        <is>
          <t>A-492__87</t>
        </is>
      </c>
      <c r="C2558" s="1" t="n">
        <v>37.2806134547</v>
      </c>
      <c r="D2558" s="1" t="n">
        <v>-7.00426582549</v>
      </c>
      <c r="E2558" s="3" t="n">
        <v>3</v>
      </c>
      <c r="F2558" s="2" t="n">
        <v>2</v>
      </c>
      <c r="G2558" s="4" t="n">
        <v>3</v>
      </c>
      <c r="H2558" s="13" t="n"/>
      <c r="I2558" s="15" t="n"/>
      <c r="J2558" s="19" t="n">
        <v>3</v>
      </c>
      <c r="K2558" s="2" t="inlineStr">
        <is>
          <t>marker_113_823579.png</t>
        </is>
      </c>
      <c r="L2558" s="11">
        <f>HYPERLINK("3\1\" &amp; K2558, "Ver Imagen")</f>
        <v/>
      </c>
      <c r="M2558" t="inlineStr">
        <is>
          <t>Moda</t>
        </is>
      </c>
    </row>
    <row r="2559">
      <c r="A2559" t="n">
        <v>2558</v>
      </c>
      <c r="B2559" t="inlineStr">
        <is>
          <t>A-492__88</t>
        </is>
      </c>
      <c r="C2559" s="1" t="n">
        <v>37.280554469</v>
      </c>
      <c r="D2559" s="1" t="n">
        <v>-7.00450830112</v>
      </c>
      <c r="E2559" s="3" t="n">
        <v>2</v>
      </c>
      <c r="F2559" s="2" t="n">
        <v>3</v>
      </c>
      <c r="G2559" s="4" t="n">
        <v>3</v>
      </c>
      <c r="H2559" s="13" t="n"/>
      <c r="I2559" s="15" t="n"/>
      <c r="J2559" s="19" t="n">
        <v>3</v>
      </c>
      <c r="K2559" s="2" t="inlineStr">
        <is>
          <t>marker_589_823593.png</t>
        </is>
      </c>
      <c r="L2559" s="11">
        <f>HYPERLINK("3\1\" &amp; K2559, "Ver Imagen")</f>
        <v/>
      </c>
      <c r="M2559" t="inlineStr">
        <is>
          <t>Moda</t>
        </is>
      </c>
    </row>
    <row r="2560">
      <c r="A2560" t="n">
        <v>2559</v>
      </c>
      <c r="B2560" t="inlineStr">
        <is>
          <t>A-492__97</t>
        </is>
      </c>
      <c r="C2560" s="1" t="n">
        <v>37.2797772525</v>
      </c>
      <c r="D2560" s="1" t="n">
        <v>-7.00657223881</v>
      </c>
      <c r="E2560" s="3" t="n">
        <v>2</v>
      </c>
      <c r="F2560" s="2" t="n">
        <v>3</v>
      </c>
      <c r="G2560" s="4" t="n">
        <v>3</v>
      </c>
      <c r="H2560" s="13" t="n"/>
      <c r="I2560" s="15" t="n"/>
      <c r="J2560" s="19" t="n">
        <v>3</v>
      </c>
      <c r="K2560" s="2" t="inlineStr">
        <is>
          <t>marker_882_823725.png</t>
        </is>
      </c>
      <c r="L2560" s="11">
        <f>HYPERLINK("3\1\" &amp; K2560, "Ver Imagen")</f>
        <v/>
      </c>
      <c r="M2560" t="inlineStr">
        <is>
          <t>Moda</t>
        </is>
      </c>
    </row>
    <row r="2561">
      <c r="A2561" t="n">
        <v>2560</v>
      </c>
      <c r="B2561" t="inlineStr">
        <is>
          <t>A-492__108</t>
        </is>
      </c>
      <c r="C2561" s="1" t="n">
        <v>37.2787879541</v>
      </c>
      <c r="D2561" s="1" t="n">
        <v>-7.00910027879</v>
      </c>
      <c r="E2561" s="3" t="n">
        <v>2</v>
      </c>
      <c r="F2561" s="2" t="n">
        <v>3</v>
      </c>
      <c r="G2561" s="4" t="n">
        <v>3</v>
      </c>
      <c r="H2561" s="13" t="n"/>
      <c r="I2561" s="15" t="n"/>
      <c r="J2561" s="19" t="n">
        <v>3</v>
      </c>
      <c r="K2561" s="2" t="inlineStr">
        <is>
          <t>marker_702_824269.png</t>
        </is>
      </c>
      <c r="L2561" s="11">
        <f>HYPERLINK("3\1\" &amp; K2561, "Ver Imagen")</f>
        <v/>
      </c>
      <c r="M2561" t="inlineStr">
        <is>
          <t>Moda</t>
        </is>
      </c>
    </row>
    <row r="2562">
      <c r="A2562" t="n">
        <v>2561</v>
      </c>
      <c r="B2562" t="inlineStr">
        <is>
          <t>A-492__109</t>
        </is>
      </c>
      <c r="C2562" s="1" t="n">
        <v>37.2787004165</v>
      </c>
      <c r="D2562" s="1" t="n">
        <v>-7.00931463147</v>
      </c>
      <c r="E2562" s="3" t="n">
        <v>2</v>
      </c>
      <c r="F2562" s="2" t="n">
        <v>3</v>
      </c>
      <c r="G2562" s="4" t="n">
        <v>3</v>
      </c>
      <c r="H2562" s="13" t="n"/>
      <c r="I2562" s="15" t="n"/>
      <c r="J2562" s="19" t="n">
        <v>3</v>
      </c>
      <c r="K2562" s="2" t="inlineStr">
        <is>
          <t>marker_849_824280.png</t>
        </is>
      </c>
      <c r="L2562" s="11">
        <f>HYPERLINK("3\1\" &amp; K2562, "Ver Imagen")</f>
        <v/>
      </c>
      <c r="M2562" t="inlineStr">
        <is>
          <t>Moda</t>
        </is>
      </c>
    </row>
    <row r="2563">
      <c r="A2563" t="n">
        <v>2562</v>
      </c>
      <c r="B2563" t="inlineStr">
        <is>
          <t>A-492__113</t>
        </is>
      </c>
      <c r="C2563" s="1" t="n">
        <v>37.2782944377</v>
      </c>
      <c r="D2563" s="1" t="n">
        <v>-7.0101823527</v>
      </c>
      <c r="E2563" s="3" t="n">
        <v>2</v>
      </c>
      <c r="F2563" s="2" t="n">
        <v>3</v>
      </c>
      <c r="G2563" s="4" t="n">
        <v>3</v>
      </c>
      <c r="H2563" s="13" t="n"/>
      <c r="I2563" s="15" t="n"/>
      <c r="J2563" s="19" t="n">
        <v>3</v>
      </c>
      <c r="K2563" s="2" t="inlineStr">
        <is>
          <t>marker_289_824324.png</t>
        </is>
      </c>
      <c r="L2563" s="11">
        <f>HYPERLINK("3\1\" &amp; K2563, "Ver Imagen")</f>
        <v/>
      </c>
      <c r="M2563" t="inlineStr">
        <is>
          <t>Moda</t>
        </is>
      </c>
    </row>
    <row r="2564">
      <c r="A2564" t="n">
        <v>2563</v>
      </c>
      <c r="B2564" t="inlineStr">
        <is>
          <t>A-492__115</t>
        </is>
      </c>
      <c r="C2564" s="1" t="n">
        <v>37.2780607807</v>
      </c>
      <c r="D2564" s="1" t="n">
        <v>-7.01061763319</v>
      </c>
      <c r="E2564" s="3" t="n">
        <v>2</v>
      </c>
      <c r="F2564" s="2" t="n">
        <v>3</v>
      </c>
      <c r="G2564" s="4" t="n">
        <v>3</v>
      </c>
      <c r="H2564" s="13" t="n"/>
      <c r="I2564" s="15" t="n"/>
      <c r="J2564" s="19" t="n">
        <v>3</v>
      </c>
      <c r="K2564" s="2" t="inlineStr">
        <is>
          <t>marker_148_824349.png</t>
        </is>
      </c>
      <c r="L2564" s="11">
        <f>HYPERLINK("3\1\" &amp; K2564, "Ver Imagen")</f>
        <v/>
      </c>
      <c r="M2564" t="inlineStr">
        <is>
          <t>Moda</t>
        </is>
      </c>
    </row>
    <row r="2565">
      <c r="A2565" t="n">
        <v>2564</v>
      </c>
      <c r="B2565" t="inlineStr">
        <is>
          <t>A-492__117</t>
        </is>
      </c>
      <c r="C2565" s="1" t="n">
        <v>37.2778525034</v>
      </c>
      <c r="D2565" s="1" t="n">
        <v>-7.01099557156</v>
      </c>
      <c r="E2565" s="3" t="n">
        <v>2</v>
      </c>
      <c r="F2565" s="2" t="n">
        <v>3</v>
      </c>
      <c r="G2565" s="4" t="n">
        <v>3</v>
      </c>
      <c r="H2565" s="13" t="n"/>
      <c r="I2565" s="15" t="n"/>
      <c r="J2565" s="19" t="n">
        <v>3</v>
      </c>
      <c r="K2565" s="2" t="inlineStr">
        <is>
          <t>marker_137_824372.png</t>
        </is>
      </c>
      <c r="L2565" s="11">
        <f>HYPERLINK("3\1\" &amp; K2565, "Ver Imagen")</f>
        <v/>
      </c>
      <c r="M2565" t="inlineStr">
        <is>
          <t>Moda</t>
        </is>
      </c>
    </row>
    <row r="2566">
      <c r="A2566" t="n">
        <v>2565</v>
      </c>
      <c r="B2566" t="inlineStr">
        <is>
          <t>A-492__118</t>
        </is>
      </c>
      <c r="C2566" s="1" t="n">
        <v>37.2777354132</v>
      </c>
      <c r="D2566" s="1" t="n">
        <v>-7.01120779867</v>
      </c>
      <c r="E2566" s="3" t="n">
        <v>2</v>
      </c>
      <c r="F2566" s="2" t="n">
        <v>3</v>
      </c>
      <c r="G2566" s="4" t="n">
        <v>3</v>
      </c>
      <c r="H2566" s="13" t="n"/>
      <c r="I2566" s="15" t="n"/>
      <c r="J2566" s="19" t="n">
        <v>3</v>
      </c>
      <c r="K2566" s="2" t="inlineStr">
        <is>
          <t>marker_937_824400.png</t>
        </is>
      </c>
      <c r="L2566" s="11">
        <f>HYPERLINK("3\1\" &amp; K2566, "Ver Imagen")</f>
        <v/>
      </c>
      <c r="M2566" t="inlineStr">
        <is>
          <t>Moda</t>
        </is>
      </c>
    </row>
    <row r="2567">
      <c r="A2567" t="n">
        <v>2566</v>
      </c>
      <c r="B2567" t="inlineStr">
        <is>
          <t>A-492__119</t>
        </is>
      </c>
      <c r="C2567" s="1" t="n">
        <v>37.2776066531</v>
      </c>
      <c r="D2567" s="1" t="n">
        <v>-7.01144215536</v>
      </c>
      <c r="E2567" s="3" t="n">
        <v>2</v>
      </c>
      <c r="F2567" s="2" t="n">
        <v>3</v>
      </c>
      <c r="G2567" s="4" t="n">
        <v>3</v>
      </c>
      <c r="H2567" s="13" t="n"/>
      <c r="I2567" s="15" t="n"/>
      <c r="J2567" s="19" t="n">
        <v>3</v>
      </c>
      <c r="K2567" s="2" t="inlineStr">
        <is>
          <t>marker_740_824413.png</t>
        </is>
      </c>
      <c r="L2567" s="11">
        <f>HYPERLINK("3\1\" &amp; K2567, "Ver Imagen")</f>
        <v/>
      </c>
      <c r="M2567" t="inlineStr">
        <is>
          <t>Moda</t>
        </is>
      </c>
    </row>
    <row r="2568">
      <c r="A2568" t="n">
        <v>2567</v>
      </c>
      <c r="B2568" t="inlineStr">
        <is>
          <t>A-492__121</t>
        </is>
      </c>
      <c r="C2568" s="1" t="n">
        <v>37.2773826562</v>
      </c>
      <c r="D2568" s="1" t="n">
        <v>-7.01185512675</v>
      </c>
      <c r="E2568" s="3" t="n">
        <v>2</v>
      </c>
      <c r="F2568" s="2" t="n">
        <v>3</v>
      </c>
      <c r="G2568" s="4" t="n">
        <v>3</v>
      </c>
      <c r="H2568" s="13" t="n"/>
      <c r="I2568" s="15" t="n"/>
      <c r="J2568" s="19" t="n">
        <v>3</v>
      </c>
      <c r="K2568" s="2" t="inlineStr">
        <is>
          <t>marker_431_824432.png</t>
        </is>
      </c>
      <c r="L2568" s="11">
        <f>HYPERLINK("3\1\" &amp; K2568, "Ver Imagen")</f>
        <v/>
      </c>
      <c r="M2568" t="inlineStr">
        <is>
          <t>Moda</t>
        </is>
      </c>
    </row>
    <row r="2569">
      <c r="A2569" t="n">
        <v>2568</v>
      </c>
      <c r="B2569" t="inlineStr">
        <is>
          <t>A-492__123</t>
        </is>
      </c>
      <c r="C2569" s="1" t="n">
        <v>37.2771657863</v>
      </c>
      <c r="D2569" s="1" t="n">
        <v>-7.01224789913</v>
      </c>
      <c r="E2569" s="3" t="n">
        <v>3</v>
      </c>
      <c r="F2569" s="2" t="n">
        <v>3</v>
      </c>
      <c r="G2569" s="4" t="n">
        <v>4</v>
      </c>
      <c r="H2569" s="13" t="n"/>
      <c r="I2569" s="15" t="n"/>
      <c r="J2569" s="19" t="n">
        <v>3</v>
      </c>
      <c r="K2569" s="2" t="inlineStr">
        <is>
          <t>marker_234_824457.png</t>
        </is>
      </c>
      <c r="L2569" s="11">
        <f>HYPERLINK("3\1\" &amp; K2569, "Ver Imagen")</f>
        <v/>
      </c>
      <c r="M2569" t="inlineStr">
        <is>
          <t>Moda</t>
        </is>
      </c>
    </row>
    <row r="2570">
      <c r="A2570" t="n">
        <v>2569</v>
      </c>
      <c r="B2570" t="inlineStr">
        <is>
          <t>A-492__125</t>
        </is>
      </c>
      <c r="C2570" s="1" t="n">
        <v>37.2769269834</v>
      </c>
      <c r="D2570" s="1" t="n">
        <v>-7.01268334542</v>
      </c>
      <c r="E2570" s="3" t="n">
        <v>2</v>
      </c>
      <c r="F2570" s="2" t="n">
        <v>3</v>
      </c>
      <c r="G2570" s="4" t="n">
        <v>3</v>
      </c>
      <c r="H2570" s="13" t="n"/>
      <c r="I2570" s="15" t="n"/>
      <c r="J2570" s="19" t="n">
        <v>3</v>
      </c>
      <c r="K2570" s="2" t="inlineStr">
        <is>
          <t>marker_106_824477.png</t>
        </is>
      </c>
      <c r="L2570" s="11">
        <f>HYPERLINK("3\1\" &amp; K2570, "Ver Imagen")</f>
        <v/>
      </c>
      <c r="M2570" t="inlineStr">
        <is>
          <t>Moda</t>
        </is>
      </c>
    </row>
    <row r="2571">
      <c r="A2571" t="n">
        <v>2570</v>
      </c>
      <c r="B2571" t="inlineStr">
        <is>
          <t>A-492__128</t>
        </is>
      </c>
      <c r="C2571" s="1" t="n">
        <v>37.2765965569</v>
      </c>
      <c r="D2571" s="1" t="n">
        <v>-7.01330981151</v>
      </c>
      <c r="E2571" s="3" t="n">
        <v>2</v>
      </c>
      <c r="F2571" s="2" t="n">
        <v>3</v>
      </c>
      <c r="G2571" s="4" t="n">
        <v>3</v>
      </c>
      <c r="H2571" s="13" t="n"/>
      <c r="I2571" s="15" t="n"/>
      <c r="J2571" s="19" t="n">
        <v>3</v>
      </c>
      <c r="K2571" s="2" t="inlineStr">
        <is>
          <t>marker_826_824513.png</t>
        </is>
      </c>
      <c r="L2571" s="11">
        <f>HYPERLINK("3\1\" &amp; K2571, "Ver Imagen")</f>
        <v/>
      </c>
      <c r="M2571" t="inlineStr">
        <is>
          <t>Moda</t>
        </is>
      </c>
    </row>
    <row r="2572">
      <c r="A2572" t="n">
        <v>2571</v>
      </c>
      <c r="B2572" t="inlineStr">
        <is>
          <t>A-492__136</t>
        </is>
      </c>
      <c r="C2572" s="1" t="n">
        <v>37.2759296849</v>
      </c>
      <c r="D2572" s="1" t="n">
        <v>-7.01508468679</v>
      </c>
      <c r="E2572" s="3" t="n">
        <v>2</v>
      </c>
      <c r="F2572" s="2" t="n">
        <v>3</v>
      </c>
      <c r="G2572" s="4" t="n">
        <v>3</v>
      </c>
      <c r="H2572" s="13" t="n"/>
      <c r="I2572" s="15" t="n"/>
      <c r="J2572" s="19" t="n">
        <v>3</v>
      </c>
      <c r="K2572" s="2" t="inlineStr">
        <is>
          <t>marker_234_824617.png</t>
        </is>
      </c>
      <c r="L2572" s="11">
        <f>HYPERLINK("3\1\" &amp; K2572, "Ver Imagen")</f>
        <v/>
      </c>
      <c r="M2572" t="inlineStr">
        <is>
          <t>Moda</t>
        </is>
      </c>
    </row>
    <row r="2573">
      <c r="A2573" t="n">
        <v>2572</v>
      </c>
      <c r="B2573" t="inlineStr">
        <is>
          <t>A-492__140</t>
        </is>
      </c>
      <c r="C2573" s="1" t="n">
        <v>37.2755097608</v>
      </c>
      <c r="D2573" s="1" t="n">
        <v>-7.01581115119</v>
      </c>
      <c r="E2573" s="3" t="n">
        <v>2</v>
      </c>
      <c r="F2573" s="2" t="n">
        <v>3</v>
      </c>
      <c r="G2573" s="4" t="n">
        <v>3</v>
      </c>
      <c r="H2573" s="13" t="n"/>
      <c r="I2573" s="15" t="n"/>
      <c r="J2573" s="19" t="n">
        <v>3</v>
      </c>
      <c r="K2573" s="2" t="inlineStr">
        <is>
          <t>marker_994_824673.png</t>
        </is>
      </c>
      <c r="L2573" s="11">
        <f>HYPERLINK("3\1\" &amp; K2573, "Ver Imagen")</f>
        <v/>
      </c>
      <c r="M2573" t="inlineStr">
        <is>
          <t>Moda</t>
        </is>
      </c>
    </row>
    <row r="2574">
      <c r="A2574" t="n">
        <v>2573</v>
      </c>
      <c r="B2574" t="inlineStr">
        <is>
          <t>A-492__166</t>
        </is>
      </c>
      <c r="C2574" s="1" t="n">
        <v>37.2760867684</v>
      </c>
      <c r="D2574" s="1" t="n">
        <v>-7.02225806174</v>
      </c>
      <c r="E2574" s="3" t="n">
        <v>2</v>
      </c>
      <c r="F2574" s="2" t="n">
        <v>3</v>
      </c>
      <c r="G2574" s="4" t="n">
        <v>3</v>
      </c>
      <c r="H2574" s="13" t="n"/>
      <c r="I2574" s="15" t="n"/>
      <c r="J2574" s="19" t="n">
        <v>3</v>
      </c>
      <c r="K2574" s="2" t="inlineStr">
        <is>
          <t>marker_496_831393.png</t>
        </is>
      </c>
      <c r="L2574" s="11">
        <f>HYPERLINK("3\1\" &amp; K2574, "Ver Imagen")</f>
        <v/>
      </c>
      <c r="M2574" t="inlineStr">
        <is>
          <t>Moda</t>
        </is>
      </c>
    </row>
    <row r="2575">
      <c r="A2575" t="n">
        <v>2574</v>
      </c>
      <c r="B2575" t="inlineStr">
        <is>
          <t>A-492__254</t>
        </is>
      </c>
      <c r="C2575" s="1" t="n">
        <v>37.2847982898</v>
      </c>
      <c r="D2575" s="1" t="n">
        <v>-7.03971221781</v>
      </c>
      <c r="E2575" s="3" t="n">
        <v>3</v>
      </c>
      <c r="F2575" s="2" t="n">
        <v>4</v>
      </c>
      <c r="G2575" s="4" t="n">
        <v>3</v>
      </c>
      <c r="H2575" s="13" t="n"/>
      <c r="I2575" s="15" t="n"/>
      <c r="J2575" s="19" t="n">
        <v>3</v>
      </c>
      <c r="K2575" s="2" t="inlineStr">
        <is>
          <t>marker_991_836163.png</t>
        </is>
      </c>
      <c r="L2575" s="11">
        <f>HYPERLINK("3\1\" &amp; K2575, "Ver Imagen")</f>
        <v/>
      </c>
      <c r="M2575" t="inlineStr">
        <is>
          <t>Moda</t>
        </is>
      </c>
    </row>
    <row r="2576">
      <c r="A2576" t="n">
        <v>2575</v>
      </c>
      <c r="B2576" t="inlineStr">
        <is>
          <t>A-492__272</t>
        </is>
      </c>
      <c r="C2576" s="1" t="n">
        <v>37.2876784509</v>
      </c>
      <c r="D2576" s="1" t="n">
        <v>-7.04227297491</v>
      </c>
      <c r="E2576" s="3" t="n">
        <v>3</v>
      </c>
      <c r="F2576" s="2" t="n">
        <v>3</v>
      </c>
      <c r="G2576" s="4" t="n">
        <v>4</v>
      </c>
      <c r="H2576" s="13" t="n"/>
      <c r="I2576" s="15" t="n"/>
      <c r="J2576" s="19" t="n">
        <v>3</v>
      </c>
      <c r="K2576" s="2" t="inlineStr">
        <is>
          <t>marker_315_836812.png</t>
        </is>
      </c>
      <c r="L2576" s="11">
        <f>HYPERLINK("3\1\" &amp; K2576, "Ver Imagen")</f>
        <v/>
      </c>
      <c r="M2576" t="inlineStr">
        <is>
          <t>Moda</t>
        </is>
      </c>
    </row>
    <row r="2577">
      <c r="A2577" t="n">
        <v>2576</v>
      </c>
      <c r="B2577" t="inlineStr">
        <is>
          <t>A-492__273</t>
        </is>
      </c>
      <c r="C2577" s="1" t="n">
        <v>37.2878834655</v>
      </c>
      <c r="D2577" s="1" t="n">
        <v>-7.04237649181</v>
      </c>
      <c r="E2577" s="3" t="n">
        <v>2</v>
      </c>
      <c r="F2577" s="2" t="n">
        <v>3</v>
      </c>
      <c r="G2577" s="4" t="n">
        <v>3</v>
      </c>
      <c r="H2577" s="13" t="n"/>
      <c r="I2577" s="15" t="n"/>
      <c r="J2577" s="19" t="n">
        <v>3</v>
      </c>
      <c r="K2577" s="2" t="inlineStr">
        <is>
          <t>marker_142_836827.png</t>
        </is>
      </c>
      <c r="L2577" s="11">
        <f>HYPERLINK("3\1\" &amp; K2577, "Ver Imagen")</f>
        <v/>
      </c>
      <c r="M2577" t="inlineStr">
        <is>
          <t>Moda</t>
        </is>
      </c>
    </row>
    <row r="2578">
      <c r="A2578" t="n">
        <v>2577</v>
      </c>
      <c r="B2578" t="inlineStr">
        <is>
          <t>A-492__286</t>
        </is>
      </c>
      <c r="C2578" s="1" t="n">
        <v>37.289779324</v>
      </c>
      <c r="D2578" s="1" t="n">
        <v>-7.04459986724</v>
      </c>
      <c r="E2578" s="3" t="n">
        <v>2</v>
      </c>
      <c r="F2578" s="2" t="n">
        <v>3</v>
      </c>
      <c r="G2578" s="4" t="n">
        <v>3</v>
      </c>
      <c r="H2578" s="13" t="n"/>
      <c r="I2578" s="15" t="n"/>
      <c r="J2578" s="19" t="n">
        <v>3</v>
      </c>
      <c r="K2578" s="2" t="inlineStr">
        <is>
          <t>marker_606_837369.png</t>
        </is>
      </c>
      <c r="L2578" s="11">
        <f>HYPERLINK("3\1\" &amp; K2578, "Ver Imagen")</f>
        <v/>
      </c>
      <c r="M2578" t="inlineStr">
        <is>
          <t>Moda</t>
        </is>
      </c>
    </row>
    <row r="2579">
      <c r="A2579" t="n">
        <v>2578</v>
      </c>
      <c r="B2579" t="inlineStr">
        <is>
          <t>A-492__321</t>
        </is>
      </c>
      <c r="C2579" s="1" t="n">
        <v>37.2954926517</v>
      </c>
      <c r="D2579" s="1" t="n">
        <v>-7.04921341109</v>
      </c>
      <c r="E2579" s="3" t="n">
        <v>2</v>
      </c>
      <c r="F2579" s="2" t="n">
        <v>3</v>
      </c>
      <c r="G2579" s="4" t="n">
        <v>3</v>
      </c>
      <c r="H2579" s="13" t="n"/>
      <c r="I2579" s="15" t="n"/>
      <c r="J2579" s="19" t="n">
        <v>3</v>
      </c>
      <c r="K2579" s="2" t="inlineStr">
        <is>
          <t>marker_542_837961.png</t>
        </is>
      </c>
      <c r="L2579" s="11">
        <f>HYPERLINK("3\1\" &amp; K2579, "Ver Imagen")</f>
        <v/>
      </c>
      <c r="M2579" t="inlineStr">
        <is>
          <t>Moda</t>
        </is>
      </c>
    </row>
    <row r="2580">
      <c r="A2580" t="n">
        <v>2579</v>
      </c>
      <c r="B2580" t="inlineStr">
        <is>
          <t>A-492__357</t>
        </is>
      </c>
      <c r="C2580" s="1" t="n">
        <v>37.3003968206</v>
      </c>
      <c r="D2580" s="1" t="n">
        <v>-7.05568820518</v>
      </c>
      <c r="E2580" s="3" t="n">
        <v>2</v>
      </c>
      <c r="F2580" s="2" t="n">
        <v>3</v>
      </c>
      <c r="G2580" s="4" t="n">
        <v>3</v>
      </c>
      <c r="H2580" s="13" t="n"/>
      <c r="I2580" s="15" t="n"/>
      <c r="J2580" s="19" t="n">
        <v>3</v>
      </c>
      <c r="K2580" s="2" t="inlineStr">
        <is>
          <t>marker_849_838595.png</t>
        </is>
      </c>
      <c r="L2580" s="11">
        <f>HYPERLINK("3\1\" &amp; K2580, "Ver Imagen")</f>
        <v/>
      </c>
      <c r="M2580" t="inlineStr">
        <is>
          <t>Moda</t>
        </is>
      </c>
    </row>
    <row r="2581">
      <c r="A2581" t="n">
        <v>2580</v>
      </c>
      <c r="B2581" t="inlineStr">
        <is>
          <t>A-492__358</t>
        </is>
      </c>
      <c r="C2581" s="1" t="n">
        <v>37.3005465383</v>
      </c>
      <c r="D2581" s="1" t="n">
        <v>-7.05582852906</v>
      </c>
      <c r="E2581" s="3" t="n">
        <v>2</v>
      </c>
      <c r="F2581" s="2" t="n">
        <v>3</v>
      </c>
      <c r="G2581" s="4" t="n">
        <v>3</v>
      </c>
      <c r="H2581" s="13" t="n"/>
      <c r="I2581" s="15" t="n"/>
      <c r="J2581" s="19" t="n">
        <v>3</v>
      </c>
      <c r="K2581" s="2" t="inlineStr">
        <is>
          <t>marker_377_838605.png</t>
        </is>
      </c>
      <c r="L2581" s="11">
        <f>HYPERLINK("3\1\" &amp; K2581, "Ver Imagen")</f>
        <v/>
      </c>
      <c r="M2581" t="inlineStr">
        <is>
          <t>Moda</t>
        </is>
      </c>
    </row>
    <row r="2582">
      <c r="A2582" t="n">
        <v>2581</v>
      </c>
      <c r="B2582" t="inlineStr">
        <is>
          <t>A-492__415</t>
        </is>
      </c>
      <c r="C2582" s="1" t="n">
        <v>37.3114523166</v>
      </c>
      <c r="D2582" s="1" t="n">
        <v>-7.0595034301</v>
      </c>
      <c r="E2582" s="3" t="n">
        <v>3</v>
      </c>
      <c r="F2582" s="2" t="n">
        <v>2</v>
      </c>
      <c r="G2582" s="4" t="n">
        <v>3</v>
      </c>
      <c r="H2582" s="13" t="n"/>
      <c r="I2582" s="15" t="n"/>
      <c r="J2582" s="19" t="n">
        <v>3</v>
      </c>
      <c r="K2582" s="2" t="inlineStr">
        <is>
          <t>marker_873_839343.png</t>
        </is>
      </c>
      <c r="L2582" s="11">
        <f>HYPERLINK("3\1\" &amp; K2582, "Ver Imagen")</f>
        <v/>
      </c>
      <c r="M2582" t="inlineStr">
        <is>
          <t>Moda</t>
        </is>
      </c>
    </row>
    <row r="2583">
      <c r="A2583" t="n">
        <v>2582</v>
      </c>
      <c r="B2583" t="inlineStr">
        <is>
          <t>A-495R__19</t>
        </is>
      </c>
      <c r="C2583" s="1" t="n">
        <v>37.4485266077</v>
      </c>
      <c r="D2583" s="1" t="n">
        <v>-7.10961518538</v>
      </c>
      <c r="E2583" s="3" t="n">
        <v>2</v>
      </c>
      <c r="F2583" s="2" t="n">
        <v>3</v>
      </c>
      <c r="G2583" s="4" t="n">
        <v>3</v>
      </c>
      <c r="H2583" s="13" t="n"/>
      <c r="I2583" s="15" t="n"/>
      <c r="J2583" s="19" t="n">
        <v>3</v>
      </c>
      <c r="K2583" s="2" t="inlineStr">
        <is>
          <t>marker_147_936741.png</t>
        </is>
      </c>
      <c r="L2583" s="11">
        <f>HYPERLINK("3\1\" &amp; K2583, "Ver Imagen")</f>
        <v/>
      </c>
      <c r="M2583" t="inlineStr">
        <is>
          <t>Moda</t>
        </is>
      </c>
    </row>
    <row r="2584">
      <c r="A2584" t="n">
        <v>2583</v>
      </c>
      <c r="B2584" t="inlineStr">
        <is>
          <t>A-495R__15</t>
        </is>
      </c>
      <c r="C2584" s="1" t="n">
        <v>37.4478140853</v>
      </c>
      <c r="D2584" s="1" t="n">
        <v>-7.10918245248</v>
      </c>
      <c r="E2584" s="3" t="n">
        <v>2</v>
      </c>
      <c r="F2584" s="2" t="n">
        <v>3</v>
      </c>
      <c r="G2584" s="4" t="n">
        <v>3</v>
      </c>
      <c r="H2584" s="13" t="n"/>
      <c r="I2584" s="15" t="n"/>
      <c r="J2584" s="19" t="n">
        <v>3</v>
      </c>
      <c r="K2584" s="2" t="inlineStr">
        <is>
          <t>marker_263_936851.png</t>
        </is>
      </c>
      <c r="L2584" s="11">
        <f>HYPERLINK("3\1\" &amp; K2584, "Ver Imagen")</f>
        <v/>
      </c>
      <c r="M2584" t="inlineStr">
        <is>
          <t>Moda</t>
        </is>
      </c>
    </row>
    <row r="2585">
      <c r="A2585" t="n">
        <v>2584</v>
      </c>
      <c r="B2585" t="inlineStr">
        <is>
          <t>A-495R__14</t>
        </is>
      </c>
      <c r="C2585" s="1" t="n">
        <v>37.4476152561</v>
      </c>
      <c r="D2585" s="1" t="n">
        <v>-7.10903686063</v>
      </c>
      <c r="E2585" s="3" t="n">
        <v>2</v>
      </c>
      <c r="F2585" s="2" t="n">
        <v>3</v>
      </c>
      <c r="G2585" s="4" t="n">
        <v>3</v>
      </c>
      <c r="H2585" s="13" t="n"/>
      <c r="I2585" s="15" t="n"/>
      <c r="J2585" s="19" t="n">
        <v>3</v>
      </c>
      <c r="K2585" s="2" t="inlineStr">
        <is>
          <t>marker_825_936865.png</t>
        </is>
      </c>
      <c r="L2585" s="11">
        <f>HYPERLINK("3\1\" &amp; K2585, "Ver Imagen")</f>
        <v/>
      </c>
      <c r="M2585" t="inlineStr">
        <is>
          <t>Moda</t>
        </is>
      </c>
    </row>
    <row r="2586">
      <c r="A2586" t="n">
        <v>2585</v>
      </c>
      <c r="B2586" t="inlineStr">
        <is>
          <t>A-495R__13</t>
        </is>
      </c>
      <c r="C2586" s="1" t="n">
        <v>37.4474470561</v>
      </c>
      <c r="D2586" s="1" t="n">
        <v>-7.10891486882</v>
      </c>
      <c r="E2586" s="3" t="n">
        <v>2</v>
      </c>
      <c r="F2586" s="2" t="n">
        <v>3</v>
      </c>
      <c r="G2586" s="4" t="n">
        <v>3</v>
      </c>
      <c r="H2586" s="13" t="n"/>
      <c r="I2586" s="15" t="n"/>
      <c r="J2586" s="19" t="n">
        <v>3</v>
      </c>
      <c r="K2586" s="2" t="inlineStr">
        <is>
          <t>marker_503_936874.png</t>
        </is>
      </c>
      <c r="L2586" s="11">
        <f>HYPERLINK("3\1\" &amp; K2586, "Ver Imagen")</f>
        <v/>
      </c>
      <c r="M2586" t="inlineStr">
        <is>
          <t>Moda</t>
        </is>
      </c>
    </row>
    <row r="2587">
      <c r="A2587" t="n">
        <v>2586</v>
      </c>
      <c r="B2587" t="inlineStr">
        <is>
          <t>A-495R__12</t>
        </is>
      </c>
      <c r="C2587" s="1" t="n">
        <v>37.4472774363</v>
      </c>
      <c r="D2587" s="1" t="n">
        <v>-7.10878937568</v>
      </c>
      <c r="E2587" s="3" t="n">
        <v>2</v>
      </c>
      <c r="F2587" s="2" t="n">
        <v>3</v>
      </c>
      <c r="G2587" s="4" t="n">
        <v>3</v>
      </c>
      <c r="H2587" s="13" t="n"/>
      <c r="I2587" s="15" t="n"/>
      <c r="J2587" s="19" t="n">
        <v>3</v>
      </c>
      <c r="K2587" s="2" t="inlineStr">
        <is>
          <t>marker_845_936898.png</t>
        </is>
      </c>
      <c r="L2587" s="11">
        <f>HYPERLINK("3\1\" &amp; K2587, "Ver Imagen")</f>
        <v/>
      </c>
      <c r="M2587" t="inlineStr">
        <is>
          <t>Moda</t>
        </is>
      </c>
    </row>
    <row r="2588">
      <c r="A2588" t="n">
        <v>2587</v>
      </c>
      <c r="B2588" t="inlineStr">
        <is>
          <t>A-495R__11</t>
        </is>
      </c>
      <c r="C2588" s="1" t="n">
        <v>37.4471408008</v>
      </c>
      <c r="D2588" s="1" t="n">
        <v>-7.10865388001</v>
      </c>
      <c r="E2588" s="3" t="n">
        <v>2</v>
      </c>
      <c r="F2588" s="2" t="n">
        <v>3</v>
      </c>
      <c r="G2588" s="4" t="n">
        <v>3</v>
      </c>
      <c r="H2588" s="13" t="n"/>
      <c r="I2588" s="15" t="n"/>
      <c r="J2588" s="19" t="n">
        <v>3</v>
      </c>
      <c r="K2588" s="2" t="inlineStr">
        <is>
          <t>marker_697_936909.png</t>
        </is>
      </c>
      <c r="L2588" s="11">
        <f>HYPERLINK("3\1\" &amp; K2588, "Ver Imagen")</f>
        <v/>
      </c>
      <c r="M2588" t="inlineStr">
        <is>
          <t>Moda</t>
        </is>
      </c>
    </row>
    <row r="2589">
      <c r="A2589" t="n">
        <v>2588</v>
      </c>
      <c r="B2589" t="inlineStr">
        <is>
          <t>A-495R__10</t>
        </is>
      </c>
      <c r="C2589" s="1" t="n">
        <v>37.4470075412</v>
      </c>
      <c r="D2589" s="1" t="n">
        <v>-7.10843761993</v>
      </c>
      <c r="E2589" s="3" t="n">
        <v>2</v>
      </c>
      <c r="F2589" s="2" t="n">
        <v>3</v>
      </c>
      <c r="G2589" s="4" t="n">
        <v>3</v>
      </c>
      <c r="H2589" s="13" t="n"/>
      <c r="I2589" s="15" t="n"/>
      <c r="J2589" s="19" t="n">
        <v>3</v>
      </c>
      <c r="K2589" s="2" t="inlineStr">
        <is>
          <t>marker_886_936926.png</t>
        </is>
      </c>
      <c r="L2589" s="11">
        <f>HYPERLINK("3\1\" &amp; K2589, "Ver Imagen")</f>
        <v/>
      </c>
      <c r="M2589" t="inlineStr">
        <is>
          <t>Moda</t>
        </is>
      </c>
    </row>
    <row r="2590">
      <c r="A2590" t="n">
        <v>2589</v>
      </c>
      <c r="B2590" t="inlineStr">
        <is>
          <t>A-497__90</t>
        </is>
      </c>
      <c r="C2590" s="1" t="n">
        <v>37.2696191909</v>
      </c>
      <c r="D2590" s="1" t="n">
        <v>-6.9781350029</v>
      </c>
      <c r="E2590" s="3" t="n">
        <v>3</v>
      </c>
      <c r="F2590" s="2" t="n">
        <v>4</v>
      </c>
      <c r="G2590" s="4" t="n">
        <v>3</v>
      </c>
      <c r="H2590" s="13" t="n"/>
      <c r="I2590" s="15" t="n"/>
      <c r="J2590" s="19" t="n">
        <v>3</v>
      </c>
      <c r="K2590" s="2" t="inlineStr">
        <is>
          <t>marker_558_937311.png</t>
        </is>
      </c>
      <c r="L2590" s="11">
        <f>HYPERLINK("3\1\" &amp; K2590, "Ver Imagen")</f>
        <v/>
      </c>
      <c r="M2590" t="inlineStr">
        <is>
          <t>Moda</t>
        </is>
      </c>
    </row>
    <row r="2591">
      <c r="A2591" t="n">
        <v>2590</v>
      </c>
      <c r="B2591" t="inlineStr">
        <is>
          <t>A-497__63</t>
        </is>
      </c>
      <c r="C2591" s="1" t="n">
        <v>37.2681097233</v>
      </c>
      <c r="D2591" s="1" t="n">
        <v>-6.97152780355</v>
      </c>
      <c r="E2591" s="3" t="n">
        <v>3</v>
      </c>
      <c r="F2591" s="2" t="n">
        <v>4</v>
      </c>
      <c r="G2591" s="4" t="n">
        <v>3</v>
      </c>
      <c r="H2591" s="13" t="n"/>
      <c r="I2591" s="15" t="n"/>
      <c r="J2591" s="19" t="n">
        <v>3</v>
      </c>
      <c r="K2591" s="2" t="inlineStr">
        <is>
          <t>marker_744_938226.png</t>
        </is>
      </c>
      <c r="L2591" s="11">
        <f>HYPERLINK("3\1\" &amp; K2591, "Ver Imagen")</f>
        <v/>
      </c>
      <c r="M2591" t="inlineStr">
        <is>
          <t>Moda</t>
        </is>
      </c>
    </row>
    <row r="2592">
      <c r="A2592" t="n">
        <v>2591</v>
      </c>
      <c r="B2592" t="inlineStr">
        <is>
          <t>A-497__62</t>
        </is>
      </c>
      <c r="C2592" s="1" t="n">
        <v>37.2680820975</v>
      </c>
      <c r="D2592" s="1" t="n">
        <v>-6.97134723109</v>
      </c>
      <c r="E2592" s="3" t="n">
        <v>3</v>
      </c>
      <c r="F2592" s="2" t="n">
        <v>4</v>
      </c>
      <c r="G2592" s="4" t="n">
        <v>3</v>
      </c>
      <c r="H2592" s="13" t="n"/>
      <c r="I2592" s="15" t="n"/>
      <c r="J2592" s="19" t="n">
        <v>3</v>
      </c>
      <c r="K2592" s="2" t="inlineStr">
        <is>
          <t>marker_482_938242.png</t>
        </is>
      </c>
      <c r="L2592" s="11">
        <f>HYPERLINK("3\1\" &amp; K2592, "Ver Imagen")</f>
        <v/>
      </c>
      <c r="M2592" t="inlineStr">
        <is>
          <t>Moda</t>
        </is>
      </c>
    </row>
    <row r="2593">
      <c r="A2593" t="n">
        <v>2592</v>
      </c>
      <c r="B2593" t="inlineStr">
        <is>
          <t>A-497__61</t>
        </is>
      </c>
      <c r="C2593" s="1" t="n">
        <v>37.2680438328</v>
      </c>
      <c r="D2593" s="1" t="n">
        <v>-6.97109074537</v>
      </c>
      <c r="E2593" s="3" t="n">
        <v>3</v>
      </c>
      <c r="F2593" s="2" t="n">
        <v>4</v>
      </c>
      <c r="G2593" s="4" t="n">
        <v>3</v>
      </c>
      <c r="H2593" s="13" t="n"/>
      <c r="I2593" s="15" t="n"/>
      <c r="J2593" s="19" t="n">
        <v>3</v>
      </c>
      <c r="K2593" s="2" t="inlineStr">
        <is>
          <t>marker_152_938251.png</t>
        </is>
      </c>
      <c r="L2593" s="11">
        <f>HYPERLINK("3\1\" &amp; K2593, "Ver Imagen")</f>
        <v/>
      </c>
      <c r="M2593" t="inlineStr">
        <is>
          <t>Moda</t>
        </is>
      </c>
    </row>
    <row r="2594">
      <c r="A2594" t="n">
        <v>2593</v>
      </c>
      <c r="B2594" t="inlineStr">
        <is>
          <t>A-497__27</t>
        </is>
      </c>
      <c r="C2594" s="1" t="n">
        <v>37.2674882904</v>
      </c>
      <c r="D2594" s="1" t="n">
        <v>-6.96251427022</v>
      </c>
      <c r="E2594" s="3" t="n">
        <v>2</v>
      </c>
      <c r="F2594" s="2" t="n">
        <v>3</v>
      </c>
      <c r="G2594" s="4" t="n">
        <v>3</v>
      </c>
      <c r="H2594" s="13" t="n"/>
      <c r="I2594" s="15" t="n"/>
      <c r="J2594" s="19" t="n">
        <v>3</v>
      </c>
      <c r="K2594" s="2" t="inlineStr">
        <is>
          <t>marker_709_940902.png</t>
        </is>
      </c>
      <c r="L2594" s="11">
        <f>HYPERLINK("3\1\" &amp; K2594, "Ver Imagen")</f>
        <v/>
      </c>
      <c r="M2594" t="inlineStr">
        <is>
          <t>Moda</t>
        </is>
      </c>
    </row>
    <row r="2595">
      <c r="A2595" t="n">
        <v>2594</v>
      </c>
      <c r="B2595" t="inlineStr">
        <is>
          <t>A-497__17</t>
        </is>
      </c>
      <c r="C2595" s="1" t="n">
        <v>37.2672836332</v>
      </c>
      <c r="D2595" s="1" t="n">
        <v>-6.96000160358</v>
      </c>
      <c r="E2595" s="3" t="n">
        <v>2</v>
      </c>
      <c r="F2595" s="2" t="n">
        <v>3</v>
      </c>
      <c r="G2595" s="4" t="n">
        <v>3</v>
      </c>
      <c r="H2595" s="13" t="n"/>
      <c r="I2595" s="15" t="n"/>
      <c r="J2595" s="19" t="n">
        <v>3</v>
      </c>
      <c r="K2595" s="2" t="inlineStr">
        <is>
          <t>marker_236_943812.png</t>
        </is>
      </c>
      <c r="L2595" s="11">
        <f>HYPERLINK("3\1\" &amp; K2595, "Ver Imagen")</f>
        <v/>
      </c>
      <c r="M2595" t="inlineStr">
        <is>
          <t>Moda</t>
        </is>
      </c>
    </row>
    <row r="2596">
      <c r="A2596" t="n">
        <v>2595</v>
      </c>
      <c r="B2596" t="inlineStr">
        <is>
          <t>A-497__11</t>
        </is>
      </c>
      <c r="C2596" s="1" t="n">
        <v>37.2669917322</v>
      </c>
      <c r="D2596" s="1" t="n">
        <v>-6.9585729871</v>
      </c>
      <c r="E2596" s="3" t="n">
        <v>2</v>
      </c>
      <c r="F2596" s="2" t="n">
        <v>3</v>
      </c>
      <c r="G2596" s="4" t="n">
        <v>3</v>
      </c>
      <c r="H2596" s="13" t="n"/>
      <c r="I2596" s="15" t="n"/>
      <c r="J2596" s="19" t="n">
        <v>3</v>
      </c>
      <c r="K2596" s="2" t="inlineStr">
        <is>
          <t>marker_253_943964.png</t>
        </is>
      </c>
      <c r="L2596" s="11">
        <f>HYPERLINK("3\1\" &amp; K2596, "Ver Imagen")</f>
        <v/>
      </c>
      <c r="M2596" t="inlineStr">
        <is>
          <t>Moda</t>
        </is>
      </c>
    </row>
    <row r="2597">
      <c r="A2597" t="n">
        <v>2596</v>
      </c>
      <c r="B2597" t="inlineStr">
        <is>
          <t>A-497__10</t>
        </is>
      </c>
      <c r="C2597" s="1" t="n">
        <v>37.2668950719</v>
      </c>
      <c r="D2597" s="1" t="n">
        <v>-6.95835431409</v>
      </c>
      <c r="E2597" s="3" t="n">
        <v>3</v>
      </c>
      <c r="F2597" s="2" t="n">
        <v>4</v>
      </c>
      <c r="G2597" s="4" t="n">
        <v>3</v>
      </c>
      <c r="H2597" s="13" t="n"/>
      <c r="I2597" s="15" t="n"/>
      <c r="J2597" s="19" t="n">
        <v>3</v>
      </c>
      <c r="K2597" s="2" t="inlineStr">
        <is>
          <t>marker_314_943975.png</t>
        </is>
      </c>
      <c r="L2597" s="11">
        <f>HYPERLINK("3\1\" &amp; K2597, "Ver Imagen")</f>
        <v/>
      </c>
      <c r="M2597" t="inlineStr">
        <is>
          <t>Moda</t>
        </is>
      </c>
    </row>
    <row r="2598">
      <c r="A2598" t="n">
        <v>2597</v>
      </c>
      <c r="B2598" t="inlineStr">
        <is>
          <t>A-497__7</t>
        </is>
      </c>
      <c r="C2598" s="1" t="n">
        <v>37.2666011903</v>
      </c>
      <c r="D2598" s="1" t="n">
        <v>-6.9577077169</v>
      </c>
      <c r="E2598" s="3" t="n">
        <v>2</v>
      </c>
      <c r="F2598" s="2" t="n">
        <v>3</v>
      </c>
      <c r="G2598" s="4" t="n">
        <v>3</v>
      </c>
      <c r="H2598" s="13" t="n"/>
      <c r="I2598" s="15" t="n"/>
      <c r="J2598" s="19" t="n">
        <v>3</v>
      </c>
      <c r="K2598" s="2" t="inlineStr">
        <is>
          <t>marker_825_944007.png</t>
        </is>
      </c>
      <c r="L2598" s="11">
        <f>HYPERLINK("3\1\" &amp; K2598, "Ver Imagen")</f>
        <v/>
      </c>
      <c r="M2598" t="inlineStr">
        <is>
          <t>Moda</t>
        </is>
      </c>
    </row>
    <row r="2599">
      <c r="A2599" t="n">
        <v>2598</v>
      </c>
      <c r="B2599" t="inlineStr">
        <is>
          <t>A-5050__182</t>
        </is>
      </c>
      <c r="C2599" s="1" t="n">
        <v>37.1898788001</v>
      </c>
      <c r="D2599" s="1" t="n">
        <v>-6.98856150942</v>
      </c>
      <c r="E2599" s="3" t="n">
        <v>2</v>
      </c>
      <c r="F2599" s="2" t="n">
        <v>3</v>
      </c>
      <c r="G2599" s="4" t="n">
        <v>3</v>
      </c>
      <c r="H2599" s="13" t="n"/>
      <c r="I2599" s="15" t="n"/>
      <c r="J2599" s="19" t="n">
        <v>3</v>
      </c>
      <c r="K2599" s="2" t="inlineStr">
        <is>
          <t>marker_946_944153.png</t>
        </is>
      </c>
      <c r="L2599" s="11">
        <f>HYPERLINK("3\1\" &amp; K2599, "Ver Imagen")</f>
        <v/>
      </c>
      <c r="M2599" t="inlineStr">
        <is>
          <t>Moda</t>
        </is>
      </c>
    </row>
    <row r="2600">
      <c r="A2600" t="n">
        <v>2599</v>
      </c>
      <c r="B2600" t="inlineStr">
        <is>
          <t>A-5050__179</t>
        </is>
      </c>
      <c r="C2600" s="1" t="n">
        <v>37.1901824408</v>
      </c>
      <c r="D2600" s="1" t="n">
        <v>-6.98924080101</v>
      </c>
      <c r="E2600" s="3" t="n">
        <v>2</v>
      </c>
      <c r="F2600" s="2" t="n">
        <v>3</v>
      </c>
      <c r="G2600" s="4" t="n">
        <v>3</v>
      </c>
      <c r="H2600" s="13" t="n"/>
      <c r="I2600" s="15" t="n"/>
      <c r="J2600" s="19" t="n">
        <v>3</v>
      </c>
      <c r="K2600" s="2" t="inlineStr">
        <is>
          <t>marker_265_944183.png</t>
        </is>
      </c>
      <c r="L2600" s="11">
        <f>HYPERLINK("3\1\" &amp; K2600, "Ver Imagen")</f>
        <v/>
      </c>
      <c r="M2600" t="inlineStr">
        <is>
          <t>Moda</t>
        </is>
      </c>
    </row>
    <row r="2601">
      <c r="A2601" t="n">
        <v>2600</v>
      </c>
      <c r="B2601" t="inlineStr">
        <is>
          <t>A-5050__178</t>
        </is>
      </c>
      <c r="C2601" s="1" t="n">
        <v>37.1902881339</v>
      </c>
      <c r="D2601" s="1" t="n">
        <v>-6.98947653049</v>
      </c>
      <c r="E2601" s="3" t="n">
        <v>2</v>
      </c>
      <c r="F2601" s="2" t="n">
        <v>3</v>
      </c>
      <c r="G2601" s="4" t="n">
        <v>3</v>
      </c>
      <c r="H2601" s="13" t="n"/>
      <c r="I2601" s="15" t="n"/>
      <c r="J2601" s="19" t="n">
        <v>3</v>
      </c>
      <c r="K2601" s="2" t="inlineStr">
        <is>
          <t>marker_965_944201.png</t>
        </is>
      </c>
      <c r="L2601" s="11">
        <f>HYPERLINK("3\1\" &amp; K2601, "Ver Imagen")</f>
        <v/>
      </c>
      <c r="M2601" t="inlineStr">
        <is>
          <t>Moda</t>
        </is>
      </c>
    </row>
    <row r="2602">
      <c r="A2602" t="n">
        <v>2601</v>
      </c>
      <c r="B2602" t="inlineStr">
        <is>
          <t>A-5050__177</t>
        </is>
      </c>
      <c r="C2602" s="1" t="n">
        <v>37.1903620705</v>
      </c>
      <c r="D2602" s="1" t="n">
        <v>-6.98963989698</v>
      </c>
      <c r="E2602" s="3" t="n">
        <v>2</v>
      </c>
      <c r="F2602" s="2" t="n">
        <v>3</v>
      </c>
      <c r="G2602" s="4" t="n">
        <v>3</v>
      </c>
      <c r="H2602" s="13" t="n"/>
      <c r="I2602" s="15" t="n"/>
      <c r="J2602" s="19" t="n">
        <v>3</v>
      </c>
      <c r="K2602" s="2" t="inlineStr">
        <is>
          <t>marker_289_944211.png</t>
        </is>
      </c>
      <c r="L2602" s="11">
        <f>HYPERLINK("3\1\" &amp; K2602, "Ver Imagen")</f>
        <v/>
      </c>
      <c r="M2602" t="inlineStr">
        <is>
          <t>Moda</t>
        </is>
      </c>
    </row>
    <row r="2603">
      <c r="A2603" t="n">
        <v>2602</v>
      </c>
      <c r="B2603" t="inlineStr">
        <is>
          <t>A-5050__176</t>
        </is>
      </c>
      <c r="C2603" s="1" t="n">
        <v>37.1904736033</v>
      </c>
      <c r="D2603" s="1" t="n">
        <v>-6.9898789545</v>
      </c>
      <c r="E2603" s="3" t="n">
        <v>2</v>
      </c>
      <c r="F2603" s="2" t="n">
        <v>3</v>
      </c>
      <c r="G2603" s="4" t="n">
        <v>3</v>
      </c>
      <c r="H2603" s="13" t="n"/>
      <c r="I2603" s="15" t="n"/>
      <c r="J2603" s="19" t="n">
        <v>3</v>
      </c>
      <c r="K2603" s="2" t="inlineStr">
        <is>
          <t>marker_466_944221.png</t>
        </is>
      </c>
      <c r="L2603" s="11">
        <f>HYPERLINK("3\1\" &amp; K2603, "Ver Imagen")</f>
        <v/>
      </c>
      <c r="M2603" t="inlineStr">
        <is>
          <t>Moda</t>
        </is>
      </c>
    </row>
    <row r="2604">
      <c r="A2604" t="n">
        <v>2603</v>
      </c>
      <c r="B2604" t="inlineStr">
        <is>
          <t>A-5050__175</t>
        </is>
      </c>
      <c r="C2604" s="1" t="n">
        <v>37.1905746632</v>
      </c>
      <c r="D2604" s="1" t="n">
        <v>-6.99009123174</v>
      </c>
      <c r="E2604" s="3" t="n">
        <v>2</v>
      </c>
      <c r="F2604" s="2" t="n">
        <v>3</v>
      </c>
      <c r="G2604" s="4" t="n">
        <v>3</v>
      </c>
      <c r="H2604" s="13" t="n"/>
      <c r="I2604" s="15" t="n"/>
      <c r="J2604" s="19" t="n">
        <v>3</v>
      </c>
      <c r="K2604" s="2" t="inlineStr">
        <is>
          <t>marker_244_944231.png</t>
        </is>
      </c>
      <c r="L2604" s="11">
        <f>HYPERLINK("3\1\" &amp; K2604, "Ver Imagen")</f>
        <v/>
      </c>
      <c r="M2604" t="inlineStr">
        <is>
          <t>Moda</t>
        </is>
      </c>
    </row>
    <row r="2605">
      <c r="A2605" t="n">
        <v>2604</v>
      </c>
      <c r="B2605" t="inlineStr">
        <is>
          <t>A-5050__161</t>
        </is>
      </c>
      <c r="C2605" s="1" t="n">
        <v>37.1920400922</v>
      </c>
      <c r="D2605" s="1" t="n">
        <v>-6.99314273374</v>
      </c>
      <c r="E2605" s="3" t="n">
        <v>2</v>
      </c>
      <c r="F2605" s="2" t="n">
        <v>3</v>
      </c>
      <c r="G2605" s="4" t="n">
        <v>3</v>
      </c>
      <c r="H2605" s="13" t="n"/>
      <c r="I2605" s="15" t="n"/>
      <c r="J2605" s="19" t="n">
        <v>3</v>
      </c>
      <c r="K2605" s="2" t="inlineStr">
        <is>
          <t>marker_904_944679.png</t>
        </is>
      </c>
      <c r="L2605" s="11">
        <f>HYPERLINK("3\1\" &amp; K2605, "Ver Imagen")</f>
        <v/>
      </c>
      <c r="M2605" t="inlineStr">
        <is>
          <t>Moda</t>
        </is>
      </c>
    </row>
    <row r="2606">
      <c r="A2606" t="n">
        <v>2605</v>
      </c>
      <c r="B2606" t="inlineStr">
        <is>
          <t>A-5050__156</t>
        </is>
      </c>
      <c r="C2606" s="1" t="n">
        <v>37.1925500297</v>
      </c>
      <c r="D2606" s="1" t="n">
        <v>-6.99423232102</v>
      </c>
      <c r="E2606" s="3" t="n">
        <v>3</v>
      </c>
      <c r="F2606" s="2" t="n">
        <v>3</v>
      </c>
      <c r="G2606" s="4" t="n">
        <v>4</v>
      </c>
      <c r="H2606" s="13" t="n"/>
      <c r="I2606" s="15" t="n"/>
      <c r="J2606" s="19" t="n">
        <v>3</v>
      </c>
      <c r="K2606" s="2" t="inlineStr">
        <is>
          <t>marker_497_945302.png</t>
        </is>
      </c>
      <c r="L2606" s="11">
        <f>HYPERLINK("3\1\" &amp; K2606, "Ver Imagen")</f>
        <v/>
      </c>
      <c r="M2606" t="inlineStr">
        <is>
          <t>Moda</t>
        </is>
      </c>
    </row>
    <row r="2607">
      <c r="A2607" t="n">
        <v>2606</v>
      </c>
      <c r="B2607" t="inlineStr">
        <is>
          <t>A-5050__154</t>
        </is>
      </c>
      <c r="C2607" s="1" t="n">
        <v>37.1927436505</v>
      </c>
      <c r="D2607" s="1" t="n">
        <v>-6.99467940284</v>
      </c>
      <c r="E2607" s="3" t="n">
        <v>2</v>
      </c>
      <c r="F2607" s="2" t="n">
        <v>3</v>
      </c>
      <c r="G2607" s="4" t="n">
        <v>3</v>
      </c>
      <c r="H2607" s="13" t="n"/>
      <c r="I2607" s="15" t="n"/>
      <c r="J2607" s="19" t="n">
        <v>3</v>
      </c>
      <c r="K2607" s="2" t="inlineStr">
        <is>
          <t>marker_954_945330.png</t>
        </is>
      </c>
      <c r="L2607" s="11">
        <f>HYPERLINK("3\1\" &amp; K2607, "Ver Imagen")</f>
        <v/>
      </c>
      <c r="M2607" t="inlineStr">
        <is>
          <t>Moda</t>
        </is>
      </c>
    </row>
    <row r="2608">
      <c r="A2608" t="n">
        <v>2607</v>
      </c>
      <c r="B2608" t="inlineStr">
        <is>
          <t>A-5050__149</t>
        </is>
      </c>
      <c r="C2608" s="1" t="n">
        <v>37.1931991687</v>
      </c>
      <c r="D2608" s="1" t="n">
        <v>-6.99581569846</v>
      </c>
      <c r="E2608" s="3" t="n">
        <v>2</v>
      </c>
      <c r="F2608" s="2" t="n">
        <v>3</v>
      </c>
      <c r="G2608" s="4" t="n">
        <v>3</v>
      </c>
      <c r="H2608" s="13" t="n"/>
      <c r="I2608" s="15" t="n"/>
      <c r="J2608" s="19" t="n">
        <v>3</v>
      </c>
      <c r="K2608" s="2" t="inlineStr">
        <is>
          <t>marker_109_945402.png</t>
        </is>
      </c>
      <c r="L2608" s="11">
        <f>HYPERLINK("3\1\" &amp; K2608, "Ver Imagen")</f>
        <v/>
      </c>
      <c r="M2608" t="inlineStr">
        <is>
          <t>Moda</t>
        </is>
      </c>
    </row>
    <row r="2609">
      <c r="A2609" t="n">
        <v>2608</v>
      </c>
      <c r="B2609" t="inlineStr">
        <is>
          <t>A-5050__142</t>
        </is>
      </c>
      <c r="C2609" s="1" t="n">
        <v>37.1938583194</v>
      </c>
      <c r="D2609" s="1" t="n">
        <v>-6.99736739777</v>
      </c>
      <c r="E2609" s="3" t="n">
        <v>3</v>
      </c>
      <c r="F2609" s="2" t="n">
        <v>2</v>
      </c>
      <c r="G2609" s="4" t="n">
        <v>3</v>
      </c>
      <c r="H2609" s="13" t="n"/>
      <c r="I2609" s="15" t="n"/>
      <c r="J2609" s="19" t="n">
        <v>3</v>
      </c>
      <c r="K2609" s="2" t="inlineStr">
        <is>
          <t>marker_192_945819.png</t>
        </is>
      </c>
      <c r="L2609" s="11">
        <f>HYPERLINK("3\1\" &amp; K2609, "Ver Imagen")</f>
        <v/>
      </c>
      <c r="M2609" t="inlineStr">
        <is>
          <t>Moda</t>
        </is>
      </c>
    </row>
    <row r="2610">
      <c r="A2610" t="n">
        <v>2609</v>
      </c>
      <c r="B2610" t="inlineStr">
        <is>
          <t>A-5050__130</t>
        </is>
      </c>
      <c r="C2610" s="1" t="n">
        <v>37.194963737</v>
      </c>
      <c r="D2610" s="1" t="n">
        <v>-7.00005767047</v>
      </c>
      <c r="E2610" s="3" t="n">
        <v>2</v>
      </c>
      <c r="F2610" s="2" t="n">
        <v>3</v>
      </c>
      <c r="G2610" s="4" t="n">
        <v>3</v>
      </c>
      <c r="H2610" s="13" t="n"/>
      <c r="I2610" s="15" t="n"/>
      <c r="J2610" s="19" t="n">
        <v>3</v>
      </c>
      <c r="K2610" s="2" t="inlineStr">
        <is>
          <t>marker_444_945945.png</t>
        </is>
      </c>
      <c r="L2610" s="11">
        <f>HYPERLINK("3\1\" &amp; K2610, "Ver Imagen")</f>
        <v/>
      </c>
      <c r="M2610" t="inlineStr">
        <is>
          <t>Moda</t>
        </is>
      </c>
    </row>
    <row r="2611">
      <c r="A2611" t="n">
        <v>2610</v>
      </c>
      <c r="B2611" t="inlineStr">
        <is>
          <t>A-5050__126</t>
        </is>
      </c>
      <c r="C2611" s="1" t="n">
        <v>37.1953454552</v>
      </c>
      <c r="D2611" s="1" t="n">
        <v>-7.00098591564</v>
      </c>
      <c r="E2611" s="3" t="n">
        <v>2</v>
      </c>
      <c r="F2611" s="2" t="n">
        <v>3</v>
      </c>
      <c r="G2611" s="4" t="n">
        <v>3</v>
      </c>
      <c r="H2611" s="13" t="n"/>
      <c r="I2611" s="15" t="n"/>
      <c r="J2611" s="19" t="n">
        <v>3</v>
      </c>
      <c r="K2611" s="2" t="inlineStr">
        <is>
          <t>marker_754_946353.png</t>
        </is>
      </c>
      <c r="L2611" s="11">
        <f>HYPERLINK("3\1\" &amp; K2611, "Ver Imagen")</f>
        <v/>
      </c>
      <c r="M2611" t="inlineStr">
        <is>
          <t>Moda</t>
        </is>
      </c>
    </row>
    <row r="2612">
      <c r="A2612" t="n">
        <v>2611</v>
      </c>
      <c r="B2612" t="inlineStr">
        <is>
          <t>A-5050__107</t>
        </is>
      </c>
      <c r="C2612" s="1" t="n">
        <v>37.1971032126</v>
      </c>
      <c r="D2612" s="1" t="n">
        <v>-7.00519946183</v>
      </c>
      <c r="E2612" s="3" t="n">
        <v>2</v>
      </c>
      <c r="F2612" s="2" t="n">
        <v>3</v>
      </c>
      <c r="G2612" s="4" t="n">
        <v>3</v>
      </c>
      <c r="H2612" s="13" t="n"/>
      <c r="I2612" s="15" t="n"/>
      <c r="J2612" s="19" t="n">
        <v>3</v>
      </c>
      <c r="K2612" s="2" t="inlineStr">
        <is>
          <t>marker_341_946696.png</t>
        </is>
      </c>
      <c r="L2612" s="11">
        <f>HYPERLINK("3\1\" &amp; K2612, "Ver Imagen")</f>
        <v/>
      </c>
      <c r="M2612" t="inlineStr">
        <is>
          <t>Moda</t>
        </is>
      </c>
    </row>
    <row r="2613">
      <c r="A2613" t="n">
        <v>2612</v>
      </c>
      <c r="B2613" t="inlineStr">
        <is>
          <t>A-5050__105</t>
        </is>
      </c>
      <c r="C2613" s="1" t="n">
        <v>37.1973014216</v>
      </c>
      <c r="D2613" s="1" t="n">
        <v>-7.00566903754</v>
      </c>
      <c r="E2613" s="3" t="n">
        <v>2</v>
      </c>
      <c r="F2613" s="2" t="n">
        <v>3</v>
      </c>
      <c r="G2613" s="4" t="n">
        <v>3</v>
      </c>
      <c r="H2613" s="13" t="n"/>
      <c r="I2613" s="15" t="n"/>
      <c r="J2613" s="19" t="n">
        <v>3</v>
      </c>
      <c r="K2613" s="2" t="inlineStr">
        <is>
          <t>marker_874_946720.png</t>
        </is>
      </c>
      <c r="L2613" s="11">
        <f>HYPERLINK("3\1\" &amp; K2613, "Ver Imagen")</f>
        <v/>
      </c>
      <c r="M2613" t="inlineStr">
        <is>
          <t>Moda</t>
        </is>
      </c>
    </row>
    <row r="2614">
      <c r="A2614" t="n">
        <v>2613</v>
      </c>
      <c r="B2614" t="inlineStr">
        <is>
          <t>A-5050__87</t>
        </is>
      </c>
      <c r="C2614" s="1" t="n">
        <v>37.1992800205</v>
      </c>
      <c r="D2614" s="1" t="n">
        <v>-7.00957166272</v>
      </c>
      <c r="E2614" s="3" t="n">
        <v>2</v>
      </c>
      <c r="F2614" s="2" t="n">
        <v>3</v>
      </c>
      <c r="G2614" s="4" t="n">
        <v>3</v>
      </c>
      <c r="H2614" s="13" t="n"/>
      <c r="I2614" s="15" t="n"/>
      <c r="J2614" s="19" t="n">
        <v>3</v>
      </c>
      <c r="K2614" s="2" t="inlineStr">
        <is>
          <t>marker_888_947448.png</t>
        </is>
      </c>
      <c r="L2614" s="11">
        <f>HYPERLINK("3\1\" &amp; K2614, "Ver Imagen")</f>
        <v/>
      </c>
      <c r="M2614" t="inlineStr">
        <is>
          <t>Moda</t>
        </is>
      </c>
    </row>
    <row r="2615">
      <c r="A2615" t="n">
        <v>2614</v>
      </c>
      <c r="B2615" t="inlineStr">
        <is>
          <t>A-5050__85</t>
        </is>
      </c>
      <c r="C2615" s="1" t="n">
        <v>37.1994992632</v>
      </c>
      <c r="D2615" s="1" t="n">
        <v>-7.00993955709</v>
      </c>
      <c r="E2615" s="3" t="n">
        <v>2</v>
      </c>
      <c r="F2615" s="2" t="n">
        <v>3</v>
      </c>
      <c r="G2615" s="4" t="n">
        <v>3</v>
      </c>
      <c r="H2615" s="13" t="n"/>
      <c r="I2615" s="15" t="n"/>
      <c r="J2615" s="19" t="n">
        <v>3</v>
      </c>
      <c r="K2615" s="2" t="inlineStr">
        <is>
          <t>marker_908_948399.png</t>
        </is>
      </c>
      <c r="L2615" s="11">
        <f>HYPERLINK("3\1\" &amp; K2615, "Ver Imagen")</f>
        <v/>
      </c>
      <c r="M2615" t="inlineStr">
        <is>
          <t>Moda</t>
        </is>
      </c>
    </row>
    <row r="2616">
      <c r="A2616" t="n">
        <v>2615</v>
      </c>
      <c r="B2616" t="inlineStr">
        <is>
          <t>A-5050__82</t>
        </is>
      </c>
      <c r="C2616" s="1" t="n">
        <v>37.199902034</v>
      </c>
      <c r="D2616" s="1" t="n">
        <v>-7.01059766765</v>
      </c>
      <c r="E2616" s="3" t="n">
        <v>2</v>
      </c>
      <c r="F2616" s="2" t="n">
        <v>3</v>
      </c>
      <c r="G2616" s="4" t="n">
        <v>3</v>
      </c>
      <c r="H2616" s="13" t="n"/>
      <c r="I2616" s="15" t="n"/>
      <c r="J2616" s="19" t="n">
        <v>3</v>
      </c>
      <c r="K2616" s="2" t="inlineStr">
        <is>
          <t>marker_325_948746.png</t>
        </is>
      </c>
      <c r="L2616" s="11">
        <f>HYPERLINK("3\1\" &amp; K2616, "Ver Imagen")</f>
        <v/>
      </c>
      <c r="M2616" t="inlineStr">
        <is>
          <t>Moda</t>
        </is>
      </c>
    </row>
    <row r="2617">
      <c r="A2617" t="n">
        <v>2616</v>
      </c>
      <c r="B2617" t="inlineStr">
        <is>
          <t>A-5050__75</t>
        </is>
      </c>
      <c r="C2617" s="1" t="n">
        <v>37.2007601014</v>
      </c>
      <c r="D2617" s="1" t="n">
        <v>-7.01192082503</v>
      </c>
      <c r="E2617" s="3" t="n">
        <v>3</v>
      </c>
      <c r="F2617" s="2" t="n">
        <v>3</v>
      </c>
      <c r="G2617" s="4" t="n">
        <v>4</v>
      </c>
      <c r="H2617" s="13" t="n"/>
      <c r="I2617" s="15" t="n"/>
      <c r="J2617" s="19" t="n">
        <v>3</v>
      </c>
      <c r="K2617" s="2" t="inlineStr">
        <is>
          <t>marker_205_948826.png</t>
        </is>
      </c>
      <c r="L2617" s="11">
        <f>HYPERLINK("3\1\" &amp; K2617, "Ver Imagen")</f>
        <v/>
      </c>
      <c r="M2617" t="inlineStr">
        <is>
          <t>Moda</t>
        </is>
      </c>
    </row>
    <row r="2618">
      <c r="A2618" t="n">
        <v>2617</v>
      </c>
      <c r="B2618" t="inlineStr">
        <is>
          <t>A-5050__58</t>
        </is>
      </c>
      <c r="C2618" s="1" t="n">
        <v>37.2029332487</v>
      </c>
      <c r="D2618" s="1" t="n">
        <v>-7.01525303504</v>
      </c>
      <c r="E2618" s="3" t="n">
        <v>3</v>
      </c>
      <c r="F2618" s="2" t="n">
        <v>3</v>
      </c>
      <c r="G2618" s="4" t="n">
        <v>4</v>
      </c>
      <c r="H2618" s="13" t="n"/>
      <c r="I2618" s="15" t="n"/>
      <c r="J2618" s="19" t="n">
        <v>3</v>
      </c>
      <c r="K2618" s="2" t="inlineStr">
        <is>
          <t>marker_762_949062.png</t>
        </is>
      </c>
      <c r="L2618" s="11">
        <f>HYPERLINK("3\1\" &amp; K2618, "Ver Imagen")</f>
        <v/>
      </c>
      <c r="M2618" t="inlineStr">
        <is>
          <t>Moda</t>
        </is>
      </c>
    </row>
    <row r="2619">
      <c r="A2619" t="n">
        <v>2618</v>
      </c>
      <c r="B2619" t="inlineStr">
        <is>
          <t>A-5050__57</t>
        </is>
      </c>
      <c r="C2619" s="1" t="n">
        <v>37.2030445873</v>
      </c>
      <c r="D2619" s="1" t="n">
        <v>-7.0154213978</v>
      </c>
      <c r="E2619" s="3" t="n">
        <v>3</v>
      </c>
      <c r="F2619" s="2" t="n">
        <v>2</v>
      </c>
      <c r="G2619" s="4" t="n">
        <v>3</v>
      </c>
      <c r="H2619" s="13" t="n"/>
      <c r="I2619" s="15" t="n"/>
      <c r="J2619" s="19" t="n">
        <v>3</v>
      </c>
      <c r="K2619" s="2" t="inlineStr">
        <is>
          <t>marker_753_949074.png</t>
        </is>
      </c>
      <c r="L2619" s="11">
        <f>HYPERLINK("3\1\" &amp; K2619, "Ver Imagen")</f>
        <v/>
      </c>
      <c r="M2619" t="inlineStr">
        <is>
          <t>Moda</t>
        </is>
      </c>
    </row>
    <row r="2620">
      <c r="A2620" t="n">
        <v>2619</v>
      </c>
      <c r="B2620" t="inlineStr">
        <is>
          <t>A-5050__53</t>
        </is>
      </c>
      <c r="C2620" s="1" t="n">
        <v>37.2035845366</v>
      </c>
      <c r="D2620" s="1" t="n">
        <v>-7.01624741914</v>
      </c>
      <c r="E2620" s="3" t="n">
        <v>3</v>
      </c>
      <c r="F2620" s="2" t="n">
        <v>4</v>
      </c>
      <c r="G2620" s="4" t="n">
        <v>3</v>
      </c>
      <c r="H2620" s="13" t="n"/>
      <c r="I2620" s="15" t="n"/>
      <c r="J2620" s="19" t="n">
        <v>3</v>
      </c>
      <c r="K2620" s="2" t="inlineStr">
        <is>
          <t>marker_920_949128.png</t>
        </is>
      </c>
      <c r="L2620" s="11">
        <f>HYPERLINK("3\1\" &amp; K2620, "Ver Imagen")</f>
        <v/>
      </c>
      <c r="M2620" t="inlineStr">
        <is>
          <t>Moda</t>
        </is>
      </c>
    </row>
    <row r="2621">
      <c r="A2621" t="n">
        <v>2620</v>
      </c>
      <c r="B2621" t="inlineStr">
        <is>
          <t>A-5050__46</t>
        </is>
      </c>
      <c r="C2621" s="1" t="n">
        <v>37.204459721</v>
      </c>
      <c r="D2621" s="1" t="n">
        <v>-7.01760235432</v>
      </c>
      <c r="E2621" s="3" t="n">
        <v>3</v>
      </c>
      <c r="F2621" s="2" t="n">
        <v>4</v>
      </c>
      <c r="G2621" s="4" t="n">
        <v>3</v>
      </c>
      <c r="H2621" s="13" t="n"/>
      <c r="I2621" s="15" t="n"/>
      <c r="J2621" s="19" t="n">
        <v>3</v>
      </c>
      <c r="K2621" s="2" t="inlineStr">
        <is>
          <t>marker_542_949192.png</t>
        </is>
      </c>
      <c r="L2621" s="11">
        <f>HYPERLINK("3\1\" &amp; K2621, "Ver Imagen")</f>
        <v/>
      </c>
      <c r="M2621" t="inlineStr">
        <is>
          <t>Moda</t>
        </is>
      </c>
    </row>
    <row r="2622">
      <c r="A2622" t="n">
        <v>2621</v>
      </c>
      <c r="B2622" t="inlineStr">
        <is>
          <t>A-5050__40</t>
        </is>
      </c>
      <c r="C2622" s="1" t="n">
        <v>37.2052028392</v>
      </c>
      <c r="D2622" s="1" t="n">
        <v>-7.01874923988</v>
      </c>
      <c r="E2622" s="3" t="n">
        <v>3</v>
      </c>
      <c r="F2622" s="2" t="n">
        <v>4</v>
      </c>
      <c r="G2622" s="4" t="n">
        <v>3</v>
      </c>
      <c r="H2622" s="13" t="n"/>
      <c r="I2622" s="15" t="n"/>
      <c r="J2622" s="19" t="n">
        <v>3</v>
      </c>
      <c r="K2622" s="2" t="inlineStr">
        <is>
          <t>marker_702_949249.png</t>
        </is>
      </c>
      <c r="L2622" s="11">
        <f>HYPERLINK("3\1\" &amp; K2622, "Ver Imagen")</f>
        <v/>
      </c>
      <c r="M2622" t="inlineStr">
        <is>
          <t>Moda</t>
        </is>
      </c>
    </row>
    <row r="2623">
      <c r="A2623" t="n">
        <v>2622</v>
      </c>
      <c r="B2623" t="inlineStr">
        <is>
          <t>A-5050__35</t>
        </is>
      </c>
      <c r="C2623" s="1" t="n">
        <v>37.2058662028</v>
      </c>
      <c r="D2623" s="1" t="n">
        <v>-7.01979855994</v>
      </c>
      <c r="E2623" s="3" t="n">
        <v>2</v>
      </c>
      <c r="F2623" s="2" t="n">
        <v>3</v>
      </c>
      <c r="G2623" s="4" t="n">
        <v>3</v>
      </c>
      <c r="H2623" s="13" t="n"/>
      <c r="I2623" s="15" t="n"/>
      <c r="J2623" s="19" t="n">
        <v>3</v>
      </c>
      <c r="K2623" s="2" t="inlineStr">
        <is>
          <t>marker_901_949309.png</t>
        </is>
      </c>
      <c r="L2623" s="11">
        <f>HYPERLINK("3\1\" &amp; K2623, "Ver Imagen")</f>
        <v/>
      </c>
      <c r="M2623" t="inlineStr">
        <is>
          <t>Moda</t>
        </is>
      </c>
    </row>
    <row r="2624">
      <c r="A2624" t="n">
        <v>2623</v>
      </c>
      <c r="B2624" t="inlineStr">
        <is>
          <t>A-5050__11</t>
        </is>
      </c>
      <c r="C2624" s="1" t="n">
        <v>37.2083480343</v>
      </c>
      <c r="D2624" s="1" t="n">
        <v>-7.02472693199</v>
      </c>
      <c r="E2624" s="3" t="n">
        <v>2</v>
      </c>
      <c r="F2624" s="2" t="n">
        <v>3</v>
      </c>
      <c r="G2624" s="4" t="n">
        <v>3</v>
      </c>
      <c r="H2624" s="13" t="n"/>
      <c r="I2624" s="15" t="n"/>
      <c r="J2624" s="19" t="n">
        <v>3</v>
      </c>
      <c r="K2624" s="2" t="inlineStr">
        <is>
          <t>marker_669_949597.png</t>
        </is>
      </c>
      <c r="L2624" s="11">
        <f>HYPERLINK("3\1\" &amp; K2624, "Ver Imagen")</f>
        <v/>
      </c>
      <c r="M2624" t="inlineStr">
        <is>
          <t>Moda</t>
        </is>
      </c>
    </row>
    <row r="2625">
      <c r="A2625" t="n">
        <v>2624</v>
      </c>
      <c r="B2625" t="inlineStr">
        <is>
          <t>A-5050__2</t>
        </is>
      </c>
      <c r="C2625" s="1" t="n">
        <v>37.2088765033</v>
      </c>
      <c r="D2625" s="1" t="n">
        <v>-7.02688148101</v>
      </c>
      <c r="E2625" s="3" t="n">
        <v>3</v>
      </c>
      <c r="F2625" s="2" t="n">
        <v>4</v>
      </c>
      <c r="G2625" s="4" t="n">
        <v>3</v>
      </c>
      <c r="H2625" s="13" t="n"/>
      <c r="I2625" s="15" t="n"/>
      <c r="J2625" s="19" t="n">
        <v>3</v>
      </c>
      <c r="K2625" s="2" t="inlineStr">
        <is>
          <t>marker_946_949693.png</t>
        </is>
      </c>
      <c r="L2625" s="11">
        <f>HYPERLINK("3\1\" &amp; K2625, "Ver Imagen")</f>
        <v/>
      </c>
      <c r="M2625" t="inlineStr">
        <is>
          <t>Moda</t>
        </is>
      </c>
    </row>
    <row r="2626">
      <c r="A2626" t="n">
        <v>2625</v>
      </c>
      <c r="B2626" t="inlineStr">
        <is>
          <t>A-5052__11</t>
        </is>
      </c>
      <c r="C2626" s="1" t="n">
        <v>37.2182632291</v>
      </c>
      <c r="D2626" s="1" t="n">
        <v>-7.12318665622</v>
      </c>
      <c r="E2626" s="3" t="n">
        <v>3</v>
      </c>
      <c r="F2626" s="2" t="n">
        <v>3</v>
      </c>
      <c r="G2626" s="4" t="n">
        <v>4</v>
      </c>
      <c r="H2626" s="13" t="n"/>
      <c r="I2626" s="15" t="n"/>
      <c r="J2626" s="19" t="n">
        <v>3</v>
      </c>
      <c r="K2626" s="2" t="inlineStr">
        <is>
          <t>marker_373_950033.png</t>
        </is>
      </c>
      <c r="L2626" s="11">
        <f>HYPERLINK("3\1\" &amp; K2626, "Ver Imagen")</f>
        <v/>
      </c>
      <c r="M2626" t="inlineStr">
        <is>
          <t>Moda</t>
        </is>
      </c>
    </row>
    <row r="2627">
      <c r="A2627" t="n">
        <v>2626</v>
      </c>
      <c r="B2627" t="inlineStr">
        <is>
          <t>A-5052__30</t>
        </is>
      </c>
      <c r="C2627" s="1" t="n">
        <v>37.2181142828</v>
      </c>
      <c r="D2627" s="1" t="n">
        <v>-7.11856999337</v>
      </c>
      <c r="E2627" s="3" t="n">
        <v>3</v>
      </c>
      <c r="F2627" s="2" t="n">
        <v>2</v>
      </c>
      <c r="G2627" s="4" t="n">
        <v>3</v>
      </c>
      <c r="H2627" s="13" t="n"/>
      <c r="I2627" s="15" t="n"/>
      <c r="J2627" s="19" t="n">
        <v>3</v>
      </c>
      <c r="K2627" s="2" t="inlineStr">
        <is>
          <t>marker_459_951628.png</t>
        </is>
      </c>
      <c r="L2627" s="11">
        <f>HYPERLINK("3\1\" &amp; K2627, "Ver Imagen")</f>
        <v/>
      </c>
      <c r="M2627" t="inlineStr">
        <is>
          <t>Moda</t>
        </is>
      </c>
    </row>
    <row r="2628">
      <c r="A2628" t="n">
        <v>2627</v>
      </c>
      <c r="B2628" t="inlineStr">
        <is>
          <t>A-5052__57</t>
        </is>
      </c>
      <c r="C2628" s="1" t="n">
        <v>37.2175822989</v>
      </c>
      <c r="D2628" s="1" t="n">
        <v>-7.11172723158</v>
      </c>
      <c r="E2628" s="3" t="n">
        <v>2</v>
      </c>
      <c r="F2628" s="2" t="n">
        <v>3</v>
      </c>
      <c r="G2628" s="4" t="n">
        <v>3</v>
      </c>
      <c r="H2628" s="13" t="n"/>
      <c r="I2628" s="15" t="n"/>
      <c r="J2628" s="19" t="n">
        <v>3</v>
      </c>
      <c r="K2628" s="2" t="inlineStr">
        <is>
          <t>marker_332_957006.png</t>
        </is>
      </c>
      <c r="L2628" s="11">
        <f>HYPERLINK("3\1\" &amp; K2628, "Ver Imagen")</f>
        <v/>
      </c>
      <c r="M2628" t="inlineStr">
        <is>
          <t>Moda</t>
        </is>
      </c>
    </row>
    <row r="2629">
      <c r="A2629" t="n">
        <v>2628</v>
      </c>
      <c r="B2629" t="inlineStr">
        <is>
          <t>A-5052__128</t>
        </is>
      </c>
      <c r="C2629" s="1" t="n">
        <v>37.2166466979</v>
      </c>
      <c r="D2629" s="1" t="n">
        <v>-7.09388965045</v>
      </c>
      <c r="E2629" s="3" t="n">
        <v>2</v>
      </c>
      <c r="F2629" s="2" t="n">
        <v>3</v>
      </c>
      <c r="G2629" s="4" t="n">
        <v>3</v>
      </c>
      <c r="H2629" s="13" t="n"/>
      <c r="I2629" s="15" t="n"/>
      <c r="J2629" s="19" t="n">
        <v>3</v>
      </c>
      <c r="K2629" s="2" t="inlineStr">
        <is>
          <t>marker_446_958062.png</t>
        </is>
      </c>
      <c r="L2629" s="11">
        <f>HYPERLINK("3\1\" &amp; K2629, "Ver Imagen")</f>
        <v/>
      </c>
      <c r="M2629" t="inlineStr">
        <is>
          <t>Moda</t>
        </is>
      </c>
    </row>
    <row r="2630">
      <c r="A2630" t="n">
        <v>2629</v>
      </c>
      <c r="B2630" t="inlineStr">
        <is>
          <t>A-5052__138</t>
        </is>
      </c>
      <c r="C2630" s="1" t="n">
        <v>37.2163065556</v>
      </c>
      <c r="D2630" s="1" t="n">
        <v>-7.09145155326</v>
      </c>
      <c r="E2630" s="3" t="n">
        <v>2</v>
      </c>
      <c r="F2630" s="2" t="n">
        <v>3</v>
      </c>
      <c r="G2630" s="4" t="n">
        <v>3</v>
      </c>
      <c r="H2630" s="13" t="n"/>
      <c r="I2630" s="15" t="n"/>
      <c r="J2630" s="19" t="n">
        <v>3</v>
      </c>
      <c r="K2630" s="2" t="inlineStr">
        <is>
          <t>marker_901_958195.png</t>
        </is>
      </c>
      <c r="L2630" s="11">
        <f>HYPERLINK("3\1\" &amp; K2630, "Ver Imagen")</f>
        <v/>
      </c>
      <c r="M2630" t="inlineStr">
        <is>
          <t>Moda</t>
        </is>
      </c>
    </row>
    <row r="2631">
      <c r="A2631" t="n">
        <v>2630</v>
      </c>
      <c r="B2631" t="inlineStr">
        <is>
          <t>A-5052__282</t>
        </is>
      </c>
      <c r="C2631" s="1" t="n">
        <v>37.2112214592</v>
      </c>
      <c r="D2631" s="1" t="n">
        <v>-7.05604214409</v>
      </c>
      <c r="E2631" s="3" t="n">
        <v>2</v>
      </c>
      <c r="F2631" s="2" t="n">
        <v>3</v>
      </c>
      <c r="G2631" s="4" t="n">
        <v>3</v>
      </c>
      <c r="H2631" s="13" t="n"/>
      <c r="I2631" s="15" t="n"/>
      <c r="J2631" s="19" t="n">
        <v>3</v>
      </c>
      <c r="K2631" s="2" t="inlineStr">
        <is>
          <t>marker_590_960538.png</t>
        </is>
      </c>
      <c r="L2631" s="11">
        <f>HYPERLINK("3\1\" &amp; K2631, "Ver Imagen")</f>
        <v/>
      </c>
      <c r="M2631" t="inlineStr">
        <is>
          <t>Moda</t>
        </is>
      </c>
    </row>
    <row r="2632">
      <c r="A2632" t="n">
        <v>2631</v>
      </c>
      <c r="B2632" t="inlineStr">
        <is>
          <t>A-5052__284</t>
        </is>
      </c>
      <c r="C2632" s="1" t="n">
        <v>37.2111648174</v>
      </c>
      <c r="D2632" s="1" t="n">
        <v>-7.05555057216</v>
      </c>
      <c r="E2632" s="3" t="n">
        <v>2</v>
      </c>
      <c r="F2632" s="2" t="n">
        <v>3</v>
      </c>
      <c r="G2632" s="4" t="n">
        <v>3</v>
      </c>
      <c r="H2632" s="13" t="n"/>
      <c r="I2632" s="15" t="n"/>
      <c r="J2632" s="19" t="n">
        <v>3</v>
      </c>
      <c r="K2632" s="2" t="inlineStr">
        <is>
          <t>marker_102_960571.png</t>
        </is>
      </c>
      <c r="L2632" s="11">
        <f>HYPERLINK("3\1\" &amp; K2632, "Ver Imagen")</f>
        <v/>
      </c>
      <c r="M2632" t="inlineStr">
        <is>
          <t>Moda</t>
        </is>
      </c>
    </row>
    <row r="2633">
      <c r="A2633" t="n">
        <v>2632</v>
      </c>
      <c r="B2633" t="inlineStr">
        <is>
          <t>A-5052__294</t>
        </is>
      </c>
      <c r="C2633" s="1" t="n">
        <v>37.210791744</v>
      </c>
      <c r="D2633" s="1" t="n">
        <v>-7.05306888458</v>
      </c>
      <c r="E2633" s="3" t="n">
        <v>3</v>
      </c>
      <c r="F2633" s="2" t="n">
        <v>4</v>
      </c>
      <c r="G2633" s="4" t="n">
        <v>3</v>
      </c>
      <c r="H2633" s="13" t="n"/>
      <c r="I2633" s="15" t="n"/>
      <c r="J2633" s="19" t="n">
        <v>3</v>
      </c>
      <c r="K2633" s="2" t="inlineStr">
        <is>
          <t>marker_769_960752.png</t>
        </is>
      </c>
      <c r="L2633" s="11">
        <f>HYPERLINK("3\1\" &amp; K2633, "Ver Imagen")</f>
        <v/>
      </c>
      <c r="M2633" t="inlineStr">
        <is>
          <t>Moda</t>
        </is>
      </c>
    </row>
    <row r="2634">
      <c r="A2634" t="n">
        <v>2633</v>
      </c>
      <c r="B2634" t="inlineStr">
        <is>
          <t>A-5052__304</t>
        </is>
      </c>
      <c r="C2634" s="1" t="n">
        <v>37.2111125853</v>
      </c>
      <c r="D2634" s="1" t="n">
        <v>-7.0505557363</v>
      </c>
      <c r="E2634" s="3" t="n">
        <v>2</v>
      </c>
      <c r="F2634" s="2" t="n">
        <v>3</v>
      </c>
      <c r="G2634" s="4" t="n">
        <v>3</v>
      </c>
      <c r="H2634" s="13" t="n"/>
      <c r="I2634" s="15" t="n"/>
      <c r="J2634" s="19" t="n">
        <v>3</v>
      </c>
      <c r="K2634" s="2" t="inlineStr">
        <is>
          <t>marker_167_960972.png</t>
        </is>
      </c>
      <c r="L2634" s="11">
        <f>HYPERLINK("3\1\" &amp; K2634, "Ver Imagen")</f>
        <v/>
      </c>
      <c r="M2634" t="inlineStr">
        <is>
          <t>Moda</t>
        </is>
      </c>
    </row>
    <row r="2635">
      <c r="A2635" t="n">
        <v>2634</v>
      </c>
      <c r="B2635" t="inlineStr">
        <is>
          <t>A-5052__314</t>
        </is>
      </c>
      <c r="C2635" s="1" t="n">
        <v>37.2117679566</v>
      </c>
      <c r="D2635" s="1" t="n">
        <v>-7.04821530275</v>
      </c>
      <c r="E2635" s="3" t="n">
        <v>3</v>
      </c>
      <c r="F2635" s="2" t="n">
        <v>3</v>
      </c>
      <c r="G2635" s="4" t="n">
        <v>4</v>
      </c>
      <c r="H2635" s="13" t="n"/>
      <c r="I2635" s="15" t="n"/>
      <c r="J2635" s="19" t="n">
        <v>3</v>
      </c>
      <c r="K2635" s="2" t="inlineStr">
        <is>
          <t>marker_832_961172.png</t>
        </is>
      </c>
      <c r="L2635" s="11">
        <f>HYPERLINK("3\1\" &amp; K2635, "Ver Imagen")</f>
        <v/>
      </c>
      <c r="M2635" t="inlineStr">
        <is>
          <t>Moda</t>
        </is>
      </c>
    </row>
    <row r="2636">
      <c r="A2636" t="n">
        <v>2635</v>
      </c>
      <c r="B2636" t="inlineStr">
        <is>
          <t>A-5052__326</t>
        </is>
      </c>
      <c r="C2636" s="1" t="n">
        <v>37.2112644135</v>
      </c>
      <c r="D2636" s="1" t="n">
        <v>-7.04522350417</v>
      </c>
      <c r="E2636" s="3" t="n">
        <v>3</v>
      </c>
      <c r="F2636" s="2" t="n">
        <v>4</v>
      </c>
      <c r="G2636" s="4" t="n">
        <v>3</v>
      </c>
      <c r="H2636" s="13" t="n"/>
      <c r="I2636" s="15" t="n"/>
      <c r="J2636" s="19" t="n">
        <v>3</v>
      </c>
      <c r="K2636" s="2" t="inlineStr">
        <is>
          <t>marker_781_961440.png</t>
        </is>
      </c>
      <c r="L2636" s="11">
        <f>HYPERLINK("3\1\" &amp; K2636, "Ver Imagen")</f>
        <v/>
      </c>
      <c r="M2636" t="inlineStr">
        <is>
          <t>Moda</t>
        </is>
      </c>
    </row>
    <row r="2637">
      <c r="A2637" t="n">
        <v>2636</v>
      </c>
      <c r="B2637" t="inlineStr">
        <is>
          <t>A-5052__337</t>
        </is>
      </c>
      <c r="C2637" s="1" t="n">
        <v>37.2103655856</v>
      </c>
      <c r="D2637" s="1" t="n">
        <v>-7.04272424626</v>
      </c>
      <c r="E2637" s="3" t="n">
        <v>3</v>
      </c>
      <c r="F2637" s="2" t="n">
        <v>4</v>
      </c>
      <c r="G2637" s="4" t="n">
        <v>3</v>
      </c>
      <c r="H2637" s="13" t="n"/>
      <c r="I2637" s="15" t="n"/>
      <c r="J2637" s="19" t="n">
        <v>3</v>
      </c>
      <c r="K2637" s="2" t="inlineStr">
        <is>
          <t>marker_314_961579.png</t>
        </is>
      </c>
      <c r="L2637" s="11">
        <f>HYPERLINK("3\1\" &amp; K2637, "Ver Imagen")</f>
        <v/>
      </c>
      <c r="M2637" t="inlineStr">
        <is>
          <t>Moda</t>
        </is>
      </c>
    </row>
    <row r="2638">
      <c r="A2638" t="n">
        <v>2637</v>
      </c>
      <c r="B2638" t="inlineStr">
        <is>
          <t>A-5052__353</t>
        </is>
      </c>
      <c r="C2638" s="1" t="n">
        <v>37.2089730283</v>
      </c>
      <c r="D2638" s="1" t="n">
        <v>-7.03903938132</v>
      </c>
      <c r="E2638" s="3" t="n">
        <v>3</v>
      </c>
      <c r="F2638" s="2" t="n">
        <v>3</v>
      </c>
      <c r="G2638" s="4" t="n">
        <v>4</v>
      </c>
      <c r="H2638" s="13" t="n"/>
      <c r="I2638" s="15" t="n"/>
      <c r="J2638" s="19" t="n">
        <v>3</v>
      </c>
      <c r="K2638" s="2" t="inlineStr">
        <is>
          <t>marker_143_961776.png</t>
        </is>
      </c>
      <c r="L2638" s="11">
        <f>HYPERLINK("3\1\" &amp; K2638, "Ver Imagen")</f>
        <v/>
      </c>
      <c r="M2638" t="inlineStr">
        <is>
          <t>Moda</t>
        </is>
      </c>
    </row>
    <row r="2639">
      <c r="A2639" t="n">
        <v>2638</v>
      </c>
      <c r="B2639" t="inlineStr">
        <is>
          <t>A-5052__354</t>
        </is>
      </c>
      <c r="C2639" s="1" t="n">
        <v>37.2088731193</v>
      </c>
      <c r="D2639" s="1" t="n">
        <v>-7.03878511144</v>
      </c>
      <c r="E2639" s="3" t="n">
        <v>3</v>
      </c>
      <c r="F2639" s="2" t="n">
        <v>4</v>
      </c>
      <c r="G2639" s="4" t="n">
        <v>3</v>
      </c>
      <c r="H2639" s="13" t="n"/>
      <c r="I2639" s="15" t="n"/>
      <c r="J2639" s="19" t="n">
        <v>3</v>
      </c>
      <c r="K2639" s="2" t="inlineStr">
        <is>
          <t>marker_357_961785.png</t>
        </is>
      </c>
      <c r="L2639" s="11">
        <f>HYPERLINK("3\1\" &amp; K2639, "Ver Imagen")</f>
        <v/>
      </c>
      <c r="M2639" t="inlineStr">
        <is>
          <t>Moda</t>
        </is>
      </c>
    </row>
    <row r="2640">
      <c r="A2640" t="n">
        <v>2639</v>
      </c>
      <c r="B2640" t="inlineStr">
        <is>
          <t>A-5052__380</t>
        </is>
      </c>
      <c r="C2640" s="1" t="n">
        <v>37.2066046447</v>
      </c>
      <c r="D2640" s="1" t="n">
        <v>-7.03290829249</v>
      </c>
      <c r="E2640" s="3" t="n">
        <v>3</v>
      </c>
      <c r="F2640" s="2" t="n">
        <v>3</v>
      </c>
      <c r="G2640" s="4" t="n">
        <v>4</v>
      </c>
      <c r="H2640" s="13" t="n"/>
      <c r="I2640" s="15" t="n"/>
      <c r="J2640" s="19" t="n">
        <v>3</v>
      </c>
      <c r="K2640" s="2" t="inlineStr">
        <is>
          <t>marker_269_962475.png</t>
        </is>
      </c>
      <c r="L2640" s="11">
        <f>HYPERLINK("3\1\" &amp; K2640, "Ver Imagen")</f>
        <v/>
      </c>
      <c r="M2640" t="inlineStr">
        <is>
          <t>Moda</t>
        </is>
      </c>
    </row>
    <row r="2641">
      <c r="A2641" t="n">
        <v>2640</v>
      </c>
      <c r="B2641" t="inlineStr">
        <is>
          <t>A-5052__385</t>
        </is>
      </c>
      <c r="C2641" s="1" t="n">
        <v>37.2061544248</v>
      </c>
      <c r="D2641" s="1" t="n">
        <v>-7.03175011307</v>
      </c>
      <c r="E2641" s="3" t="n">
        <v>3</v>
      </c>
      <c r="F2641" s="2" t="n">
        <v>4</v>
      </c>
      <c r="G2641" s="4" t="n">
        <v>3</v>
      </c>
      <c r="H2641" s="13" t="n"/>
      <c r="I2641" s="15" t="n"/>
      <c r="J2641" s="19" t="n">
        <v>3</v>
      </c>
      <c r="K2641" s="2" t="inlineStr">
        <is>
          <t>marker_332_962528.png</t>
        </is>
      </c>
      <c r="L2641" s="11">
        <f>HYPERLINK("3\1\" &amp; K2641, "Ver Imagen")</f>
        <v/>
      </c>
      <c r="M2641" t="inlineStr">
        <is>
          <t>Moda</t>
        </is>
      </c>
    </row>
    <row r="2642">
      <c r="A2642" t="n">
        <v>2641</v>
      </c>
      <c r="B2642" t="inlineStr">
        <is>
          <t>A-5053__325</t>
        </is>
      </c>
      <c r="C2642" s="1" t="n">
        <v>37.2789727287</v>
      </c>
      <c r="D2642" s="1" t="n">
        <v>-7.144590405</v>
      </c>
      <c r="E2642" s="3" t="n">
        <v>3</v>
      </c>
      <c r="F2642" s="2" t="n">
        <v>4</v>
      </c>
      <c r="G2642" s="4" t="n">
        <v>3</v>
      </c>
      <c r="H2642" s="13" t="n"/>
      <c r="I2642" s="15" t="n"/>
      <c r="J2642" s="19" t="n">
        <v>3</v>
      </c>
      <c r="K2642" s="2" t="inlineStr">
        <is>
          <t>marker_796_964518.png</t>
        </is>
      </c>
      <c r="L2642" s="11">
        <f>HYPERLINK("3\1\" &amp; K2642, "Ver Imagen")</f>
        <v/>
      </c>
      <c r="M2642" t="inlineStr">
        <is>
          <t>Moda</t>
        </is>
      </c>
    </row>
    <row r="2643">
      <c r="A2643" t="n">
        <v>2642</v>
      </c>
      <c r="B2643" t="inlineStr">
        <is>
          <t>A-5053__320</t>
        </is>
      </c>
      <c r="C2643" s="1" t="n">
        <v>37.2780743164</v>
      </c>
      <c r="D2643" s="1" t="n">
        <v>-7.14390593608</v>
      </c>
      <c r="E2643" s="3" t="n">
        <v>3</v>
      </c>
      <c r="F2643" s="2" t="n">
        <v>4</v>
      </c>
      <c r="G2643" s="4" t="n">
        <v>3</v>
      </c>
      <c r="H2643" s="13" t="n"/>
      <c r="I2643" s="15" t="n"/>
      <c r="J2643" s="19" t="n">
        <v>3</v>
      </c>
      <c r="K2643" s="2" t="inlineStr">
        <is>
          <t>marker_581_964573.png</t>
        </is>
      </c>
      <c r="L2643" s="11">
        <f>HYPERLINK("3\1\" &amp; K2643, "Ver Imagen")</f>
        <v/>
      </c>
      <c r="M2643" t="inlineStr">
        <is>
          <t>Moda</t>
        </is>
      </c>
    </row>
    <row r="2644">
      <c r="A2644" t="n">
        <v>2643</v>
      </c>
      <c r="B2644" t="inlineStr">
        <is>
          <t>A-5053__291</t>
        </is>
      </c>
      <c r="C2644" s="1" t="n">
        <v>37.272591361</v>
      </c>
      <c r="D2644" s="1" t="n">
        <v>-7.14155874897</v>
      </c>
      <c r="E2644" s="3" t="n">
        <v>3</v>
      </c>
      <c r="F2644" s="2" t="n">
        <v>4</v>
      </c>
      <c r="G2644" s="4" t="n">
        <v>3</v>
      </c>
      <c r="H2644" s="13" t="n"/>
      <c r="I2644" s="15" t="n"/>
      <c r="J2644" s="19" t="n">
        <v>3</v>
      </c>
      <c r="K2644" s="2" t="inlineStr">
        <is>
          <t>marker_437_964949.png</t>
        </is>
      </c>
      <c r="L2644" s="11">
        <f>HYPERLINK("3\1\" &amp; K2644, "Ver Imagen")</f>
        <v/>
      </c>
      <c r="M2644" t="inlineStr">
        <is>
          <t>Moda</t>
        </is>
      </c>
    </row>
    <row r="2645">
      <c r="A2645" t="n">
        <v>2644</v>
      </c>
      <c r="B2645" t="inlineStr">
        <is>
          <t>A-5053__283</t>
        </is>
      </c>
      <c r="C2645" s="1" t="n">
        <v>37.2712007971</v>
      </c>
      <c r="D2645" s="1" t="n">
        <v>-7.14046595237</v>
      </c>
      <c r="E2645" s="3" t="n">
        <v>3</v>
      </c>
      <c r="F2645" s="2" t="n">
        <v>2</v>
      </c>
      <c r="G2645" s="4" t="n">
        <v>3</v>
      </c>
      <c r="H2645" s="13" t="n"/>
      <c r="I2645" s="15" t="n"/>
      <c r="J2645" s="19" t="n">
        <v>3</v>
      </c>
      <c r="K2645" s="2" t="inlineStr">
        <is>
          <t>marker_370_965032.png</t>
        </is>
      </c>
      <c r="L2645" s="11">
        <f>HYPERLINK("3\1\" &amp; K2645, "Ver Imagen")</f>
        <v/>
      </c>
      <c r="M2645" t="inlineStr">
        <is>
          <t>Moda</t>
        </is>
      </c>
    </row>
    <row r="2646">
      <c r="A2646" t="n">
        <v>2645</v>
      </c>
      <c r="B2646" t="inlineStr">
        <is>
          <t>A-5053__279</t>
        </is>
      </c>
      <c r="C2646" s="1" t="n">
        <v>37.2705106288</v>
      </c>
      <c r="D2646" s="1" t="n">
        <v>-7.13994081454</v>
      </c>
      <c r="E2646" s="3" t="n">
        <v>3</v>
      </c>
      <c r="F2646" s="2" t="n">
        <v>4</v>
      </c>
      <c r="G2646" s="4" t="n">
        <v>3</v>
      </c>
      <c r="H2646" s="13" t="n"/>
      <c r="I2646" s="15" t="n"/>
      <c r="J2646" s="19" t="n">
        <v>3</v>
      </c>
      <c r="K2646" s="2" t="inlineStr">
        <is>
          <t>marker_588_965069.png</t>
        </is>
      </c>
      <c r="L2646" s="11">
        <f>HYPERLINK("3\1\" &amp; K2646, "Ver Imagen")</f>
        <v/>
      </c>
      <c r="M2646" t="inlineStr">
        <is>
          <t>Moda</t>
        </is>
      </c>
    </row>
    <row r="2647">
      <c r="A2647" t="n">
        <v>2646</v>
      </c>
      <c r="B2647" t="inlineStr">
        <is>
          <t>A-5053__231</t>
        </is>
      </c>
      <c r="C2647" s="1" t="n">
        <v>37.2641165959</v>
      </c>
      <c r="D2647" s="1" t="n">
        <v>-7.13167178458</v>
      </c>
      <c r="E2647" s="3" t="n">
        <v>3</v>
      </c>
      <c r="F2647" s="2" t="n">
        <v>4</v>
      </c>
      <c r="G2647" s="4" t="n">
        <v>3</v>
      </c>
      <c r="H2647" s="13" t="n"/>
      <c r="I2647" s="15" t="n"/>
      <c r="J2647" s="19" t="n">
        <v>3</v>
      </c>
      <c r="K2647" s="2" t="inlineStr">
        <is>
          <t>marker_208_965585.png</t>
        </is>
      </c>
      <c r="L2647" s="11">
        <f>HYPERLINK("3\1\" &amp; K2647, "Ver Imagen")</f>
        <v/>
      </c>
      <c r="M2647" t="inlineStr">
        <is>
          <t>Moda</t>
        </is>
      </c>
    </row>
    <row r="2648">
      <c r="A2648" t="n">
        <v>2647</v>
      </c>
      <c r="B2648" t="inlineStr">
        <is>
          <t>A-5053__220</t>
        </is>
      </c>
      <c r="C2648" s="1" t="n">
        <v>37.2621325173</v>
      </c>
      <c r="D2648" s="1" t="n">
        <v>-7.13042481093</v>
      </c>
      <c r="E2648" s="3" t="n">
        <v>3</v>
      </c>
      <c r="F2648" s="2" t="n">
        <v>4</v>
      </c>
      <c r="G2648" s="4" t="n">
        <v>3</v>
      </c>
      <c r="H2648" s="13" t="n"/>
      <c r="I2648" s="15" t="n"/>
      <c r="J2648" s="19" t="n">
        <v>3</v>
      </c>
      <c r="K2648" s="2" t="inlineStr">
        <is>
          <t>marker_343_965687.png</t>
        </is>
      </c>
      <c r="L2648" s="11">
        <f>HYPERLINK("3\1\" &amp; K2648, "Ver Imagen")</f>
        <v/>
      </c>
      <c r="M2648" t="inlineStr">
        <is>
          <t>Moda</t>
        </is>
      </c>
    </row>
    <row r="2649">
      <c r="A2649" t="n">
        <v>2648</v>
      </c>
      <c r="B2649" t="inlineStr">
        <is>
          <t>A-5053__218</t>
        </is>
      </c>
      <c r="C2649" s="1" t="n">
        <v>37.2617811558</v>
      </c>
      <c r="D2649" s="1" t="n">
        <v>-7.13020306244</v>
      </c>
      <c r="E2649" s="3" t="n">
        <v>3</v>
      </c>
      <c r="F2649" s="2" t="n">
        <v>4</v>
      </c>
      <c r="G2649" s="4" t="n">
        <v>3</v>
      </c>
      <c r="H2649" s="13" t="n"/>
      <c r="I2649" s="15" t="n"/>
      <c r="J2649" s="19" t="n">
        <v>3</v>
      </c>
      <c r="K2649" s="2" t="inlineStr">
        <is>
          <t>marker_611_965709.png</t>
        </is>
      </c>
      <c r="L2649" s="11">
        <f>HYPERLINK("3\1\" &amp; K2649, "Ver Imagen")</f>
        <v/>
      </c>
      <c r="M2649" t="inlineStr">
        <is>
          <t>Moda</t>
        </is>
      </c>
    </row>
    <row r="2650">
      <c r="A2650" t="n">
        <v>2649</v>
      </c>
      <c r="B2650" t="inlineStr">
        <is>
          <t>A-5053__215</t>
        </is>
      </c>
      <c r="C2650" s="1" t="n">
        <v>37.2612910988</v>
      </c>
      <c r="D2650" s="1" t="n">
        <v>-7.12979515285</v>
      </c>
      <c r="E2650" s="3" t="n">
        <v>4</v>
      </c>
      <c r="F2650" s="2" t="n">
        <v>3</v>
      </c>
      <c r="G2650" s="4" t="n">
        <v>3</v>
      </c>
      <c r="H2650" s="13" t="n"/>
      <c r="I2650" s="15" t="n"/>
      <c r="J2650" s="19" t="n">
        <v>3</v>
      </c>
      <c r="K2650" s="2" t="inlineStr">
        <is>
          <t>marker_649_965737.png</t>
        </is>
      </c>
      <c r="L2650" s="11">
        <f>HYPERLINK("3\1\" &amp; K2650, "Ver Imagen")</f>
        <v/>
      </c>
      <c r="M2650" t="inlineStr">
        <is>
          <t>Moda</t>
        </is>
      </c>
    </row>
    <row r="2651">
      <c r="A2651" t="n">
        <v>2650</v>
      </c>
      <c r="B2651" t="inlineStr">
        <is>
          <t>A-5053__213</t>
        </is>
      </c>
      <c r="C2651" s="1" t="n">
        <v>37.2609101593</v>
      </c>
      <c r="D2651" s="1" t="n">
        <v>-7.12956931496</v>
      </c>
      <c r="E2651" s="3" t="n">
        <v>4</v>
      </c>
      <c r="F2651" s="2" t="n">
        <v>3</v>
      </c>
      <c r="G2651" s="4" t="n">
        <v>3</v>
      </c>
      <c r="H2651" s="13" t="n"/>
      <c r="I2651" s="15" t="n"/>
      <c r="J2651" s="19" t="n">
        <v>3</v>
      </c>
      <c r="K2651" s="2" t="inlineStr">
        <is>
          <t>marker_959_965758.png</t>
        </is>
      </c>
      <c r="L2651" s="11">
        <f>HYPERLINK("3\1\" &amp; K2651, "Ver Imagen")</f>
        <v/>
      </c>
      <c r="M2651" t="inlineStr">
        <is>
          <t>Moda</t>
        </is>
      </c>
    </row>
    <row r="2652">
      <c r="A2652" t="n">
        <v>2651</v>
      </c>
      <c r="B2652" t="inlineStr">
        <is>
          <t>A-5053__209</t>
        </is>
      </c>
      <c r="C2652" s="1" t="n">
        <v>37.2601342612</v>
      </c>
      <c r="D2652" s="1" t="n">
        <v>-7.12915431533</v>
      </c>
      <c r="E2652" s="3" t="n">
        <v>3</v>
      </c>
      <c r="F2652" s="2" t="n">
        <v>3</v>
      </c>
      <c r="G2652" s="4" t="n">
        <v>2</v>
      </c>
      <c r="H2652" s="13" t="n"/>
      <c r="I2652" s="15" t="n"/>
      <c r="J2652" s="19" t="n">
        <v>3</v>
      </c>
      <c r="K2652" s="2" t="inlineStr">
        <is>
          <t>marker_102_965801.png</t>
        </is>
      </c>
      <c r="L2652" s="11">
        <f>HYPERLINK("3\1\" &amp; K2652, "Ver Imagen")</f>
        <v/>
      </c>
      <c r="M2652" t="inlineStr">
        <is>
          <t>Moda</t>
        </is>
      </c>
    </row>
    <row r="2653">
      <c r="A2653" t="n">
        <v>2652</v>
      </c>
      <c r="B2653" t="inlineStr">
        <is>
          <t>A-5053__153</t>
        </is>
      </c>
      <c r="C2653" s="1" t="n">
        <v>37.2493059603</v>
      </c>
      <c r="D2653" s="1" t="n">
        <v>-7.12738581095</v>
      </c>
      <c r="E2653" s="3" t="n">
        <v>3</v>
      </c>
      <c r="F2653" s="2" t="n">
        <v>2</v>
      </c>
      <c r="G2653" s="4" t="n">
        <v>3</v>
      </c>
      <c r="H2653" s="13" t="n"/>
      <c r="I2653" s="15" t="n"/>
      <c r="J2653" s="19" t="n">
        <v>3</v>
      </c>
      <c r="K2653" s="2" t="inlineStr">
        <is>
          <t>marker_783_966358.png</t>
        </is>
      </c>
      <c r="L2653" s="11">
        <f>HYPERLINK("3\1\" &amp; K2653, "Ver Imagen")</f>
        <v/>
      </c>
      <c r="M2653" t="inlineStr">
        <is>
          <t>Moda</t>
        </is>
      </c>
    </row>
    <row r="2654">
      <c r="A2654" t="n">
        <v>2653</v>
      </c>
      <c r="B2654" t="inlineStr">
        <is>
          <t>A-5053__99</t>
        </is>
      </c>
      <c r="C2654" s="1" t="n">
        <v>37.2384284626</v>
      </c>
      <c r="D2654" s="1" t="n">
        <v>-7.12841739786</v>
      </c>
      <c r="E2654" s="3" t="n">
        <v>3</v>
      </c>
      <c r="F2654" s="2" t="n">
        <v>2</v>
      </c>
      <c r="G2654" s="4" t="n">
        <v>3</v>
      </c>
      <c r="H2654" s="13" t="n"/>
      <c r="I2654" s="15" t="n"/>
      <c r="J2654" s="19" t="n">
        <v>3</v>
      </c>
      <c r="K2654" s="2" t="inlineStr">
        <is>
          <t>marker_686_019823.png</t>
        </is>
      </c>
      <c r="L2654" s="11">
        <f>HYPERLINK("3\1\" &amp; K2654, "Ver Imagen")</f>
        <v/>
      </c>
      <c r="M2654" t="inlineStr">
        <is>
          <t>Moda</t>
        </is>
      </c>
    </row>
    <row r="2655">
      <c r="A2655" t="n">
        <v>2654</v>
      </c>
      <c r="B2655" t="inlineStr">
        <is>
          <t>A-5053__47</t>
        </is>
      </c>
      <c r="C2655" s="1" t="n">
        <v>37.2280631609</v>
      </c>
      <c r="D2655" s="1" t="n">
        <v>-7.12674873942</v>
      </c>
      <c r="E2655" s="3" t="n">
        <v>4</v>
      </c>
      <c r="F2655" s="2" t="n">
        <v>3</v>
      </c>
      <c r="G2655" s="4" t="n">
        <v>3</v>
      </c>
      <c r="H2655" s="13" t="n"/>
      <c r="I2655" s="15" t="n"/>
      <c r="J2655" s="19" t="n">
        <v>3</v>
      </c>
      <c r="K2655" s="2" t="inlineStr">
        <is>
          <t>marker_271_021029.png</t>
        </is>
      </c>
      <c r="L2655" s="11">
        <f>HYPERLINK("3\1\" &amp; K2655, "Ver Imagen")</f>
        <v/>
      </c>
      <c r="M2655" t="inlineStr">
        <is>
          <t>Moda</t>
        </is>
      </c>
    </row>
    <row r="2656">
      <c r="A2656" t="n">
        <v>2655</v>
      </c>
      <c r="B2656" t="inlineStr">
        <is>
          <t>A-5053__12</t>
        </is>
      </c>
      <c r="C2656" s="1" t="n">
        <v>37.2212970197</v>
      </c>
      <c r="D2656" s="1" t="n">
        <v>-7.12564208185</v>
      </c>
      <c r="E2656" s="3" t="n">
        <v>4</v>
      </c>
      <c r="F2656" s="2" t="n">
        <v>3</v>
      </c>
      <c r="G2656" s="4" t="n">
        <v>3</v>
      </c>
      <c r="H2656" s="13" t="n"/>
      <c r="I2656" s="15" t="n"/>
      <c r="J2656" s="19" t="n">
        <v>3</v>
      </c>
      <c r="K2656" s="2" t="inlineStr">
        <is>
          <t>marker_802_025082.png</t>
        </is>
      </c>
      <c r="L2656" s="11">
        <f>HYPERLINK("3\1\" &amp; K2656, "Ver Imagen")</f>
        <v/>
      </c>
      <c r="M2656" t="inlineStr">
        <is>
          <t>Moda</t>
        </is>
      </c>
    </row>
    <row r="2657">
      <c r="A2657" t="n">
        <v>2656</v>
      </c>
      <c r="B2657" t="inlineStr">
        <is>
          <t>A-495__20</t>
        </is>
      </c>
      <c r="C2657" s="1" t="n">
        <v>37.4434073273</v>
      </c>
      <c r="D2657" s="1" t="n">
        <v>-7.0955173474</v>
      </c>
      <c r="E2657" s="3" t="n">
        <v>3</v>
      </c>
      <c r="F2657" s="2" t="n">
        <v>2</v>
      </c>
      <c r="G2657" s="4" t="n">
        <v>3</v>
      </c>
      <c r="H2657" s="13" t="n"/>
      <c r="I2657" s="15" t="n"/>
      <c r="J2657" s="19" t="n">
        <v>3</v>
      </c>
      <c r="K2657" s="2" t="inlineStr">
        <is>
          <t>marker_606_381265.png</t>
        </is>
      </c>
      <c r="L2657" s="11">
        <f>HYPERLINK("3\1\" &amp; K2657, "Ver Imagen")</f>
        <v/>
      </c>
      <c r="M2657" t="inlineStr">
        <is>
          <t>Moda</t>
        </is>
      </c>
    </row>
    <row r="2658">
      <c r="A2658" t="n">
        <v>2657</v>
      </c>
      <c r="B2658" t="inlineStr">
        <is>
          <t>A-495__42</t>
        </is>
      </c>
      <c r="C2658" s="1" t="n">
        <v>37.4413715543</v>
      </c>
      <c r="D2658" s="1" t="n">
        <v>-7.09054309119</v>
      </c>
      <c r="E2658" s="3" t="n">
        <v>3</v>
      </c>
      <c r="F2658" s="2" t="n">
        <v>2</v>
      </c>
      <c r="G2658" s="4" t="n">
        <v>3</v>
      </c>
      <c r="H2658" s="13" t="n"/>
      <c r="I2658" s="15" t="n"/>
      <c r="J2658" s="19" t="n">
        <v>3</v>
      </c>
      <c r="K2658" s="2" t="inlineStr">
        <is>
          <t>marker_206_381530.png</t>
        </is>
      </c>
      <c r="L2658" s="11">
        <f>HYPERLINK("3\1\" &amp; K2658, "Ver Imagen")</f>
        <v/>
      </c>
      <c r="M2658" t="inlineStr">
        <is>
          <t>Moda</t>
        </is>
      </c>
    </row>
    <row r="2659">
      <c r="A2659" t="n">
        <v>2658</v>
      </c>
      <c r="B2659" t="inlineStr">
        <is>
          <t>A-495__43</t>
        </is>
      </c>
      <c r="C2659" s="1" t="n">
        <v>37.4412696562</v>
      </c>
      <c r="D2659" s="1" t="n">
        <v>-7.0903248826</v>
      </c>
      <c r="E2659" s="3" t="n">
        <v>3</v>
      </c>
      <c r="F2659" s="2" t="n">
        <v>2</v>
      </c>
      <c r="G2659" s="4" t="n">
        <v>3</v>
      </c>
      <c r="H2659" s="13" t="n"/>
      <c r="I2659" s="15" t="n"/>
      <c r="J2659" s="19" t="n">
        <v>3</v>
      </c>
      <c r="K2659" s="2" t="inlineStr">
        <is>
          <t>marker_469_381543.png</t>
        </is>
      </c>
      <c r="L2659" s="11">
        <f>HYPERLINK("3\1\" &amp; K2659, "Ver Imagen")</f>
        <v/>
      </c>
      <c r="M2659" t="inlineStr">
        <is>
          <t>Moda</t>
        </is>
      </c>
    </row>
    <row r="2660">
      <c r="A2660" t="n">
        <v>2659</v>
      </c>
      <c r="B2660" t="inlineStr">
        <is>
          <t>A-5059__41</t>
        </is>
      </c>
      <c r="C2660" s="1" t="n">
        <v>37.2271302433</v>
      </c>
      <c r="D2660" s="1" t="n">
        <v>-7.06078491716</v>
      </c>
      <c r="E2660" s="3" t="n">
        <v>3</v>
      </c>
      <c r="F2660" s="2" t="n">
        <v>2</v>
      </c>
      <c r="G2660" s="4" t="n">
        <v>3</v>
      </c>
      <c r="H2660" s="13" t="n"/>
      <c r="I2660" s="15" t="n"/>
      <c r="J2660" s="19" t="n">
        <v>3</v>
      </c>
      <c r="K2660" s="2" t="inlineStr">
        <is>
          <t>marker_244_379286.png</t>
        </is>
      </c>
      <c r="L2660" s="11">
        <f>HYPERLINK("3\1\" &amp; K2660, "Ver Imagen")</f>
        <v/>
      </c>
      <c r="M2660" t="inlineStr">
        <is>
          <t>Moda</t>
        </is>
      </c>
    </row>
    <row r="2661">
      <c r="A2661" t="n">
        <v>2660</v>
      </c>
      <c r="B2661" t="inlineStr">
        <is>
          <t>A-5059__39</t>
        </is>
      </c>
      <c r="C2661" s="1" t="n">
        <v>37.2275052527</v>
      </c>
      <c r="D2661" s="1" t="n">
        <v>-7.06096101495</v>
      </c>
      <c r="E2661" s="3" t="n">
        <v>3</v>
      </c>
      <c r="F2661" s="2" t="n">
        <v>2</v>
      </c>
      <c r="G2661" s="4" t="n">
        <v>3</v>
      </c>
      <c r="H2661" s="13" t="n"/>
      <c r="I2661" s="15" t="n"/>
      <c r="J2661" s="19" t="n">
        <v>3</v>
      </c>
      <c r="K2661" s="2" t="inlineStr">
        <is>
          <t>marker_168_379304.png</t>
        </is>
      </c>
      <c r="L2661" s="11">
        <f>HYPERLINK("3\1\" &amp; K2661, "Ver Imagen")</f>
        <v/>
      </c>
      <c r="M2661" t="inlineStr">
        <is>
          <t>Moda</t>
        </is>
      </c>
    </row>
    <row r="2662">
      <c r="A2662" t="n">
        <v>2661</v>
      </c>
      <c r="B2662" t="inlineStr">
        <is>
          <t>A-5059__29</t>
        </is>
      </c>
      <c r="C2662" s="1" t="n">
        <v>37.2291018296</v>
      </c>
      <c r="D2662" s="1" t="n">
        <v>-7.06251964924</v>
      </c>
      <c r="E2662" s="3" t="n">
        <v>3</v>
      </c>
      <c r="F2662" s="2" t="n">
        <v>2</v>
      </c>
      <c r="G2662" s="4" t="n">
        <v>3</v>
      </c>
      <c r="H2662" s="13" t="n"/>
      <c r="I2662" s="15" t="n"/>
      <c r="J2662" s="19" t="n">
        <v>3</v>
      </c>
      <c r="K2662" s="2" t="inlineStr">
        <is>
          <t>marker_659_379413.png</t>
        </is>
      </c>
      <c r="L2662" s="11">
        <f>HYPERLINK("3\1\" &amp; K2662, "Ver Imagen")</f>
        <v/>
      </c>
      <c r="M2662" t="inlineStr">
        <is>
          <t>Moda</t>
        </is>
      </c>
    </row>
    <row r="2663">
      <c r="A2663" t="n">
        <v>2662</v>
      </c>
      <c r="B2663" t="inlineStr">
        <is>
          <t>A-5059__28</t>
        </is>
      </c>
      <c r="C2663" s="1" t="n">
        <v>37.2292179873</v>
      </c>
      <c r="D2663" s="1" t="n">
        <v>-7.06265153806</v>
      </c>
      <c r="E2663" s="3" t="n">
        <v>3</v>
      </c>
      <c r="F2663" s="2" t="n">
        <v>2</v>
      </c>
      <c r="G2663" s="4" t="n">
        <v>3</v>
      </c>
      <c r="H2663" s="13" t="n"/>
      <c r="I2663" s="15" t="n"/>
      <c r="J2663" s="19" t="n">
        <v>3</v>
      </c>
      <c r="K2663" s="2" t="inlineStr">
        <is>
          <t>marker_200_379421.png</t>
        </is>
      </c>
      <c r="L2663" s="11">
        <f>HYPERLINK("3\1\" &amp; K2663, "Ver Imagen")</f>
        <v/>
      </c>
      <c r="M2663" t="inlineStr">
        <is>
          <t>Moda</t>
        </is>
      </c>
    </row>
    <row r="2664">
      <c r="A2664" t="n">
        <v>2663</v>
      </c>
      <c r="B2664" t="inlineStr">
        <is>
          <t>A-5059__26</t>
        </is>
      </c>
      <c r="C2664" s="1" t="n">
        <v>37.229564045</v>
      </c>
      <c r="D2664" s="1" t="n">
        <v>-7.06298513213</v>
      </c>
      <c r="E2664" s="3" t="n">
        <v>3</v>
      </c>
      <c r="F2664" s="2" t="n">
        <v>2</v>
      </c>
      <c r="G2664" s="4" t="n">
        <v>3</v>
      </c>
      <c r="H2664" s="13" t="n"/>
      <c r="I2664" s="15" t="n"/>
      <c r="J2664" s="19" t="n">
        <v>3</v>
      </c>
      <c r="K2664" s="2" t="inlineStr">
        <is>
          <t>marker_428_379439.png</t>
        </is>
      </c>
      <c r="L2664" s="11">
        <f>HYPERLINK("3\1\" &amp; K2664, "Ver Imagen")</f>
        <v/>
      </c>
      <c r="M2664" t="inlineStr">
        <is>
          <t>Moda</t>
        </is>
      </c>
    </row>
    <row r="2665">
      <c r="A2665" t="n">
        <v>2664</v>
      </c>
      <c r="B2665" t="inlineStr">
        <is>
          <t>A-5059__24</t>
        </is>
      </c>
      <c r="C2665" s="1" t="n">
        <v>37.2299189473</v>
      </c>
      <c r="D2665" s="1" t="n">
        <v>-7.06320381309</v>
      </c>
      <c r="E2665" s="3" t="n">
        <v>3</v>
      </c>
      <c r="F2665" s="2" t="n">
        <v>2</v>
      </c>
      <c r="G2665" s="4" t="n">
        <v>3</v>
      </c>
      <c r="H2665" s="13" t="n"/>
      <c r="I2665" s="15" t="n"/>
      <c r="J2665" s="19" t="n">
        <v>3</v>
      </c>
      <c r="K2665" s="2" t="inlineStr">
        <is>
          <t>marker_780_379456.png</t>
        </is>
      </c>
      <c r="L2665" s="11">
        <f>HYPERLINK("3\1\" &amp; K2665, "Ver Imagen")</f>
        <v/>
      </c>
      <c r="M2665" t="inlineStr">
        <is>
          <t>Moda</t>
        </is>
      </c>
    </row>
    <row r="2666">
      <c r="A2666" t="n">
        <v>2665</v>
      </c>
      <c r="B2666" t="inlineStr">
        <is>
          <t>A-5059__23</t>
        </is>
      </c>
      <c r="C2666" s="1" t="n">
        <v>37.2301140629</v>
      </c>
      <c r="D2666" s="1" t="n">
        <v>-7.06327719973</v>
      </c>
      <c r="E2666" s="3" t="n">
        <v>3</v>
      </c>
      <c r="F2666" s="2" t="n">
        <v>2</v>
      </c>
      <c r="G2666" s="4" t="n">
        <v>3</v>
      </c>
      <c r="H2666" s="13" t="n"/>
      <c r="I2666" s="15" t="n"/>
      <c r="J2666" s="19" t="n">
        <v>3</v>
      </c>
      <c r="K2666" s="2" t="inlineStr">
        <is>
          <t>marker_225_379465.png</t>
        </is>
      </c>
      <c r="L2666" s="11">
        <f>HYPERLINK("3\1\" &amp; K2666, "Ver Imagen")</f>
        <v/>
      </c>
      <c r="M2666" t="inlineStr">
        <is>
          <t>Moda</t>
        </is>
      </c>
    </row>
    <row r="2667">
      <c r="A2667" t="n">
        <v>2666</v>
      </c>
      <c r="B2667" t="inlineStr">
        <is>
          <t>A-5059__15</t>
        </is>
      </c>
      <c r="C2667" s="1" t="n">
        <v>37.2316585589</v>
      </c>
      <c r="D2667" s="1" t="n">
        <v>-7.06382036103</v>
      </c>
      <c r="E2667" s="3" t="n">
        <v>3</v>
      </c>
      <c r="F2667" s="2" t="n">
        <v>2</v>
      </c>
      <c r="G2667" s="4" t="n">
        <v>3</v>
      </c>
      <c r="H2667" s="13" t="n"/>
      <c r="I2667" s="15" t="n"/>
      <c r="J2667" s="19" t="n">
        <v>3</v>
      </c>
      <c r="K2667" s="2" t="inlineStr">
        <is>
          <t>marker_719_379535.png</t>
        </is>
      </c>
      <c r="L2667" s="11">
        <f>HYPERLINK("3\1\" &amp; K2667, "Ver Imagen")</f>
        <v/>
      </c>
      <c r="M2667" t="inlineStr">
        <is>
          <t>Moda</t>
        </is>
      </c>
    </row>
    <row r="2668">
      <c r="A2668" t="n">
        <v>2667</v>
      </c>
      <c r="B2668" t="inlineStr">
        <is>
          <t>A-5059__14</t>
        </is>
      </c>
      <c r="C2668" s="1" t="n">
        <v>37.2318343022</v>
      </c>
      <c r="D2668" s="1" t="n">
        <v>-7.06396949358</v>
      </c>
      <c r="E2668" s="3" t="n">
        <v>3</v>
      </c>
      <c r="F2668" s="2" t="n">
        <v>2</v>
      </c>
      <c r="G2668" s="4" t="n">
        <v>3</v>
      </c>
      <c r="H2668" s="13" t="n"/>
      <c r="I2668" s="15" t="n"/>
      <c r="J2668" s="19" t="n">
        <v>3</v>
      </c>
      <c r="K2668" s="2" t="inlineStr">
        <is>
          <t>marker_345_379545.png</t>
        </is>
      </c>
      <c r="L2668" s="11">
        <f>HYPERLINK("3\1\" &amp; K2668, "Ver Imagen")</f>
        <v/>
      </c>
      <c r="M2668" t="inlineStr">
        <is>
          <t>Moda</t>
        </is>
      </c>
    </row>
    <row r="2669">
      <c r="A2669" t="n">
        <v>2668</v>
      </c>
      <c r="B2669" t="inlineStr">
        <is>
          <t>A-5059__10</t>
        </is>
      </c>
      <c r="C2669" s="1" t="n">
        <v>37.2324244609</v>
      </c>
      <c r="D2669" s="1" t="n">
        <v>-7.06465428539</v>
      </c>
      <c r="E2669" s="3" t="n">
        <v>3</v>
      </c>
      <c r="F2669" s="2" t="n">
        <v>2</v>
      </c>
      <c r="G2669" s="4" t="n">
        <v>3</v>
      </c>
      <c r="H2669" s="13" t="n"/>
      <c r="I2669" s="15" t="n"/>
      <c r="J2669" s="19" t="n">
        <v>3</v>
      </c>
      <c r="K2669" s="2" t="inlineStr">
        <is>
          <t>marker_509_379582.png</t>
        </is>
      </c>
      <c r="L2669" s="11">
        <f>HYPERLINK("3\1\" &amp; K2669, "Ver Imagen")</f>
        <v/>
      </c>
      <c r="M2669" t="inlineStr">
        <is>
          <t>Moda</t>
        </is>
      </c>
    </row>
    <row r="2670">
      <c r="A2670" t="n">
        <v>2669</v>
      </c>
      <c r="B2670" t="inlineStr">
        <is>
          <t>A-495__159</t>
        </is>
      </c>
      <c r="C2670" s="1" t="n">
        <v>37.4325030642</v>
      </c>
      <c r="D2670" s="1" t="n">
        <v>-7.06394380594</v>
      </c>
      <c r="E2670" s="3" t="n">
        <v>3</v>
      </c>
      <c r="F2670" s="2" t="n">
        <v>4</v>
      </c>
      <c r="G2670" s="4" t="n">
        <v>3</v>
      </c>
      <c r="H2670" s="13" t="n"/>
      <c r="I2670" s="15" t="n"/>
      <c r="J2670" s="19" t="n">
        <v>3</v>
      </c>
      <c r="K2670" s="2" t="inlineStr">
        <is>
          <t>marker_607_382792.png</t>
        </is>
      </c>
      <c r="L2670" s="11">
        <f>HYPERLINK("3\1\" &amp; K2670, "Ver Imagen")</f>
        <v/>
      </c>
      <c r="M2670" t="inlineStr">
        <is>
          <t>Moda</t>
        </is>
      </c>
    </row>
    <row r="2671">
      <c r="A2671" t="n">
        <v>2670</v>
      </c>
      <c r="B2671" t="inlineStr">
        <is>
          <t>A-5058__7</t>
        </is>
      </c>
      <c r="C2671" s="1" t="n">
        <v>37.2253212648</v>
      </c>
      <c r="D2671" s="1" t="n">
        <v>-7.02902489117</v>
      </c>
      <c r="E2671" s="3" t="n">
        <v>3</v>
      </c>
      <c r="F2671" s="2" t="n">
        <v>2</v>
      </c>
      <c r="G2671" s="4" t="n">
        <v>3</v>
      </c>
      <c r="H2671" s="13" t="n"/>
      <c r="I2671" s="15" t="n"/>
      <c r="J2671" s="19" t="n">
        <v>3</v>
      </c>
      <c r="K2671" s="2" t="inlineStr">
        <is>
          <t>marker_908_379881.png</t>
        </is>
      </c>
      <c r="L2671" s="11">
        <f>HYPERLINK("3\1\" &amp; K2671, "Ver Imagen")</f>
        <v/>
      </c>
      <c r="M2671" t="inlineStr">
        <is>
          <t>Moda</t>
        </is>
      </c>
    </row>
    <row r="2672">
      <c r="A2672" t="n">
        <v>2671</v>
      </c>
      <c r="B2672" t="inlineStr">
        <is>
          <t>A-5058__15</t>
        </is>
      </c>
      <c r="C2672" s="1" t="n">
        <v>37.22529838</v>
      </c>
      <c r="D2672" s="1" t="n">
        <v>-7.03106351334</v>
      </c>
      <c r="E2672" s="3" t="n">
        <v>3</v>
      </c>
      <c r="F2672" s="2" t="n">
        <v>2</v>
      </c>
      <c r="G2672" s="4" t="n">
        <v>3</v>
      </c>
      <c r="H2672" s="13" t="n"/>
      <c r="I2672" s="15" t="n"/>
      <c r="J2672" s="19" t="n">
        <v>3</v>
      </c>
      <c r="K2672" s="2" t="inlineStr">
        <is>
          <t>marker_351_379993.png</t>
        </is>
      </c>
      <c r="L2672" s="11">
        <f>HYPERLINK("3\1\" &amp; K2672, "Ver Imagen")</f>
        <v/>
      </c>
      <c r="M2672" t="inlineStr">
        <is>
          <t>Moda</t>
        </is>
      </c>
    </row>
    <row r="2673">
      <c r="A2673" t="n">
        <v>2672</v>
      </c>
      <c r="B2673" t="inlineStr">
        <is>
          <t>A-5058__25</t>
        </is>
      </c>
      <c r="C2673" s="1" t="n">
        <v>37.2249014309</v>
      </c>
      <c r="D2673" s="1" t="n">
        <v>-7.03352448463</v>
      </c>
      <c r="E2673" s="3" t="n">
        <v>3</v>
      </c>
      <c r="F2673" s="2" t="n">
        <v>2</v>
      </c>
      <c r="G2673" s="4" t="n">
        <v>3</v>
      </c>
      <c r="H2673" s="13" t="n"/>
      <c r="I2673" s="15" t="n"/>
      <c r="J2673" s="19" t="n">
        <v>3</v>
      </c>
      <c r="K2673" s="2" t="inlineStr">
        <is>
          <t>marker_366_380136.png</t>
        </is>
      </c>
      <c r="L2673" s="11">
        <f>HYPERLINK("3\1\" &amp; K2673, "Ver Imagen")</f>
        <v/>
      </c>
      <c r="M2673" t="inlineStr">
        <is>
          <t>Moda</t>
        </is>
      </c>
    </row>
    <row r="2674">
      <c r="A2674" t="n">
        <v>2673</v>
      </c>
      <c r="B2674" t="inlineStr">
        <is>
          <t>A-495__165</t>
        </is>
      </c>
      <c r="C2674" s="1" t="n">
        <v>37.4319012471</v>
      </c>
      <c r="D2674" s="1" t="n">
        <v>-7.06264011676</v>
      </c>
      <c r="E2674" s="3" t="n">
        <v>3</v>
      </c>
      <c r="F2674" s="2" t="n">
        <v>2</v>
      </c>
      <c r="G2674" s="4" t="n">
        <v>3</v>
      </c>
      <c r="H2674" s="13" t="n"/>
      <c r="I2674" s="15" t="n"/>
      <c r="J2674" s="19" t="n">
        <v>3</v>
      </c>
      <c r="K2674" s="2" t="inlineStr">
        <is>
          <t>marker_623_382864.png</t>
        </is>
      </c>
      <c r="L2674" s="11">
        <f>HYPERLINK("3\1\" &amp; K2674, "Ver Imagen")</f>
        <v/>
      </c>
      <c r="M2674" t="inlineStr">
        <is>
          <t>Moda</t>
        </is>
      </c>
    </row>
    <row r="2675">
      <c r="A2675" t="n">
        <v>2674</v>
      </c>
      <c r="B2675" t="inlineStr">
        <is>
          <t>A-5058__33</t>
        </is>
      </c>
      <c r="C2675" s="1" t="n">
        <v>37.2246419617</v>
      </c>
      <c r="D2675" s="1" t="n">
        <v>-7.03534079717</v>
      </c>
      <c r="E2675" s="3" t="n">
        <v>4</v>
      </c>
      <c r="F2675" s="2" t="n">
        <v>3</v>
      </c>
      <c r="G2675" s="4" t="n">
        <v>3</v>
      </c>
      <c r="H2675" s="13" t="n"/>
      <c r="I2675" s="15" t="n"/>
      <c r="J2675" s="19" t="n">
        <v>3</v>
      </c>
      <c r="K2675" s="2" t="inlineStr">
        <is>
          <t>marker_163_380223.png</t>
        </is>
      </c>
      <c r="L2675" s="11">
        <f>HYPERLINK("3\1\" &amp; K2675, "Ver Imagen")</f>
        <v/>
      </c>
      <c r="M2675" t="inlineStr">
        <is>
          <t>Moda</t>
        </is>
      </c>
    </row>
    <row r="2676">
      <c r="A2676" t="n">
        <v>2675</v>
      </c>
      <c r="B2676" t="inlineStr">
        <is>
          <t>A-5058__34</t>
        </is>
      </c>
      <c r="C2676" s="1" t="n">
        <v>37.2246513993</v>
      </c>
      <c r="D2676" s="1" t="n">
        <v>-7.03559923398</v>
      </c>
      <c r="E2676" s="3" t="n">
        <v>4</v>
      </c>
      <c r="F2676" s="2" t="n">
        <v>3</v>
      </c>
      <c r="G2676" s="4" t="n">
        <v>3</v>
      </c>
      <c r="H2676" s="13" t="n"/>
      <c r="I2676" s="15" t="n"/>
      <c r="J2676" s="19" t="n">
        <v>3</v>
      </c>
      <c r="K2676" s="2" t="inlineStr">
        <is>
          <t>marker_967_380234.png</t>
        </is>
      </c>
      <c r="L2676" s="11">
        <f>HYPERLINK("3\1\" &amp; K2676, "Ver Imagen")</f>
        <v/>
      </c>
      <c r="M2676" t="inlineStr">
        <is>
          <t>Moda</t>
        </is>
      </c>
    </row>
    <row r="2677">
      <c r="A2677" t="n">
        <v>2676</v>
      </c>
      <c r="B2677" t="inlineStr">
        <is>
          <t>A-5058__35</t>
        </is>
      </c>
      <c r="C2677" s="1" t="n">
        <v>37.2245859388</v>
      </c>
      <c r="D2677" s="1" t="n">
        <v>-7.03578806529</v>
      </c>
      <c r="E2677" s="3" t="n">
        <v>4</v>
      </c>
      <c r="F2677" s="2" t="n">
        <v>3</v>
      </c>
      <c r="G2677" s="4" t="n">
        <v>3</v>
      </c>
      <c r="H2677" s="13" t="n"/>
      <c r="I2677" s="15" t="n"/>
      <c r="J2677" s="19" t="n">
        <v>3</v>
      </c>
      <c r="K2677" s="2" t="inlineStr">
        <is>
          <t>marker_680_380244.png</t>
        </is>
      </c>
      <c r="L2677" s="11">
        <f>HYPERLINK("3\1\" &amp; K2677, "Ver Imagen")</f>
        <v/>
      </c>
      <c r="M2677" t="inlineStr">
        <is>
          <t>Moda</t>
        </is>
      </c>
    </row>
    <row r="2678">
      <c r="A2678" t="n">
        <v>2677</v>
      </c>
      <c r="B2678" t="inlineStr">
        <is>
          <t>A-5058__37</t>
        </is>
      </c>
      <c r="C2678" s="1" t="n">
        <v>37.2245641975</v>
      </c>
      <c r="D2678" s="1" t="n">
        <v>-7.03622661395</v>
      </c>
      <c r="E2678" s="3" t="n">
        <v>3</v>
      </c>
      <c r="F2678" s="2" t="n">
        <v>2</v>
      </c>
      <c r="G2678" s="4" t="n">
        <v>3</v>
      </c>
      <c r="H2678" s="13" t="n"/>
      <c r="I2678" s="15" t="n"/>
      <c r="J2678" s="19" t="n">
        <v>3</v>
      </c>
      <c r="K2678" s="2" t="inlineStr">
        <is>
          <t>marker_168_380265.png</t>
        </is>
      </c>
      <c r="L2678" s="11">
        <f>HYPERLINK("3\1\" &amp; K2678, "Ver Imagen")</f>
        <v/>
      </c>
      <c r="M2678" t="inlineStr">
        <is>
          <t>Moda</t>
        </is>
      </c>
    </row>
    <row r="2679">
      <c r="A2679" t="n">
        <v>2678</v>
      </c>
      <c r="B2679" t="inlineStr">
        <is>
          <t>A-5058__43</t>
        </is>
      </c>
      <c r="C2679" s="1" t="n">
        <v>37.2246361433</v>
      </c>
      <c r="D2679" s="1" t="n">
        <v>-7.03775202178</v>
      </c>
      <c r="E2679" s="3" t="n">
        <v>3</v>
      </c>
      <c r="F2679" s="2" t="n">
        <v>2</v>
      </c>
      <c r="G2679" s="4" t="n">
        <v>3</v>
      </c>
      <c r="H2679" s="13" t="n"/>
      <c r="I2679" s="15" t="n"/>
      <c r="J2679" s="19" t="n">
        <v>3</v>
      </c>
      <c r="K2679" s="2" t="inlineStr">
        <is>
          <t>marker_758_380453.png</t>
        </is>
      </c>
      <c r="L2679" s="11">
        <f>HYPERLINK("3\1\" &amp; K2679, "Ver Imagen")</f>
        <v/>
      </c>
      <c r="M2679" t="inlineStr">
        <is>
          <t>Moda</t>
        </is>
      </c>
    </row>
    <row r="2680">
      <c r="A2680" t="n">
        <v>2679</v>
      </c>
      <c r="B2680" t="inlineStr">
        <is>
          <t>A-5058__47</t>
        </is>
      </c>
      <c r="C2680" s="1" t="n">
        <v>37.2247203752</v>
      </c>
      <c r="D2680" s="1" t="n">
        <v>-7.03878133358</v>
      </c>
      <c r="E2680" s="3" t="n">
        <v>3</v>
      </c>
      <c r="F2680" s="2" t="n">
        <v>2</v>
      </c>
      <c r="G2680" s="4" t="n">
        <v>3</v>
      </c>
      <c r="H2680" s="13" t="n"/>
      <c r="I2680" s="15" t="n"/>
      <c r="J2680" s="19" t="n">
        <v>3</v>
      </c>
      <c r="K2680" s="2" t="inlineStr">
        <is>
          <t>marker_727_380501.png</t>
        </is>
      </c>
      <c r="L2680" s="11">
        <f>HYPERLINK("3\1\" &amp; K2680, "Ver Imagen")</f>
        <v/>
      </c>
      <c r="M2680" t="inlineStr">
        <is>
          <t>Moda</t>
        </is>
      </c>
    </row>
    <row r="2681">
      <c r="A2681" t="n">
        <v>2680</v>
      </c>
      <c r="B2681" t="inlineStr">
        <is>
          <t>A-5058__75</t>
        </is>
      </c>
      <c r="C2681" s="1" t="n">
        <v>37.2272443794</v>
      </c>
      <c r="D2681" s="1" t="n">
        <v>-7.04499389068</v>
      </c>
      <c r="E2681" s="3" t="n">
        <v>3</v>
      </c>
      <c r="F2681" s="2" t="n">
        <v>2</v>
      </c>
      <c r="G2681" s="4" t="n">
        <v>3</v>
      </c>
      <c r="H2681" s="13" t="n"/>
      <c r="I2681" s="15" t="n"/>
      <c r="J2681" s="19" t="n">
        <v>3</v>
      </c>
      <c r="K2681" s="2" t="inlineStr">
        <is>
          <t>marker_287_380809.png</t>
        </is>
      </c>
      <c r="L2681" s="11">
        <f>HYPERLINK("3\1\" &amp; K2681, "Ver Imagen")</f>
        <v/>
      </c>
      <c r="M2681" t="inlineStr">
        <is>
          <t>Moda</t>
        </is>
      </c>
    </row>
    <row r="2682">
      <c r="A2682" t="n">
        <v>2681</v>
      </c>
      <c r="B2682" t="inlineStr">
        <is>
          <t>A-5058__79</t>
        </is>
      </c>
      <c r="C2682" s="1" t="n">
        <v>37.2278936781</v>
      </c>
      <c r="D2682" s="1" t="n">
        <v>-7.04561506405</v>
      </c>
      <c r="E2682" s="3" t="n">
        <v>3</v>
      </c>
      <c r="F2682" s="2" t="n">
        <v>2</v>
      </c>
      <c r="G2682" s="4" t="n">
        <v>3</v>
      </c>
      <c r="H2682" s="13" t="n"/>
      <c r="I2682" s="15" t="n"/>
      <c r="J2682" s="19" t="n">
        <v>3</v>
      </c>
      <c r="K2682" s="2" t="inlineStr">
        <is>
          <t>marker_670_380848.png</t>
        </is>
      </c>
      <c r="L2682" s="11">
        <f>HYPERLINK("3\1\" &amp; K2682, "Ver Imagen")</f>
        <v/>
      </c>
      <c r="M2682" t="inlineStr">
        <is>
          <t>Moda</t>
        </is>
      </c>
    </row>
    <row r="2683">
      <c r="A2683" t="n">
        <v>2682</v>
      </c>
      <c r="B2683" t="inlineStr">
        <is>
          <t>A-5058__96</t>
        </is>
      </c>
      <c r="C2683" s="1" t="n">
        <v>37.2301085002</v>
      </c>
      <c r="D2683" s="1" t="n">
        <v>-7.04888743739</v>
      </c>
      <c r="E2683" s="3" t="n">
        <v>3</v>
      </c>
      <c r="F2683" s="2" t="n">
        <v>2</v>
      </c>
      <c r="G2683" s="4" t="n">
        <v>3</v>
      </c>
      <c r="H2683" s="13" t="n"/>
      <c r="I2683" s="15" t="n"/>
      <c r="J2683" s="19" t="n">
        <v>3</v>
      </c>
      <c r="K2683" s="2" t="inlineStr">
        <is>
          <t>marker_829_381071.png</t>
        </is>
      </c>
      <c r="L2683" s="11">
        <f>HYPERLINK("3\1\" &amp; K2683, "Ver Imagen")</f>
        <v/>
      </c>
      <c r="M2683" t="inlineStr">
        <is>
          <t>Moda</t>
        </is>
      </c>
    </row>
    <row r="2684">
      <c r="A2684" t="n">
        <v>2683</v>
      </c>
      <c r="B2684" t="inlineStr">
        <is>
          <t>A-5058__100</t>
        </is>
      </c>
      <c r="C2684" s="1" t="n">
        <v>37.2305920099</v>
      </c>
      <c r="D2684" s="1" t="n">
        <v>-7.04969849832</v>
      </c>
      <c r="E2684" s="3" t="n">
        <v>3</v>
      </c>
      <c r="F2684" s="2" t="n">
        <v>2</v>
      </c>
      <c r="G2684" s="4" t="n">
        <v>3</v>
      </c>
      <c r="H2684" s="13" t="n"/>
      <c r="I2684" s="15" t="n"/>
      <c r="J2684" s="19" t="n">
        <v>3</v>
      </c>
      <c r="K2684" s="2" t="inlineStr">
        <is>
          <t>marker_566_381110.png</t>
        </is>
      </c>
      <c r="L2684" s="11">
        <f>HYPERLINK("3\1\" &amp; K2684, "Ver Imagen")</f>
        <v/>
      </c>
      <c r="M2684" t="inlineStr">
        <is>
          <t>Moda</t>
        </is>
      </c>
    </row>
    <row r="2685">
      <c r="A2685" t="n">
        <v>2684</v>
      </c>
      <c r="B2685" t="inlineStr">
        <is>
          <t>A-5058__104</t>
        </is>
      </c>
      <c r="C2685" s="1" t="n">
        <v>37.2310554559</v>
      </c>
      <c r="D2685" s="1" t="n">
        <v>-7.05052152512</v>
      </c>
      <c r="E2685" s="3" t="n">
        <v>3</v>
      </c>
      <c r="F2685" s="2" t="n">
        <v>2</v>
      </c>
      <c r="G2685" s="4" t="n">
        <v>3</v>
      </c>
      <c r="H2685" s="13" t="n"/>
      <c r="I2685" s="15" t="n"/>
      <c r="J2685" s="19" t="n">
        <v>3</v>
      </c>
      <c r="K2685" s="2" t="inlineStr">
        <is>
          <t>marker_734_381168.png</t>
        </is>
      </c>
      <c r="L2685" s="11">
        <f>HYPERLINK("3\1\" &amp; K2685, "Ver Imagen")</f>
        <v/>
      </c>
      <c r="M2685" t="inlineStr">
        <is>
          <t>Moda</t>
        </is>
      </c>
    </row>
    <row r="2686">
      <c r="A2686" t="n">
        <v>2685</v>
      </c>
      <c r="B2686" t="inlineStr">
        <is>
          <t>A-5058__107</t>
        </is>
      </c>
      <c r="C2686" s="1" t="n">
        <v>37.2313915726</v>
      </c>
      <c r="D2686" s="1" t="n">
        <v>-7.05116061492</v>
      </c>
      <c r="E2686" s="3" t="n">
        <v>3</v>
      </c>
      <c r="F2686" s="2" t="n">
        <v>2</v>
      </c>
      <c r="G2686" s="4" t="n">
        <v>3</v>
      </c>
      <c r="H2686" s="13" t="n"/>
      <c r="I2686" s="15" t="n"/>
      <c r="J2686" s="19" t="n">
        <v>3</v>
      </c>
      <c r="K2686" s="2" t="inlineStr">
        <is>
          <t>marker_230_381210.png</t>
        </is>
      </c>
      <c r="L2686" s="11">
        <f>HYPERLINK("3\1\" &amp; K2686, "Ver Imagen")</f>
        <v/>
      </c>
      <c r="M2686" t="inlineStr">
        <is>
          <t>Moda</t>
        </is>
      </c>
    </row>
    <row r="2687">
      <c r="A2687" t="n">
        <v>2686</v>
      </c>
      <c r="B2687" t="inlineStr">
        <is>
          <t>A-5058__109</t>
        </is>
      </c>
      <c r="C2687" s="1" t="n">
        <v>37.2316183436</v>
      </c>
      <c r="D2687" s="1" t="n">
        <v>-7.05158792047</v>
      </c>
      <c r="E2687" s="3" t="n">
        <v>3</v>
      </c>
      <c r="F2687" s="2" t="n">
        <v>2</v>
      </c>
      <c r="G2687" s="4" t="n">
        <v>3</v>
      </c>
      <c r="H2687" s="13" t="n"/>
      <c r="I2687" s="15" t="n"/>
      <c r="J2687" s="19" t="n">
        <v>3</v>
      </c>
      <c r="K2687" s="2" t="inlineStr">
        <is>
          <t>marker_198_381229.png</t>
        </is>
      </c>
      <c r="L2687" s="11">
        <f>HYPERLINK("3\1\" &amp; K2687, "Ver Imagen")</f>
        <v/>
      </c>
      <c r="M2687" t="inlineStr">
        <is>
          <t>Moda</t>
        </is>
      </c>
    </row>
    <row r="2688">
      <c r="A2688" t="n">
        <v>2687</v>
      </c>
      <c r="B2688" t="inlineStr">
        <is>
          <t>A-5058__110</t>
        </is>
      </c>
      <c r="C2688" s="1" t="n">
        <v>37.231734164</v>
      </c>
      <c r="D2688" s="1" t="n">
        <v>-7.05179831323</v>
      </c>
      <c r="E2688" s="3" t="n">
        <v>3</v>
      </c>
      <c r="F2688" s="2" t="n">
        <v>2</v>
      </c>
      <c r="G2688" s="4" t="n">
        <v>3</v>
      </c>
      <c r="H2688" s="13" t="n"/>
      <c r="I2688" s="15" t="n"/>
      <c r="J2688" s="19" t="n">
        <v>3</v>
      </c>
      <c r="K2688" s="2" t="inlineStr">
        <is>
          <t>marker_886_381240.png</t>
        </is>
      </c>
      <c r="L2688" s="11">
        <f>HYPERLINK("3\1\" &amp; K2688, "Ver Imagen")</f>
        <v/>
      </c>
      <c r="M2688" t="inlineStr">
        <is>
          <t>Moda</t>
        </is>
      </c>
    </row>
    <row r="2689">
      <c r="A2689" t="n">
        <v>2688</v>
      </c>
      <c r="B2689" t="inlineStr">
        <is>
          <t>A-5058__112</t>
        </is>
      </c>
      <c r="C2689" s="1" t="n">
        <v>37.2319482292</v>
      </c>
      <c r="D2689" s="1" t="n">
        <v>-7.05220056718</v>
      </c>
      <c r="E2689" s="3" t="n">
        <v>3</v>
      </c>
      <c r="F2689" s="2" t="n">
        <v>2</v>
      </c>
      <c r="G2689" s="4" t="n">
        <v>3</v>
      </c>
      <c r="H2689" s="13" t="n"/>
      <c r="I2689" s="15" t="n"/>
      <c r="J2689" s="19" t="n">
        <v>3</v>
      </c>
      <c r="K2689" s="2" t="inlineStr">
        <is>
          <t>marker_280_381261.png</t>
        </is>
      </c>
      <c r="L2689" s="11">
        <f>HYPERLINK("3\1\" &amp; K2689, "Ver Imagen")</f>
        <v/>
      </c>
      <c r="M2689" t="inlineStr">
        <is>
          <t>Moda</t>
        </is>
      </c>
    </row>
    <row r="2690">
      <c r="A2690" t="n">
        <v>2689</v>
      </c>
      <c r="B2690" t="inlineStr">
        <is>
          <t>A-5058__113</t>
        </is>
      </c>
      <c r="C2690" s="1" t="n">
        <v>37.2320705796</v>
      </c>
      <c r="D2690" s="1" t="n">
        <v>-7.0524309908</v>
      </c>
      <c r="E2690" s="3" t="n">
        <v>3</v>
      </c>
      <c r="F2690" s="2" t="n">
        <v>2</v>
      </c>
      <c r="G2690" s="4" t="n">
        <v>3</v>
      </c>
      <c r="H2690" s="13" t="n"/>
      <c r="I2690" s="15" t="n"/>
      <c r="J2690" s="19" t="n">
        <v>3</v>
      </c>
      <c r="K2690" s="2" t="inlineStr">
        <is>
          <t>marker_702_381271.png</t>
        </is>
      </c>
      <c r="L2690" s="11">
        <f>HYPERLINK("3\1\" &amp; K2690, "Ver Imagen")</f>
        <v/>
      </c>
      <c r="M2690" t="inlineStr">
        <is>
          <t>Moda</t>
        </is>
      </c>
    </row>
    <row r="2691">
      <c r="A2691" t="n">
        <v>2690</v>
      </c>
      <c r="B2691" t="inlineStr">
        <is>
          <t>A-5058__116</t>
        </is>
      </c>
      <c r="C2691" s="1" t="n">
        <v>37.232401727</v>
      </c>
      <c r="D2691" s="1" t="n">
        <v>-7.05303989822</v>
      </c>
      <c r="E2691" s="3" t="n">
        <v>3</v>
      </c>
      <c r="F2691" s="2" t="n">
        <v>2</v>
      </c>
      <c r="G2691" s="4" t="n">
        <v>3</v>
      </c>
      <c r="H2691" s="13" t="n"/>
      <c r="I2691" s="15" t="n"/>
      <c r="J2691" s="19" t="n">
        <v>3</v>
      </c>
      <c r="K2691" s="2" t="inlineStr">
        <is>
          <t>marker_698_381305.png</t>
        </is>
      </c>
      <c r="L2691" s="11">
        <f>HYPERLINK("3\1\" &amp; K2691, "Ver Imagen")</f>
        <v/>
      </c>
      <c r="M2691" t="inlineStr">
        <is>
          <t>Moda</t>
        </is>
      </c>
    </row>
    <row r="2692">
      <c r="A2692" t="n">
        <v>2691</v>
      </c>
      <c r="B2692" t="inlineStr">
        <is>
          <t>A-5058__124</t>
        </is>
      </c>
      <c r="C2692" s="1" t="n">
        <v>37.2331512416</v>
      </c>
      <c r="D2692" s="1" t="n">
        <v>-7.05486215374</v>
      </c>
      <c r="E2692" s="3" t="n">
        <v>3</v>
      </c>
      <c r="F2692" s="2" t="n">
        <v>2</v>
      </c>
      <c r="G2692" s="4" t="n">
        <v>3</v>
      </c>
      <c r="H2692" s="13" t="n"/>
      <c r="I2692" s="15" t="n"/>
      <c r="J2692" s="19" t="n">
        <v>3</v>
      </c>
      <c r="K2692" s="2" t="inlineStr">
        <is>
          <t>marker_245_381378.png</t>
        </is>
      </c>
      <c r="L2692" s="11">
        <f>HYPERLINK("3\1\" &amp; K2692, "Ver Imagen")</f>
        <v/>
      </c>
      <c r="M2692" t="inlineStr">
        <is>
          <t>Moda</t>
        </is>
      </c>
    </row>
    <row r="2693">
      <c r="A2693" t="n">
        <v>2692</v>
      </c>
      <c r="B2693" t="inlineStr">
        <is>
          <t>A-5058__128</t>
        </is>
      </c>
      <c r="C2693" s="1" t="n">
        <v>37.2333967899</v>
      </c>
      <c r="D2693" s="1" t="n">
        <v>-7.05580807744</v>
      </c>
      <c r="E2693" s="3" t="n">
        <v>3</v>
      </c>
      <c r="F2693" s="2" t="n">
        <v>2</v>
      </c>
      <c r="G2693" s="4" t="n">
        <v>3</v>
      </c>
      <c r="H2693" s="13" t="n"/>
      <c r="I2693" s="15" t="n"/>
      <c r="J2693" s="19" t="n">
        <v>3</v>
      </c>
      <c r="K2693" s="2" t="inlineStr">
        <is>
          <t>marker_407_381434.png</t>
        </is>
      </c>
      <c r="L2693" s="11">
        <f>HYPERLINK("3\1\" &amp; K2693, "Ver Imagen")</f>
        <v/>
      </c>
      <c r="M2693" t="inlineStr">
        <is>
          <t>Moda</t>
        </is>
      </c>
    </row>
    <row r="2694">
      <c r="A2694" t="n">
        <v>2693</v>
      </c>
      <c r="B2694" t="inlineStr">
        <is>
          <t>A-5058__130</t>
        </is>
      </c>
      <c r="C2694" s="1" t="n">
        <v>37.2335264427</v>
      </c>
      <c r="D2694" s="1" t="n">
        <v>-7.05630407982</v>
      </c>
      <c r="E2694" s="3" t="n">
        <v>3</v>
      </c>
      <c r="F2694" s="2" t="n">
        <v>2</v>
      </c>
      <c r="G2694" s="4" t="n">
        <v>3</v>
      </c>
      <c r="H2694" s="13" t="n"/>
      <c r="I2694" s="15" t="n"/>
      <c r="J2694" s="19" t="n">
        <v>3</v>
      </c>
      <c r="K2694" s="2" t="inlineStr">
        <is>
          <t>marker_907_381456.png</t>
        </is>
      </c>
      <c r="L2694" s="11">
        <f>HYPERLINK("3\1\" &amp; K2694, "Ver Imagen")</f>
        <v/>
      </c>
      <c r="M2694" t="inlineStr">
        <is>
          <t>Moda</t>
        </is>
      </c>
    </row>
    <row r="2695">
      <c r="A2695" t="n">
        <v>2694</v>
      </c>
      <c r="B2695" t="inlineStr">
        <is>
          <t>A-5058__136</t>
        </is>
      </c>
      <c r="C2695" s="1" t="n">
        <v>37.2339031405</v>
      </c>
      <c r="D2695" s="1" t="n">
        <v>-7.05774442115</v>
      </c>
      <c r="E2695" s="3" t="n">
        <v>3</v>
      </c>
      <c r="F2695" s="2" t="n">
        <v>2</v>
      </c>
      <c r="G2695" s="4" t="n">
        <v>3</v>
      </c>
      <c r="H2695" s="13" t="n"/>
      <c r="I2695" s="15" t="n"/>
      <c r="J2695" s="19" t="n">
        <v>3</v>
      </c>
      <c r="K2695" s="2" t="inlineStr">
        <is>
          <t>marker_826_381527.png</t>
        </is>
      </c>
      <c r="L2695" s="11">
        <f>HYPERLINK("3\1\" &amp; K2695, "Ver Imagen")</f>
        <v/>
      </c>
      <c r="M2695" t="inlineStr">
        <is>
          <t>Moda</t>
        </is>
      </c>
    </row>
    <row r="2696">
      <c r="A2696" t="n">
        <v>2695</v>
      </c>
      <c r="B2696" t="inlineStr">
        <is>
          <t>A-5058__137</t>
        </is>
      </c>
      <c r="C2696" s="1" t="n">
        <v>37.2339570955</v>
      </c>
      <c r="D2696" s="1" t="n">
        <v>-7.05798208228</v>
      </c>
      <c r="E2696" s="3" t="n">
        <v>3</v>
      </c>
      <c r="F2696" s="2" t="n">
        <v>2</v>
      </c>
      <c r="G2696" s="4" t="n">
        <v>3</v>
      </c>
      <c r="H2696" s="13" t="n"/>
      <c r="I2696" s="15" t="n"/>
      <c r="J2696" s="19" t="n">
        <v>3</v>
      </c>
      <c r="K2696" s="2" t="inlineStr">
        <is>
          <t>marker_624_381537.png</t>
        </is>
      </c>
      <c r="L2696" s="11">
        <f>HYPERLINK("3\1\" &amp; K2696, "Ver Imagen")</f>
        <v/>
      </c>
      <c r="M2696" t="inlineStr">
        <is>
          <t>Moda</t>
        </is>
      </c>
    </row>
    <row r="2697">
      <c r="A2697" t="n">
        <v>2696</v>
      </c>
      <c r="B2697" t="inlineStr">
        <is>
          <t>A-5058__138</t>
        </is>
      </c>
      <c r="C2697" s="1" t="n">
        <v>37.2340128804</v>
      </c>
      <c r="D2697" s="1" t="n">
        <v>-7.05825284693</v>
      </c>
      <c r="E2697" s="3" t="n">
        <v>3</v>
      </c>
      <c r="F2697" s="2" t="n">
        <v>2</v>
      </c>
      <c r="G2697" s="4" t="n">
        <v>3</v>
      </c>
      <c r="H2697" s="13" t="n"/>
      <c r="I2697" s="15" t="n"/>
      <c r="J2697" s="19" t="n">
        <v>3</v>
      </c>
      <c r="K2697" s="2" t="inlineStr">
        <is>
          <t>marker_262_381552.png</t>
        </is>
      </c>
      <c r="L2697" s="11">
        <f>HYPERLINK("3\1\" &amp; K2697, "Ver Imagen")</f>
        <v/>
      </c>
      <c r="M2697" t="inlineStr">
        <is>
          <t>Moda</t>
        </is>
      </c>
    </row>
    <row r="2698">
      <c r="A2698" t="n">
        <v>2697</v>
      </c>
      <c r="B2698" t="inlineStr">
        <is>
          <t>A-5058__139</t>
        </is>
      </c>
      <c r="C2698" s="1" t="n">
        <v>37.2340552381</v>
      </c>
      <c r="D2698" s="1" t="n">
        <v>-7.05848485213</v>
      </c>
      <c r="E2698" s="3" t="n">
        <v>3</v>
      </c>
      <c r="F2698" s="2" t="n">
        <v>2</v>
      </c>
      <c r="G2698" s="4" t="n">
        <v>3</v>
      </c>
      <c r="H2698" s="13" t="n"/>
      <c r="I2698" s="15" t="n"/>
      <c r="J2698" s="19" t="n">
        <v>3</v>
      </c>
      <c r="K2698" s="2" t="inlineStr">
        <is>
          <t>marker_494_381561.png</t>
        </is>
      </c>
      <c r="L2698" s="11">
        <f>HYPERLINK("3\1\" &amp; K2698, "Ver Imagen")</f>
        <v/>
      </c>
      <c r="M2698" t="inlineStr">
        <is>
          <t>Moda</t>
        </is>
      </c>
    </row>
    <row r="2699">
      <c r="A2699" t="n">
        <v>2698</v>
      </c>
      <c r="B2699" t="inlineStr">
        <is>
          <t>A-5058__142</t>
        </is>
      </c>
      <c r="C2699" s="1" t="n">
        <v>37.2341322923</v>
      </c>
      <c r="D2699" s="1" t="n">
        <v>-7.0592410957</v>
      </c>
      <c r="E2699" s="3" t="n">
        <v>3</v>
      </c>
      <c r="F2699" s="2" t="n">
        <v>2</v>
      </c>
      <c r="G2699" s="4" t="n">
        <v>3</v>
      </c>
      <c r="H2699" s="13" t="n"/>
      <c r="I2699" s="15" t="n"/>
      <c r="J2699" s="19" t="n">
        <v>3</v>
      </c>
      <c r="K2699" s="2" t="inlineStr">
        <is>
          <t>marker_718_381605.png</t>
        </is>
      </c>
      <c r="L2699" s="11">
        <f>HYPERLINK("3\1\" &amp; K2699, "Ver Imagen")</f>
        <v/>
      </c>
      <c r="M2699" t="inlineStr">
        <is>
          <t>Moda</t>
        </is>
      </c>
    </row>
    <row r="2700">
      <c r="A2700" t="n">
        <v>2699</v>
      </c>
      <c r="B2700" t="inlineStr">
        <is>
          <t>A-5058__146</t>
        </is>
      </c>
      <c r="C2700" s="1" t="n">
        <v>37.2341301235</v>
      </c>
      <c r="D2700" s="1" t="n">
        <v>-7.06025955077</v>
      </c>
      <c r="E2700" s="3" t="n">
        <v>3</v>
      </c>
      <c r="F2700" s="2" t="n">
        <v>2</v>
      </c>
      <c r="G2700" s="4" t="n">
        <v>3</v>
      </c>
      <c r="H2700" s="13" t="n"/>
      <c r="I2700" s="15" t="n"/>
      <c r="J2700" s="19" t="n">
        <v>3</v>
      </c>
      <c r="K2700" s="2" t="inlineStr">
        <is>
          <t>marker_152_381655.png</t>
        </is>
      </c>
      <c r="L2700" s="11">
        <f>HYPERLINK("3\1\" &amp; K2700, "Ver Imagen")</f>
        <v/>
      </c>
      <c r="M2700" t="inlineStr">
        <is>
          <t>Moda</t>
        </is>
      </c>
    </row>
    <row r="2701">
      <c r="A2701" t="n">
        <v>2700</v>
      </c>
      <c r="B2701" t="inlineStr">
        <is>
          <t>A-5058__147</t>
        </is>
      </c>
      <c r="C2701" s="1" t="n">
        <v>37.2341269567</v>
      </c>
      <c r="D2701" s="1" t="n">
        <v>-7.06051110013</v>
      </c>
      <c r="E2701" s="3" t="n">
        <v>3</v>
      </c>
      <c r="F2701" s="2" t="n">
        <v>2</v>
      </c>
      <c r="G2701" s="4" t="n">
        <v>3</v>
      </c>
      <c r="H2701" s="13" t="n"/>
      <c r="I2701" s="15" t="n"/>
      <c r="J2701" s="19" t="n">
        <v>3</v>
      </c>
      <c r="K2701" s="2" t="inlineStr">
        <is>
          <t>marker_498_381665.png</t>
        </is>
      </c>
      <c r="L2701" s="11">
        <f>HYPERLINK("3\1\" &amp; K2701, "Ver Imagen")</f>
        <v/>
      </c>
      <c r="M2701" t="inlineStr">
        <is>
          <t>Moda</t>
        </is>
      </c>
    </row>
    <row r="2702">
      <c r="A2702" t="n">
        <v>2701</v>
      </c>
      <c r="B2702" t="inlineStr">
        <is>
          <t>A-5058__148</t>
        </is>
      </c>
      <c r="C2702" s="1" t="n">
        <v>37.2341233368</v>
      </c>
      <c r="D2702" s="1" t="n">
        <v>-7.06076711427</v>
      </c>
      <c r="E2702" s="3" t="n">
        <v>3</v>
      </c>
      <c r="F2702" s="2" t="n">
        <v>2</v>
      </c>
      <c r="G2702" s="4" t="n">
        <v>3</v>
      </c>
      <c r="H2702" s="13" t="n"/>
      <c r="I2702" s="15" t="n"/>
      <c r="J2702" s="19" t="n">
        <v>3</v>
      </c>
      <c r="K2702" s="2" t="inlineStr">
        <is>
          <t>marker_636_381682.png</t>
        </is>
      </c>
      <c r="L2702" s="11">
        <f>HYPERLINK("3\1\" &amp; K2702, "Ver Imagen")</f>
        <v/>
      </c>
      <c r="M2702" t="inlineStr">
        <is>
          <t>Moda</t>
        </is>
      </c>
    </row>
    <row r="2703">
      <c r="A2703" t="n">
        <v>2702</v>
      </c>
      <c r="B2703" t="inlineStr">
        <is>
          <t>A-5058__150</t>
        </is>
      </c>
      <c r="C2703" s="1" t="n">
        <v>37.2341152455</v>
      </c>
      <c r="D2703" s="1" t="n">
        <v>-7.06127767845</v>
      </c>
      <c r="E2703" s="3" t="n">
        <v>3</v>
      </c>
      <c r="F2703" s="2" t="n">
        <v>4</v>
      </c>
      <c r="G2703" s="4" t="n">
        <v>3</v>
      </c>
      <c r="H2703" s="13" t="n"/>
      <c r="I2703" s="15" t="n"/>
      <c r="J2703" s="19" t="n">
        <v>3</v>
      </c>
      <c r="K2703" s="2" t="inlineStr">
        <is>
          <t>marker_417_381707.png</t>
        </is>
      </c>
      <c r="L2703" s="11">
        <f>HYPERLINK("3\1\" &amp; K2703, "Ver Imagen")</f>
        <v/>
      </c>
      <c r="M2703" t="inlineStr">
        <is>
          <t>Moda</t>
        </is>
      </c>
    </row>
    <row r="2704">
      <c r="A2704" t="n">
        <v>2703</v>
      </c>
      <c r="B2704" t="inlineStr">
        <is>
          <t>A-5058__163</t>
        </is>
      </c>
      <c r="C2704" s="1" t="n">
        <v>37.2340050016</v>
      </c>
      <c r="D2704" s="1" t="n">
        <v>-7.06457878382</v>
      </c>
      <c r="E2704" s="3" t="n">
        <v>3</v>
      </c>
      <c r="F2704" s="2" t="n">
        <v>2</v>
      </c>
      <c r="G2704" s="4" t="n">
        <v>3</v>
      </c>
      <c r="H2704" s="13" t="n"/>
      <c r="I2704" s="15" t="n"/>
      <c r="J2704" s="19" t="n">
        <v>3</v>
      </c>
      <c r="K2704" s="2" t="inlineStr">
        <is>
          <t>marker_401_381857.png</t>
        </is>
      </c>
      <c r="L2704" s="11">
        <f>HYPERLINK("3\1\" &amp; K2704, "Ver Imagen")</f>
        <v/>
      </c>
      <c r="M2704" t="inlineStr">
        <is>
          <t>Moda</t>
        </is>
      </c>
    </row>
    <row r="2705">
      <c r="A2705" t="n">
        <v>2704</v>
      </c>
      <c r="B2705" t="inlineStr">
        <is>
          <t>A-5058__178</t>
        </is>
      </c>
      <c r="C2705" s="1" t="n">
        <v>37.2335949639</v>
      </c>
      <c r="D2705" s="1" t="n">
        <v>-7.06812048407</v>
      </c>
      <c r="E2705" s="3" t="n">
        <v>3</v>
      </c>
      <c r="F2705" s="2" t="n">
        <v>2</v>
      </c>
      <c r="G2705" s="4" t="n">
        <v>3</v>
      </c>
      <c r="H2705" s="13" t="n"/>
      <c r="I2705" s="15" t="n"/>
      <c r="J2705" s="19" t="n">
        <v>3</v>
      </c>
      <c r="K2705" s="2" t="inlineStr">
        <is>
          <t>marker_484_382516.png</t>
        </is>
      </c>
      <c r="L2705" s="11">
        <f>HYPERLINK("3\1\" &amp; K2705, "Ver Imagen")</f>
        <v/>
      </c>
      <c r="M2705" t="inlineStr">
        <is>
          <t>Moda</t>
        </is>
      </c>
    </row>
    <row r="2706">
      <c r="A2706" t="n">
        <v>2705</v>
      </c>
      <c r="B2706" t="inlineStr">
        <is>
          <t>A-5058__179</t>
        </is>
      </c>
      <c r="C2706" s="1" t="n">
        <v>37.2336381649</v>
      </c>
      <c r="D2706" s="1" t="n">
        <v>-7.06835329637</v>
      </c>
      <c r="E2706" s="3" t="n">
        <v>3</v>
      </c>
      <c r="F2706" s="2" t="n">
        <v>2</v>
      </c>
      <c r="G2706" s="4" t="n">
        <v>3</v>
      </c>
      <c r="H2706" s="13" t="n"/>
      <c r="I2706" s="15" t="n"/>
      <c r="J2706" s="19" t="n">
        <v>3</v>
      </c>
      <c r="K2706" s="2" t="inlineStr">
        <is>
          <t>marker_261_382527.png</t>
        </is>
      </c>
      <c r="L2706" s="11">
        <f>HYPERLINK("3\1\" &amp; K2706, "Ver Imagen")</f>
        <v/>
      </c>
      <c r="M2706" t="inlineStr">
        <is>
          <t>Moda</t>
        </is>
      </c>
    </row>
    <row r="2707">
      <c r="A2707" t="n">
        <v>2706</v>
      </c>
      <c r="B2707" t="inlineStr">
        <is>
          <t>A-5058__182</t>
        </is>
      </c>
      <c r="C2707" s="1" t="n">
        <v>37.2338436067</v>
      </c>
      <c r="D2707" s="1" t="n">
        <v>-7.06911803477</v>
      </c>
      <c r="E2707" s="3" t="n">
        <v>3</v>
      </c>
      <c r="F2707" s="2" t="n">
        <v>2</v>
      </c>
      <c r="G2707" s="4" t="n">
        <v>3</v>
      </c>
      <c r="H2707" s="13" t="n"/>
      <c r="I2707" s="15" t="n"/>
      <c r="J2707" s="19" t="n">
        <v>3</v>
      </c>
      <c r="K2707" s="2" t="inlineStr">
        <is>
          <t>marker_303_382680.png</t>
        </is>
      </c>
      <c r="L2707" s="11">
        <f>HYPERLINK("3\1\" &amp; K2707, "Ver Imagen")</f>
        <v/>
      </c>
      <c r="M2707" t="inlineStr">
        <is>
          <t>Moda</t>
        </is>
      </c>
    </row>
    <row r="2708">
      <c r="A2708" t="n">
        <v>2707</v>
      </c>
      <c r="B2708" t="inlineStr">
        <is>
          <t>A-5058__183</t>
        </is>
      </c>
      <c r="C2708" s="1" t="n">
        <v>37.2338988354</v>
      </c>
      <c r="D2708" s="1" t="n">
        <v>-7.06931600543</v>
      </c>
      <c r="E2708" s="3" t="n">
        <v>3</v>
      </c>
      <c r="F2708" s="2" t="n">
        <v>2</v>
      </c>
      <c r="G2708" s="4" t="n">
        <v>3</v>
      </c>
      <c r="H2708" s="13" t="n"/>
      <c r="I2708" s="15" t="n"/>
      <c r="J2708" s="19" t="n">
        <v>3</v>
      </c>
      <c r="K2708" s="2" t="inlineStr">
        <is>
          <t>marker_459_382697.png</t>
        </is>
      </c>
      <c r="L2708" s="11">
        <f>HYPERLINK("3\1\" &amp; K2708, "Ver Imagen")</f>
        <v/>
      </c>
      <c r="M2708" t="inlineStr">
        <is>
          <t>Moda</t>
        </is>
      </c>
    </row>
    <row r="2709">
      <c r="A2709" t="n">
        <v>2708</v>
      </c>
      <c r="B2709" t="inlineStr">
        <is>
          <t>A-5058__185</t>
        </is>
      </c>
      <c r="C2709" s="1" t="n">
        <v>37.234041053</v>
      </c>
      <c r="D2709" s="1" t="n">
        <v>-7.06982005252</v>
      </c>
      <c r="E2709" s="3" t="n">
        <v>3</v>
      </c>
      <c r="F2709" s="2" t="n">
        <v>2</v>
      </c>
      <c r="G2709" s="4" t="n">
        <v>3</v>
      </c>
      <c r="H2709" s="13" t="n"/>
      <c r="I2709" s="15" t="n"/>
      <c r="J2709" s="19" t="n">
        <v>3</v>
      </c>
      <c r="K2709" s="2" t="inlineStr">
        <is>
          <t>marker_450_382727.png</t>
        </is>
      </c>
      <c r="L2709" s="11">
        <f>HYPERLINK("3\1\" &amp; K2709, "Ver Imagen")</f>
        <v/>
      </c>
      <c r="M2709" t="inlineStr">
        <is>
          <t>Moda</t>
        </is>
      </c>
    </row>
    <row r="2710">
      <c r="A2710" t="n">
        <v>2709</v>
      </c>
      <c r="B2710" t="inlineStr">
        <is>
          <t>A-5058__186</t>
        </is>
      </c>
      <c r="C2710" s="1" t="n">
        <v>37.2341035785</v>
      </c>
      <c r="D2710" s="1" t="n">
        <v>-7.07004137059</v>
      </c>
      <c r="E2710" s="3" t="n">
        <v>3</v>
      </c>
      <c r="F2710" s="2" t="n">
        <v>2</v>
      </c>
      <c r="G2710" s="4" t="n">
        <v>3</v>
      </c>
      <c r="H2710" s="13" t="n"/>
      <c r="I2710" s="15" t="n"/>
      <c r="J2710" s="19" t="n">
        <v>3</v>
      </c>
      <c r="K2710" s="2" t="inlineStr">
        <is>
          <t>marker_357_382737.png</t>
        </is>
      </c>
      <c r="L2710" s="11">
        <f>HYPERLINK("3\1\" &amp; K2710, "Ver Imagen")</f>
        <v/>
      </c>
      <c r="M2710" t="inlineStr">
        <is>
          <t>Moda</t>
        </is>
      </c>
    </row>
    <row r="2711">
      <c r="A2711" t="n">
        <v>2710</v>
      </c>
      <c r="B2711" t="inlineStr">
        <is>
          <t>A-5058__190</t>
        </is>
      </c>
      <c r="C2711" s="1" t="n">
        <v>37.2343763392</v>
      </c>
      <c r="D2711" s="1" t="n">
        <v>-7.07101437228</v>
      </c>
      <c r="E2711" s="3" t="n">
        <v>3</v>
      </c>
      <c r="F2711" s="2" t="n">
        <v>2</v>
      </c>
      <c r="G2711" s="4" t="n">
        <v>3</v>
      </c>
      <c r="H2711" s="13" t="n"/>
      <c r="I2711" s="15" t="n"/>
      <c r="J2711" s="19" t="n">
        <v>3</v>
      </c>
      <c r="K2711" s="2" t="inlineStr">
        <is>
          <t>marker_432_382780.png</t>
        </is>
      </c>
      <c r="L2711" s="11">
        <f>HYPERLINK("3\1\" &amp; K2711, "Ver Imagen")</f>
        <v/>
      </c>
      <c r="M2711" t="inlineStr">
        <is>
          <t>Moda</t>
        </is>
      </c>
    </row>
    <row r="2712">
      <c r="A2712" t="n">
        <v>2711</v>
      </c>
      <c r="B2712" t="inlineStr">
        <is>
          <t>A-5058__191</t>
        </is>
      </c>
      <c r="C2712" s="1" t="n">
        <v>37.2344372106</v>
      </c>
      <c r="D2712" s="1" t="n">
        <v>-7.07123328254</v>
      </c>
      <c r="E2712" s="3" t="n">
        <v>3</v>
      </c>
      <c r="F2712" s="2" t="n">
        <v>2</v>
      </c>
      <c r="G2712" s="4" t="n">
        <v>3</v>
      </c>
      <c r="H2712" s="13" t="n"/>
      <c r="I2712" s="15" t="n"/>
      <c r="J2712" s="19" t="n">
        <v>3</v>
      </c>
      <c r="K2712" s="2" t="inlineStr">
        <is>
          <t>marker_389_382793.png</t>
        </is>
      </c>
      <c r="L2712" s="11">
        <f>HYPERLINK("3\1\" &amp; K2712, "Ver Imagen")</f>
        <v/>
      </c>
      <c r="M2712" t="inlineStr">
        <is>
          <t>Moda</t>
        </is>
      </c>
    </row>
    <row r="2713">
      <c r="A2713" t="n">
        <v>2712</v>
      </c>
      <c r="B2713" t="inlineStr">
        <is>
          <t>A-5058__196</t>
        </is>
      </c>
      <c r="C2713" s="1" t="n">
        <v>37.2347832818</v>
      </c>
      <c r="D2713" s="1" t="n">
        <v>-7.07243449552</v>
      </c>
      <c r="E2713" s="3" t="n">
        <v>3</v>
      </c>
      <c r="F2713" s="2" t="n">
        <v>2</v>
      </c>
      <c r="G2713" s="4" t="n">
        <v>3</v>
      </c>
      <c r="H2713" s="13" t="n"/>
      <c r="I2713" s="15" t="n"/>
      <c r="J2713" s="19" t="n">
        <v>3</v>
      </c>
      <c r="K2713" s="2" t="inlineStr">
        <is>
          <t>marker_249_382847.png</t>
        </is>
      </c>
      <c r="L2713" s="11">
        <f>HYPERLINK("3\1\" &amp; K2713, "Ver Imagen")</f>
        <v/>
      </c>
      <c r="M2713" t="inlineStr">
        <is>
          <t>Moda</t>
        </is>
      </c>
    </row>
    <row r="2714">
      <c r="A2714" t="n">
        <v>2713</v>
      </c>
      <c r="B2714" t="inlineStr">
        <is>
          <t>A-5058__218</t>
        </is>
      </c>
      <c r="C2714" s="1" t="n">
        <v>37.2372358058</v>
      </c>
      <c r="D2714" s="1" t="n">
        <v>-7.07702219823</v>
      </c>
      <c r="E2714" s="3" t="n">
        <v>3</v>
      </c>
      <c r="F2714" s="2" t="n">
        <v>3</v>
      </c>
      <c r="G2714" s="4" t="n">
        <v>4</v>
      </c>
      <c r="H2714" s="13" t="n"/>
      <c r="I2714" s="15" t="n"/>
      <c r="J2714" s="19" t="n">
        <v>3</v>
      </c>
      <c r="K2714" s="2" t="inlineStr">
        <is>
          <t>marker_391_383100.png</t>
        </is>
      </c>
      <c r="L2714" s="11">
        <f>HYPERLINK("3\1\" &amp; K2714, "Ver Imagen")</f>
        <v/>
      </c>
      <c r="M2714" t="inlineStr">
        <is>
          <t>Moda</t>
        </is>
      </c>
    </row>
    <row r="2715">
      <c r="A2715" t="n">
        <v>2714</v>
      </c>
      <c r="B2715" t="inlineStr">
        <is>
          <t>A-5058__229</t>
        </is>
      </c>
      <c r="C2715" s="1" t="n">
        <v>37.2385922793</v>
      </c>
      <c r="D2715" s="1" t="n">
        <v>-7.07927159943</v>
      </c>
      <c r="E2715" s="3" t="n">
        <v>3</v>
      </c>
      <c r="F2715" s="2" t="n">
        <v>2</v>
      </c>
      <c r="G2715" s="4" t="n">
        <v>3</v>
      </c>
      <c r="H2715" s="13" t="n"/>
      <c r="I2715" s="15" t="n"/>
      <c r="J2715" s="19" t="n">
        <v>3</v>
      </c>
      <c r="K2715" s="2" t="inlineStr">
        <is>
          <t>marker_616_383234.png</t>
        </is>
      </c>
      <c r="L2715" s="11">
        <f>HYPERLINK("3\1\" &amp; K2715, "Ver Imagen")</f>
        <v/>
      </c>
      <c r="M2715" t="inlineStr">
        <is>
          <t>Moda</t>
        </is>
      </c>
    </row>
    <row r="2716">
      <c r="A2716" t="n">
        <v>2715</v>
      </c>
      <c r="B2716" t="inlineStr">
        <is>
          <t>A-5058__231</t>
        </is>
      </c>
      <c r="C2716" s="1" t="n">
        <v>37.2388572008</v>
      </c>
      <c r="D2716" s="1" t="n">
        <v>-7.07966683025</v>
      </c>
      <c r="E2716" s="3" t="n">
        <v>3</v>
      </c>
      <c r="F2716" s="2" t="n">
        <v>2</v>
      </c>
      <c r="G2716" s="4" t="n">
        <v>3</v>
      </c>
      <c r="H2716" s="13" t="n"/>
      <c r="I2716" s="15" t="n"/>
      <c r="J2716" s="19" t="n">
        <v>3</v>
      </c>
      <c r="K2716" s="2" t="inlineStr">
        <is>
          <t>marker_138_383264.png</t>
        </is>
      </c>
      <c r="L2716" s="11">
        <f>HYPERLINK("3\1\" &amp; K2716, "Ver Imagen")</f>
        <v/>
      </c>
      <c r="M2716" t="inlineStr">
        <is>
          <t>Moda</t>
        </is>
      </c>
    </row>
    <row r="2717">
      <c r="A2717" t="n">
        <v>2716</v>
      </c>
      <c r="B2717" t="inlineStr">
        <is>
          <t>A-5058__232</t>
        </is>
      </c>
      <c r="C2717" s="1" t="n">
        <v>37.2389960688</v>
      </c>
      <c r="D2717" s="1" t="n">
        <v>-7.07987443331</v>
      </c>
      <c r="E2717" s="3" t="n">
        <v>3</v>
      </c>
      <c r="F2717" s="2" t="n">
        <v>2</v>
      </c>
      <c r="G2717" s="4" t="n">
        <v>3</v>
      </c>
      <c r="H2717" s="13" t="n"/>
      <c r="I2717" s="15" t="n"/>
      <c r="J2717" s="19" t="n">
        <v>3</v>
      </c>
      <c r="K2717" s="2" t="inlineStr">
        <is>
          <t>marker_247_383282.png</t>
        </is>
      </c>
      <c r="L2717" s="11">
        <f>HYPERLINK("3\1\" &amp; K2717, "Ver Imagen")</f>
        <v/>
      </c>
      <c r="M2717" t="inlineStr">
        <is>
          <t>Moda</t>
        </is>
      </c>
    </row>
    <row r="2718">
      <c r="A2718" t="n">
        <v>2717</v>
      </c>
      <c r="B2718" t="inlineStr">
        <is>
          <t>A-5058__237</t>
        </is>
      </c>
      <c r="C2718" s="1" t="n">
        <v>37.2396189163</v>
      </c>
      <c r="D2718" s="1" t="n">
        <v>-7.08082208888</v>
      </c>
      <c r="E2718" s="3" t="n">
        <v>3</v>
      </c>
      <c r="F2718" s="2" t="n">
        <v>2</v>
      </c>
      <c r="G2718" s="4" t="n">
        <v>3</v>
      </c>
      <c r="H2718" s="13" t="n"/>
      <c r="I2718" s="15" t="n"/>
      <c r="J2718" s="19" t="n">
        <v>3</v>
      </c>
      <c r="K2718" s="2" t="inlineStr">
        <is>
          <t>marker_330_383333.png</t>
        </is>
      </c>
      <c r="L2718" s="11">
        <f>HYPERLINK("3\1\" &amp; K2718, "Ver Imagen")</f>
        <v/>
      </c>
      <c r="M2718" t="inlineStr">
        <is>
          <t>Moda</t>
        </is>
      </c>
    </row>
    <row r="2719">
      <c r="A2719" t="n">
        <v>2718</v>
      </c>
      <c r="B2719" t="inlineStr">
        <is>
          <t>A-5058__240</t>
        </is>
      </c>
      <c r="C2719" s="1" t="n">
        <v>37.2400097685</v>
      </c>
      <c r="D2719" s="1" t="n">
        <v>-7.0814169843</v>
      </c>
      <c r="E2719" s="3" t="n">
        <v>3</v>
      </c>
      <c r="F2719" s="2" t="n">
        <v>2</v>
      </c>
      <c r="G2719" s="4" t="n">
        <v>3</v>
      </c>
      <c r="H2719" s="13" t="n"/>
      <c r="I2719" s="15" t="n"/>
      <c r="J2719" s="19" t="n">
        <v>3</v>
      </c>
      <c r="K2719" s="2" t="inlineStr">
        <is>
          <t>marker_359_383365.png</t>
        </is>
      </c>
      <c r="L2719" s="11">
        <f>HYPERLINK("3\1\" &amp; K2719, "Ver Imagen")</f>
        <v/>
      </c>
      <c r="M2719" t="inlineStr">
        <is>
          <t>Moda</t>
        </is>
      </c>
    </row>
    <row r="2720">
      <c r="A2720" t="n">
        <v>2719</v>
      </c>
      <c r="B2720" t="inlineStr">
        <is>
          <t>A-5058__249</t>
        </is>
      </c>
      <c r="C2720" s="1" t="n">
        <v>37.2411599954</v>
      </c>
      <c r="D2720" s="1" t="n">
        <v>-7.08315833127</v>
      </c>
      <c r="E2720" s="3" t="n">
        <v>3</v>
      </c>
      <c r="F2720" s="2" t="n">
        <v>2</v>
      </c>
      <c r="G2720" s="4" t="n">
        <v>3</v>
      </c>
      <c r="H2720" s="13" t="n"/>
      <c r="I2720" s="15" t="n"/>
      <c r="J2720" s="19" t="n">
        <v>3</v>
      </c>
      <c r="K2720" s="2" t="inlineStr">
        <is>
          <t>marker_217_383491.png</t>
        </is>
      </c>
      <c r="L2720" s="11">
        <f>HYPERLINK("3\1\" &amp; K2720, "Ver Imagen")</f>
        <v/>
      </c>
      <c r="M2720" t="inlineStr">
        <is>
          <t>Moda</t>
        </is>
      </c>
    </row>
    <row r="2721">
      <c r="A2721" t="n">
        <v>2720</v>
      </c>
      <c r="B2721" t="inlineStr">
        <is>
          <t>A-5058__250</t>
        </is>
      </c>
      <c r="C2721" s="1" t="n">
        <v>37.2412968322</v>
      </c>
      <c r="D2721" s="1" t="n">
        <v>-7.08336721274</v>
      </c>
      <c r="E2721" s="3" t="n">
        <v>3</v>
      </c>
      <c r="F2721" s="2" t="n">
        <v>2</v>
      </c>
      <c r="G2721" s="4" t="n">
        <v>3</v>
      </c>
      <c r="H2721" s="13" t="n"/>
      <c r="I2721" s="15" t="n"/>
      <c r="J2721" s="19" t="n">
        <v>3</v>
      </c>
      <c r="K2721" s="2" t="inlineStr">
        <is>
          <t>marker_154_383517.png</t>
        </is>
      </c>
      <c r="L2721" s="11">
        <f>HYPERLINK("3\1\" &amp; K2721, "Ver Imagen")</f>
        <v/>
      </c>
      <c r="M2721" t="inlineStr">
        <is>
          <t>Moda</t>
        </is>
      </c>
    </row>
    <row r="2722">
      <c r="A2722" t="n">
        <v>2721</v>
      </c>
      <c r="B2722" t="inlineStr">
        <is>
          <t>A-5058__259</t>
        </is>
      </c>
      <c r="C2722" s="1" t="n">
        <v>37.2422962425</v>
      </c>
      <c r="D2722" s="1" t="n">
        <v>-7.08527706782</v>
      </c>
      <c r="E2722" s="3" t="n">
        <v>3</v>
      </c>
      <c r="F2722" s="2" t="n">
        <v>2</v>
      </c>
      <c r="G2722" s="4" t="n">
        <v>3</v>
      </c>
      <c r="H2722" s="13" t="n"/>
      <c r="I2722" s="15" t="n"/>
      <c r="J2722" s="19" t="n">
        <v>3</v>
      </c>
      <c r="K2722" s="2" t="inlineStr">
        <is>
          <t>marker_243_383651.png</t>
        </is>
      </c>
      <c r="L2722" s="11">
        <f>HYPERLINK("3\1\" &amp; K2722, "Ver Imagen")</f>
        <v/>
      </c>
      <c r="M2722" t="inlineStr">
        <is>
          <t>Moda</t>
        </is>
      </c>
    </row>
    <row r="2723">
      <c r="A2723" t="n">
        <v>2722</v>
      </c>
      <c r="B2723" t="inlineStr">
        <is>
          <t>A-5058__260</t>
        </is>
      </c>
      <c r="C2723" s="1" t="n">
        <v>37.2423639705</v>
      </c>
      <c r="D2723" s="1" t="n">
        <v>-7.08549437869</v>
      </c>
      <c r="E2723" s="3" t="n">
        <v>3</v>
      </c>
      <c r="F2723" s="2" t="n">
        <v>2</v>
      </c>
      <c r="G2723" s="4" t="n">
        <v>3</v>
      </c>
      <c r="H2723" s="13" t="n"/>
      <c r="I2723" s="15" t="n"/>
      <c r="J2723" s="19" t="n">
        <v>3</v>
      </c>
      <c r="K2723" s="2" t="inlineStr">
        <is>
          <t>marker_419_383666.png</t>
        </is>
      </c>
      <c r="L2723" s="11">
        <f>HYPERLINK("3\1\" &amp; K2723, "Ver Imagen")</f>
        <v/>
      </c>
      <c r="M2723" t="inlineStr">
        <is>
          <t>Moda</t>
        </is>
      </c>
    </row>
    <row r="2724">
      <c r="A2724" t="n">
        <v>2723</v>
      </c>
      <c r="B2724" t="inlineStr">
        <is>
          <t>A-5058__261</t>
        </is>
      </c>
      <c r="C2724" s="1" t="n">
        <v>37.2424332255</v>
      </c>
      <c r="D2724" s="1" t="n">
        <v>-7.08573558445</v>
      </c>
      <c r="E2724" s="3" t="n">
        <v>3</v>
      </c>
      <c r="F2724" s="2" t="n">
        <v>2</v>
      </c>
      <c r="G2724" s="4" t="n">
        <v>3</v>
      </c>
      <c r="H2724" s="13" t="n"/>
      <c r="I2724" s="15" t="n"/>
      <c r="J2724" s="19" t="n">
        <v>3</v>
      </c>
      <c r="K2724" s="2" t="inlineStr">
        <is>
          <t>marker_282_383676.png</t>
        </is>
      </c>
      <c r="L2724" s="11">
        <f>HYPERLINK("3\1\" &amp; K2724, "Ver Imagen")</f>
        <v/>
      </c>
      <c r="M2724" t="inlineStr">
        <is>
          <t>Moda</t>
        </is>
      </c>
    </row>
    <row r="2725">
      <c r="A2725" t="n">
        <v>2724</v>
      </c>
      <c r="B2725" t="inlineStr">
        <is>
          <t>A-5058__262</t>
        </is>
      </c>
      <c r="C2725" s="1" t="n">
        <v>37.2424966543</v>
      </c>
      <c r="D2725" s="1" t="n">
        <v>-7.0859673194</v>
      </c>
      <c r="E2725" s="3" t="n">
        <v>3</v>
      </c>
      <c r="F2725" s="2" t="n">
        <v>2</v>
      </c>
      <c r="G2725" s="4" t="n">
        <v>3</v>
      </c>
      <c r="H2725" s="13" t="n"/>
      <c r="I2725" s="15" t="n"/>
      <c r="J2725" s="19" t="n">
        <v>3</v>
      </c>
      <c r="K2725" s="2" t="inlineStr">
        <is>
          <t>marker_275_383686.png</t>
        </is>
      </c>
      <c r="L2725" s="11">
        <f>HYPERLINK("3\1\" &amp; K2725, "Ver Imagen")</f>
        <v/>
      </c>
      <c r="M2725" t="inlineStr">
        <is>
          <t>Moda</t>
        </is>
      </c>
    </row>
    <row r="2726">
      <c r="A2726" t="n">
        <v>2725</v>
      </c>
      <c r="B2726" t="inlineStr">
        <is>
          <t>A-5058__264</t>
        </is>
      </c>
      <c r="C2726" s="1" t="n">
        <v>37.2426241818</v>
      </c>
      <c r="D2726" s="1" t="n">
        <v>-7.08645057421</v>
      </c>
      <c r="E2726" s="3" t="n">
        <v>4</v>
      </c>
      <c r="F2726" s="2" t="n">
        <v>3</v>
      </c>
      <c r="G2726" s="4" t="n">
        <v>3</v>
      </c>
      <c r="H2726" s="13" t="n"/>
      <c r="I2726" s="15" t="n"/>
      <c r="J2726" s="19" t="n">
        <v>3</v>
      </c>
      <c r="K2726" s="2" t="inlineStr">
        <is>
          <t>marker_575_383727.png</t>
        </is>
      </c>
      <c r="L2726" s="11">
        <f>HYPERLINK("3\1\" &amp; K2726, "Ver Imagen")</f>
        <v/>
      </c>
      <c r="M2726" t="inlineStr">
        <is>
          <t>Moda</t>
        </is>
      </c>
    </row>
    <row r="2727">
      <c r="A2727" t="n">
        <v>2726</v>
      </c>
      <c r="B2727" t="inlineStr">
        <is>
          <t>A-5058__265</t>
        </is>
      </c>
      <c r="C2727" s="1" t="n">
        <v>37.242693775</v>
      </c>
      <c r="D2727" s="1" t="n">
        <v>-7.0867106147</v>
      </c>
      <c r="E2727" s="3" t="n">
        <v>3</v>
      </c>
      <c r="F2727" s="2" t="n">
        <v>4</v>
      </c>
      <c r="G2727" s="4" t="n">
        <v>3</v>
      </c>
      <c r="H2727" s="13" t="n"/>
      <c r="I2727" s="15" t="n"/>
      <c r="J2727" s="19" t="n">
        <v>3</v>
      </c>
      <c r="K2727" s="2" t="inlineStr">
        <is>
          <t>marker_420_383740.png</t>
        </is>
      </c>
      <c r="L2727" s="11">
        <f>HYPERLINK("3\1\" &amp; K2727, "Ver Imagen")</f>
        <v/>
      </c>
      <c r="M2727" t="inlineStr">
        <is>
          <t>Moda</t>
        </is>
      </c>
    </row>
    <row r="2728">
      <c r="A2728" t="n">
        <v>2727</v>
      </c>
      <c r="B2728" t="inlineStr">
        <is>
          <t>A-5058__266</t>
        </is>
      </c>
      <c r="C2728" s="1" t="n">
        <v>37.242752666</v>
      </c>
      <c r="D2728" s="1" t="n">
        <v>-7.08693055241</v>
      </c>
      <c r="E2728" s="3" t="n">
        <v>4</v>
      </c>
      <c r="F2728" s="2" t="n">
        <v>3</v>
      </c>
      <c r="G2728" s="4" t="n">
        <v>3</v>
      </c>
      <c r="H2728" s="13" t="n"/>
      <c r="I2728" s="15" t="n"/>
      <c r="J2728" s="19" t="n">
        <v>3</v>
      </c>
      <c r="K2728" s="2" t="inlineStr">
        <is>
          <t>marker_131_383750.png</t>
        </is>
      </c>
      <c r="L2728" s="11">
        <f>HYPERLINK("3\1\" &amp; K2728, "Ver Imagen")</f>
        <v/>
      </c>
      <c r="M2728" t="inlineStr">
        <is>
          <t>Moda</t>
        </is>
      </c>
    </row>
    <row r="2729">
      <c r="A2729" t="n">
        <v>2728</v>
      </c>
      <c r="B2729" t="inlineStr">
        <is>
          <t>A-5058__267</t>
        </is>
      </c>
      <c r="C2729" s="1" t="n">
        <v>37.2428256225</v>
      </c>
      <c r="D2729" s="1" t="n">
        <v>-7.08720015935</v>
      </c>
      <c r="E2729" s="3" t="n">
        <v>3</v>
      </c>
      <c r="F2729" s="2" t="n">
        <v>2</v>
      </c>
      <c r="G2729" s="4" t="n">
        <v>3</v>
      </c>
      <c r="H2729" s="13" t="n"/>
      <c r="I2729" s="15" t="n"/>
      <c r="J2729" s="19" t="n">
        <v>3</v>
      </c>
      <c r="K2729" s="2" t="inlineStr">
        <is>
          <t>marker_704_383762.png</t>
        </is>
      </c>
      <c r="L2729" s="11">
        <f>HYPERLINK("3\1\" &amp; K2729, "Ver Imagen")</f>
        <v/>
      </c>
      <c r="M2729" t="inlineStr">
        <is>
          <t>Moda</t>
        </is>
      </c>
    </row>
    <row r="2730">
      <c r="A2730" t="n">
        <v>2729</v>
      </c>
      <c r="B2730" t="inlineStr">
        <is>
          <t>A-5058__276</t>
        </is>
      </c>
      <c r="C2730" s="1" t="n">
        <v>37.2436158692</v>
      </c>
      <c r="D2730" s="1" t="n">
        <v>-7.08920502075</v>
      </c>
      <c r="E2730" s="3" t="n">
        <v>3</v>
      </c>
      <c r="F2730" s="2" t="n">
        <v>2</v>
      </c>
      <c r="G2730" s="4" t="n">
        <v>3</v>
      </c>
      <c r="H2730" s="13" t="n"/>
      <c r="I2730" s="15" t="n"/>
      <c r="J2730" s="19" t="n">
        <v>3</v>
      </c>
      <c r="K2730" s="2" t="inlineStr">
        <is>
          <t>marker_763_383990.png</t>
        </is>
      </c>
      <c r="L2730" s="11">
        <f>HYPERLINK("3\1\" &amp; K2730, "Ver Imagen")</f>
        <v/>
      </c>
      <c r="M2730" t="inlineStr">
        <is>
          <t>Moda</t>
        </is>
      </c>
    </row>
    <row r="2731">
      <c r="A2731" t="n">
        <v>2730</v>
      </c>
      <c r="B2731" t="inlineStr">
        <is>
          <t>A-5058__288</t>
        </is>
      </c>
      <c r="C2731" s="1" t="n">
        <v>37.2449171907</v>
      </c>
      <c r="D2731" s="1" t="n">
        <v>-7.09179214255</v>
      </c>
      <c r="E2731" s="3" t="n">
        <v>3</v>
      </c>
      <c r="F2731" s="2" t="n">
        <v>2</v>
      </c>
      <c r="G2731" s="4" t="n">
        <v>3</v>
      </c>
      <c r="H2731" s="13" t="n"/>
      <c r="I2731" s="15" t="n"/>
      <c r="J2731" s="19" t="n">
        <v>3</v>
      </c>
      <c r="K2731" s="2" t="inlineStr">
        <is>
          <t>marker_155_384126.png</t>
        </is>
      </c>
      <c r="L2731" s="11">
        <f>HYPERLINK("3\1\" &amp; K2731, "Ver Imagen")</f>
        <v/>
      </c>
      <c r="M2731" t="inlineStr">
        <is>
          <t>Moda</t>
        </is>
      </c>
    </row>
    <row r="2732">
      <c r="A2732" t="n">
        <v>2731</v>
      </c>
      <c r="B2732" t="inlineStr">
        <is>
          <t>A-5058__300</t>
        </is>
      </c>
      <c r="C2732" s="1" t="n">
        <v>37.2454909665</v>
      </c>
      <c r="D2732" s="1" t="n">
        <v>-7.09474251474</v>
      </c>
      <c r="E2732" s="3" t="n">
        <v>3</v>
      </c>
      <c r="F2732" s="2" t="n">
        <v>3</v>
      </c>
      <c r="G2732" s="4" t="n">
        <v>4</v>
      </c>
      <c r="H2732" s="13" t="n"/>
      <c r="I2732" s="15" t="n"/>
      <c r="J2732" s="19" t="n">
        <v>3</v>
      </c>
      <c r="K2732" s="2" t="inlineStr">
        <is>
          <t>marker_860_384272.png</t>
        </is>
      </c>
      <c r="L2732" s="11">
        <f>HYPERLINK("3\1\" &amp; K2732, "Ver Imagen")</f>
        <v/>
      </c>
      <c r="M2732" t="inlineStr">
        <is>
          <t>Moda</t>
        </is>
      </c>
    </row>
    <row r="2733">
      <c r="A2733" t="n">
        <v>2732</v>
      </c>
      <c r="B2733" t="inlineStr">
        <is>
          <t>A-5058__301</t>
        </is>
      </c>
      <c r="C2733" s="1" t="n">
        <v>37.2455075198</v>
      </c>
      <c r="D2733" s="1" t="n">
        <v>-7.09495785035</v>
      </c>
      <c r="E2733" s="3" t="n">
        <v>3</v>
      </c>
      <c r="F2733" s="2" t="n">
        <v>2</v>
      </c>
      <c r="G2733" s="4" t="n">
        <v>3</v>
      </c>
      <c r="H2733" s="13" t="n"/>
      <c r="I2733" s="15" t="n"/>
      <c r="J2733" s="19" t="n">
        <v>3</v>
      </c>
      <c r="K2733" s="2" t="inlineStr">
        <is>
          <t>marker_770_384282.png</t>
        </is>
      </c>
      <c r="L2733" s="11">
        <f>HYPERLINK("3\1\" &amp; K2733, "Ver Imagen")</f>
        <v/>
      </c>
      <c r="M2733" t="inlineStr">
        <is>
          <t>Moda</t>
        </is>
      </c>
    </row>
    <row r="2734">
      <c r="A2734" t="n">
        <v>2733</v>
      </c>
      <c r="B2734" t="inlineStr">
        <is>
          <t>A-5058__302</t>
        </is>
      </c>
      <c r="C2734" s="1" t="n">
        <v>37.2455277609</v>
      </c>
      <c r="D2734" s="1" t="n">
        <v>-7.09521938381</v>
      </c>
      <c r="E2734" s="3" t="n">
        <v>3</v>
      </c>
      <c r="F2734" s="2" t="n">
        <v>2</v>
      </c>
      <c r="G2734" s="4" t="n">
        <v>3</v>
      </c>
      <c r="H2734" s="13" t="n"/>
      <c r="I2734" s="15" t="n"/>
      <c r="J2734" s="19" t="n">
        <v>3</v>
      </c>
      <c r="K2734" s="2" t="inlineStr">
        <is>
          <t>marker_151_384298.png</t>
        </is>
      </c>
      <c r="L2734" s="11">
        <f>HYPERLINK("3\1\" &amp; K2734, "Ver Imagen")</f>
        <v/>
      </c>
      <c r="M2734" t="inlineStr">
        <is>
          <t>Moda</t>
        </is>
      </c>
    </row>
    <row r="2735">
      <c r="A2735" t="n">
        <v>2734</v>
      </c>
      <c r="B2735" t="inlineStr">
        <is>
          <t>A-5058__306</t>
        </is>
      </c>
      <c r="C2735" s="1" t="n">
        <v>37.2456058487</v>
      </c>
      <c r="D2735" s="1" t="n">
        <v>-7.09624318157</v>
      </c>
      <c r="E2735" s="3" t="n">
        <v>3</v>
      </c>
      <c r="F2735" s="2" t="n">
        <v>2</v>
      </c>
      <c r="G2735" s="4" t="n">
        <v>3</v>
      </c>
      <c r="H2735" s="13" t="n"/>
      <c r="I2735" s="15" t="n"/>
      <c r="J2735" s="19" t="n">
        <v>3</v>
      </c>
      <c r="K2735" s="2" t="inlineStr">
        <is>
          <t>marker_697_384341.png</t>
        </is>
      </c>
      <c r="L2735" s="11">
        <f>HYPERLINK("3\1\" &amp; K2735, "Ver Imagen")</f>
        <v/>
      </c>
      <c r="M2735" t="inlineStr">
        <is>
          <t>Moda</t>
        </is>
      </c>
    </row>
    <row r="2736">
      <c r="A2736" t="n">
        <v>2735</v>
      </c>
      <c r="B2736" t="inlineStr">
        <is>
          <t>A-5058__307</t>
        </is>
      </c>
      <c r="C2736" s="1" t="n">
        <v>37.2456270619</v>
      </c>
      <c r="D2736" s="1" t="n">
        <v>-7.09650616921</v>
      </c>
      <c r="E2736" s="3" t="n">
        <v>3</v>
      </c>
      <c r="F2736" s="2" t="n">
        <v>2</v>
      </c>
      <c r="G2736" s="4" t="n">
        <v>3</v>
      </c>
      <c r="H2736" s="13" t="n"/>
      <c r="I2736" s="15" t="n"/>
      <c r="J2736" s="19" t="n">
        <v>3</v>
      </c>
      <c r="K2736" s="2" t="inlineStr">
        <is>
          <t>marker_393_384362.png</t>
        </is>
      </c>
      <c r="L2736" s="11">
        <f>HYPERLINK("3\1\" &amp; K2736, "Ver Imagen")</f>
        <v/>
      </c>
      <c r="M2736" t="inlineStr">
        <is>
          <t>Moda</t>
        </is>
      </c>
    </row>
    <row r="2737">
      <c r="A2737" t="n">
        <v>2736</v>
      </c>
      <c r="B2737" t="inlineStr">
        <is>
          <t>A-5058__310</t>
        </is>
      </c>
      <c r="C2737" s="1" t="n">
        <v>37.2457134218</v>
      </c>
      <c r="D2737" s="1" t="n">
        <v>-7.09725261859</v>
      </c>
      <c r="E2737" s="3" t="n">
        <v>3</v>
      </c>
      <c r="F2737" s="2" t="n">
        <v>3</v>
      </c>
      <c r="G2737" s="4" t="n">
        <v>4</v>
      </c>
      <c r="H2737" s="13" t="n"/>
      <c r="I2737" s="15" t="n"/>
      <c r="J2737" s="19" t="n">
        <v>3</v>
      </c>
      <c r="K2737" s="2" t="inlineStr">
        <is>
          <t>marker_639_384393.png</t>
        </is>
      </c>
      <c r="L2737" s="11">
        <f>HYPERLINK("3\1\" &amp; K2737, "Ver Imagen")</f>
        <v/>
      </c>
      <c r="M2737" t="inlineStr">
        <is>
          <t>Moda</t>
        </is>
      </c>
    </row>
    <row r="2738">
      <c r="A2738" t="n">
        <v>2737</v>
      </c>
      <c r="B2738" t="inlineStr">
        <is>
          <t>A-5058__312</t>
        </is>
      </c>
      <c r="C2738" s="1" t="n">
        <v>37.2458089285</v>
      </c>
      <c r="D2738" s="1" t="n">
        <v>-7.09772371272</v>
      </c>
      <c r="E2738" s="3" t="n">
        <v>3</v>
      </c>
      <c r="F2738" s="2" t="n">
        <v>2</v>
      </c>
      <c r="G2738" s="4" t="n">
        <v>3</v>
      </c>
      <c r="H2738" s="13" t="n"/>
      <c r="I2738" s="15" t="n"/>
      <c r="J2738" s="19" t="n">
        <v>3</v>
      </c>
      <c r="K2738" s="2" t="inlineStr">
        <is>
          <t>marker_674_384413.png</t>
        </is>
      </c>
      <c r="L2738" s="11">
        <f>HYPERLINK("3\1\" &amp; K2738, "Ver Imagen")</f>
        <v/>
      </c>
      <c r="M2738" t="inlineStr">
        <is>
          <t>Moda</t>
        </is>
      </c>
    </row>
    <row r="2739">
      <c r="A2739" t="n">
        <v>2738</v>
      </c>
      <c r="B2739" t="inlineStr">
        <is>
          <t>A-5058__314</t>
        </is>
      </c>
      <c r="C2739" s="1" t="n">
        <v>37.2459541504</v>
      </c>
      <c r="D2739" s="1" t="n">
        <v>-7.09816291632</v>
      </c>
      <c r="E2739" s="3" t="n">
        <v>3</v>
      </c>
      <c r="F2739" s="2" t="n">
        <v>2</v>
      </c>
      <c r="G2739" s="4" t="n">
        <v>3</v>
      </c>
      <c r="H2739" s="13" t="n"/>
      <c r="I2739" s="15" t="n"/>
      <c r="J2739" s="19" t="n">
        <v>3</v>
      </c>
      <c r="K2739" s="2" t="inlineStr">
        <is>
          <t>marker_486_384440.png</t>
        </is>
      </c>
      <c r="L2739" s="11">
        <f>HYPERLINK("3\1\" &amp; K2739, "Ver Imagen")</f>
        <v/>
      </c>
      <c r="M2739" t="inlineStr">
        <is>
          <t>Moda</t>
        </is>
      </c>
    </row>
    <row r="2740">
      <c r="A2740" t="n">
        <v>2739</v>
      </c>
      <c r="B2740" t="inlineStr">
        <is>
          <t>A-5058__318</t>
        </is>
      </c>
      <c r="C2740" s="1" t="n">
        <v>37.2464104261</v>
      </c>
      <c r="D2740" s="1" t="n">
        <v>-7.09903855891</v>
      </c>
      <c r="E2740" s="3" t="n">
        <v>3</v>
      </c>
      <c r="F2740" s="2" t="n">
        <v>2</v>
      </c>
      <c r="G2740" s="4" t="n">
        <v>3</v>
      </c>
      <c r="H2740" s="13" t="n"/>
      <c r="I2740" s="15" t="n"/>
      <c r="J2740" s="19" t="n">
        <v>3</v>
      </c>
      <c r="K2740" s="2" t="inlineStr">
        <is>
          <t>marker_331_384477.png</t>
        </is>
      </c>
      <c r="L2740" s="11">
        <f>HYPERLINK("3\1\" &amp; K2740, "Ver Imagen")</f>
        <v/>
      </c>
      <c r="M2740" t="inlineStr">
        <is>
          <t>Moda</t>
        </is>
      </c>
    </row>
    <row r="2741">
      <c r="A2741" t="n">
        <v>2740</v>
      </c>
      <c r="B2741" t="inlineStr">
        <is>
          <t>A-5058__319</t>
        </is>
      </c>
      <c r="C2741" s="1" t="n">
        <v>37.2465351392</v>
      </c>
      <c r="D2741" s="1" t="n">
        <v>-7.09923559967</v>
      </c>
      <c r="E2741" s="3" t="n">
        <v>3</v>
      </c>
      <c r="F2741" s="2" t="n">
        <v>2</v>
      </c>
      <c r="G2741" s="4" t="n">
        <v>3</v>
      </c>
      <c r="H2741" s="13" t="n"/>
      <c r="I2741" s="15" t="n"/>
      <c r="J2741" s="19" t="n">
        <v>3</v>
      </c>
      <c r="K2741" s="2" t="inlineStr">
        <is>
          <t>marker_156_384486.png</t>
        </is>
      </c>
      <c r="L2741" s="11">
        <f>HYPERLINK("3\1\" &amp; K2741, "Ver Imagen")</f>
        <v/>
      </c>
      <c r="M2741" t="inlineStr">
        <is>
          <t>Moda</t>
        </is>
      </c>
    </row>
    <row r="2742">
      <c r="A2742" t="n">
        <v>2741</v>
      </c>
      <c r="B2742" t="inlineStr">
        <is>
          <t>A-5058__322</t>
        </is>
      </c>
      <c r="C2742" s="1" t="n">
        <v>37.246916054</v>
      </c>
      <c r="D2742" s="1" t="n">
        <v>-7.09981862293</v>
      </c>
      <c r="E2742" s="3" t="n">
        <v>3</v>
      </c>
      <c r="F2742" s="2" t="n">
        <v>2</v>
      </c>
      <c r="G2742" s="4" t="n">
        <v>3</v>
      </c>
      <c r="H2742" s="13" t="n"/>
      <c r="I2742" s="15" t="n"/>
      <c r="J2742" s="19" t="n">
        <v>3</v>
      </c>
      <c r="K2742" s="2" t="inlineStr">
        <is>
          <t>marker_256_384519.png</t>
        </is>
      </c>
      <c r="L2742" s="11">
        <f>HYPERLINK("3\1\" &amp; K2742, "Ver Imagen")</f>
        <v/>
      </c>
      <c r="M2742" t="inlineStr">
        <is>
          <t>Moda</t>
        </is>
      </c>
    </row>
    <row r="2743">
      <c r="A2743" t="n">
        <v>2742</v>
      </c>
      <c r="B2743" t="inlineStr">
        <is>
          <t>A-5058__324</t>
        </is>
      </c>
      <c r="C2743" s="1" t="n">
        <v>37.2471671299</v>
      </c>
      <c r="D2743" s="1" t="n">
        <v>-7.10019974181</v>
      </c>
      <c r="E2743" s="3" t="n">
        <v>3</v>
      </c>
      <c r="F2743" s="2" t="n">
        <v>2</v>
      </c>
      <c r="G2743" s="4" t="n">
        <v>3</v>
      </c>
      <c r="H2743" s="13" t="n"/>
      <c r="I2743" s="15" t="n"/>
      <c r="J2743" s="19" t="n">
        <v>3</v>
      </c>
      <c r="K2743" s="2" t="inlineStr">
        <is>
          <t>marker_378_384551.png</t>
        </is>
      </c>
      <c r="L2743" s="11">
        <f>HYPERLINK("3\1\" &amp; K2743, "Ver Imagen")</f>
        <v/>
      </c>
      <c r="M2743" t="inlineStr">
        <is>
          <t>Moda</t>
        </is>
      </c>
    </row>
    <row r="2744">
      <c r="A2744" t="n">
        <v>2743</v>
      </c>
      <c r="B2744" t="inlineStr">
        <is>
          <t>A-5058__330</t>
        </is>
      </c>
      <c r="C2744" s="1" t="n">
        <v>37.2479540647</v>
      </c>
      <c r="D2744" s="1" t="n">
        <v>-7.10137488572</v>
      </c>
      <c r="E2744" s="3" t="n">
        <v>3</v>
      </c>
      <c r="F2744" s="2" t="n">
        <v>2</v>
      </c>
      <c r="G2744" s="4" t="n">
        <v>3</v>
      </c>
      <c r="H2744" s="13" t="n"/>
      <c r="I2744" s="15" t="n"/>
      <c r="J2744" s="19" t="n">
        <v>3</v>
      </c>
      <c r="K2744" s="2" t="inlineStr">
        <is>
          <t>marker_254_384633.png</t>
        </is>
      </c>
      <c r="L2744" s="11">
        <f>HYPERLINK("3\1\" &amp; K2744, "Ver Imagen")</f>
        <v/>
      </c>
      <c r="M2744" t="inlineStr">
        <is>
          <t>Moda</t>
        </is>
      </c>
    </row>
    <row r="2745">
      <c r="A2745" t="n">
        <v>2744</v>
      </c>
      <c r="B2745" t="inlineStr">
        <is>
          <t>A-5058__334</t>
        </is>
      </c>
      <c r="C2745" s="1" t="n">
        <v>37.2485777469</v>
      </c>
      <c r="D2745" s="1" t="n">
        <v>-7.10199469797</v>
      </c>
      <c r="E2745" s="3" t="n">
        <v>3</v>
      </c>
      <c r="F2745" s="2" t="n">
        <v>2</v>
      </c>
      <c r="G2745" s="4" t="n">
        <v>3</v>
      </c>
      <c r="H2745" s="13" t="n"/>
      <c r="I2745" s="15" t="n"/>
      <c r="J2745" s="19" t="n">
        <v>3</v>
      </c>
      <c r="K2745" s="2" t="inlineStr">
        <is>
          <t>marker_120_384693.png</t>
        </is>
      </c>
      <c r="L2745" s="11">
        <f>HYPERLINK("3\1\" &amp; K2745, "Ver Imagen")</f>
        <v/>
      </c>
      <c r="M2745" t="inlineStr">
        <is>
          <t>Moda</t>
        </is>
      </c>
    </row>
    <row r="2746">
      <c r="A2746" t="n">
        <v>2745</v>
      </c>
      <c r="B2746" t="inlineStr">
        <is>
          <t>A-5058__339</t>
        </is>
      </c>
      <c r="C2746" s="1" t="n">
        <v>37.249489062</v>
      </c>
      <c r="D2746" s="1" t="n">
        <v>-7.10253659692</v>
      </c>
      <c r="E2746" s="3" t="n">
        <v>3</v>
      </c>
      <c r="F2746" s="2" t="n">
        <v>2</v>
      </c>
      <c r="G2746" s="4" t="n">
        <v>3</v>
      </c>
      <c r="H2746" s="13" t="n"/>
      <c r="I2746" s="15" t="n"/>
      <c r="J2746" s="19" t="n">
        <v>3</v>
      </c>
      <c r="K2746" s="2" t="inlineStr">
        <is>
          <t>marker_641_384744.png</t>
        </is>
      </c>
      <c r="L2746" s="11">
        <f>HYPERLINK("3\1\" &amp; K2746, "Ver Imagen")</f>
        <v/>
      </c>
      <c r="M2746" t="inlineStr">
        <is>
          <t>Moda</t>
        </is>
      </c>
    </row>
    <row r="2747">
      <c r="A2747" t="n">
        <v>2746</v>
      </c>
      <c r="B2747" t="inlineStr">
        <is>
          <t>A-5058__340</t>
        </is>
      </c>
      <c r="C2747" s="1" t="n">
        <v>37.249688033</v>
      </c>
      <c r="D2747" s="1" t="n">
        <v>-7.10265237646</v>
      </c>
      <c r="E2747" s="3" t="n">
        <v>3</v>
      </c>
      <c r="F2747" s="2" t="n">
        <v>2</v>
      </c>
      <c r="G2747" s="4" t="n">
        <v>3</v>
      </c>
      <c r="H2747" s="13" t="n"/>
      <c r="I2747" s="15" t="n"/>
      <c r="J2747" s="19" t="n">
        <v>3</v>
      </c>
      <c r="K2747" s="2" t="inlineStr">
        <is>
          <t>marker_724_384764.png</t>
        </is>
      </c>
      <c r="L2747" s="11">
        <f>HYPERLINK("3\1\" &amp; K2747, "Ver Imagen")</f>
        <v/>
      </c>
      <c r="M2747" t="inlineStr">
        <is>
          <t>Moda</t>
        </is>
      </c>
    </row>
    <row r="2748">
      <c r="A2748" t="n">
        <v>2747</v>
      </c>
      <c r="B2748" t="inlineStr">
        <is>
          <t>A-5058__344</t>
        </is>
      </c>
      <c r="C2748" s="1" t="n">
        <v>37.2504159725</v>
      </c>
      <c r="D2748" s="1" t="n">
        <v>-7.10307248843</v>
      </c>
      <c r="E2748" s="3" t="n">
        <v>3</v>
      </c>
      <c r="F2748" s="2" t="n">
        <v>2</v>
      </c>
      <c r="G2748" s="4" t="n">
        <v>3</v>
      </c>
      <c r="H2748" s="13" t="n"/>
      <c r="I2748" s="15" t="n"/>
      <c r="J2748" s="19" t="n">
        <v>3</v>
      </c>
      <c r="K2748" s="2" t="inlineStr">
        <is>
          <t>marker_356_384805.png</t>
        </is>
      </c>
      <c r="L2748" s="11">
        <f>HYPERLINK("3\1\" &amp; K2748, "Ver Imagen")</f>
        <v/>
      </c>
      <c r="M2748" t="inlineStr">
        <is>
          <t>Moda</t>
        </is>
      </c>
    </row>
    <row r="2749">
      <c r="A2749" t="n">
        <v>2748</v>
      </c>
      <c r="B2749" t="inlineStr">
        <is>
          <t>A-5058__345</t>
        </is>
      </c>
      <c r="C2749" s="1" t="n">
        <v>37.2506098829</v>
      </c>
      <c r="D2749" s="1" t="n">
        <v>-7.10318631216</v>
      </c>
      <c r="E2749" s="3" t="n">
        <v>3</v>
      </c>
      <c r="F2749" s="2" t="n">
        <v>2</v>
      </c>
      <c r="G2749" s="4" t="n">
        <v>3</v>
      </c>
      <c r="H2749" s="13" t="n"/>
      <c r="I2749" s="15" t="n"/>
      <c r="J2749" s="19" t="n">
        <v>3</v>
      </c>
      <c r="K2749" s="2" t="inlineStr">
        <is>
          <t>marker_123_384817.png</t>
        </is>
      </c>
      <c r="L2749" s="11">
        <f>HYPERLINK("3\1\" &amp; K2749, "Ver Imagen")</f>
        <v/>
      </c>
      <c r="M2749" t="inlineStr">
        <is>
          <t>Moda</t>
        </is>
      </c>
    </row>
    <row r="2750">
      <c r="A2750" t="n">
        <v>2749</v>
      </c>
      <c r="B2750" t="inlineStr">
        <is>
          <t>A-5058__346</t>
        </is>
      </c>
      <c r="C2750" s="1" t="n">
        <v>37.2507832359</v>
      </c>
      <c r="D2750" s="1" t="n">
        <v>-7.10328836133</v>
      </c>
      <c r="E2750" s="3" t="n">
        <v>3</v>
      </c>
      <c r="F2750" s="2" t="n">
        <v>2</v>
      </c>
      <c r="G2750" s="4" t="n">
        <v>3</v>
      </c>
      <c r="H2750" s="13" t="n"/>
      <c r="I2750" s="15" t="n"/>
      <c r="J2750" s="19" t="n">
        <v>3</v>
      </c>
      <c r="K2750" s="2" t="inlineStr">
        <is>
          <t>marker_383_384827.png</t>
        </is>
      </c>
      <c r="L2750" s="11">
        <f>HYPERLINK("3\1\" &amp; K2750, "Ver Imagen")</f>
        <v/>
      </c>
      <c r="M2750" t="inlineStr">
        <is>
          <t>Moda</t>
        </is>
      </c>
    </row>
    <row r="2751">
      <c r="A2751" t="n">
        <v>2750</v>
      </c>
      <c r="B2751" t="inlineStr">
        <is>
          <t>A-5058__347</t>
        </is>
      </c>
      <c r="C2751" s="1" t="n">
        <v>37.2509634732</v>
      </c>
      <c r="D2751" s="1" t="n">
        <v>-7.10339293709</v>
      </c>
      <c r="E2751" s="3" t="n">
        <v>3</v>
      </c>
      <c r="F2751" s="2" t="n">
        <v>2</v>
      </c>
      <c r="G2751" s="4" t="n">
        <v>3</v>
      </c>
      <c r="H2751" s="13" t="n"/>
      <c r="I2751" s="15" t="n"/>
      <c r="J2751" s="19" t="n">
        <v>3</v>
      </c>
      <c r="K2751" s="2" t="inlineStr">
        <is>
          <t>marker_277_384837.png</t>
        </is>
      </c>
      <c r="L2751" s="11">
        <f>HYPERLINK("3\1\" &amp; K2751, "Ver Imagen")</f>
        <v/>
      </c>
      <c r="M2751" t="inlineStr">
        <is>
          <t>Moda</t>
        </is>
      </c>
    </row>
    <row r="2752">
      <c r="A2752" t="n">
        <v>2751</v>
      </c>
      <c r="B2752" t="inlineStr">
        <is>
          <t>A-5058__361</t>
        </is>
      </c>
      <c r="C2752" s="1" t="n">
        <v>37.2529549055</v>
      </c>
      <c r="D2752" s="1" t="n">
        <v>-7.10575763531</v>
      </c>
      <c r="E2752" s="3" t="n">
        <v>3</v>
      </c>
      <c r="F2752" s="2" t="n">
        <v>2</v>
      </c>
      <c r="G2752" s="4" t="n">
        <v>3</v>
      </c>
      <c r="H2752" s="13" t="n"/>
      <c r="I2752" s="15" t="n"/>
      <c r="J2752" s="19" t="n">
        <v>3</v>
      </c>
      <c r="K2752" s="2" t="inlineStr">
        <is>
          <t>marker_313_384983.png</t>
        </is>
      </c>
      <c r="L2752" s="11">
        <f>HYPERLINK("3\1\" &amp; K2752, "Ver Imagen")</f>
        <v/>
      </c>
      <c r="M2752" t="inlineStr">
        <is>
          <t>Moda</t>
        </is>
      </c>
    </row>
    <row r="2753">
      <c r="A2753" t="n">
        <v>2752</v>
      </c>
      <c r="B2753" t="inlineStr">
        <is>
          <t>A-5058__370</t>
        </is>
      </c>
      <c r="C2753" s="1" t="n">
        <v>37.2539528708</v>
      </c>
      <c r="D2753" s="1" t="n">
        <v>-7.10763199775</v>
      </c>
      <c r="E2753" s="3" t="n">
        <v>3</v>
      </c>
      <c r="F2753" s="2" t="n">
        <v>2</v>
      </c>
      <c r="G2753" s="4" t="n">
        <v>3</v>
      </c>
      <c r="H2753" s="13" t="n"/>
      <c r="I2753" s="15" t="n"/>
      <c r="J2753" s="19" t="n">
        <v>3</v>
      </c>
      <c r="K2753" s="2" t="inlineStr">
        <is>
          <t>marker_311_385073.png</t>
        </is>
      </c>
      <c r="L2753" s="11">
        <f>HYPERLINK("3\1\" &amp; K2753, "Ver Imagen")</f>
        <v/>
      </c>
      <c r="M2753" t="inlineStr">
        <is>
          <t>Moda</t>
        </is>
      </c>
    </row>
    <row r="2754">
      <c r="A2754" t="n">
        <v>2753</v>
      </c>
      <c r="B2754" t="inlineStr">
        <is>
          <t>A-5058__371</t>
        </is>
      </c>
      <c r="C2754" s="1" t="n">
        <v>37.2541120901</v>
      </c>
      <c r="D2754" s="1" t="n">
        <v>-7.10783865612</v>
      </c>
      <c r="E2754" s="3" t="n">
        <v>3</v>
      </c>
      <c r="F2754" s="2" t="n">
        <v>2</v>
      </c>
      <c r="G2754" s="4" t="n">
        <v>3</v>
      </c>
      <c r="H2754" s="13" t="n"/>
      <c r="I2754" s="15" t="n"/>
      <c r="J2754" s="19" t="n">
        <v>3</v>
      </c>
      <c r="K2754" s="2" t="inlineStr">
        <is>
          <t>marker_275_385085.png</t>
        </is>
      </c>
      <c r="L2754" s="11">
        <f>HYPERLINK("3\1\" &amp; K2754, "Ver Imagen")</f>
        <v/>
      </c>
      <c r="M2754" t="inlineStr">
        <is>
          <t>Moda</t>
        </is>
      </c>
    </row>
    <row r="2755">
      <c r="A2755" t="n">
        <v>2754</v>
      </c>
      <c r="B2755" t="inlineStr">
        <is>
          <t>A-5058__372</t>
        </is>
      </c>
      <c r="C2755" s="1" t="n">
        <v>37.2542400301</v>
      </c>
      <c r="D2755" s="1" t="n">
        <v>-7.10800404402</v>
      </c>
      <c r="E2755" s="3" t="n">
        <v>3</v>
      </c>
      <c r="F2755" s="2" t="n">
        <v>2</v>
      </c>
      <c r="G2755" s="4" t="n">
        <v>3</v>
      </c>
      <c r="H2755" s="13" t="n"/>
      <c r="I2755" s="15" t="n"/>
      <c r="J2755" s="19" t="n">
        <v>3</v>
      </c>
      <c r="K2755" s="2" t="inlineStr">
        <is>
          <t>marker_905_385095.png</t>
        </is>
      </c>
      <c r="L2755" s="11">
        <f>HYPERLINK("3\1\" &amp; K2755, "Ver Imagen")</f>
        <v/>
      </c>
      <c r="M2755" t="inlineStr">
        <is>
          <t>Moda</t>
        </is>
      </c>
    </row>
    <row r="2756">
      <c r="A2756" t="n">
        <v>2755</v>
      </c>
      <c r="B2756" t="inlineStr">
        <is>
          <t>A-5058__378</t>
        </is>
      </c>
      <c r="C2756" s="1" t="n">
        <v>37.2550172303</v>
      </c>
      <c r="D2756" s="1" t="n">
        <v>-7.10900508002</v>
      </c>
      <c r="E2756" s="3" t="n">
        <v>3</v>
      </c>
      <c r="F2756" s="2" t="n">
        <v>2</v>
      </c>
      <c r="G2756" s="4" t="n">
        <v>3</v>
      </c>
      <c r="H2756" s="13" t="n"/>
      <c r="I2756" s="15" t="n"/>
      <c r="J2756" s="19" t="n">
        <v>3</v>
      </c>
      <c r="K2756" s="2" t="inlineStr">
        <is>
          <t>marker_681_385174.png</t>
        </is>
      </c>
      <c r="L2756" s="11">
        <f>HYPERLINK("3\1\" &amp; K2756, "Ver Imagen")</f>
        <v/>
      </c>
      <c r="M2756" t="inlineStr">
        <is>
          <t>Moda</t>
        </is>
      </c>
    </row>
    <row r="2757">
      <c r="A2757" t="n">
        <v>2756</v>
      </c>
      <c r="B2757" t="inlineStr">
        <is>
          <t>A-5058__388</t>
        </is>
      </c>
      <c r="C2757" s="1" t="n">
        <v>37.2553552575</v>
      </c>
      <c r="D2757" s="1" t="n">
        <v>-7.11142299863</v>
      </c>
      <c r="E2757" s="3" t="n">
        <v>3</v>
      </c>
      <c r="F2757" s="2" t="n">
        <v>2</v>
      </c>
      <c r="G2757" s="4" t="n">
        <v>3</v>
      </c>
      <c r="H2757" s="13" t="n"/>
      <c r="I2757" s="15" t="n"/>
      <c r="J2757" s="19" t="n">
        <v>3</v>
      </c>
      <c r="K2757" s="2" t="inlineStr">
        <is>
          <t>marker_529_385286.png</t>
        </is>
      </c>
      <c r="L2757" s="11">
        <f>HYPERLINK("3\1\" &amp; K2757, "Ver Imagen")</f>
        <v/>
      </c>
      <c r="M2757" t="inlineStr">
        <is>
          <t>Moda</t>
        </is>
      </c>
    </row>
    <row r="2758">
      <c r="A2758" t="n">
        <v>2757</v>
      </c>
      <c r="B2758" t="inlineStr">
        <is>
          <t>A-5058__391</t>
        </is>
      </c>
      <c r="C2758" s="1" t="n">
        <v>37.2552290609</v>
      </c>
      <c r="D2758" s="1" t="n">
        <v>-7.11217570008</v>
      </c>
      <c r="E2758" s="3" t="n">
        <v>3</v>
      </c>
      <c r="F2758" s="2" t="n">
        <v>2</v>
      </c>
      <c r="G2758" s="4" t="n">
        <v>3</v>
      </c>
      <c r="H2758" s="13" t="n"/>
      <c r="I2758" s="15" t="n"/>
      <c r="J2758" s="19" t="n">
        <v>3</v>
      </c>
      <c r="K2758" s="2" t="inlineStr">
        <is>
          <t>marker_467_385314.png</t>
        </is>
      </c>
      <c r="L2758" s="11">
        <f>HYPERLINK("3\1\" &amp; K2758, "Ver Imagen")</f>
        <v/>
      </c>
      <c r="M2758" t="inlineStr">
        <is>
          <t>Moda</t>
        </is>
      </c>
    </row>
    <row r="2759">
      <c r="A2759" t="n">
        <v>2758</v>
      </c>
      <c r="B2759" t="inlineStr">
        <is>
          <t>A-5058__392</t>
        </is>
      </c>
      <c r="C2759" s="1" t="n">
        <v>37.2551766446</v>
      </c>
      <c r="D2759" s="1" t="n">
        <v>-7.11241216443</v>
      </c>
      <c r="E2759" s="3" t="n">
        <v>3</v>
      </c>
      <c r="F2759" s="2" t="n">
        <v>2</v>
      </c>
      <c r="G2759" s="4" t="n">
        <v>3</v>
      </c>
      <c r="H2759" s="13" t="n"/>
      <c r="I2759" s="15" t="n"/>
      <c r="J2759" s="19" t="n">
        <v>3</v>
      </c>
      <c r="K2759" s="2" t="inlineStr">
        <is>
          <t>marker_754_385322.png</t>
        </is>
      </c>
      <c r="L2759" s="11">
        <f>HYPERLINK("3\1\" &amp; K2759, "Ver Imagen")</f>
        <v/>
      </c>
      <c r="M2759" t="inlineStr">
        <is>
          <t>Moda</t>
        </is>
      </c>
    </row>
    <row r="2760">
      <c r="A2760" t="n">
        <v>2759</v>
      </c>
      <c r="B2760" t="inlineStr">
        <is>
          <t>A-5058__398</t>
        </is>
      </c>
      <c r="C2760" s="1" t="n">
        <v>37.254816972</v>
      </c>
      <c r="D2760" s="1" t="n">
        <v>-7.11386953189</v>
      </c>
      <c r="E2760" s="3" t="n">
        <v>3</v>
      </c>
      <c r="F2760" s="2" t="n">
        <v>2</v>
      </c>
      <c r="G2760" s="4" t="n">
        <v>3</v>
      </c>
      <c r="H2760" s="13" t="n"/>
      <c r="I2760" s="15" t="n"/>
      <c r="J2760" s="19" t="n">
        <v>3</v>
      </c>
      <c r="K2760" s="2" t="inlineStr">
        <is>
          <t>marker_357_385404.png</t>
        </is>
      </c>
      <c r="L2760" s="11">
        <f>HYPERLINK("3\1\" &amp; K2760, "Ver Imagen")</f>
        <v/>
      </c>
      <c r="M2760" t="inlineStr">
        <is>
          <t>Moda</t>
        </is>
      </c>
    </row>
    <row r="2761">
      <c r="A2761" t="n">
        <v>2760</v>
      </c>
      <c r="B2761" t="inlineStr">
        <is>
          <t>A-5058__401</t>
        </is>
      </c>
      <c r="C2761" s="1" t="n">
        <v>37.254654362</v>
      </c>
      <c r="D2761" s="1" t="n">
        <v>-7.11458883469</v>
      </c>
      <c r="E2761" s="3" t="n">
        <v>3</v>
      </c>
      <c r="F2761" s="2" t="n">
        <v>2</v>
      </c>
      <c r="G2761" s="4" t="n">
        <v>3</v>
      </c>
      <c r="H2761" s="13" t="n"/>
      <c r="I2761" s="15" t="n"/>
      <c r="J2761" s="19" t="n">
        <v>3</v>
      </c>
      <c r="K2761" s="2" t="inlineStr">
        <is>
          <t>marker_480_388073.png</t>
        </is>
      </c>
      <c r="L2761" s="11">
        <f>HYPERLINK("3\1\" &amp; K2761, "Ver Imagen")</f>
        <v/>
      </c>
      <c r="M2761" t="inlineStr">
        <is>
          <t>Moda</t>
        </is>
      </c>
    </row>
    <row r="2762">
      <c r="A2762" t="n">
        <v>2761</v>
      </c>
      <c r="B2762" t="inlineStr">
        <is>
          <t>A-5058__403</t>
        </is>
      </c>
      <c r="C2762" s="1" t="n">
        <v>37.2545869065</v>
      </c>
      <c r="D2762" s="1" t="n">
        <v>-7.11508469334</v>
      </c>
      <c r="E2762" s="3" t="n">
        <v>3</v>
      </c>
      <c r="F2762" s="2" t="n">
        <v>2</v>
      </c>
      <c r="G2762" s="4" t="n">
        <v>3</v>
      </c>
      <c r="H2762" s="13" t="n"/>
      <c r="I2762" s="15" t="n"/>
      <c r="J2762" s="19" t="n">
        <v>3</v>
      </c>
      <c r="K2762" s="2" t="inlineStr">
        <is>
          <t>marker_392_388527.png</t>
        </is>
      </c>
      <c r="L2762" s="11">
        <f>HYPERLINK("3\1\" &amp; K2762, "Ver Imagen")</f>
        <v/>
      </c>
      <c r="M2762" t="inlineStr">
        <is>
          <t>Moda</t>
        </is>
      </c>
    </row>
    <row r="2763">
      <c r="A2763" t="n">
        <v>2762</v>
      </c>
      <c r="B2763" t="inlineStr">
        <is>
          <t>A-5058__406</t>
        </is>
      </c>
      <c r="C2763" s="1" t="n">
        <v>37.2545875405</v>
      </c>
      <c r="D2763" s="1" t="n">
        <v>-7.11582221974</v>
      </c>
      <c r="E2763" s="3" t="n">
        <v>3</v>
      </c>
      <c r="F2763" s="2" t="n">
        <v>2</v>
      </c>
      <c r="G2763" s="4" t="n">
        <v>3</v>
      </c>
      <c r="H2763" s="13" t="n"/>
      <c r="I2763" s="15" t="n"/>
      <c r="J2763" s="19" t="n">
        <v>3</v>
      </c>
      <c r="K2763" s="2" t="inlineStr">
        <is>
          <t>marker_518_388603.png</t>
        </is>
      </c>
      <c r="L2763" s="11">
        <f>HYPERLINK("3\1\" &amp; K2763, "Ver Imagen")</f>
        <v/>
      </c>
      <c r="M2763" t="inlineStr">
        <is>
          <t>Moda</t>
        </is>
      </c>
    </row>
    <row r="2764">
      <c r="A2764" t="n">
        <v>2763</v>
      </c>
      <c r="B2764" t="inlineStr">
        <is>
          <t>A-5058__409</t>
        </is>
      </c>
      <c r="C2764" s="1" t="n">
        <v>37.2547255806</v>
      </c>
      <c r="D2764" s="1" t="n">
        <v>-7.11655721791</v>
      </c>
      <c r="E2764" s="3" t="n">
        <v>3</v>
      </c>
      <c r="F2764" s="2" t="n">
        <v>2</v>
      </c>
      <c r="G2764" s="4" t="n">
        <v>3</v>
      </c>
      <c r="H2764" s="13" t="n"/>
      <c r="I2764" s="15" t="n"/>
      <c r="J2764" s="19" t="n">
        <v>3</v>
      </c>
      <c r="K2764" s="2" t="inlineStr">
        <is>
          <t>marker_402_388638.png</t>
        </is>
      </c>
      <c r="L2764" s="11">
        <f>HYPERLINK("3\1\" &amp; K2764, "Ver Imagen")</f>
        <v/>
      </c>
      <c r="M2764" t="inlineStr">
        <is>
          <t>Moda</t>
        </is>
      </c>
    </row>
    <row r="2765">
      <c r="A2765" t="n">
        <v>2764</v>
      </c>
      <c r="B2765" t="inlineStr">
        <is>
          <t>A-5058__410</t>
        </is>
      </c>
      <c r="C2765" s="1" t="n">
        <v>37.2547966028</v>
      </c>
      <c r="D2765" s="1" t="n">
        <v>-7.11678051747</v>
      </c>
      <c r="E2765" s="3" t="n">
        <v>3</v>
      </c>
      <c r="F2765" s="2" t="n">
        <v>2</v>
      </c>
      <c r="G2765" s="4" t="n">
        <v>3</v>
      </c>
      <c r="H2765" s="13" t="n"/>
      <c r="I2765" s="15" t="n"/>
      <c r="J2765" s="19" t="n">
        <v>3</v>
      </c>
      <c r="K2765" s="2" t="inlineStr">
        <is>
          <t>marker_498_388648.png</t>
        </is>
      </c>
      <c r="L2765" s="11">
        <f>HYPERLINK("3\1\" &amp; K2765, "Ver Imagen")</f>
        <v/>
      </c>
      <c r="M2765" t="inlineStr">
        <is>
          <t>Moda</t>
        </is>
      </c>
    </row>
    <row r="2766">
      <c r="A2766" t="n">
        <v>2765</v>
      </c>
      <c r="B2766" t="inlineStr">
        <is>
          <t>A-5058__411</t>
        </is>
      </c>
      <c r="C2766" s="1" t="n">
        <v>37.2548965744</v>
      </c>
      <c r="D2766" s="1" t="n">
        <v>-7.1170327352</v>
      </c>
      <c r="E2766" s="3" t="n">
        <v>3</v>
      </c>
      <c r="F2766" s="2" t="n">
        <v>2</v>
      </c>
      <c r="G2766" s="4" t="n">
        <v>3</v>
      </c>
      <c r="H2766" s="13" t="n"/>
      <c r="I2766" s="15" t="n"/>
      <c r="J2766" s="19" t="n">
        <v>3</v>
      </c>
      <c r="K2766" s="2" t="inlineStr">
        <is>
          <t>marker_981_388659.png</t>
        </is>
      </c>
      <c r="L2766" s="11">
        <f>HYPERLINK("3\1\" &amp; K2766, "Ver Imagen")</f>
        <v/>
      </c>
      <c r="M2766" t="inlineStr">
        <is>
          <t>Moda</t>
        </is>
      </c>
    </row>
    <row r="2767">
      <c r="A2767" t="n">
        <v>2766</v>
      </c>
      <c r="B2767" t="inlineStr">
        <is>
          <t>A-5058__417</t>
        </is>
      </c>
      <c r="C2767" s="1" t="n">
        <v>37.2556883888</v>
      </c>
      <c r="D2767" s="1" t="n">
        <v>-7.11813867274</v>
      </c>
      <c r="E2767" s="3" t="n">
        <v>3</v>
      </c>
      <c r="F2767" s="2" t="n">
        <v>2</v>
      </c>
      <c r="G2767" s="4" t="n">
        <v>3</v>
      </c>
      <c r="H2767" s="13" t="n"/>
      <c r="I2767" s="15" t="n"/>
      <c r="J2767" s="19" t="n">
        <v>3</v>
      </c>
      <c r="K2767" s="2" t="inlineStr">
        <is>
          <t>marker_377_388715.png</t>
        </is>
      </c>
      <c r="L2767" s="11">
        <f>HYPERLINK("3\1\" &amp; K2767, "Ver Imagen")</f>
        <v/>
      </c>
      <c r="M2767" t="inlineStr">
        <is>
          <t>Moda</t>
        </is>
      </c>
    </row>
    <row r="2768">
      <c r="A2768" t="n">
        <v>2767</v>
      </c>
      <c r="B2768" t="inlineStr">
        <is>
          <t>A-5058__423</t>
        </is>
      </c>
      <c r="C2768" s="1" t="n">
        <v>37.256728769</v>
      </c>
      <c r="D2768" s="1" t="n">
        <v>-7.11893049813</v>
      </c>
      <c r="E2768" s="3" t="n">
        <v>3</v>
      </c>
      <c r="F2768" s="2" t="n">
        <v>3</v>
      </c>
      <c r="G2768" s="4" t="n">
        <v>4</v>
      </c>
      <c r="H2768" s="13" t="n"/>
      <c r="I2768" s="15" t="n"/>
      <c r="J2768" s="19" t="n">
        <v>3</v>
      </c>
      <c r="K2768" s="2" t="inlineStr">
        <is>
          <t>marker_340_388782.png</t>
        </is>
      </c>
      <c r="L2768" s="11">
        <f>HYPERLINK("3\1\" &amp; K2768, "Ver Imagen")</f>
        <v/>
      </c>
      <c r="M2768" t="inlineStr">
        <is>
          <t>Moda</t>
        </is>
      </c>
    </row>
    <row r="2769">
      <c r="A2769" t="n">
        <v>2768</v>
      </c>
      <c r="B2769" t="inlineStr">
        <is>
          <t>A-5058__433</t>
        </is>
      </c>
      <c r="C2769" s="1" t="n">
        <v>37.2583792063</v>
      </c>
      <c r="D2769" s="1" t="n">
        <v>-7.12034719304</v>
      </c>
      <c r="E2769" s="3" t="n">
        <v>3</v>
      </c>
      <c r="F2769" s="2" t="n">
        <v>2</v>
      </c>
      <c r="G2769" s="4" t="n">
        <v>3</v>
      </c>
      <c r="H2769" s="13" t="n"/>
      <c r="I2769" s="15" t="n"/>
      <c r="J2769" s="19" t="n">
        <v>3</v>
      </c>
      <c r="K2769" s="2" t="inlineStr">
        <is>
          <t>marker_433_388891.png</t>
        </is>
      </c>
      <c r="L2769" s="11">
        <f>HYPERLINK("3\1\" &amp; K2769, "Ver Imagen")</f>
        <v/>
      </c>
      <c r="M2769" t="inlineStr">
        <is>
          <t>Moda</t>
        </is>
      </c>
    </row>
    <row r="2770">
      <c r="A2770" t="n">
        <v>2769</v>
      </c>
      <c r="B2770" t="inlineStr">
        <is>
          <t>A-5058__440</t>
        </is>
      </c>
      <c r="C2770" s="1" t="n">
        <v>37.2587711582</v>
      </c>
      <c r="D2770" s="1" t="n">
        <v>-7.12205072241</v>
      </c>
      <c r="E2770" s="3" t="n">
        <v>3</v>
      </c>
      <c r="F2770" s="2" t="n">
        <v>3</v>
      </c>
      <c r="G2770" s="4" t="n">
        <v>4</v>
      </c>
      <c r="H2770" s="13" t="n"/>
      <c r="I2770" s="15" t="n"/>
      <c r="J2770" s="19" t="n">
        <v>3</v>
      </c>
      <c r="K2770" s="2" t="inlineStr">
        <is>
          <t>marker_983_388969.png</t>
        </is>
      </c>
      <c r="L2770" s="11">
        <f>HYPERLINK("3\1\" &amp; K2770, "Ver Imagen")</f>
        <v/>
      </c>
      <c r="M2770" t="inlineStr">
        <is>
          <t>Moda</t>
        </is>
      </c>
    </row>
    <row r="2771">
      <c r="A2771" t="n">
        <v>2770</v>
      </c>
      <c r="B2771" t="inlineStr">
        <is>
          <t>A-5058__442</t>
        </is>
      </c>
      <c r="C2771" s="1" t="n">
        <v>37.2588148737</v>
      </c>
      <c r="D2771" s="1" t="n">
        <v>-7.12255888644</v>
      </c>
      <c r="E2771" s="3" t="n">
        <v>3</v>
      </c>
      <c r="F2771" s="2" t="n">
        <v>2</v>
      </c>
      <c r="G2771" s="4" t="n">
        <v>3</v>
      </c>
      <c r="H2771" s="13" t="n"/>
      <c r="I2771" s="15" t="n"/>
      <c r="J2771" s="19" t="n">
        <v>3</v>
      </c>
      <c r="K2771" s="2" t="inlineStr">
        <is>
          <t>marker_729_389003.png</t>
        </is>
      </c>
      <c r="L2771" s="11">
        <f>HYPERLINK("3\1\" &amp; K2771, "Ver Imagen")</f>
        <v/>
      </c>
      <c r="M2771" t="inlineStr">
        <is>
          <t>Moda</t>
        </is>
      </c>
    </row>
    <row r="2772">
      <c r="A2772" t="n">
        <v>2771</v>
      </c>
      <c r="B2772" t="inlineStr">
        <is>
          <t>A-5058__456</t>
        </is>
      </c>
      <c r="C2772" s="1" t="n">
        <v>37.2594516729</v>
      </c>
      <c r="D2772" s="1" t="n">
        <v>-7.12594618721</v>
      </c>
      <c r="E2772" s="3" t="n">
        <v>3</v>
      </c>
      <c r="F2772" s="2" t="n">
        <v>2</v>
      </c>
      <c r="G2772" s="4" t="n">
        <v>3</v>
      </c>
      <c r="H2772" s="13" t="n"/>
      <c r="I2772" s="15" t="n"/>
      <c r="J2772" s="19" t="n">
        <v>3</v>
      </c>
      <c r="K2772" s="2" t="inlineStr">
        <is>
          <t>marker_744_389152.png</t>
        </is>
      </c>
      <c r="L2772" s="11">
        <f>HYPERLINK("3\1\" &amp; K2772, "Ver Imagen")</f>
        <v/>
      </c>
      <c r="M2772" t="inlineStr">
        <is>
          <t>Moda</t>
        </is>
      </c>
    </row>
    <row r="2773">
      <c r="A2773" t="n">
        <v>2772</v>
      </c>
      <c r="B2773" t="inlineStr">
        <is>
          <t>A-5058__457</t>
        </is>
      </c>
      <c r="C2773" s="1" t="n">
        <v>37.2595882333</v>
      </c>
      <c r="D2773" s="1" t="n">
        <v>-7.12614345187</v>
      </c>
      <c r="E2773" s="3" t="n">
        <v>3</v>
      </c>
      <c r="F2773" s="2" t="n">
        <v>2</v>
      </c>
      <c r="G2773" s="4" t="n">
        <v>3</v>
      </c>
      <c r="H2773" s="13" t="n"/>
      <c r="I2773" s="15" t="n"/>
      <c r="J2773" s="19" t="n">
        <v>3</v>
      </c>
      <c r="K2773" s="2" t="inlineStr">
        <is>
          <t>marker_629_389163.png</t>
        </is>
      </c>
      <c r="L2773" s="11">
        <f>HYPERLINK("3\1\" &amp; K2773, "Ver Imagen")</f>
        <v/>
      </c>
      <c r="M2773" t="inlineStr">
        <is>
          <t>Moda</t>
        </is>
      </c>
    </row>
    <row r="2774">
      <c r="A2774" t="n">
        <v>2773</v>
      </c>
      <c r="B2774" t="inlineStr">
        <is>
          <t>A-5058__460</t>
        </is>
      </c>
      <c r="C2774" s="1" t="n">
        <v>37.2600381142</v>
      </c>
      <c r="D2774" s="1" t="n">
        <v>-7.12663906496</v>
      </c>
      <c r="E2774" s="3" t="n">
        <v>3</v>
      </c>
      <c r="F2774" s="2" t="n">
        <v>2</v>
      </c>
      <c r="G2774" s="4" t="n">
        <v>3</v>
      </c>
      <c r="H2774" s="13" t="n"/>
      <c r="I2774" s="15" t="n"/>
      <c r="J2774" s="19" t="n">
        <v>3</v>
      </c>
      <c r="K2774" s="2" t="inlineStr">
        <is>
          <t>marker_779_389316.png</t>
        </is>
      </c>
      <c r="L2774" s="11">
        <f>HYPERLINK("3\1\" &amp; K2774, "Ver Imagen")</f>
        <v/>
      </c>
      <c r="M2774" t="inlineStr">
        <is>
          <t>Moda</t>
        </is>
      </c>
    </row>
    <row r="2775">
      <c r="A2775" t="n">
        <v>2774</v>
      </c>
      <c r="B2775" t="inlineStr">
        <is>
          <t>A-5058__461</t>
        </is>
      </c>
      <c r="C2775" s="1" t="n">
        <v>37.2602147426</v>
      </c>
      <c r="D2775" s="1" t="n">
        <v>-7.12681308646</v>
      </c>
      <c r="E2775" s="3" t="n">
        <v>3</v>
      </c>
      <c r="F2775" s="2" t="n">
        <v>2</v>
      </c>
      <c r="G2775" s="4" t="n">
        <v>3</v>
      </c>
      <c r="H2775" s="13" t="n"/>
      <c r="I2775" s="15" t="n"/>
      <c r="J2775" s="19" t="n">
        <v>3</v>
      </c>
      <c r="K2775" s="2" t="inlineStr">
        <is>
          <t>marker_497_389325.png</t>
        </is>
      </c>
      <c r="L2775" s="11">
        <f>HYPERLINK("3\1\" &amp; K2775, "Ver Imagen")</f>
        <v/>
      </c>
      <c r="M2775" t="inlineStr">
        <is>
          <t>Moda</t>
        </is>
      </c>
    </row>
    <row r="2776">
      <c r="A2776" t="n">
        <v>2775</v>
      </c>
      <c r="B2776" t="inlineStr">
        <is>
          <t>A-5058__469</t>
        </is>
      </c>
      <c r="C2776" s="1" t="n">
        <v>37.2610885524</v>
      </c>
      <c r="D2776" s="1" t="n">
        <v>-7.12838764378</v>
      </c>
      <c r="E2776" s="3" t="n">
        <v>3</v>
      </c>
      <c r="F2776" s="2" t="n">
        <v>2</v>
      </c>
      <c r="G2776" s="4" t="n">
        <v>3</v>
      </c>
      <c r="H2776" s="13" t="n"/>
      <c r="I2776" s="15" t="n"/>
      <c r="J2776" s="19" t="n">
        <v>3</v>
      </c>
      <c r="K2776" s="2" t="inlineStr">
        <is>
          <t>marker_631_389394.png</t>
        </is>
      </c>
      <c r="L2776" s="11">
        <f>HYPERLINK("3\1\" &amp; K2776, "Ver Imagen")</f>
        <v/>
      </c>
      <c r="M2776" t="inlineStr">
        <is>
          <t>Moda</t>
        </is>
      </c>
    </row>
    <row r="2777">
      <c r="A2777" t="n">
        <v>2776</v>
      </c>
      <c r="B2777" t="inlineStr">
        <is>
          <t>A-495__3</t>
        </is>
      </c>
      <c r="C2777" s="1" t="n">
        <v>37.4440677273</v>
      </c>
      <c r="D2777" s="1" t="n">
        <v>-7.09974542693</v>
      </c>
      <c r="E2777" s="3" t="n">
        <v>3</v>
      </c>
      <c r="F2777" s="2" t="n">
        <v>2</v>
      </c>
      <c r="G2777" s="4" t="n">
        <v>3</v>
      </c>
      <c r="H2777" s="13" t="n"/>
      <c r="I2777" s="15" t="n"/>
      <c r="J2777" s="19" t="n">
        <v>3</v>
      </c>
      <c r="K2777" s="2" t="inlineStr">
        <is>
          <t>marker_542_380997.png</t>
        </is>
      </c>
      <c r="L2777" s="11">
        <f>HYPERLINK("3\1\" &amp; K2777, "Ver Imagen")</f>
        <v/>
      </c>
      <c r="M2777" t="inlineStr">
        <is>
          <t>Moda</t>
        </is>
      </c>
    </row>
    <row r="2778">
      <c r="A2778" t="n">
        <v>2777</v>
      </c>
      <c r="B2778" t="inlineStr">
        <is>
          <t>A-495__4</t>
        </is>
      </c>
      <c r="C2778" s="1" t="n">
        <v>37.444056272</v>
      </c>
      <c r="D2778" s="1" t="n">
        <v>-7.09942689409</v>
      </c>
      <c r="E2778" s="3" t="n">
        <v>3</v>
      </c>
      <c r="F2778" s="2" t="n">
        <v>2</v>
      </c>
      <c r="G2778" s="4" t="n">
        <v>3</v>
      </c>
      <c r="H2778" s="13" t="n"/>
      <c r="I2778" s="15" t="n"/>
      <c r="J2778" s="19" t="n">
        <v>3</v>
      </c>
      <c r="K2778" s="2" t="inlineStr">
        <is>
          <t>marker_513_381018.png</t>
        </is>
      </c>
      <c r="L2778" s="11">
        <f>HYPERLINK("3\1\" &amp; K2778, "Ver Imagen")</f>
        <v/>
      </c>
      <c r="M2778" t="inlineStr">
        <is>
          <t>Moda</t>
        </is>
      </c>
    </row>
    <row r="2779">
      <c r="A2779" t="n">
        <v>2778</v>
      </c>
      <c r="B2779" t="inlineStr">
        <is>
          <t>A-495__6</t>
        </is>
      </c>
      <c r="C2779" s="1" t="n">
        <v>37.444032081</v>
      </c>
      <c r="D2779" s="1" t="n">
        <v>-7.09896077202</v>
      </c>
      <c r="E2779" s="3" t="n">
        <v>3</v>
      </c>
      <c r="F2779" s="2" t="n">
        <v>2</v>
      </c>
      <c r="G2779" s="4" t="n">
        <v>3</v>
      </c>
      <c r="H2779" s="13" t="n"/>
      <c r="I2779" s="15" t="n"/>
      <c r="J2779" s="19" t="n">
        <v>3</v>
      </c>
      <c r="K2779" s="2" t="inlineStr">
        <is>
          <t>marker_676_381039.png</t>
        </is>
      </c>
      <c r="L2779" s="11">
        <f>HYPERLINK("3\1\" &amp; K2779, "Ver Imagen")</f>
        <v/>
      </c>
      <c r="M2779" t="inlineStr">
        <is>
          <t>Moda</t>
        </is>
      </c>
    </row>
    <row r="2780">
      <c r="A2780" t="n">
        <v>2779</v>
      </c>
      <c r="B2780" t="inlineStr">
        <is>
          <t>A-495__7</t>
        </is>
      </c>
      <c r="C2780" s="1" t="n">
        <v>37.4440136849</v>
      </c>
      <c r="D2780" s="1" t="n">
        <v>-7.09865377334</v>
      </c>
      <c r="E2780" s="3" t="n">
        <v>3</v>
      </c>
      <c r="F2780" s="2" t="n">
        <v>2</v>
      </c>
      <c r="G2780" s="4" t="n">
        <v>3</v>
      </c>
      <c r="H2780" s="13" t="n"/>
      <c r="I2780" s="15" t="n"/>
      <c r="J2780" s="19" t="n">
        <v>3</v>
      </c>
      <c r="K2780" s="2" t="inlineStr">
        <is>
          <t>marker_682_381048.png</t>
        </is>
      </c>
      <c r="L2780" s="11">
        <f>HYPERLINK("3\1\" &amp; K2780, "Ver Imagen")</f>
        <v/>
      </c>
      <c r="M2780" t="inlineStr">
        <is>
          <t>Moda</t>
        </is>
      </c>
    </row>
    <row r="2781">
      <c r="A2781" t="n">
        <v>2780</v>
      </c>
      <c r="B2781" t="inlineStr">
        <is>
          <t>A-495__11</t>
        </is>
      </c>
      <c r="C2781" s="1" t="n">
        <v>37.4439650663</v>
      </c>
      <c r="D2781" s="1" t="n">
        <v>-7.09769547895</v>
      </c>
      <c r="E2781" s="3" t="n">
        <v>3</v>
      </c>
      <c r="F2781" s="2" t="n">
        <v>2</v>
      </c>
      <c r="G2781" s="4" t="n">
        <v>3</v>
      </c>
      <c r="H2781" s="13" t="n"/>
      <c r="I2781" s="15" t="n"/>
      <c r="J2781" s="19" t="n">
        <v>3</v>
      </c>
      <c r="K2781" s="2" t="inlineStr">
        <is>
          <t>marker_703_381171.png</t>
        </is>
      </c>
      <c r="L2781" s="11">
        <f>HYPERLINK("3\1\" &amp; K2781, "Ver Imagen")</f>
        <v/>
      </c>
      <c r="M2781" t="inlineStr">
        <is>
          <t>Moda</t>
        </is>
      </c>
    </row>
    <row r="2782">
      <c r="A2782" t="n">
        <v>2781</v>
      </c>
      <c r="B2782" t="inlineStr">
        <is>
          <t>A-495_1__182</t>
        </is>
      </c>
      <c r="C2782" s="1" t="n">
        <v>37.4826107913</v>
      </c>
      <c r="D2782" s="1" t="n">
        <v>-7.12865726778</v>
      </c>
      <c r="E2782" s="3" t="n">
        <v>3</v>
      </c>
      <c r="F2782" s="2" t="n">
        <v>2</v>
      </c>
      <c r="G2782" s="4" t="n">
        <v>3</v>
      </c>
      <c r="H2782" s="13" t="n"/>
      <c r="I2782" s="15" t="n"/>
      <c r="J2782" s="19" t="n">
        <v>3</v>
      </c>
      <c r="K2782" s="2" t="inlineStr">
        <is>
          <t>marker_637_383803.png</t>
        </is>
      </c>
      <c r="L2782" s="11">
        <f>HYPERLINK("3\1\" &amp; K2782, "Ver Imagen")</f>
        <v/>
      </c>
      <c r="M2782" t="inlineStr">
        <is>
          <t>Moda</t>
        </is>
      </c>
    </row>
    <row r="2783">
      <c r="A2783" t="n">
        <v>2782</v>
      </c>
      <c r="B2783" t="inlineStr">
        <is>
          <t>A-495_1__147</t>
        </is>
      </c>
      <c r="C2783" s="1" t="n">
        <v>37.4763602606</v>
      </c>
      <c r="D2783" s="1" t="n">
        <v>-7.12576052569</v>
      </c>
      <c r="E2783" s="3" t="n">
        <v>3</v>
      </c>
      <c r="F2783" s="2" t="n">
        <v>2</v>
      </c>
      <c r="G2783" s="4" t="n">
        <v>3</v>
      </c>
      <c r="H2783" s="13" t="n"/>
      <c r="I2783" s="15" t="n"/>
      <c r="J2783" s="19" t="n">
        <v>3</v>
      </c>
      <c r="K2783" s="2" t="inlineStr">
        <is>
          <t>marker_652_384273.png</t>
        </is>
      </c>
      <c r="L2783" s="11">
        <f>HYPERLINK("3\1\" &amp; K2783, "Ver Imagen")</f>
        <v/>
      </c>
      <c r="M2783" t="inlineStr">
        <is>
          <t>Moda</t>
        </is>
      </c>
    </row>
    <row r="2784">
      <c r="A2784" t="n">
        <v>2783</v>
      </c>
      <c r="B2784" t="inlineStr">
        <is>
          <t>A-495_1__143</t>
        </is>
      </c>
      <c r="C2784" s="1" t="n">
        <v>37.4755611316</v>
      </c>
      <c r="D2784" s="1" t="n">
        <v>-7.12588198387</v>
      </c>
      <c r="E2784" s="3" t="n">
        <v>3</v>
      </c>
      <c r="F2784" s="2" t="n">
        <v>2</v>
      </c>
      <c r="G2784" s="4" t="n">
        <v>3</v>
      </c>
      <c r="H2784" s="13" t="n"/>
      <c r="I2784" s="15" t="n"/>
      <c r="J2784" s="19" t="n">
        <v>3</v>
      </c>
      <c r="K2784" s="2" t="inlineStr">
        <is>
          <t>marker_808_384323.png</t>
        </is>
      </c>
      <c r="L2784" s="11">
        <f>HYPERLINK("3\1\" &amp; K2784, "Ver Imagen")</f>
        <v/>
      </c>
      <c r="M2784" t="inlineStr">
        <is>
          <t>Moda</t>
        </is>
      </c>
    </row>
    <row r="2785">
      <c r="A2785" t="n">
        <v>2784</v>
      </c>
      <c r="B2785" t="inlineStr">
        <is>
          <t>A-495_1__135</t>
        </is>
      </c>
      <c r="C2785" s="1" t="n">
        <v>37.4739428551</v>
      </c>
      <c r="D2785" s="1" t="n">
        <v>-7.12623591955</v>
      </c>
      <c r="E2785" s="3" t="n">
        <v>3</v>
      </c>
      <c r="F2785" s="2" t="n">
        <v>2</v>
      </c>
      <c r="G2785" s="4" t="n">
        <v>3</v>
      </c>
      <c r="H2785" s="13" t="n"/>
      <c r="I2785" s="15" t="n"/>
      <c r="J2785" s="19" t="n">
        <v>3</v>
      </c>
      <c r="K2785" s="2" t="inlineStr">
        <is>
          <t>marker_779_384422.png</t>
        </is>
      </c>
      <c r="L2785" s="11">
        <f>HYPERLINK("3\1\" &amp; K2785, "Ver Imagen")</f>
        <v/>
      </c>
      <c r="M2785" t="inlineStr">
        <is>
          <t>Moda</t>
        </is>
      </c>
    </row>
    <row r="2786">
      <c r="A2786" t="n">
        <v>2785</v>
      </c>
      <c r="B2786" t="inlineStr">
        <is>
          <t>A-495_1__126</t>
        </is>
      </c>
      <c r="C2786" s="1" t="n">
        <v>37.4721710393</v>
      </c>
      <c r="D2786" s="1" t="n">
        <v>-7.1262922658</v>
      </c>
      <c r="E2786" s="3" t="n">
        <v>3</v>
      </c>
      <c r="F2786" s="2" t="n">
        <v>2</v>
      </c>
      <c r="G2786" s="4" t="n">
        <v>3</v>
      </c>
      <c r="H2786" s="13" t="n"/>
      <c r="I2786" s="15" t="n"/>
      <c r="J2786" s="19" t="n">
        <v>3</v>
      </c>
      <c r="K2786" s="2" t="inlineStr">
        <is>
          <t>marker_331_384512.png</t>
        </is>
      </c>
      <c r="L2786" s="11">
        <f>HYPERLINK("3\1\" &amp; K2786, "Ver Imagen")</f>
        <v/>
      </c>
      <c r="M2786" t="inlineStr">
        <is>
          <t>Moda</t>
        </is>
      </c>
    </row>
    <row r="2787">
      <c r="A2787" t="n">
        <v>2786</v>
      </c>
      <c r="B2787" t="inlineStr">
        <is>
          <t>A-495_1__103</t>
        </is>
      </c>
      <c r="C2787" s="1" t="n">
        <v>37.4681331659</v>
      </c>
      <c r="D2787" s="1" t="n">
        <v>-7.12337861739</v>
      </c>
      <c r="E2787" s="3" t="n">
        <v>3</v>
      </c>
      <c r="F2787" s="2" t="n">
        <v>4</v>
      </c>
      <c r="G2787" s="4" t="n">
        <v>3</v>
      </c>
      <c r="H2787" s="13" t="n"/>
      <c r="I2787" s="15" t="n"/>
      <c r="J2787" s="19" t="n">
        <v>3</v>
      </c>
      <c r="K2787" s="2" t="inlineStr">
        <is>
          <t>marker_486_384969.png</t>
        </is>
      </c>
      <c r="L2787" s="11">
        <f>HYPERLINK("3\1\" &amp; K2787, "Ver Imagen")</f>
        <v/>
      </c>
      <c r="M2787" t="inlineStr">
        <is>
          <t>Moda</t>
        </is>
      </c>
    </row>
    <row r="2788">
      <c r="A2788" t="n">
        <v>2787</v>
      </c>
      <c r="B2788" t="inlineStr">
        <is>
          <t>A-495_1__41</t>
        </is>
      </c>
      <c r="C2788" s="1" t="n">
        <v>37.4560882065</v>
      </c>
      <c r="D2788" s="1" t="n">
        <v>-7.12632734777</v>
      </c>
      <c r="E2788" s="3" t="n">
        <v>3</v>
      </c>
      <c r="F2788" s="2" t="n">
        <v>3</v>
      </c>
      <c r="G2788" s="4" t="n">
        <v>2</v>
      </c>
      <c r="H2788" s="13" t="n"/>
      <c r="I2788" s="15" t="n"/>
      <c r="J2788" s="19" t="n">
        <v>3</v>
      </c>
      <c r="K2788" s="2" t="inlineStr">
        <is>
          <t>marker_862_385645.png</t>
        </is>
      </c>
      <c r="L2788" s="11">
        <f>HYPERLINK("3\1\" &amp; K2788, "Ver Imagen")</f>
        <v/>
      </c>
      <c r="M2788" t="inlineStr">
        <is>
          <t>Moda</t>
        </is>
      </c>
    </row>
    <row r="2789">
      <c r="A2789" t="n">
        <v>2788</v>
      </c>
      <c r="B2789" t="inlineStr">
        <is>
          <t>A-495_1__10</t>
        </is>
      </c>
      <c r="C2789" s="1" t="n">
        <v>37.4499114969</v>
      </c>
      <c r="D2789" s="1" t="n">
        <v>-7.12721494966</v>
      </c>
      <c r="E2789" s="3" t="n">
        <v>3</v>
      </c>
      <c r="F2789" s="2" t="n">
        <v>2</v>
      </c>
      <c r="G2789" s="4" t="n">
        <v>3</v>
      </c>
      <c r="H2789" s="13" t="n"/>
      <c r="I2789" s="15" t="n"/>
      <c r="J2789" s="19" t="n">
        <v>3</v>
      </c>
      <c r="K2789" s="2" t="inlineStr">
        <is>
          <t>marker_691_386227.png</t>
        </is>
      </c>
      <c r="L2789" s="11">
        <f>HYPERLINK("3\1\" &amp; K2789, "Ver Imagen")</f>
        <v/>
      </c>
      <c r="M2789" t="inlineStr">
        <is>
          <t>Moda</t>
        </is>
      </c>
    </row>
    <row r="2790">
      <c r="A2790" t="n">
        <v>2789</v>
      </c>
      <c r="B2790" t="inlineStr">
        <is>
          <t>A-499__54</t>
        </is>
      </c>
      <c r="C2790" s="1" t="n">
        <v>37.4957185996</v>
      </c>
      <c r="D2790" s="1" t="n">
        <v>-7.27428404995</v>
      </c>
      <c r="E2790" s="3" t="n">
        <v>3</v>
      </c>
      <c r="F2790" s="2" t="n">
        <v>2</v>
      </c>
      <c r="G2790" s="4" t="n">
        <v>3</v>
      </c>
      <c r="H2790" s="13" t="n"/>
      <c r="I2790" s="15" t="n"/>
      <c r="J2790" s="19" t="n">
        <v>3</v>
      </c>
      <c r="K2790" s="2" t="inlineStr">
        <is>
          <t>marker_439_534935.png</t>
        </is>
      </c>
      <c r="L2790" s="11">
        <f>HYPERLINK("3\1\" &amp; K2790, "Ver Imagen")</f>
        <v/>
      </c>
      <c r="M2790" t="inlineStr">
        <is>
          <t>Moda</t>
        </is>
      </c>
    </row>
    <row r="2791">
      <c r="A2791" t="n">
        <v>2790</v>
      </c>
      <c r="B2791" t="inlineStr">
        <is>
          <t>A-499__67</t>
        </is>
      </c>
      <c r="C2791" s="1" t="n">
        <v>37.4953632287</v>
      </c>
      <c r="D2791" s="1" t="n">
        <v>-7.27102159712</v>
      </c>
      <c r="E2791" s="3" t="n">
        <v>3</v>
      </c>
      <c r="F2791" s="2" t="n">
        <v>2</v>
      </c>
      <c r="G2791" s="4" t="n">
        <v>3</v>
      </c>
      <c r="H2791" s="13" t="n"/>
      <c r="I2791" s="15" t="n"/>
      <c r="J2791" s="19" t="n">
        <v>3</v>
      </c>
      <c r="K2791" s="2" t="inlineStr">
        <is>
          <t>marker_963_535145.png</t>
        </is>
      </c>
      <c r="L2791" s="11">
        <f>HYPERLINK("3\1\" &amp; K2791, "Ver Imagen")</f>
        <v/>
      </c>
      <c r="M2791" t="inlineStr">
        <is>
          <t>Moda</t>
        </is>
      </c>
    </row>
    <row r="2792">
      <c r="A2792" t="n">
        <v>2791</v>
      </c>
      <c r="B2792" t="inlineStr">
        <is>
          <t>A-499__72</t>
        </is>
      </c>
      <c r="C2792" s="1" t="n">
        <v>37.4954891267</v>
      </c>
      <c r="D2792" s="1" t="n">
        <v>-7.26972688855</v>
      </c>
      <c r="E2792" s="3" t="n">
        <v>3</v>
      </c>
      <c r="F2792" s="2" t="n">
        <v>2</v>
      </c>
      <c r="G2792" s="4" t="n">
        <v>3</v>
      </c>
      <c r="H2792" s="13" t="n"/>
      <c r="I2792" s="15" t="n"/>
      <c r="J2792" s="19" t="n">
        <v>3</v>
      </c>
      <c r="K2792" s="2" t="inlineStr">
        <is>
          <t>marker_561_535198.png</t>
        </is>
      </c>
      <c r="L2792" s="11">
        <f>HYPERLINK("3\1\" &amp; K2792, "Ver Imagen")</f>
        <v/>
      </c>
      <c r="M2792" t="inlineStr">
        <is>
          <t>Moda</t>
        </is>
      </c>
    </row>
    <row r="2793">
      <c r="A2793" t="n">
        <v>2792</v>
      </c>
      <c r="B2793" t="inlineStr">
        <is>
          <t>A-499__73</t>
        </is>
      </c>
      <c r="C2793" s="1" t="n">
        <v>37.4954825693</v>
      </c>
      <c r="D2793" s="1" t="n">
        <v>-7.26944706682</v>
      </c>
      <c r="E2793" s="3" t="n">
        <v>3</v>
      </c>
      <c r="F2793" s="2" t="n">
        <v>3</v>
      </c>
      <c r="G2793" s="4" t="n">
        <v>4</v>
      </c>
      <c r="H2793" s="13" t="n"/>
      <c r="I2793" s="15" t="n"/>
      <c r="J2793" s="19" t="n">
        <v>3</v>
      </c>
      <c r="K2793" s="2" t="inlineStr">
        <is>
          <t>marker_552_788823.png</t>
        </is>
      </c>
      <c r="L2793" s="11">
        <f>HYPERLINK("3\1\" &amp; K2793, "Ver Imagen")</f>
        <v/>
      </c>
      <c r="M2793" t="inlineStr">
        <is>
          <t>Moda</t>
        </is>
      </c>
    </row>
    <row r="2794">
      <c r="A2794" t="n">
        <v>2793</v>
      </c>
      <c r="B2794" t="inlineStr">
        <is>
          <t>A-499__76</t>
        </is>
      </c>
      <c r="C2794" s="1" t="n">
        <v>37.4953891894</v>
      </c>
      <c r="D2794" s="1" t="n">
        <v>-7.2686925487</v>
      </c>
      <c r="E2794" s="3" t="n">
        <v>3</v>
      </c>
      <c r="F2794" s="2" t="n">
        <v>3</v>
      </c>
      <c r="G2794" s="4" t="n">
        <v>4</v>
      </c>
      <c r="H2794" s="13" t="n"/>
      <c r="I2794" s="15" t="n"/>
      <c r="J2794" s="19" t="n">
        <v>3</v>
      </c>
      <c r="K2794" s="2" t="inlineStr">
        <is>
          <t>marker_943_789177.png</t>
        </is>
      </c>
      <c r="L2794" s="11">
        <f>HYPERLINK("3\1\" &amp; K2794, "Ver Imagen")</f>
        <v/>
      </c>
      <c r="M2794" t="inlineStr">
        <is>
          <t>Moda</t>
        </is>
      </c>
    </row>
    <row r="2795">
      <c r="A2795" t="n">
        <v>2794</v>
      </c>
      <c r="B2795" t="inlineStr">
        <is>
          <t>A-499__78</t>
        </is>
      </c>
      <c r="C2795" s="1" t="n">
        <v>37.4953052914</v>
      </c>
      <c r="D2795" s="1" t="n">
        <v>-7.2682363706</v>
      </c>
      <c r="E2795" s="3" t="n">
        <v>4</v>
      </c>
      <c r="F2795" s="2" t="n">
        <v>3</v>
      </c>
      <c r="G2795" s="4" t="n">
        <v>3</v>
      </c>
      <c r="H2795" s="13" t="n"/>
      <c r="I2795" s="15" t="n"/>
      <c r="J2795" s="19" t="n">
        <v>3</v>
      </c>
      <c r="K2795" s="2" t="inlineStr">
        <is>
          <t>marker_731_789221.png</t>
        </is>
      </c>
      <c r="L2795" s="11">
        <f>HYPERLINK("3\1\" &amp; K2795, "Ver Imagen")</f>
        <v/>
      </c>
      <c r="M2795" t="inlineStr">
        <is>
          <t>Moda</t>
        </is>
      </c>
    </row>
    <row r="2796">
      <c r="A2796" t="n">
        <v>2795</v>
      </c>
      <c r="B2796" t="inlineStr">
        <is>
          <t>A-499__86</t>
        </is>
      </c>
      <c r="C2796" s="1" t="n">
        <v>37.4960419056</v>
      </c>
      <c r="D2796" s="1" t="n">
        <v>-7.26816938778</v>
      </c>
      <c r="E2796" s="3" t="n">
        <v>3</v>
      </c>
      <c r="F2796" s="2" t="n">
        <v>3</v>
      </c>
      <c r="G2796" s="4" t="n">
        <v>4</v>
      </c>
      <c r="H2796" s="13" t="n"/>
      <c r="I2796" s="15" t="n"/>
      <c r="J2796" s="19" t="n">
        <v>3</v>
      </c>
      <c r="K2796" s="2" t="inlineStr">
        <is>
          <t>marker_748_789874.png</t>
        </is>
      </c>
      <c r="L2796" s="11">
        <f>HYPERLINK("3\1\" &amp; K2796, "Ver Imagen")</f>
        <v/>
      </c>
      <c r="M2796" t="inlineStr">
        <is>
          <t>Moda</t>
        </is>
      </c>
    </row>
    <row r="2797">
      <c r="A2797" t="n">
        <v>2796</v>
      </c>
      <c r="B2797" t="inlineStr">
        <is>
          <t>A-499__93</t>
        </is>
      </c>
      <c r="C2797" s="1" t="n">
        <v>37.4974278496</v>
      </c>
      <c r="D2797" s="1" t="n">
        <v>-7.26798348101</v>
      </c>
      <c r="E2797" s="3" t="n">
        <v>3</v>
      </c>
      <c r="F2797" s="2" t="n">
        <v>3</v>
      </c>
      <c r="G2797" s="4" t="n">
        <v>2</v>
      </c>
      <c r="H2797" s="13" t="n"/>
      <c r="I2797" s="15" t="n"/>
      <c r="J2797" s="19" t="n">
        <v>3</v>
      </c>
      <c r="K2797" s="2" t="inlineStr">
        <is>
          <t>marker_715_793096.png</t>
        </is>
      </c>
      <c r="L2797" s="11">
        <f>HYPERLINK("3\1\" &amp; K2797, "Ver Imagen")</f>
        <v/>
      </c>
      <c r="M2797" t="inlineStr">
        <is>
          <t>Moda</t>
        </is>
      </c>
    </row>
    <row r="2798">
      <c r="A2798" t="n">
        <v>2797</v>
      </c>
      <c r="B2798" t="inlineStr">
        <is>
          <t>A-499__95</t>
        </is>
      </c>
      <c r="C2798" s="1" t="n">
        <v>37.4978242129</v>
      </c>
      <c r="D2798" s="1" t="n">
        <v>-7.26784673867</v>
      </c>
      <c r="E2798" s="3" t="n">
        <v>3</v>
      </c>
      <c r="F2798" s="2" t="n">
        <v>3</v>
      </c>
      <c r="G2798" s="4" t="n">
        <v>2</v>
      </c>
      <c r="H2798" s="13" t="n"/>
      <c r="I2798" s="15" t="n"/>
      <c r="J2798" s="19" t="n">
        <v>3</v>
      </c>
      <c r="K2798" s="2" t="inlineStr">
        <is>
          <t>marker_693_793137.png</t>
        </is>
      </c>
      <c r="L2798" s="11">
        <f>HYPERLINK("3\1\" &amp; K2798, "Ver Imagen")</f>
        <v/>
      </c>
      <c r="M2798" t="inlineStr">
        <is>
          <t>Moda</t>
        </is>
      </c>
    </row>
    <row r="2799">
      <c r="A2799" t="n">
        <v>2798</v>
      </c>
      <c r="B2799" t="inlineStr">
        <is>
          <t>A-497__836</t>
        </is>
      </c>
      <c r="C2799" s="1" t="n">
        <v>37.1989901729</v>
      </c>
      <c r="D2799" s="1" t="n">
        <v>-6.98282649219</v>
      </c>
      <c r="E2799" s="3" t="n">
        <v>3</v>
      </c>
      <c r="F2799" s="2" t="n">
        <v>2</v>
      </c>
      <c r="G2799" s="4" t="n">
        <v>3</v>
      </c>
      <c r="H2799" s="13" t="n"/>
      <c r="I2799" s="15" t="n"/>
      <c r="J2799" s="19" t="n">
        <v>3</v>
      </c>
      <c r="K2799" s="2" t="inlineStr">
        <is>
          <t>marker_529_367586.png</t>
        </is>
      </c>
      <c r="L2799" s="11">
        <f>HYPERLINK("3\1\" &amp; K2799, "Ver Imagen")</f>
        <v/>
      </c>
      <c r="M2799" t="inlineStr">
        <is>
          <t>Moda</t>
        </is>
      </c>
    </row>
    <row r="2800">
      <c r="A2800" t="n">
        <v>2799</v>
      </c>
      <c r="B2800" t="inlineStr">
        <is>
          <t>A-497__832</t>
        </is>
      </c>
      <c r="C2800" s="1" t="n">
        <v>37.1986215984</v>
      </c>
      <c r="D2800" s="1" t="n">
        <v>-6.98189946538</v>
      </c>
      <c r="E2800" s="3" t="n">
        <v>3</v>
      </c>
      <c r="F2800" s="2" t="n">
        <v>2</v>
      </c>
      <c r="G2800" s="4" t="n">
        <v>3</v>
      </c>
      <c r="H2800" s="13" t="n"/>
      <c r="I2800" s="15" t="n"/>
      <c r="J2800" s="19" t="n">
        <v>3</v>
      </c>
      <c r="K2800" s="2" t="inlineStr">
        <is>
          <t>marker_131_367629.png</t>
        </is>
      </c>
      <c r="L2800" s="11">
        <f>HYPERLINK("3\1\" &amp; K2800, "Ver Imagen")</f>
        <v/>
      </c>
      <c r="M2800" t="inlineStr">
        <is>
          <t>Moda</t>
        </is>
      </c>
    </row>
    <row r="2801">
      <c r="A2801" t="n">
        <v>2800</v>
      </c>
      <c r="B2801" t="inlineStr">
        <is>
          <t>A-497__826</t>
        </is>
      </c>
      <c r="C2801" s="1" t="n">
        <v>37.1979519129</v>
      </c>
      <c r="D2801" s="1" t="n">
        <v>-6.98064176673</v>
      </c>
      <c r="E2801" s="3" t="n">
        <v>3</v>
      </c>
      <c r="F2801" s="2" t="n">
        <v>2</v>
      </c>
      <c r="G2801" s="4" t="n">
        <v>3</v>
      </c>
      <c r="H2801" s="13" t="n"/>
      <c r="I2801" s="15" t="n"/>
      <c r="J2801" s="19" t="n">
        <v>3</v>
      </c>
      <c r="K2801" s="2" t="inlineStr">
        <is>
          <t>marker_203_367688.png</t>
        </is>
      </c>
      <c r="L2801" s="11">
        <f>HYPERLINK("3\1\" &amp; K2801, "Ver Imagen")</f>
        <v/>
      </c>
      <c r="M2801" t="inlineStr">
        <is>
          <t>Moda</t>
        </is>
      </c>
    </row>
    <row r="2802">
      <c r="A2802" t="n">
        <v>2801</v>
      </c>
      <c r="B2802" t="inlineStr">
        <is>
          <t>A-497__822</t>
        </is>
      </c>
      <c r="C2802" s="1" t="n">
        <v>37.1974112164</v>
      </c>
      <c r="D2802" s="1" t="n">
        <v>-6.97991101437</v>
      </c>
      <c r="E2802" s="3" t="n">
        <v>3</v>
      </c>
      <c r="F2802" s="2" t="n">
        <v>2</v>
      </c>
      <c r="G2802" s="4" t="n">
        <v>3</v>
      </c>
      <c r="H2802" s="13" t="n"/>
      <c r="I2802" s="15" t="n"/>
      <c r="J2802" s="19" t="n">
        <v>3</v>
      </c>
      <c r="K2802" s="2" t="inlineStr">
        <is>
          <t>marker_342_367734.png</t>
        </is>
      </c>
      <c r="L2802" s="11">
        <f>HYPERLINK("3\1\" &amp; K2802, "Ver Imagen")</f>
        <v/>
      </c>
      <c r="M2802" t="inlineStr">
        <is>
          <t>Moda</t>
        </is>
      </c>
    </row>
    <row r="2803">
      <c r="A2803" t="n">
        <v>2802</v>
      </c>
      <c r="B2803" t="inlineStr">
        <is>
          <t>A-497__818</t>
        </is>
      </c>
      <c r="C2803" s="1" t="n">
        <v>37.1967839061</v>
      </c>
      <c r="D2803" s="1" t="n">
        <v>-6.97924844608</v>
      </c>
      <c r="E2803" s="3" t="n">
        <v>3</v>
      </c>
      <c r="F2803" s="2" t="n">
        <v>2</v>
      </c>
      <c r="G2803" s="4" t="n">
        <v>3</v>
      </c>
      <c r="H2803" s="13" t="n"/>
      <c r="I2803" s="15" t="n"/>
      <c r="J2803" s="19" t="n">
        <v>3</v>
      </c>
      <c r="K2803" s="2" t="inlineStr">
        <is>
          <t>marker_352_367775.png</t>
        </is>
      </c>
      <c r="L2803" s="11">
        <f>HYPERLINK("3\1\" &amp; K2803, "Ver Imagen")</f>
        <v/>
      </c>
      <c r="M2803" t="inlineStr">
        <is>
          <t>Moda</t>
        </is>
      </c>
    </row>
    <row r="2804">
      <c r="A2804" t="n">
        <v>2803</v>
      </c>
      <c r="B2804" t="inlineStr">
        <is>
          <t>A-497__815</t>
        </is>
      </c>
      <c r="C2804" s="1" t="n">
        <v>37.1962983187</v>
      </c>
      <c r="D2804" s="1" t="n">
        <v>-6.97883966722</v>
      </c>
      <c r="E2804" s="3" t="n">
        <v>3</v>
      </c>
      <c r="F2804" s="2" t="n">
        <v>2</v>
      </c>
      <c r="G2804" s="4" t="n">
        <v>3</v>
      </c>
      <c r="H2804" s="13" t="n"/>
      <c r="I2804" s="15" t="n"/>
      <c r="J2804" s="19" t="n">
        <v>3</v>
      </c>
      <c r="K2804" s="2" t="inlineStr">
        <is>
          <t>marker_815_367801.png</t>
        </is>
      </c>
      <c r="L2804" s="11">
        <f>HYPERLINK("3\1\" &amp; K2804, "Ver Imagen")</f>
        <v/>
      </c>
      <c r="M2804" t="inlineStr">
        <is>
          <t>Moda</t>
        </is>
      </c>
    </row>
    <row r="2805">
      <c r="A2805" t="n">
        <v>2804</v>
      </c>
      <c r="B2805" t="inlineStr">
        <is>
          <t>A-497__813</t>
        </is>
      </c>
      <c r="C2805" s="1" t="n">
        <v>37.1959225546</v>
      </c>
      <c r="D2805" s="1" t="n">
        <v>-6.97857452365</v>
      </c>
      <c r="E2805" s="3" t="n">
        <v>3</v>
      </c>
      <c r="F2805" s="2" t="n">
        <v>2</v>
      </c>
      <c r="G2805" s="4" t="n">
        <v>3</v>
      </c>
      <c r="H2805" s="13" t="n"/>
      <c r="I2805" s="15" t="n"/>
      <c r="J2805" s="19" t="n">
        <v>3</v>
      </c>
      <c r="K2805" s="2" t="inlineStr">
        <is>
          <t>marker_204_367818.png</t>
        </is>
      </c>
      <c r="L2805" s="11">
        <f>HYPERLINK("3\1\" &amp; K2805, "Ver Imagen")</f>
        <v/>
      </c>
      <c r="M2805" t="inlineStr">
        <is>
          <t>Moda</t>
        </is>
      </c>
    </row>
    <row r="2806">
      <c r="A2806" t="n">
        <v>2805</v>
      </c>
      <c r="B2806" t="inlineStr">
        <is>
          <t>A-497__811</t>
        </is>
      </c>
      <c r="C2806" s="1" t="n">
        <v>37.1955746571</v>
      </c>
      <c r="D2806" s="1" t="n">
        <v>-6.97835901767</v>
      </c>
      <c r="E2806" s="3" t="n">
        <v>3</v>
      </c>
      <c r="F2806" s="2" t="n">
        <v>2</v>
      </c>
      <c r="G2806" s="4" t="n">
        <v>3</v>
      </c>
      <c r="H2806" s="13" t="n"/>
      <c r="I2806" s="15" t="n"/>
      <c r="J2806" s="19" t="n">
        <v>3</v>
      </c>
      <c r="K2806" s="2" t="inlineStr">
        <is>
          <t>marker_194_367839.png</t>
        </is>
      </c>
      <c r="L2806" s="11">
        <f>HYPERLINK("3\1\" &amp; K2806, "Ver Imagen")</f>
        <v/>
      </c>
      <c r="M2806" t="inlineStr">
        <is>
          <t>Moda</t>
        </is>
      </c>
    </row>
    <row r="2807">
      <c r="A2807" t="n">
        <v>2806</v>
      </c>
      <c r="B2807" t="inlineStr">
        <is>
          <t>A-497__788</t>
        </is>
      </c>
      <c r="C2807" s="1" t="n">
        <v>37.1910143964</v>
      </c>
      <c r="D2807" s="1" t="n">
        <v>-6.9778787972</v>
      </c>
      <c r="E2807" s="3" t="n">
        <v>3</v>
      </c>
      <c r="F2807" s="2" t="n">
        <v>2</v>
      </c>
      <c r="G2807" s="4" t="n">
        <v>3</v>
      </c>
      <c r="H2807" s="13" t="n"/>
      <c r="I2807" s="15" t="n"/>
      <c r="J2807" s="19" t="n">
        <v>3</v>
      </c>
      <c r="K2807" s="2" t="inlineStr">
        <is>
          <t>marker_478_368083.png</t>
        </is>
      </c>
      <c r="L2807" s="11">
        <f>HYPERLINK("3\1\" &amp; K2807, "Ver Imagen")</f>
        <v/>
      </c>
      <c r="M2807" t="inlineStr">
        <is>
          <t>Moda</t>
        </is>
      </c>
    </row>
    <row r="2808">
      <c r="A2808" t="n">
        <v>2807</v>
      </c>
      <c r="B2808" t="inlineStr">
        <is>
          <t>A-497__778</t>
        </is>
      </c>
      <c r="C2808" s="1" t="n">
        <v>37.1890457602</v>
      </c>
      <c r="D2808" s="1" t="n">
        <v>-6.97841067597</v>
      </c>
      <c r="E2808" s="3" t="n">
        <v>3</v>
      </c>
      <c r="F2808" s="2" t="n">
        <v>2</v>
      </c>
      <c r="G2808" s="4" t="n">
        <v>3</v>
      </c>
      <c r="H2808" s="13" t="n"/>
      <c r="I2808" s="15" t="n"/>
      <c r="J2808" s="19" t="n">
        <v>3</v>
      </c>
      <c r="K2808" s="2" t="inlineStr">
        <is>
          <t>marker_150_368185.png</t>
        </is>
      </c>
      <c r="L2808" s="11">
        <f>HYPERLINK("3\1\" &amp; K2808, "Ver Imagen")</f>
        <v/>
      </c>
      <c r="M2808" t="inlineStr">
        <is>
          <t>Moda</t>
        </is>
      </c>
    </row>
    <row r="2809">
      <c r="A2809" t="n">
        <v>2808</v>
      </c>
      <c r="B2809" t="inlineStr">
        <is>
          <t>A-497__777</t>
        </is>
      </c>
      <c r="C2809" s="1" t="n">
        <v>37.1888333487</v>
      </c>
      <c r="D2809" s="1" t="n">
        <v>-6.97847188933</v>
      </c>
      <c r="E2809" s="3" t="n">
        <v>3</v>
      </c>
      <c r="F2809" s="2" t="n">
        <v>2</v>
      </c>
      <c r="G2809" s="4" t="n">
        <v>3</v>
      </c>
      <c r="H2809" s="13" t="n"/>
      <c r="I2809" s="15" t="n"/>
      <c r="J2809" s="19" t="n">
        <v>3</v>
      </c>
      <c r="K2809" s="2" t="inlineStr">
        <is>
          <t>marker_158_368199.png</t>
        </is>
      </c>
      <c r="L2809" s="11">
        <f>HYPERLINK("3\1\" &amp; K2809, "Ver Imagen")</f>
        <v/>
      </c>
      <c r="M2809" t="inlineStr">
        <is>
          <t>Moda</t>
        </is>
      </c>
    </row>
    <row r="2810">
      <c r="A2810" t="n">
        <v>2809</v>
      </c>
      <c r="B2810" t="inlineStr">
        <is>
          <t>A-499__112</t>
        </is>
      </c>
      <c r="C2810" s="1" t="n">
        <v>37.5011489515</v>
      </c>
      <c r="D2810" s="1" t="n">
        <v>-7.26670862702</v>
      </c>
      <c r="E2810" s="3" t="n">
        <v>3</v>
      </c>
      <c r="F2810" s="2" t="n">
        <v>2</v>
      </c>
      <c r="G2810" s="4" t="n">
        <v>3</v>
      </c>
      <c r="H2810" s="13" t="n"/>
      <c r="I2810" s="15" t="n"/>
      <c r="J2810" s="19" t="n">
        <v>3</v>
      </c>
      <c r="K2810" s="2" t="inlineStr">
        <is>
          <t>marker_462_793433.png</t>
        </is>
      </c>
      <c r="L2810" s="11">
        <f>HYPERLINK("3\1\" &amp; K2810, "Ver Imagen")</f>
        <v/>
      </c>
      <c r="M2810" t="inlineStr">
        <is>
          <t>Moda</t>
        </is>
      </c>
    </row>
    <row r="2811">
      <c r="A2811" t="n">
        <v>2810</v>
      </c>
      <c r="B2811" t="inlineStr">
        <is>
          <t>A-499__115</t>
        </is>
      </c>
      <c r="C2811" s="1" t="n">
        <v>37.5016993322</v>
      </c>
      <c r="D2811" s="1" t="n">
        <v>-7.26652130264</v>
      </c>
      <c r="E2811" s="3" t="n">
        <v>3</v>
      </c>
      <c r="F2811" s="2" t="n">
        <v>2</v>
      </c>
      <c r="G2811" s="4" t="n">
        <v>3</v>
      </c>
      <c r="H2811" s="13" t="n"/>
      <c r="I2811" s="15" t="n"/>
      <c r="J2811" s="19" t="n">
        <v>3</v>
      </c>
      <c r="K2811" s="2" t="inlineStr">
        <is>
          <t>marker_304_793498.png</t>
        </is>
      </c>
      <c r="L2811" s="11">
        <f>HYPERLINK("3\1\" &amp; K2811, "Ver Imagen")</f>
        <v/>
      </c>
      <c r="M2811" t="inlineStr">
        <is>
          <t>Moda</t>
        </is>
      </c>
    </row>
    <row r="2812">
      <c r="A2812" t="n">
        <v>2811</v>
      </c>
      <c r="B2812" t="inlineStr">
        <is>
          <t>A-499__119</t>
        </is>
      </c>
      <c r="C2812" s="1" t="n">
        <v>37.5025050835</v>
      </c>
      <c r="D2812" s="1" t="n">
        <v>-7.26624342189</v>
      </c>
      <c r="E2812" s="3" t="n">
        <v>2</v>
      </c>
      <c r="F2812" s="2" t="n">
        <v>3</v>
      </c>
      <c r="G2812" s="4" t="n">
        <v>3</v>
      </c>
      <c r="H2812" s="13" t="n"/>
      <c r="I2812" s="15" t="n"/>
      <c r="J2812" s="19" t="n">
        <v>3</v>
      </c>
      <c r="K2812" s="2" t="inlineStr">
        <is>
          <t>marker_711_793576.png</t>
        </is>
      </c>
      <c r="L2812" s="11">
        <f>HYPERLINK("3\1\" &amp; K2812, "Ver Imagen")</f>
        <v/>
      </c>
      <c r="M2812" t="inlineStr">
        <is>
          <t>Moda</t>
        </is>
      </c>
    </row>
    <row r="2813">
      <c r="A2813" t="n">
        <v>2812</v>
      </c>
      <c r="B2813" t="inlineStr">
        <is>
          <t>A-499__121</t>
        </is>
      </c>
      <c r="C2813" s="1" t="n">
        <v>37.5028913794</v>
      </c>
      <c r="D2813" s="1" t="n">
        <v>-7.26611482256</v>
      </c>
      <c r="E2813" s="3" t="n">
        <v>2</v>
      </c>
      <c r="F2813" s="2" t="n">
        <v>3</v>
      </c>
      <c r="G2813" s="4" t="n">
        <v>3</v>
      </c>
      <c r="H2813" s="13" t="n"/>
      <c r="I2813" s="15" t="n"/>
      <c r="J2813" s="19" t="n">
        <v>3</v>
      </c>
      <c r="K2813" s="2" t="inlineStr">
        <is>
          <t>marker_187_793629.png</t>
        </is>
      </c>
      <c r="L2813" s="11">
        <f>HYPERLINK("3\1\" &amp; K2813, "Ver Imagen")</f>
        <v/>
      </c>
      <c r="M2813" t="inlineStr">
        <is>
          <t>Moda</t>
        </is>
      </c>
    </row>
    <row r="2814">
      <c r="A2814" t="n">
        <v>2813</v>
      </c>
      <c r="B2814" t="inlineStr">
        <is>
          <t>A-499__186</t>
        </is>
      </c>
      <c r="C2814" s="1" t="n">
        <v>37.5152806519</v>
      </c>
      <c r="D2814" s="1" t="n">
        <v>-7.26853386133</v>
      </c>
      <c r="E2814" s="3" t="n">
        <v>3</v>
      </c>
      <c r="F2814" s="2" t="n">
        <v>2</v>
      </c>
      <c r="G2814" s="4" t="n">
        <v>3</v>
      </c>
      <c r="H2814" s="13" t="n"/>
      <c r="I2814" s="15" t="n"/>
      <c r="J2814" s="19" t="n">
        <v>3</v>
      </c>
      <c r="K2814" s="2" t="inlineStr">
        <is>
          <t>marker_322_795747.png</t>
        </is>
      </c>
      <c r="L2814" s="11">
        <f>HYPERLINK("3\1\" &amp; K2814, "Ver Imagen")</f>
        <v/>
      </c>
      <c r="M2814" t="inlineStr">
        <is>
          <t>Moda</t>
        </is>
      </c>
    </row>
    <row r="2815">
      <c r="A2815" t="n">
        <v>2814</v>
      </c>
      <c r="B2815" t="inlineStr">
        <is>
          <t>A-497_2C__33</t>
        </is>
      </c>
      <c r="C2815" s="1" t="n">
        <v>37.2676785531</v>
      </c>
      <c r="D2815" s="1" t="n">
        <v>-6.9653189</v>
      </c>
      <c r="E2815" s="3" t="n">
        <v>3</v>
      </c>
      <c r="F2815" s="2" t="n">
        <v>2</v>
      </c>
      <c r="G2815" s="4" t="n">
        <v>3</v>
      </c>
      <c r="H2815" s="13" t="n"/>
      <c r="I2815" s="15" t="n"/>
      <c r="J2815" s="19" t="n">
        <v>3</v>
      </c>
      <c r="K2815" s="2" t="inlineStr">
        <is>
          <t>marker_563_654516.png</t>
        </is>
      </c>
      <c r="L2815" s="11">
        <f>HYPERLINK("3\1\" &amp; K2815, "Ver Imagen")</f>
        <v/>
      </c>
      <c r="M2815" t="inlineStr">
        <is>
          <t>Moda</t>
        </is>
      </c>
    </row>
    <row r="2816">
      <c r="A2816" t="n">
        <v>2815</v>
      </c>
      <c r="B2816" t="inlineStr">
        <is>
          <t>A-499__241</t>
        </is>
      </c>
      <c r="C2816" s="1" t="n">
        <v>37.5230874296</v>
      </c>
      <c r="D2816" s="1" t="n">
        <v>-7.25912637975</v>
      </c>
      <c r="E2816" s="3" t="n">
        <v>3</v>
      </c>
      <c r="F2816" s="2" t="n">
        <v>2</v>
      </c>
      <c r="G2816" s="4" t="n">
        <v>3</v>
      </c>
      <c r="H2816" s="13" t="n"/>
      <c r="I2816" s="15" t="n"/>
      <c r="J2816" s="19" t="n">
        <v>3</v>
      </c>
      <c r="K2816" s="2" t="inlineStr">
        <is>
          <t>marker_597_796884.png</t>
        </is>
      </c>
      <c r="L2816" s="11">
        <f>HYPERLINK("3\1\" &amp; K2816, "Ver Imagen")</f>
        <v/>
      </c>
      <c r="M2816" t="inlineStr">
        <is>
          <t>Moda</t>
        </is>
      </c>
    </row>
    <row r="2817">
      <c r="A2817" t="n">
        <v>2816</v>
      </c>
      <c r="B2817" t="inlineStr">
        <is>
          <t>A-497_2C__44</t>
        </is>
      </c>
      <c r="C2817" s="1" t="n">
        <v>37.2678358312</v>
      </c>
      <c r="D2817" s="1" t="n">
        <v>-6.96812571388</v>
      </c>
      <c r="E2817" s="3" t="n">
        <v>3</v>
      </c>
      <c r="F2817" s="2" t="n">
        <v>2</v>
      </c>
      <c r="G2817" s="4" t="n">
        <v>3</v>
      </c>
      <c r="H2817" s="13" t="n"/>
      <c r="I2817" s="15" t="n"/>
      <c r="J2817" s="19" t="n">
        <v>3</v>
      </c>
      <c r="K2817" s="2" t="inlineStr">
        <is>
          <t>marker_778_654683.png</t>
        </is>
      </c>
      <c r="L2817" s="11">
        <f>HYPERLINK("3\1\" &amp; K2817, "Ver Imagen")</f>
        <v/>
      </c>
      <c r="M2817" t="inlineStr">
        <is>
          <t>Moda</t>
        </is>
      </c>
    </row>
    <row r="2818">
      <c r="A2818" t="n">
        <v>2817</v>
      </c>
      <c r="B2818" t="inlineStr">
        <is>
          <t>A-497_2C__45</t>
        </is>
      </c>
      <c r="C2818" s="1" t="n">
        <v>37.2678597323</v>
      </c>
      <c r="D2818" s="1" t="n">
        <v>-6.96838096902</v>
      </c>
      <c r="E2818" s="3" t="n">
        <v>3</v>
      </c>
      <c r="F2818" s="2" t="n">
        <v>2</v>
      </c>
      <c r="G2818" s="4" t="n">
        <v>3</v>
      </c>
      <c r="H2818" s="13" t="n"/>
      <c r="I2818" s="15" t="n"/>
      <c r="J2818" s="19" t="n">
        <v>3</v>
      </c>
      <c r="K2818" s="2" t="inlineStr">
        <is>
          <t>marker_738_654691.png</t>
        </is>
      </c>
      <c r="L2818" s="11">
        <f>HYPERLINK("3\1\" &amp; K2818, "Ver Imagen")</f>
        <v/>
      </c>
      <c r="M2818" t="inlineStr">
        <is>
          <t>Moda</t>
        </is>
      </c>
    </row>
    <row r="2819">
      <c r="A2819" t="n">
        <v>2818</v>
      </c>
      <c r="B2819" t="inlineStr">
        <is>
          <t>A-497_2C__47</t>
        </is>
      </c>
      <c r="C2819" s="1" t="n">
        <v>37.2679053069</v>
      </c>
      <c r="D2819" s="1" t="n">
        <v>-6.96887161925</v>
      </c>
      <c r="E2819" s="3" t="n">
        <v>3</v>
      </c>
      <c r="F2819" s="2" t="n">
        <v>2</v>
      </c>
      <c r="G2819" s="4" t="n">
        <v>3</v>
      </c>
      <c r="H2819" s="13" t="n"/>
      <c r="I2819" s="15" t="n"/>
      <c r="J2819" s="19" t="n">
        <v>3</v>
      </c>
      <c r="K2819" s="2" t="inlineStr">
        <is>
          <t>marker_694_654707.png</t>
        </is>
      </c>
      <c r="L2819" s="11">
        <f>HYPERLINK("3\1\" &amp; K2819, "Ver Imagen")</f>
        <v/>
      </c>
      <c r="M2819" t="inlineStr">
        <is>
          <t>Moda</t>
        </is>
      </c>
    </row>
    <row r="2820">
      <c r="A2820" t="n">
        <v>2819</v>
      </c>
      <c r="B2820" t="inlineStr">
        <is>
          <t>A-497_2C__52</t>
        </is>
      </c>
      <c r="C2820" s="1" t="n">
        <v>37.2680429826</v>
      </c>
      <c r="D2820" s="1" t="n">
        <v>-6.97013913048</v>
      </c>
      <c r="E2820" s="3" t="n">
        <v>3</v>
      </c>
      <c r="F2820" s="2" t="n">
        <v>2</v>
      </c>
      <c r="G2820" s="4" t="n">
        <v>3</v>
      </c>
      <c r="H2820" s="13" t="n"/>
      <c r="I2820" s="15" t="n"/>
      <c r="J2820" s="19" t="n">
        <v>3</v>
      </c>
      <c r="K2820" s="2" t="inlineStr">
        <is>
          <t>marker_137_654774.png</t>
        </is>
      </c>
      <c r="L2820" s="11">
        <f>HYPERLINK("3\1\" &amp; K2820, "Ver Imagen")</f>
        <v/>
      </c>
      <c r="M2820" t="inlineStr">
        <is>
          <t>Moda</t>
        </is>
      </c>
    </row>
    <row r="2821">
      <c r="A2821" t="n">
        <v>2820</v>
      </c>
      <c r="B2821" t="inlineStr">
        <is>
          <t>A-497_2C__55</t>
        </is>
      </c>
      <c r="C2821" s="1" t="n">
        <v>37.2681376022</v>
      </c>
      <c r="D2821" s="1" t="n">
        <v>-6.97087618772</v>
      </c>
      <c r="E2821" s="3" t="n">
        <v>3</v>
      </c>
      <c r="F2821" s="2" t="n">
        <v>2</v>
      </c>
      <c r="G2821" s="4" t="n">
        <v>3</v>
      </c>
      <c r="H2821" s="13" t="n"/>
      <c r="I2821" s="15" t="n"/>
      <c r="J2821" s="19" t="n">
        <v>3</v>
      </c>
      <c r="K2821" s="2" t="inlineStr">
        <is>
          <t>marker_591_654804.png</t>
        </is>
      </c>
      <c r="L2821" s="11">
        <f>HYPERLINK("3\1\" &amp; K2821, "Ver Imagen")</f>
        <v/>
      </c>
      <c r="M2821" t="inlineStr">
        <is>
          <t>Moda</t>
        </is>
      </c>
    </row>
    <row r="2822">
      <c r="A2822" t="n">
        <v>2821</v>
      </c>
      <c r="B2822" t="inlineStr">
        <is>
          <t>A-497_2C__56</t>
        </is>
      </c>
      <c r="C2822" s="1" t="n">
        <v>37.2681744338</v>
      </c>
      <c r="D2822" s="1" t="n">
        <v>-6.97113955796</v>
      </c>
      <c r="E2822" s="3" t="n">
        <v>3</v>
      </c>
      <c r="F2822" s="2" t="n">
        <v>2</v>
      </c>
      <c r="G2822" s="4" t="n">
        <v>3</v>
      </c>
      <c r="H2822" s="13" t="n"/>
      <c r="I2822" s="15" t="n"/>
      <c r="J2822" s="19" t="n">
        <v>3</v>
      </c>
      <c r="K2822" s="2" t="inlineStr">
        <is>
          <t>marker_260_654813.png</t>
        </is>
      </c>
      <c r="L2822" s="11">
        <f>HYPERLINK("3\1\" &amp; K2822, "Ver Imagen")</f>
        <v/>
      </c>
      <c r="M2822" t="inlineStr">
        <is>
          <t>Moda</t>
        </is>
      </c>
    </row>
    <row r="2823">
      <c r="A2823" t="n">
        <v>2822</v>
      </c>
      <c r="B2823" t="inlineStr">
        <is>
          <t>A-497_2C__58</t>
        </is>
      </c>
      <c r="C2823" s="1" t="n">
        <v>37.2682497336</v>
      </c>
      <c r="D2823" s="1" t="n">
        <v>-6.97164412563</v>
      </c>
      <c r="E2823" s="3" t="n">
        <v>3</v>
      </c>
      <c r="F2823" s="2" t="n">
        <v>2</v>
      </c>
      <c r="G2823" s="4" t="n">
        <v>3</v>
      </c>
      <c r="H2823" s="13" t="n"/>
      <c r="I2823" s="15" t="n"/>
      <c r="J2823" s="19" t="n">
        <v>3</v>
      </c>
      <c r="K2823" s="2" t="inlineStr">
        <is>
          <t>marker_350_654855.png</t>
        </is>
      </c>
      <c r="L2823" s="11">
        <f>HYPERLINK("3\1\" &amp; K2823, "Ver Imagen")</f>
        <v/>
      </c>
      <c r="M2823" t="inlineStr">
        <is>
          <t>Moda</t>
        </is>
      </c>
    </row>
    <row r="2824">
      <c r="A2824" t="n">
        <v>2823</v>
      </c>
      <c r="B2824" t="inlineStr">
        <is>
          <t>A-497_2C__60</t>
        </is>
      </c>
      <c r="C2824" s="1" t="n">
        <v>37.2683320963</v>
      </c>
      <c r="D2824" s="1" t="n">
        <v>-6.97214706531</v>
      </c>
      <c r="E2824" s="3" t="n">
        <v>3</v>
      </c>
      <c r="F2824" s="2" t="n">
        <v>2</v>
      </c>
      <c r="G2824" s="4" t="n">
        <v>3</v>
      </c>
      <c r="H2824" s="13" t="n"/>
      <c r="I2824" s="15" t="n"/>
      <c r="J2824" s="19" t="n">
        <v>3</v>
      </c>
      <c r="K2824" s="2" t="inlineStr">
        <is>
          <t>marker_476_654875.png</t>
        </is>
      </c>
      <c r="L2824" s="11">
        <f>HYPERLINK("3\1\" &amp; K2824, "Ver Imagen")</f>
        <v/>
      </c>
      <c r="M2824" t="inlineStr">
        <is>
          <t>Moda</t>
        </is>
      </c>
    </row>
    <row r="2825">
      <c r="A2825" t="n">
        <v>2824</v>
      </c>
      <c r="B2825" t="inlineStr">
        <is>
          <t>A-497_2C__66</t>
        </is>
      </c>
      <c r="C2825" s="1" t="n">
        <v>37.2686058408</v>
      </c>
      <c r="D2825" s="1" t="n">
        <v>-6.97361999545</v>
      </c>
      <c r="E2825" s="3" t="n">
        <v>3</v>
      </c>
      <c r="F2825" s="2" t="n">
        <v>2</v>
      </c>
      <c r="G2825" s="4" t="n">
        <v>3</v>
      </c>
      <c r="H2825" s="13" t="n"/>
      <c r="I2825" s="15" t="n"/>
      <c r="J2825" s="19" t="n">
        <v>3</v>
      </c>
      <c r="K2825" s="2" t="inlineStr">
        <is>
          <t>marker_623_654929.png</t>
        </is>
      </c>
      <c r="L2825" s="11">
        <f>HYPERLINK("3\1\" &amp; K2825, "Ver Imagen")</f>
        <v/>
      </c>
      <c r="M2825" t="inlineStr">
        <is>
          <t>Moda</t>
        </is>
      </c>
    </row>
    <row r="2826">
      <c r="A2826" t="n">
        <v>2825</v>
      </c>
      <c r="B2826" t="inlineStr">
        <is>
          <t>A-497_2C__67</t>
        </is>
      </c>
      <c r="C2826" s="1" t="n">
        <v>37.2686572473</v>
      </c>
      <c r="D2826" s="1" t="n">
        <v>-6.97387554299</v>
      </c>
      <c r="E2826" s="3" t="n">
        <v>3</v>
      </c>
      <c r="F2826" s="2" t="n">
        <v>2</v>
      </c>
      <c r="G2826" s="4" t="n">
        <v>3</v>
      </c>
      <c r="H2826" s="13" t="n"/>
      <c r="I2826" s="15" t="n"/>
      <c r="J2826" s="19" t="n">
        <v>3</v>
      </c>
      <c r="K2826" s="2" t="inlineStr">
        <is>
          <t>marker_612_654937.png</t>
        </is>
      </c>
      <c r="L2826" s="11">
        <f>HYPERLINK("3\1\" &amp; K2826, "Ver Imagen")</f>
        <v/>
      </c>
      <c r="M2826" t="inlineStr">
        <is>
          <t>Moda</t>
        </is>
      </c>
    </row>
    <row r="2827">
      <c r="A2827" t="n">
        <v>2826</v>
      </c>
      <c r="B2827" t="inlineStr">
        <is>
          <t>A-497_2C__71</t>
        </is>
      </c>
      <c r="C2827" s="1" t="n">
        <v>37.26886315</v>
      </c>
      <c r="D2827" s="1" t="n">
        <v>-6.97482699727</v>
      </c>
      <c r="E2827" s="3" t="n">
        <v>3</v>
      </c>
      <c r="F2827" s="2" t="n">
        <v>2</v>
      </c>
      <c r="G2827" s="4" t="n">
        <v>3</v>
      </c>
      <c r="H2827" s="13" t="n"/>
      <c r="I2827" s="15" t="n"/>
      <c r="J2827" s="19" t="n">
        <v>3</v>
      </c>
      <c r="K2827" s="2" t="inlineStr">
        <is>
          <t>marker_564_655048.png</t>
        </is>
      </c>
      <c r="L2827" s="11">
        <f>HYPERLINK("3\1\" &amp; K2827, "Ver Imagen")</f>
        <v/>
      </c>
      <c r="M2827" t="inlineStr">
        <is>
          <t>Moda</t>
        </is>
      </c>
    </row>
    <row r="2828">
      <c r="A2828" t="n">
        <v>2827</v>
      </c>
      <c r="B2828" t="inlineStr">
        <is>
          <t>A-497_2C__73</t>
        </is>
      </c>
      <c r="C2828" s="1" t="n">
        <v>37.268976843</v>
      </c>
      <c r="D2828" s="1" t="n">
        <v>-6.97531898627</v>
      </c>
      <c r="E2828" s="3" t="n">
        <v>3</v>
      </c>
      <c r="F2828" s="2" t="n">
        <v>2</v>
      </c>
      <c r="G2828" s="4" t="n">
        <v>3</v>
      </c>
      <c r="H2828" s="13" t="n"/>
      <c r="I2828" s="15" t="n"/>
      <c r="J2828" s="19" t="n">
        <v>3</v>
      </c>
      <c r="K2828" s="2" t="inlineStr">
        <is>
          <t>marker_680_655064.png</t>
        </is>
      </c>
      <c r="L2828" s="11">
        <f>HYPERLINK("3\1\" &amp; K2828, "Ver Imagen")</f>
        <v/>
      </c>
      <c r="M2828" t="inlineStr">
        <is>
          <t>Moda</t>
        </is>
      </c>
    </row>
    <row r="2829">
      <c r="A2829" t="n">
        <v>2828</v>
      </c>
      <c r="B2829" t="inlineStr">
        <is>
          <t>A-497_2C__79</t>
        </is>
      </c>
      <c r="C2829" s="1" t="n">
        <v>37.2693508642</v>
      </c>
      <c r="D2829" s="1" t="n">
        <v>-6.976762233</v>
      </c>
      <c r="E2829" s="3" t="n">
        <v>4</v>
      </c>
      <c r="F2829" s="2" t="n">
        <v>3</v>
      </c>
      <c r="G2829" s="4" t="n">
        <v>3</v>
      </c>
      <c r="H2829" s="13" t="n"/>
      <c r="I2829" s="15" t="n"/>
      <c r="J2829" s="19" t="n">
        <v>3</v>
      </c>
      <c r="K2829" s="2" t="inlineStr">
        <is>
          <t>marker_206_655117.png</t>
        </is>
      </c>
      <c r="L2829" s="11">
        <f>HYPERLINK("3\1\" &amp; K2829, "Ver Imagen")</f>
        <v/>
      </c>
      <c r="M2829" t="inlineStr">
        <is>
          <t>Moda</t>
        </is>
      </c>
    </row>
    <row r="2830">
      <c r="A2830" t="n">
        <v>2829</v>
      </c>
      <c r="B2830" t="inlineStr">
        <is>
          <t>A-497_2C__84</t>
        </is>
      </c>
      <c r="C2830" s="1" t="n">
        <v>37.2696839356</v>
      </c>
      <c r="D2830" s="1" t="n">
        <v>-6.97793400459</v>
      </c>
      <c r="E2830" s="3" t="n">
        <v>3</v>
      </c>
      <c r="F2830" s="2" t="n">
        <v>2</v>
      </c>
      <c r="G2830" s="4" t="n">
        <v>3</v>
      </c>
      <c r="H2830" s="13" t="n"/>
      <c r="I2830" s="15" t="n"/>
      <c r="J2830" s="19" t="n">
        <v>3</v>
      </c>
      <c r="K2830" s="2" t="inlineStr">
        <is>
          <t>marker_734_655201.png</t>
        </is>
      </c>
      <c r="L2830" s="11">
        <f>HYPERLINK("3\1\" &amp; K2830, "Ver Imagen")</f>
        <v/>
      </c>
      <c r="M2830" t="inlineStr">
        <is>
          <t>Moda</t>
        </is>
      </c>
    </row>
    <row r="2831">
      <c r="A2831" t="n">
        <v>2830</v>
      </c>
      <c r="B2831" t="inlineStr">
        <is>
          <t>A-497_2C__88</t>
        </is>
      </c>
      <c r="C2831" s="1" t="n">
        <v>37.2699591317</v>
      </c>
      <c r="D2831" s="1" t="n">
        <v>-6.97890079704</v>
      </c>
      <c r="E2831" s="3" t="n">
        <v>3</v>
      </c>
      <c r="F2831" s="2" t="n">
        <v>4</v>
      </c>
      <c r="G2831" s="4" t="n">
        <v>3</v>
      </c>
      <c r="H2831" s="13" t="n"/>
      <c r="I2831" s="15" t="n"/>
      <c r="J2831" s="19" t="n">
        <v>3</v>
      </c>
      <c r="K2831" s="2" t="inlineStr">
        <is>
          <t>marker_996_655262.png</t>
        </is>
      </c>
      <c r="L2831" s="11">
        <f>HYPERLINK("3\1\" &amp; K2831, "Ver Imagen")</f>
        <v/>
      </c>
      <c r="M2831" t="inlineStr">
        <is>
          <t>Moda</t>
        </is>
      </c>
    </row>
    <row r="2832">
      <c r="A2832" t="n">
        <v>2831</v>
      </c>
      <c r="B2832" t="inlineStr">
        <is>
          <t>A-497_2C__99</t>
        </is>
      </c>
      <c r="C2832" s="1" t="n">
        <v>37.2707189969</v>
      </c>
      <c r="D2832" s="1" t="n">
        <v>-6.98154575676</v>
      </c>
      <c r="E2832" s="3" t="n">
        <v>3</v>
      </c>
      <c r="F2832" s="2" t="n">
        <v>2</v>
      </c>
      <c r="G2832" s="4" t="n">
        <v>3</v>
      </c>
      <c r="H2832" s="13" t="n"/>
      <c r="I2832" s="15" t="n"/>
      <c r="J2832" s="19" t="n">
        <v>3</v>
      </c>
      <c r="K2832" s="2" t="inlineStr">
        <is>
          <t>marker_736_655433.png</t>
        </is>
      </c>
      <c r="L2832" s="11">
        <f>HYPERLINK("3\1\" &amp; K2832, "Ver Imagen")</f>
        <v/>
      </c>
      <c r="M2832" t="inlineStr">
        <is>
          <t>Moda</t>
        </is>
      </c>
    </row>
    <row r="2833">
      <c r="A2833" t="n">
        <v>2832</v>
      </c>
      <c r="B2833" t="inlineStr">
        <is>
          <t>A-497_2C__101</t>
        </is>
      </c>
      <c r="C2833" s="1" t="n">
        <v>37.2708505312</v>
      </c>
      <c r="D2833" s="1" t="n">
        <v>-6.98199923994</v>
      </c>
      <c r="E2833" s="3" t="n">
        <v>3</v>
      </c>
      <c r="F2833" s="2" t="n">
        <v>2</v>
      </c>
      <c r="G2833" s="4" t="n">
        <v>3</v>
      </c>
      <c r="H2833" s="13" t="n"/>
      <c r="I2833" s="15" t="n"/>
      <c r="J2833" s="19" t="n">
        <v>3</v>
      </c>
      <c r="K2833" s="2" t="inlineStr">
        <is>
          <t>marker_717_655450.png</t>
        </is>
      </c>
      <c r="L2833" s="11">
        <f>HYPERLINK("3\1\" &amp; K2833, "Ver Imagen")</f>
        <v/>
      </c>
      <c r="M2833" t="inlineStr">
        <is>
          <t>Moda</t>
        </is>
      </c>
    </row>
    <row r="2834">
      <c r="A2834" t="n">
        <v>2833</v>
      </c>
      <c r="B2834" t="inlineStr">
        <is>
          <t>A-497_2C__112</t>
        </is>
      </c>
      <c r="C2834" s="1" t="n">
        <v>37.2715935646</v>
      </c>
      <c r="D2834" s="1" t="n">
        <v>-6.98462235567</v>
      </c>
      <c r="E2834" s="3" t="n">
        <v>3</v>
      </c>
      <c r="F2834" s="2" t="n">
        <v>2</v>
      </c>
      <c r="G2834" s="4" t="n">
        <v>3</v>
      </c>
      <c r="H2834" s="13" t="n"/>
      <c r="I2834" s="15" t="n"/>
      <c r="J2834" s="19" t="n">
        <v>3</v>
      </c>
      <c r="K2834" s="2" t="inlineStr">
        <is>
          <t>marker_256_655556.png</t>
        </is>
      </c>
      <c r="L2834" s="11">
        <f>HYPERLINK("3\1\" &amp; K2834, "Ver Imagen")</f>
        <v/>
      </c>
      <c r="M2834" t="inlineStr">
        <is>
          <t>Moda</t>
        </is>
      </c>
    </row>
    <row r="2835">
      <c r="A2835" t="n">
        <v>2834</v>
      </c>
      <c r="B2835" t="inlineStr">
        <is>
          <t>A-497_2C__113</t>
        </is>
      </c>
      <c r="C2835" s="1" t="n">
        <v>37.2716653454</v>
      </c>
      <c r="D2835" s="1" t="n">
        <v>-6.98492048824</v>
      </c>
      <c r="E2835" s="3" t="n">
        <v>3</v>
      </c>
      <c r="F2835" s="2" t="n">
        <v>2</v>
      </c>
      <c r="G2835" s="4" t="n">
        <v>3</v>
      </c>
      <c r="H2835" s="13" t="n"/>
      <c r="I2835" s="15" t="n"/>
      <c r="J2835" s="19" t="n">
        <v>3</v>
      </c>
      <c r="K2835" s="2" t="inlineStr">
        <is>
          <t>marker_192_655617.png</t>
        </is>
      </c>
      <c r="L2835" s="11">
        <f>HYPERLINK("3\1\" &amp; K2835, "Ver Imagen")</f>
        <v/>
      </c>
      <c r="M2835" t="inlineStr">
        <is>
          <t>Moda</t>
        </is>
      </c>
    </row>
    <row r="2836">
      <c r="A2836" t="n">
        <v>2835</v>
      </c>
      <c r="B2836" t="inlineStr">
        <is>
          <t>A-497_2C__143</t>
        </is>
      </c>
      <c r="C2836" s="1" t="n">
        <v>37.2687036069</v>
      </c>
      <c r="D2836" s="1" t="n">
        <v>-6.99055964232</v>
      </c>
      <c r="E2836" s="3" t="n">
        <v>3</v>
      </c>
      <c r="F2836" s="2" t="n">
        <v>2</v>
      </c>
      <c r="G2836" s="4" t="n">
        <v>3</v>
      </c>
      <c r="H2836" s="13" t="n"/>
      <c r="I2836" s="15" t="n"/>
      <c r="J2836" s="19" t="n">
        <v>3</v>
      </c>
      <c r="K2836" s="2" t="inlineStr">
        <is>
          <t>marker_688_655897.png</t>
        </is>
      </c>
      <c r="L2836" s="11">
        <f>HYPERLINK("3\1\" &amp; K2836, "Ver Imagen")</f>
        <v/>
      </c>
      <c r="M2836" t="inlineStr">
        <is>
          <t>Moda</t>
        </is>
      </c>
    </row>
    <row r="2837">
      <c r="A2837" t="n">
        <v>2836</v>
      </c>
      <c r="B2837" t="inlineStr">
        <is>
          <t>A-497__745</t>
        </is>
      </c>
      <c r="C2837" s="1" t="n">
        <v>37.1879602102</v>
      </c>
      <c r="D2837" s="1" t="n">
        <v>-6.97828082278</v>
      </c>
      <c r="E2837" s="3" t="n">
        <v>3</v>
      </c>
      <c r="F2837" s="2" t="n">
        <v>2</v>
      </c>
      <c r="G2837" s="4" t="n">
        <v>3</v>
      </c>
      <c r="H2837" s="13" t="n"/>
      <c r="I2837" s="15" t="n"/>
      <c r="J2837" s="19" t="n">
        <v>3</v>
      </c>
      <c r="K2837" s="2" t="inlineStr">
        <is>
          <t>marker_542_368760.png</t>
        </is>
      </c>
      <c r="L2837" s="11">
        <f>HYPERLINK("3\1\" &amp; K2837, "Ver Imagen")</f>
        <v/>
      </c>
      <c r="M2837" t="inlineStr">
        <is>
          <t>Moda</t>
        </is>
      </c>
    </row>
    <row r="2838">
      <c r="A2838" t="n">
        <v>2837</v>
      </c>
      <c r="B2838" t="inlineStr">
        <is>
          <t>A-497__727</t>
        </is>
      </c>
      <c r="C2838" s="1" t="n">
        <v>37.1915568388</v>
      </c>
      <c r="D2838" s="1" t="n">
        <v>-6.9775947251</v>
      </c>
      <c r="E2838" s="3" t="n">
        <v>3</v>
      </c>
      <c r="F2838" s="2" t="n">
        <v>2</v>
      </c>
      <c r="G2838" s="4" t="n">
        <v>3</v>
      </c>
      <c r="H2838" s="13" t="n"/>
      <c r="I2838" s="15" t="n"/>
      <c r="J2838" s="19" t="n">
        <v>3</v>
      </c>
      <c r="K2838" s="2" t="inlineStr">
        <is>
          <t>marker_197_368993.png</t>
        </is>
      </c>
      <c r="L2838" s="11">
        <f>HYPERLINK("3\1\" &amp; K2838, "Ver Imagen")</f>
        <v/>
      </c>
      <c r="M2838" t="inlineStr">
        <is>
          <t>Moda</t>
        </is>
      </c>
    </row>
    <row r="2839">
      <c r="A2839" t="n">
        <v>2838</v>
      </c>
      <c r="B2839" t="inlineStr">
        <is>
          <t>A-497__722</t>
        </is>
      </c>
      <c r="C2839" s="1" t="n">
        <v>37.1925786358</v>
      </c>
      <c r="D2839" s="1" t="n">
        <v>-6.97748023195</v>
      </c>
      <c r="E2839" s="3" t="n">
        <v>3</v>
      </c>
      <c r="F2839" s="2" t="n">
        <v>2</v>
      </c>
      <c r="G2839" s="4" t="n">
        <v>3</v>
      </c>
      <c r="H2839" s="13" t="n"/>
      <c r="I2839" s="15" t="n"/>
      <c r="J2839" s="19" t="n">
        <v>3</v>
      </c>
      <c r="K2839" s="2" t="inlineStr">
        <is>
          <t>marker_129_369043.png</t>
        </is>
      </c>
      <c r="L2839" s="11">
        <f>HYPERLINK("3\1\" &amp; K2839, "Ver Imagen")</f>
        <v/>
      </c>
      <c r="M2839" t="inlineStr">
        <is>
          <t>Moda</t>
        </is>
      </c>
    </row>
    <row r="2840">
      <c r="A2840" t="n">
        <v>2839</v>
      </c>
      <c r="B2840" t="inlineStr">
        <is>
          <t>A-497__720</t>
        </is>
      </c>
      <c r="C2840" s="1" t="n">
        <v>37.1930026833</v>
      </c>
      <c r="D2840" s="1" t="n">
        <v>-6.9774731311</v>
      </c>
      <c r="E2840" s="3" t="n">
        <v>3</v>
      </c>
      <c r="F2840" s="2" t="n">
        <v>2</v>
      </c>
      <c r="G2840" s="4" t="n">
        <v>3</v>
      </c>
      <c r="H2840" s="13" t="n"/>
      <c r="I2840" s="15" t="n"/>
      <c r="J2840" s="19" t="n">
        <v>3</v>
      </c>
      <c r="K2840" s="2" t="inlineStr">
        <is>
          <t>marker_497_369062.png</t>
        </is>
      </c>
      <c r="L2840" s="11">
        <f>HYPERLINK("3\1\" &amp; K2840, "Ver Imagen")</f>
        <v/>
      </c>
      <c r="M2840" t="inlineStr">
        <is>
          <t>Moda</t>
        </is>
      </c>
    </row>
    <row r="2841">
      <c r="A2841" t="n">
        <v>2840</v>
      </c>
      <c r="B2841" t="inlineStr">
        <is>
          <t>A-497__712</t>
        </is>
      </c>
      <c r="C2841" s="1" t="n">
        <v>37.1945835343</v>
      </c>
      <c r="D2841" s="1" t="n">
        <v>-6.97774073891</v>
      </c>
      <c r="E2841" s="3" t="n">
        <v>3</v>
      </c>
      <c r="F2841" s="2" t="n">
        <v>2</v>
      </c>
      <c r="G2841" s="4" t="n">
        <v>3</v>
      </c>
      <c r="H2841" s="13" t="n"/>
      <c r="I2841" s="15" t="n"/>
      <c r="J2841" s="19" t="n">
        <v>3</v>
      </c>
      <c r="K2841" s="2" t="inlineStr">
        <is>
          <t>marker_812_369151.png</t>
        </is>
      </c>
      <c r="L2841" s="11">
        <f>HYPERLINK("3\1\" &amp; K2841, "Ver Imagen")</f>
        <v/>
      </c>
      <c r="M2841" t="inlineStr">
        <is>
          <t>Moda</t>
        </is>
      </c>
    </row>
    <row r="2842">
      <c r="A2842" t="n">
        <v>2841</v>
      </c>
      <c r="B2842" t="inlineStr">
        <is>
          <t>A-497__710</t>
        </is>
      </c>
      <c r="C2842" s="1" t="n">
        <v>37.1949727983</v>
      </c>
      <c r="D2842" s="1" t="n">
        <v>-6.9778822309</v>
      </c>
      <c r="E2842" s="3" t="n">
        <v>3</v>
      </c>
      <c r="F2842" s="2" t="n">
        <v>2</v>
      </c>
      <c r="G2842" s="4" t="n">
        <v>3</v>
      </c>
      <c r="H2842" s="13" t="n"/>
      <c r="I2842" s="15" t="n"/>
      <c r="J2842" s="19" t="n">
        <v>3</v>
      </c>
      <c r="K2842" s="2" t="inlineStr">
        <is>
          <t>marker_616_370268.png</t>
        </is>
      </c>
      <c r="L2842" s="11">
        <f>HYPERLINK("3\1\" &amp; K2842, "Ver Imagen")</f>
        <v/>
      </c>
      <c r="M2842" t="inlineStr">
        <is>
          <t>Moda</t>
        </is>
      </c>
    </row>
    <row r="2843">
      <c r="A2843" t="n">
        <v>2842</v>
      </c>
      <c r="B2843" t="inlineStr">
        <is>
          <t>A-497__708</t>
        </is>
      </c>
      <c r="C2843" s="1" t="n">
        <v>37.1953358167</v>
      </c>
      <c r="D2843" s="1" t="n">
        <v>-6.97804190183</v>
      </c>
      <c r="E2843" s="3" t="n">
        <v>3</v>
      </c>
      <c r="F2843" s="2" t="n">
        <v>2</v>
      </c>
      <c r="G2843" s="4" t="n">
        <v>3</v>
      </c>
      <c r="H2843" s="13" t="n"/>
      <c r="I2843" s="15" t="n"/>
      <c r="J2843" s="19" t="n">
        <v>3</v>
      </c>
      <c r="K2843" s="2" t="inlineStr">
        <is>
          <t>marker_390_370297.png</t>
        </is>
      </c>
      <c r="L2843" s="11">
        <f>HYPERLINK("3\1\" &amp; K2843, "Ver Imagen")</f>
        <v/>
      </c>
      <c r="M2843" t="inlineStr">
        <is>
          <t>Moda</t>
        </is>
      </c>
    </row>
    <row r="2844">
      <c r="A2844" t="n">
        <v>2843</v>
      </c>
      <c r="B2844" t="inlineStr">
        <is>
          <t>A-497_2C__189</t>
        </is>
      </c>
      <c r="C2844" s="1" t="n">
        <v>37.2647333282</v>
      </c>
      <c r="D2844" s="1" t="n">
        <v>-7.00041779232</v>
      </c>
      <c r="E2844" s="3" t="n">
        <v>3</v>
      </c>
      <c r="F2844" s="2" t="n">
        <v>2</v>
      </c>
      <c r="G2844" s="4" t="n">
        <v>3</v>
      </c>
      <c r="H2844" s="13" t="n"/>
      <c r="I2844" s="15" t="n"/>
      <c r="J2844" s="19" t="n">
        <v>3</v>
      </c>
      <c r="K2844" s="2" t="inlineStr">
        <is>
          <t>marker_434_656411.png</t>
        </is>
      </c>
      <c r="L2844" s="11">
        <f>HYPERLINK("3\1\" &amp; K2844, "Ver Imagen")</f>
        <v/>
      </c>
      <c r="M2844" t="inlineStr">
        <is>
          <t>Moda</t>
        </is>
      </c>
    </row>
    <row r="2845">
      <c r="A2845" t="n">
        <v>2844</v>
      </c>
      <c r="B2845" t="inlineStr">
        <is>
          <t>A-497_2C__195</t>
        </is>
      </c>
      <c r="C2845" s="1" t="n">
        <v>37.2644665592</v>
      </c>
      <c r="D2845" s="1" t="n">
        <v>-7.00190722576</v>
      </c>
      <c r="E2845" s="3" t="n">
        <v>3</v>
      </c>
      <c r="F2845" s="2" t="n">
        <v>2</v>
      </c>
      <c r="G2845" s="4" t="n">
        <v>3</v>
      </c>
      <c r="H2845" s="13" t="n"/>
      <c r="I2845" s="15" t="n"/>
      <c r="J2845" s="19" t="n">
        <v>3</v>
      </c>
      <c r="K2845" s="2" t="inlineStr">
        <is>
          <t>marker_262_656471.png</t>
        </is>
      </c>
      <c r="L2845" s="11">
        <f>HYPERLINK("3\1\" &amp; K2845, "Ver Imagen")</f>
        <v/>
      </c>
      <c r="M2845" t="inlineStr">
        <is>
          <t>Moda</t>
        </is>
      </c>
    </row>
    <row r="2846">
      <c r="A2846" t="n">
        <v>2845</v>
      </c>
      <c r="B2846" t="inlineStr">
        <is>
          <t>A-497_2C__197</t>
        </is>
      </c>
      <c r="C2846" s="1" t="n">
        <v>37.2643751476</v>
      </c>
      <c r="D2846" s="1" t="n">
        <v>-7.002415402</v>
      </c>
      <c r="E2846" s="3" t="n">
        <v>3</v>
      </c>
      <c r="F2846" s="2" t="n">
        <v>2</v>
      </c>
      <c r="G2846" s="4" t="n">
        <v>3</v>
      </c>
      <c r="H2846" s="13" t="n"/>
      <c r="I2846" s="15" t="n"/>
      <c r="J2846" s="19" t="n">
        <v>3</v>
      </c>
      <c r="K2846" s="2" t="inlineStr">
        <is>
          <t>marker_168_656490.png</t>
        </is>
      </c>
      <c r="L2846" s="11">
        <f>HYPERLINK("3\1\" &amp; K2846, "Ver Imagen")</f>
        <v/>
      </c>
      <c r="M2846" t="inlineStr">
        <is>
          <t>Moda</t>
        </is>
      </c>
    </row>
    <row r="2847">
      <c r="A2847" t="n">
        <v>2846</v>
      </c>
      <c r="B2847" t="inlineStr">
        <is>
          <t>A-497_2C__198</t>
        </is>
      </c>
      <c r="C2847" s="1" t="n">
        <v>37.2643314052</v>
      </c>
      <c r="D2847" s="1" t="n">
        <v>-7.00265754285</v>
      </c>
      <c r="E2847" s="3" t="n">
        <v>3</v>
      </c>
      <c r="F2847" s="2" t="n">
        <v>2</v>
      </c>
      <c r="G2847" s="4" t="n">
        <v>3</v>
      </c>
      <c r="H2847" s="13" t="n"/>
      <c r="I2847" s="15" t="n"/>
      <c r="J2847" s="19" t="n">
        <v>3</v>
      </c>
      <c r="K2847" s="2" t="inlineStr">
        <is>
          <t>marker_185_656503.png</t>
        </is>
      </c>
      <c r="L2847" s="11">
        <f>HYPERLINK("3\1\" &amp; K2847, "Ver Imagen")</f>
        <v/>
      </c>
      <c r="M2847" t="inlineStr">
        <is>
          <t>Moda</t>
        </is>
      </c>
    </row>
    <row r="2848">
      <c r="A2848" t="n">
        <v>2847</v>
      </c>
      <c r="B2848" t="inlineStr">
        <is>
          <t>A-497_2C__206</t>
        </is>
      </c>
      <c r="C2848" s="1" t="n">
        <v>37.2639741826</v>
      </c>
      <c r="D2848" s="1" t="n">
        <v>-7.00467665223</v>
      </c>
      <c r="E2848" s="3" t="n">
        <v>3</v>
      </c>
      <c r="F2848" s="2" t="n">
        <v>2</v>
      </c>
      <c r="G2848" s="4" t="n">
        <v>3</v>
      </c>
      <c r="H2848" s="13" t="n"/>
      <c r="I2848" s="15" t="n"/>
      <c r="J2848" s="19" t="n">
        <v>3</v>
      </c>
      <c r="K2848" s="2" t="inlineStr">
        <is>
          <t>marker_711_656611.png</t>
        </is>
      </c>
      <c r="L2848" s="11">
        <f>HYPERLINK("3\1\" &amp; K2848, "Ver Imagen")</f>
        <v/>
      </c>
      <c r="M2848" t="inlineStr">
        <is>
          <t>Moda</t>
        </is>
      </c>
    </row>
    <row r="2849">
      <c r="A2849" t="n">
        <v>2848</v>
      </c>
      <c r="B2849" t="inlineStr">
        <is>
          <t>A-497__694</t>
        </is>
      </c>
      <c r="C2849" s="1" t="n">
        <v>37.1976955087</v>
      </c>
      <c r="D2849" s="1" t="n">
        <v>-6.98000108116</v>
      </c>
      <c r="E2849" s="3" t="n">
        <v>3</v>
      </c>
      <c r="F2849" s="2" t="n">
        <v>2</v>
      </c>
      <c r="G2849" s="4" t="n">
        <v>3</v>
      </c>
      <c r="H2849" s="13" t="n"/>
      <c r="I2849" s="15" t="n"/>
      <c r="J2849" s="19" t="n">
        <v>3</v>
      </c>
      <c r="K2849" s="2" t="inlineStr">
        <is>
          <t>marker_422_370439.png</t>
        </is>
      </c>
      <c r="L2849" s="11">
        <f>HYPERLINK("3\1\" &amp; K2849, "Ver Imagen")</f>
        <v/>
      </c>
      <c r="M2849" t="inlineStr">
        <is>
          <t>Moda</t>
        </is>
      </c>
    </row>
    <row r="2850">
      <c r="A2850" t="n">
        <v>2849</v>
      </c>
      <c r="B2850" t="inlineStr">
        <is>
          <t>A-497__693</t>
        </is>
      </c>
      <c r="C2850" s="1" t="n">
        <v>37.1978342991</v>
      </c>
      <c r="D2850" s="1" t="n">
        <v>-6.98018530604</v>
      </c>
      <c r="E2850" s="3" t="n">
        <v>3</v>
      </c>
      <c r="F2850" s="2" t="n">
        <v>2</v>
      </c>
      <c r="G2850" s="4" t="n">
        <v>3</v>
      </c>
      <c r="H2850" s="13" t="n"/>
      <c r="I2850" s="15" t="n"/>
      <c r="J2850" s="19" t="n">
        <v>3</v>
      </c>
      <c r="K2850" s="2" t="inlineStr">
        <is>
          <t>marker_600_370447.png</t>
        </is>
      </c>
      <c r="L2850" s="11">
        <f>HYPERLINK("3\1\" &amp; K2850, "Ver Imagen")</f>
        <v/>
      </c>
      <c r="M2850" t="inlineStr">
        <is>
          <t>Moda</t>
        </is>
      </c>
    </row>
    <row r="2851">
      <c r="A2851" t="n">
        <v>2850</v>
      </c>
      <c r="B2851" t="inlineStr">
        <is>
          <t>A-497__692</t>
        </is>
      </c>
      <c r="C2851" s="1" t="n">
        <v>37.1979611114</v>
      </c>
      <c r="D2851" s="1" t="n">
        <v>-6.98036584927</v>
      </c>
      <c r="E2851" s="3" t="n">
        <v>3</v>
      </c>
      <c r="F2851" s="2" t="n">
        <v>2</v>
      </c>
      <c r="G2851" s="4" t="n">
        <v>3</v>
      </c>
      <c r="H2851" s="13" t="n"/>
      <c r="I2851" s="15" t="n"/>
      <c r="J2851" s="19" t="n">
        <v>3</v>
      </c>
      <c r="K2851" s="2" t="inlineStr">
        <is>
          <t>marker_254_370455.png</t>
        </is>
      </c>
      <c r="L2851" s="11">
        <f>HYPERLINK("3\1\" &amp; K2851, "Ver Imagen")</f>
        <v/>
      </c>
      <c r="M2851" t="inlineStr">
        <is>
          <t>Moda</t>
        </is>
      </c>
    </row>
    <row r="2852">
      <c r="A2852" t="n">
        <v>2851</v>
      </c>
      <c r="B2852" t="inlineStr">
        <is>
          <t>A-497_2C__217</t>
        </is>
      </c>
      <c r="C2852" s="1" t="n">
        <v>37.2634773255</v>
      </c>
      <c r="D2852" s="1" t="n">
        <v>-7.00737027264</v>
      </c>
      <c r="E2852" s="3" t="n">
        <v>3</v>
      </c>
      <c r="F2852" s="2" t="n">
        <v>2</v>
      </c>
      <c r="G2852" s="4" t="n">
        <v>3</v>
      </c>
      <c r="H2852" s="13" t="n"/>
      <c r="I2852" s="15" t="n"/>
      <c r="J2852" s="19" t="n">
        <v>3</v>
      </c>
      <c r="K2852" s="2" t="inlineStr">
        <is>
          <t>marker_780_656727.png</t>
        </is>
      </c>
      <c r="L2852" s="11">
        <f>HYPERLINK("3\1\" &amp; K2852, "Ver Imagen")</f>
        <v/>
      </c>
      <c r="M2852" t="inlineStr">
        <is>
          <t>Moda</t>
        </is>
      </c>
    </row>
    <row r="2853">
      <c r="A2853" t="n">
        <v>2852</v>
      </c>
      <c r="B2853" t="inlineStr">
        <is>
          <t>A-497__687</t>
        </is>
      </c>
      <c r="C2853" s="1" t="n">
        <v>37.1985553699</v>
      </c>
      <c r="D2853" s="1" t="n">
        <v>-6.98138376145</v>
      </c>
      <c r="E2853" s="3" t="n">
        <v>3</v>
      </c>
      <c r="F2853" s="2" t="n">
        <v>2</v>
      </c>
      <c r="G2853" s="4" t="n">
        <v>3</v>
      </c>
      <c r="H2853" s="13" t="n"/>
      <c r="I2853" s="15" t="n"/>
      <c r="J2853" s="19" t="n">
        <v>3</v>
      </c>
      <c r="K2853" s="2" t="inlineStr">
        <is>
          <t>marker_619_370504.png</t>
        </is>
      </c>
      <c r="L2853" s="11">
        <f>HYPERLINK("3\1\" &amp; K2853, "Ver Imagen")</f>
        <v/>
      </c>
      <c r="M2853" t="inlineStr">
        <is>
          <t>Moda</t>
        </is>
      </c>
    </row>
    <row r="2854">
      <c r="A2854" t="n">
        <v>2853</v>
      </c>
      <c r="B2854" t="inlineStr">
        <is>
          <t>A-497_2C__227</t>
        </is>
      </c>
      <c r="C2854" s="1" t="n">
        <v>37.2625507383</v>
      </c>
      <c r="D2854" s="1" t="n">
        <v>-7.00959361126</v>
      </c>
      <c r="E2854" s="3" t="n">
        <v>3</v>
      </c>
      <c r="F2854" s="2" t="n">
        <v>2</v>
      </c>
      <c r="G2854" s="4" t="n">
        <v>3</v>
      </c>
      <c r="H2854" s="13" t="n"/>
      <c r="I2854" s="15" t="n"/>
      <c r="J2854" s="19" t="n">
        <v>3</v>
      </c>
      <c r="K2854" s="2" t="inlineStr">
        <is>
          <t>marker_560_656856.png</t>
        </is>
      </c>
      <c r="L2854" s="11">
        <f>HYPERLINK("3\1\" &amp; K2854, "Ver Imagen")</f>
        <v/>
      </c>
      <c r="M2854" t="inlineStr">
        <is>
          <t>Moda</t>
        </is>
      </c>
    </row>
    <row r="2855">
      <c r="A2855" t="n">
        <v>2854</v>
      </c>
      <c r="B2855" t="inlineStr">
        <is>
          <t>A-497_2C__239</t>
        </is>
      </c>
      <c r="C2855" s="1" t="n">
        <v>37.2606126973</v>
      </c>
      <c r="D2855" s="1" t="n">
        <v>-7.01131865043</v>
      </c>
      <c r="E2855" s="3" t="n">
        <v>3</v>
      </c>
      <c r="F2855" s="2" t="n">
        <v>2</v>
      </c>
      <c r="G2855" s="4" t="n">
        <v>3</v>
      </c>
      <c r="H2855" s="13" t="n"/>
      <c r="I2855" s="15" t="n"/>
      <c r="J2855" s="19" t="n">
        <v>3</v>
      </c>
      <c r="K2855" s="2" t="inlineStr">
        <is>
          <t>marker_173_656982.png</t>
        </is>
      </c>
      <c r="L2855" s="11">
        <f>HYPERLINK("3\1\" &amp; K2855, "Ver Imagen")</f>
        <v/>
      </c>
      <c r="M2855" t="inlineStr">
        <is>
          <t>Moda</t>
        </is>
      </c>
    </row>
    <row r="2856">
      <c r="A2856" t="n">
        <v>2855</v>
      </c>
      <c r="B2856" t="inlineStr">
        <is>
          <t>A-497__667</t>
        </is>
      </c>
      <c r="C2856" s="1" t="n">
        <v>37.200065761</v>
      </c>
      <c r="D2856" s="1" t="n">
        <v>-6.98610543342</v>
      </c>
      <c r="E2856" s="3" t="n">
        <v>3</v>
      </c>
      <c r="F2856" s="2" t="n">
        <v>2</v>
      </c>
      <c r="G2856" s="4" t="n">
        <v>3</v>
      </c>
      <c r="H2856" s="13" t="n"/>
      <c r="I2856" s="15" t="n"/>
      <c r="J2856" s="19" t="n">
        <v>3</v>
      </c>
      <c r="K2856" s="2" t="inlineStr">
        <is>
          <t>marker_119_371051.png</t>
        </is>
      </c>
      <c r="L2856" s="11">
        <f>HYPERLINK("3\1\" &amp; K2856, "Ver Imagen")</f>
        <v/>
      </c>
      <c r="M2856" t="inlineStr">
        <is>
          <t>Moda</t>
        </is>
      </c>
    </row>
    <row r="2857">
      <c r="A2857" t="n">
        <v>2856</v>
      </c>
      <c r="B2857" t="inlineStr">
        <is>
          <t>A-497__666</t>
        </is>
      </c>
      <c r="C2857" s="1" t="n">
        <v>37.2001359673</v>
      </c>
      <c r="D2857" s="1" t="n">
        <v>-6.98639427637</v>
      </c>
      <c r="E2857" s="3" t="n">
        <v>3</v>
      </c>
      <c r="F2857" s="2" t="n">
        <v>2</v>
      </c>
      <c r="G2857" s="4" t="n">
        <v>3</v>
      </c>
      <c r="H2857" s="13" t="n"/>
      <c r="I2857" s="15" t="n"/>
      <c r="J2857" s="19" t="n">
        <v>3</v>
      </c>
      <c r="K2857" s="2" t="inlineStr">
        <is>
          <t>marker_198_371060.png</t>
        </is>
      </c>
      <c r="L2857" s="11">
        <f>HYPERLINK("3\1\" &amp; K2857, "Ver Imagen")</f>
        <v/>
      </c>
      <c r="M2857" t="inlineStr">
        <is>
          <t>Moda</t>
        </is>
      </c>
    </row>
    <row r="2858">
      <c r="A2858" t="n">
        <v>2857</v>
      </c>
      <c r="B2858" t="inlineStr">
        <is>
          <t>A-497__657</t>
        </is>
      </c>
      <c r="C2858" s="1" t="n">
        <v>37.20062733</v>
      </c>
      <c r="D2858" s="1" t="n">
        <v>-6.98850268419</v>
      </c>
      <c r="E2858" s="3" t="n">
        <v>3</v>
      </c>
      <c r="F2858" s="2" t="n">
        <v>2</v>
      </c>
      <c r="G2858" s="4" t="n">
        <v>3</v>
      </c>
      <c r="H2858" s="13" t="n"/>
      <c r="I2858" s="15" t="n"/>
      <c r="J2858" s="19" t="n">
        <v>3</v>
      </c>
      <c r="K2858" s="2" t="inlineStr">
        <is>
          <t>marker_430_371174.png</t>
        </is>
      </c>
      <c r="L2858" s="11">
        <f>HYPERLINK("3\1\" &amp; K2858, "Ver Imagen")</f>
        <v/>
      </c>
      <c r="M2858" t="inlineStr">
        <is>
          <t>Moda</t>
        </is>
      </c>
    </row>
    <row r="2859">
      <c r="A2859" t="n">
        <v>2858</v>
      </c>
      <c r="B2859" t="inlineStr">
        <is>
          <t>A-497_2C__253</t>
        </is>
      </c>
      <c r="C2859" s="1" t="n">
        <v>37.2580709091</v>
      </c>
      <c r="D2859" s="1" t="n">
        <v>-7.01293607192</v>
      </c>
      <c r="E2859" s="3" t="n">
        <v>3</v>
      </c>
      <c r="F2859" s="2" t="n">
        <v>2</v>
      </c>
      <c r="G2859" s="4" t="n">
        <v>3</v>
      </c>
      <c r="H2859" s="13" t="n"/>
      <c r="I2859" s="15" t="n"/>
      <c r="J2859" s="19" t="n">
        <v>3</v>
      </c>
      <c r="K2859" s="2" t="inlineStr">
        <is>
          <t>marker_213_319432.png</t>
        </is>
      </c>
      <c r="L2859" s="11">
        <f>HYPERLINK("3\1\" &amp; K2859, "Ver Imagen")</f>
        <v/>
      </c>
      <c r="M2859" t="inlineStr">
        <is>
          <t>Moda</t>
        </is>
      </c>
    </row>
    <row r="2860">
      <c r="A2860" t="n">
        <v>2859</v>
      </c>
      <c r="B2860" t="inlineStr">
        <is>
          <t>A-497__639</t>
        </is>
      </c>
      <c r="C2860" s="1" t="n">
        <v>37.2015302816</v>
      </c>
      <c r="D2860" s="1" t="n">
        <v>-6.99287662036</v>
      </c>
      <c r="E2860" s="3" t="n">
        <v>3</v>
      </c>
      <c r="F2860" s="2" t="n">
        <v>2</v>
      </c>
      <c r="G2860" s="4" t="n">
        <v>3</v>
      </c>
      <c r="H2860" s="13" t="n"/>
      <c r="I2860" s="15" t="n"/>
      <c r="J2860" s="19" t="n">
        <v>3</v>
      </c>
      <c r="K2860" s="2" t="inlineStr">
        <is>
          <t>marker_189_371338.png</t>
        </is>
      </c>
      <c r="L2860" s="11">
        <f>HYPERLINK("3\1\" &amp; K2860, "Ver Imagen")</f>
        <v/>
      </c>
      <c r="M2860" t="inlineStr">
        <is>
          <t>Moda</t>
        </is>
      </c>
    </row>
    <row r="2861">
      <c r="A2861" t="n">
        <v>2860</v>
      </c>
      <c r="B2861" t="inlineStr">
        <is>
          <t>A-497__616</t>
        </is>
      </c>
      <c r="C2861" s="1" t="n">
        <v>37.2024821917</v>
      </c>
      <c r="D2861" s="1" t="n">
        <v>-6.99867480374</v>
      </c>
      <c r="E2861" s="3" t="n">
        <v>3</v>
      </c>
      <c r="F2861" s="2" t="n">
        <v>2</v>
      </c>
      <c r="G2861" s="4" t="n">
        <v>3</v>
      </c>
      <c r="H2861" s="13" t="n"/>
      <c r="I2861" s="15" t="n"/>
      <c r="J2861" s="19" t="n">
        <v>3</v>
      </c>
      <c r="K2861" s="2" t="inlineStr">
        <is>
          <t>marker_733_371567.png</t>
        </is>
      </c>
      <c r="L2861" s="11">
        <f>HYPERLINK("3\1\" &amp; K2861, "Ver Imagen")</f>
        <v/>
      </c>
      <c r="M2861" t="inlineStr">
        <is>
          <t>Moda</t>
        </is>
      </c>
    </row>
    <row r="2862">
      <c r="A2862" t="n">
        <v>2861</v>
      </c>
      <c r="B2862" t="inlineStr">
        <is>
          <t>A-497__609</t>
        </is>
      </c>
      <c r="C2862" s="1" t="n">
        <v>37.2027089075</v>
      </c>
      <c r="D2862" s="1" t="n">
        <v>-7.00038535797</v>
      </c>
      <c r="E2862" s="3" t="n">
        <v>3</v>
      </c>
      <c r="F2862" s="2" t="n">
        <v>2</v>
      </c>
      <c r="G2862" s="4" t="n">
        <v>3</v>
      </c>
      <c r="H2862" s="13" t="n"/>
      <c r="I2862" s="15" t="n"/>
      <c r="J2862" s="19" t="n">
        <v>3</v>
      </c>
      <c r="K2862" s="2" t="inlineStr">
        <is>
          <t>marker_110_371630.png</t>
        </is>
      </c>
      <c r="L2862" s="11">
        <f>HYPERLINK("3\1\" &amp; K2862, "Ver Imagen")</f>
        <v/>
      </c>
      <c r="M2862" t="inlineStr">
        <is>
          <t>Moda</t>
        </is>
      </c>
    </row>
    <row r="2863">
      <c r="A2863" t="n">
        <v>2862</v>
      </c>
      <c r="B2863" t="inlineStr">
        <is>
          <t>A-497__601</t>
        </is>
      </c>
      <c r="C2863" s="1" t="n">
        <v>37.2029430203</v>
      </c>
      <c r="D2863" s="1" t="n">
        <v>-7.00240852837</v>
      </c>
      <c r="E2863" s="3" t="n">
        <v>3</v>
      </c>
      <c r="F2863" s="2" t="n">
        <v>2</v>
      </c>
      <c r="G2863" s="4" t="n">
        <v>3</v>
      </c>
      <c r="H2863" s="13" t="n"/>
      <c r="I2863" s="15" t="n"/>
      <c r="J2863" s="19" t="n">
        <v>3</v>
      </c>
      <c r="K2863" s="2" t="inlineStr">
        <is>
          <t>marker_504_371704.png</t>
        </is>
      </c>
      <c r="L2863" s="11">
        <f>HYPERLINK("3\1\" &amp; K2863, "Ver Imagen")</f>
        <v/>
      </c>
      <c r="M2863" t="inlineStr">
        <is>
          <t>Moda</t>
        </is>
      </c>
    </row>
    <row r="2864">
      <c r="A2864" t="n">
        <v>2863</v>
      </c>
      <c r="B2864" t="inlineStr">
        <is>
          <t>A-497__599</t>
        </is>
      </c>
      <c r="C2864" s="1" t="n">
        <v>37.2029952352</v>
      </c>
      <c r="D2864" s="1" t="n">
        <v>-7.00291043342</v>
      </c>
      <c r="E2864" s="3" t="n">
        <v>3</v>
      </c>
      <c r="F2864" s="2" t="n">
        <v>2</v>
      </c>
      <c r="G2864" s="4" t="n">
        <v>3</v>
      </c>
      <c r="H2864" s="13" t="n"/>
      <c r="I2864" s="15" t="n"/>
      <c r="J2864" s="19" t="n">
        <v>3</v>
      </c>
      <c r="K2864" s="2" t="inlineStr">
        <is>
          <t>marker_154_371722.png</t>
        </is>
      </c>
      <c r="L2864" s="11">
        <f>HYPERLINK("3\1\" &amp; K2864, "Ver Imagen")</f>
        <v/>
      </c>
      <c r="M2864" t="inlineStr">
        <is>
          <t>Moda</t>
        </is>
      </c>
    </row>
    <row r="2865">
      <c r="A2865" t="n">
        <v>2864</v>
      </c>
      <c r="B2865" t="inlineStr">
        <is>
          <t>A-497_2C__271</t>
        </is>
      </c>
      <c r="C2865" s="1" t="n">
        <v>37.2548310082</v>
      </c>
      <c r="D2865" s="1" t="n">
        <v>-7.01500212495</v>
      </c>
      <c r="E2865" s="3" t="n">
        <v>3</v>
      </c>
      <c r="F2865" s="2" t="n">
        <v>4</v>
      </c>
      <c r="G2865" s="4" t="n">
        <v>3</v>
      </c>
      <c r="H2865" s="13" t="n"/>
      <c r="I2865" s="15" t="n"/>
      <c r="J2865" s="19" t="n">
        <v>3</v>
      </c>
      <c r="K2865" s="2" t="inlineStr">
        <is>
          <t>marker_574_319755.png</t>
        </is>
      </c>
      <c r="L2865" s="11">
        <f>HYPERLINK("3\1\" &amp; K2865, "Ver Imagen")</f>
        <v/>
      </c>
      <c r="M2865" t="inlineStr">
        <is>
          <t>Moda</t>
        </is>
      </c>
    </row>
    <row r="2866">
      <c r="A2866" t="n">
        <v>2865</v>
      </c>
      <c r="B2866" t="inlineStr">
        <is>
          <t>A-497_2C__289</t>
        </is>
      </c>
      <c r="C2866" s="1" t="n">
        <v>37.2515882186</v>
      </c>
      <c r="D2866" s="1" t="n">
        <v>-7.01708018961</v>
      </c>
      <c r="E2866" s="3" t="n">
        <v>3</v>
      </c>
      <c r="F2866" s="2" t="n">
        <v>3</v>
      </c>
      <c r="G2866" s="4" t="n">
        <v>4</v>
      </c>
      <c r="H2866" s="13" t="n"/>
      <c r="I2866" s="15" t="n"/>
      <c r="J2866" s="19" t="n">
        <v>3</v>
      </c>
      <c r="K2866" s="2" t="inlineStr">
        <is>
          <t>marker_269_320063.png</t>
        </is>
      </c>
      <c r="L2866" s="11">
        <f>HYPERLINK("3\1\" &amp; K2866, "Ver Imagen")</f>
        <v/>
      </c>
      <c r="M2866" t="inlineStr">
        <is>
          <t>Moda</t>
        </is>
      </c>
    </row>
    <row r="2867">
      <c r="A2867" t="n">
        <v>2866</v>
      </c>
      <c r="B2867" t="inlineStr">
        <is>
          <t>A-497_2C__292</t>
        </is>
      </c>
      <c r="C2867" s="1" t="n">
        <v>37.2510372144</v>
      </c>
      <c r="D2867" s="1" t="n">
        <v>-7.01742893132</v>
      </c>
      <c r="E2867" s="3" t="n">
        <v>3</v>
      </c>
      <c r="F2867" s="2" t="n">
        <v>4</v>
      </c>
      <c r="G2867" s="4" t="n">
        <v>3</v>
      </c>
      <c r="H2867" s="13" t="n"/>
      <c r="I2867" s="15" t="n"/>
      <c r="J2867" s="19" t="n">
        <v>3</v>
      </c>
      <c r="K2867" s="2" t="inlineStr">
        <is>
          <t>marker_911_320093.png</t>
        </is>
      </c>
      <c r="L2867" s="11">
        <f>HYPERLINK("3\1\" &amp; K2867, "Ver Imagen")</f>
        <v/>
      </c>
      <c r="M2867" t="inlineStr">
        <is>
          <t>Moda</t>
        </is>
      </c>
    </row>
    <row r="2868">
      <c r="A2868" t="n">
        <v>2867</v>
      </c>
      <c r="B2868" t="inlineStr">
        <is>
          <t>A-497_2C__293</t>
        </is>
      </c>
      <c r="C2868" s="1" t="n">
        <v>37.2508662848</v>
      </c>
      <c r="D2868" s="1" t="n">
        <v>-7.01753479795</v>
      </c>
      <c r="E2868" s="3" t="n">
        <v>3</v>
      </c>
      <c r="F2868" s="2" t="n">
        <v>4</v>
      </c>
      <c r="G2868" s="4" t="n">
        <v>3</v>
      </c>
      <c r="H2868" s="13" t="n"/>
      <c r="I2868" s="15" t="n"/>
      <c r="J2868" s="19" t="n">
        <v>3</v>
      </c>
      <c r="K2868" s="2" t="inlineStr">
        <is>
          <t>marker_231_320101.png</t>
        </is>
      </c>
      <c r="L2868" s="11">
        <f>HYPERLINK("3\1\" &amp; K2868, "Ver Imagen")</f>
        <v/>
      </c>
      <c r="M2868" t="inlineStr">
        <is>
          <t>Moda</t>
        </is>
      </c>
    </row>
    <row r="2869">
      <c r="A2869" t="n">
        <v>2868</v>
      </c>
      <c r="B2869" t="inlineStr">
        <is>
          <t>A-497_2C__296</t>
        </is>
      </c>
      <c r="C2869" s="1" t="n">
        <v>37.2502909995</v>
      </c>
      <c r="D2869" s="1" t="n">
        <v>-7.01787557661</v>
      </c>
      <c r="E2869" s="3" t="n">
        <v>3</v>
      </c>
      <c r="F2869" s="2" t="n">
        <v>2</v>
      </c>
      <c r="G2869" s="4" t="n">
        <v>3</v>
      </c>
      <c r="H2869" s="13" t="n"/>
      <c r="I2869" s="15" t="n"/>
      <c r="J2869" s="19" t="n">
        <v>3</v>
      </c>
      <c r="K2869" s="2" t="inlineStr">
        <is>
          <t>marker_319_320131.png</t>
        </is>
      </c>
      <c r="L2869" s="11">
        <f>HYPERLINK("3\1\" &amp; K2869, "Ver Imagen")</f>
        <v/>
      </c>
      <c r="M2869" t="inlineStr">
        <is>
          <t>Moda</t>
        </is>
      </c>
    </row>
    <row r="2870">
      <c r="A2870" t="n">
        <v>2869</v>
      </c>
      <c r="B2870" t="inlineStr">
        <is>
          <t>A-497_2C__297</t>
        </is>
      </c>
      <c r="C2870" s="1" t="n">
        <v>37.250105569</v>
      </c>
      <c r="D2870" s="1" t="n">
        <v>-7.017969761</v>
      </c>
      <c r="E2870" s="3" t="n">
        <v>3</v>
      </c>
      <c r="F2870" s="2" t="n">
        <v>2</v>
      </c>
      <c r="G2870" s="4" t="n">
        <v>3</v>
      </c>
      <c r="H2870" s="13" t="n"/>
      <c r="I2870" s="15" t="n"/>
      <c r="J2870" s="19" t="n">
        <v>3</v>
      </c>
      <c r="K2870" s="2" t="inlineStr">
        <is>
          <t>marker_166_320141.png</t>
        </is>
      </c>
      <c r="L2870" s="11">
        <f>HYPERLINK("3\1\" &amp; K2870, "Ver Imagen")</f>
        <v/>
      </c>
      <c r="M2870" t="inlineStr">
        <is>
          <t>Moda</t>
        </is>
      </c>
    </row>
    <row r="2871">
      <c r="A2871" t="n">
        <v>2870</v>
      </c>
      <c r="B2871" t="inlineStr">
        <is>
          <t>A-497_2C__316</t>
        </is>
      </c>
      <c r="C2871" s="1" t="n">
        <v>37.2463247256</v>
      </c>
      <c r="D2871" s="1" t="n">
        <v>-7.01844014261</v>
      </c>
      <c r="E2871" s="3" t="n">
        <v>3</v>
      </c>
      <c r="F2871" s="2" t="n">
        <v>4</v>
      </c>
      <c r="G2871" s="4" t="n">
        <v>3</v>
      </c>
      <c r="H2871" s="13" t="n"/>
      <c r="I2871" s="15" t="n"/>
      <c r="J2871" s="19" t="n">
        <v>3</v>
      </c>
      <c r="K2871" s="2" t="inlineStr">
        <is>
          <t>marker_997_361888.png</t>
        </is>
      </c>
      <c r="L2871" s="11">
        <f>HYPERLINK("3\1\" &amp; K2871, "Ver Imagen")</f>
        <v/>
      </c>
      <c r="M2871" t="inlineStr">
        <is>
          <t>Moda</t>
        </is>
      </c>
    </row>
    <row r="2872">
      <c r="A2872" t="n">
        <v>2871</v>
      </c>
      <c r="B2872" t="inlineStr">
        <is>
          <t>A-497_2C__327</t>
        </is>
      </c>
      <c r="C2872" s="1" t="n">
        <v>37.2440619717</v>
      </c>
      <c r="D2872" s="1" t="n">
        <v>-7.01852293688</v>
      </c>
      <c r="E2872" s="3" t="n">
        <v>3</v>
      </c>
      <c r="F2872" s="2" t="n">
        <v>4</v>
      </c>
      <c r="G2872" s="4" t="n">
        <v>3</v>
      </c>
      <c r="H2872" s="13" t="n"/>
      <c r="I2872" s="15" t="n"/>
      <c r="J2872" s="19" t="n">
        <v>3</v>
      </c>
      <c r="K2872" s="2" t="inlineStr">
        <is>
          <t>marker_710_361991.png</t>
        </is>
      </c>
      <c r="L2872" s="11">
        <f>HYPERLINK("3\1\" &amp; K2872, "Ver Imagen")</f>
        <v/>
      </c>
      <c r="M2872" t="inlineStr">
        <is>
          <t>Moda</t>
        </is>
      </c>
    </row>
    <row r="2873">
      <c r="A2873" t="n">
        <v>2872</v>
      </c>
      <c r="B2873" t="inlineStr">
        <is>
          <t>A-497_2C__335</t>
        </is>
      </c>
      <c r="C2873" s="1" t="n">
        <v>37.2424485434</v>
      </c>
      <c r="D2873" s="1" t="n">
        <v>-7.01858172865</v>
      </c>
      <c r="E2873" s="3" t="n">
        <v>3</v>
      </c>
      <c r="F2873" s="2" t="n">
        <v>4</v>
      </c>
      <c r="G2873" s="4" t="n">
        <v>3</v>
      </c>
      <c r="H2873" s="13" t="n"/>
      <c r="I2873" s="15" t="n"/>
      <c r="J2873" s="19" t="n">
        <v>3</v>
      </c>
      <c r="K2873" s="2" t="inlineStr">
        <is>
          <t>marker_369_362070.png</t>
        </is>
      </c>
      <c r="L2873" s="11">
        <f>HYPERLINK("3\1\" &amp; K2873, "Ver Imagen")</f>
        <v/>
      </c>
      <c r="M2873" t="inlineStr">
        <is>
          <t>Moda</t>
        </is>
      </c>
    </row>
    <row r="2874">
      <c r="A2874" t="n">
        <v>2873</v>
      </c>
      <c r="B2874" t="inlineStr">
        <is>
          <t>A-497__542</t>
        </is>
      </c>
      <c r="C2874" s="1" t="n">
        <v>37.2052997902</v>
      </c>
      <c r="D2874" s="1" t="n">
        <v>-7.01700032524</v>
      </c>
      <c r="E2874" s="3" t="n">
        <v>3</v>
      </c>
      <c r="F2874" s="2" t="n">
        <v>2</v>
      </c>
      <c r="G2874" s="4" t="n">
        <v>3</v>
      </c>
      <c r="H2874" s="13" t="n"/>
      <c r="I2874" s="15" t="n"/>
      <c r="J2874" s="19" t="n">
        <v>3</v>
      </c>
      <c r="K2874" s="2" t="inlineStr">
        <is>
          <t>marker_323_372357.png</t>
        </is>
      </c>
      <c r="L2874" s="11">
        <f>HYPERLINK("3\1\" &amp; K2874, "Ver Imagen")</f>
        <v/>
      </c>
      <c r="M2874" t="inlineStr">
        <is>
          <t>Moda</t>
        </is>
      </c>
    </row>
    <row r="2875">
      <c r="A2875" t="n">
        <v>2874</v>
      </c>
      <c r="B2875" t="inlineStr">
        <is>
          <t>A-497__534</t>
        </is>
      </c>
      <c r="C2875" s="1" t="n">
        <v>37.2058456733</v>
      </c>
      <c r="D2875" s="1" t="n">
        <v>-7.01885605932</v>
      </c>
      <c r="E2875" s="3" t="n">
        <v>3</v>
      </c>
      <c r="F2875" s="2" t="n">
        <v>2</v>
      </c>
      <c r="G2875" s="4" t="n">
        <v>3</v>
      </c>
      <c r="H2875" s="13" t="n"/>
      <c r="I2875" s="15" t="n"/>
      <c r="J2875" s="19" t="n">
        <v>3</v>
      </c>
      <c r="K2875" s="2" t="inlineStr">
        <is>
          <t>marker_668_372456.png</t>
        </is>
      </c>
      <c r="L2875" s="11">
        <f>HYPERLINK("3\1\" &amp; K2875, "Ver Imagen")</f>
        <v/>
      </c>
      <c r="M2875" t="inlineStr">
        <is>
          <t>Moda</t>
        </is>
      </c>
    </row>
    <row r="2876">
      <c r="A2876" t="n">
        <v>2875</v>
      </c>
      <c r="B2876" t="inlineStr">
        <is>
          <t>A-497_2C__348</t>
        </is>
      </c>
      <c r="C2876" s="1" t="n">
        <v>37.2397782428</v>
      </c>
      <c r="D2876" s="1" t="n">
        <v>-7.01868551065</v>
      </c>
      <c r="E2876" s="3" t="n">
        <v>3</v>
      </c>
      <c r="F2876" s="2" t="n">
        <v>2</v>
      </c>
      <c r="G2876" s="4" t="n">
        <v>3</v>
      </c>
      <c r="H2876" s="13" t="n"/>
      <c r="I2876" s="15" t="n"/>
      <c r="J2876" s="19" t="n">
        <v>3</v>
      </c>
      <c r="K2876" s="2" t="inlineStr">
        <is>
          <t>marker_716_362203.png</t>
        </is>
      </c>
      <c r="L2876" s="11">
        <f>HYPERLINK("3\1\" &amp; K2876, "Ver Imagen")</f>
        <v/>
      </c>
      <c r="M2876" t="inlineStr">
        <is>
          <t>Moda</t>
        </is>
      </c>
    </row>
    <row r="2877">
      <c r="A2877" t="n">
        <v>2876</v>
      </c>
      <c r="B2877" t="inlineStr">
        <is>
          <t>A-497__530</t>
        </is>
      </c>
      <c r="C2877" s="1" t="n">
        <v>37.2062369495</v>
      </c>
      <c r="D2877" s="1" t="n">
        <v>-7.01980186242</v>
      </c>
      <c r="E2877" s="3" t="n">
        <v>3</v>
      </c>
      <c r="F2877" s="2" t="n">
        <v>2</v>
      </c>
      <c r="G2877" s="4" t="n">
        <v>3</v>
      </c>
      <c r="H2877" s="13" t="n"/>
      <c r="I2877" s="15" t="n"/>
      <c r="J2877" s="19" t="n">
        <v>3</v>
      </c>
      <c r="K2877" s="2" t="inlineStr">
        <is>
          <t>marker_162_372501.png</t>
        </is>
      </c>
      <c r="L2877" s="11">
        <f>HYPERLINK("3\1\" &amp; K2877, "Ver Imagen")</f>
        <v/>
      </c>
      <c r="M2877" t="inlineStr">
        <is>
          <t>Moda</t>
        </is>
      </c>
    </row>
    <row r="2878">
      <c r="A2878" t="n">
        <v>2877</v>
      </c>
      <c r="B2878" t="inlineStr">
        <is>
          <t>A-497__528</t>
        </is>
      </c>
      <c r="C2878" s="1" t="n">
        <v>37.2064594257</v>
      </c>
      <c r="D2878" s="1" t="n">
        <v>-7.02024971035</v>
      </c>
      <c r="E2878" s="3" t="n">
        <v>3</v>
      </c>
      <c r="F2878" s="2" t="n">
        <v>2</v>
      </c>
      <c r="G2878" s="4" t="n">
        <v>3</v>
      </c>
      <c r="H2878" s="13" t="n"/>
      <c r="I2878" s="15" t="n"/>
      <c r="J2878" s="19" t="n">
        <v>3</v>
      </c>
      <c r="K2878" s="2" t="inlineStr">
        <is>
          <t>marker_555_372520.png</t>
        </is>
      </c>
      <c r="L2878" s="11">
        <f>HYPERLINK("3\1\" &amp; K2878, "Ver Imagen")</f>
        <v/>
      </c>
      <c r="M2878" t="inlineStr">
        <is>
          <t>Moda</t>
        </is>
      </c>
    </row>
    <row r="2879">
      <c r="A2879" t="n">
        <v>2878</v>
      </c>
      <c r="B2879" t="inlineStr">
        <is>
          <t>A-497__526</t>
        </is>
      </c>
      <c r="C2879" s="1" t="n">
        <v>37.2066740549</v>
      </c>
      <c r="D2879" s="1" t="n">
        <v>-7.02063312148</v>
      </c>
      <c r="E2879" s="3" t="n">
        <v>3</v>
      </c>
      <c r="F2879" s="2" t="n">
        <v>2</v>
      </c>
      <c r="G2879" s="4" t="n">
        <v>3</v>
      </c>
      <c r="H2879" s="13" t="n"/>
      <c r="I2879" s="15" t="n"/>
      <c r="J2879" s="19" t="n">
        <v>3</v>
      </c>
      <c r="K2879" s="2" t="inlineStr">
        <is>
          <t>marker_998_372537.png</t>
        </is>
      </c>
      <c r="L2879" s="11">
        <f>HYPERLINK("3\1\" &amp; K2879, "Ver Imagen")</f>
        <v/>
      </c>
      <c r="M2879" t="inlineStr">
        <is>
          <t>Moda</t>
        </is>
      </c>
    </row>
    <row r="2880">
      <c r="A2880" t="n">
        <v>2879</v>
      </c>
      <c r="B2880" t="inlineStr">
        <is>
          <t>A-497_2C__361</t>
        </is>
      </c>
      <c r="C2880" s="1" t="n">
        <v>37.2371804525</v>
      </c>
      <c r="D2880" s="1" t="n">
        <v>-7.0187395445</v>
      </c>
      <c r="E2880" s="3" t="n">
        <v>3</v>
      </c>
      <c r="F2880" s="2" t="n">
        <v>2</v>
      </c>
      <c r="G2880" s="4" t="n">
        <v>3</v>
      </c>
      <c r="H2880" s="13" t="n"/>
      <c r="I2880" s="15" t="n"/>
      <c r="J2880" s="19" t="n">
        <v>3</v>
      </c>
      <c r="K2880" s="2" t="inlineStr">
        <is>
          <t>marker_348_362341.png</t>
        </is>
      </c>
      <c r="L2880" s="11">
        <f>HYPERLINK("3\1\" &amp; K2880, "Ver Imagen")</f>
        <v/>
      </c>
      <c r="M2880" t="inlineStr">
        <is>
          <t>Moda</t>
        </is>
      </c>
    </row>
    <row r="2881">
      <c r="A2881" t="n">
        <v>2880</v>
      </c>
      <c r="B2881" t="inlineStr">
        <is>
          <t>A-497__523</t>
        </is>
      </c>
      <c r="C2881" s="1" t="n">
        <v>37.2070684367</v>
      </c>
      <c r="D2881" s="1" t="n">
        <v>-7.02122172849</v>
      </c>
      <c r="E2881" s="3" t="n">
        <v>3</v>
      </c>
      <c r="F2881" s="2" t="n">
        <v>2</v>
      </c>
      <c r="G2881" s="4" t="n">
        <v>3</v>
      </c>
      <c r="H2881" s="13" t="n"/>
      <c r="I2881" s="15" t="n"/>
      <c r="J2881" s="19" t="n">
        <v>3</v>
      </c>
      <c r="K2881" s="2" t="inlineStr">
        <is>
          <t>marker_298_372567.png</t>
        </is>
      </c>
      <c r="L2881" s="11">
        <f>HYPERLINK("3\1\" &amp; K2881, "Ver Imagen")</f>
        <v/>
      </c>
      <c r="M2881" t="inlineStr">
        <is>
          <t>Moda</t>
        </is>
      </c>
    </row>
    <row r="2882">
      <c r="A2882" t="n">
        <v>2881</v>
      </c>
      <c r="B2882" t="inlineStr">
        <is>
          <t>A-497__520</t>
        </is>
      </c>
      <c r="C2882" s="1" t="n">
        <v>37.2075087009</v>
      </c>
      <c r="D2882" s="1" t="n">
        <v>-7.02175870099</v>
      </c>
      <c r="E2882" s="3" t="n">
        <v>3</v>
      </c>
      <c r="F2882" s="2" t="n">
        <v>2</v>
      </c>
      <c r="G2882" s="4" t="n">
        <v>3</v>
      </c>
      <c r="H2882" s="13" t="n"/>
      <c r="I2882" s="15" t="n"/>
      <c r="J2882" s="19" t="n">
        <v>3</v>
      </c>
      <c r="K2882" s="2" t="inlineStr">
        <is>
          <t>marker_125_372594.png</t>
        </is>
      </c>
      <c r="L2882" s="11">
        <f>HYPERLINK("3\1\" &amp; K2882, "Ver Imagen")</f>
        <v/>
      </c>
      <c r="M2882" t="inlineStr">
        <is>
          <t>Moda</t>
        </is>
      </c>
    </row>
    <row r="2883">
      <c r="A2883" t="n">
        <v>2882</v>
      </c>
      <c r="B2883" t="inlineStr">
        <is>
          <t>A-497_2C__375</t>
        </is>
      </c>
      <c r="C2883" s="1" t="n">
        <v>37.2343410016</v>
      </c>
      <c r="D2883" s="1" t="n">
        <v>-7.01817517674</v>
      </c>
      <c r="E2883" s="3" t="n">
        <v>3</v>
      </c>
      <c r="F2883" s="2" t="n">
        <v>2</v>
      </c>
      <c r="G2883" s="4" t="n">
        <v>3</v>
      </c>
      <c r="H2883" s="13" t="n"/>
      <c r="I2883" s="15" t="n"/>
      <c r="J2883" s="19" t="n">
        <v>3</v>
      </c>
      <c r="K2883" s="2" t="inlineStr">
        <is>
          <t>marker_498_362571.png</t>
        </is>
      </c>
      <c r="L2883" s="11">
        <f>HYPERLINK("3\1\" &amp; K2883, "Ver Imagen")</f>
        <v/>
      </c>
      <c r="M2883" t="inlineStr">
        <is>
          <t>Moda</t>
        </is>
      </c>
    </row>
    <row r="2884">
      <c r="A2884" t="n">
        <v>2883</v>
      </c>
      <c r="B2884" t="inlineStr">
        <is>
          <t>A-497__519</t>
        </is>
      </c>
      <c r="C2884" s="1" t="n">
        <v>37.2076581261</v>
      </c>
      <c r="D2884" s="1" t="n">
        <v>-7.02192163848</v>
      </c>
      <c r="E2884" s="3" t="n">
        <v>3</v>
      </c>
      <c r="F2884" s="2" t="n">
        <v>2</v>
      </c>
      <c r="G2884" s="4" t="n">
        <v>3</v>
      </c>
      <c r="H2884" s="13" t="n"/>
      <c r="I2884" s="15" t="n"/>
      <c r="J2884" s="19" t="n">
        <v>3</v>
      </c>
      <c r="K2884" s="2" t="inlineStr">
        <is>
          <t>marker_968_372604.png</t>
        </is>
      </c>
      <c r="L2884" s="11">
        <f>HYPERLINK("3\1\" &amp; K2884, "Ver Imagen")</f>
        <v/>
      </c>
      <c r="M2884" t="inlineStr">
        <is>
          <t>Moda</t>
        </is>
      </c>
    </row>
    <row r="2885">
      <c r="A2885" t="n">
        <v>2884</v>
      </c>
      <c r="B2885" t="inlineStr">
        <is>
          <t>A-497__518</t>
        </is>
      </c>
      <c r="C2885" s="1" t="n">
        <v>37.2078180562</v>
      </c>
      <c r="D2885" s="1" t="n">
        <v>-7.0220860639</v>
      </c>
      <c r="E2885" s="3" t="n">
        <v>3</v>
      </c>
      <c r="F2885" s="2" t="n">
        <v>2</v>
      </c>
      <c r="G2885" s="4" t="n">
        <v>3</v>
      </c>
      <c r="H2885" s="13" t="n"/>
      <c r="I2885" s="15" t="n"/>
      <c r="J2885" s="19" t="n">
        <v>3</v>
      </c>
      <c r="K2885" s="2" t="inlineStr">
        <is>
          <t>marker_501_372614.png</t>
        </is>
      </c>
      <c r="L2885" s="11">
        <f>HYPERLINK("3\1\" &amp; K2885, "Ver Imagen")</f>
        <v/>
      </c>
      <c r="M2885" t="inlineStr">
        <is>
          <t>Moda</t>
        </is>
      </c>
    </row>
    <row r="2886">
      <c r="A2886" t="n">
        <v>2885</v>
      </c>
      <c r="B2886" t="inlineStr">
        <is>
          <t>A-497_2C__376</t>
        </is>
      </c>
      <c r="C2886" s="1" t="n">
        <v>37.2341486757</v>
      </c>
      <c r="D2886" s="1" t="n">
        <v>-7.0181673958</v>
      </c>
      <c r="E2886" s="3" t="n">
        <v>3</v>
      </c>
      <c r="F2886" s="2" t="n">
        <v>2</v>
      </c>
      <c r="G2886" s="4" t="n">
        <v>3</v>
      </c>
      <c r="H2886" s="13" t="n"/>
      <c r="I2886" s="15" t="n"/>
      <c r="J2886" s="19" t="n">
        <v>3</v>
      </c>
      <c r="K2886" s="2" t="inlineStr">
        <is>
          <t>marker_594_362586.png</t>
        </is>
      </c>
      <c r="L2886" s="11">
        <f>HYPERLINK("3\1\" &amp; K2886, "Ver Imagen")</f>
        <v/>
      </c>
      <c r="M2886" t="inlineStr">
        <is>
          <t>Moda</t>
        </is>
      </c>
    </row>
    <row r="2887">
      <c r="A2887" t="n">
        <v>2886</v>
      </c>
      <c r="B2887" t="inlineStr">
        <is>
          <t>A-497_2C__377</t>
        </is>
      </c>
      <c r="C2887" s="1" t="n">
        <v>37.2339818847</v>
      </c>
      <c r="D2887" s="1" t="n">
        <v>-7.01817031416</v>
      </c>
      <c r="E2887" s="3" t="n">
        <v>3</v>
      </c>
      <c r="F2887" s="2" t="n">
        <v>2</v>
      </c>
      <c r="G2887" s="4" t="n">
        <v>3</v>
      </c>
      <c r="H2887" s="13" t="n"/>
      <c r="I2887" s="15" t="n"/>
      <c r="J2887" s="19" t="n">
        <v>3</v>
      </c>
      <c r="K2887" s="2" t="inlineStr">
        <is>
          <t>marker_145_362596.png</t>
        </is>
      </c>
      <c r="L2887" s="11">
        <f>HYPERLINK("3\1\" &amp; K2887, "Ver Imagen")</f>
        <v/>
      </c>
      <c r="M2887" t="inlineStr">
        <is>
          <t>Moda</t>
        </is>
      </c>
    </row>
    <row r="2888">
      <c r="A2888" t="n">
        <v>2887</v>
      </c>
      <c r="B2888" t="inlineStr">
        <is>
          <t>A-497_2C__379</t>
        </is>
      </c>
      <c r="C2888" s="1" t="n">
        <v>37.2335960527</v>
      </c>
      <c r="D2888" s="1" t="n">
        <v>-7.01821236319</v>
      </c>
      <c r="E2888" s="3" t="n">
        <v>3</v>
      </c>
      <c r="F2888" s="2" t="n">
        <v>2</v>
      </c>
      <c r="G2888" s="4" t="n">
        <v>3</v>
      </c>
      <c r="H2888" s="13" t="n"/>
      <c r="I2888" s="15" t="n"/>
      <c r="J2888" s="19" t="n">
        <v>3</v>
      </c>
      <c r="K2888" s="2" t="inlineStr">
        <is>
          <t>marker_504_362694.png</t>
        </is>
      </c>
      <c r="L2888" s="11">
        <f>HYPERLINK("3\1\" &amp; K2888, "Ver Imagen")</f>
        <v/>
      </c>
      <c r="M2888" t="inlineStr">
        <is>
          <t>Moda</t>
        </is>
      </c>
    </row>
    <row r="2889">
      <c r="A2889" t="n">
        <v>2888</v>
      </c>
      <c r="B2889" t="inlineStr">
        <is>
          <t>A-497_2C__380</t>
        </is>
      </c>
      <c r="C2889" s="1" t="n">
        <v>37.2333846756</v>
      </c>
      <c r="D2889" s="1" t="n">
        <v>-7.01825597012</v>
      </c>
      <c r="E2889" s="3" t="n">
        <v>3</v>
      </c>
      <c r="F2889" s="2" t="n">
        <v>2</v>
      </c>
      <c r="G2889" s="4" t="n">
        <v>3</v>
      </c>
      <c r="H2889" s="13" t="n"/>
      <c r="I2889" s="15" t="n"/>
      <c r="J2889" s="19" t="n">
        <v>3</v>
      </c>
      <c r="K2889" s="2" t="inlineStr">
        <is>
          <t>marker_839_362704.png</t>
        </is>
      </c>
      <c r="L2889" s="11">
        <f>HYPERLINK("3\1\" &amp; K2889, "Ver Imagen")</f>
        <v/>
      </c>
      <c r="M2889" t="inlineStr">
        <is>
          <t>Moda</t>
        </is>
      </c>
    </row>
    <row r="2890">
      <c r="A2890" t="n">
        <v>2889</v>
      </c>
      <c r="B2890" t="inlineStr">
        <is>
          <t>A-497__515</t>
        </is>
      </c>
      <c r="C2890" s="1" t="n">
        <v>37.2083370968</v>
      </c>
      <c r="D2890" s="1" t="n">
        <v>-7.02255107066</v>
      </c>
      <c r="E2890" s="3" t="n">
        <v>3</v>
      </c>
      <c r="F2890" s="2" t="n">
        <v>2</v>
      </c>
      <c r="G2890" s="4" t="n">
        <v>3</v>
      </c>
      <c r="H2890" s="13" t="n"/>
      <c r="I2890" s="15" t="n"/>
      <c r="J2890" s="19" t="n">
        <v>3</v>
      </c>
      <c r="K2890" s="2" t="inlineStr">
        <is>
          <t>marker_762_372643.png</t>
        </is>
      </c>
      <c r="L2890" s="11">
        <f>HYPERLINK("3\1\" &amp; K2890, "Ver Imagen")</f>
        <v/>
      </c>
      <c r="M2890" t="inlineStr">
        <is>
          <t>Moda</t>
        </is>
      </c>
    </row>
    <row r="2891">
      <c r="A2891" t="n">
        <v>2890</v>
      </c>
      <c r="B2891" t="inlineStr">
        <is>
          <t>A-497_2C__382</t>
        </is>
      </c>
      <c r="C2891" s="1" t="n">
        <v>37.2329746685</v>
      </c>
      <c r="D2891" s="1" t="n">
        <v>-7.01838532135</v>
      </c>
      <c r="E2891" s="3" t="n">
        <v>3</v>
      </c>
      <c r="F2891" s="2" t="n">
        <v>2</v>
      </c>
      <c r="G2891" s="4" t="n">
        <v>3</v>
      </c>
      <c r="H2891" s="13" t="n"/>
      <c r="I2891" s="15" t="n"/>
      <c r="J2891" s="19" t="n">
        <v>3</v>
      </c>
      <c r="K2891" s="2" t="inlineStr">
        <is>
          <t>marker_227_362721.png</t>
        </is>
      </c>
      <c r="L2891" s="11">
        <f>HYPERLINK("3\1\" &amp; K2891, "Ver Imagen")</f>
        <v/>
      </c>
      <c r="M2891" t="inlineStr">
        <is>
          <t>Moda</t>
        </is>
      </c>
    </row>
    <row r="2892">
      <c r="A2892" t="n">
        <v>2891</v>
      </c>
      <c r="B2892" t="inlineStr">
        <is>
          <t>A-497__514</t>
        </is>
      </c>
      <c r="C2892" s="1" t="n">
        <v>37.2085069232</v>
      </c>
      <c r="D2892" s="1" t="n">
        <v>-7.02268295186</v>
      </c>
      <c r="E2892" s="3" t="n">
        <v>3</v>
      </c>
      <c r="F2892" s="2" t="n">
        <v>2</v>
      </c>
      <c r="G2892" s="4" t="n">
        <v>3</v>
      </c>
      <c r="H2892" s="13" t="n"/>
      <c r="I2892" s="15" t="n"/>
      <c r="J2892" s="19" t="n">
        <v>3</v>
      </c>
      <c r="K2892" s="2" t="inlineStr">
        <is>
          <t>marker_288_372651.png</t>
        </is>
      </c>
      <c r="L2892" s="11">
        <f>HYPERLINK("3\1\" &amp; K2892, "Ver Imagen")</f>
        <v/>
      </c>
      <c r="M2892" t="inlineStr">
        <is>
          <t>Moda</t>
        </is>
      </c>
    </row>
    <row r="2893">
      <c r="A2893" t="n">
        <v>2892</v>
      </c>
      <c r="B2893" t="inlineStr">
        <is>
          <t>A-497__511</t>
        </is>
      </c>
      <c r="C2893" s="1" t="n">
        <v>37.2090203298</v>
      </c>
      <c r="D2893" s="1" t="n">
        <v>-7.02303048086</v>
      </c>
      <c r="E2893" s="3" t="n">
        <v>3</v>
      </c>
      <c r="F2893" s="2" t="n">
        <v>2</v>
      </c>
      <c r="G2893" s="4" t="n">
        <v>3</v>
      </c>
      <c r="H2893" s="13" t="n"/>
      <c r="I2893" s="15" t="n"/>
      <c r="J2893" s="19" t="n">
        <v>3</v>
      </c>
      <c r="K2893" s="2" t="inlineStr">
        <is>
          <t>marker_245_372682.png</t>
        </is>
      </c>
      <c r="L2893" s="11">
        <f>HYPERLINK("3\1\" &amp; K2893, "Ver Imagen")</f>
        <v/>
      </c>
      <c r="M2893" t="inlineStr">
        <is>
          <t>Moda</t>
        </is>
      </c>
    </row>
    <row r="2894">
      <c r="A2894" t="n">
        <v>2893</v>
      </c>
      <c r="B2894" t="inlineStr">
        <is>
          <t>A-497__509</t>
        </is>
      </c>
      <c r="C2894" s="1" t="n">
        <v>37.2093685596</v>
      </c>
      <c r="D2894" s="1" t="n">
        <v>-7.02322685428</v>
      </c>
      <c r="E2894" s="3" t="n">
        <v>3</v>
      </c>
      <c r="F2894" s="2" t="n">
        <v>4</v>
      </c>
      <c r="G2894" s="4" t="n">
        <v>3</v>
      </c>
      <c r="H2894" s="13" t="n"/>
      <c r="I2894" s="15" t="n"/>
      <c r="J2894" s="19" t="n">
        <v>3</v>
      </c>
      <c r="K2894" s="2" t="inlineStr">
        <is>
          <t>marker_608_372702.png</t>
        </is>
      </c>
      <c r="L2894" s="11">
        <f>HYPERLINK("3\1\" &amp; K2894, "Ver Imagen")</f>
        <v/>
      </c>
      <c r="M2894" t="inlineStr">
        <is>
          <t>Moda</t>
        </is>
      </c>
    </row>
    <row r="2895">
      <c r="A2895" t="n">
        <v>2894</v>
      </c>
      <c r="B2895" t="inlineStr">
        <is>
          <t>A-497__507</t>
        </is>
      </c>
      <c r="C2895" s="1" t="n">
        <v>37.2097619971</v>
      </c>
      <c r="D2895" s="1" t="n">
        <v>-7.02341573098</v>
      </c>
      <c r="E2895" s="3" t="n">
        <v>3</v>
      </c>
      <c r="F2895" s="2" t="n">
        <v>2</v>
      </c>
      <c r="G2895" s="4" t="n">
        <v>3</v>
      </c>
      <c r="H2895" s="13" t="n"/>
      <c r="I2895" s="15" t="n"/>
      <c r="J2895" s="19" t="n">
        <v>3</v>
      </c>
      <c r="K2895" s="2" t="inlineStr">
        <is>
          <t>marker_476_372724.png</t>
        </is>
      </c>
      <c r="L2895" s="11">
        <f>HYPERLINK("3\1\" &amp; K2895, "Ver Imagen")</f>
        <v/>
      </c>
      <c r="M2895" t="inlineStr">
        <is>
          <t>Moda</t>
        </is>
      </c>
    </row>
    <row r="2896">
      <c r="A2896" t="n">
        <v>2895</v>
      </c>
      <c r="B2896" t="inlineStr">
        <is>
          <t>A-497__506</t>
        </is>
      </c>
      <c r="C2896" s="1" t="n">
        <v>37.2099736064</v>
      </c>
      <c r="D2896" s="1" t="n">
        <v>-7.02350186691</v>
      </c>
      <c r="E2896" s="3" t="n">
        <v>3</v>
      </c>
      <c r="F2896" s="2" t="n">
        <v>2</v>
      </c>
      <c r="G2896" s="4" t="n">
        <v>3</v>
      </c>
      <c r="H2896" s="13" t="n"/>
      <c r="I2896" s="15" t="n"/>
      <c r="J2896" s="19" t="n">
        <v>3</v>
      </c>
      <c r="K2896" s="2" t="inlineStr">
        <is>
          <t>marker_260_372733.png</t>
        </is>
      </c>
      <c r="L2896" s="11">
        <f>HYPERLINK("3\1\" &amp; K2896, "Ver Imagen")</f>
        <v/>
      </c>
      <c r="M2896" t="inlineStr">
        <is>
          <t>Moda</t>
        </is>
      </c>
    </row>
    <row r="2897">
      <c r="A2897" t="n">
        <v>2896</v>
      </c>
      <c r="B2897" t="inlineStr">
        <is>
          <t>A-497__505</t>
        </is>
      </c>
      <c r="C2897" s="1" t="n">
        <v>37.2101501441</v>
      </c>
      <c r="D2897" s="1" t="n">
        <v>-7.02356558433</v>
      </c>
      <c r="E2897" s="3" t="n">
        <v>3</v>
      </c>
      <c r="F2897" s="2" t="n">
        <v>2</v>
      </c>
      <c r="G2897" s="4" t="n">
        <v>3</v>
      </c>
      <c r="H2897" s="13" t="n"/>
      <c r="I2897" s="15" t="n"/>
      <c r="J2897" s="19" t="n">
        <v>3</v>
      </c>
      <c r="K2897" s="2" t="inlineStr">
        <is>
          <t>marker_386_372747.png</t>
        </is>
      </c>
      <c r="L2897" s="11">
        <f>HYPERLINK("3\1\" &amp; K2897, "Ver Imagen")</f>
        <v/>
      </c>
      <c r="M2897" t="inlineStr">
        <is>
          <t>Moda</t>
        </is>
      </c>
    </row>
    <row r="2898">
      <c r="A2898" t="n">
        <v>2897</v>
      </c>
      <c r="B2898" t="inlineStr">
        <is>
          <t>A-497_2C__396</t>
        </is>
      </c>
      <c r="C2898" s="1" t="n">
        <v>37.2304749791</v>
      </c>
      <c r="D2898" s="1" t="n">
        <v>-7.02010354537</v>
      </c>
      <c r="E2898" s="3" t="n">
        <v>3</v>
      </c>
      <c r="F2898" s="2" t="n">
        <v>2</v>
      </c>
      <c r="G2898" s="4" t="n">
        <v>3</v>
      </c>
      <c r="H2898" s="13" t="n"/>
      <c r="I2898" s="15" t="n"/>
      <c r="J2898" s="19" t="n">
        <v>3</v>
      </c>
      <c r="K2898" s="2" t="inlineStr">
        <is>
          <t>marker_317_362866.png</t>
        </is>
      </c>
      <c r="L2898" s="11">
        <f>HYPERLINK("3\1\" &amp; K2898, "Ver Imagen")</f>
        <v/>
      </c>
      <c r="M2898" t="inlineStr">
        <is>
          <t>Moda</t>
        </is>
      </c>
    </row>
    <row r="2899">
      <c r="A2899" t="n">
        <v>2898</v>
      </c>
      <c r="B2899" t="inlineStr">
        <is>
          <t>A-497_2C__398</t>
        </is>
      </c>
      <c r="C2899" s="1" t="n">
        <v>37.2301652103</v>
      </c>
      <c r="D2899" s="1" t="n">
        <v>-7.02034063031</v>
      </c>
      <c r="E2899" s="3" t="n">
        <v>3</v>
      </c>
      <c r="F2899" s="2" t="n">
        <v>2</v>
      </c>
      <c r="G2899" s="4" t="n">
        <v>3</v>
      </c>
      <c r="H2899" s="13" t="n"/>
      <c r="I2899" s="15" t="n"/>
      <c r="J2899" s="19" t="n">
        <v>3</v>
      </c>
      <c r="K2899" s="2" t="inlineStr">
        <is>
          <t>marker_668_362887.png</t>
        </is>
      </c>
      <c r="L2899" s="11">
        <f>HYPERLINK("3\1\" &amp; K2899, "Ver Imagen")</f>
        <v/>
      </c>
      <c r="M2899" t="inlineStr">
        <is>
          <t>Moda</t>
        </is>
      </c>
    </row>
    <row r="2900">
      <c r="A2900" t="n">
        <v>2899</v>
      </c>
      <c r="B2900" t="inlineStr">
        <is>
          <t>A-497__502</t>
        </is>
      </c>
      <c r="C2900" s="1" t="n">
        <v>37.2107541706</v>
      </c>
      <c r="D2900" s="1" t="n">
        <v>-7.02373605612</v>
      </c>
      <c r="E2900" s="3" t="n">
        <v>3</v>
      </c>
      <c r="F2900" s="2" t="n">
        <v>2</v>
      </c>
      <c r="G2900" s="4" t="n">
        <v>3</v>
      </c>
      <c r="H2900" s="13" t="n"/>
      <c r="I2900" s="15" t="n"/>
      <c r="J2900" s="19" t="n">
        <v>3</v>
      </c>
      <c r="K2900" s="2" t="inlineStr">
        <is>
          <t>marker_908_376063.png</t>
        </is>
      </c>
      <c r="L2900" s="11">
        <f>HYPERLINK("3\1\" &amp; K2900, "Ver Imagen")</f>
        <v/>
      </c>
      <c r="M2900" t="inlineStr">
        <is>
          <t>Moda</t>
        </is>
      </c>
    </row>
    <row r="2901">
      <c r="A2901" t="n">
        <v>2900</v>
      </c>
      <c r="B2901" t="inlineStr">
        <is>
          <t>A-497__498</t>
        </is>
      </c>
      <c r="C2901" s="1" t="n">
        <v>37.2115600655</v>
      </c>
      <c r="D2901" s="1" t="n">
        <v>-7.02385017927</v>
      </c>
      <c r="E2901" s="3" t="n">
        <v>3</v>
      </c>
      <c r="F2901" s="2" t="n">
        <v>4</v>
      </c>
      <c r="G2901" s="4" t="n">
        <v>3</v>
      </c>
      <c r="H2901" s="13" t="n"/>
      <c r="I2901" s="15" t="n"/>
      <c r="J2901" s="19" t="n">
        <v>3</v>
      </c>
      <c r="K2901" s="2" t="inlineStr">
        <is>
          <t>marker_845_376122.png</t>
        </is>
      </c>
      <c r="L2901" s="11">
        <f>HYPERLINK("3\1\" &amp; K2901, "Ver Imagen")</f>
        <v/>
      </c>
      <c r="M2901" t="inlineStr">
        <is>
          <t>Moda</t>
        </is>
      </c>
    </row>
    <row r="2902">
      <c r="A2902" t="n">
        <v>2901</v>
      </c>
      <c r="B2902" t="inlineStr">
        <is>
          <t>A-497_2C__419</t>
        </is>
      </c>
      <c r="C2902" s="1" t="n">
        <v>37.2264870213</v>
      </c>
      <c r="D2902" s="1" t="n">
        <v>-7.02299945685</v>
      </c>
      <c r="E2902" s="3" t="n">
        <v>3</v>
      </c>
      <c r="F2902" s="2" t="n">
        <v>2</v>
      </c>
      <c r="G2902" s="4" t="n">
        <v>3</v>
      </c>
      <c r="H2902" s="13" t="n"/>
      <c r="I2902" s="15" t="n"/>
      <c r="J2902" s="19" t="n">
        <v>3</v>
      </c>
      <c r="K2902" s="2" t="inlineStr">
        <is>
          <t>marker_731_363103.png</t>
        </is>
      </c>
      <c r="L2902" s="11">
        <f>HYPERLINK("3\1\" &amp; K2902, "Ver Imagen")</f>
        <v/>
      </c>
      <c r="M2902" t="inlineStr">
        <is>
          <t>Moda</t>
        </is>
      </c>
    </row>
    <row r="2903">
      <c r="A2903" t="n">
        <v>2902</v>
      </c>
      <c r="B2903" t="inlineStr">
        <is>
          <t>A-497__473</t>
        </is>
      </c>
      <c r="C2903" s="1" t="n">
        <v>37.2165767951</v>
      </c>
      <c r="D2903" s="1" t="n">
        <v>-7.02312599901</v>
      </c>
      <c r="E2903" s="3" t="n">
        <v>3</v>
      </c>
      <c r="F2903" s="2" t="n">
        <v>2</v>
      </c>
      <c r="G2903" s="4" t="n">
        <v>3</v>
      </c>
      <c r="H2903" s="13" t="n"/>
      <c r="I2903" s="15" t="n"/>
      <c r="J2903" s="19" t="n">
        <v>3</v>
      </c>
      <c r="K2903" s="2" t="inlineStr">
        <is>
          <t>marker_304_376395.png</t>
        </is>
      </c>
      <c r="L2903" s="11">
        <f>HYPERLINK("3\1\" &amp; K2903, "Ver Imagen")</f>
        <v/>
      </c>
      <c r="M2903" t="inlineStr">
        <is>
          <t>Moda</t>
        </is>
      </c>
    </row>
    <row r="2904">
      <c r="A2904" t="n">
        <v>2903</v>
      </c>
      <c r="B2904" t="inlineStr">
        <is>
          <t>A-497_2C__458</t>
        </is>
      </c>
      <c r="C2904" s="1" t="n">
        <v>37.218635502</v>
      </c>
      <c r="D2904" s="1" t="n">
        <v>-7.02298872366</v>
      </c>
      <c r="E2904" s="3" t="n">
        <v>3</v>
      </c>
      <c r="F2904" s="2" t="n">
        <v>2</v>
      </c>
      <c r="G2904" s="4" t="n">
        <v>3</v>
      </c>
      <c r="H2904" s="13" t="n"/>
      <c r="I2904" s="15" t="n"/>
      <c r="J2904" s="19" t="n">
        <v>3</v>
      </c>
      <c r="K2904" s="2" t="inlineStr">
        <is>
          <t>marker_478_363508.png</t>
        </is>
      </c>
      <c r="L2904" s="11">
        <f>HYPERLINK("3\1\" &amp; K2904, "Ver Imagen")</f>
        <v/>
      </c>
      <c r="M2904" t="inlineStr">
        <is>
          <t>Moda</t>
        </is>
      </c>
    </row>
    <row r="2905">
      <c r="A2905" t="n">
        <v>2904</v>
      </c>
      <c r="B2905" t="inlineStr">
        <is>
          <t>A-497_2C__461</t>
        </is>
      </c>
      <c r="C2905" s="1" t="n">
        <v>37.2180024163</v>
      </c>
      <c r="D2905" s="1" t="n">
        <v>-7.02306721702</v>
      </c>
      <c r="E2905" s="3" t="n">
        <v>3</v>
      </c>
      <c r="F2905" s="2" t="n">
        <v>2</v>
      </c>
      <c r="G2905" s="4" t="n">
        <v>3</v>
      </c>
      <c r="H2905" s="13" t="n"/>
      <c r="I2905" s="15" t="n"/>
      <c r="J2905" s="19" t="n">
        <v>3</v>
      </c>
      <c r="K2905" s="2" t="inlineStr">
        <is>
          <t>marker_194_363545.png</t>
        </is>
      </c>
      <c r="L2905" s="11">
        <f>HYPERLINK("3\1\" &amp; K2905, "Ver Imagen")</f>
        <v/>
      </c>
      <c r="M2905" t="inlineStr">
        <is>
          <t>Moda</t>
        </is>
      </c>
    </row>
    <row r="2906">
      <c r="A2906" t="n">
        <v>2905</v>
      </c>
      <c r="B2906" t="inlineStr">
        <is>
          <t>A-497_2C__468</t>
        </is>
      </c>
      <c r="C2906" s="1" t="n">
        <v>37.2166292256</v>
      </c>
      <c r="D2906" s="1" t="n">
        <v>-7.02330535353</v>
      </c>
      <c r="E2906" s="3" t="n">
        <v>3</v>
      </c>
      <c r="F2906" s="2" t="n">
        <v>2</v>
      </c>
      <c r="G2906" s="4" t="n">
        <v>3</v>
      </c>
      <c r="H2906" s="13" t="n"/>
      <c r="I2906" s="15" t="n"/>
      <c r="J2906" s="19" t="n">
        <v>3</v>
      </c>
      <c r="K2906" s="2" t="inlineStr">
        <is>
          <t>marker_885_363618.png</t>
        </is>
      </c>
      <c r="L2906" s="11">
        <f>HYPERLINK("3\1\" &amp; K2906, "Ver Imagen")</f>
        <v/>
      </c>
      <c r="M2906" t="inlineStr">
        <is>
          <t>Moda</t>
        </is>
      </c>
    </row>
    <row r="2907">
      <c r="A2907" t="n">
        <v>2906</v>
      </c>
      <c r="B2907" t="inlineStr">
        <is>
          <t>A-497_2C__470</t>
        </is>
      </c>
      <c r="C2907" s="1" t="n">
        <v>37.2162078046</v>
      </c>
      <c r="D2907" s="1" t="n">
        <v>-7.02337931197</v>
      </c>
      <c r="E2907" s="3" t="n">
        <v>3</v>
      </c>
      <c r="F2907" s="2" t="n">
        <v>2</v>
      </c>
      <c r="G2907" s="4" t="n">
        <v>3</v>
      </c>
      <c r="H2907" s="13" t="n"/>
      <c r="I2907" s="15" t="n"/>
      <c r="J2907" s="19" t="n">
        <v>3</v>
      </c>
      <c r="K2907" s="2" t="inlineStr">
        <is>
          <t>marker_622_363638.png</t>
        </is>
      </c>
      <c r="L2907" s="11">
        <f>HYPERLINK("3\1\" &amp; K2907, "Ver Imagen")</f>
        <v/>
      </c>
      <c r="M2907" t="inlineStr">
        <is>
          <t>Moda</t>
        </is>
      </c>
    </row>
    <row r="2908">
      <c r="A2908" t="n">
        <v>2907</v>
      </c>
      <c r="B2908" t="inlineStr">
        <is>
          <t>A-497__467</t>
        </is>
      </c>
      <c r="C2908" s="1" t="n">
        <v>37.2177332178</v>
      </c>
      <c r="D2908" s="1" t="n">
        <v>-7.02292368037</v>
      </c>
      <c r="E2908" s="3" t="n">
        <v>3</v>
      </c>
      <c r="F2908" s="2" t="n">
        <v>2</v>
      </c>
      <c r="G2908" s="4" t="n">
        <v>3</v>
      </c>
      <c r="H2908" s="13" t="n"/>
      <c r="I2908" s="15" t="n"/>
      <c r="J2908" s="19" t="n">
        <v>3</v>
      </c>
      <c r="K2908" s="2" t="inlineStr">
        <is>
          <t>marker_179_376498.png</t>
        </is>
      </c>
      <c r="L2908" s="11">
        <f>HYPERLINK("3\1\" &amp; K2908, "Ver Imagen")</f>
        <v/>
      </c>
      <c r="M2908" t="inlineStr">
        <is>
          <t>Moda</t>
        </is>
      </c>
    </row>
    <row r="2909">
      <c r="A2909" t="n">
        <v>2908</v>
      </c>
      <c r="B2909" t="inlineStr">
        <is>
          <t>A-497__466</t>
        </is>
      </c>
      <c r="C2909" s="1" t="n">
        <v>37.2180024738</v>
      </c>
      <c r="D2909" s="1" t="n">
        <v>-7.02287997784</v>
      </c>
      <c r="E2909" s="3" t="n">
        <v>3</v>
      </c>
      <c r="F2909" s="2" t="n">
        <v>2</v>
      </c>
      <c r="G2909" s="4" t="n">
        <v>3</v>
      </c>
      <c r="H2909" s="13" t="n"/>
      <c r="I2909" s="15" t="n"/>
      <c r="J2909" s="19" t="n">
        <v>3</v>
      </c>
      <c r="K2909" s="2" t="inlineStr">
        <is>
          <t>marker_508_376513.png</t>
        </is>
      </c>
      <c r="L2909" s="11">
        <f>HYPERLINK("3\1\" &amp; K2909, "Ver Imagen")</f>
        <v/>
      </c>
      <c r="M2909" t="inlineStr">
        <is>
          <t>Moda</t>
        </is>
      </c>
    </row>
    <row r="2910">
      <c r="A2910" t="n">
        <v>2909</v>
      </c>
      <c r="B2910" t="inlineStr">
        <is>
          <t>A-497_2C__485</t>
        </is>
      </c>
      <c r="C2910" s="1" t="n">
        <v>37.2131993165</v>
      </c>
      <c r="D2910" s="1" t="n">
        <v>-7.02391028399</v>
      </c>
      <c r="E2910" s="3" t="n">
        <v>3</v>
      </c>
      <c r="F2910" s="2" t="n">
        <v>2</v>
      </c>
      <c r="G2910" s="4" t="n">
        <v>3</v>
      </c>
      <c r="H2910" s="13" t="n"/>
      <c r="I2910" s="15" t="n"/>
      <c r="J2910" s="19" t="n">
        <v>3</v>
      </c>
      <c r="K2910" s="2" t="inlineStr">
        <is>
          <t>marker_226_363822.png</t>
        </is>
      </c>
      <c r="L2910" s="11">
        <f>HYPERLINK("3\1\" &amp; K2910, "Ver Imagen")</f>
        <v/>
      </c>
      <c r="M2910" t="inlineStr">
        <is>
          <t>Moda</t>
        </is>
      </c>
    </row>
    <row r="2911">
      <c r="A2911" t="n">
        <v>2910</v>
      </c>
      <c r="B2911" t="inlineStr">
        <is>
          <t>A-497_2C__487</t>
        </is>
      </c>
      <c r="C2911" s="1" t="n">
        <v>37.2128120552</v>
      </c>
      <c r="D2911" s="1" t="n">
        <v>-7.02396961897</v>
      </c>
      <c r="E2911" s="3" t="n">
        <v>3</v>
      </c>
      <c r="F2911" s="2" t="n">
        <v>2</v>
      </c>
      <c r="G2911" s="4" t="n">
        <v>3</v>
      </c>
      <c r="H2911" s="13" t="n"/>
      <c r="I2911" s="15" t="n"/>
      <c r="J2911" s="19" t="n">
        <v>3</v>
      </c>
      <c r="K2911" s="2" t="inlineStr">
        <is>
          <t>marker_488_363842.png</t>
        </is>
      </c>
      <c r="L2911" s="11">
        <f>HYPERLINK("3\1\" &amp; K2911, "Ver Imagen")</f>
        <v/>
      </c>
      <c r="M2911" t="inlineStr">
        <is>
          <t>Moda</t>
        </is>
      </c>
    </row>
    <row r="2912">
      <c r="A2912" t="n">
        <v>2911</v>
      </c>
      <c r="B2912" t="inlineStr">
        <is>
          <t>A-497_2C__490</t>
        </is>
      </c>
      <c r="C2912" s="1" t="n">
        <v>37.2121819774</v>
      </c>
      <c r="D2912" s="1" t="n">
        <v>-7.02403849708</v>
      </c>
      <c r="E2912" s="3" t="n">
        <v>3</v>
      </c>
      <c r="F2912" s="2" t="n">
        <v>2</v>
      </c>
      <c r="G2912" s="4" t="n">
        <v>3</v>
      </c>
      <c r="H2912" s="13" t="n"/>
      <c r="I2912" s="15" t="n"/>
      <c r="J2912" s="19" t="n">
        <v>3</v>
      </c>
      <c r="K2912" s="2" t="inlineStr">
        <is>
          <t>marker_590_363892.png</t>
        </is>
      </c>
      <c r="L2912" s="11">
        <f>HYPERLINK("3\1\" &amp; K2912, "Ver Imagen")</f>
        <v/>
      </c>
      <c r="M2912" t="inlineStr">
        <is>
          <t>Moda</t>
        </is>
      </c>
    </row>
    <row r="2913">
      <c r="A2913" t="n">
        <v>2912</v>
      </c>
      <c r="B2913" t="inlineStr">
        <is>
          <t>A-497_2C__491</t>
        </is>
      </c>
      <c r="C2913" s="1" t="n">
        <v>37.211983756</v>
      </c>
      <c r="D2913" s="1" t="n">
        <v>-7.02404802406</v>
      </c>
      <c r="E2913" s="3" t="n">
        <v>3</v>
      </c>
      <c r="F2913" s="2" t="n">
        <v>2</v>
      </c>
      <c r="G2913" s="4" t="n">
        <v>3</v>
      </c>
      <c r="H2913" s="13" t="n"/>
      <c r="I2913" s="15" t="n"/>
      <c r="J2913" s="19" t="n">
        <v>3</v>
      </c>
      <c r="K2913" s="2" t="inlineStr">
        <is>
          <t>marker_470_363905.png</t>
        </is>
      </c>
      <c r="L2913" s="11">
        <f>HYPERLINK("3\1\" &amp; K2913, "Ver Imagen")</f>
        <v/>
      </c>
      <c r="M2913" t="inlineStr">
        <is>
          <t>Moda</t>
        </is>
      </c>
    </row>
    <row r="2914">
      <c r="A2914" t="n">
        <v>2913</v>
      </c>
      <c r="B2914" t="inlineStr">
        <is>
          <t>A-497_2C__493</t>
        </is>
      </c>
      <c r="C2914" s="1" t="n">
        <v>37.2115599216</v>
      </c>
      <c r="D2914" s="1" t="n">
        <v>-7.02404260454</v>
      </c>
      <c r="E2914" s="3" t="n">
        <v>3</v>
      </c>
      <c r="F2914" s="2" t="n">
        <v>2</v>
      </c>
      <c r="G2914" s="4" t="n">
        <v>3</v>
      </c>
      <c r="H2914" s="13" t="n"/>
      <c r="I2914" s="15" t="n"/>
      <c r="J2914" s="19" t="n">
        <v>3</v>
      </c>
      <c r="K2914" s="2" t="inlineStr">
        <is>
          <t>marker_800_363930.png</t>
        </is>
      </c>
      <c r="L2914" s="11">
        <f>HYPERLINK("3\1\" &amp; K2914, "Ver Imagen")</f>
        <v/>
      </c>
      <c r="M2914" t="inlineStr">
        <is>
          <t>Moda</t>
        </is>
      </c>
    </row>
    <row r="2915">
      <c r="A2915" t="n">
        <v>2914</v>
      </c>
      <c r="B2915" t="inlineStr">
        <is>
          <t>A-497_2C__499</t>
        </is>
      </c>
      <c r="C2915" s="1" t="n">
        <v>37.2103833078</v>
      </c>
      <c r="D2915" s="1" t="n">
        <v>-7.02384460354</v>
      </c>
      <c r="E2915" s="3" t="n">
        <v>3</v>
      </c>
      <c r="F2915" s="2" t="n">
        <v>2</v>
      </c>
      <c r="G2915" s="4" t="n">
        <v>3</v>
      </c>
      <c r="H2915" s="13" t="n"/>
      <c r="I2915" s="15" t="n"/>
      <c r="J2915" s="19" t="n">
        <v>3</v>
      </c>
      <c r="K2915" s="2" t="inlineStr">
        <is>
          <t>marker_491_364052.png</t>
        </is>
      </c>
      <c r="L2915" s="11">
        <f>HYPERLINK("3\1\" &amp; K2915, "Ver Imagen")</f>
        <v/>
      </c>
      <c r="M2915" t="inlineStr">
        <is>
          <t>Moda</t>
        </is>
      </c>
    </row>
    <row r="2916">
      <c r="A2916" t="n">
        <v>2915</v>
      </c>
      <c r="B2916" t="inlineStr">
        <is>
          <t>A-497_2C__541</t>
        </is>
      </c>
      <c r="C2916" s="1" t="n">
        <v>37.205001162</v>
      </c>
      <c r="D2916" s="1" t="n">
        <v>-7.01634981843</v>
      </c>
      <c r="E2916" s="3" t="n">
        <v>3</v>
      </c>
      <c r="F2916" s="2" t="n">
        <v>4</v>
      </c>
      <c r="G2916" s="4" t="n">
        <v>3</v>
      </c>
      <c r="H2916" s="13" t="n"/>
      <c r="I2916" s="15" t="n"/>
      <c r="J2916" s="19" t="n">
        <v>3</v>
      </c>
      <c r="K2916" s="2" t="inlineStr">
        <is>
          <t>marker_993_364552.png</t>
        </is>
      </c>
      <c r="L2916" s="11">
        <f>HYPERLINK("3\1\" &amp; K2916, "Ver Imagen")</f>
        <v/>
      </c>
      <c r="M2916" t="inlineStr">
        <is>
          <t>Moda</t>
        </is>
      </c>
    </row>
    <row r="2917">
      <c r="A2917" t="n">
        <v>2916</v>
      </c>
      <c r="B2917" t="inlineStr">
        <is>
          <t>A-497_2C__544</t>
        </is>
      </c>
      <c r="C2917" s="1" t="n">
        <v>37.2048824213</v>
      </c>
      <c r="D2917" s="1" t="n">
        <v>-7.01578984922</v>
      </c>
      <c r="E2917" s="3" t="n">
        <v>3</v>
      </c>
      <c r="F2917" s="2" t="n">
        <v>2</v>
      </c>
      <c r="G2917" s="4" t="n">
        <v>3</v>
      </c>
      <c r="H2917" s="13" t="n"/>
      <c r="I2917" s="15" t="n"/>
      <c r="J2917" s="19" t="n">
        <v>3</v>
      </c>
      <c r="K2917" s="2" t="inlineStr">
        <is>
          <t>marker_654_364619.png</t>
        </is>
      </c>
      <c r="L2917" s="11">
        <f>HYPERLINK("3\1\" &amp; K2917, "Ver Imagen")</f>
        <v/>
      </c>
      <c r="M2917" t="inlineStr">
        <is>
          <t>Moda</t>
        </is>
      </c>
    </row>
    <row r="2918">
      <c r="A2918" t="n">
        <v>2917</v>
      </c>
      <c r="B2918" t="inlineStr">
        <is>
          <t>A-497_2C__548</t>
        </is>
      </c>
      <c r="C2918" s="1" t="n">
        <v>37.2046837203</v>
      </c>
      <c r="D2918" s="1" t="n">
        <v>-7.01481344606</v>
      </c>
      <c r="E2918" s="3" t="n">
        <v>3</v>
      </c>
      <c r="F2918" s="2" t="n">
        <v>2</v>
      </c>
      <c r="G2918" s="4" t="n">
        <v>3</v>
      </c>
      <c r="H2918" s="13" t="n"/>
      <c r="I2918" s="15" t="n"/>
      <c r="J2918" s="19" t="n">
        <v>3</v>
      </c>
      <c r="K2918" s="2" t="inlineStr">
        <is>
          <t>marker_278_364665.png</t>
        </is>
      </c>
      <c r="L2918" s="11">
        <f>HYPERLINK("3\1\" &amp; K2918, "Ver Imagen")</f>
        <v/>
      </c>
      <c r="M2918" t="inlineStr">
        <is>
          <t>Moda</t>
        </is>
      </c>
    </row>
    <row r="2919">
      <c r="A2919" t="n">
        <v>2918</v>
      </c>
      <c r="B2919" t="inlineStr">
        <is>
          <t>A-497_2C__550</t>
        </is>
      </c>
      <c r="C2919" s="1" t="n">
        <v>37.2045833482</v>
      </c>
      <c r="D2919" s="1" t="n">
        <v>-7.01430031349</v>
      </c>
      <c r="E2919" s="3" t="n">
        <v>3</v>
      </c>
      <c r="F2919" s="2" t="n">
        <v>2</v>
      </c>
      <c r="G2919" s="4" t="n">
        <v>3</v>
      </c>
      <c r="H2919" s="13" t="n"/>
      <c r="I2919" s="15" t="n"/>
      <c r="J2919" s="19" t="n">
        <v>3</v>
      </c>
      <c r="K2919" s="2" t="inlineStr">
        <is>
          <t>marker_133_364684.png</t>
        </is>
      </c>
      <c r="L2919" s="11">
        <f>HYPERLINK("3\1\" &amp; K2919, "Ver Imagen")</f>
        <v/>
      </c>
      <c r="M2919" t="inlineStr">
        <is>
          <t>Moda</t>
        </is>
      </c>
    </row>
    <row r="2920">
      <c r="A2920" t="n">
        <v>2919</v>
      </c>
      <c r="B2920" t="inlineStr">
        <is>
          <t>A-497_2C__556</t>
        </is>
      </c>
      <c r="C2920" s="1" t="n">
        <v>37.2043011698</v>
      </c>
      <c r="D2920" s="1" t="n">
        <v>-7.01280888402</v>
      </c>
      <c r="E2920" s="3" t="n">
        <v>3</v>
      </c>
      <c r="F2920" s="2" t="n">
        <v>2</v>
      </c>
      <c r="G2920" s="4" t="n">
        <v>3</v>
      </c>
      <c r="H2920" s="13" t="n"/>
      <c r="I2920" s="15" t="n"/>
      <c r="J2920" s="19" t="n">
        <v>3</v>
      </c>
      <c r="K2920" s="2" t="inlineStr">
        <is>
          <t>marker_775_366337.png</t>
        </is>
      </c>
      <c r="L2920" s="11">
        <f>HYPERLINK("3\1\" &amp; K2920, "Ver Imagen")</f>
        <v/>
      </c>
      <c r="M2920" t="inlineStr">
        <is>
          <t>Moda</t>
        </is>
      </c>
    </row>
    <row r="2921">
      <c r="A2921" t="n">
        <v>2920</v>
      </c>
      <c r="B2921" t="inlineStr">
        <is>
          <t>A-497_2C__560</t>
        </is>
      </c>
      <c r="C2921" s="1" t="n">
        <v>37.204132792</v>
      </c>
      <c r="D2921" s="1" t="n">
        <v>-7.01187763542</v>
      </c>
      <c r="E2921" s="3" t="n">
        <v>3</v>
      </c>
      <c r="F2921" s="2" t="n">
        <v>2</v>
      </c>
      <c r="G2921" s="4" t="n">
        <v>3</v>
      </c>
      <c r="H2921" s="13" t="n"/>
      <c r="I2921" s="15" t="n"/>
      <c r="J2921" s="19" t="n">
        <v>3</v>
      </c>
      <c r="K2921" s="2" t="inlineStr">
        <is>
          <t>marker_428_366377.png</t>
        </is>
      </c>
      <c r="L2921" s="11">
        <f>HYPERLINK("3\1\" &amp; K2921, "Ver Imagen")</f>
        <v/>
      </c>
      <c r="M2921" t="inlineStr">
        <is>
          <t>Moda</t>
        </is>
      </c>
    </row>
    <row r="2922">
      <c r="A2922" t="n">
        <v>2921</v>
      </c>
      <c r="B2922" t="inlineStr">
        <is>
          <t>A-497_2C__561</t>
        </is>
      </c>
      <c r="C2922" s="1" t="n">
        <v>37.204077603</v>
      </c>
      <c r="D2922" s="1" t="n">
        <v>-7.01156392962</v>
      </c>
      <c r="E2922" s="3" t="n">
        <v>3</v>
      </c>
      <c r="F2922" s="2" t="n">
        <v>2</v>
      </c>
      <c r="G2922" s="4" t="n">
        <v>3</v>
      </c>
      <c r="H2922" s="13" t="n"/>
      <c r="I2922" s="15" t="n"/>
      <c r="J2922" s="19" t="n">
        <v>3</v>
      </c>
      <c r="K2922" s="2" t="inlineStr">
        <is>
          <t>marker_604_366386.png</t>
        </is>
      </c>
      <c r="L2922" s="11">
        <f>HYPERLINK("3\1\" &amp; K2922, "Ver Imagen")</f>
        <v/>
      </c>
      <c r="M2922" t="inlineStr">
        <is>
          <t>Moda</t>
        </is>
      </c>
    </row>
    <row r="2923">
      <c r="A2923" t="n">
        <v>2922</v>
      </c>
      <c r="B2923" t="inlineStr">
        <is>
          <t>A-497_2C__562</t>
        </is>
      </c>
      <c r="C2923" s="1" t="n">
        <v>37.2040386032</v>
      </c>
      <c r="D2923" s="1" t="n">
        <v>-7.01133928136</v>
      </c>
      <c r="E2923" s="3" t="n">
        <v>3</v>
      </c>
      <c r="F2923" s="2" t="n">
        <v>2</v>
      </c>
      <c r="G2923" s="4" t="n">
        <v>3</v>
      </c>
      <c r="H2923" s="13" t="n"/>
      <c r="I2923" s="15" t="n"/>
      <c r="J2923" s="19" t="n">
        <v>3</v>
      </c>
      <c r="K2923" s="2" t="inlineStr">
        <is>
          <t>marker_207_366394.png</t>
        </is>
      </c>
      <c r="L2923" s="11">
        <f>HYPERLINK("3\1\" &amp; K2923, "Ver Imagen")</f>
        <v/>
      </c>
      <c r="M2923" t="inlineStr">
        <is>
          <t>Moda</t>
        </is>
      </c>
    </row>
    <row r="2924">
      <c r="A2924" t="n">
        <v>2923</v>
      </c>
      <c r="B2924" t="inlineStr">
        <is>
          <t>A-497_2C__564</t>
        </is>
      </c>
      <c r="C2924" s="1" t="n">
        <v>37.203946246</v>
      </c>
      <c r="D2924" s="1" t="n">
        <v>-7.01079275641</v>
      </c>
      <c r="E2924" s="3" t="n">
        <v>3</v>
      </c>
      <c r="F2924" s="2" t="n">
        <v>2</v>
      </c>
      <c r="G2924" s="4" t="n">
        <v>3</v>
      </c>
      <c r="H2924" s="13" t="n"/>
      <c r="I2924" s="15" t="n"/>
      <c r="J2924" s="19" t="n">
        <v>3</v>
      </c>
      <c r="K2924" s="2" t="inlineStr">
        <is>
          <t>marker_492_366424.png</t>
        </is>
      </c>
      <c r="L2924" s="11">
        <f>HYPERLINK("3\1\" &amp; K2924, "Ver Imagen")</f>
        <v/>
      </c>
      <c r="M2924" t="inlineStr">
        <is>
          <t>Moda</t>
        </is>
      </c>
    </row>
    <row r="2925">
      <c r="A2925" t="n">
        <v>2924</v>
      </c>
      <c r="B2925" t="inlineStr">
        <is>
          <t>A-497_2C__574</t>
        </is>
      </c>
      <c r="C2925" s="1" t="n">
        <v>37.2035511429</v>
      </c>
      <c r="D2925" s="1" t="n">
        <v>-7.00832900052</v>
      </c>
      <c r="E2925" s="3" t="n">
        <v>3</v>
      </c>
      <c r="F2925" s="2" t="n">
        <v>2</v>
      </c>
      <c r="G2925" s="4" t="n">
        <v>3</v>
      </c>
      <c r="H2925" s="13" t="n"/>
      <c r="I2925" s="15" t="n"/>
      <c r="J2925" s="19" t="n">
        <v>3</v>
      </c>
      <c r="K2925" s="2" t="inlineStr">
        <is>
          <t>marker_996_366519.png</t>
        </is>
      </c>
      <c r="L2925" s="11">
        <f>HYPERLINK("3\1\" &amp; K2925, "Ver Imagen")</f>
        <v/>
      </c>
      <c r="M2925" t="inlineStr">
        <is>
          <t>Moda</t>
        </is>
      </c>
    </row>
    <row r="2926">
      <c r="A2926" t="n">
        <v>2925</v>
      </c>
      <c r="B2926" t="inlineStr">
        <is>
          <t>A-497_2C__577</t>
        </is>
      </c>
      <c r="C2926" s="1" t="n">
        <v>37.2034434734</v>
      </c>
      <c r="D2926" s="1" t="n">
        <v>-7.00759700238</v>
      </c>
      <c r="E2926" s="3" t="n">
        <v>3</v>
      </c>
      <c r="F2926" s="2" t="n">
        <v>2</v>
      </c>
      <c r="G2926" s="4" t="n">
        <v>3</v>
      </c>
      <c r="H2926" s="13" t="n"/>
      <c r="I2926" s="15" t="n"/>
      <c r="J2926" s="19" t="n">
        <v>3</v>
      </c>
      <c r="K2926" s="2" t="inlineStr">
        <is>
          <t>marker_550_366547.png</t>
        </is>
      </c>
      <c r="L2926" s="11">
        <f>HYPERLINK("3\1\" &amp; K2926, "Ver Imagen")</f>
        <v/>
      </c>
      <c r="M2926" t="inlineStr">
        <is>
          <t>Moda</t>
        </is>
      </c>
    </row>
    <row r="2927">
      <c r="A2927" t="n">
        <v>2926</v>
      </c>
      <c r="B2927" t="inlineStr">
        <is>
          <t>A-497_2C__588</t>
        </is>
      </c>
      <c r="C2927" s="1" t="n">
        <v>37.2030779564</v>
      </c>
      <c r="D2927" s="1" t="n">
        <v>-7.00490179415</v>
      </c>
      <c r="E2927" s="3" t="n">
        <v>3</v>
      </c>
      <c r="F2927" s="2" t="n">
        <v>2</v>
      </c>
      <c r="G2927" s="4" t="n">
        <v>3</v>
      </c>
      <c r="H2927" s="13" t="n"/>
      <c r="I2927" s="15" t="n"/>
      <c r="J2927" s="19" t="n">
        <v>3</v>
      </c>
      <c r="K2927" s="2" t="inlineStr">
        <is>
          <t>marker_316_366650.png</t>
        </is>
      </c>
      <c r="L2927" s="11">
        <f>HYPERLINK("3\1\" &amp; K2927, "Ver Imagen")</f>
        <v/>
      </c>
      <c r="M2927" t="inlineStr">
        <is>
          <t>Moda</t>
        </is>
      </c>
    </row>
    <row r="2928">
      <c r="A2928" t="n">
        <v>2927</v>
      </c>
      <c r="B2928" t="inlineStr">
        <is>
          <t>A-497_2C__595</t>
        </is>
      </c>
      <c r="C2928" s="1" t="n">
        <v>37.2028747403</v>
      </c>
      <c r="D2928" s="1" t="n">
        <v>-7.0031298405</v>
      </c>
      <c r="E2928" s="3" t="n">
        <v>3</v>
      </c>
      <c r="F2928" s="2" t="n">
        <v>2</v>
      </c>
      <c r="G2928" s="4" t="n">
        <v>3</v>
      </c>
      <c r="H2928" s="13" t="n"/>
      <c r="I2928" s="15" t="n"/>
      <c r="J2928" s="19" t="n">
        <v>3</v>
      </c>
      <c r="K2928" s="2" t="inlineStr">
        <is>
          <t>marker_697_366716.png</t>
        </is>
      </c>
      <c r="L2928" s="11">
        <f>HYPERLINK("3\1\" &amp; K2928, "Ver Imagen")</f>
        <v/>
      </c>
      <c r="M2928" t="inlineStr">
        <is>
          <t>Moda</t>
        </is>
      </c>
    </row>
    <row r="2929">
      <c r="A2929" t="n">
        <v>2928</v>
      </c>
      <c r="B2929" t="inlineStr">
        <is>
          <t>A-497_2C__597</t>
        </is>
      </c>
      <c r="C2929" s="1" t="n">
        <v>37.2028158668</v>
      </c>
      <c r="D2929" s="1" t="n">
        <v>-7.00259891962</v>
      </c>
      <c r="E2929" s="3" t="n">
        <v>3</v>
      </c>
      <c r="F2929" s="2" t="n">
        <v>2</v>
      </c>
      <c r="G2929" s="4" t="n">
        <v>3</v>
      </c>
      <c r="H2929" s="13" t="n"/>
      <c r="I2929" s="15" t="n"/>
      <c r="J2929" s="19" t="n">
        <v>3</v>
      </c>
      <c r="K2929" s="2" t="inlineStr">
        <is>
          <t>marker_728_366734.png</t>
        </is>
      </c>
      <c r="L2929" s="11">
        <f>HYPERLINK("3\1\" &amp; K2929, "Ver Imagen")</f>
        <v/>
      </c>
      <c r="M2929" t="inlineStr">
        <is>
          <t>Moda</t>
        </is>
      </c>
    </row>
    <row r="2930">
      <c r="A2930" t="n">
        <v>2929</v>
      </c>
      <c r="B2930" t="inlineStr">
        <is>
          <t>A-497_2C__601</t>
        </is>
      </c>
      <c r="C2930" s="1" t="n">
        <v>37.2027015656</v>
      </c>
      <c r="D2930" s="1" t="n">
        <v>-7.00158992227</v>
      </c>
      <c r="E2930" s="3" t="n">
        <v>3</v>
      </c>
      <c r="F2930" s="2" t="n">
        <v>2</v>
      </c>
      <c r="G2930" s="4" t="n">
        <v>3</v>
      </c>
      <c r="H2930" s="13" t="n"/>
      <c r="I2930" s="15" t="n"/>
      <c r="J2930" s="19" t="n">
        <v>3</v>
      </c>
      <c r="K2930" s="2" t="inlineStr">
        <is>
          <t>marker_249_366773.png</t>
        </is>
      </c>
      <c r="L2930" s="11">
        <f>HYPERLINK("3\1\" &amp; K2930, "Ver Imagen")</f>
        <v/>
      </c>
      <c r="M2930" t="inlineStr">
        <is>
          <t>Moda</t>
        </is>
      </c>
    </row>
    <row r="2931">
      <c r="A2931" t="n">
        <v>2930</v>
      </c>
      <c r="B2931" t="inlineStr">
        <is>
          <t>A-497_2C__606</t>
        </is>
      </c>
      <c r="C2931" s="1" t="n">
        <v>37.2025453324</v>
      </c>
      <c r="D2931" s="1" t="n">
        <v>-7.00031244782</v>
      </c>
      <c r="E2931" s="3" t="n">
        <v>3</v>
      </c>
      <c r="F2931" s="2" t="n">
        <v>4</v>
      </c>
      <c r="G2931" s="4" t="n">
        <v>3</v>
      </c>
      <c r="H2931" s="13" t="n"/>
      <c r="I2931" s="15" t="n"/>
      <c r="J2931" s="19" t="n">
        <v>3</v>
      </c>
      <c r="K2931" s="2" t="inlineStr">
        <is>
          <t>marker_604_366833.png</t>
        </is>
      </c>
      <c r="L2931" s="11">
        <f>HYPERLINK("3\1\" &amp; K2931, "Ver Imagen")</f>
        <v/>
      </c>
      <c r="M2931" t="inlineStr">
        <is>
          <t>Moda</t>
        </is>
      </c>
    </row>
    <row r="2932">
      <c r="A2932" t="n">
        <v>2931</v>
      </c>
      <c r="B2932" t="inlineStr">
        <is>
          <t>A-497_2C__608</t>
        </is>
      </c>
      <c r="C2932" s="1" t="n">
        <v>37.2024839476</v>
      </c>
      <c r="D2932" s="1" t="n">
        <v>-6.99983815111</v>
      </c>
      <c r="E2932" s="3" t="n">
        <v>3</v>
      </c>
      <c r="F2932" s="2" t="n">
        <v>2</v>
      </c>
      <c r="G2932" s="4" t="n">
        <v>3</v>
      </c>
      <c r="H2932" s="13" t="n"/>
      <c r="I2932" s="15" t="n"/>
      <c r="J2932" s="19" t="n">
        <v>3</v>
      </c>
      <c r="K2932" s="2" t="inlineStr">
        <is>
          <t>marker_498_366853.png</t>
        </is>
      </c>
      <c r="L2932" s="11">
        <f>HYPERLINK("3\1\" &amp; K2932, "Ver Imagen")</f>
        <v/>
      </c>
      <c r="M2932" t="inlineStr">
        <is>
          <t>Moda</t>
        </is>
      </c>
    </row>
    <row r="2933">
      <c r="A2933" t="n">
        <v>2932</v>
      </c>
      <c r="B2933" t="inlineStr">
        <is>
          <t>A-497_2C__609</t>
        </is>
      </c>
      <c r="C2933" s="1" t="n">
        <v>37.2024492083</v>
      </c>
      <c r="D2933" s="1" t="n">
        <v>-6.99956855835</v>
      </c>
      <c r="E2933" s="3" t="n">
        <v>3</v>
      </c>
      <c r="F2933" s="2" t="n">
        <v>2</v>
      </c>
      <c r="G2933" s="4" t="n">
        <v>3</v>
      </c>
      <c r="H2933" s="13" t="n"/>
      <c r="I2933" s="15" t="n"/>
      <c r="J2933" s="19" t="n">
        <v>3</v>
      </c>
      <c r="K2933" s="2" t="inlineStr">
        <is>
          <t>marker_554_366862.png</t>
        </is>
      </c>
      <c r="L2933" s="11">
        <f>HYPERLINK("3\1\" &amp; K2933, "Ver Imagen")</f>
        <v/>
      </c>
      <c r="M2933" t="inlineStr">
        <is>
          <t>Moda</t>
        </is>
      </c>
    </row>
    <row r="2934">
      <c r="A2934" t="n">
        <v>2933</v>
      </c>
      <c r="B2934" t="inlineStr">
        <is>
          <t>A-497_2C__617</t>
        </is>
      </c>
      <c r="C2934" s="1" t="n">
        <v>37.2021811773</v>
      </c>
      <c r="D2934" s="1" t="n">
        <v>-6.99765392118</v>
      </c>
      <c r="E2934" s="3" t="n">
        <v>3</v>
      </c>
      <c r="F2934" s="2" t="n">
        <v>2</v>
      </c>
      <c r="G2934" s="4" t="n">
        <v>3</v>
      </c>
      <c r="H2934" s="13" t="n"/>
      <c r="I2934" s="15" t="n"/>
      <c r="J2934" s="19" t="n">
        <v>3</v>
      </c>
      <c r="K2934" s="2" t="inlineStr">
        <is>
          <t>marker_118_366951.png</t>
        </is>
      </c>
      <c r="L2934" s="11">
        <f>HYPERLINK("3\1\" &amp; K2934, "Ver Imagen")</f>
        <v/>
      </c>
      <c r="M2934" t="inlineStr">
        <is>
          <t>Moda</t>
        </is>
      </c>
    </row>
    <row r="2935">
      <c r="A2935" t="n">
        <v>2934</v>
      </c>
      <c r="B2935" t="inlineStr">
        <is>
          <t>A-497_2C__620</t>
        </is>
      </c>
      <c r="C2935" s="1" t="n">
        <v>37.2020589055</v>
      </c>
      <c r="D2935" s="1" t="n">
        <v>-6.99683128229</v>
      </c>
      <c r="E2935" s="3" t="n">
        <v>3</v>
      </c>
      <c r="F2935" s="2" t="n">
        <v>2</v>
      </c>
      <c r="G2935" s="4" t="n">
        <v>3</v>
      </c>
      <c r="H2935" s="13" t="n"/>
      <c r="I2935" s="15" t="n"/>
      <c r="J2935" s="19" t="n">
        <v>3</v>
      </c>
      <c r="K2935" s="2" t="inlineStr">
        <is>
          <t>marker_407_366981.png</t>
        </is>
      </c>
      <c r="L2935" s="11">
        <f>HYPERLINK("3\1\" &amp; K2935, "Ver Imagen")</f>
        <v/>
      </c>
      <c r="M2935" t="inlineStr">
        <is>
          <t>Moda</t>
        </is>
      </c>
    </row>
    <row r="2936">
      <c r="A2936" t="n">
        <v>2935</v>
      </c>
      <c r="B2936" t="inlineStr">
        <is>
          <t>A-497_2C__624</t>
        </is>
      </c>
      <c r="C2936" s="1" t="n">
        <v>37.2018953735</v>
      </c>
      <c r="D2936" s="1" t="n">
        <v>-6.99581356765</v>
      </c>
      <c r="E2936" s="3" t="n">
        <v>3</v>
      </c>
      <c r="F2936" s="2" t="n">
        <v>2</v>
      </c>
      <c r="G2936" s="4" t="n">
        <v>3</v>
      </c>
      <c r="H2936" s="13" t="n"/>
      <c r="I2936" s="15" t="n"/>
      <c r="J2936" s="19" t="n">
        <v>3</v>
      </c>
      <c r="K2936" s="2" t="inlineStr">
        <is>
          <t>marker_286_367026.png</t>
        </is>
      </c>
      <c r="L2936" s="11">
        <f>HYPERLINK("3\1\" &amp; K2936, "Ver Imagen")</f>
        <v/>
      </c>
      <c r="M2936" t="inlineStr">
        <is>
          <t>Moda</t>
        </is>
      </c>
    </row>
    <row r="2937">
      <c r="A2937" t="n">
        <v>2936</v>
      </c>
      <c r="B2937" t="inlineStr">
        <is>
          <t>A-497__405</t>
        </is>
      </c>
      <c r="C2937" s="1" t="n">
        <v>37.2297127805</v>
      </c>
      <c r="D2937" s="1" t="n">
        <v>-7.02047743122</v>
      </c>
      <c r="E2937" s="3" t="n">
        <v>3</v>
      </c>
      <c r="F2937" s="2" t="n">
        <v>2</v>
      </c>
      <c r="G2937" s="4" t="n">
        <v>3</v>
      </c>
      <c r="H2937" s="13" t="n"/>
      <c r="I2937" s="15" t="n"/>
      <c r="J2937" s="19" t="n">
        <v>3</v>
      </c>
      <c r="K2937" s="2" t="inlineStr">
        <is>
          <t>marker_901_377146.png</t>
        </is>
      </c>
      <c r="L2937" s="11">
        <f>HYPERLINK("3\1\" &amp; K2937, "Ver Imagen")</f>
        <v/>
      </c>
      <c r="M2937" t="inlineStr">
        <is>
          <t>Moda</t>
        </is>
      </c>
    </row>
    <row r="2938">
      <c r="A2938" t="n">
        <v>2937</v>
      </c>
      <c r="B2938" t="inlineStr">
        <is>
          <t>A-497__397</t>
        </is>
      </c>
      <c r="C2938" s="1" t="n">
        <v>37.2311006513</v>
      </c>
      <c r="D2938" s="1" t="n">
        <v>-7.01941132372</v>
      </c>
      <c r="E2938" s="3" t="n">
        <v>3</v>
      </c>
      <c r="F2938" s="2" t="n">
        <v>2</v>
      </c>
      <c r="G2938" s="4" t="n">
        <v>3</v>
      </c>
      <c r="H2938" s="13" t="n"/>
      <c r="I2938" s="15" t="n"/>
      <c r="J2938" s="19" t="n">
        <v>3</v>
      </c>
      <c r="K2938" s="2" t="inlineStr">
        <is>
          <t>marker_511_377220.png</t>
        </is>
      </c>
      <c r="L2938" s="11">
        <f>HYPERLINK("3\1\" &amp; K2938, "Ver Imagen")</f>
        <v/>
      </c>
      <c r="M2938" t="inlineStr">
        <is>
          <t>Moda</t>
        </is>
      </c>
    </row>
    <row r="2939">
      <c r="A2939" t="n">
        <v>2938</v>
      </c>
      <c r="B2939" t="inlineStr">
        <is>
          <t>A-497__396</t>
        </is>
      </c>
      <c r="C2939" s="1" t="n">
        <v>37.2312681426</v>
      </c>
      <c r="D2939" s="1" t="n">
        <v>-7.01928384037</v>
      </c>
      <c r="E2939" s="3" t="n">
        <v>3</v>
      </c>
      <c r="F2939" s="2" t="n">
        <v>2</v>
      </c>
      <c r="G2939" s="4" t="n">
        <v>3</v>
      </c>
      <c r="H2939" s="13" t="n"/>
      <c r="I2939" s="15" t="n"/>
      <c r="J2939" s="19" t="n">
        <v>3</v>
      </c>
      <c r="K2939" s="2" t="inlineStr">
        <is>
          <t>marker_205_377228.png</t>
        </is>
      </c>
      <c r="L2939" s="11">
        <f>HYPERLINK("3\1\" &amp; K2939, "Ver Imagen")</f>
        <v/>
      </c>
      <c r="M2939" t="inlineStr">
        <is>
          <t>Moda</t>
        </is>
      </c>
    </row>
    <row r="2940">
      <c r="A2940" t="n">
        <v>2939</v>
      </c>
      <c r="B2940" t="inlineStr">
        <is>
          <t>A-497__393</t>
        </is>
      </c>
      <c r="C2940" s="1" t="n">
        <v>37.2318457888</v>
      </c>
      <c r="D2940" s="1" t="n">
        <v>-7.01884808917</v>
      </c>
      <c r="E2940" s="3" t="n">
        <v>3</v>
      </c>
      <c r="F2940" s="2" t="n">
        <v>2</v>
      </c>
      <c r="G2940" s="4" t="n">
        <v>3</v>
      </c>
      <c r="H2940" s="13" t="n"/>
      <c r="I2940" s="15" t="n"/>
      <c r="J2940" s="19" t="n">
        <v>3</v>
      </c>
      <c r="K2940" s="2" t="inlineStr">
        <is>
          <t>marker_103_377257.png</t>
        </is>
      </c>
      <c r="L2940" s="11">
        <f>HYPERLINK("3\1\" &amp; K2940, "Ver Imagen")</f>
        <v/>
      </c>
      <c r="M2940" t="inlineStr">
        <is>
          <t>Moda</t>
        </is>
      </c>
    </row>
    <row r="2941">
      <c r="A2941" t="n">
        <v>2940</v>
      </c>
      <c r="B2941" t="inlineStr">
        <is>
          <t>A-497__391</t>
        </is>
      </c>
      <c r="C2941" s="1" t="n">
        <v>37.232127421</v>
      </c>
      <c r="D2941" s="1" t="n">
        <v>-7.01865154044</v>
      </c>
      <c r="E2941" s="3" t="n">
        <v>3</v>
      </c>
      <c r="F2941" s="2" t="n">
        <v>2</v>
      </c>
      <c r="G2941" s="4" t="n">
        <v>3</v>
      </c>
      <c r="H2941" s="13" t="n"/>
      <c r="I2941" s="15" t="n"/>
      <c r="J2941" s="19" t="n">
        <v>3</v>
      </c>
      <c r="K2941" s="2" t="inlineStr">
        <is>
          <t>marker_752_377275.png</t>
        </is>
      </c>
      <c r="L2941" s="11">
        <f>HYPERLINK("3\1\" &amp; K2941, "Ver Imagen")</f>
        <v/>
      </c>
      <c r="M2941" t="inlineStr">
        <is>
          <t>Moda</t>
        </is>
      </c>
    </row>
    <row r="2942">
      <c r="A2942" t="n">
        <v>2941</v>
      </c>
      <c r="B2942" t="inlineStr">
        <is>
          <t>A-497__390</t>
        </is>
      </c>
      <c r="C2942" s="1" t="n">
        <v>37.2323217326</v>
      </c>
      <c r="D2942" s="1" t="n">
        <v>-7.01852774787</v>
      </c>
      <c r="E2942" s="3" t="n">
        <v>3</v>
      </c>
      <c r="F2942" s="2" t="n">
        <v>2</v>
      </c>
      <c r="G2942" s="4" t="n">
        <v>3</v>
      </c>
      <c r="H2942" s="13" t="n"/>
      <c r="I2942" s="15" t="n"/>
      <c r="J2942" s="19" t="n">
        <v>3</v>
      </c>
      <c r="K2942" s="2" t="inlineStr">
        <is>
          <t>marker_316_377285.png</t>
        </is>
      </c>
      <c r="L2942" s="11">
        <f>HYPERLINK("3\1\" &amp; K2942, "Ver Imagen")</f>
        <v/>
      </c>
      <c r="M2942" t="inlineStr">
        <is>
          <t>Moda</t>
        </is>
      </c>
    </row>
    <row r="2943">
      <c r="A2943" t="n">
        <v>2942</v>
      </c>
      <c r="B2943" t="inlineStr">
        <is>
          <t>A-497__389</t>
        </is>
      </c>
      <c r="C2943" s="1" t="n">
        <v>37.232530188</v>
      </c>
      <c r="D2943" s="1" t="n">
        <v>-7.01840734944</v>
      </c>
      <c r="E2943" s="3" t="n">
        <v>3</v>
      </c>
      <c r="F2943" s="2" t="n">
        <v>2</v>
      </c>
      <c r="G2943" s="4" t="n">
        <v>3</v>
      </c>
      <c r="H2943" s="13" t="n"/>
      <c r="I2943" s="15" t="n"/>
      <c r="J2943" s="19" t="n">
        <v>3</v>
      </c>
      <c r="K2943" s="2" t="inlineStr">
        <is>
          <t>marker_319_377293.png</t>
        </is>
      </c>
      <c r="L2943" s="11">
        <f>HYPERLINK("3\1\" &amp; K2943, "Ver Imagen")</f>
        <v/>
      </c>
      <c r="M2943" t="inlineStr">
        <is>
          <t>Moda</t>
        </is>
      </c>
    </row>
    <row r="2944">
      <c r="A2944" t="n">
        <v>2943</v>
      </c>
      <c r="B2944" t="inlineStr">
        <is>
          <t>A-497__337</t>
        </is>
      </c>
      <c r="C2944" s="1" t="n">
        <v>37.2429756409</v>
      </c>
      <c r="D2944" s="1" t="n">
        <v>-7.01837136517</v>
      </c>
      <c r="E2944" s="3" t="n">
        <v>3</v>
      </c>
      <c r="F2944" s="2" t="n">
        <v>2</v>
      </c>
      <c r="G2944" s="4" t="n">
        <v>3</v>
      </c>
      <c r="H2944" s="13" t="n"/>
      <c r="I2944" s="15" t="n"/>
      <c r="J2944" s="19" t="n">
        <v>3</v>
      </c>
      <c r="K2944" s="2" t="inlineStr">
        <is>
          <t>marker_283_377800.png</t>
        </is>
      </c>
      <c r="L2944" s="11">
        <f>HYPERLINK("3\1\" &amp; K2944, "Ver Imagen")</f>
        <v/>
      </c>
      <c r="M2944" t="inlineStr">
        <is>
          <t>Moda</t>
        </is>
      </c>
    </row>
    <row r="2945">
      <c r="A2945" t="n">
        <v>2944</v>
      </c>
      <c r="B2945" t="inlineStr">
        <is>
          <t>A-497__328</t>
        </is>
      </c>
      <c r="C2945" s="1" t="n">
        <v>37.2447790892</v>
      </c>
      <c r="D2945" s="1" t="n">
        <v>-7.01830828719</v>
      </c>
      <c r="E2945" s="3" t="n">
        <v>3</v>
      </c>
      <c r="F2945" s="2" t="n">
        <v>2</v>
      </c>
      <c r="G2945" s="4" t="n">
        <v>3</v>
      </c>
      <c r="H2945" s="13" t="n"/>
      <c r="I2945" s="15" t="n"/>
      <c r="J2945" s="19" t="n">
        <v>3</v>
      </c>
      <c r="K2945" s="2" t="inlineStr">
        <is>
          <t>marker_474_377890.png</t>
        </is>
      </c>
      <c r="L2945" s="11">
        <f>HYPERLINK("3\1\" &amp; K2945, "Ver Imagen")</f>
        <v/>
      </c>
      <c r="M2945" t="inlineStr">
        <is>
          <t>Moda</t>
        </is>
      </c>
    </row>
    <row r="2946">
      <c r="A2946" t="n">
        <v>2945</v>
      </c>
      <c r="B2946" t="inlineStr">
        <is>
          <t>A-497__326</t>
        </is>
      </c>
      <c r="C2946" s="1" t="n">
        <v>37.2451949827</v>
      </c>
      <c r="D2946" s="1" t="n">
        <v>-7.01829022671</v>
      </c>
      <c r="E2946" s="3" t="n">
        <v>3</v>
      </c>
      <c r="F2946" s="2" t="n">
        <v>2</v>
      </c>
      <c r="G2946" s="4" t="n">
        <v>3</v>
      </c>
      <c r="H2946" s="13" t="n"/>
      <c r="I2946" s="15" t="n"/>
      <c r="J2946" s="19" t="n">
        <v>3</v>
      </c>
      <c r="K2946" s="2" t="inlineStr">
        <is>
          <t>marker_237_377908.png</t>
        </is>
      </c>
      <c r="L2946" s="11">
        <f>HYPERLINK("3\1\" &amp; K2946, "Ver Imagen")</f>
        <v/>
      </c>
      <c r="M2946" t="inlineStr">
        <is>
          <t>Moda</t>
        </is>
      </c>
    </row>
    <row r="2947">
      <c r="A2947" t="n">
        <v>2946</v>
      </c>
      <c r="B2947" t="inlineStr">
        <is>
          <t>A-497__321</t>
        </is>
      </c>
      <c r="C2947" s="1" t="n">
        <v>37.2462316118</v>
      </c>
      <c r="D2947" s="1" t="n">
        <v>-7.01825302313</v>
      </c>
      <c r="E2947" s="3" t="n">
        <v>4</v>
      </c>
      <c r="F2947" s="2" t="n">
        <v>3</v>
      </c>
      <c r="G2947" s="4" t="n">
        <v>3</v>
      </c>
      <c r="H2947" s="13" t="n"/>
      <c r="I2947" s="15" t="n"/>
      <c r="J2947" s="19" t="n">
        <v>3</v>
      </c>
      <c r="K2947" s="2" t="inlineStr">
        <is>
          <t>marker_619_377954.png</t>
        </is>
      </c>
      <c r="L2947" s="11">
        <f>HYPERLINK("3\1\" &amp; K2947, "Ver Imagen")</f>
        <v/>
      </c>
      <c r="M2947" t="inlineStr">
        <is>
          <t>Moda</t>
        </is>
      </c>
    </row>
    <row r="2948">
      <c r="A2948" t="n">
        <v>2947</v>
      </c>
      <c r="B2948" t="inlineStr">
        <is>
          <t>A-497__315</t>
        </is>
      </c>
      <c r="C2948" s="1" t="n">
        <v>37.2474135472</v>
      </c>
      <c r="D2948" s="1" t="n">
        <v>-7.01821114544</v>
      </c>
      <c r="E2948" s="3" t="n">
        <v>3</v>
      </c>
      <c r="F2948" s="2" t="n">
        <v>2</v>
      </c>
      <c r="G2948" s="4" t="n">
        <v>3</v>
      </c>
      <c r="H2948" s="13" t="n"/>
      <c r="I2948" s="15" t="n"/>
      <c r="J2948" s="19" t="n">
        <v>3</v>
      </c>
      <c r="K2948" s="2" t="inlineStr">
        <is>
          <t>marker_253_378020.png</t>
        </is>
      </c>
      <c r="L2948" s="11">
        <f>HYPERLINK("3\1\" &amp; K2948, "Ver Imagen")</f>
        <v/>
      </c>
      <c r="M2948" t="inlineStr">
        <is>
          <t>Moda</t>
        </is>
      </c>
    </row>
    <row r="2949">
      <c r="A2949" t="n">
        <v>2948</v>
      </c>
      <c r="B2949" t="inlineStr">
        <is>
          <t>A-497__309</t>
        </is>
      </c>
      <c r="C2949" s="1" t="n">
        <v>37.2486369215</v>
      </c>
      <c r="D2949" s="1" t="n">
        <v>-7.01814732273</v>
      </c>
      <c r="E2949" s="3" t="n">
        <v>3</v>
      </c>
      <c r="F2949" s="2" t="n">
        <v>2</v>
      </c>
      <c r="G2949" s="4" t="n">
        <v>3</v>
      </c>
      <c r="H2949" s="13" t="n"/>
      <c r="I2949" s="15" t="n"/>
      <c r="J2949" s="19" t="n">
        <v>3</v>
      </c>
      <c r="K2949" s="2" t="inlineStr">
        <is>
          <t>marker_641_378110.png</t>
        </is>
      </c>
      <c r="L2949" s="11">
        <f>HYPERLINK("3\1\" &amp; K2949, "Ver Imagen")</f>
        <v/>
      </c>
      <c r="M2949" t="inlineStr">
        <is>
          <t>Moda</t>
        </is>
      </c>
    </row>
    <row r="2950">
      <c r="A2950" t="n">
        <v>2949</v>
      </c>
      <c r="B2950" t="inlineStr">
        <is>
          <t>A-497__303</t>
        </is>
      </c>
      <c r="C2950" s="1" t="n">
        <v>37.2498330717</v>
      </c>
      <c r="D2950" s="1" t="n">
        <v>-7.01788763015</v>
      </c>
      <c r="E2950" s="3" t="n">
        <v>3</v>
      </c>
      <c r="F2950" s="2" t="n">
        <v>4</v>
      </c>
      <c r="G2950" s="4" t="n">
        <v>3</v>
      </c>
      <c r="H2950" s="13" t="n"/>
      <c r="I2950" s="15" t="n"/>
      <c r="J2950" s="19" t="n">
        <v>3</v>
      </c>
      <c r="K2950" s="2" t="inlineStr">
        <is>
          <t>marker_546_378171.png</t>
        </is>
      </c>
      <c r="L2950" s="11">
        <f>HYPERLINK("3\1\" &amp; K2950, "Ver Imagen")</f>
        <v/>
      </c>
      <c r="M2950" t="inlineStr">
        <is>
          <t>Moda</t>
        </is>
      </c>
    </row>
    <row r="2951">
      <c r="A2951" t="n">
        <v>2950</v>
      </c>
      <c r="B2951" t="inlineStr">
        <is>
          <t>A-497__291</t>
        </is>
      </c>
      <c r="C2951" s="1" t="n">
        <v>37.2519948332</v>
      </c>
      <c r="D2951" s="1" t="n">
        <v>-7.01660438632</v>
      </c>
      <c r="E2951" s="3" t="n">
        <v>3</v>
      </c>
      <c r="F2951" s="2" t="n">
        <v>2</v>
      </c>
      <c r="G2951" s="4" t="n">
        <v>3</v>
      </c>
      <c r="H2951" s="13" t="n"/>
      <c r="I2951" s="15" t="n"/>
      <c r="J2951" s="19" t="n">
        <v>3</v>
      </c>
      <c r="K2951" s="2" t="inlineStr">
        <is>
          <t>marker_271_378343.png</t>
        </is>
      </c>
      <c r="L2951" s="11">
        <f>HYPERLINK("3\1\" &amp; K2951, "Ver Imagen")</f>
        <v/>
      </c>
      <c r="M2951" t="inlineStr">
        <is>
          <t>Moda</t>
        </is>
      </c>
    </row>
    <row r="2952">
      <c r="A2952" t="n">
        <v>2951</v>
      </c>
      <c r="B2952" t="inlineStr">
        <is>
          <t>A-497__286</t>
        </is>
      </c>
      <c r="C2952" s="1" t="n">
        <v>37.2529135057</v>
      </c>
      <c r="D2952" s="1" t="n">
        <v>-7.0160238571</v>
      </c>
      <c r="E2952" s="3" t="n">
        <v>3</v>
      </c>
      <c r="F2952" s="2" t="n">
        <v>4</v>
      </c>
      <c r="G2952" s="4" t="n">
        <v>3</v>
      </c>
      <c r="H2952" s="13" t="n"/>
      <c r="I2952" s="15" t="n"/>
      <c r="J2952" s="19" t="n">
        <v>3</v>
      </c>
      <c r="K2952" s="2" t="inlineStr">
        <is>
          <t>marker_393_378406.png</t>
        </is>
      </c>
      <c r="L2952" s="11">
        <f>HYPERLINK("3\1\" &amp; K2952, "Ver Imagen")</f>
        <v/>
      </c>
      <c r="M2952" t="inlineStr">
        <is>
          <t>Moda</t>
        </is>
      </c>
    </row>
    <row r="2953">
      <c r="A2953" t="n">
        <v>2952</v>
      </c>
      <c r="B2953" t="inlineStr">
        <is>
          <t>A-497__262</t>
        </is>
      </c>
      <c r="C2953" s="1" t="n">
        <v>37.2572420167</v>
      </c>
      <c r="D2953" s="1" t="n">
        <v>-7.01326543549</v>
      </c>
      <c r="E2953" s="3" t="n">
        <v>3</v>
      </c>
      <c r="F2953" s="2" t="n">
        <v>2</v>
      </c>
      <c r="G2953" s="4" t="n">
        <v>3</v>
      </c>
      <c r="H2953" s="13" t="n"/>
      <c r="I2953" s="15" t="n"/>
      <c r="J2953" s="19" t="n">
        <v>3</v>
      </c>
      <c r="K2953" s="2" t="inlineStr">
        <is>
          <t>marker_234_378658.png</t>
        </is>
      </c>
      <c r="L2953" s="11">
        <f>HYPERLINK("3\1\" &amp; K2953, "Ver Imagen")</f>
        <v/>
      </c>
      <c r="M2953" t="inlineStr">
        <is>
          <t>Moda</t>
        </is>
      </c>
    </row>
    <row r="2954">
      <c r="A2954" t="n">
        <v>2953</v>
      </c>
      <c r="B2954" t="inlineStr">
        <is>
          <t>A-497__246</t>
        </is>
      </c>
      <c r="C2954" s="1" t="n">
        <v>37.2601481533</v>
      </c>
      <c r="D2954" s="1" t="n">
        <v>-7.01141302045</v>
      </c>
      <c r="E2954" s="3" t="n">
        <v>3</v>
      </c>
      <c r="F2954" s="2" t="n">
        <v>2</v>
      </c>
      <c r="G2954" s="4" t="n">
        <v>3</v>
      </c>
      <c r="H2954" s="13" t="n"/>
      <c r="I2954" s="15" t="n"/>
      <c r="J2954" s="19" t="n">
        <v>3</v>
      </c>
      <c r="K2954" s="2" t="inlineStr">
        <is>
          <t>marker_160_378821.png</t>
        </is>
      </c>
      <c r="L2954" s="11">
        <f>HYPERLINK("3\1\" &amp; K2954, "Ver Imagen")</f>
        <v/>
      </c>
      <c r="M2954" t="inlineStr">
        <is>
          <t>Moda</t>
        </is>
      </c>
    </row>
    <row r="2955">
      <c r="A2955" t="n">
        <v>2954</v>
      </c>
      <c r="B2955" t="inlineStr">
        <is>
          <t>A-497__243</t>
        </is>
      </c>
      <c r="C2955" s="1" t="n">
        <v>37.2606563301</v>
      </c>
      <c r="D2955" s="1" t="n">
        <v>-7.01109060838</v>
      </c>
      <c r="E2955" s="3" t="n">
        <v>3</v>
      </c>
      <c r="F2955" s="2" t="n">
        <v>2</v>
      </c>
      <c r="G2955" s="4" t="n">
        <v>3</v>
      </c>
      <c r="H2955" s="13" t="n"/>
      <c r="I2955" s="15" t="n"/>
      <c r="J2955" s="19" t="n">
        <v>3</v>
      </c>
      <c r="K2955" s="2" t="inlineStr">
        <is>
          <t>marker_791_378853.png</t>
        </is>
      </c>
      <c r="L2955" s="11">
        <f>HYPERLINK("3\1\" &amp; K2955, "Ver Imagen")</f>
        <v/>
      </c>
      <c r="M2955" t="inlineStr">
        <is>
          <t>Moda</t>
        </is>
      </c>
    </row>
    <row r="2956">
      <c r="A2956" t="n">
        <v>2955</v>
      </c>
      <c r="B2956" t="inlineStr">
        <is>
          <t>A-497__239</t>
        </is>
      </c>
      <c r="C2956" s="1" t="n">
        <v>37.2613770237</v>
      </c>
      <c r="D2956" s="1" t="n">
        <v>-7.01060373421</v>
      </c>
      <c r="E2956" s="3" t="n">
        <v>3</v>
      </c>
      <c r="F2956" s="2" t="n">
        <v>3</v>
      </c>
      <c r="G2956" s="4" t="n">
        <v>4</v>
      </c>
      <c r="H2956" s="13" t="n"/>
      <c r="I2956" s="15" t="n"/>
      <c r="J2956" s="19" t="n">
        <v>3</v>
      </c>
      <c r="K2956" s="2" t="inlineStr">
        <is>
          <t>marker_881_378927.png</t>
        </is>
      </c>
      <c r="L2956" s="11">
        <f>HYPERLINK("3\1\" &amp; K2956, "Ver Imagen")</f>
        <v/>
      </c>
      <c r="M2956" t="inlineStr">
        <is>
          <t>Moda</t>
        </is>
      </c>
    </row>
    <row r="2957">
      <c r="A2957" t="n">
        <v>2956</v>
      </c>
      <c r="B2957" t="inlineStr">
        <is>
          <t>A-497__238</t>
        </is>
      </c>
      <c r="C2957" s="1" t="n">
        <v>37.2615433606</v>
      </c>
      <c r="D2957" s="1" t="n">
        <v>-7.01047195763</v>
      </c>
      <c r="E2957" s="3" t="n">
        <v>3</v>
      </c>
      <c r="F2957" s="2" t="n">
        <v>2</v>
      </c>
      <c r="G2957" s="4" t="n">
        <v>3</v>
      </c>
      <c r="H2957" s="13" t="n"/>
      <c r="I2957" s="15" t="n"/>
      <c r="J2957" s="19" t="n">
        <v>3</v>
      </c>
      <c r="K2957" s="2" t="inlineStr">
        <is>
          <t>marker_674_378936.png</t>
        </is>
      </c>
      <c r="L2957" s="11">
        <f>HYPERLINK("3\1\" &amp; K2957, "Ver Imagen")</f>
        <v/>
      </c>
      <c r="M2957" t="inlineStr">
        <is>
          <t>Moda</t>
        </is>
      </c>
    </row>
    <row r="2958">
      <c r="A2958" t="n">
        <v>2957</v>
      </c>
      <c r="B2958" t="inlineStr">
        <is>
          <t>A-497__221</t>
        </is>
      </c>
      <c r="C2958" s="1" t="n">
        <v>37.2634333954</v>
      </c>
      <c r="D2958" s="1" t="n">
        <v>-7.00702448752</v>
      </c>
      <c r="E2958" s="3" t="n">
        <v>3</v>
      </c>
      <c r="F2958" s="2" t="n">
        <v>2</v>
      </c>
      <c r="G2958" s="4" t="n">
        <v>3</v>
      </c>
      <c r="H2958" s="13" t="n"/>
      <c r="I2958" s="15" t="n"/>
      <c r="J2958" s="19" t="n">
        <v>3</v>
      </c>
      <c r="K2958" s="2" t="inlineStr">
        <is>
          <t>marker_235_379131.png</t>
        </is>
      </c>
      <c r="L2958" s="11">
        <f>HYPERLINK("3\1\" &amp; K2958, "Ver Imagen")</f>
        <v/>
      </c>
      <c r="M2958" t="inlineStr">
        <is>
          <t>Moda</t>
        </is>
      </c>
    </row>
    <row r="2959">
      <c r="A2959" t="n">
        <v>2958</v>
      </c>
      <c r="B2959" t="inlineStr">
        <is>
          <t>A-497__212</t>
        </is>
      </c>
      <c r="C2959" s="1" t="n">
        <v>37.263832135</v>
      </c>
      <c r="D2959" s="1" t="n">
        <v>-7.00480898228</v>
      </c>
      <c r="E2959" s="3" t="n">
        <v>3</v>
      </c>
      <c r="F2959" s="2" t="n">
        <v>2</v>
      </c>
      <c r="G2959" s="4" t="n">
        <v>3</v>
      </c>
      <c r="H2959" s="13" t="n"/>
      <c r="I2959" s="15" t="n"/>
      <c r="J2959" s="19" t="n">
        <v>3</v>
      </c>
      <c r="K2959" s="2" t="inlineStr">
        <is>
          <t>marker_283_379237.png</t>
        </is>
      </c>
      <c r="L2959" s="11">
        <f>HYPERLINK("3\1\" &amp; K2959, "Ver Imagen")</f>
        <v/>
      </c>
      <c r="M2959" t="inlineStr">
        <is>
          <t>Moda</t>
        </is>
      </c>
    </row>
    <row r="2960">
      <c r="A2960" t="n">
        <v>2959</v>
      </c>
      <c r="B2960" t="inlineStr">
        <is>
          <t>A-497__206</t>
        </is>
      </c>
      <c r="C2960" s="1" t="n">
        <v>37.2641042751</v>
      </c>
      <c r="D2960" s="1" t="n">
        <v>-7.00326792833</v>
      </c>
      <c r="E2960" s="3" t="n">
        <v>3</v>
      </c>
      <c r="F2960" s="2" t="n">
        <v>2</v>
      </c>
      <c r="G2960" s="4" t="n">
        <v>3</v>
      </c>
      <c r="H2960" s="13" t="n"/>
      <c r="I2960" s="15" t="n"/>
      <c r="J2960" s="19" t="n">
        <v>3</v>
      </c>
      <c r="K2960" s="2" t="inlineStr">
        <is>
          <t>marker_850_379312.png</t>
        </is>
      </c>
      <c r="L2960" s="11">
        <f>HYPERLINK("3\1\" &amp; K2960, "Ver Imagen")</f>
        <v/>
      </c>
      <c r="M2960" t="inlineStr">
        <is>
          <t>Moda</t>
        </is>
      </c>
    </row>
    <row r="2961">
      <c r="A2961" t="n">
        <v>2960</v>
      </c>
      <c r="B2961" t="inlineStr">
        <is>
          <t>A-497__204</t>
        </is>
      </c>
      <c r="C2961" s="1" t="n">
        <v>37.2641921283</v>
      </c>
      <c r="D2961" s="1" t="n">
        <v>-7.00276927126</v>
      </c>
      <c r="E2961" s="3" t="n">
        <v>3</v>
      </c>
      <c r="F2961" s="2" t="n">
        <v>4</v>
      </c>
      <c r="G2961" s="4" t="n">
        <v>3</v>
      </c>
      <c r="H2961" s="13" t="n"/>
      <c r="I2961" s="15" t="n"/>
      <c r="J2961" s="19" t="n">
        <v>3</v>
      </c>
      <c r="K2961" s="2" t="inlineStr">
        <is>
          <t>marker_273_379334.png</t>
        </is>
      </c>
      <c r="L2961" s="11">
        <f>HYPERLINK("3\1\" &amp; K2961, "Ver Imagen")</f>
        <v/>
      </c>
      <c r="M2961" t="inlineStr">
        <is>
          <t>Moda</t>
        </is>
      </c>
    </row>
    <row r="2962">
      <c r="A2962" t="n">
        <v>2961</v>
      </c>
      <c r="B2962" t="inlineStr">
        <is>
          <t>A-497__203</t>
        </is>
      </c>
      <c r="C2962" s="1" t="n">
        <v>37.2642370077</v>
      </c>
      <c r="D2962" s="1" t="n">
        <v>-7.00251642287</v>
      </c>
      <c r="E2962" s="3" t="n">
        <v>3</v>
      </c>
      <c r="F2962" s="2" t="n">
        <v>4</v>
      </c>
      <c r="G2962" s="4" t="n">
        <v>3</v>
      </c>
      <c r="H2962" s="13" t="n"/>
      <c r="I2962" s="15" t="n"/>
      <c r="J2962" s="19" t="n">
        <v>3</v>
      </c>
      <c r="K2962" s="2" t="inlineStr">
        <is>
          <t>marker_173_379382.png</t>
        </is>
      </c>
      <c r="L2962" s="11">
        <f>HYPERLINK("3\1\" &amp; K2962, "Ver Imagen")</f>
        <v/>
      </c>
      <c r="M2962" t="inlineStr">
        <is>
          <t>Moda</t>
        </is>
      </c>
    </row>
    <row r="2963">
      <c r="A2963" t="n">
        <v>2962</v>
      </c>
      <c r="B2963" t="inlineStr">
        <is>
          <t>A-497__198</t>
        </is>
      </c>
      <c r="C2963" s="1" t="n">
        <v>37.264445896</v>
      </c>
      <c r="D2963" s="1" t="n">
        <v>-7.00135096478</v>
      </c>
      <c r="E2963" s="3" t="n">
        <v>3</v>
      </c>
      <c r="F2963" s="2" t="n">
        <v>2</v>
      </c>
      <c r="G2963" s="4" t="n">
        <v>3</v>
      </c>
      <c r="H2963" s="13" t="n"/>
      <c r="I2963" s="15" t="n"/>
      <c r="J2963" s="19" t="n">
        <v>3</v>
      </c>
      <c r="K2963" s="2" t="inlineStr">
        <is>
          <t>marker_105_379431.png</t>
        </is>
      </c>
      <c r="L2963" s="11">
        <f>HYPERLINK("3\1\" &amp; K2963, "Ver Imagen")</f>
        <v/>
      </c>
      <c r="M2963" t="inlineStr">
        <is>
          <t>Moda</t>
        </is>
      </c>
    </row>
    <row r="2964">
      <c r="A2964" t="n">
        <v>2963</v>
      </c>
      <c r="B2964" t="inlineStr">
        <is>
          <t>A-497__197</t>
        </is>
      </c>
      <c r="C2964" s="1" t="n">
        <v>37.2644998468</v>
      </c>
      <c r="D2964" s="1" t="n">
        <v>-7.00105254903</v>
      </c>
      <c r="E2964" s="3" t="n">
        <v>3</v>
      </c>
      <c r="F2964" s="2" t="n">
        <v>2</v>
      </c>
      <c r="G2964" s="4" t="n">
        <v>3</v>
      </c>
      <c r="H2964" s="13" t="n"/>
      <c r="I2964" s="15" t="n"/>
      <c r="J2964" s="19" t="n">
        <v>3</v>
      </c>
      <c r="K2964" s="2" t="inlineStr">
        <is>
          <t>marker_297_379439.png</t>
        </is>
      </c>
      <c r="L2964" s="11">
        <f>HYPERLINK("3\1\" &amp; K2964, "Ver Imagen")</f>
        <v/>
      </c>
      <c r="M2964" t="inlineStr">
        <is>
          <t>Moda</t>
        </is>
      </c>
    </row>
    <row r="2965">
      <c r="A2965" t="n">
        <v>2964</v>
      </c>
      <c r="B2965" t="inlineStr">
        <is>
          <t>A-497__196</t>
        </is>
      </c>
      <c r="C2965" s="1" t="n">
        <v>37.2645474147</v>
      </c>
      <c r="D2965" s="1" t="n">
        <v>-7.00079030079</v>
      </c>
      <c r="E2965" s="3" t="n">
        <v>3</v>
      </c>
      <c r="F2965" s="2" t="n">
        <v>2</v>
      </c>
      <c r="G2965" s="4" t="n">
        <v>3</v>
      </c>
      <c r="H2965" s="13" t="n"/>
      <c r="I2965" s="15" t="n"/>
      <c r="J2965" s="19" t="n">
        <v>3</v>
      </c>
      <c r="K2965" s="2" t="inlineStr">
        <is>
          <t>marker_478_379450.png</t>
        </is>
      </c>
      <c r="L2965" s="11">
        <f>HYPERLINK("3\1\" &amp; K2965, "Ver Imagen")</f>
        <v/>
      </c>
      <c r="M2965" t="inlineStr">
        <is>
          <t>Moda</t>
        </is>
      </c>
    </row>
    <row r="2966">
      <c r="A2966" t="n">
        <v>2965</v>
      </c>
      <c r="B2966" t="inlineStr">
        <is>
          <t>A-497__195</t>
        </is>
      </c>
      <c r="C2966" s="1" t="n">
        <v>37.2645860874</v>
      </c>
      <c r="D2966" s="1" t="n">
        <v>-7.00057605687</v>
      </c>
      <c r="E2966" s="3" t="n">
        <v>3</v>
      </c>
      <c r="F2966" s="2" t="n">
        <v>2</v>
      </c>
      <c r="G2966" s="4" t="n">
        <v>3</v>
      </c>
      <c r="H2966" s="13" t="n"/>
      <c r="I2966" s="15" t="n"/>
      <c r="J2966" s="19" t="n">
        <v>3</v>
      </c>
      <c r="K2966" s="2" t="inlineStr">
        <is>
          <t>marker_300_379460.png</t>
        </is>
      </c>
      <c r="L2966" s="11">
        <f>HYPERLINK("3\1\" &amp; K2966, "Ver Imagen")</f>
        <v/>
      </c>
      <c r="M2966" t="inlineStr">
        <is>
          <t>Moda</t>
        </is>
      </c>
    </row>
    <row r="2967">
      <c r="A2967" t="n">
        <v>2966</v>
      </c>
      <c r="B2967" t="inlineStr">
        <is>
          <t>A-497__183</t>
        </is>
      </c>
      <c r="C2967" s="1" t="n">
        <v>37.2651108831</v>
      </c>
      <c r="D2967" s="1" t="n">
        <v>-6.99760247922</v>
      </c>
      <c r="E2967" s="3" t="n">
        <v>3</v>
      </c>
      <c r="F2967" s="2" t="n">
        <v>2</v>
      </c>
      <c r="G2967" s="4" t="n">
        <v>3</v>
      </c>
      <c r="H2967" s="13" t="n"/>
      <c r="I2967" s="15" t="n"/>
      <c r="J2967" s="19" t="n">
        <v>3</v>
      </c>
      <c r="K2967" s="2" t="inlineStr">
        <is>
          <t>marker_169_379608.png</t>
        </is>
      </c>
      <c r="L2967" s="11">
        <f>HYPERLINK("3\1\" &amp; K2967, "Ver Imagen")</f>
        <v/>
      </c>
      <c r="M2967" t="inlineStr">
        <is>
          <t>Moda</t>
        </is>
      </c>
    </row>
    <row r="2968">
      <c r="A2968" t="n">
        <v>2967</v>
      </c>
      <c r="B2968" t="inlineStr">
        <is>
          <t>A-497__170</t>
        </is>
      </c>
      <c r="C2968" s="1" t="n">
        <v>37.2656917236</v>
      </c>
      <c r="D2968" s="1" t="n">
        <v>-6.99438904611</v>
      </c>
      <c r="E2968" s="3" t="n">
        <v>3</v>
      </c>
      <c r="F2968" s="2" t="n">
        <v>4</v>
      </c>
      <c r="G2968" s="4" t="n">
        <v>3</v>
      </c>
      <c r="H2968" s="13" t="n"/>
      <c r="I2968" s="15" t="n"/>
      <c r="J2968" s="19" t="n">
        <v>3</v>
      </c>
      <c r="K2968" s="2" t="inlineStr">
        <is>
          <t>marker_734_379858.png</t>
        </is>
      </c>
      <c r="L2968" s="11">
        <f>HYPERLINK("3\1\" &amp; K2968, "Ver Imagen")</f>
        <v/>
      </c>
      <c r="M2968" t="inlineStr">
        <is>
          <t>Moda</t>
        </is>
      </c>
    </row>
    <row r="2969">
      <c r="A2969" t="n">
        <v>2968</v>
      </c>
      <c r="B2969" t="inlineStr">
        <is>
          <t>A-497__166</t>
        </is>
      </c>
      <c r="C2969" s="1" t="n">
        <v>37.2659737684</v>
      </c>
      <c r="D2969" s="1" t="n">
        <v>-6.99342076519</v>
      </c>
      <c r="E2969" s="3" t="n">
        <v>3</v>
      </c>
      <c r="F2969" s="2" t="n">
        <v>2</v>
      </c>
      <c r="G2969" s="4" t="n">
        <v>3</v>
      </c>
      <c r="H2969" s="13" t="n"/>
      <c r="I2969" s="15" t="n"/>
      <c r="J2969" s="19" t="n">
        <v>3</v>
      </c>
      <c r="K2969" s="2" t="inlineStr">
        <is>
          <t>marker_158_380192.png</t>
        </is>
      </c>
      <c r="L2969" s="11">
        <f>HYPERLINK("3\1\" &amp; K2969, "Ver Imagen")</f>
        <v/>
      </c>
      <c r="M2969" t="inlineStr">
        <is>
          <t>Moda</t>
        </is>
      </c>
    </row>
    <row r="2970">
      <c r="A2970" t="n">
        <v>2969</v>
      </c>
      <c r="B2970" t="inlineStr">
        <is>
          <t>A-497__161</t>
        </is>
      </c>
      <c r="C2970" s="1" t="n">
        <v>37.2665150524</v>
      </c>
      <c r="D2970" s="1" t="n">
        <v>-6.99233892827</v>
      </c>
      <c r="E2970" s="3" t="n">
        <v>3</v>
      </c>
      <c r="F2970" s="2" t="n">
        <v>2</v>
      </c>
      <c r="G2970" s="4" t="n">
        <v>3</v>
      </c>
      <c r="H2970" s="13" t="n"/>
      <c r="I2970" s="15" t="n"/>
      <c r="J2970" s="19" t="n">
        <v>3</v>
      </c>
      <c r="K2970" s="2" t="inlineStr">
        <is>
          <t>marker_762_380243.png</t>
        </is>
      </c>
      <c r="L2970" s="11">
        <f>HYPERLINK("3\1\" &amp; K2970, "Ver Imagen")</f>
        <v/>
      </c>
      <c r="M2970" t="inlineStr">
        <is>
          <t>Moda</t>
        </is>
      </c>
    </row>
    <row r="2971">
      <c r="A2971" t="n">
        <v>2970</v>
      </c>
      <c r="B2971" t="inlineStr">
        <is>
          <t>A-497__160</t>
        </is>
      </c>
      <c r="C2971" s="1" t="n">
        <v>37.2666456328</v>
      </c>
      <c r="D2971" s="1" t="n">
        <v>-6.99214865606</v>
      </c>
      <c r="E2971" s="3" t="n">
        <v>3</v>
      </c>
      <c r="F2971" s="2" t="n">
        <v>2</v>
      </c>
      <c r="G2971" s="4" t="n">
        <v>3</v>
      </c>
      <c r="H2971" s="13" t="n"/>
      <c r="I2971" s="15" t="n"/>
      <c r="J2971" s="19" t="n">
        <v>3</v>
      </c>
      <c r="K2971" s="2" t="inlineStr">
        <is>
          <t>marker_301_380251.png</t>
        </is>
      </c>
      <c r="L2971" s="11">
        <f>HYPERLINK("3\1\" &amp; K2971, "Ver Imagen")</f>
        <v/>
      </c>
      <c r="M2971" t="inlineStr">
        <is>
          <t>Moda</t>
        </is>
      </c>
    </row>
    <row r="2972">
      <c r="A2972" t="n">
        <v>2971</v>
      </c>
      <c r="B2972" t="inlineStr">
        <is>
          <t>A-497__155</t>
        </is>
      </c>
      <c r="C2972" s="1" t="n">
        <v>37.2673704472</v>
      </c>
      <c r="D2972" s="1" t="n">
        <v>-6.99135877023</v>
      </c>
      <c r="E2972" s="3" t="n">
        <v>3</v>
      </c>
      <c r="F2972" s="2" t="n">
        <v>2</v>
      </c>
      <c r="G2972" s="4" t="n">
        <v>3</v>
      </c>
      <c r="H2972" s="13" t="n"/>
      <c r="I2972" s="15" t="n"/>
      <c r="J2972" s="19" t="n">
        <v>3</v>
      </c>
      <c r="K2972" s="2" t="inlineStr">
        <is>
          <t>marker_436_380296.png</t>
        </is>
      </c>
      <c r="L2972" s="11">
        <f>HYPERLINK("3\1\" &amp; K2972, "Ver Imagen")</f>
        <v/>
      </c>
      <c r="M2972" t="inlineStr">
        <is>
          <t>Moda</t>
        </is>
      </c>
    </row>
    <row r="2973">
      <c r="A2973" t="n">
        <v>2972</v>
      </c>
      <c r="B2973" t="inlineStr">
        <is>
          <t>A-497__154</t>
        </is>
      </c>
      <c r="C2973" s="1" t="n">
        <v>37.267552246</v>
      </c>
      <c r="D2973" s="1" t="n">
        <v>-6.99121106513</v>
      </c>
      <c r="E2973" s="3" t="n">
        <v>3</v>
      </c>
      <c r="F2973" s="2" t="n">
        <v>2</v>
      </c>
      <c r="G2973" s="4" t="n">
        <v>3</v>
      </c>
      <c r="H2973" s="13" t="n"/>
      <c r="I2973" s="15" t="n"/>
      <c r="J2973" s="19" t="n">
        <v>3</v>
      </c>
      <c r="K2973" s="2" t="inlineStr">
        <is>
          <t>marker_715_380305.png</t>
        </is>
      </c>
      <c r="L2973" s="11">
        <f>HYPERLINK("3\1\" &amp; K2973, "Ver Imagen")</f>
        <v/>
      </c>
      <c r="M2973" t="inlineStr">
        <is>
          <t>Moda</t>
        </is>
      </c>
    </row>
    <row r="2974">
      <c r="A2974" t="n">
        <v>2973</v>
      </c>
      <c r="B2974" t="inlineStr">
        <is>
          <t>A-497__153</t>
        </is>
      </c>
      <c r="C2974" s="1" t="n">
        <v>37.2677345057</v>
      </c>
      <c r="D2974" s="1" t="n">
        <v>-6.99107279744</v>
      </c>
      <c r="E2974" s="3" t="n">
        <v>3</v>
      </c>
      <c r="F2974" s="2" t="n">
        <v>2</v>
      </c>
      <c r="G2974" s="4" t="n">
        <v>3</v>
      </c>
      <c r="H2974" s="13" t="n"/>
      <c r="I2974" s="15" t="n"/>
      <c r="J2974" s="19" t="n">
        <v>3</v>
      </c>
      <c r="K2974" s="2" t="inlineStr">
        <is>
          <t>marker_636_380315.png</t>
        </is>
      </c>
      <c r="L2974" s="11">
        <f>HYPERLINK("3\1\" &amp; K2974, "Ver Imagen")</f>
        <v/>
      </c>
      <c r="M2974" t="inlineStr">
        <is>
          <t>Moda</t>
        </is>
      </c>
    </row>
    <row r="2975">
      <c r="A2975" t="n">
        <v>2974</v>
      </c>
      <c r="B2975" t="inlineStr">
        <is>
          <t>A-497__148</t>
        </is>
      </c>
      <c r="C2975" s="1" t="n">
        <v>37.2686048115</v>
      </c>
      <c r="D2975" s="1" t="n">
        <v>-6.99044946838</v>
      </c>
      <c r="E2975" s="3" t="n">
        <v>3</v>
      </c>
      <c r="F2975" s="2" t="n">
        <v>2</v>
      </c>
      <c r="G2975" s="4" t="n">
        <v>3</v>
      </c>
      <c r="H2975" s="13" t="n"/>
      <c r="I2975" s="15" t="n"/>
      <c r="J2975" s="19" t="n">
        <v>3</v>
      </c>
      <c r="K2975" s="2" t="inlineStr">
        <is>
          <t>marker_168_380366.png</t>
        </is>
      </c>
      <c r="L2975" s="11">
        <f>HYPERLINK("3\1\" &amp; K2975, "Ver Imagen")</f>
        <v/>
      </c>
      <c r="M2975" t="inlineStr">
        <is>
          <t>Moda</t>
        </is>
      </c>
    </row>
    <row r="2976">
      <c r="A2976" t="n">
        <v>2975</v>
      </c>
      <c r="B2976" t="inlineStr">
        <is>
          <t>A-497__147</t>
        </is>
      </c>
      <c r="C2976" s="1" t="n">
        <v>37.2687768667</v>
      </c>
      <c r="D2976" s="1" t="n">
        <v>-6.99032780686</v>
      </c>
      <c r="E2976" s="3" t="n">
        <v>3</v>
      </c>
      <c r="F2976" s="2" t="n">
        <v>2</v>
      </c>
      <c r="G2976" s="4" t="n">
        <v>3</v>
      </c>
      <c r="H2976" s="13" t="n"/>
      <c r="I2976" s="15" t="n"/>
      <c r="J2976" s="19" t="n">
        <v>3</v>
      </c>
      <c r="K2976" s="2" t="inlineStr">
        <is>
          <t>marker_124_380377.png</t>
        </is>
      </c>
      <c r="L2976" s="11">
        <f>HYPERLINK("3\1\" &amp; K2976, "Ver Imagen")</f>
        <v/>
      </c>
      <c r="M2976" t="inlineStr">
        <is>
          <t>Moda</t>
        </is>
      </c>
    </row>
    <row r="2977">
      <c r="A2977" t="n">
        <v>2976</v>
      </c>
      <c r="B2977" t="inlineStr">
        <is>
          <t>A-497__146</t>
        </is>
      </c>
      <c r="C2977" s="1" t="n">
        <v>37.2689683678</v>
      </c>
      <c r="D2977" s="1" t="n">
        <v>-6.99019252133</v>
      </c>
      <c r="E2977" s="3" t="n">
        <v>3</v>
      </c>
      <c r="F2977" s="2" t="n">
        <v>2</v>
      </c>
      <c r="G2977" s="4" t="n">
        <v>3</v>
      </c>
      <c r="H2977" s="13" t="n"/>
      <c r="I2977" s="15" t="n"/>
      <c r="J2977" s="19" t="n">
        <v>3</v>
      </c>
      <c r="K2977" s="2" t="inlineStr">
        <is>
          <t>marker_576_380386.png</t>
        </is>
      </c>
      <c r="L2977" s="11">
        <f>HYPERLINK("3\1\" &amp; K2977, "Ver Imagen")</f>
        <v/>
      </c>
      <c r="M2977" t="inlineStr">
        <is>
          <t>Moda</t>
        </is>
      </c>
    </row>
    <row r="2978">
      <c r="A2978" t="n">
        <v>2977</v>
      </c>
      <c r="B2978" t="inlineStr">
        <is>
          <t>A-497__145</t>
        </is>
      </c>
      <c r="C2978" s="1" t="n">
        <v>37.2691236479</v>
      </c>
      <c r="D2978" s="1" t="n">
        <v>-6.99008321512</v>
      </c>
      <c r="E2978" s="3" t="n">
        <v>3</v>
      </c>
      <c r="F2978" s="2" t="n">
        <v>2</v>
      </c>
      <c r="G2978" s="4" t="n">
        <v>3</v>
      </c>
      <c r="H2978" s="13" t="n"/>
      <c r="I2978" s="15" t="n"/>
      <c r="J2978" s="19" t="n">
        <v>3</v>
      </c>
      <c r="K2978" s="2" t="inlineStr">
        <is>
          <t>marker_509_380394.png</t>
        </is>
      </c>
      <c r="L2978" s="11">
        <f>HYPERLINK("3\1\" &amp; K2978, "Ver Imagen")</f>
        <v/>
      </c>
      <c r="M2978" t="inlineStr">
        <is>
          <t>Moda</t>
        </is>
      </c>
    </row>
    <row r="2979">
      <c r="A2979" t="n">
        <v>2978</v>
      </c>
      <c r="B2979" t="inlineStr">
        <is>
          <t>A-497__144</t>
        </is>
      </c>
      <c r="C2979" s="1" t="n">
        <v>37.2693102269</v>
      </c>
      <c r="D2979" s="1" t="n">
        <v>-6.98995241159</v>
      </c>
      <c r="E2979" s="3" t="n">
        <v>3</v>
      </c>
      <c r="F2979" s="2" t="n">
        <v>2</v>
      </c>
      <c r="G2979" s="4" t="n">
        <v>3</v>
      </c>
      <c r="H2979" s="13" t="n"/>
      <c r="I2979" s="15" t="n"/>
      <c r="J2979" s="19" t="n">
        <v>3</v>
      </c>
      <c r="K2979" s="2" t="inlineStr">
        <is>
          <t>marker_670_380403.png</t>
        </is>
      </c>
      <c r="L2979" s="11">
        <f>HYPERLINK("3\1\" &amp; K2979, "Ver Imagen")</f>
        <v/>
      </c>
      <c r="M2979" t="inlineStr">
        <is>
          <t>Moda</t>
        </is>
      </c>
    </row>
    <row r="2980">
      <c r="A2980" t="n">
        <v>2979</v>
      </c>
      <c r="B2980" t="inlineStr">
        <is>
          <t>A-497__143</t>
        </is>
      </c>
      <c r="C2980" s="1" t="n">
        <v>37.2694828156</v>
      </c>
      <c r="D2980" s="1" t="n">
        <v>-6.9898315469</v>
      </c>
      <c r="E2980" s="3" t="n">
        <v>3</v>
      </c>
      <c r="F2980" s="2" t="n">
        <v>2</v>
      </c>
      <c r="G2980" s="4" t="n">
        <v>3</v>
      </c>
      <c r="H2980" s="13" t="n"/>
      <c r="I2980" s="15" t="n"/>
      <c r="J2980" s="19" t="n">
        <v>3</v>
      </c>
      <c r="K2980" s="2" t="inlineStr">
        <is>
          <t>marker_330_380415.png</t>
        </is>
      </c>
      <c r="L2980" s="11">
        <f>HYPERLINK("3\1\" &amp; K2980, "Ver Imagen")</f>
        <v/>
      </c>
      <c r="M2980" t="inlineStr">
        <is>
          <t>Moda</t>
        </is>
      </c>
    </row>
    <row r="2981">
      <c r="A2981" t="n">
        <v>2980</v>
      </c>
      <c r="B2981" t="inlineStr">
        <is>
          <t>A-497__142</t>
        </is>
      </c>
      <c r="C2981" s="1" t="n">
        <v>37.2696675016</v>
      </c>
      <c r="D2981" s="1" t="n">
        <v>-6.98970239456</v>
      </c>
      <c r="E2981" s="3" t="n">
        <v>3</v>
      </c>
      <c r="F2981" s="2" t="n">
        <v>2</v>
      </c>
      <c r="G2981" s="4" t="n">
        <v>3</v>
      </c>
      <c r="H2981" s="13" t="n"/>
      <c r="I2981" s="15" t="n"/>
      <c r="J2981" s="19" t="n">
        <v>3</v>
      </c>
      <c r="K2981" s="2" t="inlineStr">
        <is>
          <t>marker_543_380423.png</t>
        </is>
      </c>
      <c r="L2981" s="11">
        <f>HYPERLINK("3\1\" &amp; K2981, "Ver Imagen")</f>
        <v/>
      </c>
      <c r="M2981" t="inlineStr">
        <is>
          <t>Moda</t>
        </is>
      </c>
    </row>
    <row r="2982">
      <c r="A2982" t="n">
        <v>2981</v>
      </c>
      <c r="B2982" t="inlineStr">
        <is>
          <t>A-497__141</t>
        </is>
      </c>
      <c r="C2982" s="1" t="n">
        <v>37.2698411786</v>
      </c>
      <c r="D2982" s="1" t="n">
        <v>-6.98958186451</v>
      </c>
      <c r="E2982" s="3" t="n">
        <v>3</v>
      </c>
      <c r="F2982" s="2" t="n">
        <v>2</v>
      </c>
      <c r="G2982" s="4" t="n">
        <v>3</v>
      </c>
      <c r="H2982" s="13" t="n"/>
      <c r="I2982" s="15" t="n"/>
      <c r="J2982" s="19" t="n">
        <v>3</v>
      </c>
      <c r="K2982" s="2" t="inlineStr">
        <is>
          <t>marker_309_380433.png</t>
        </is>
      </c>
      <c r="L2982" s="11">
        <f>HYPERLINK("3\1\" &amp; K2982, "Ver Imagen")</f>
        <v/>
      </c>
      <c r="M2982" t="inlineStr">
        <is>
          <t>Moda</t>
        </is>
      </c>
    </row>
    <row r="2983">
      <c r="A2983" t="n">
        <v>2982</v>
      </c>
      <c r="B2983" t="inlineStr">
        <is>
          <t>A-497__109</t>
        </is>
      </c>
      <c r="C2983" s="1" t="n">
        <v>37.2709370603</v>
      </c>
      <c r="D2983" s="1" t="n">
        <v>-6.98273591689</v>
      </c>
      <c r="E2983" s="3" t="n">
        <v>3</v>
      </c>
      <c r="F2983" s="2" t="n">
        <v>3</v>
      </c>
      <c r="G2983" s="4" t="n">
        <v>4</v>
      </c>
      <c r="H2983" s="13" t="n"/>
      <c r="I2983" s="15" t="n"/>
      <c r="J2983" s="19" t="n">
        <v>3</v>
      </c>
      <c r="K2983" s="2" t="inlineStr">
        <is>
          <t>marker_442_380736.png</t>
        </is>
      </c>
      <c r="L2983" s="11">
        <f>HYPERLINK("3\1\" &amp; K2983, "Ver Imagen")</f>
        <v/>
      </c>
      <c r="M2983" t="inlineStr">
        <is>
          <t>Moda</t>
        </is>
      </c>
    </row>
    <row r="2984">
      <c r="A2984" t="n">
        <v>2983</v>
      </c>
      <c r="B2984" t="inlineStr">
        <is>
          <t>A-497__106</t>
        </is>
      </c>
      <c r="C2984" s="1" t="n">
        <v>37.2707172783</v>
      </c>
      <c r="D2984" s="1" t="n">
        <v>-6.98195847141</v>
      </c>
      <c r="E2984" s="3" t="n">
        <v>3</v>
      </c>
      <c r="F2984" s="2" t="n">
        <v>3</v>
      </c>
      <c r="G2984" s="4" t="n">
        <v>4</v>
      </c>
      <c r="H2984" s="13" t="n"/>
      <c r="I2984" s="15" t="n"/>
      <c r="J2984" s="19" t="n">
        <v>3</v>
      </c>
      <c r="K2984" s="2" t="inlineStr">
        <is>
          <t>marker_834_380767.png</t>
        </is>
      </c>
      <c r="L2984" s="11">
        <f>HYPERLINK("3\1\" &amp; K2984, "Ver Imagen")</f>
        <v/>
      </c>
      <c r="M2984" t="inlineStr">
        <is>
          <t>Moda</t>
        </is>
      </c>
    </row>
    <row r="2985">
      <c r="A2985" t="n">
        <v>2984</v>
      </c>
      <c r="B2985" t="inlineStr">
        <is>
          <t>A-497__105</t>
        </is>
      </c>
      <c r="C2985" s="1" t="n">
        <v>37.2706603106</v>
      </c>
      <c r="D2985" s="1" t="n">
        <v>-6.98175568225</v>
      </c>
      <c r="E2985" s="3" t="n">
        <v>3</v>
      </c>
      <c r="F2985" s="2" t="n">
        <v>3</v>
      </c>
      <c r="G2985" s="4" t="n">
        <v>4</v>
      </c>
      <c r="H2985" s="13" t="n"/>
      <c r="I2985" s="15" t="n"/>
      <c r="J2985" s="19" t="n">
        <v>3</v>
      </c>
      <c r="K2985" s="2" t="inlineStr">
        <is>
          <t>marker_478_380776.png</t>
        </is>
      </c>
      <c r="L2985" s="11">
        <f>HYPERLINK("3\1\" &amp; K2985, "Ver Imagen")</f>
        <v/>
      </c>
      <c r="M2985" t="inlineStr">
        <is>
          <t>Moda</t>
        </is>
      </c>
    </row>
    <row r="2986">
      <c r="A2986" t="n">
        <v>2985</v>
      </c>
      <c r="B2986" t="inlineStr">
        <is>
          <t>A-497__104</t>
        </is>
      </c>
      <c r="C2986" s="1" t="n">
        <v>37.2706000493</v>
      </c>
      <c r="D2986" s="1" t="n">
        <v>-6.98154688939</v>
      </c>
      <c r="E2986" s="3" t="n">
        <v>4</v>
      </c>
      <c r="F2986" s="2" t="n">
        <v>3</v>
      </c>
      <c r="G2986" s="4" t="n">
        <v>3</v>
      </c>
      <c r="H2986" s="13" t="n"/>
      <c r="I2986" s="15" t="n"/>
      <c r="J2986" s="19" t="n">
        <v>3</v>
      </c>
      <c r="K2986" s="2" t="inlineStr">
        <is>
          <t>marker_830_380787.png</t>
        </is>
      </c>
      <c r="L2986" s="11">
        <f>HYPERLINK("3\1\" &amp; K2986, "Ver Imagen")</f>
        <v/>
      </c>
      <c r="M2986" t="inlineStr">
        <is>
          <t>Moda</t>
        </is>
      </c>
    </row>
    <row r="2987">
      <c r="A2987" t="n">
        <v>2986</v>
      </c>
      <c r="B2987" t="inlineStr">
        <is>
          <t>A-497__100</t>
        </is>
      </c>
      <c r="C2987" s="1" t="n">
        <v>37.2703215931</v>
      </c>
      <c r="D2987" s="1" t="n">
        <v>-6.98059382456</v>
      </c>
      <c r="E2987" s="3" t="n">
        <v>3</v>
      </c>
      <c r="F2987" s="2" t="n">
        <v>4</v>
      </c>
      <c r="G2987" s="4" t="n">
        <v>3</v>
      </c>
      <c r="H2987" s="13" t="n"/>
      <c r="I2987" s="15" t="n"/>
      <c r="J2987" s="19" t="n">
        <v>3</v>
      </c>
      <c r="K2987" s="2" t="inlineStr">
        <is>
          <t>marker_782_380837.png</t>
        </is>
      </c>
      <c r="L2987" s="11">
        <f>HYPERLINK("3\1\" &amp; K2987, "Ver Imagen")</f>
        <v/>
      </c>
      <c r="M2987" t="inlineStr">
        <is>
          <t>Moda</t>
        </is>
      </c>
    </row>
    <row r="2988">
      <c r="A2988" t="n">
        <v>2987</v>
      </c>
      <c r="B2988" t="inlineStr">
        <is>
          <t>A-497__96</t>
        </is>
      </c>
      <c r="C2988" s="1" t="n">
        <v>37.2700489297</v>
      </c>
      <c r="D2988" s="1" t="n">
        <v>-6.97963456028</v>
      </c>
      <c r="E2988" s="3" t="n">
        <v>3</v>
      </c>
      <c r="F2988" s="2" t="n">
        <v>4</v>
      </c>
      <c r="G2988" s="4" t="n">
        <v>3</v>
      </c>
      <c r="H2988" s="13" t="n"/>
      <c r="I2988" s="15" t="n"/>
      <c r="J2988" s="19" t="n">
        <v>3</v>
      </c>
      <c r="K2988" s="2" t="inlineStr">
        <is>
          <t>marker_323_380879.png</t>
        </is>
      </c>
      <c r="L2988" s="11">
        <f>HYPERLINK("3\1\" &amp; K2988, "Ver Imagen")</f>
        <v/>
      </c>
      <c r="M2988" t="inlineStr">
        <is>
          <t>Moda</t>
        </is>
      </c>
    </row>
    <row r="2989">
      <c r="A2989" t="n">
        <v>2988</v>
      </c>
      <c r="B2989" t="inlineStr">
        <is>
          <t>A-497__93</t>
        </is>
      </c>
      <c r="C2989" s="1" t="n">
        <v>37.2698411741</v>
      </c>
      <c r="D2989" s="1" t="n">
        <v>-6.97890979886</v>
      </c>
      <c r="E2989" s="3" t="n">
        <v>4</v>
      </c>
      <c r="F2989" s="2" t="n">
        <v>3</v>
      </c>
      <c r="G2989" s="4" t="n">
        <v>3</v>
      </c>
      <c r="H2989" s="13" t="n"/>
      <c r="I2989" s="15" t="n"/>
      <c r="J2989" s="19" t="n">
        <v>3</v>
      </c>
      <c r="K2989" s="2" t="inlineStr">
        <is>
          <t>marker_847_380906.png</t>
        </is>
      </c>
      <c r="L2989" s="11">
        <f>HYPERLINK("3\1\" &amp; K2989, "Ver Imagen")</f>
        <v/>
      </c>
      <c r="M2989" t="inlineStr">
        <is>
          <t>Moda</t>
        </is>
      </c>
    </row>
    <row r="2990">
      <c r="A2990" t="n">
        <v>2989</v>
      </c>
      <c r="B2990" t="inlineStr">
        <is>
          <t>A-490__246</t>
        </is>
      </c>
      <c r="C2990" s="1" t="n">
        <v>37.4653817928</v>
      </c>
      <c r="D2990" s="1" t="n">
        <v>-7.18102235774</v>
      </c>
      <c r="E2990" s="3" t="n">
        <v>4</v>
      </c>
      <c r="F2990" s="2" t="n">
        <v>3</v>
      </c>
      <c r="G2990" s="4" t="n">
        <v>3</v>
      </c>
      <c r="H2990" s="13" t="n"/>
      <c r="I2990" s="15" t="n"/>
      <c r="J2990" s="19" t="n">
        <v>3</v>
      </c>
      <c r="K2990" s="2" t="inlineStr">
        <is>
          <t>marker_232_749422.png</t>
        </is>
      </c>
      <c r="L2990" s="11">
        <f>HYPERLINK("3\1\" &amp; K2990, "Ver Imagen")</f>
        <v/>
      </c>
      <c r="M2990" t="inlineStr">
        <is>
          <t>Moda</t>
        </is>
      </c>
    </row>
    <row r="2991">
      <c r="A2991" t="n">
        <v>2990</v>
      </c>
      <c r="B2991" t="inlineStr">
        <is>
          <t>A-490__250</t>
        </is>
      </c>
      <c r="C2991" s="1" t="n">
        <v>37.465830469</v>
      </c>
      <c r="D2991" s="1" t="n">
        <v>-7.18186305252</v>
      </c>
      <c r="E2991" s="3" t="n">
        <v>3</v>
      </c>
      <c r="F2991" s="2" t="n">
        <v>3</v>
      </c>
      <c r="G2991" s="4" t="n">
        <v>4</v>
      </c>
      <c r="H2991" s="13" t="n"/>
      <c r="I2991" s="15" t="n"/>
      <c r="J2991" s="19" t="n">
        <v>3</v>
      </c>
      <c r="K2991" s="2" t="inlineStr">
        <is>
          <t>marker_912_749496.png</t>
        </is>
      </c>
      <c r="L2991" s="11">
        <f>HYPERLINK("3\1\" &amp; K2991, "Ver Imagen")</f>
        <v/>
      </c>
      <c r="M2991" t="inlineStr">
        <is>
          <t>Moda</t>
        </is>
      </c>
    </row>
    <row r="2992">
      <c r="A2992" t="n">
        <v>2991</v>
      </c>
      <c r="B2992" t="inlineStr">
        <is>
          <t>A-490__257</t>
        </is>
      </c>
      <c r="C2992" s="1" t="n">
        <v>37.46664716</v>
      </c>
      <c r="D2992" s="1" t="n">
        <v>-7.1833862573</v>
      </c>
      <c r="E2992" s="3" t="n">
        <v>3</v>
      </c>
      <c r="F2992" s="2" t="n">
        <v>3</v>
      </c>
      <c r="G2992" s="4" t="n">
        <v>4</v>
      </c>
      <c r="H2992" s="13" t="n"/>
      <c r="I2992" s="15" t="n"/>
      <c r="J2992" s="19" t="n">
        <v>3</v>
      </c>
      <c r="K2992" s="2" t="inlineStr">
        <is>
          <t>marker_609_749644.png</t>
        </is>
      </c>
      <c r="L2992" s="11">
        <f>HYPERLINK("3\1\" &amp; K2992, "Ver Imagen")</f>
        <v/>
      </c>
      <c r="M2992" t="inlineStr">
        <is>
          <t>Moda</t>
        </is>
      </c>
    </row>
    <row r="2993">
      <c r="A2993" t="n">
        <v>2992</v>
      </c>
      <c r="B2993" t="inlineStr">
        <is>
          <t>A-490__629</t>
        </is>
      </c>
      <c r="C2993" s="1" t="n">
        <v>37.4952313383</v>
      </c>
      <c r="D2993" s="1" t="n">
        <v>-7.26763566896</v>
      </c>
      <c r="E2993" s="3" t="n">
        <v>4</v>
      </c>
      <c r="F2993" s="2" t="n">
        <v>3</v>
      </c>
      <c r="G2993" s="4" t="n">
        <v>3</v>
      </c>
      <c r="H2993" s="13" t="n"/>
      <c r="I2993" s="15" t="n"/>
      <c r="J2993" s="19" t="n">
        <v>3</v>
      </c>
      <c r="K2993" s="2" t="inlineStr">
        <is>
          <t>marker_751_789296.png</t>
        </is>
      </c>
      <c r="L2993" s="11">
        <f>HYPERLINK("3\1\" &amp; K2993, "Ver Imagen")</f>
        <v/>
      </c>
      <c r="M2993" t="inlineStr">
        <is>
          <t>Moda</t>
        </is>
      </c>
    </row>
    <row r="2994">
      <c r="A2994" t="n">
        <v>2993</v>
      </c>
      <c r="B2994" t="inlineStr">
        <is>
          <t>A-490__630</t>
        </is>
      </c>
      <c r="C2994" s="1" t="n">
        <v>37.4954338456</v>
      </c>
      <c r="D2994" s="1" t="n">
        <v>-7.26768327472</v>
      </c>
      <c r="E2994" s="3" t="n">
        <v>4</v>
      </c>
      <c r="F2994" s="2" t="n">
        <v>3</v>
      </c>
      <c r="G2994" s="4" t="n">
        <v>3</v>
      </c>
      <c r="H2994" s="13" t="n"/>
      <c r="I2994" s="15" t="n"/>
      <c r="J2994" s="19" t="n">
        <v>3</v>
      </c>
      <c r="K2994" s="2" t="inlineStr">
        <is>
          <t>marker_946_789339.png</t>
        </is>
      </c>
      <c r="L2994" s="11">
        <f>HYPERLINK("3\1\" &amp; K2994, "Ver Imagen")</f>
        <v/>
      </c>
      <c r="M2994" t="inlineStr">
        <is>
          <t>Moda</t>
        </is>
      </c>
    </row>
    <row r="2995">
      <c r="A2995" t="n">
        <v>2994</v>
      </c>
      <c r="B2995" t="inlineStr">
        <is>
          <t>A-492__19</t>
        </is>
      </c>
      <c r="C2995" s="1" t="n">
        <v>37.2751812829</v>
      </c>
      <c r="D2995" s="1" t="n">
        <v>-6.99117240577</v>
      </c>
      <c r="E2995" s="3" t="n">
        <v>3</v>
      </c>
      <c r="F2995" s="2" t="n">
        <v>3</v>
      </c>
      <c r="G2995" s="4" t="n">
        <v>4</v>
      </c>
      <c r="H2995" s="13" t="n"/>
      <c r="I2995" s="15" t="n"/>
      <c r="J2995" s="19" t="n">
        <v>3</v>
      </c>
      <c r="K2995" s="2" t="inlineStr">
        <is>
          <t>marker_293_822009.png</t>
        </is>
      </c>
      <c r="L2995" s="11">
        <f>HYPERLINK("3\1\" &amp; K2995, "Ver Imagen")</f>
        <v/>
      </c>
      <c r="M2995" t="inlineStr">
        <is>
          <t>Moda</t>
        </is>
      </c>
    </row>
    <row r="2996">
      <c r="A2996" t="n">
        <v>2995</v>
      </c>
      <c r="B2996" t="inlineStr">
        <is>
          <t>A-492__64</t>
        </is>
      </c>
      <c r="C2996" s="1" t="n">
        <v>37.2799768143</v>
      </c>
      <c r="D2996" s="1" t="n">
        <v>-6.99897565084</v>
      </c>
      <c r="E2996" s="3" t="n">
        <v>3</v>
      </c>
      <c r="F2996" s="2" t="n">
        <v>3</v>
      </c>
      <c r="G2996" s="4" t="n">
        <v>4</v>
      </c>
      <c r="H2996" s="13" t="n"/>
      <c r="I2996" s="15" t="n"/>
      <c r="J2996" s="19" t="n">
        <v>3</v>
      </c>
      <c r="K2996" s="2" t="inlineStr">
        <is>
          <t>marker_878_823190.png</t>
        </is>
      </c>
      <c r="L2996" s="11">
        <f>HYPERLINK("3\1\" &amp; K2996, "Ver Imagen")</f>
        <v/>
      </c>
      <c r="M2996" t="inlineStr">
        <is>
          <t>Moda</t>
        </is>
      </c>
    </row>
    <row r="2997">
      <c r="A2997" t="n">
        <v>2996</v>
      </c>
      <c r="B2997" t="inlineStr">
        <is>
          <t>A-492__65</t>
        </is>
      </c>
      <c r="C2997" s="1" t="n">
        <v>37.2800368387</v>
      </c>
      <c r="D2997" s="1" t="n">
        <v>-6.99925722577</v>
      </c>
      <c r="E2997" s="3" t="n">
        <v>4</v>
      </c>
      <c r="F2997" s="2" t="n">
        <v>3</v>
      </c>
      <c r="G2997" s="4" t="n">
        <v>3</v>
      </c>
      <c r="H2997" s="13" t="n"/>
      <c r="I2997" s="15" t="n"/>
      <c r="J2997" s="19" t="n">
        <v>3</v>
      </c>
      <c r="K2997" s="2" t="inlineStr">
        <is>
          <t>marker_197_823203.png</t>
        </is>
      </c>
      <c r="L2997" s="11">
        <f>HYPERLINK("3\1\" &amp; K2997, "Ver Imagen")</f>
        <v/>
      </c>
      <c r="M2997" t="inlineStr">
        <is>
          <t>Moda</t>
        </is>
      </c>
    </row>
    <row r="2998">
      <c r="A2998" t="n">
        <v>2997</v>
      </c>
      <c r="B2998" t="inlineStr">
        <is>
          <t>A-492__72</t>
        </is>
      </c>
      <c r="C2998" s="1" t="n">
        <v>37.280593761</v>
      </c>
      <c r="D2998" s="1" t="n">
        <v>-7.0006300834</v>
      </c>
      <c r="E2998" s="3" t="n">
        <v>3</v>
      </c>
      <c r="F2998" s="2" t="n">
        <v>3</v>
      </c>
      <c r="G2998" s="4" t="n">
        <v>4</v>
      </c>
      <c r="H2998" s="13" t="n"/>
      <c r="I2998" s="15" t="n"/>
      <c r="J2998" s="19" t="n">
        <v>3</v>
      </c>
      <c r="K2998" s="2" t="inlineStr">
        <is>
          <t>marker_543_823361.png</t>
        </is>
      </c>
      <c r="L2998" s="11">
        <f>HYPERLINK("3\1\" &amp; K2998, "Ver Imagen")</f>
        <v/>
      </c>
      <c r="M2998" t="inlineStr">
        <is>
          <t>Moda</t>
        </is>
      </c>
    </row>
    <row r="2999">
      <c r="A2999" t="n">
        <v>2998</v>
      </c>
      <c r="B2999" t="inlineStr">
        <is>
          <t>A-492__75</t>
        </is>
      </c>
      <c r="C2999" s="1" t="n">
        <v>37.2804725675</v>
      </c>
      <c r="D2999" s="1" t="n">
        <v>-7.00123885439</v>
      </c>
      <c r="E2999" s="3" t="n">
        <v>3</v>
      </c>
      <c r="F2999" s="2" t="n">
        <v>3</v>
      </c>
      <c r="G2999" s="4" t="n">
        <v>4</v>
      </c>
      <c r="H2999" s="13" t="n"/>
      <c r="I2999" s="15" t="n"/>
      <c r="J2999" s="19" t="n">
        <v>3</v>
      </c>
      <c r="K2999" s="2" t="inlineStr">
        <is>
          <t>marker_327_823407.png</t>
        </is>
      </c>
      <c r="L2999" s="11">
        <f>HYPERLINK("3\1\" &amp; K2999, "Ver Imagen")</f>
        <v/>
      </c>
      <c r="M2999" t="inlineStr">
        <is>
          <t>Moda</t>
        </is>
      </c>
    </row>
    <row r="3000">
      <c r="A3000" t="n">
        <v>2999</v>
      </c>
      <c r="B3000" t="inlineStr">
        <is>
          <t>A-492__76</t>
        </is>
      </c>
      <c r="C3000" s="1" t="n">
        <v>37.2804681274</v>
      </c>
      <c r="D3000" s="1" t="n">
        <v>-7.00149102567</v>
      </c>
      <c r="E3000" s="3" t="n">
        <v>3</v>
      </c>
      <c r="F3000" s="2" t="n">
        <v>3</v>
      </c>
      <c r="G3000" s="4" t="n">
        <v>4</v>
      </c>
      <c r="H3000" s="13" t="n"/>
      <c r="I3000" s="15" t="n"/>
      <c r="J3000" s="19" t="n">
        <v>3</v>
      </c>
      <c r="K3000" s="2" t="inlineStr">
        <is>
          <t>marker_768_823421.png</t>
        </is>
      </c>
      <c r="L3000" s="11">
        <f>HYPERLINK("3\1\" &amp; K3000, "Ver Imagen")</f>
        <v/>
      </c>
      <c r="M3000" t="inlineStr">
        <is>
          <t>Moda</t>
        </is>
      </c>
    </row>
    <row r="3001">
      <c r="A3001" t="n">
        <v>3000</v>
      </c>
      <c r="B3001" t="inlineStr">
        <is>
          <t>A-492__91</t>
        </is>
      </c>
      <c r="C3001" s="1" t="n">
        <v>37.2803205102</v>
      </c>
      <c r="D3001" s="1" t="n">
        <v>-7.00518932259</v>
      </c>
      <c r="E3001" s="3" t="n">
        <v>3</v>
      </c>
      <c r="F3001" s="2" t="n">
        <v>3</v>
      </c>
      <c r="G3001" s="4" t="n">
        <v>4</v>
      </c>
      <c r="H3001" s="13" t="n"/>
      <c r="I3001" s="15" t="n"/>
      <c r="J3001" s="19" t="n">
        <v>3</v>
      </c>
      <c r="K3001" s="2" t="inlineStr">
        <is>
          <t>marker_725_823631.png</t>
        </is>
      </c>
      <c r="L3001" s="11">
        <f>HYPERLINK("3\1\" &amp; K3001, "Ver Imagen")</f>
        <v/>
      </c>
      <c r="M3001" t="inlineStr">
        <is>
          <t>Moda</t>
        </is>
      </c>
    </row>
    <row r="3002">
      <c r="A3002" t="n">
        <v>3001</v>
      </c>
      <c r="B3002" t="inlineStr">
        <is>
          <t>A-492__251</t>
        </is>
      </c>
      <c r="C3002" s="1" t="n">
        <v>37.2845884335</v>
      </c>
      <c r="D3002" s="1" t="n">
        <v>-7.03904570211</v>
      </c>
      <c r="E3002" s="3" t="n">
        <v>3</v>
      </c>
      <c r="F3002" s="2" t="n">
        <v>3</v>
      </c>
      <c r="G3002" s="4" t="n">
        <v>4</v>
      </c>
      <c r="H3002" s="13" t="n"/>
      <c r="I3002" s="15" t="n"/>
      <c r="J3002" s="19" t="n">
        <v>3</v>
      </c>
      <c r="K3002" s="2" t="inlineStr">
        <is>
          <t>marker_209_836109.png</t>
        </is>
      </c>
      <c r="L3002" s="11">
        <f>HYPERLINK("3\1\" &amp; K3002, "Ver Imagen")</f>
        <v/>
      </c>
      <c r="M3002" t="inlineStr">
        <is>
          <t>Moda</t>
        </is>
      </c>
    </row>
    <row r="3003">
      <c r="A3003" t="n">
        <v>3002</v>
      </c>
      <c r="B3003" t="inlineStr">
        <is>
          <t>A-492__252</t>
        </is>
      </c>
      <c r="C3003" s="1" t="n">
        <v>37.284658891</v>
      </c>
      <c r="D3003" s="1" t="n">
        <v>-7.03929553637</v>
      </c>
      <c r="E3003" s="3" t="n">
        <v>3</v>
      </c>
      <c r="F3003" s="2" t="n">
        <v>3</v>
      </c>
      <c r="G3003" s="4" t="n">
        <v>4</v>
      </c>
      <c r="H3003" s="13" t="n"/>
      <c r="I3003" s="15" t="n"/>
      <c r="J3003" s="19" t="n">
        <v>3</v>
      </c>
      <c r="K3003" s="2" t="inlineStr">
        <is>
          <t>marker_856_836119.png</t>
        </is>
      </c>
      <c r="L3003" s="11">
        <f>HYPERLINK("3\1\" &amp; K3003, "Ver Imagen")</f>
        <v/>
      </c>
      <c r="M3003" t="inlineStr">
        <is>
          <t>Moda</t>
        </is>
      </c>
    </row>
    <row r="3004">
      <c r="A3004" t="n">
        <v>3003</v>
      </c>
      <c r="B3004" t="inlineStr">
        <is>
          <t>A-492__320</t>
        </is>
      </c>
      <c r="C3004" s="1" t="n">
        <v>37.295362399</v>
      </c>
      <c r="D3004" s="1" t="n">
        <v>-7.04906448567</v>
      </c>
      <c r="E3004" s="3" t="n">
        <v>3</v>
      </c>
      <c r="F3004" s="2" t="n">
        <v>3</v>
      </c>
      <c r="G3004" s="4" t="n">
        <v>4</v>
      </c>
      <c r="H3004" s="13" t="n"/>
      <c r="I3004" s="15" t="n"/>
      <c r="J3004" s="19" t="n">
        <v>3</v>
      </c>
      <c r="K3004" s="2" t="inlineStr">
        <is>
          <t>marker_631_837946.png</t>
        </is>
      </c>
      <c r="L3004" s="11">
        <f>HYPERLINK("3\1\" &amp; K3004, "Ver Imagen")</f>
        <v/>
      </c>
      <c r="M3004" t="inlineStr">
        <is>
          <t>Moda</t>
        </is>
      </c>
    </row>
    <row r="3005">
      <c r="A3005" t="n">
        <v>3004</v>
      </c>
      <c r="B3005" t="inlineStr">
        <is>
          <t>A-492__478</t>
        </is>
      </c>
      <c r="C3005" s="1" t="n">
        <v>37.3189555422</v>
      </c>
      <c r="D3005" s="1" t="n">
        <v>-7.07142353019</v>
      </c>
      <c r="E3005" s="3" t="n">
        <v>3</v>
      </c>
      <c r="F3005" s="2" t="n">
        <v>3</v>
      </c>
      <c r="G3005" s="4" t="n">
        <v>4</v>
      </c>
      <c r="H3005" s="13" t="n"/>
      <c r="I3005" s="15" t="n"/>
      <c r="J3005" s="19" t="n">
        <v>3</v>
      </c>
      <c r="K3005" s="2" t="inlineStr">
        <is>
          <t>marker_288_840134.png</t>
        </is>
      </c>
      <c r="L3005" s="11">
        <f>HYPERLINK("3\1\" &amp; K3005, "Ver Imagen")</f>
        <v/>
      </c>
      <c r="M3005" t="inlineStr">
        <is>
          <t>Moda</t>
        </is>
      </c>
    </row>
    <row r="3006">
      <c r="A3006" t="n">
        <v>3005</v>
      </c>
      <c r="B3006" t="inlineStr">
        <is>
          <t>A-492__479</t>
        </is>
      </c>
      <c r="C3006" s="1" t="n">
        <v>37.3191376902</v>
      </c>
      <c r="D3006" s="1" t="n">
        <v>-7.07145640033</v>
      </c>
      <c r="E3006" s="3" t="n">
        <v>3</v>
      </c>
      <c r="F3006" s="2" t="n">
        <v>3</v>
      </c>
      <c r="G3006" s="4" t="n">
        <v>4</v>
      </c>
      <c r="H3006" s="13" t="n"/>
      <c r="I3006" s="15" t="n"/>
      <c r="J3006" s="19" t="n">
        <v>3</v>
      </c>
      <c r="K3006" s="2" t="inlineStr">
        <is>
          <t>marker_984_840144.png</t>
        </is>
      </c>
      <c r="L3006" s="11">
        <f>HYPERLINK("3\1\" &amp; K3006, "Ver Imagen")</f>
        <v/>
      </c>
      <c r="M3006" t="inlineStr">
        <is>
          <t>Moda</t>
        </is>
      </c>
    </row>
    <row r="3007">
      <c r="A3007" t="n">
        <v>3006</v>
      </c>
      <c r="B3007" t="inlineStr">
        <is>
          <t>A-495R__47</t>
        </is>
      </c>
      <c r="C3007" s="1" t="n">
        <v>37.4537077677</v>
      </c>
      <c r="D3007" s="1" t="n">
        <v>-7.11244724332</v>
      </c>
      <c r="E3007" s="3" t="n">
        <v>4</v>
      </c>
      <c r="F3007" s="2" t="n">
        <v>3</v>
      </c>
      <c r="G3007" s="4" t="n">
        <v>3</v>
      </c>
      <c r="H3007" s="13" t="n"/>
      <c r="I3007" s="15" t="n"/>
      <c r="J3007" s="19" t="n">
        <v>3</v>
      </c>
      <c r="K3007" s="2" t="inlineStr">
        <is>
          <t>marker_873_935694.png</t>
        </is>
      </c>
      <c r="L3007" s="11">
        <f>HYPERLINK("3\1\" &amp; K3007, "Ver Imagen")</f>
        <v/>
      </c>
      <c r="M3007" t="inlineStr">
        <is>
          <t>Moda</t>
        </is>
      </c>
    </row>
    <row r="3008">
      <c r="A3008" t="n">
        <v>3007</v>
      </c>
      <c r="B3008" t="inlineStr">
        <is>
          <t>A-495R__9</t>
        </is>
      </c>
      <c r="C3008" s="1" t="n">
        <v>37.4469678945</v>
      </c>
      <c r="D3008" s="1" t="n">
        <v>-7.10817475151</v>
      </c>
      <c r="E3008" s="3" t="n">
        <v>3</v>
      </c>
      <c r="F3008" s="2" t="n">
        <v>3</v>
      </c>
      <c r="G3008" s="4" t="n">
        <v>4</v>
      </c>
      <c r="H3008" s="13" t="n"/>
      <c r="I3008" s="15" t="n"/>
      <c r="J3008" s="19" t="n">
        <v>3</v>
      </c>
      <c r="K3008" s="2" t="inlineStr">
        <is>
          <t>marker_697_937016.png</t>
        </is>
      </c>
      <c r="L3008" s="11">
        <f>HYPERLINK("3\1\" &amp; K3008, "Ver Imagen")</f>
        <v/>
      </c>
      <c r="M3008" t="inlineStr">
        <is>
          <t>Moda</t>
        </is>
      </c>
    </row>
    <row r="3009">
      <c r="A3009" s="16" t="n">
        <v>3008</v>
      </c>
      <c r="B3009" s="16" t="inlineStr">
        <is>
          <t>A-495R__4</t>
        </is>
      </c>
      <c r="C3009" s="16" t="n">
        <v>37.4468392491</v>
      </c>
      <c r="D3009" s="16" t="n">
        <v>-7.10695856173</v>
      </c>
      <c r="E3009" s="16" t="n">
        <v>3</v>
      </c>
      <c r="F3009" s="16" t="n">
        <v>3</v>
      </c>
      <c r="G3009" s="16" t="n">
        <v>4</v>
      </c>
      <c r="H3009" s="16" t="n"/>
      <c r="I3009" s="16" t="n"/>
      <c r="J3009" s="21" t="n">
        <v>3</v>
      </c>
      <c r="K3009" s="16" t="inlineStr">
        <is>
          <t>marker_386_937077.png</t>
        </is>
      </c>
      <c r="L3009" s="17">
        <f>HYPERLINK("3\1\" &amp; K3009, "Ver Imagen")</f>
        <v/>
      </c>
      <c r="M3009" s="16" t="inlineStr">
        <is>
          <t>X tramo desbrozado</t>
        </is>
      </c>
      <c r="N3009" s="16" t="n"/>
    </row>
    <row r="3010">
      <c r="A3010" t="n">
        <v>3009</v>
      </c>
      <c r="B3010" t="inlineStr">
        <is>
          <t>A-495R__3</t>
        </is>
      </c>
      <c r="C3010" s="1" t="n">
        <v>37.4468159633</v>
      </c>
      <c r="D3010" s="1" t="n">
        <v>-7.10667751913</v>
      </c>
      <c r="E3010" s="3" t="n">
        <v>3</v>
      </c>
      <c r="F3010" s="2" t="n">
        <v>3</v>
      </c>
      <c r="G3010" s="4" t="n">
        <v>4</v>
      </c>
      <c r="H3010" s="13" t="n"/>
      <c r="I3010" s="15" t="n"/>
      <c r="J3010" s="19" t="n">
        <v>3</v>
      </c>
      <c r="K3010" s="2" t="inlineStr">
        <is>
          <t>marker_535_937089.png</t>
        </is>
      </c>
      <c r="L3010" s="11">
        <f>HYPERLINK("3\1\" &amp; K3010, "Ver Imagen")</f>
        <v/>
      </c>
      <c r="M3010" t="inlineStr">
        <is>
          <t>Moda</t>
        </is>
      </c>
    </row>
    <row r="3011">
      <c r="A3011" t="n">
        <v>3010</v>
      </c>
      <c r="B3011" t="inlineStr">
        <is>
          <t>A-497__30</t>
        </is>
      </c>
      <c r="C3011" s="1" t="n">
        <v>37.2675053459</v>
      </c>
      <c r="D3011" s="1" t="n">
        <v>-6.96328466959</v>
      </c>
      <c r="E3011" s="3" t="n">
        <v>3</v>
      </c>
      <c r="F3011" s="2" t="n">
        <v>3</v>
      </c>
      <c r="G3011" s="4" t="n">
        <v>4</v>
      </c>
      <c r="H3011" s="13" t="n"/>
      <c r="I3011" s="15" t="n"/>
      <c r="J3011" s="19" t="n">
        <v>3</v>
      </c>
      <c r="K3011" s="2" t="inlineStr">
        <is>
          <t>marker_593_940802.png</t>
        </is>
      </c>
      <c r="L3011" s="11">
        <f>HYPERLINK("3\1\" &amp; K3011, "Ver Imagen")</f>
        <v/>
      </c>
      <c r="M3011" t="inlineStr">
        <is>
          <t>Moda</t>
        </is>
      </c>
    </row>
    <row r="3012">
      <c r="A3012" t="n">
        <v>3011</v>
      </c>
      <c r="B3012" t="inlineStr">
        <is>
          <t>A-497__25</t>
        </is>
      </c>
      <c r="C3012" s="1" t="n">
        <v>37.2674775639</v>
      </c>
      <c r="D3012" s="1" t="n">
        <v>-6.9620167012</v>
      </c>
      <c r="E3012" s="3" t="n">
        <v>3</v>
      </c>
      <c r="F3012" s="2" t="n">
        <v>3</v>
      </c>
      <c r="G3012" s="4" t="n">
        <v>4</v>
      </c>
      <c r="H3012" s="13" t="n"/>
      <c r="I3012" s="15" t="n"/>
      <c r="J3012" s="19" t="n">
        <v>3</v>
      </c>
      <c r="K3012" s="2" t="inlineStr">
        <is>
          <t>marker_723_943716.png</t>
        </is>
      </c>
      <c r="L3012" s="11">
        <f>HYPERLINK("3\1\" &amp; K3012, "Ver Imagen")</f>
        <v/>
      </c>
      <c r="M3012" t="inlineStr">
        <is>
          <t>Moda</t>
        </is>
      </c>
    </row>
    <row r="3013">
      <c r="A3013" t="n">
        <v>3012</v>
      </c>
      <c r="B3013" t="inlineStr">
        <is>
          <t>A-490__22</t>
        </is>
      </c>
      <c r="C3013" s="1" t="n">
        <v>37.4466525157</v>
      </c>
      <c r="D3013" s="1" t="n">
        <v>-7.13175431647</v>
      </c>
      <c r="E3013" s="3" t="n">
        <v>2</v>
      </c>
      <c r="F3013" s="2" t="n">
        <v>3</v>
      </c>
      <c r="G3013" s="4" t="n">
        <v>3</v>
      </c>
      <c r="H3013" s="13" t="n"/>
      <c r="I3013" s="15" t="n"/>
      <c r="J3013" s="19" t="n">
        <v>3</v>
      </c>
      <c r="K3013" s="2" t="inlineStr">
        <is>
          <t>marker_772_730713.png</t>
        </is>
      </c>
      <c r="L3013" s="11">
        <f>HYPERLINK("3\1\" &amp; K3013, "Ver Imagen")</f>
        <v/>
      </c>
      <c r="M3013" t="inlineStr">
        <is>
          <t>Moda</t>
        </is>
      </c>
    </row>
    <row r="3014">
      <c r="A3014" t="n">
        <v>3013</v>
      </c>
      <c r="B3014" t="inlineStr">
        <is>
          <t>A-490__52</t>
        </is>
      </c>
      <c r="C3014" s="1" t="n">
        <v>37.4469294494</v>
      </c>
      <c r="D3014" s="1" t="n">
        <v>-7.13906027951</v>
      </c>
      <c r="E3014" s="3" t="n">
        <v>2</v>
      </c>
      <c r="F3014" s="2" t="n">
        <v>3</v>
      </c>
      <c r="G3014" s="4" t="n">
        <v>3</v>
      </c>
      <c r="H3014" s="13" t="n"/>
      <c r="I3014" s="15" t="n"/>
      <c r="J3014" s="19" t="n">
        <v>3</v>
      </c>
      <c r="K3014" s="2" t="inlineStr">
        <is>
          <t>marker_152_732343.png</t>
        </is>
      </c>
      <c r="L3014" s="11">
        <f>HYPERLINK("3\1\" &amp; K3014, "Ver Imagen")</f>
        <v/>
      </c>
      <c r="M3014" t="inlineStr">
        <is>
          <t>Moda</t>
        </is>
      </c>
    </row>
    <row r="3015">
      <c r="A3015" t="n">
        <v>3014</v>
      </c>
      <c r="B3015" t="inlineStr">
        <is>
          <t>A-490__168</t>
        </is>
      </c>
      <c r="C3015" s="1" t="n">
        <v>37.4552907672</v>
      </c>
      <c r="D3015" s="1" t="n">
        <v>-7.1659316041</v>
      </c>
      <c r="E3015" s="3" t="n">
        <v>2</v>
      </c>
      <c r="F3015" s="2" t="n">
        <v>3</v>
      </c>
      <c r="G3015" s="4" t="n">
        <v>3</v>
      </c>
      <c r="H3015" s="13" t="n"/>
      <c r="I3015" s="15" t="n"/>
      <c r="J3015" s="19" t="n">
        <v>3</v>
      </c>
      <c r="K3015" s="2" t="inlineStr">
        <is>
          <t>marker_526_741425.png</t>
        </is>
      </c>
      <c r="L3015" s="11">
        <f>HYPERLINK("3\1\" &amp; K3015, "Ver Imagen")</f>
        <v/>
      </c>
      <c r="M3015" t="inlineStr">
        <is>
          <t>Moda</t>
        </is>
      </c>
    </row>
    <row r="3016">
      <c r="A3016" t="n">
        <v>3015</v>
      </c>
      <c r="B3016" t="inlineStr">
        <is>
          <t>A-490__189</t>
        </is>
      </c>
      <c r="C3016" s="1" t="n">
        <v>37.4583140495</v>
      </c>
      <c r="D3016" s="1" t="n">
        <v>-7.16965001338</v>
      </c>
      <c r="E3016" s="3" t="n">
        <v>2</v>
      </c>
      <c r="F3016" s="2" t="n">
        <v>3</v>
      </c>
      <c r="G3016" s="4" t="n">
        <v>3</v>
      </c>
      <c r="H3016" s="13" t="n"/>
      <c r="I3016" s="15" t="n"/>
      <c r="J3016" s="19" t="n">
        <v>3</v>
      </c>
      <c r="K3016" s="2" t="inlineStr">
        <is>
          <t>marker_625_742023.png</t>
        </is>
      </c>
      <c r="L3016" s="11">
        <f>HYPERLINK("3\1\" &amp; K3016, "Ver Imagen")</f>
        <v/>
      </c>
      <c r="M3016" t="inlineStr">
        <is>
          <t>Moda</t>
        </is>
      </c>
    </row>
    <row r="3017">
      <c r="A3017" t="n">
        <v>3016</v>
      </c>
      <c r="B3017" t="inlineStr">
        <is>
          <t>A-490__229</t>
        </is>
      </c>
      <c r="C3017" s="1" t="n">
        <v>37.4634249945</v>
      </c>
      <c r="D3017" s="1" t="n">
        <v>-7.17746312756</v>
      </c>
      <c r="E3017" s="3" t="n">
        <v>2</v>
      </c>
      <c r="F3017" s="2" t="n">
        <v>3</v>
      </c>
      <c r="G3017" s="4" t="n">
        <v>3</v>
      </c>
      <c r="H3017" s="13" t="n"/>
      <c r="I3017" s="15" t="n"/>
      <c r="J3017" s="19" t="n">
        <v>3</v>
      </c>
      <c r="K3017" s="2" t="inlineStr">
        <is>
          <t>marker_146_743811.png</t>
        </is>
      </c>
      <c r="L3017" s="11">
        <f>HYPERLINK("3\1\" &amp; K3017, "Ver Imagen")</f>
        <v/>
      </c>
      <c r="M3017" t="inlineStr">
        <is>
          <t>Moda</t>
        </is>
      </c>
    </row>
    <row r="3018">
      <c r="A3018" t="n">
        <v>3017</v>
      </c>
      <c r="B3018" t="inlineStr">
        <is>
          <t>A-490__253</t>
        </is>
      </c>
      <c r="C3018" s="1" t="n">
        <v>37.4662037207</v>
      </c>
      <c r="D3018" s="1" t="n">
        <v>-7.18255117555</v>
      </c>
      <c r="E3018" s="3" t="n">
        <v>2</v>
      </c>
      <c r="F3018" s="2" t="n">
        <v>3</v>
      </c>
      <c r="G3018" s="4" t="n">
        <v>3</v>
      </c>
      <c r="H3018" s="13" t="n"/>
      <c r="I3018" s="15" t="n"/>
      <c r="J3018" s="19" t="n">
        <v>3</v>
      </c>
      <c r="K3018" s="2" t="inlineStr">
        <is>
          <t>marker_914_749567.png</t>
        </is>
      </c>
      <c r="L3018" s="11">
        <f>HYPERLINK("3\1\" &amp; K3018, "Ver Imagen")</f>
        <v/>
      </c>
      <c r="M3018" t="inlineStr">
        <is>
          <t>Moda</t>
        </is>
      </c>
    </row>
    <row r="3019">
      <c r="A3019" t="n">
        <v>3018</v>
      </c>
      <c r="B3019" t="inlineStr">
        <is>
          <t>A-490__353</t>
        </is>
      </c>
      <c r="C3019" s="1" t="n">
        <v>37.4771733755</v>
      </c>
      <c r="D3019" s="1" t="n">
        <v>-7.20379357651</v>
      </c>
      <c r="E3019" s="3" t="n">
        <v>2</v>
      </c>
      <c r="F3019" s="2" t="n">
        <v>3</v>
      </c>
      <c r="G3019" s="4" t="n">
        <v>3</v>
      </c>
      <c r="H3019" s="13" t="n"/>
      <c r="I3019" s="15" t="n"/>
      <c r="J3019" s="19" t="n">
        <v>3</v>
      </c>
      <c r="K3019" s="2" t="inlineStr">
        <is>
          <t>marker_989_751729.png</t>
        </is>
      </c>
      <c r="L3019" s="11">
        <f>HYPERLINK("3\1\" &amp; K3019, "Ver Imagen")</f>
        <v/>
      </c>
      <c r="M3019" t="inlineStr">
        <is>
          <t>Moda</t>
        </is>
      </c>
    </row>
    <row r="3020">
      <c r="A3020" t="n">
        <v>3019</v>
      </c>
      <c r="B3020" t="inlineStr">
        <is>
          <t>A-490__359</t>
        </is>
      </c>
      <c r="C3020" s="1" t="n">
        <v>37.4777457346</v>
      </c>
      <c r="D3020" s="1" t="n">
        <v>-7.20511079666</v>
      </c>
      <c r="E3020" s="3" t="n">
        <v>2</v>
      </c>
      <c r="F3020" s="2" t="n">
        <v>3</v>
      </c>
      <c r="G3020" s="4" t="n">
        <v>3</v>
      </c>
      <c r="H3020" s="13" t="n"/>
      <c r="I3020" s="15" t="n"/>
      <c r="J3020" s="19" t="n">
        <v>3</v>
      </c>
      <c r="K3020" s="2" t="inlineStr">
        <is>
          <t>marker_495_751861.png</t>
        </is>
      </c>
      <c r="L3020" s="11">
        <f>HYPERLINK("3\1\" &amp; K3020, "Ver Imagen")</f>
        <v/>
      </c>
      <c r="M3020" t="inlineStr">
        <is>
          <t>Moda</t>
        </is>
      </c>
    </row>
    <row r="3021">
      <c r="A3021" t="n">
        <v>3020</v>
      </c>
      <c r="B3021" t="inlineStr">
        <is>
          <t>A-490__360</t>
        </is>
      </c>
      <c r="C3021" s="1" t="n">
        <v>37.4778431368</v>
      </c>
      <c r="D3021" s="1" t="n">
        <v>-7.2053393042</v>
      </c>
      <c r="E3021" s="3" t="n">
        <v>2</v>
      </c>
      <c r="F3021" s="2" t="n">
        <v>3</v>
      </c>
      <c r="G3021" s="4" t="n">
        <v>3</v>
      </c>
      <c r="H3021" s="13" t="n"/>
      <c r="I3021" s="15" t="n"/>
      <c r="J3021" s="19" t="n">
        <v>3</v>
      </c>
      <c r="K3021" s="2" t="inlineStr">
        <is>
          <t>marker_444_751877.png</t>
        </is>
      </c>
      <c r="L3021" s="11">
        <f>HYPERLINK("3\1\" &amp; K3021, "Ver Imagen")</f>
        <v/>
      </c>
      <c r="M3021" t="inlineStr">
        <is>
          <t>Moda</t>
        </is>
      </c>
    </row>
    <row r="3022">
      <c r="A3022" t="n">
        <v>3021</v>
      </c>
      <c r="B3022" t="inlineStr">
        <is>
          <t>A-490__362</t>
        </is>
      </c>
      <c r="C3022" s="1" t="n">
        <v>37.4780459842</v>
      </c>
      <c r="D3022" s="1" t="n">
        <v>-7.2058110117</v>
      </c>
      <c r="E3022" s="3" t="n">
        <v>2</v>
      </c>
      <c r="F3022" s="2" t="n">
        <v>3</v>
      </c>
      <c r="G3022" s="4" t="n">
        <v>3</v>
      </c>
      <c r="H3022" s="13" t="n"/>
      <c r="I3022" s="15" t="n"/>
      <c r="J3022" s="19" t="n">
        <v>3</v>
      </c>
      <c r="K3022" s="2" t="inlineStr">
        <is>
          <t>marker_134_751926.png</t>
        </is>
      </c>
      <c r="L3022" s="11">
        <f>HYPERLINK("3\1\" &amp; K3022, "Ver Imagen")</f>
        <v/>
      </c>
      <c r="M3022" t="inlineStr">
        <is>
          <t>Moda</t>
        </is>
      </c>
    </row>
    <row r="3023">
      <c r="A3023" t="n">
        <v>3022</v>
      </c>
      <c r="B3023" t="inlineStr">
        <is>
          <t>A-490__374</t>
        </is>
      </c>
      <c r="C3023" s="1" t="n">
        <v>37.4791804655</v>
      </c>
      <c r="D3023" s="1" t="n">
        <v>-7.20846764031</v>
      </c>
      <c r="E3023" s="3" t="n">
        <v>2</v>
      </c>
      <c r="F3023" s="2" t="n">
        <v>3</v>
      </c>
      <c r="G3023" s="4" t="n">
        <v>3</v>
      </c>
      <c r="H3023" s="13" t="n"/>
      <c r="I3023" s="15" t="n"/>
      <c r="J3023" s="19" t="n">
        <v>3</v>
      </c>
      <c r="K3023" s="2" t="inlineStr">
        <is>
          <t>marker_245_752181.png</t>
        </is>
      </c>
      <c r="L3023" s="11">
        <f>HYPERLINK("3\1\" &amp; K3023, "Ver Imagen")</f>
        <v/>
      </c>
      <c r="M3023" t="inlineStr">
        <is>
          <t>Moda</t>
        </is>
      </c>
    </row>
    <row r="3024">
      <c r="A3024" t="n">
        <v>3023</v>
      </c>
      <c r="B3024" t="inlineStr">
        <is>
          <t>A-490__379</t>
        </is>
      </c>
      <c r="C3024" s="1" t="n">
        <v>37.4796586356</v>
      </c>
      <c r="D3024" s="1" t="n">
        <v>-7.20956579035</v>
      </c>
      <c r="E3024" s="3" t="n">
        <v>2</v>
      </c>
      <c r="F3024" s="2" t="n">
        <v>3</v>
      </c>
      <c r="G3024" s="4" t="n">
        <v>3</v>
      </c>
      <c r="H3024" s="13" t="n"/>
      <c r="I3024" s="15" t="n"/>
      <c r="J3024" s="19" t="n">
        <v>3</v>
      </c>
      <c r="K3024" s="2" t="inlineStr">
        <is>
          <t>marker_173_752315.png</t>
        </is>
      </c>
      <c r="L3024" s="11">
        <f>HYPERLINK("3\1\" &amp; K3024, "Ver Imagen")</f>
        <v/>
      </c>
      <c r="M3024" t="inlineStr">
        <is>
          <t>Moda</t>
        </is>
      </c>
    </row>
    <row r="3025">
      <c r="A3025" t="n">
        <v>3024</v>
      </c>
      <c r="B3025" t="inlineStr">
        <is>
          <t>A-490__381</t>
        </is>
      </c>
      <c r="C3025" s="1" t="n">
        <v>37.479885127</v>
      </c>
      <c r="D3025" s="1" t="n">
        <v>-7.21008663599</v>
      </c>
      <c r="E3025" s="3" t="n">
        <v>2</v>
      </c>
      <c r="F3025" s="2" t="n">
        <v>3</v>
      </c>
      <c r="G3025" s="4" t="n">
        <v>3</v>
      </c>
      <c r="H3025" s="13" t="n"/>
      <c r="I3025" s="15" t="n"/>
      <c r="J3025" s="19" t="n">
        <v>3</v>
      </c>
      <c r="K3025" s="2" t="inlineStr">
        <is>
          <t>marker_684_752355.png</t>
        </is>
      </c>
      <c r="L3025" s="11">
        <f>HYPERLINK("3\1\" &amp; K3025, "Ver Imagen")</f>
        <v/>
      </c>
      <c r="M3025" t="inlineStr">
        <is>
          <t>Moda</t>
        </is>
      </c>
    </row>
    <row r="3026">
      <c r="A3026" t="n">
        <v>3025</v>
      </c>
      <c r="B3026" t="inlineStr">
        <is>
          <t>A-490__392</t>
        </is>
      </c>
      <c r="C3026" s="1" t="n">
        <v>37.4808694853</v>
      </c>
      <c r="D3026" s="1" t="n">
        <v>-7.21249547395</v>
      </c>
      <c r="E3026" s="3" t="n">
        <v>2</v>
      </c>
      <c r="F3026" s="2" t="n">
        <v>3</v>
      </c>
      <c r="G3026" s="4" t="n">
        <v>3</v>
      </c>
      <c r="H3026" s="13" t="n"/>
      <c r="I3026" s="15" t="n"/>
      <c r="J3026" s="19" t="n">
        <v>3</v>
      </c>
      <c r="K3026" s="2" t="inlineStr">
        <is>
          <t>marker_575_752591.png</t>
        </is>
      </c>
      <c r="L3026" s="11">
        <f>HYPERLINK("3\1\" &amp; K3026, "Ver Imagen")</f>
        <v/>
      </c>
      <c r="M3026" t="inlineStr">
        <is>
          <t>Moda</t>
        </is>
      </c>
    </row>
    <row r="3027">
      <c r="A3027" t="n">
        <v>3026</v>
      </c>
      <c r="B3027" t="inlineStr">
        <is>
          <t>A-490__394</t>
        </is>
      </c>
      <c r="C3027" s="1" t="n">
        <v>37.4810507902</v>
      </c>
      <c r="D3027" s="1" t="n">
        <v>-7.21298714821</v>
      </c>
      <c r="E3027" s="3" t="n">
        <v>2</v>
      </c>
      <c r="F3027" s="2" t="n">
        <v>3</v>
      </c>
      <c r="G3027" s="4" t="n">
        <v>3</v>
      </c>
      <c r="H3027" s="13" t="n"/>
      <c r="I3027" s="15" t="n"/>
      <c r="J3027" s="19" t="n">
        <v>3</v>
      </c>
      <c r="K3027" s="2" t="inlineStr">
        <is>
          <t>marker_564_752892.png</t>
        </is>
      </c>
      <c r="L3027" s="11">
        <f>HYPERLINK("3\1\" &amp; K3027, "Ver Imagen")</f>
        <v/>
      </c>
      <c r="M3027" t="inlineStr">
        <is>
          <t>Moda</t>
        </is>
      </c>
    </row>
    <row r="3028">
      <c r="A3028" t="n">
        <v>3027</v>
      </c>
      <c r="B3028" t="inlineStr">
        <is>
          <t>A-490__405</t>
        </is>
      </c>
      <c r="C3028" s="1" t="n">
        <v>37.4819810342</v>
      </c>
      <c r="D3028" s="1" t="n">
        <v>-7.2155140568</v>
      </c>
      <c r="E3028" s="3" t="n">
        <v>2</v>
      </c>
      <c r="F3028" s="2" t="n">
        <v>3</v>
      </c>
      <c r="G3028" s="4" t="n">
        <v>3</v>
      </c>
      <c r="H3028" s="13" t="n"/>
      <c r="I3028" s="15" t="n"/>
      <c r="J3028" s="19" t="n">
        <v>3</v>
      </c>
      <c r="K3028" s="2" t="inlineStr">
        <is>
          <t>marker_947_753128.png</t>
        </is>
      </c>
      <c r="L3028" s="11">
        <f>HYPERLINK("3\1\" &amp; K3028, "Ver Imagen")</f>
        <v/>
      </c>
      <c r="M3028" t="inlineStr">
        <is>
          <t>Moda</t>
        </is>
      </c>
    </row>
    <row r="3029">
      <c r="A3029" t="n">
        <v>3028</v>
      </c>
      <c r="B3029" t="inlineStr">
        <is>
          <t>A-490__445</t>
        </is>
      </c>
      <c r="C3029" s="1" t="n">
        <v>37.4840220801</v>
      </c>
      <c r="D3029" s="1" t="n">
        <v>-7.22542640719</v>
      </c>
      <c r="E3029" s="3" t="n">
        <v>2</v>
      </c>
      <c r="F3029" s="2" t="n">
        <v>3</v>
      </c>
      <c r="G3029" s="4" t="n">
        <v>3</v>
      </c>
      <c r="H3029" s="13" t="n"/>
      <c r="I3029" s="15" t="n"/>
      <c r="J3029" s="19" t="n">
        <v>3</v>
      </c>
      <c r="K3029" s="2" t="inlineStr">
        <is>
          <t>marker_832_754859.png</t>
        </is>
      </c>
      <c r="L3029" s="11">
        <f>HYPERLINK("3\1\" &amp; K3029, "Ver Imagen")</f>
        <v/>
      </c>
      <c r="M3029" t="inlineStr">
        <is>
          <t>Moda</t>
        </is>
      </c>
    </row>
    <row r="3030">
      <c r="A3030" t="n">
        <v>3029</v>
      </c>
      <c r="B3030" t="inlineStr">
        <is>
          <t>A-490__460</t>
        </is>
      </c>
      <c r="C3030" s="1" t="n">
        <v>37.4847253348</v>
      </c>
      <c r="D3030" s="1" t="n">
        <v>-7.2290316734</v>
      </c>
      <c r="E3030" s="3" t="n">
        <v>2</v>
      </c>
      <c r="F3030" s="2" t="n">
        <v>3</v>
      </c>
      <c r="G3030" s="4" t="n">
        <v>3</v>
      </c>
      <c r="H3030" s="13" t="n"/>
      <c r="I3030" s="15" t="n"/>
      <c r="J3030" s="19" t="n">
        <v>3</v>
      </c>
      <c r="K3030" s="2" t="inlineStr">
        <is>
          <t>marker_419_755215.png</t>
        </is>
      </c>
      <c r="L3030" s="11">
        <f>HYPERLINK("3\1\" &amp; K3030, "Ver Imagen")</f>
        <v/>
      </c>
      <c r="M3030" t="inlineStr">
        <is>
          <t>Moda</t>
        </is>
      </c>
    </row>
    <row r="3031">
      <c r="A3031" t="n">
        <v>3030</v>
      </c>
      <c r="B3031" t="inlineStr">
        <is>
          <t>A-490__524</t>
        </is>
      </c>
      <c r="C3031" s="1" t="n">
        <v>37.4877724063</v>
      </c>
      <c r="D3031" s="1" t="n">
        <v>-7.24482894838</v>
      </c>
      <c r="E3031" s="3" t="n">
        <v>2</v>
      </c>
      <c r="F3031" s="2" t="n">
        <v>3</v>
      </c>
      <c r="G3031" s="4" t="n">
        <v>3</v>
      </c>
      <c r="H3031" s="13" t="n"/>
      <c r="I3031" s="15" t="n"/>
      <c r="J3031" s="19" t="n">
        <v>3</v>
      </c>
      <c r="K3031" s="2" t="inlineStr">
        <is>
          <t>marker_137_818112.png</t>
        </is>
      </c>
      <c r="L3031" s="11">
        <f>HYPERLINK("3\1\" &amp; K3031, "Ver Imagen")</f>
        <v/>
      </c>
      <c r="M3031" t="inlineStr">
        <is>
          <t>Moda</t>
        </is>
      </c>
    </row>
    <row r="3032">
      <c r="A3032" t="n">
        <v>3031</v>
      </c>
      <c r="B3032" t="inlineStr">
        <is>
          <t>A-492__9</t>
        </is>
      </c>
      <c r="C3032" s="1" t="n">
        <v>37.2732215615</v>
      </c>
      <c r="D3032" s="1" t="n">
        <v>-6.99134259282</v>
      </c>
      <c r="E3032" s="3" t="n">
        <v>3</v>
      </c>
      <c r="F3032" s="2" t="n">
        <v>3</v>
      </c>
      <c r="G3032" s="4" t="n">
        <v>4</v>
      </c>
      <c r="H3032" s="13" t="n"/>
      <c r="I3032" s="15" t="n"/>
      <c r="J3032" s="19" t="n">
        <v>3</v>
      </c>
      <c r="K3032" s="2" t="inlineStr">
        <is>
          <t>marker_516_821869.png</t>
        </is>
      </c>
      <c r="L3032" s="11">
        <f>HYPERLINK("3\1\" &amp; K3032, "Ver Imagen")</f>
        <v/>
      </c>
      <c r="M3032" t="inlineStr">
        <is>
          <t>Moda</t>
        </is>
      </c>
    </row>
    <row r="3033">
      <c r="A3033" t="n">
        <v>3032</v>
      </c>
      <c r="B3033" t="inlineStr">
        <is>
          <t>A-492__20</t>
        </is>
      </c>
      <c r="C3033" s="1" t="n">
        <v>37.2753796454</v>
      </c>
      <c r="D3033" s="1" t="n">
        <v>-6.99114964431</v>
      </c>
      <c r="E3033" s="3" t="n">
        <v>3</v>
      </c>
      <c r="F3033" s="2" t="n">
        <v>3</v>
      </c>
      <c r="G3033" s="4" t="n">
        <v>4</v>
      </c>
      <c r="H3033" s="13" t="n"/>
      <c r="I3033" s="15" t="n"/>
      <c r="J3033" s="19" t="n">
        <v>3</v>
      </c>
      <c r="K3033" s="2" t="inlineStr">
        <is>
          <t>marker_647_822021.png</t>
        </is>
      </c>
      <c r="L3033" s="11">
        <f>HYPERLINK("3\1\" &amp; K3033, "Ver Imagen")</f>
        <v/>
      </c>
      <c r="M3033" t="inlineStr">
        <is>
          <t>Moda</t>
        </is>
      </c>
    </row>
    <row r="3034">
      <c r="A3034" t="n">
        <v>3033</v>
      </c>
      <c r="B3034" t="inlineStr">
        <is>
          <t>A-492__26</t>
        </is>
      </c>
      <c r="C3034" s="1" t="n">
        <v>37.2763369765</v>
      </c>
      <c r="D3034" s="1" t="n">
        <v>-6.99112440362</v>
      </c>
      <c r="E3034" s="3" t="n">
        <v>2</v>
      </c>
      <c r="F3034" s="2" t="n">
        <v>3</v>
      </c>
      <c r="G3034" s="4" t="n">
        <v>3</v>
      </c>
      <c r="H3034" s="13" t="n"/>
      <c r="I3034" s="15" t="n"/>
      <c r="J3034" s="19" t="n">
        <v>3</v>
      </c>
      <c r="K3034" s="2" t="inlineStr">
        <is>
          <t>marker_420_822235.png</t>
        </is>
      </c>
      <c r="L3034" s="11">
        <f>HYPERLINK("3\1\" &amp; K3034, "Ver Imagen")</f>
        <v/>
      </c>
      <c r="M3034" t="inlineStr">
        <is>
          <t>Moda</t>
        </is>
      </c>
    </row>
    <row r="3035">
      <c r="A3035" t="n">
        <v>3034</v>
      </c>
      <c r="B3035" t="inlineStr">
        <is>
          <t>A-492__54</t>
        </is>
      </c>
      <c r="C3035" s="1" t="n">
        <v>37.2795251255</v>
      </c>
      <c r="D3035" s="1" t="n">
        <v>-6.99658973319</v>
      </c>
      <c r="E3035" s="3" t="n">
        <v>2</v>
      </c>
      <c r="F3035" s="2" t="n">
        <v>3</v>
      </c>
      <c r="G3035" s="4" t="n">
        <v>3</v>
      </c>
      <c r="H3035" s="13" t="n"/>
      <c r="I3035" s="15" t="n"/>
      <c r="J3035" s="19" t="n">
        <v>3</v>
      </c>
      <c r="K3035" s="2" t="inlineStr">
        <is>
          <t>marker_363_823063.png</t>
        </is>
      </c>
      <c r="L3035" s="11">
        <f>HYPERLINK("3\1\" &amp; K3035, "Ver Imagen")</f>
        <v/>
      </c>
      <c r="M3035" t="inlineStr">
        <is>
          <t>Moda</t>
        </is>
      </c>
    </row>
    <row r="3036">
      <c r="A3036" t="n">
        <v>3035</v>
      </c>
      <c r="B3036" t="inlineStr">
        <is>
          <t>A-492__127</t>
        </is>
      </c>
      <c r="C3036" s="1" t="n">
        <v>37.2767036743</v>
      </c>
      <c r="D3036" s="1" t="n">
        <v>-7.01310267037</v>
      </c>
      <c r="E3036" s="3" t="n">
        <v>2</v>
      </c>
      <c r="F3036" s="2" t="n">
        <v>3</v>
      </c>
      <c r="G3036" s="4" t="n">
        <v>3</v>
      </c>
      <c r="H3036" s="13" t="n"/>
      <c r="I3036" s="15" t="n"/>
      <c r="J3036" s="19" t="n">
        <v>3</v>
      </c>
      <c r="K3036" s="2" t="inlineStr">
        <is>
          <t>marker_685_824502.png</t>
        </is>
      </c>
      <c r="L3036" s="11">
        <f>HYPERLINK("3\1\" &amp; K3036, "Ver Imagen")</f>
        <v/>
      </c>
      <c r="M3036" t="inlineStr">
        <is>
          <t>Moda</t>
        </is>
      </c>
    </row>
    <row r="3037">
      <c r="A3037" t="n">
        <v>3036</v>
      </c>
      <c r="B3037" t="inlineStr">
        <is>
          <t>A-492__307</t>
        </is>
      </c>
      <c r="C3037" s="1" t="n">
        <v>37.2935507756</v>
      </c>
      <c r="D3037" s="1" t="n">
        <v>-7.04666683499</v>
      </c>
      <c r="E3037" s="3" t="n">
        <v>2</v>
      </c>
      <c r="F3037" s="2" t="n">
        <v>3</v>
      </c>
      <c r="G3037" s="4" t="n">
        <v>3</v>
      </c>
      <c r="H3037" s="13" t="n"/>
      <c r="I3037" s="15" t="n"/>
      <c r="J3037" s="19" t="n">
        <v>3</v>
      </c>
      <c r="K3037" s="2" t="inlineStr">
        <is>
          <t>marker_871_837632.png</t>
        </is>
      </c>
      <c r="L3037" s="11">
        <f>HYPERLINK("3\1\" &amp; K3037, "Ver Imagen")</f>
        <v/>
      </c>
      <c r="M3037" t="inlineStr">
        <is>
          <t>Moda</t>
        </is>
      </c>
    </row>
    <row r="3038">
      <c r="A3038" t="n">
        <v>3037</v>
      </c>
      <c r="B3038" t="inlineStr">
        <is>
          <t>A-492__461</t>
        </is>
      </c>
      <c r="C3038" s="1" t="n">
        <v>37.3161782343</v>
      </c>
      <c r="D3038" s="1" t="n">
        <v>-7.06935961496</v>
      </c>
      <c r="E3038" s="3" t="n">
        <v>3</v>
      </c>
      <c r="F3038" s="2" t="n">
        <v>3</v>
      </c>
      <c r="G3038" s="4" t="n">
        <v>4</v>
      </c>
      <c r="H3038" s="13" t="n"/>
      <c r="I3038" s="15" t="n"/>
      <c r="J3038" s="19" t="n">
        <v>3</v>
      </c>
      <c r="K3038" s="2" t="inlineStr">
        <is>
          <t>marker_488_839940.png</t>
        </is>
      </c>
      <c r="L3038" s="11">
        <f>HYPERLINK("3\1\" &amp; K3038, "Ver Imagen")</f>
        <v/>
      </c>
      <c r="M3038" t="inlineStr">
        <is>
          <t>Moda</t>
        </is>
      </c>
    </row>
    <row r="3039">
      <c r="A3039" t="n">
        <v>3038</v>
      </c>
      <c r="B3039" t="inlineStr">
        <is>
          <t>A-492__464</t>
        </is>
      </c>
      <c r="C3039" s="1" t="n">
        <v>37.3165111837</v>
      </c>
      <c r="D3039" s="1" t="n">
        <v>-7.07001636303</v>
      </c>
      <c r="E3039" s="3" t="n">
        <v>3</v>
      </c>
      <c r="F3039" s="2" t="n">
        <v>3</v>
      </c>
      <c r="G3039" s="4" t="n">
        <v>4</v>
      </c>
      <c r="H3039" s="13" t="n"/>
      <c r="I3039" s="15" t="n"/>
      <c r="J3039" s="19" t="n">
        <v>3</v>
      </c>
      <c r="K3039" s="2" t="inlineStr">
        <is>
          <t>marker_449_839971.png</t>
        </is>
      </c>
      <c r="L3039" s="11">
        <f>HYPERLINK("3\1\" &amp; K3039, "Ver Imagen")</f>
        <v/>
      </c>
      <c r="M3039" t="inlineStr">
        <is>
          <t>Moda</t>
        </is>
      </c>
    </row>
    <row r="3040">
      <c r="A3040" t="n">
        <v>3039</v>
      </c>
      <c r="B3040" t="inlineStr">
        <is>
          <t>A-495R__16</t>
        </is>
      </c>
      <c r="C3040" s="1" t="n">
        <v>37.4479736127</v>
      </c>
      <c r="D3040" s="1" t="n">
        <v>-7.1092931045</v>
      </c>
      <c r="E3040" s="3" t="n">
        <v>2</v>
      </c>
      <c r="F3040" s="2" t="n">
        <v>3</v>
      </c>
      <c r="G3040" s="4" t="n">
        <v>3</v>
      </c>
      <c r="H3040" s="13" t="n"/>
      <c r="I3040" s="15" t="n"/>
      <c r="J3040" s="19" t="n">
        <v>3</v>
      </c>
      <c r="K3040" s="2" t="inlineStr">
        <is>
          <t>marker_796_936835.png</t>
        </is>
      </c>
      <c r="L3040" s="11">
        <f>HYPERLINK("3\1\" &amp; K3040, "Ver Imagen")</f>
        <v/>
      </c>
      <c r="M3040" t="inlineStr">
        <is>
          <t>Moda</t>
        </is>
      </c>
    </row>
    <row r="3041">
      <c r="A3041" t="n">
        <v>3040</v>
      </c>
      <c r="B3041" t="inlineStr">
        <is>
          <t>A-495R__5</t>
        </is>
      </c>
      <c r="C3041" s="1" t="n">
        <v>37.4468544556</v>
      </c>
      <c r="D3041" s="1" t="n">
        <v>-7.10716620456</v>
      </c>
      <c r="E3041" s="3" t="n">
        <v>2</v>
      </c>
      <c r="F3041" s="2" t="n">
        <v>3</v>
      </c>
      <c r="G3041" s="4" t="n">
        <v>3</v>
      </c>
      <c r="H3041" s="13" t="n"/>
      <c r="I3041" s="15" t="n"/>
      <c r="J3041" s="19" t="n">
        <v>3</v>
      </c>
      <c r="K3041" s="2" t="inlineStr">
        <is>
          <t>marker_523_937064.png</t>
        </is>
      </c>
      <c r="L3041" s="11">
        <f>HYPERLINK("3\1\" &amp; K3041, "Ver Imagen")</f>
        <v/>
      </c>
      <c r="M3041" t="inlineStr">
        <is>
          <t>Moda</t>
        </is>
      </c>
    </row>
    <row r="3042">
      <c r="A3042" t="n">
        <v>3041</v>
      </c>
      <c r="B3042" t="inlineStr">
        <is>
          <t>A-497__79</t>
        </is>
      </c>
      <c r="C3042" s="1" t="n">
        <v>37.2689059951</v>
      </c>
      <c r="D3042" s="1" t="n">
        <v>-6.97550772697</v>
      </c>
      <c r="E3042" s="3" t="n">
        <v>3</v>
      </c>
      <c r="F3042" s="2" t="n">
        <v>3</v>
      </c>
      <c r="G3042" s="4" t="n">
        <v>4</v>
      </c>
      <c r="H3042" s="13" t="n"/>
      <c r="I3042" s="15" t="n"/>
      <c r="J3042" s="19" t="n">
        <v>3</v>
      </c>
      <c r="K3042" s="2" t="inlineStr">
        <is>
          <t>marker_802_937930.png</t>
        </is>
      </c>
      <c r="L3042" s="11">
        <f>HYPERLINK("3\1\" &amp; K3042, "Ver Imagen")</f>
        <v/>
      </c>
      <c r="M3042" t="inlineStr">
        <is>
          <t>Moda</t>
        </is>
      </c>
    </row>
    <row r="3043">
      <c r="A3043" t="n">
        <v>3042</v>
      </c>
      <c r="B3043" t="inlineStr">
        <is>
          <t>A-497__76</t>
        </is>
      </c>
      <c r="C3043" s="1" t="n">
        <v>37.2687342602</v>
      </c>
      <c r="D3043" s="1" t="n">
        <v>-6.97476752315</v>
      </c>
      <c r="E3043" s="3" t="n">
        <v>3</v>
      </c>
      <c r="F3043" s="2" t="n">
        <v>3</v>
      </c>
      <c r="G3043" s="4" t="n">
        <v>4</v>
      </c>
      <c r="H3043" s="13" t="n"/>
      <c r="I3043" s="15" t="n"/>
      <c r="J3043" s="19" t="n">
        <v>3</v>
      </c>
      <c r="K3043" s="2" t="inlineStr">
        <is>
          <t>marker_968_937979.png</t>
        </is>
      </c>
      <c r="L3043" s="11">
        <f>HYPERLINK("3\1\" &amp; K3043, "Ver Imagen")</f>
        <v/>
      </c>
      <c r="M3043" t="inlineStr">
        <is>
          <t>Moda</t>
        </is>
      </c>
    </row>
    <row r="3044">
      <c r="A3044" t="n">
        <v>3043</v>
      </c>
      <c r="B3044" t="inlineStr">
        <is>
          <t>A-497__72</t>
        </is>
      </c>
      <c r="C3044" s="1" t="n">
        <v>37.2685315333</v>
      </c>
      <c r="D3044" s="1" t="n">
        <v>-6.97384057004</v>
      </c>
      <c r="E3044" s="3" t="n">
        <v>2</v>
      </c>
      <c r="F3044" s="2" t="n">
        <v>3</v>
      </c>
      <c r="G3044" s="4" t="n">
        <v>3</v>
      </c>
      <c r="H3044" s="13" t="n"/>
      <c r="I3044" s="15" t="n"/>
      <c r="J3044" s="19" t="n">
        <v>3</v>
      </c>
      <c r="K3044" s="2" t="inlineStr">
        <is>
          <t>marker_949_938025.png</t>
        </is>
      </c>
      <c r="L3044" s="11">
        <f>HYPERLINK("3\1\" &amp; K3044, "Ver Imagen")</f>
        <v/>
      </c>
      <c r="M3044" t="inlineStr">
        <is>
          <t>Moda</t>
        </is>
      </c>
    </row>
    <row r="3045">
      <c r="A3045" t="n">
        <v>3044</v>
      </c>
      <c r="B3045" t="inlineStr">
        <is>
          <t>A-497__58</t>
        </is>
      </c>
      <c r="C3045" s="1" t="n">
        <v>37.2679341351</v>
      </c>
      <c r="D3045" s="1" t="n">
        <v>-6.97031000543</v>
      </c>
      <c r="E3045" s="3" t="n">
        <v>2</v>
      </c>
      <c r="F3045" s="2" t="n">
        <v>3</v>
      </c>
      <c r="G3045" s="4" t="n">
        <v>3</v>
      </c>
      <c r="H3045" s="13" t="n"/>
      <c r="I3045" s="15" t="n"/>
      <c r="J3045" s="19" t="n">
        <v>3</v>
      </c>
      <c r="K3045" s="2" t="inlineStr">
        <is>
          <t>marker_570_938284.png</t>
        </is>
      </c>
      <c r="L3045" s="11">
        <f>HYPERLINK("3\1\" &amp; K3045, "Ver Imagen")</f>
        <v/>
      </c>
      <c r="M3045" t="inlineStr">
        <is>
          <t>Moda</t>
        </is>
      </c>
    </row>
    <row r="3046">
      <c r="A3046" t="n">
        <v>3045</v>
      </c>
      <c r="B3046" t="inlineStr">
        <is>
          <t>A-497__57</t>
        </is>
      </c>
      <c r="C3046" s="1" t="n">
        <v>37.2679060732</v>
      </c>
      <c r="D3046" s="1" t="n">
        <v>-6.97009151174</v>
      </c>
      <c r="E3046" s="3" t="n">
        <v>2</v>
      </c>
      <c r="F3046" s="2" t="n">
        <v>3</v>
      </c>
      <c r="G3046" s="4" t="n">
        <v>3</v>
      </c>
      <c r="H3046" s="13" t="n"/>
      <c r="I3046" s="15" t="n"/>
      <c r="J3046" s="19" t="n">
        <v>3</v>
      </c>
      <c r="K3046" s="2" t="inlineStr">
        <is>
          <t>marker_960_938295.png</t>
        </is>
      </c>
      <c r="L3046" s="11">
        <f>HYPERLINK("3\1\" &amp; K3046, "Ver Imagen")</f>
        <v/>
      </c>
      <c r="M3046" t="inlineStr">
        <is>
          <t>Moda</t>
        </is>
      </c>
    </row>
    <row r="3047">
      <c r="A3047" t="n">
        <v>3046</v>
      </c>
      <c r="B3047" t="inlineStr">
        <is>
          <t>A-497__54</t>
        </is>
      </c>
      <c r="C3047" s="1" t="n">
        <v>37.2678091299</v>
      </c>
      <c r="D3047" s="1" t="n">
        <v>-6.96928007187</v>
      </c>
      <c r="E3047" s="3" t="n">
        <v>2</v>
      </c>
      <c r="F3047" s="2" t="n">
        <v>3</v>
      </c>
      <c r="G3047" s="4" t="n">
        <v>3</v>
      </c>
      <c r="H3047" s="13" t="n"/>
      <c r="I3047" s="15" t="n"/>
      <c r="J3047" s="19" t="n">
        <v>3</v>
      </c>
      <c r="K3047" s="2" t="inlineStr">
        <is>
          <t>marker_670_938340.png</t>
        </is>
      </c>
      <c r="L3047" s="11">
        <f>HYPERLINK("3\1\" &amp; K3047, "Ver Imagen")</f>
        <v/>
      </c>
      <c r="M3047" t="inlineStr">
        <is>
          <t>Moda</t>
        </is>
      </c>
    </row>
    <row r="3048">
      <c r="A3048" t="n">
        <v>3047</v>
      </c>
      <c r="B3048" t="inlineStr">
        <is>
          <t>A-497__51</t>
        </is>
      </c>
      <c r="C3048" s="1" t="n">
        <v>37.2677338078</v>
      </c>
      <c r="D3048" s="1" t="n">
        <v>-6.96853106708</v>
      </c>
      <c r="E3048" s="3" t="n">
        <v>2</v>
      </c>
      <c r="F3048" s="2" t="n">
        <v>3</v>
      </c>
      <c r="G3048" s="4" t="n">
        <v>3</v>
      </c>
      <c r="H3048" s="13" t="n"/>
      <c r="I3048" s="15" t="n"/>
      <c r="J3048" s="19" t="n">
        <v>3</v>
      </c>
      <c r="K3048" s="2" t="inlineStr">
        <is>
          <t>marker_801_938376.png</t>
        </is>
      </c>
      <c r="L3048" s="11">
        <f>HYPERLINK("3\1\" &amp; K3048, "Ver Imagen")</f>
        <v/>
      </c>
      <c r="M3048" t="inlineStr">
        <is>
          <t>Moda</t>
        </is>
      </c>
    </row>
    <row r="3049">
      <c r="A3049" t="n">
        <v>3048</v>
      </c>
      <c r="B3049" t="inlineStr">
        <is>
          <t>A-497__49</t>
        </is>
      </c>
      <c r="C3049" s="1" t="n">
        <v>37.2676923919</v>
      </c>
      <c r="D3049" s="1" t="n">
        <v>-6.96806620875</v>
      </c>
      <c r="E3049" s="3" t="n">
        <v>2</v>
      </c>
      <c r="F3049" s="2" t="n">
        <v>3</v>
      </c>
      <c r="G3049" s="4" t="n">
        <v>3</v>
      </c>
      <c r="H3049" s="13" t="n"/>
      <c r="I3049" s="15" t="n"/>
      <c r="J3049" s="19" t="n">
        <v>3</v>
      </c>
      <c r="K3049" s="2" t="inlineStr">
        <is>
          <t>marker_735_938406.png</t>
        </is>
      </c>
      <c r="L3049" s="11">
        <f>HYPERLINK("3\1\" &amp; K3049, "Ver Imagen")</f>
        <v/>
      </c>
      <c r="M3049" t="inlineStr">
        <is>
          <t>Moda</t>
        </is>
      </c>
    </row>
    <row r="3050">
      <c r="A3050" t="n">
        <v>3049</v>
      </c>
      <c r="B3050" t="inlineStr">
        <is>
          <t>A-497__46</t>
        </is>
      </c>
      <c r="C3050" s="1" t="n">
        <v>37.2676364139</v>
      </c>
      <c r="D3050" s="1" t="n">
        <v>-6.96733458012</v>
      </c>
      <c r="E3050" s="3" t="n">
        <v>2</v>
      </c>
      <c r="F3050" s="2" t="n">
        <v>3</v>
      </c>
      <c r="G3050" s="4" t="n">
        <v>3</v>
      </c>
      <c r="H3050" s="13" t="n"/>
      <c r="I3050" s="15" t="n"/>
      <c r="J3050" s="19" t="n">
        <v>3</v>
      </c>
      <c r="K3050" s="2" t="inlineStr">
        <is>
          <t>marker_499_938439.png</t>
        </is>
      </c>
      <c r="L3050" s="11">
        <f>HYPERLINK("3\1\" &amp; K3050, "Ver Imagen")</f>
        <v/>
      </c>
      <c r="M3050" t="inlineStr">
        <is>
          <t>Moda</t>
        </is>
      </c>
    </row>
    <row r="3051">
      <c r="A3051" t="n">
        <v>3050</v>
      </c>
      <c r="B3051" t="inlineStr">
        <is>
          <t>A-497__45</t>
        </is>
      </c>
      <c r="C3051" s="1" t="n">
        <v>37.2676193428</v>
      </c>
      <c r="D3051" s="1" t="n">
        <v>-6.96706071645</v>
      </c>
      <c r="E3051" s="3" t="n">
        <v>2</v>
      </c>
      <c r="F3051" s="2" t="n">
        <v>3</v>
      </c>
      <c r="G3051" s="4" t="n">
        <v>3</v>
      </c>
      <c r="H3051" s="13" t="n"/>
      <c r="I3051" s="15" t="n"/>
      <c r="J3051" s="19" t="n">
        <v>3</v>
      </c>
      <c r="K3051" s="2" t="inlineStr">
        <is>
          <t>marker_658_938449.png</t>
        </is>
      </c>
      <c r="L3051" s="11">
        <f>HYPERLINK("3\1\" &amp; K3051, "Ver Imagen")</f>
        <v/>
      </c>
      <c r="M3051" t="inlineStr">
        <is>
          <t>Moda</t>
        </is>
      </c>
    </row>
    <row r="3052">
      <c r="A3052" t="n">
        <v>3051</v>
      </c>
      <c r="B3052" t="inlineStr">
        <is>
          <t>A-497__42</t>
        </is>
      </c>
      <c r="C3052" s="1" t="n">
        <v>37.2675790046</v>
      </c>
      <c r="D3052" s="1" t="n">
        <v>-6.96627427939</v>
      </c>
      <c r="E3052" s="3" t="n">
        <v>2</v>
      </c>
      <c r="F3052" s="2" t="n">
        <v>3</v>
      </c>
      <c r="G3052" s="4" t="n">
        <v>3</v>
      </c>
      <c r="H3052" s="13" t="n"/>
      <c r="I3052" s="15" t="n"/>
      <c r="J3052" s="19" t="n">
        <v>3</v>
      </c>
      <c r="K3052" s="2" t="inlineStr">
        <is>
          <t>marker_166_940255.png</t>
        </is>
      </c>
      <c r="L3052" s="11">
        <f>HYPERLINK("3\1\" &amp; K3052, "Ver Imagen")</f>
        <v/>
      </c>
      <c r="M3052" t="inlineStr">
        <is>
          <t>Moda</t>
        </is>
      </c>
    </row>
    <row r="3053">
      <c r="A3053" t="n">
        <v>3052</v>
      </c>
      <c r="B3053" t="inlineStr">
        <is>
          <t>A-497__38</t>
        </is>
      </c>
      <c r="C3053" s="1" t="n">
        <v>37.2675461074</v>
      </c>
      <c r="D3053" s="1" t="n">
        <v>-6.96529555102</v>
      </c>
      <c r="E3053" s="3" t="n">
        <v>2</v>
      </c>
      <c r="F3053" s="2" t="n">
        <v>3</v>
      </c>
      <c r="G3053" s="4" t="n">
        <v>3</v>
      </c>
      <c r="H3053" s="13" t="n"/>
      <c r="I3053" s="15" t="n"/>
      <c r="J3053" s="19" t="n">
        <v>3</v>
      </c>
      <c r="K3053" s="2" t="inlineStr">
        <is>
          <t>marker_234_940302.png</t>
        </is>
      </c>
      <c r="L3053" s="11">
        <f>HYPERLINK("3\1\" &amp; K3053, "Ver Imagen")</f>
        <v/>
      </c>
      <c r="M3053" t="inlineStr">
        <is>
          <t>Moda</t>
        </is>
      </c>
    </row>
    <row r="3054">
      <c r="A3054" t="n">
        <v>3053</v>
      </c>
      <c r="B3054" t="inlineStr">
        <is>
          <t>A-497__34</t>
        </is>
      </c>
      <c r="C3054" s="1" t="n">
        <v>37.267524945</v>
      </c>
      <c r="D3054" s="1" t="n">
        <v>-6.96425213295</v>
      </c>
      <c r="E3054" s="3" t="n">
        <v>3</v>
      </c>
      <c r="F3054" s="2" t="n">
        <v>3</v>
      </c>
      <c r="G3054" s="4" t="n">
        <v>4</v>
      </c>
      <c r="H3054" s="13" t="n"/>
      <c r="I3054" s="15" t="n"/>
      <c r="J3054" s="19" t="n">
        <v>3</v>
      </c>
      <c r="K3054" s="2" t="inlineStr">
        <is>
          <t>marker_306_940557.png</t>
        </is>
      </c>
      <c r="L3054" s="11">
        <f>HYPERLINK("3\1\" &amp; K3054, "Ver Imagen")</f>
        <v/>
      </c>
      <c r="M3054" t="inlineStr">
        <is>
          <t>Moda</t>
        </is>
      </c>
    </row>
    <row r="3055">
      <c r="A3055" t="n">
        <v>3054</v>
      </c>
      <c r="B3055" t="inlineStr">
        <is>
          <t>A-497__33</t>
        </is>
      </c>
      <c r="C3055" s="1" t="n">
        <v>37.2675196437</v>
      </c>
      <c r="D3055" s="1" t="n">
        <v>-6.96399968545</v>
      </c>
      <c r="E3055" s="3" t="n">
        <v>2</v>
      </c>
      <c r="F3055" s="2" t="n">
        <v>3</v>
      </c>
      <c r="G3055" s="4" t="n">
        <v>3</v>
      </c>
      <c r="H3055" s="13" t="n"/>
      <c r="I3055" s="15" t="n"/>
      <c r="J3055" s="19" t="n">
        <v>3</v>
      </c>
      <c r="K3055" s="2" t="inlineStr">
        <is>
          <t>marker_393_940568.png</t>
        </is>
      </c>
      <c r="L3055" s="11">
        <f>HYPERLINK("3\1\" &amp; K3055, "Ver Imagen")</f>
        <v/>
      </c>
      <c r="M3055" t="inlineStr">
        <is>
          <t>Moda</t>
        </is>
      </c>
    </row>
    <row r="3056">
      <c r="A3056" t="n">
        <v>3055</v>
      </c>
      <c r="B3056" t="inlineStr">
        <is>
          <t>A-497__31</t>
        </is>
      </c>
      <c r="C3056" s="1" t="n">
        <v>37.2675102362</v>
      </c>
      <c r="D3056" s="1" t="n">
        <v>-6.96351265418</v>
      </c>
      <c r="E3056" s="3" t="n">
        <v>3</v>
      </c>
      <c r="F3056" s="2" t="n">
        <v>3</v>
      </c>
      <c r="G3056" s="4" t="n">
        <v>4</v>
      </c>
      <c r="H3056" s="13" t="n"/>
      <c r="I3056" s="15" t="n"/>
      <c r="J3056" s="19" t="n">
        <v>3</v>
      </c>
      <c r="K3056" s="2" t="inlineStr">
        <is>
          <t>marker_811_940683.png</t>
        </is>
      </c>
      <c r="L3056" s="11">
        <f>HYPERLINK("3\1\" &amp; K3056, "Ver Imagen")</f>
        <v/>
      </c>
      <c r="M3056" t="inlineStr">
        <is>
          <t>Moda</t>
        </is>
      </c>
    </row>
    <row r="3057">
      <c r="A3057" t="n">
        <v>3056</v>
      </c>
      <c r="B3057" t="inlineStr">
        <is>
          <t>A-5050__169</t>
        </is>
      </c>
      <c r="C3057" s="1" t="n">
        <v>37.1911823942</v>
      </c>
      <c r="D3057" s="1" t="n">
        <v>-6.99136770168</v>
      </c>
      <c r="E3057" s="3" t="n">
        <v>2</v>
      </c>
      <c r="F3057" s="2" t="n">
        <v>3</v>
      </c>
      <c r="G3057" s="4" t="n">
        <v>3</v>
      </c>
      <c r="H3057" s="13" t="n"/>
      <c r="I3057" s="15" t="n"/>
      <c r="J3057" s="19" t="n">
        <v>3</v>
      </c>
      <c r="K3057" s="2" t="inlineStr">
        <is>
          <t>marker_842_944298.png</t>
        </is>
      </c>
      <c r="L3057" s="11">
        <f>HYPERLINK("3\1\" &amp; K3057, "Ver Imagen")</f>
        <v/>
      </c>
      <c r="M3057" t="inlineStr">
        <is>
          <t>Moda</t>
        </is>
      </c>
    </row>
    <row r="3058">
      <c r="A3058" t="n">
        <v>3057</v>
      </c>
      <c r="B3058" t="inlineStr">
        <is>
          <t>A-5050__148</t>
        </is>
      </c>
      <c r="C3058" s="1" t="n">
        <v>37.1932924826</v>
      </c>
      <c r="D3058" s="1" t="n">
        <v>-6.99603810767</v>
      </c>
      <c r="E3058" s="3" t="n">
        <v>2</v>
      </c>
      <c r="F3058" s="2" t="n">
        <v>3</v>
      </c>
      <c r="G3058" s="4" t="n">
        <v>3</v>
      </c>
      <c r="H3058" s="13" t="n"/>
      <c r="I3058" s="15" t="n"/>
      <c r="J3058" s="19" t="n">
        <v>3</v>
      </c>
      <c r="K3058" s="2" t="inlineStr">
        <is>
          <t>marker_818_945420.png</t>
        </is>
      </c>
      <c r="L3058" s="11">
        <f>HYPERLINK("3\1\" &amp; K3058, "Ver Imagen")</f>
        <v/>
      </c>
      <c r="M3058" t="inlineStr">
        <is>
          <t>Moda</t>
        </is>
      </c>
    </row>
    <row r="3059">
      <c r="A3059" t="n">
        <v>3058</v>
      </c>
      <c r="B3059" t="inlineStr">
        <is>
          <t>A-5050__141</t>
        </is>
      </c>
      <c r="C3059" s="1" t="n">
        <v>37.1939643171</v>
      </c>
      <c r="D3059" s="1" t="n">
        <v>-6.99762173129</v>
      </c>
      <c r="E3059" s="3" t="n">
        <v>2</v>
      </c>
      <c r="F3059" s="2" t="n">
        <v>3</v>
      </c>
      <c r="G3059" s="4" t="n">
        <v>3</v>
      </c>
      <c r="H3059" s="13" t="n"/>
      <c r="I3059" s="15" t="n"/>
      <c r="J3059" s="19" t="n">
        <v>3</v>
      </c>
      <c r="K3059" s="2" t="inlineStr">
        <is>
          <t>marker_155_945829.png</t>
        </is>
      </c>
      <c r="L3059" s="11">
        <f>HYPERLINK("3\1\" &amp; K3059, "Ver Imagen")</f>
        <v/>
      </c>
      <c r="M3059" t="inlineStr">
        <is>
          <t>Moda</t>
        </is>
      </c>
    </row>
    <row r="3060">
      <c r="A3060" t="n">
        <v>3059</v>
      </c>
      <c r="B3060" t="inlineStr">
        <is>
          <t>A-5050__101</t>
        </is>
      </c>
      <c r="C3060" s="1" t="n">
        <v>37.1977070895</v>
      </c>
      <c r="D3060" s="1" t="n">
        <v>-7.00656888846</v>
      </c>
      <c r="E3060" s="3" t="n">
        <v>2</v>
      </c>
      <c r="F3060" s="2" t="n">
        <v>3</v>
      </c>
      <c r="G3060" s="4" t="n">
        <v>3</v>
      </c>
      <c r="H3060" s="13" t="n"/>
      <c r="I3060" s="15" t="n"/>
      <c r="J3060" s="19" t="n">
        <v>3</v>
      </c>
      <c r="K3060" s="2" t="inlineStr">
        <is>
          <t>marker_632_946795.png</t>
        </is>
      </c>
      <c r="L3060" s="11">
        <f>HYPERLINK("3\1\" &amp; K3060, "Ver Imagen")</f>
        <v/>
      </c>
      <c r="M3060" t="inlineStr">
        <is>
          <t>Moda</t>
        </is>
      </c>
    </row>
    <row r="3061">
      <c r="A3061" t="n">
        <v>3060</v>
      </c>
      <c r="B3061" t="inlineStr">
        <is>
          <t>A-5050__81</t>
        </is>
      </c>
      <c r="C3061" s="1" t="n">
        <v>37.1999697672</v>
      </c>
      <c r="D3061" s="1" t="n">
        <v>-7.01070458318</v>
      </c>
      <c r="E3061" s="3" t="n">
        <v>3</v>
      </c>
      <c r="F3061" s="2" t="n">
        <v>3</v>
      </c>
      <c r="G3061" s="4" t="n">
        <v>4</v>
      </c>
      <c r="H3061" s="13" t="n"/>
      <c r="I3061" s="15" t="n"/>
      <c r="J3061" s="19" t="n">
        <v>3</v>
      </c>
      <c r="K3061" s="2" t="inlineStr">
        <is>
          <t>marker_603_948761.png</t>
        </is>
      </c>
      <c r="L3061" s="11">
        <f>HYPERLINK("3\1\" &amp; K3061, "Ver Imagen")</f>
        <v/>
      </c>
      <c r="M3061" t="inlineStr">
        <is>
          <t>Moda</t>
        </is>
      </c>
    </row>
    <row r="3062">
      <c r="A3062" t="n">
        <v>3061</v>
      </c>
      <c r="B3062" t="inlineStr">
        <is>
          <t>A-5050__79</t>
        </is>
      </c>
      <c r="C3062" s="1" t="n">
        <v>37.2002495687</v>
      </c>
      <c r="D3062" s="1" t="n">
        <v>-7.01114145155</v>
      </c>
      <c r="E3062" s="3" t="n">
        <v>3</v>
      </c>
      <c r="F3062" s="2" t="n">
        <v>3</v>
      </c>
      <c r="G3062" s="4" t="n">
        <v>4</v>
      </c>
      <c r="H3062" s="13" t="n"/>
      <c r="I3062" s="15" t="n"/>
      <c r="J3062" s="19" t="n">
        <v>3</v>
      </c>
      <c r="K3062" s="2" t="inlineStr">
        <is>
          <t>marker_518_948784.png</t>
        </is>
      </c>
      <c r="L3062" s="11">
        <f>HYPERLINK("3\1\" &amp; K3062, "Ver Imagen")</f>
        <v/>
      </c>
      <c r="M3062" t="inlineStr">
        <is>
          <t>Moda</t>
        </is>
      </c>
    </row>
    <row r="3063">
      <c r="A3063" t="n">
        <v>3062</v>
      </c>
      <c r="B3063" t="inlineStr">
        <is>
          <t>A-5050__22</t>
        </is>
      </c>
      <c r="C3063" s="1" t="n">
        <v>37.2075805916</v>
      </c>
      <c r="D3063" s="1" t="n">
        <v>-7.02223693209</v>
      </c>
      <c r="E3063" s="3" t="n">
        <v>3</v>
      </c>
      <c r="F3063" s="2" t="n">
        <v>3</v>
      </c>
      <c r="G3063" s="4" t="n">
        <v>4</v>
      </c>
      <c r="H3063" s="13" t="n"/>
      <c r="I3063" s="15" t="n"/>
      <c r="J3063" s="19" t="n">
        <v>3</v>
      </c>
      <c r="K3063" s="2" t="inlineStr">
        <is>
          <t>marker_720_949439.png</t>
        </is>
      </c>
      <c r="L3063" s="11">
        <f>HYPERLINK("3\1\" &amp; K3063, "Ver Imagen")</f>
        <v/>
      </c>
      <c r="M3063" t="inlineStr">
        <is>
          <t>Moda</t>
        </is>
      </c>
    </row>
    <row r="3064">
      <c r="A3064" t="n">
        <v>3063</v>
      </c>
      <c r="B3064" t="inlineStr">
        <is>
          <t>A-5052__6</t>
        </is>
      </c>
      <c r="C3064" s="1" t="n">
        <v>37.2183843415</v>
      </c>
      <c r="D3064" s="1" t="n">
        <v>-7.12447037864</v>
      </c>
      <c r="E3064" s="3" t="n">
        <v>2</v>
      </c>
      <c r="F3064" s="2" t="n">
        <v>3</v>
      </c>
      <c r="G3064" s="4" t="n">
        <v>3</v>
      </c>
      <c r="H3064" s="13" t="n"/>
      <c r="I3064" s="15" t="n"/>
      <c r="J3064" s="19" t="n">
        <v>3</v>
      </c>
      <c r="K3064" s="2" t="inlineStr">
        <is>
          <t>marker_310_949930.png</t>
        </is>
      </c>
      <c r="L3064" s="11">
        <f>HYPERLINK("3\1\" &amp; K3064, "Ver Imagen")</f>
        <v/>
      </c>
      <c r="M3064" t="inlineStr">
        <is>
          <t>Moda</t>
        </is>
      </c>
    </row>
    <row r="3065">
      <c r="A3065" t="n">
        <v>3064</v>
      </c>
      <c r="B3065" t="inlineStr">
        <is>
          <t>A-5052__9</t>
        </is>
      </c>
      <c r="C3065" s="1" t="n">
        <v>37.2183465663</v>
      </c>
      <c r="D3065" s="1" t="n">
        <v>-7.12372800095</v>
      </c>
      <c r="E3065" s="3" t="n">
        <v>3</v>
      </c>
      <c r="F3065" s="2" t="n">
        <v>3</v>
      </c>
      <c r="G3065" s="4" t="n">
        <v>4</v>
      </c>
      <c r="H3065" s="13" t="n"/>
      <c r="I3065" s="15" t="n"/>
      <c r="J3065" s="19" t="n">
        <v>3</v>
      </c>
      <c r="K3065" s="2" t="inlineStr">
        <is>
          <t>marker_970_950011.png</t>
        </is>
      </c>
      <c r="L3065" s="11">
        <f>HYPERLINK("3\1\" &amp; K3065, "Ver Imagen")</f>
        <v/>
      </c>
      <c r="M3065" t="inlineStr">
        <is>
          <t>Moda</t>
        </is>
      </c>
    </row>
    <row r="3066">
      <c r="A3066" t="n">
        <v>3065</v>
      </c>
      <c r="B3066" t="inlineStr">
        <is>
          <t>A-5052__14</t>
        </is>
      </c>
      <c r="C3066" s="1" t="n">
        <v>37.2180626073</v>
      </c>
      <c r="D3066" s="1" t="n">
        <v>-7.12249300778</v>
      </c>
      <c r="E3066" s="3" t="n">
        <v>2</v>
      </c>
      <c r="F3066" s="2" t="n">
        <v>3</v>
      </c>
      <c r="G3066" s="4" t="n">
        <v>3</v>
      </c>
      <c r="H3066" s="13" t="n"/>
      <c r="I3066" s="15" t="n"/>
      <c r="J3066" s="19" t="n">
        <v>3</v>
      </c>
      <c r="K3066" s="2" t="inlineStr">
        <is>
          <t>marker_747_950145.png</t>
        </is>
      </c>
      <c r="L3066" s="11">
        <f>HYPERLINK("3\1\" &amp; K3066, "Ver Imagen")</f>
        <v/>
      </c>
      <c r="M3066" t="inlineStr">
        <is>
          <t>Moda</t>
        </is>
      </c>
    </row>
    <row r="3067">
      <c r="A3067" t="n">
        <v>3066</v>
      </c>
      <c r="B3067" t="inlineStr">
        <is>
          <t>A-5052__42</t>
        </is>
      </c>
      <c r="C3067" s="1" t="n">
        <v>37.2176988063</v>
      </c>
      <c r="D3067" s="1" t="n">
        <v>-7.11549733016</v>
      </c>
      <c r="E3067" s="3" t="n">
        <v>3</v>
      </c>
      <c r="F3067" s="2" t="n">
        <v>3</v>
      </c>
      <c r="G3067" s="4" t="n">
        <v>2</v>
      </c>
      <c r="H3067" s="13" t="n"/>
      <c r="I3067" s="15" t="n"/>
      <c r="J3067" s="19" t="n">
        <v>3</v>
      </c>
      <c r="K3067" s="2" t="inlineStr">
        <is>
          <t>marker_833_956832.png</t>
        </is>
      </c>
      <c r="L3067" s="11">
        <f>HYPERLINK("3\1\" &amp; K3067, "Ver Imagen")</f>
        <v/>
      </c>
      <c r="M3067" t="inlineStr">
        <is>
          <t>Moda</t>
        </is>
      </c>
    </row>
    <row r="3068">
      <c r="A3068" t="n">
        <v>3067</v>
      </c>
      <c r="B3068" t="inlineStr">
        <is>
          <t>A-5052__66</t>
        </is>
      </c>
      <c r="C3068" s="1" t="n">
        <v>37.2176453982</v>
      </c>
      <c r="D3068" s="1" t="n">
        <v>-7.10945577093</v>
      </c>
      <c r="E3068" s="3" t="n">
        <v>2</v>
      </c>
      <c r="F3068" s="2" t="n">
        <v>3</v>
      </c>
      <c r="G3068" s="4" t="n">
        <v>3</v>
      </c>
      <c r="H3068" s="13" t="n"/>
      <c r="I3068" s="15" t="n"/>
      <c r="J3068" s="19" t="n">
        <v>3</v>
      </c>
      <c r="K3068" s="2" t="inlineStr">
        <is>
          <t>marker_187_957129.png</t>
        </is>
      </c>
      <c r="L3068" s="11">
        <f>HYPERLINK("3\1\" &amp; K3068, "Ver Imagen")</f>
        <v/>
      </c>
      <c r="M3068" t="inlineStr">
        <is>
          <t>Moda</t>
        </is>
      </c>
    </row>
    <row r="3069">
      <c r="A3069" t="n">
        <v>3068</v>
      </c>
      <c r="B3069" t="inlineStr">
        <is>
          <t>A-5052__130</t>
        </is>
      </c>
      <c r="C3069" s="1" t="n">
        <v>37.216609273</v>
      </c>
      <c r="D3069" s="1" t="n">
        <v>-7.09341147307</v>
      </c>
      <c r="E3069" s="3" t="n">
        <v>2</v>
      </c>
      <c r="F3069" s="2" t="n">
        <v>3</v>
      </c>
      <c r="G3069" s="4" t="n">
        <v>3</v>
      </c>
      <c r="H3069" s="13" t="n"/>
      <c r="I3069" s="15" t="n"/>
      <c r="J3069" s="19" t="n">
        <v>3</v>
      </c>
      <c r="K3069" s="2" t="inlineStr">
        <is>
          <t>marker_355_958109.png</t>
        </is>
      </c>
      <c r="L3069" s="11">
        <f>HYPERLINK("3\1\" &amp; K3069, "Ver Imagen")</f>
        <v/>
      </c>
      <c r="M3069" t="inlineStr">
        <is>
          <t>Moda</t>
        </is>
      </c>
    </row>
    <row r="3070">
      <c r="A3070" t="n">
        <v>3069</v>
      </c>
      <c r="B3070" t="inlineStr">
        <is>
          <t>A-5052__136</t>
        </is>
      </c>
      <c r="C3070" s="1" t="n">
        <v>37.2163770365</v>
      </c>
      <c r="D3070" s="1" t="n">
        <v>-7.09189322484</v>
      </c>
      <c r="E3070" s="3" t="n">
        <v>2</v>
      </c>
      <c r="F3070" s="2" t="n">
        <v>3</v>
      </c>
      <c r="G3070" s="4" t="n">
        <v>3</v>
      </c>
      <c r="H3070" s="13" t="n"/>
      <c r="I3070" s="15" t="n"/>
      <c r="J3070" s="19" t="n">
        <v>3</v>
      </c>
      <c r="K3070" s="2" t="inlineStr">
        <is>
          <t>marker_825_958175.png</t>
        </is>
      </c>
      <c r="L3070" s="11">
        <f>HYPERLINK("3\1\" &amp; K3070, "Ver Imagen")</f>
        <v/>
      </c>
      <c r="M3070" t="inlineStr">
        <is>
          <t>Moda</t>
        </is>
      </c>
    </row>
    <row r="3071">
      <c r="A3071" t="n">
        <v>3070</v>
      </c>
      <c r="B3071" t="inlineStr">
        <is>
          <t>A-5052__137</t>
        </is>
      </c>
      <c r="C3071" s="1" t="n">
        <v>37.2163387163</v>
      </c>
      <c r="D3071" s="1" t="n">
        <v>-7.09164979477</v>
      </c>
      <c r="E3071" s="3" t="n">
        <v>2</v>
      </c>
      <c r="F3071" s="2" t="n">
        <v>3</v>
      </c>
      <c r="G3071" s="4" t="n">
        <v>3</v>
      </c>
      <c r="H3071" s="13" t="n"/>
      <c r="I3071" s="15" t="n"/>
      <c r="J3071" s="19" t="n">
        <v>3</v>
      </c>
      <c r="K3071" s="2" t="inlineStr">
        <is>
          <t>marker_139_958186.png</t>
        </is>
      </c>
      <c r="L3071" s="11">
        <f>HYPERLINK("3\1\" &amp; K3071, "Ver Imagen")</f>
        <v/>
      </c>
      <c r="M3071" t="inlineStr">
        <is>
          <t>Moda</t>
        </is>
      </c>
    </row>
    <row r="3072">
      <c r="A3072" t="n">
        <v>3071</v>
      </c>
      <c r="B3072" t="inlineStr">
        <is>
          <t>A-5052__167</t>
        </is>
      </c>
      <c r="C3072" s="1" t="n">
        <v>37.2161973333</v>
      </c>
      <c r="D3072" s="1" t="n">
        <v>-7.08411267036</v>
      </c>
      <c r="E3072" s="3" t="n">
        <v>2</v>
      </c>
      <c r="F3072" s="2" t="n">
        <v>3</v>
      </c>
      <c r="G3072" s="4" t="n">
        <v>3</v>
      </c>
      <c r="H3072" s="13" t="n"/>
      <c r="I3072" s="15" t="n"/>
      <c r="J3072" s="19" t="n">
        <v>3</v>
      </c>
      <c r="K3072" s="2" t="inlineStr">
        <is>
          <t>marker_768_958921.png</t>
        </is>
      </c>
      <c r="L3072" s="11">
        <f>HYPERLINK("3\1\" &amp; K3072, "Ver Imagen")</f>
        <v/>
      </c>
      <c r="M3072" t="inlineStr">
        <is>
          <t>Moda</t>
        </is>
      </c>
    </row>
    <row r="3073">
      <c r="A3073" t="n">
        <v>3072</v>
      </c>
      <c r="B3073" t="inlineStr">
        <is>
          <t>A-5052__204</t>
        </is>
      </c>
      <c r="C3073" s="1" t="n">
        <v>37.2141412537</v>
      </c>
      <c r="D3073" s="1" t="n">
        <v>-7.07515283625</v>
      </c>
      <c r="E3073" s="3" t="n">
        <v>2</v>
      </c>
      <c r="F3073" s="2" t="n">
        <v>3</v>
      </c>
      <c r="G3073" s="4" t="n">
        <v>3</v>
      </c>
      <c r="H3073" s="13" t="n"/>
      <c r="I3073" s="15" t="n"/>
      <c r="J3073" s="19" t="n">
        <v>3</v>
      </c>
      <c r="K3073" s="2" t="inlineStr">
        <is>
          <t>marker_733_959511.png</t>
        </is>
      </c>
      <c r="L3073" s="11">
        <f>HYPERLINK("3\1\" &amp; K3073, "Ver Imagen")</f>
        <v/>
      </c>
      <c r="M3073" t="inlineStr">
        <is>
          <t>Moda</t>
        </is>
      </c>
    </row>
    <row r="3074">
      <c r="A3074" t="n">
        <v>3073</v>
      </c>
      <c r="B3074" t="inlineStr">
        <is>
          <t>A-5052__244</t>
        </is>
      </c>
      <c r="C3074" s="1" t="n">
        <v>37.2132955169</v>
      </c>
      <c r="D3074" s="1" t="n">
        <v>-7.0650942016</v>
      </c>
      <c r="E3074" s="3" t="n">
        <v>2</v>
      </c>
      <c r="F3074" s="2" t="n">
        <v>3</v>
      </c>
      <c r="G3074" s="4" t="n">
        <v>3</v>
      </c>
      <c r="H3074" s="13" t="n"/>
      <c r="I3074" s="15" t="n"/>
      <c r="J3074" s="19" t="n">
        <v>3</v>
      </c>
      <c r="K3074" s="2" t="inlineStr">
        <is>
          <t>marker_613_959999.png</t>
        </is>
      </c>
      <c r="L3074" s="11">
        <f>HYPERLINK("3\1\" &amp; K3074, "Ver Imagen")</f>
        <v/>
      </c>
      <c r="M3074" t="inlineStr">
        <is>
          <t>Moda</t>
        </is>
      </c>
    </row>
    <row r="3075">
      <c r="A3075" t="n">
        <v>3074</v>
      </c>
      <c r="B3075" t="inlineStr">
        <is>
          <t>A-5052__293</t>
        </is>
      </c>
      <c r="C3075" s="1" t="n">
        <v>37.2108120264</v>
      </c>
      <c r="D3075" s="1" t="n">
        <v>-7.05330653668</v>
      </c>
      <c r="E3075" s="3" t="n">
        <v>3</v>
      </c>
      <c r="F3075" s="2" t="n">
        <v>3</v>
      </c>
      <c r="G3075" s="4" t="n">
        <v>4</v>
      </c>
      <c r="H3075" s="13" t="n"/>
      <c r="I3075" s="15" t="n"/>
      <c r="J3075" s="19" t="n">
        <v>3</v>
      </c>
      <c r="K3075" s="2" t="inlineStr">
        <is>
          <t>marker_125_960742.png</t>
        </is>
      </c>
      <c r="L3075" s="11">
        <f>HYPERLINK("3\1\" &amp; K3075, "Ver Imagen")</f>
        <v/>
      </c>
      <c r="M3075" t="inlineStr">
        <is>
          <t>Moda</t>
        </is>
      </c>
    </row>
    <row r="3076">
      <c r="A3076" t="n">
        <v>3075</v>
      </c>
      <c r="B3076" t="inlineStr">
        <is>
          <t>A-5052__307</t>
        </is>
      </c>
      <c r="C3076" s="1" t="n">
        <v>37.2114030916</v>
      </c>
      <c r="D3076" s="1" t="n">
        <v>-7.04993841598</v>
      </c>
      <c r="E3076" s="3" t="n">
        <v>2</v>
      </c>
      <c r="F3076" s="2" t="n">
        <v>3</v>
      </c>
      <c r="G3076" s="4" t="n">
        <v>3</v>
      </c>
      <c r="H3076" s="13" t="n"/>
      <c r="I3076" s="15" t="n"/>
      <c r="J3076" s="19" t="n">
        <v>3</v>
      </c>
      <c r="K3076" s="2" t="inlineStr">
        <is>
          <t>marker_515_961054.png</t>
        </is>
      </c>
      <c r="L3076" s="11">
        <f>HYPERLINK("3\1\" &amp; K3076, "Ver Imagen")</f>
        <v/>
      </c>
      <c r="M3076" t="inlineStr">
        <is>
          <t>Moda</t>
        </is>
      </c>
    </row>
    <row r="3077">
      <c r="A3077" t="n">
        <v>3076</v>
      </c>
      <c r="B3077" t="inlineStr">
        <is>
          <t>A-5052__360</t>
        </is>
      </c>
      <c r="C3077" s="1" t="n">
        <v>37.2083647881</v>
      </c>
      <c r="D3077" s="1" t="n">
        <v>-7.03747503376</v>
      </c>
      <c r="E3077" s="3" t="n">
        <v>3</v>
      </c>
      <c r="F3077" s="2" t="n">
        <v>3</v>
      </c>
      <c r="G3077" s="4" t="n">
        <v>4</v>
      </c>
      <c r="H3077" s="13" t="n"/>
      <c r="I3077" s="15" t="n"/>
      <c r="J3077" s="19" t="n">
        <v>3</v>
      </c>
      <c r="K3077" s="2" t="inlineStr">
        <is>
          <t>marker_201_961858.png</t>
        </is>
      </c>
      <c r="L3077" s="11">
        <f>HYPERLINK("3\1\" &amp; K3077, "Ver Imagen")</f>
        <v/>
      </c>
      <c r="M3077" t="inlineStr">
        <is>
          <t>Moda</t>
        </is>
      </c>
    </row>
    <row r="3078">
      <c r="A3078" t="n">
        <v>3077</v>
      </c>
      <c r="B3078" t="inlineStr">
        <is>
          <t>A-5052__361</t>
        </is>
      </c>
      <c r="C3078" s="1" t="n">
        <v>37.2082817357</v>
      </c>
      <c r="D3078" s="1" t="n">
        <v>-7.03725777445</v>
      </c>
      <c r="E3078" s="3" t="n">
        <v>3</v>
      </c>
      <c r="F3078" s="2" t="n">
        <v>3</v>
      </c>
      <c r="G3078" s="4" t="n">
        <v>4</v>
      </c>
      <c r="H3078" s="13" t="n"/>
      <c r="I3078" s="15" t="n"/>
      <c r="J3078" s="19" t="n">
        <v>3</v>
      </c>
      <c r="K3078" s="2" t="inlineStr">
        <is>
          <t>marker_442_961866.png</t>
        </is>
      </c>
      <c r="L3078" s="11">
        <f>HYPERLINK("3\1\" &amp; K3078, "Ver Imagen")</f>
        <v/>
      </c>
      <c r="M3078" t="inlineStr">
        <is>
          <t>Moda</t>
        </is>
      </c>
    </row>
    <row r="3079">
      <c r="A3079" t="n">
        <v>3078</v>
      </c>
      <c r="B3079" t="inlineStr">
        <is>
          <t>A-5052__372</t>
        </is>
      </c>
      <c r="C3079" s="1" t="n">
        <v>37.2073069458</v>
      </c>
      <c r="D3079" s="1" t="n">
        <v>-7.03473738343</v>
      </c>
      <c r="E3079" s="3" t="n">
        <v>3</v>
      </c>
      <c r="F3079" s="2" t="n">
        <v>3</v>
      </c>
      <c r="G3079" s="4" t="n">
        <v>2</v>
      </c>
      <c r="H3079" s="13" t="n"/>
      <c r="I3079" s="15" t="n"/>
      <c r="J3079" s="19" t="n">
        <v>3</v>
      </c>
      <c r="K3079" s="2" t="inlineStr">
        <is>
          <t>marker_898_962313.png</t>
        </is>
      </c>
      <c r="L3079" s="11">
        <f>HYPERLINK("3\1\" &amp; K3079, "Ver Imagen")</f>
        <v/>
      </c>
      <c r="M3079" t="inlineStr">
        <is>
          <t>Moda</t>
        </is>
      </c>
    </row>
    <row r="3080">
      <c r="A3080" t="n">
        <v>3079</v>
      </c>
      <c r="B3080" t="inlineStr">
        <is>
          <t>A-5052__377</t>
        </is>
      </c>
      <c r="C3080" s="1" t="n">
        <v>37.2068673105</v>
      </c>
      <c r="D3080" s="1" t="n">
        <v>-7.03360024727</v>
      </c>
      <c r="E3080" s="3" t="n">
        <v>2</v>
      </c>
      <c r="F3080" s="2" t="n">
        <v>3</v>
      </c>
      <c r="G3080" s="4" t="n">
        <v>3</v>
      </c>
      <c r="H3080" s="13" t="n"/>
      <c r="I3080" s="15" t="n"/>
      <c r="J3080" s="19" t="n">
        <v>3</v>
      </c>
      <c r="K3080" s="2" t="inlineStr">
        <is>
          <t>marker_663_962447.png</t>
        </is>
      </c>
      <c r="L3080" s="11">
        <f>HYPERLINK("3\1\" &amp; K3080, "Ver Imagen")</f>
        <v/>
      </c>
      <c r="M3080" t="inlineStr">
        <is>
          <t>Moda</t>
        </is>
      </c>
    </row>
    <row r="3081">
      <c r="A3081" t="n">
        <v>3080</v>
      </c>
      <c r="B3081" t="inlineStr">
        <is>
          <t>A-5052__378</t>
        </is>
      </c>
      <c r="C3081" s="1" t="n">
        <v>37.2067821377</v>
      </c>
      <c r="D3081" s="1" t="n">
        <v>-7.03337521888</v>
      </c>
      <c r="E3081" s="3" t="n">
        <v>2</v>
      </c>
      <c r="F3081" s="2" t="n">
        <v>3</v>
      </c>
      <c r="G3081" s="4" t="n">
        <v>3</v>
      </c>
      <c r="H3081" s="13" t="n"/>
      <c r="I3081" s="15" t="n"/>
      <c r="J3081" s="19" t="n">
        <v>3</v>
      </c>
      <c r="K3081" s="2" t="inlineStr">
        <is>
          <t>marker_295_962456.png</t>
        </is>
      </c>
      <c r="L3081" s="11">
        <f>HYPERLINK("3\1\" &amp; K3081, "Ver Imagen")</f>
        <v/>
      </c>
      <c r="M3081" t="inlineStr">
        <is>
          <t>Moda</t>
        </is>
      </c>
    </row>
    <row r="3082">
      <c r="A3082" t="n">
        <v>3081</v>
      </c>
      <c r="B3082" t="inlineStr">
        <is>
          <t>A-5052__389</t>
        </is>
      </c>
      <c r="C3082" s="1" t="n">
        <v>37.2058050464</v>
      </c>
      <c r="D3082" s="1" t="n">
        <v>-7.03083514291</v>
      </c>
      <c r="E3082" s="3" t="n">
        <v>2</v>
      </c>
      <c r="F3082" s="2" t="n">
        <v>3</v>
      </c>
      <c r="G3082" s="4" t="n">
        <v>3</v>
      </c>
      <c r="H3082" s="13" t="n"/>
      <c r="I3082" s="15" t="n"/>
      <c r="J3082" s="19" t="n">
        <v>3</v>
      </c>
      <c r="K3082" s="2" t="inlineStr">
        <is>
          <t>marker_201_962569.png</t>
        </is>
      </c>
      <c r="L3082" s="11">
        <f>HYPERLINK("3\1\" &amp; K3082, "Ver Imagen")</f>
        <v/>
      </c>
      <c r="M3082" t="inlineStr">
        <is>
          <t>Moda</t>
        </is>
      </c>
    </row>
    <row r="3083">
      <c r="A3083" t="n">
        <v>3082</v>
      </c>
      <c r="B3083" t="inlineStr">
        <is>
          <t>A-5052__394</t>
        </is>
      </c>
      <c r="C3083" s="1" t="n">
        <v>37.2053690574</v>
      </c>
      <c r="D3083" s="1" t="n">
        <v>-7.02969516812</v>
      </c>
      <c r="E3083" s="3" t="n">
        <v>3</v>
      </c>
      <c r="F3083" s="2" t="n">
        <v>3</v>
      </c>
      <c r="G3083" s="4" t="n">
        <v>4</v>
      </c>
      <c r="H3083" s="13" t="n"/>
      <c r="I3083" s="15" t="n"/>
      <c r="J3083" s="19" t="n">
        <v>3</v>
      </c>
      <c r="K3083" s="2" t="inlineStr">
        <is>
          <t>marker_996_962613.png</t>
        </is>
      </c>
      <c r="L3083" s="11">
        <f>HYPERLINK("3\1\" &amp; K3083, "Ver Imagen")</f>
        <v/>
      </c>
      <c r="M3083" t="inlineStr">
        <is>
          <t>Moda</t>
        </is>
      </c>
    </row>
    <row r="3084">
      <c r="A3084" t="n">
        <v>3083</v>
      </c>
      <c r="B3084" t="inlineStr">
        <is>
          <t>A-5052__407</t>
        </is>
      </c>
      <c r="C3084" s="1" t="n">
        <v>37.2042142158</v>
      </c>
      <c r="D3084" s="1" t="n">
        <v>-7.02681799399</v>
      </c>
      <c r="E3084" s="3" t="n">
        <v>3</v>
      </c>
      <c r="F3084" s="2" t="n">
        <v>3</v>
      </c>
      <c r="G3084" s="4" t="n">
        <v>4</v>
      </c>
      <c r="H3084" s="13" t="n"/>
      <c r="I3084" s="15" t="n"/>
      <c r="J3084" s="19" t="n">
        <v>3</v>
      </c>
      <c r="K3084" s="2" t="inlineStr">
        <is>
          <t>marker_558_962746.png</t>
        </is>
      </c>
      <c r="L3084" s="11">
        <f>HYPERLINK("3\1\" &amp; K3084, "Ver Imagen")</f>
        <v/>
      </c>
      <c r="M3084" t="inlineStr">
        <is>
          <t>Moda</t>
        </is>
      </c>
    </row>
    <row r="3085">
      <c r="A3085" t="n">
        <v>3084</v>
      </c>
      <c r="B3085" t="inlineStr">
        <is>
          <t>A-5052__471</t>
        </is>
      </c>
      <c r="C3085" s="1" t="n">
        <v>37.198648448</v>
      </c>
      <c r="D3085" s="1" t="n">
        <v>-7.01218449888</v>
      </c>
      <c r="E3085" s="3" t="n">
        <v>2</v>
      </c>
      <c r="F3085" s="2" t="n">
        <v>3</v>
      </c>
      <c r="G3085" s="4" t="n">
        <v>3</v>
      </c>
      <c r="H3085" s="13" t="n"/>
      <c r="I3085" s="15" t="n"/>
      <c r="J3085" s="19" t="n">
        <v>3</v>
      </c>
      <c r="K3085" s="2" t="inlineStr">
        <is>
          <t>marker_398_963398.png</t>
        </is>
      </c>
      <c r="L3085" s="11">
        <f>HYPERLINK("3\1\" &amp; K3085, "Ver Imagen")</f>
        <v/>
      </c>
      <c r="M3085" t="inlineStr">
        <is>
          <t>Moda</t>
        </is>
      </c>
    </row>
    <row r="3086">
      <c r="A3086" t="n">
        <v>3085</v>
      </c>
      <c r="B3086" t="inlineStr">
        <is>
          <t>A-5052__478</t>
        </is>
      </c>
      <c r="C3086" s="1" t="n">
        <v>37.1980165651</v>
      </c>
      <c r="D3086" s="1" t="n">
        <v>-7.01055230626</v>
      </c>
      <c r="E3086" s="3" t="n">
        <v>2</v>
      </c>
      <c r="F3086" s="2" t="n">
        <v>3</v>
      </c>
      <c r="G3086" s="4" t="n">
        <v>3</v>
      </c>
      <c r="H3086" s="13" t="n"/>
      <c r="I3086" s="15" t="n"/>
      <c r="J3086" s="19" t="n">
        <v>3</v>
      </c>
      <c r="K3086" s="2" t="inlineStr">
        <is>
          <t>marker_921_963468.png</t>
        </is>
      </c>
      <c r="L3086" s="11">
        <f>HYPERLINK("3\1\" &amp; K3086, "Ver Imagen")</f>
        <v/>
      </c>
      <c r="M3086" t="inlineStr">
        <is>
          <t>Moda</t>
        </is>
      </c>
    </row>
    <row r="3087">
      <c r="A3087" t="n">
        <v>3086</v>
      </c>
      <c r="B3087" t="inlineStr">
        <is>
          <t>A-5052__498</t>
        </is>
      </c>
      <c r="C3087" s="1" t="n">
        <v>37.1969971821</v>
      </c>
      <c r="D3087" s="1" t="n">
        <v>-7.0057559185</v>
      </c>
      <c r="E3087" s="3" t="n">
        <v>2</v>
      </c>
      <c r="F3087" s="2" t="n">
        <v>3</v>
      </c>
      <c r="G3087" s="4" t="n">
        <v>3</v>
      </c>
      <c r="H3087" s="13" t="n"/>
      <c r="I3087" s="15" t="n"/>
      <c r="J3087" s="19" t="n">
        <v>3</v>
      </c>
      <c r="K3087" s="2" t="inlineStr">
        <is>
          <t>marker_766_963659.png</t>
        </is>
      </c>
      <c r="L3087" s="11">
        <f>HYPERLINK("3\1\" &amp; K3087, "Ver Imagen")</f>
        <v/>
      </c>
      <c r="M3087" t="inlineStr">
        <is>
          <t>Moda</t>
        </is>
      </c>
    </row>
    <row r="3088">
      <c r="A3088" t="n">
        <v>3087</v>
      </c>
      <c r="B3088" t="inlineStr">
        <is>
          <t>A-5052__500</t>
        </is>
      </c>
      <c r="C3088" s="1" t="n">
        <v>37.1968632985</v>
      </c>
      <c r="D3088" s="1" t="n">
        <v>-7.00526964712</v>
      </c>
      <c r="E3088" s="3" t="n">
        <v>2</v>
      </c>
      <c r="F3088" s="2" t="n">
        <v>3</v>
      </c>
      <c r="G3088" s="4" t="n">
        <v>3</v>
      </c>
      <c r="H3088" s="13" t="n"/>
      <c r="I3088" s="15" t="n"/>
      <c r="J3088" s="19" t="n">
        <v>3</v>
      </c>
      <c r="K3088" s="2" t="inlineStr">
        <is>
          <t>marker_324_963680.png</t>
        </is>
      </c>
      <c r="L3088" s="11">
        <f>HYPERLINK("3\1\" &amp; K3088, "Ver Imagen")</f>
        <v/>
      </c>
      <c r="M3088" t="inlineStr">
        <is>
          <t>Moda</t>
        </is>
      </c>
    </row>
    <row r="3089">
      <c r="A3089" t="n">
        <v>3088</v>
      </c>
      <c r="B3089" t="inlineStr">
        <is>
          <t>A-5053__373</t>
        </is>
      </c>
      <c r="C3089" s="1" t="n">
        <v>37.2870499166</v>
      </c>
      <c r="D3089" s="1" t="n">
        <v>-7.14126383887</v>
      </c>
      <c r="E3089" s="3" t="n">
        <v>2</v>
      </c>
      <c r="F3089" s="2" t="n">
        <v>3</v>
      </c>
      <c r="G3089" s="4" t="n">
        <v>3</v>
      </c>
      <c r="H3089" s="13" t="n"/>
      <c r="I3089" s="15" t="n"/>
      <c r="J3089" s="19" t="n">
        <v>3</v>
      </c>
      <c r="K3089" s="2" t="inlineStr">
        <is>
          <t>marker_889_963927.png</t>
        </is>
      </c>
      <c r="L3089" s="11">
        <f>HYPERLINK("3\1\" &amp; K3089, "Ver Imagen")</f>
        <v/>
      </c>
      <c r="M3089" t="inlineStr">
        <is>
          <t>Moda</t>
        </is>
      </c>
    </row>
    <row r="3090">
      <c r="A3090" t="n">
        <v>3089</v>
      </c>
      <c r="B3090" t="inlineStr">
        <is>
          <t>A-5053__371</t>
        </is>
      </c>
      <c r="C3090" s="1" t="n">
        <v>37.2866635646</v>
      </c>
      <c r="D3090" s="1" t="n">
        <v>-7.1414057224</v>
      </c>
      <c r="E3090" s="3" t="n">
        <v>2</v>
      </c>
      <c r="F3090" s="2" t="n">
        <v>3</v>
      </c>
      <c r="G3090" s="4" t="n">
        <v>3</v>
      </c>
      <c r="H3090" s="13" t="n"/>
      <c r="I3090" s="15" t="n"/>
      <c r="J3090" s="19" t="n">
        <v>3</v>
      </c>
      <c r="K3090" s="2" t="inlineStr">
        <is>
          <t>marker_514_963948.png</t>
        </is>
      </c>
      <c r="L3090" s="11">
        <f>HYPERLINK("3\1\" &amp; K3090, "Ver Imagen")</f>
        <v/>
      </c>
      <c r="M3090" t="inlineStr">
        <is>
          <t>Moda</t>
        </is>
      </c>
    </row>
    <row r="3091">
      <c r="A3091" t="n">
        <v>3090</v>
      </c>
      <c r="B3091" t="inlineStr">
        <is>
          <t>A-5053__339</t>
        </is>
      </c>
      <c r="C3091" s="1" t="n">
        <v>37.2809809671</v>
      </c>
      <c r="D3091" s="1" t="n">
        <v>-7.14489269363</v>
      </c>
      <c r="E3091" s="3" t="n">
        <v>2</v>
      </c>
      <c r="F3091" s="2" t="n">
        <v>3</v>
      </c>
      <c r="G3091" s="4" t="n">
        <v>3</v>
      </c>
      <c r="H3091" s="13" t="n"/>
      <c r="I3091" s="15" t="n"/>
      <c r="J3091" s="19" t="n">
        <v>3</v>
      </c>
      <c r="K3091" s="2" t="inlineStr">
        <is>
          <t>marker_534_964361.png</t>
        </is>
      </c>
      <c r="L3091" s="11">
        <f>HYPERLINK("3\1\" &amp; K3091, "Ver Imagen")</f>
        <v/>
      </c>
      <c r="M3091" t="inlineStr">
        <is>
          <t>Moda</t>
        </is>
      </c>
    </row>
    <row r="3092">
      <c r="A3092" t="n">
        <v>3091</v>
      </c>
      <c r="B3092" t="inlineStr">
        <is>
          <t>A-5053__338</t>
        </is>
      </c>
      <c r="C3092" s="1" t="n">
        <v>37.2808215709</v>
      </c>
      <c r="D3092" s="1" t="n">
        <v>-7.14500117239</v>
      </c>
      <c r="E3092" s="3" t="n">
        <v>2</v>
      </c>
      <c r="F3092" s="2" t="n">
        <v>3</v>
      </c>
      <c r="G3092" s="4" t="n">
        <v>3</v>
      </c>
      <c r="H3092" s="13" t="n"/>
      <c r="I3092" s="15" t="n"/>
      <c r="J3092" s="19" t="n">
        <v>3</v>
      </c>
      <c r="K3092" s="2" t="inlineStr">
        <is>
          <t>marker_303_964369.png</t>
        </is>
      </c>
      <c r="L3092" s="11">
        <f>HYPERLINK("3\1\" &amp; K3092, "Ver Imagen")</f>
        <v/>
      </c>
      <c r="M3092" t="inlineStr">
        <is>
          <t>Moda</t>
        </is>
      </c>
    </row>
    <row r="3093">
      <c r="A3093" t="n">
        <v>3092</v>
      </c>
      <c r="B3093" t="inlineStr">
        <is>
          <t>A-5053__337</t>
        </is>
      </c>
      <c r="C3093" s="1" t="n">
        <v>37.2806402081</v>
      </c>
      <c r="D3093" s="1" t="n">
        <v>-7.14512944965</v>
      </c>
      <c r="E3093" s="3" t="n">
        <v>2</v>
      </c>
      <c r="F3093" s="2" t="n">
        <v>3</v>
      </c>
      <c r="G3093" s="4" t="n">
        <v>3</v>
      </c>
      <c r="H3093" s="13" t="n"/>
      <c r="I3093" s="15" t="n"/>
      <c r="J3093" s="19" t="n">
        <v>3</v>
      </c>
      <c r="K3093" s="2" t="inlineStr">
        <is>
          <t>marker_862_964378.png</t>
        </is>
      </c>
      <c r="L3093" s="11">
        <f>HYPERLINK("3\1\" &amp; K3093, "Ver Imagen")</f>
        <v/>
      </c>
      <c r="M3093" t="inlineStr">
        <is>
          <t>Moda</t>
        </is>
      </c>
    </row>
    <row r="3094">
      <c r="A3094" t="n">
        <v>3093</v>
      </c>
      <c r="B3094" t="inlineStr">
        <is>
          <t>A-5053__336</t>
        </is>
      </c>
      <c r="C3094" s="1" t="n">
        <v>37.280480312</v>
      </c>
      <c r="D3094" s="1" t="n">
        <v>-7.14524594706</v>
      </c>
      <c r="E3094" s="3" t="n">
        <v>2</v>
      </c>
      <c r="F3094" s="2" t="n">
        <v>3</v>
      </c>
      <c r="G3094" s="4" t="n">
        <v>3</v>
      </c>
      <c r="H3094" s="13" t="n"/>
      <c r="I3094" s="15" t="n"/>
      <c r="J3094" s="19" t="n">
        <v>3</v>
      </c>
      <c r="K3094" s="2" t="inlineStr">
        <is>
          <t>marker_769_964389.png</t>
        </is>
      </c>
      <c r="L3094" s="11">
        <f>HYPERLINK("3\1\" &amp; K3094, "Ver Imagen")</f>
        <v/>
      </c>
      <c r="M3094" t="inlineStr">
        <is>
          <t>Moda</t>
        </is>
      </c>
    </row>
    <row r="3095">
      <c r="A3095" t="n">
        <v>3094</v>
      </c>
      <c r="B3095" t="inlineStr">
        <is>
          <t>A-5053__335</t>
        </is>
      </c>
      <c r="C3095" s="1" t="n">
        <v>37.2803027817</v>
      </c>
      <c r="D3095" s="1" t="n">
        <v>-7.14539073864</v>
      </c>
      <c r="E3095" s="3" t="n">
        <v>2</v>
      </c>
      <c r="F3095" s="2" t="n">
        <v>3</v>
      </c>
      <c r="G3095" s="4" t="n">
        <v>3</v>
      </c>
      <c r="H3095" s="13" t="n"/>
      <c r="I3095" s="15" t="n"/>
      <c r="J3095" s="19" t="n">
        <v>3</v>
      </c>
      <c r="K3095" s="2" t="inlineStr">
        <is>
          <t>marker_801_964400.png</t>
        </is>
      </c>
      <c r="L3095" s="11">
        <f>HYPERLINK("3\1\" &amp; K3095, "Ver Imagen")</f>
        <v/>
      </c>
      <c r="M3095" t="inlineStr">
        <is>
          <t>Moda</t>
        </is>
      </c>
    </row>
    <row r="3096">
      <c r="A3096" t="n">
        <v>3095</v>
      </c>
      <c r="B3096" t="inlineStr">
        <is>
          <t>A-5053__333</t>
        </is>
      </c>
      <c r="C3096" s="1" t="n">
        <v>37.2800585105</v>
      </c>
      <c r="D3096" s="1" t="n">
        <v>-7.14582132944</v>
      </c>
      <c r="E3096" s="3" t="n">
        <v>2</v>
      </c>
      <c r="F3096" s="2" t="n">
        <v>3</v>
      </c>
      <c r="G3096" s="4" t="n">
        <v>3</v>
      </c>
      <c r="H3096" s="13" t="n"/>
      <c r="I3096" s="15" t="n"/>
      <c r="J3096" s="19" t="n">
        <v>3</v>
      </c>
      <c r="K3096" s="2" t="inlineStr">
        <is>
          <t>marker_111_964425.png</t>
        </is>
      </c>
      <c r="L3096" s="11">
        <f>HYPERLINK("3\1\" &amp; K3096, "Ver Imagen")</f>
        <v/>
      </c>
      <c r="M3096" t="inlineStr">
        <is>
          <t>Moda</t>
        </is>
      </c>
    </row>
    <row r="3097">
      <c r="A3097" t="n">
        <v>3096</v>
      </c>
      <c r="B3097" t="inlineStr">
        <is>
          <t>A-5053__314</t>
        </is>
      </c>
      <c r="C3097" s="1" t="n">
        <v>37.2769834893</v>
      </c>
      <c r="D3097" s="1" t="n">
        <v>-7.14323621351</v>
      </c>
      <c r="E3097" s="3" t="n">
        <v>2</v>
      </c>
      <c r="F3097" s="2" t="n">
        <v>3</v>
      </c>
      <c r="G3097" s="4" t="n">
        <v>3</v>
      </c>
      <c r="H3097" s="13" t="n"/>
      <c r="I3097" s="15" t="n"/>
      <c r="J3097" s="19" t="n">
        <v>3</v>
      </c>
      <c r="K3097" s="2" t="inlineStr">
        <is>
          <t>marker_946_964635.png</t>
        </is>
      </c>
      <c r="L3097" s="11">
        <f>HYPERLINK("3\1\" &amp; K3097, "Ver Imagen")</f>
        <v/>
      </c>
      <c r="M3097" t="inlineStr">
        <is>
          <t>Moda</t>
        </is>
      </c>
    </row>
    <row r="3098">
      <c r="A3098" t="n">
        <v>3097</v>
      </c>
      <c r="B3098" t="inlineStr">
        <is>
          <t>A-5053__293</t>
        </is>
      </c>
      <c r="C3098" s="1" t="n">
        <v>37.2729496145</v>
      </c>
      <c r="D3098" s="1" t="n">
        <v>-7.14175350119</v>
      </c>
      <c r="E3098" s="3" t="n">
        <v>3</v>
      </c>
      <c r="F3098" s="2" t="n">
        <v>3</v>
      </c>
      <c r="G3098" s="4" t="n">
        <v>4</v>
      </c>
      <c r="H3098" s="13" t="n"/>
      <c r="I3098" s="15" t="n"/>
      <c r="J3098" s="19" t="n">
        <v>3</v>
      </c>
      <c r="K3098" s="2" t="inlineStr">
        <is>
          <t>marker_279_964931.png</t>
        </is>
      </c>
      <c r="L3098" s="11">
        <f>HYPERLINK("3\1\" &amp; K3098, "Ver Imagen")</f>
        <v/>
      </c>
      <c r="M3098" t="inlineStr">
        <is>
          <t>Moda</t>
        </is>
      </c>
    </row>
    <row r="3099">
      <c r="A3099" t="n">
        <v>3098</v>
      </c>
      <c r="B3099" t="inlineStr">
        <is>
          <t>A-5053__290</t>
        </is>
      </c>
      <c r="C3099" s="1" t="n">
        <v>37.272390383</v>
      </c>
      <c r="D3099" s="1" t="n">
        <v>-7.14143623308</v>
      </c>
      <c r="E3099" s="3" t="n">
        <v>2</v>
      </c>
      <c r="F3099" s="2" t="n">
        <v>3</v>
      </c>
      <c r="G3099" s="4" t="n">
        <v>3</v>
      </c>
      <c r="H3099" s="13" t="n"/>
      <c r="I3099" s="15" t="n"/>
      <c r="J3099" s="19" t="n">
        <v>3</v>
      </c>
      <c r="K3099" s="2" t="inlineStr">
        <is>
          <t>marker_891_964958.png</t>
        </is>
      </c>
      <c r="L3099" s="11">
        <f>HYPERLINK("3\1\" &amp; K3099, "Ver Imagen")</f>
        <v/>
      </c>
      <c r="M3099" t="inlineStr">
        <is>
          <t>Moda</t>
        </is>
      </c>
    </row>
    <row r="3100">
      <c r="A3100" t="n">
        <v>3099</v>
      </c>
      <c r="B3100" t="inlineStr">
        <is>
          <t>A-5053__282</t>
        </is>
      </c>
      <c r="C3100" s="1" t="n">
        <v>37.271022609</v>
      </c>
      <c r="D3100" s="1" t="n">
        <v>-7.1403230349</v>
      </c>
      <c r="E3100" s="3" t="n">
        <v>4</v>
      </c>
      <c r="F3100" s="2" t="n">
        <v>3</v>
      </c>
      <c r="G3100" s="4" t="n">
        <v>3</v>
      </c>
      <c r="H3100" s="13" t="n"/>
      <c r="I3100" s="15" t="n"/>
      <c r="J3100" s="19" t="n">
        <v>3</v>
      </c>
      <c r="K3100" s="2" t="inlineStr">
        <is>
          <t>marker_641_965041.png</t>
        </is>
      </c>
      <c r="L3100" s="11">
        <f>HYPERLINK("3\1\" &amp; K3100, "Ver Imagen")</f>
        <v/>
      </c>
      <c r="M3100" t="inlineStr">
        <is>
          <t>Moda</t>
        </is>
      </c>
    </row>
    <row r="3101">
      <c r="A3101" t="n">
        <v>3100</v>
      </c>
      <c r="B3101" t="inlineStr">
        <is>
          <t>A-5053__274</t>
        </is>
      </c>
      <c r="C3101" s="1" t="n">
        <v>37.2696357568</v>
      </c>
      <c r="D3101" s="1" t="n">
        <v>-7.13929678927</v>
      </c>
      <c r="E3101" s="3" t="n">
        <v>3</v>
      </c>
      <c r="F3101" s="2" t="n">
        <v>3</v>
      </c>
      <c r="G3101" s="4" t="n">
        <v>4</v>
      </c>
      <c r="H3101" s="13" t="n"/>
      <c r="I3101" s="15" t="n"/>
      <c r="J3101" s="19" t="n">
        <v>3</v>
      </c>
      <c r="K3101" s="2" t="inlineStr">
        <is>
          <t>marker_959_965113.png</t>
        </is>
      </c>
      <c r="L3101" s="11">
        <f>HYPERLINK("3\1\" &amp; K3101, "Ver Imagen")</f>
        <v/>
      </c>
      <c r="M3101" t="inlineStr">
        <is>
          <t>Moda</t>
        </is>
      </c>
    </row>
    <row r="3102">
      <c r="A3102" t="n">
        <v>3101</v>
      </c>
      <c r="B3102" t="inlineStr">
        <is>
          <t>A-5053__272</t>
        </is>
      </c>
      <c r="C3102" s="1" t="n">
        <v>37.2693329205</v>
      </c>
      <c r="D3102" s="1" t="n">
        <v>-7.13896426684</v>
      </c>
      <c r="E3102" s="3" t="n">
        <v>3</v>
      </c>
      <c r="F3102" s="2" t="n">
        <v>3</v>
      </c>
      <c r="G3102" s="4" t="n">
        <v>4</v>
      </c>
      <c r="H3102" s="13" t="n"/>
      <c r="I3102" s="15" t="n"/>
      <c r="J3102" s="19" t="n">
        <v>3</v>
      </c>
      <c r="K3102" s="2" t="inlineStr">
        <is>
          <t>marker_278_965131.png</t>
        </is>
      </c>
      <c r="L3102" s="11">
        <f>HYPERLINK("3\1\" &amp; K3102, "Ver Imagen")</f>
        <v/>
      </c>
      <c r="M3102" t="inlineStr">
        <is>
          <t>Moda</t>
        </is>
      </c>
    </row>
    <row r="3103">
      <c r="A3103" t="n">
        <v>3102</v>
      </c>
      <c r="B3103" t="inlineStr">
        <is>
          <t>A-5053__258</t>
        </is>
      </c>
      <c r="C3103" s="1" t="n">
        <v>37.2682694897</v>
      </c>
      <c r="D3103" s="1" t="n">
        <v>-7.13572552104</v>
      </c>
      <c r="E3103" s="3" t="n">
        <v>3</v>
      </c>
      <c r="F3103" s="2" t="n">
        <v>3</v>
      </c>
      <c r="G3103" s="4" t="n">
        <v>4</v>
      </c>
      <c r="H3103" s="13" t="n"/>
      <c r="I3103" s="15" t="n"/>
      <c r="J3103" s="19" t="n">
        <v>3</v>
      </c>
      <c r="K3103" s="2" t="inlineStr">
        <is>
          <t>marker_564_965276.png</t>
        </is>
      </c>
      <c r="L3103" s="11">
        <f>HYPERLINK("3\1\" &amp; K3103, "Ver Imagen")</f>
        <v/>
      </c>
      <c r="M3103" t="inlineStr">
        <is>
          <t>Moda</t>
        </is>
      </c>
    </row>
    <row r="3104">
      <c r="A3104" t="n">
        <v>3103</v>
      </c>
      <c r="B3104" t="inlineStr">
        <is>
          <t>A-5053__247</t>
        </is>
      </c>
      <c r="C3104" s="1" t="n">
        <v>37.266993255</v>
      </c>
      <c r="D3104" s="1" t="n">
        <v>-7.13351927685</v>
      </c>
      <c r="E3104" s="3" t="n">
        <v>4</v>
      </c>
      <c r="F3104" s="2" t="n">
        <v>3</v>
      </c>
      <c r="G3104" s="4" t="n">
        <v>3</v>
      </c>
      <c r="H3104" s="13" t="n"/>
      <c r="I3104" s="15" t="n"/>
      <c r="J3104" s="19" t="n">
        <v>3</v>
      </c>
      <c r="K3104" s="2" t="inlineStr">
        <is>
          <t>marker_825_965438.png</t>
        </is>
      </c>
      <c r="L3104" s="11">
        <f>HYPERLINK("3\1\" &amp; K3104, "Ver Imagen")</f>
        <v/>
      </c>
      <c r="M3104" t="inlineStr">
        <is>
          <t>Moda</t>
        </is>
      </c>
    </row>
    <row r="3105">
      <c r="A3105" t="n">
        <v>3104</v>
      </c>
      <c r="B3105" t="inlineStr">
        <is>
          <t>A-5053__244</t>
        </is>
      </c>
      <c r="C3105" s="1" t="n">
        <v>37.2664975306</v>
      </c>
      <c r="D3105" s="1" t="n">
        <v>-7.13317030491</v>
      </c>
      <c r="E3105" s="3" t="n">
        <v>4</v>
      </c>
      <c r="F3105" s="2" t="n">
        <v>3</v>
      </c>
      <c r="G3105" s="4" t="n">
        <v>3</v>
      </c>
      <c r="H3105" s="13" t="n"/>
      <c r="I3105" s="15" t="n"/>
      <c r="J3105" s="19" t="n">
        <v>3</v>
      </c>
      <c r="K3105" s="2" t="inlineStr">
        <is>
          <t>marker_949_965463.png</t>
        </is>
      </c>
      <c r="L3105" s="11">
        <f>HYPERLINK("3\1\" &amp; K3105, "Ver Imagen")</f>
        <v/>
      </c>
      <c r="M3105" t="inlineStr">
        <is>
          <t>Moda</t>
        </is>
      </c>
    </row>
    <row r="3106">
      <c r="A3106" t="n">
        <v>3105</v>
      </c>
      <c r="B3106" t="inlineStr">
        <is>
          <t>A-5053__230</t>
        </is>
      </c>
      <c r="C3106" s="1" t="n">
        <v>37.263939162</v>
      </c>
      <c r="D3106" s="1" t="n">
        <v>-7.13156148946</v>
      </c>
      <c r="E3106" s="3" t="n">
        <v>4</v>
      </c>
      <c r="F3106" s="2" t="n">
        <v>3</v>
      </c>
      <c r="G3106" s="4" t="n">
        <v>3</v>
      </c>
      <c r="H3106" s="13" t="n"/>
      <c r="I3106" s="15" t="n"/>
      <c r="J3106" s="19" t="n">
        <v>3</v>
      </c>
      <c r="K3106" s="2" t="inlineStr">
        <is>
          <t>marker_563_965595.png</t>
        </is>
      </c>
      <c r="L3106" s="11">
        <f>HYPERLINK("3\1\" &amp; K3106, "Ver Imagen")</f>
        <v/>
      </c>
      <c r="M3106" t="inlineStr">
        <is>
          <t>Moda</t>
        </is>
      </c>
    </row>
    <row r="3107">
      <c r="A3107" t="n">
        <v>3106</v>
      </c>
      <c r="B3107" t="inlineStr">
        <is>
          <t>A-5053__224</t>
        </is>
      </c>
      <c r="C3107" s="1" t="n">
        <v>37.262848672</v>
      </c>
      <c r="D3107" s="1" t="n">
        <v>-7.13087001197</v>
      </c>
      <c r="E3107" s="3" t="n">
        <v>4</v>
      </c>
      <c r="F3107" s="2" t="n">
        <v>3</v>
      </c>
      <c r="G3107" s="4" t="n">
        <v>3</v>
      </c>
      <c r="H3107" s="13" t="n"/>
      <c r="I3107" s="15" t="n"/>
      <c r="J3107" s="19" t="n">
        <v>3</v>
      </c>
      <c r="K3107" s="2" t="inlineStr">
        <is>
          <t>marker_380_965654.png</t>
        </is>
      </c>
      <c r="L3107" s="11">
        <f>HYPERLINK("3\1\" &amp; K3107, "Ver Imagen")</f>
        <v/>
      </c>
      <c r="M3107" t="inlineStr">
        <is>
          <t>Moda</t>
        </is>
      </c>
    </row>
    <row r="3108">
      <c r="A3108" t="n">
        <v>3107</v>
      </c>
      <c r="B3108" t="inlineStr">
        <is>
          <t>A-5053__222</t>
        </is>
      </c>
      <c r="C3108" s="1" t="n">
        <v>37.2624871621</v>
      </c>
      <c r="D3108" s="1" t="n">
        <v>-7.13064738978</v>
      </c>
      <c r="E3108" s="3" t="n">
        <v>4</v>
      </c>
      <c r="F3108" s="2" t="n">
        <v>3</v>
      </c>
      <c r="G3108" s="4" t="n">
        <v>3</v>
      </c>
      <c r="H3108" s="13" t="n"/>
      <c r="I3108" s="15" t="n"/>
      <c r="J3108" s="19" t="n">
        <v>3</v>
      </c>
      <c r="K3108" s="2" t="inlineStr">
        <is>
          <t>marker_816_965671.png</t>
        </is>
      </c>
      <c r="L3108" s="11">
        <f>HYPERLINK("3\1\" &amp; K3108, "Ver Imagen")</f>
        <v/>
      </c>
      <c r="M3108" t="inlineStr">
        <is>
          <t>Moda</t>
        </is>
      </c>
    </row>
    <row r="3109">
      <c r="A3109" t="n">
        <v>3108</v>
      </c>
      <c r="B3109" t="inlineStr">
        <is>
          <t>A-5053__219</t>
        </is>
      </c>
      <c r="C3109" s="1" t="n">
        <v>37.2619707952</v>
      </c>
      <c r="D3109" s="1" t="n">
        <v>-7.13032375334</v>
      </c>
      <c r="E3109" s="3" t="n">
        <v>3</v>
      </c>
      <c r="F3109" s="2" t="n">
        <v>3</v>
      </c>
      <c r="G3109" s="4" t="n">
        <v>4</v>
      </c>
      <c r="H3109" s="13" t="n"/>
      <c r="I3109" s="15" t="n"/>
      <c r="J3109" s="19" t="n">
        <v>3</v>
      </c>
      <c r="K3109" s="2" t="inlineStr">
        <is>
          <t>marker_466_965698.png</t>
        </is>
      </c>
      <c r="L3109" s="11">
        <f>HYPERLINK("3\1\" &amp; K3109, "Ver Imagen")</f>
        <v/>
      </c>
      <c r="M3109" t="inlineStr">
        <is>
          <t>Moda</t>
        </is>
      </c>
    </row>
    <row r="3110">
      <c r="A3110" t="n">
        <v>3109</v>
      </c>
      <c r="B3110" t="inlineStr">
        <is>
          <t>A-5053__124</t>
        </is>
      </c>
      <c r="C3110" s="1" t="n">
        <v>37.2434648569</v>
      </c>
      <c r="D3110" s="1" t="n">
        <v>-7.12824492085</v>
      </c>
      <c r="E3110" s="3" t="n">
        <v>2</v>
      </c>
      <c r="F3110" s="2" t="n">
        <v>3</v>
      </c>
      <c r="G3110" s="4" t="n">
        <v>3</v>
      </c>
      <c r="H3110" s="13" t="n"/>
      <c r="I3110" s="15" t="n"/>
      <c r="J3110" s="19" t="n">
        <v>3</v>
      </c>
      <c r="K3110" s="2" t="inlineStr">
        <is>
          <t>marker_757_019551.png</t>
        </is>
      </c>
      <c r="L3110" s="11">
        <f>HYPERLINK("3\1\" &amp; K3110, "Ver Imagen")</f>
        <v/>
      </c>
      <c r="M3110" t="inlineStr">
        <is>
          <t>Moda</t>
        </is>
      </c>
    </row>
    <row r="3111">
      <c r="A3111" t="n">
        <v>3110</v>
      </c>
      <c r="B3111" t="inlineStr">
        <is>
          <t>A-5053__122</t>
        </is>
      </c>
      <c r="C3111" s="1" t="n">
        <v>37.2430778459</v>
      </c>
      <c r="D3111" s="1" t="n">
        <v>-7.12830369956</v>
      </c>
      <c r="E3111" s="3" t="n">
        <v>2</v>
      </c>
      <c r="F3111" s="2" t="n">
        <v>3</v>
      </c>
      <c r="G3111" s="4" t="n">
        <v>3</v>
      </c>
      <c r="H3111" s="13" t="n"/>
      <c r="I3111" s="15" t="n"/>
      <c r="J3111" s="19" t="n">
        <v>3</v>
      </c>
      <c r="K3111" s="2" t="inlineStr">
        <is>
          <t>marker_149_019570.png</t>
        </is>
      </c>
      <c r="L3111" s="11">
        <f>HYPERLINK("3\1\" &amp; K3111, "Ver Imagen")</f>
        <v/>
      </c>
      <c r="M3111" t="inlineStr">
        <is>
          <t>Moda</t>
        </is>
      </c>
    </row>
    <row r="3112">
      <c r="A3112" t="n">
        <v>3111</v>
      </c>
      <c r="B3112" t="inlineStr">
        <is>
          <t>A-5053__112</t>
        </is>
      </c>
      <c r="C3112" s="1" t="n">
        <v>37.2410350624</v>
      </c>
      <c r="D3112" s="1" t="n">
        <v>-7.12858987476</v>
      </c>
      <c r="E3112" s="3" t="n">
        <v>2</v>
      </c>
      <c r="F3112" s="2" t="n">
        <v>3</v>
      </c>
      <c r="G3112" s="4" t="n">
        <v>3</v>
      </c>
      <c r="H3112" s="13" t="n"/>
      <c r="I3112" s="15" t="n"/>
      <c r="J3112" s="19" t="n">
        <v>3</v>
      </c>
      <c r="K3112" s="2" t="inlineStr">
        <is>
          <t>marker_189_019683.png</t>
        </is>
      </c>
      <c r="L3112" s="11">
        <f>HYPERLINK("3\1\" &amp; K3112, "Ver Imagen")</f>
        <v/>
      </c>
      <c r="M3112" t="inlineStr">
        <is>
          <t>Moda</t>
        </is>
      </c>
    </row>
    <row r="3113">
      <c r="A3113" t="n">
        <v>3112</v>
      </c>
      <c r="B3113" t="inlineStr">
        <is>
          <t>A-5053__111</t>
        </is>
      </c>
      <c r="C3113" s="1" t="n">
        <v>37.2408534832</v>
      </c>
      <c r="D3113" s="1" t="n">
        <v>-7.12860054509</v>
      </c>
      <c r="E3113" s="3" t="n">
        <v>2</v>
      </c>
      <c r="F3113" s="2" t="n">
        <v>3</v>
      </c>
      <c r="G3113" s="4" t="n">
        <v>3</v>
      </c>
      <c r="H3113" s="13" t="n"/>
      <c r="I3113" s="15" t="n"/>
      <c r="J3113" s="19" t="n">
        <v>3</v>
      </c>
      <c r="K3113" s="2" t="inlineStr">
        <is>
          <t>marker_823_019692.png</t>
        </is>
      </c>
      <c r="L3113" s="11">
        <f>HYPERLINK("3\1\" &amp; K3113, "Ver Imagen")</f>
        <v/>
      </c>
      <c r="M3113" t="inlineStr">
        <is>
          <t>Moda</t>
        </is>
      </c>
    </row>
    <row r="3114">
      <c r="A3114" t="n">
        <v>3113</v>
      </c>
      <c r="B3114" t="inlineStr">
        <is>
          <t>A-5053__105</t>
        </is>
      </c>
      <c r="C3114" s="1" t="n">
        <v>37.2396213686</v>
      </c>
      <c r="D3114" s="1" t="n">
        <v>-7.12853528498</v>
      </c>
      <c r="E3114" s="3" t="n">
        <v>2</v>
      </c>
      <c r="F3114" s="2" t="n">
        <v>3</v>
      </c>
      <c r="G3114" s="4" t="n">
        <v>3</v>
      </c>
      <c r="H3114" s="13" t="n"/>
      <c r="I3114" s="15" t="n"/>
      <c r="J3114" s="19" t="n">
        <v>3</v>
      </c>
      <c r="K3114" s="2" t="inlineStr">
        <is>
          <t>marker_574_019768.png</t>
        </is>
      </c>
      <c r="L3114" s="11">
        <f>HYPERLINK("3\1\" &amp; K3114, "Ver Imagen")</f>
        <v/>
      </c>
      <c r="M3114" t="inlineStr">
        <is>
          <t>Moda</t>
        </is>
      </c>
    </row>
    <row r="3115">
      <c r="A3115" t="n">
        <v>3114</v>
      </c>
      <c r="B3115" t="inlineStr">
        <is>
          <t>A-5053__97</t>
        </is>
      </c>
      <c r="C3115" s="1" t="n">
        <v>37.2380354298</v>
      </c>
      <c r="D3115" s="1" t="n">
        <v>-7.12837933139</v>
      </c>
      <c r="E3115" s="3" t="n">
        <v>2</v>
      </c>
      <c r="F3115" s="2" t="n">
        <v>3</v>
      </c>
      <c r="G3115" s="4" t="n">
        <v>3</v>
      </c>
      <c r="H3115" s="13" t="n"/>
      <c r="I3115" s="15" t="n"/>
      <c r="J3115" s="19" t="n">
        <v>3</v>
      </c>
      <c r="K3115" s="2" t="inlineStr">
        <is>
          <t>marker_637_019842.png</t>
        </is>
      </c>
      <c r="L3115" s="11">
        <f>HYPERLINK("3\1\" &amp; K3115, "Ver Imagen")</f>
        <v/>
      </c>
      <c r="M3115" t="inlineStr">
        <is>
          <t>Moda</t>
        </is>
      </c>
    </row>
    <row r="3116">
      <c r="A3116" t="n">
        <v>3115</v>
      </c>
      <c r="B3116" t="inlineStr">
        <is>
          <t>A-5053__96</t>
        </is>
      </c>
      <c r="C3116" s="1" t="n">
        <v>37.2378315227</v>
      </c>
      <c r="D3116" s="1" t="n">
        <v>-7.12835921787</v>
      </c>
      <c r="E3116" s="3" t="n">
        <v>2</v>
      </c>
      <c r="F3116" s="2" t="n">
        <v>3</v>
      </c>
      <c r="G3116" s="4" t="n">
        <v>3</v>
      </c>
      <c r="H3116" s="13" t="n"/>
      <c r="I3116" s="15" t="n"/>
      <c r="J3116" s="19" t="n">
        <v>3</v>
      </c>
      <c r="K3116" s="2" t="inlineStr">
        <is>
          <t>marker_617_019851.png</t>
        </is>
      </c>
      <c r="L3116" s="11">
        <f>HYPERLINK("3\1\" &amp; K3116, "Ver Imagen")</f>
        <v/>
      </c>
      <c r="M3116" t="inlineStr">
        <is>
          <t>Moda</t>
        </is>
      </c>
    </row>
    <row r="3117">
      <c r="A3117" t="n">
        <v>3116</v>
      </c>
      <c r="B3117" t="inlineStr">
        <is>
          <t>A-5053__63</t>
        </is>
      </c>
      <c r="C3117" s="1" t="n">
        <v>37.231266575</v>
      </c>
      <c r="D3117" s="1" t="n">
        <v>-7.12708034702</v>
      </c>
      <c r="E3117" s="3" t="n">
        <v>2</v>
      </c>
      <c r="F3117" s="2" t="n">
        <v>3</v>
      </c>
      <c r="G3117" s="4" t="n">
        <v>3</v>
      </c>
      <c r="H3117" s="13" t="n"/>
      <c r="I3117" s="15" t="n"/>
      <c r="J3117" s="19" t="n">
        <v>3</v>
      </c>
      <c r="K3117" s="2" t="inlineStr">
        <is>
          <t>marker_415_020772.png</t>
        </is>
      </c>
      <c r="L3117" s="11">
        <f>HYPERLINK("3\1\" &amp; K3117, "Ver Imagen")</f>
        <v/>
      </c>
      <c r="M3117" t="inlineStr">
        <is>
          <t>Moda</t>
        </is>
      </c>
    </row>
    <row r="3118">
      <c r="A3118" t="n">
        <v>3117</v>
      </c>
      <c r="B3118" t="inlineStr">
        <is>
          <t>A-5053__61</t>
        </is>
      </c>
      <c r="C3118" s="1" t="n">
        <v>37.2308339031</v>
      </c>
      <c r="D3118" s="1" t="n">
        <v>-7.127040557</v>
      </c>
      <c r="E3118" s="3" t="n">
        <v>2</v>
      </c>
      <c r="F3118" s="2" t="n">
        <v>3</v>
      </c>
      <c r="G3118" s="4" t="n">
        <v>3</v>
      </c>
      <c r="H3118" s="13" t="n"/>
      <c r="I3118" s="15" t="n"/>
      <c r="J3118" s="19" t="n">
        <v>3</v>
      </c>
      <c r="K3118" s="2" t="inlineStr">
        <is>
          <t>marker_512_020793.png</t>
        </is>
      </c>
      <c r="L3118" s="11">
        <f>HYPERLINK("3\1\" &amp; K3118, "Ver Imagen")</f>
        <v/>
      </c>
      <c r="M3118" t="inlineStr">
        <is>
          <t>Moda</t>
        </is>
      </c>
    </row>
    <row r="3119">
      <c r="A3119" t="n">
        <v>3118</v>
      </c>
      <c r="B3119" t="inlineStr">
        <is>
          <t>A-5053__60</t>
        </is>
      </c>
      <c r="C3119" s="1" t="n">
        <v>37.2306603258</v>
      </c>
      <c r="D3119" s="1" t="n">
        <v>-7.12702396603</v>
      </c>
      <c r="E3119" s="3" t="n">
        <v>2</v>
      </c>
      <c r="F3119" s="2" t="n">
        <v>3</v>
      </c>
      <c r="G3119" s="4" t="n">
        <v>3</v>
      </c>
      <c r="H3119" s="13" t="n"/>
      <c r="I3119" s="15" t="n"/>
      <c r="J3119" s="19" t="n">
        <v>3</v>
      </c>
      <c r="K3119" s="2" t="inlineStr">
        <is>
          <t>marker_436_020802.png</t>
        </is>
      </c>
      <c r="L3119" s="11">
        <f>HYPERLINK("3\1\" &amp; K3119, "Ver Imagen")</f>
        <v/>
      </c>
      <c r="M3119" t="inlineStr">
        <is>
          <t>Moda</t>
        </is>
      </c>
    </row>
    <row r="3120">
      <c r="A3120" t="n">
        <v>3119</v>
      </c>
      <c r="B3120" t="inlineStr">
        <is>
          <t>A-5053__59</t>
        </is>
      </c>
      <c r="C3120" s="1" t="n">
        <v>37.2304764606</v>
      </c>
      <c r="D3120" s="1" t="n">
        <v>-7.12700641609</v>
      </c>
      <c r="E3120" s="3" t="n">
        <v>2</v>
      </c>
      <c r="F3120" s="2" t="n">
        <v>3</v>
      </c>
      <c r="G3120" s="4" t="n">
        <v>3</v>
      </c>
      <c r="H3120" s="13" t="n"/>
      <c r="I3120" s="15" t="n"/>
      <c r="J3120" s="19" t="n">
        <v>3</v>
      </c>
      <c r="K3120" s="2" t="inlineStr">
        <is>
          <t>marker_165_020894.png</t>
        </is>
      </c>
      <c r="L3120" s="11">
        <f>HYPERLINK("3\1\" &amp; K3120, "Ver Imagen")</f>
        <v/>
      </c>
      <c r="M3120" t="inlineStr">
        <is>
          <t>Moda</t>
        </is>
      </c>
    </row>
    <row r="3121">
      <c r="A3121" t="n">
        <v>3120</v>
      </c>
      <c r="B3121" t="inlineStr">
        <is>
          <t>A-5053__53</t>
        </is>
      </c>
      <c r="C3121" s="1" t="n">
        <v>37.2292679477</v>
      </c>
      <c r="D3121" s="1" t="n">
        <v>-7.12689000758</v>
      </c>
      <c r="E3121" s="3" t="n">
        <v>2</v>
      </c>
      <c r="F3121" s="2" t="n">
        <v>3</v>
      </c>
      <c r="G3121" s="4" t="n">
        <v>3</v>
      </c>
      <c r="H3121" s="13" t="n"/>
      <c r="I3121" s="15" t="n"/>
      <c r="J3121" s="19" t="n">
        <v>3</v>
      </c>
      <c r="K3121" s="2" t="inlineStr">
        <is>
          <t>marker_255_020951.png</t>
        </is>
      </c>
      <c r="L3121" s="11">
        <f>HYPERLINK("3\1\" &amp; K3121, "Ver Imagen")</f>
        <v/>
      </c>
      <c r="M3121" t="inlineStr">
        <is>
          <t>Moda</t>
        </is>
      </c>
    </row>
    <row r="3122">
      <c r="A3122" t="n">
        <v>3121</v>
      </c>
      <c r="B3122" t="inlineStr">
        <is>
          <t>A-5053__52</t>
        </is>
      </c>
      <c r="C3122" s="1" t="n">
        <v>37.2290611294</v>
      </c>
      <c r="D3122" s="1" t="n">
        <v>-7.12686769714</v>
      </c>
      <c r="E3122" s="3" t="n">
        <v>2</v>
      </c>
      <c r="F3122" s="2" t="n">
        <v>3</v>
      </c>
      <c r="G3122" s="4" t="n">
        <v>3</v>
      </c>
      <c r="H3122" s="13" t="n"/>
      <c r="I3122" s="15" t="n"/>
      <c r="J3122" s="19" t="n">
        <v>3</v>
      </c>
      <c r="K3122" s="2" t="inlineStr">
        <is>
          <t>marker_626_020974.png</t>
        </is>
      </c>
      <c r="L3122" s="11">
        <f>HYPERLINK("3\1\" &amp; K3122, "Ver Imagen")</f>
        <v/>
      </c>
      <c r="M3122" t="inlineStr">
        <is>
          <t>Moda</t>
        </is>
      </c>
    </row>
    <row r="3123">
      <c r="A3123" t="n">
        <v>3122</v>
      </c>
      <c r="B3123" t="inlineStr">
        <is>
          <t>A-5053__51</t>
        </is>
      </c>
      <c r="C3123" s="1" t="n">
        <v>37.2288623223</v>
      </c>
      <c r="D3123" s="1" t="n">
        <v>-7.12684113919</v>
      </c>
      <c r="E3123" s="3" t="n">
        <v>2</v>
      </c>
      <c r="F3123" s="2" t="n">
        <v>3</v>
      </c>
      <c r="G3123" s="4" t="n">
        <v>3</v>
      </c>
      <c r="H3123" s="13" t="n"/>
      <c r="I3123" s="15" t="n"/>
      <c r="J3123" s="19" t="n">
        <v>3</v>
      </c>
      <c r="K3123" s="2" t="inlineStr">
        <is>
          <t>marker_207_020983.png</t>
        </is>
      </c>
      <c r="L3123" s="11">
        <f>HYPERLINK("3\1\" &amp; K3123, "Ver Imagen")</f>
        <v/>
      </c>
      <c r="M3123" t="inlineStr">
        <is>
          <t>Moda</t>
        </is>
      </c>
    </row>
    <row r="3124">
      <c r="A3124" t="n">
        <v>3123</v>
      </c>
      <c r="B3124" t="inlineStr">
        <is>
          <t>A-5053__50</t>
        </is>
      </c>
      <c r="C3124" s="1" t="n">
        <v>37.2286580786</v>
      </c>
      <c r="D3124" s="1" t="n">
        <v>-7.12680552112</v>
      </c>
      <c r="E3124" s="3" t="n">
        <v>3</v>
      </c>
      <c r="F3124" s="2" t="n">
        <v>3</v>
      </c>
      <c r="G3124" s="4" t="n">
        <v>4</v>
      </c>
      <c r="H3124" s="13" t="n"/>
      <c r="I3124" s="15" t="n"/>
      <c r="J3124" s="19" t="n">
        <v>3</v>
      </c>
      <c r="K3124" s="2" t="inlineStr">
        <is>
          <t>marker_287_020992.png</t>
        </is>
      </c>
      <c r="L3124" s="11">
        <f>HYPERLINK("3\1\" &amp; K3124, "Ver Imagen")</f>
        <v/>
      </c>
      <c r="M3124" t="inlineStr">
        <is>
          <t>Moda</t>
        </is>
      </c>
    </row>
    <row r="3125">
      <c r="A3125" t="n">
        <v>3124</v>
      </c>
      <c r="B3125" t="inlineStr">
        <is>
          <t>A-5053__48</t>
        </is>
      </c>
      <c r="C3125" s="1" t="n">
        <v>37.2282629998</v>
      </c>
      <c r="D3125" s="1" t="n">
        <v>-7.12673905964</v>
      </c>
      <c r="E3125" s="3" t="n">
        <v>4</v>
      </c>
      <c r="F3125" s="2" t="n">
        <v>3</v>
      </c>
      <c r="G3125" s="4" t="n">
        <v>3</v>
      </c>
      <c r="H3125" s="13" t="n"/>
      <c r="I3125" s="15" t="n"/>
      <c r="J3125" s="19" t="n">
        <v>3</v>
      </c>
      <c r="K3125" s="2" t="inlineStr">
        <is>
          <t>marker_648_021018.png</t>
        </is>
      </c>
      <c r="L3125" s="11">
        <f>HYPERLINK("3\1\" &amp; K3125, "Ver Imagen")</f>
        <v/>
      </c>
      <c r="M3125" t="inlineStr">
        <is>
          <t>Moda</t>
        </is>
      </c>
    </row>
    <row r="3126">
      <c r="A3126" t="n">
        <v>3125</v>
      </c>
      <c r="B3126" t="inlineStr">
        <is>
          <t>A-5053__41</t>
        </is>
      </c>
      <c r="C3126" s="1" t="n">
        <v>37.2268858249</v>
      </c>
      <c r="D3126" s="1" t="n">
        <v>-7.12634656072</v>
      </c>
      <c r="E3126" s="3" t="n">
        <v>3</v>
      </c>
      <c r="F3126" s="2" t="n">
        <v>3</v>
      </c>
      <c r="G3126" s="4" t="n">
        <v>4</v>
      </c>
      <c r="H3126" s="13" t="n"/>
      <c r="I3126" s="15" t="n"/>
      <c r="J3126" s="19" t="n">
        <v>3</v>
      </c>
      <c r="K3126" s="2" t="inlineStr">
        <is>
          <t>marker_847_021704.png</t>
        </is>
      </c>
      <c r="L3126" s="11">
        <f>HYPERLINK("3\1\" &amp; K3126, "Ver Imagen")</f>
        <v/>
      </c>
      <c r="M3126" t="inlineStr">
        <is>
          <t>Moda</t>
        </is>
      </c>
    </row>
    <row r="3127">
      <c r="A3127" t="n">
        <v>3126</v>
      </c>
      <c r="B3127" t="inlineStr">
        <is>
          <t>A-5053__25</t>
        </is>
      </c>
      <c r="C3127" s="1" t="n">
        <v>37.223780397</v>
      </c>
      <c r="D3127" s="1" t="n">
        <v>-7.12519884575</v>
      </c>
      <c r="E3127" s="3" t="n">
        <v>4</v>
      </c>
      <c r="F3127" s="2" t="n">
        <v>3</v>
      </c>
      <c r="G3127" s="4" t="n">
        <v>3</v>
      </c>
      <c r="H3127" s="13" t="n"/>
      <c r="I3127" s="15" t="n"/>
      <c r="J3127" s="19" t="n">
        <v>3</v>
      </c>
      <c r="K3127" s="2" t="inlineStr">
        <is>
          <t>marker_457_022416.png</t>
        </is>
      </c>
      <c r="L3127" s="11">
        <f>HYPERLINK("3\1\" &amp; K3127, "Ver Imagen")</f>
        <v/>
      </c>
      <c r="M3127" t="inlineStr">
        <is>
          <t>Moda</t>
        </is>
      </c>
    </row>
    <row r="3128">
      <c r="A3128" t="n">
        <v>3127</v>
      </c>
      <c r="B3128" t="inlineStr">
        <is>
          <t>A-5053__16</t>
        </is>
      </c>
      <c r="C3128" s="1" t="n">
        <v>37.2219882211</v>
      </c>
      <c r="D3128" s="1" t="n">
        <v>-7.12515574838</v>
      </c>
      <c r="E3128" s="3" t="n">
        <v>2</v>
      </c>
      <c r="F3128" s="2" t="n">
        <v>3</v>
      </c>
      <c r="G3128" s="4" t="n">
        <v>3</v>
      </c>
      <c r="H3128" s="13" t="n"/>
      <c r="I3128" s="15" t="n"/>
      <c r="J3128" s="19" t="n">
        <v>3</v>
      </c>
      <c r="K3128" s="2" t="inlineStr">
        <is>
          <t>marker_322_025042.png</t>
        </is>
      </c>
      <c r="L3128" s="11">
        <f>HYPERLINK("3\1\" &amp; K3128, "Ver Imagen")</f>
        <v/>
      </c>
      <c r="M3128" t="inlineStr">
        <is>
          <t>Moda</t>
        </is>
      </c>
    </row>
    <row r="3129">
      <c r="A3129" t="n">
        <v>3128</v>
      </c>
      <c r="B3129" t="inlineStr">
        <is>
          <t>A-5053__14</t>
        </is>
      </c>
      <c r="C3129" s="1" t="n">
        <v>37.2216006425</v>
      </c>
      <c r="D3129" s="1" t="n">
        <v>-7.12531934624</v>
      </c>
      <c r="E3129" s="3" t="n">
        <v>2</v>
      </c>
      <c r="F3129" s="2" t="n">
        <v>3</v>
      </c>
      <c r="G3129" s="4" t="n">
        <v>3</v>
      </c>
      <c r="H3129" s="13" t="n"/>
      <c r="I3129" s="15" t="n"/>
      <c r="J3129" s="19" t="n">
        <v>3</v>
      </c>
      <c r="K3129" s="2" t="inlineStr">
        <is>
          <t>marker_506_025062.png</t>
        </is>
      </c>
      <c r="L3129" s="11">
        <f>HYPERLINK("3\1\" &amp; K3129, "Ver Imagen")</f>
        <v/>
      </c>
      <c r="M3129" t="inlineStr">
        <is>
          <t>Moda</t>
        </is>
      </c>
    </row>
    <row r="3130">
      <c r="A3130" t="n">
        <v>3129</v>
      </c>
      <c r="B3130" t="inlineStr">
        <is>
          <t>A-495__22</t>
        </is>
      </c>
      <c r="C3130" s="1" t="n">
        <v>37.4432356506</v>
      </c>
      <c r="D3130" s="1" t="n">
        <v>-7.09507108551</v>
      </c>
      <c r="E3130" s="3" t="n">
        <v>2</v>
      </c>
      <c r="F3130" s="2" t="n">
        <v>3</v>
      </c>
      <c r="G3130" s="4" t="n">
        <v>3</v>
      </c>
      <c r="H3130" s="13" t="n"/>
      <c r="I3130" s="15" t="n"/>
      <c r="J3130" s="19" t="n">
        <v>3</v>
      </c>
      <c r="K3130" s="2" t="inlineStr">
        <is>
          <t>marker_682_381315.png</t>
        </is>
      </c>
      <c r="L3130" s="11">
        <f>HYPERLINK("3\1\" &amp; K3130, "Ver Imagen")</f>
        <v/>
      </c>
      <c r="M3130" t="inlineStr">
        <is>
          <t>Moda</t>
        </is>
      </c>
    </row>
    <row r="3131">
      <c r="A3131" t="n">
        <v>3130</v>
      </c>
      <c r="B3131" t="inlineStr">
        <is>
          <t>A-495__28</t>
        </is>
      </c>
      <c r="C3131" s="1" t="n">
        <v>37.4427074014</v>
      </c>
      <c r="D3131" s="1" t="n">
        <v>-7.0936930899</v>
      </c>
      <c r="E3131" s="3" t="n">
        <v>3</v>
      </c>
      <c r="F3131" s="2" t="n">
        <v>3</v>
      </c>
      <c r="G3131" s="4" t="n">
        <v>2</v>
      </c>
      <c r="H3131" s="13" t="n"/>
      <c r="I3131" s="15" t="n"/>
      <c r="J3131" s="19" t="n">
        <v>3</v>
      </c>
      <c r="K3131" s="2" t="inlineStr">
        <is>
          <t>marker_667_381378.png</t>
        </is>
      </c>
      <c r="L3131" s="11">
        <f>HYPERLINK("3\1\" &amp; K3131, "Ver Imagen")</f>
        <v/>
      </c>
      <c r="M3131" t="inlineStr">
        <is>
          <t>Moda</t>
        </is>
      </c>
    </row>
    <row r="3132">
      <c r="A3132" t="n">
        <v>3131</v>
      </c>
      <c r="B3132" t="inlineStr">
        <is>
          <t>A-495__29</t>
        </is>
      </c>
      <c r="C3132" s="1" t="n">
        <v>37.4426237704</v>
      </c>
      <c r="D3132" s="1" t="n">
        <v>-7.09347596208</v>
      </c>
      <c r="E3132" s="3" t="n">
        <v>3</v>
      </c>
      <c r="F3132" s="2" t="n">
        <v>3</v>
      </c>
      <c r="G3132" s="4" t="n">
        <v>2</v>
      </c>
      <c r="H3132" s="13" t="n"/>
      <c r="I3132" s="15" t="n"/>
      <c r="J3132" s="19" t="n">
        <v>3</v>
      </c>
      <c r="K3132" s="2" t="inlineStr">
        <is>
          <t>marker_163_381388.png</t>
        </is>
      </c>
      <c r="L3132" s="11">
        <f>HYPERLINK("3\1\" &amp; K3132, "Ver Imagen")</f>
        <v/>
      </c>
      <c r="M3132" t="inlineStr">
        <is>
          <t>Moda</t>
        </is>
      </c>
    </row>
    <row r="3133">
      <c r="A3133" t="n">
        <v>3132</v>
      </c>
      <c r="B3133" t="inlineStr">
        <is>
          <t>A-495__56</t>
        </is>
      </c>
      <c r="C3133" s="1" t="n">
        <v>37.4399346985</v>
      </c>
      <c r="D3133" s="1" t="n">
        <v>-7.0875200302</v>
      </c>
      <c r="E3133" s="3" t="n">
        <v>3</v>
      </c>
      <c r="F3133" s="2" t="n">
        <v>3</v>
      </c>
      <c r="G3133" s="4" t="n">
        <v>4</v>
      </c>
      <c r="H3133" s="13" t="n"/>
      <c r="I3133" s="15" t="n"/>
      <c r="J3133" s="19" t="n">
        <v>3</v>
      </c>
      <c r="K3133" s="2" t="inlineStr">
        <is>
          <t>marker_490_381670.png</t>
        </is>
      </c>
      <c r="L3133" s="11">
        <f>HYPERLINK("3\1\" &amp; K3133, "Ver Imagen")</f>
        <v/>
      </c>
      <c r="M3133" t="inlineStr">
        <is>
          <t>Moda</t>
        </is>
      </c>
    </row>
    <row r="3134">
      <c r="A3134" t="n">
        <v>3133</v>
      </c>
      <c r="B3134" t="inlineStr">
        <is>
          <t>A-495__58</t>
        </is>
      </c>
      <c r="C3134" s="1" t="n">
        <v>37.4397336416</v>
      </c>
      <c r="D3134" s="1" t="n">
        <v>-7.08709899758</v>
      </c>
      <c r="E3134" s="3" t="n">
        <v>3</v>
      </c>
      <c r="F3134" s="2" t="n">
        <v>3</v>
      </c>
      <c r="G3134" s="4" t="n">
        <v>4</v>
      </c>
      <c r="H3134" s="13" t="n"/>
      <c r="I3134" s="15" t="n"/>
      <c r="J3134" s="19" t="n">
        <v>3</v>
      </c>
      <c r="K3134" s="2" t="inlineStr">
        <is>
          <t>marker_973_381692.png</t>
        </is>
      </c>
      <c r="L3134" s="11">
        <f>HYPERLINK("3\1\" &amp; K3134, "Ver Imagen")</f>
        <v/>
      </c>
      <c r="M3134" t="inlineStr">
        <is>
          <t>Moda</t>
        </is>
      </c>
    </row>
    <row r="3135">
      <c r="A3135" t="n">
        <v>3134</v>
      </c>
      <c r="B3135" t="inlineStr">
        <is>
          <t>A-495__67</t>
        </is>
      </c>
      <c r="C3135" s="1" t="n">
        <v>37.4388237698</v>
      </c>
      <c r="D3135" s="1" t="n">
        <v>-7.08508273067</v>
      </c>
      <c r="E3135" s="3" t="n">
        <v>3</v>
      </c>
      <c r="F3135" s="2" t="n">
        <v>3</v>
      </c>
      <c r="G3135" s="4" t="n">
        <v>4</v>
      </c>
      <c r="H3135" s="13" t="n"/>
      <c r="I3135" s="15" t="n"/>
      <c r="J3135" s="19" t="n">
        <v>3</v>
      </c>
      <c r="K3135" s="2" t="inlineStr">
        <is>
          <t>marker_180_381786.png</t>
        </is>
      </c>
      <c r="L3135" s="11">
        <f>HYPERLINK("3\1\" &amp; K3135, "Ver Imagen")</f>
        <v/>
      </c>
      <c r="M3135" t="inlineStr">
        <is>
          <t>Moda</t>
        </is>
      </c>
    </row>
    <row r="3136">
      <c r="A3136" t="n">
        <v>3135</v>
      </c>
      <c r="B3136" t="inlineStr">
        <is>
          <t>A-495__75</t>
        </is>
      </c>
      <c r="C3136" s="1" t="n">
        <v>37.4381624096</v>
      </c>
      <c r="D3136" s="1" t="n">
        <v>-7.08320674695</v>
      </c>
      <c r="E3136" s="3" t="n">
        <v>3</v>
      </c>
      <c r="F3136" s="2" t="n">
        <v>3</v>
      </c>
      <c r="G3136" s="4" t="n">
        <v>4</v>
      </c>
      <c r="H3136" s="13" t="n"/>
      <c r="I3136" s="15" t="n"/>
      <c r="J3136" s="19" t="n">
        <v>3</v>
      </c>
      <c r="K3136" s="2" t="inlineStr">
        <is>
          <t>marker_338_381867.png</t>
        </is>
      </c>
      <c r="L3136" s="11">
        <f>HYPERLINK("3\1\" &amp; K3136, "Ver Imagen")</f>
        <v/>
      </c>
      <c r="M3136" t="inlineStr">
        <is>
          <t>Moda</t>
        </is>
      </c>
    </row>
    <row r="3137">
      <c r="A3137" t="n">
        <v>3136</v>
      </c>
      <c r="B3137" t="inlineStr">
        <is>
          <t>A-495__80</t>
        </is>
      </c>
      <c r="C3137" s="1" t="n">
        <v>37.4377786487</v>
      </c>
      <c r="D3137" s="1" t="n">
        <v>-7.08207202602</v>
      </c>
      <c r="E3137" s="3" t="n">
        <v>3</v>
      </c>
      <c r="F3137" s="2" t="n">
        <v>3</v>
      </c>
      <c r="G3137" s="4" t="n">
        <v>4</v>
      </c>
      <c r="H3137" s="13" t="n"/>
      <c r="I3137" s="15" t="n"/>
      <c r="J3137" s="19" t="n">
        <v>3</v>
      </c>
      <c r="K3137" s="2" t="inlineStr">
        <is>
          <t>marker_947_381933.png</t>
        </is>
      </c>
      <c r="L3137" s="11">
        <f>HYPERLINK("3\1\" &amp; K3137, "Ver Imagen")</f>
        <v/>
      </c>
      <c r="M3137" t="inlineStr">
        <is>
          <t>Moda</t>
        </is>
      </c>
    </row>
    <row r="3138">
      <c r="A3138" t="n">
        <v>3137</v>
      </c>
      <c r="B3138" t="inlineStr">
        <is>
          <t>A-495__87</t>
        </is>
      </c>
      <c r="C3138" s="1" t="n">
        <v>37.4371276425</v>
      </c>
      <c r="D3138" s="1" t="n">
        <v>-7.08052397841</v>
      </c>
      <c r="E3138" s="3" t="n">
        <v>3</v>
      </c>
      <c r="F3138" s="2" t="n">
        <v>3</v>
      </c>
      <c r="G3138" s="4" t="n">
        <v>4</v>
      </c>
      <c r="H3138" s="13" t="n"/>
      <c r="I3138" s="15" t="n"/>
      <c r="J3138" s="19" t="n">
        <v>3</v>
      </c>
      <c r="K3138" s="2" t="inlineStr">
        <is>
          <t>marker_867_382013.png</t>
        </is>
      </c>
      <c r="L3138" s="11">
        <f>HYPERLINK("3\1\" &amp; K3138, "Ver Imagen")</f>
        <v/>
      </c>
      <c r="M3138" t="inlineStr">
        <is>
          <t>Moda</t>
        </is>
      </c>
    </row>
    <row r="3139">
      <c r="A3139" t="n">
        <v>3138</v>
      </c>
      <c r="B3139" t="inlineStr">
        <is>
          <t>A-495__95</t>
        </is>
      </c>
      <c r="C3139" s="1" t="n">
        <v>37.4366067255</v>
      </c>
      <c r="D3139" s="1" t="n">
        <v>-7.07872765912</v>
      </c>
      <c r="E3139" s="3" t="n">
        <v>3</v>
      </c>
      <c r="F3139" s="2" t="n">
        <v>3</v>
      </c>
      <c r="G3139" s="4" t="n">
        <v>4</v>
      </c>
      <c r="H3139" s="13" t="n"/>
      <c r="I3139" s="15" t="n"/>
      <c r="J3139" s="19" t="n">
        <v>3</v>
      </c>
      <c r="K3139" s="2" t="inlineStr">
        <is>
          <t>marker_746_382108.png</t>
        </is>
      </c>
      <c r="L3139" s="11">
        <f>HYPERLINK("3\1\" &amp; K3139, "Ver Imagen")</f>
        <v/>
      </c>
      <c r="M3139" t="inlineStr">
        <is>
          <t>Moda</t>
        </is>
      </c>
    </row>
    <row r="3140">
      <c r="A3140" t="n">
        <v>3139</v>
      </c>
      <c r="B3140" t="inlineStr">
        <is>
          <t>A-495__110</t>
        </is>
      </c>
      <c r="C3140" s="1" t="n">
        <v>37.4355246306</v>
      </c>
      <c r="D3140" s="1" t="n">
        <v>-7.07556157678</v>
      </c>
      <c r="E3140" s="3" t="n">
        <v>3</v>
      </c>
      <c r="F3140" s="2" t="n">
        <v>3</v>
      </c>
      <c r="G3140" s="4" t="n">
        <v>2</v>
      </c>
      <c r="H3140" s="13" t="n"/>
      <c r="I3140" s="15" t="n"/>
      <c r="J3140" s="19" t="n">
        <v>3</v>
      </c>
      <c r="K3140" s="2" t="inlineStr">
        <is>
          <t>marker_731_382274.png</t>
        </is>
      </c>
      <c r="L3140" s="11">
        <f>HYPERLINK("3\1\" &amp; K3140, "Ver Imagen")</f>
        <v/>
      </c>
      <c r="M3140" t="inlineStr">
        <is>
          <t>Moda</t>
        </is>
      </c>
    </row>
    <row r="3141">
      <c r="A3141" t="n">
        <v>3140</v>
      </c>
      <c r="B3141" t="inlineStr">
        <is>
          <t>A-5059__83</t>
        </is>
      </c>
      <c r="C3141" s="1" t="n">
        <v>37.2211167801</v>
      </c>
      <c r="D3141" s="1" t="n">
        <v>-7.05370153791</v>
      </c>
      <c r="E3141" s="3" t="n">
        <v>4</v>
      </c>
      <c r="F3141" s="2" t="n">
        <v>3</v>
      </c>
      <c r="G3141" s="4" t="n">
        <v>3</v>
      </c>
      <c r="H3141" s="13" t="n"/>
      <c r="I3141" s="15" t="n"/>
      <c r="J3141" s="19" t="n">
        <v>3</v>
      </c>
      <c r="K3141" s="2" t="inlineStr">
        <is>
          <t>marker_994_378694.png</t>
        </is>
      </c>
      <c r="L3141" s="11">
        <f>HYPERLINK("3\1\" &amp; K3141, "Ver Imagen")</f>
        <v/>
      </c>
      <c r="M3141" t="inlineStr">
        <is>
          <t>Moda</t>
        </is>
      </c>
    </row>
    <row r="3142">
      <c r="A3142" t="n">
        <v>3141</v>
      </c>
      <c r="B3142" t="inlineStr">
        <is>
          <t>A-5059__80</t>
        </is>
      </c>
      <c r="C3142" s="1" t="n">
        <v>37.2214194229</v>
      </c>
      <c r="D3142" s="1" t="n">
        <v>-7.0543462767</v>
      </c>
      <c r="E3142" s="3" t="n">
        <v>4</v>
      </c>
      <c r="F3142" s="2" t="n">
        <v>3</v>
      </c>
      <c r="G3142" s="4" t="n">
        <v>3</v>
      </c>
      <c r="H3142" s="13" t="n"/>
      <c r="I3142" s="15" t="n"/>
      <c r="J3142" s="19" t="n">
        <v>3</v>
      </c>
      <c r="K3142" s="2" t="inlineStr">
        <is>
          <t>marker_647_378739.png</t>
        </is>
      </c>
      <c r="L3142" s="11">
        <f>HYPERLINK("3\1\" &amp; K3142, "Ver Imagen")</f>
        <v/>
      </c>
      <c r="M3142" t="inlineStr">
        <is>
          <t>Moda</t>
        </is>
      </c>
    </row>
    <row r="3143">
      <c r="A3143" t="n">
        <v>3142</v>
      </c>
      <c r="B3143" t="inlineStr">
        <is>
          <t>A-495__125</t>
        </is>
      </c>
      <c r="C3143" s="1" t="n">
        <v>37.4352949968</v>
      </c>
      <c r="D3143" s="1" t="n">
        <v>-7.0717431855</v>
      </c>
      <c r="E3143" s="3" t="n">
        <v>4</v>
      </c>
      <c r="F3143" s="2" t="n">
        <v>3</v>
      </c>
      <c r="G3143" s="4" t="n">
        <v>3</v>
      </c>
      <c r="H3143" s="13" t="n"/>
      <c r="I3143" s="15" t="n"/>
      <c r="J3143" s="19" t="n">
        <v>3</v>
      </c>
      <c r="K3143" s="2" t="inlineStr">
        <is>
          <t>marker_664_382423.png</t>
        </is>
      </c>
      <c r="L3143" s="11">
        <f>HYPERLINK("3\1\" &amp; K3143, "Ver Imagen")</f>
        <v/>
      </c>
      <c r="M3143" t="inlineStr">
        <is>
          <t>Moda</t>
        </is>
      </c>
    </row>
    <row r="3144">
      <c r="A3144" t="n">
        <v>3143</v>
      </c>
      <c r="B3144" t="inlineStr">
        <is>
          <t>A-5059__43</t>
        </is>
      </c>
      <c r="C3144" s="1" t="n">
        <v>37.2267742194</v>
      </c>
      <c r="D3144" s="1" t="n">
        <v>-7.06054936131</v>
      </c>
      <c r="E3144" s="3" t="n">
        <v>3</v>
      </c>
      <c r="F3144" s="2" t="n">
        <v>3</v>
      </c>
      <c r="G3144" s="4" t="n">
        <v>2</v>
      </c>
      <c r="H3144" s="13" t="n"/>
      <c r="I3144" s="15" t="n"/>
      <c r="J3144" s="19" t="n">
        <v>3</v>
      </c>
      <c r="K3144" s="2" t="inlineStr">
        <is>
          <t>marker_469_379267.png</t>
        </is>
      </c>
      <c r="L3144" s="11">
        <f>HYPERLINK("3\1\" &amp; K3144, "Ver Imagen")</f>
        <v/>
      </c>
      <c r="M3144" t="inlineStr">
        <is>
          <t>Moda</t>
        </is>
      </c>
    </row>
    <row r="3145">
      <c r="A3145" t="n">
        <v>3144</v>
      </c>
      <c r="B3145" t="inlineStr">
        <is>
          <t>A-495__144</t>
        </is>
      </c>
      <c r="C3145" s="1" t="n">
        <v>37.4340201991</v>
      </c>
      <c r="D3145" s="1" t="n">
        <v>-7.06724667731</v>
      </c>
      <c r="E3145" s="3" t="n">
        <v>2</v>
      </c>
      <c r="F3145" s="2" t="n">
        <v>3</v>
      </c>
      <c r="G3145" s="4" t="n">
        <v>3</v>
      </c>
      <c r="H3145" s="13" t="n"/>
      <c r="I3145" s="15" t="n"/>
      <c r="J3145" s="19" t="n">
        <v>3</v>
      </c>
      <c r="K3145" s="2" t="inlineStr">
        <is>
          <t>marker_584_382615.png</t>
        </is>
      </c>
      <c r="L3145" s="11">
        <f>HYPERLINK("3\1\" &amp; K3145, "Ver Imagen")</f>
        <v/>
      </c>
      <c r="M3145" t="inlineStr">
        <is>
          <t>Moda</t>
        </is>
      </c>
    </row>
    <row r="3146">
      <c r="A3146" t="n">
        <v>3145</v>
      </c>
      <c r="B3146" t="inlineStr">
        <is>
          <t>A-5059__5</t>
        </is>
      </c>
      <c r="C3146" s="1" t="n">
        <v>37.2330060246</v>
      </c>
      <c r="D3146" s="1" t="n">
        <v>-7.06567556526</v>
      </c>
      <c r="E3146" s="3" t="n">
        <v>3</v>
      </c>
      <c r="F3146" s="2" t="n">
        <v>3</v>
      </c>
      <c r="G3146" s="4" t="n">
        <v>4</v>
      </c>
      <c r="H3146" s="13" t="n"/>
      <c r="I3146" s="15" t="n"/>
      <c r="J3146" s="19" t="n">
        <v>3</v>
      </c>
      <c r="K3146" s="2" t="inlineStr">
        <is>
          <t>marker_475_379626.png</t>
        </is>
      </c>
      <c r="L3146" s="11">
        <f>HYPERLINK("3\1\" &amp; K3146, "Ver Imagen")</f>
        <v/>
      </c>
      <c r="M3146" t="inlineStr">
        <is>
          <t>Moda</t>
        </is>
      </c>
    </row>
    <row r="3147">
      <c r="A3147" t="n">
        <v>3146</v>
      </c>
      <c r="B3147" t="inlineStr">
        <is>
          <t>A-5058__31</t>
        </is>
      </c>
      <c r="C3147" s="1" t="n">
        <v>37.224536181</v>
      </c>
      <c r="D3147" s="1" t="n">
        <v>-7.03492053218</v>
      </c>
      <c r="E3147" s="3" t="n">
        <v>4</v>
      </c>
      <c r="F3147" s="2" t="n">
        <v>3</v>
      </c>
      <c r="G3147" s="4" t="n">
        <v>3</v>
      </c>
      <c r="H3147" s="13" t="n"/>
      <c r="I3147" s="15" t="n"/>
      <c r="J3147" s="19" t="n">
        <v>3</v>
      </c>
      <c r="K3147" s="2" t="inlineStr">
        <is>
          <t>marker_464_380200.png</t>
        </is>
      </c>
      <c r="L3147" s="11">
        <f>HYPERLINK("3\1\" &amp; K3147, "Ver Imagen")</f>
        <v/>
      </c>
      <c r="M3147" t="inlineStr">
        <is>
          <t>Moda</t>
        </is>
      </c>
    </row>
    <row r="3148">
      <c r="A3148" t="n">
        <v>3147</v>
      </c>
      <c r="B3148" t="inlineStr">
        <is>
          <t>A-5058__32</t>
        </is>
      </c>
      <c r="C3148" s="1" t="n">
        <v>37.2245558064</v>
      </c>
      <c r="D3148" s="1" t="n">
        <v>-7.03515995738</v>
      </c>
      <c r="E3148" s="3" t="n">
        <v>4</v>
      </c>
      <c r="F3148" s="2" t="n">
        <v>3</v>
      </c>
      <c r="G3148" s="4" t="n">
        <v>3</v>
      </c>
      <c r="H3148" s="13" t="n"/>
      <c r="I3148" s="15" t="n"/>
      <c r="J3148" s="19" t="n">
        <v>3</v>
      </c>
      <c r="K3148" s="2" t="inlineStr">
        <is>
          <t>marker_207_380212.png</t>
        </is>
      </c>
      <c r="L3148" s="11">
        <f>HYPERLINK("3\1\" &amp; K3148, "Ver Imagen")</f>
        <v/>
      </c>
      <c r="M3148" t="inlineStr">
        <is>
          <t>Moda</t>
        </is>
      </c>
    </row>
    <row r="3149">
      <c r="A3149" t="n">
        <v>3148</v>
      </c>
      <c r="B3149" t="inlineStr">
        <is>
          <t>A-5058__86</t>
        </is>
      </c>
      <c r="C3149" s="1" t="n">
        <v>37.2288894211</v>
      </c>
      <c r="D3149" s="1" t="n">
        <v>-7.04686583937</v>
      </c>
      <c r="E3149" s="3" t="n">
        <v>2</v>
      </c>
      <c r="F3149" s="2" t="n">
        <v>3</v>
      </c>
      <c r="G3149" s="4" t="n">
        <v>3</v>
      </c>
      <c r="H3149" s="13" t="n"/>
      <c r="I3149" s="15" t="n"/>
      <c r="J3149" s="19" t="n">
        <v>3</v>
      </c>
      <c r="K3149" s="2" t="inlineStr">
        <is>
          <t>marker_716_380944.png</t>
        </is>
      </c>
      <c r="L3149" s="11">
        <f>HYPERLINK("3\1\" &amp; K3149, "Ver Imagen")</f>
        <v/>
      </c>
      <c r="M3149" t="inlineStr">
        <is>
          <t>Moda</t>
        </is>
      </c>
    </row>
    <row r="3150">
      <c r="A3150" t="n">
        <v>3149</v>
      </c>
      <c r="B3150" t="inlineStr">
        <is>
          <t>A-5058__99</t>
        </is>
      </c>
      <c r="C3150" s="1" t="n">
        <v>37.2304768331</v>
      </c>
      <c r="D3150" s="1" t="n">
        <v>-7.04950354179</v>
      </c>
      <c r="E3150" s="3" t="n">
        <v>2</v>
      </c>
      <c r="F3150" s="2" t="n">
        <v>3</v>
      </c>
      <c r="G3150" s="4" t="n">
        <v>3</v>
      </c>
      <c r="H3150" s="13" t="n"/>
      <c r="I3150" s="15" t="n"/>
      <c r="J3150" s="19" t="n">
        <v>3</v>
      </c>
      <c r="K3150" s="2" t="inlineStr">
        <is>
          <t>marker_349_381099.png</t>
        </is>
      </c>
      <c r="L3150" s="11">
        <f>HYPERLINK("3\1\" &amp; K3150, "Ver Imagen")</f>
        <v/>
      </c>
      <c r="M3150" t="inlineStr">
        <is>
          <t>Moda</t>
        </is>
      </c>
    </row>
    <row r="3151">
      <c r="A3151" t="n">
        <v>3150</v>
      </c>
      <c r="B3151" t="inlineStr">
        <is>
          <t>A-5058__140</t>
        </is>
      </c>
      <c r="C3151" s="1" t="n">
        <v>37.2340904023</v>
      </c>
      <c r="D3151" s="1" t="n">
        <v>-7.05871767374</v>
      </c>
      <c r="E3151" s="3" t="n">
        <v>2</v>
      </c>
      <c r="F3151" s="2" t="n">
        <v>3</v>
      </c>
      <c r="G3151" s="4" t="n">
        <v>3</v>
      </c>
      <c r="H3151" s="13" t="n"/>
      <c r="I3151" s="15" t="n"/>
      <c r="J3151" s="19" t="n">
        <v>3</v>
      </c>
      <c r="K3151" s="2" t="inlineStr">
        <is>
          <t>marker_130_381572.png</t>
        </is>
      </c>
      <c r="L3151" s="11">
        <f>HYPERLINK("3\1\" &amp; K3151, "Ver Imagen")</f>
        <v/>
      </c>
      <c r="M3151" t="inlineStr">
        <is>
          <t>Moda</t>
        </is>
      </c>
    </row>
    <row r="3152">
      <c r="A3152" t="n">
        <v>3151</v>
      </c>
      <c r="B3152" t="inlineStr">
        <is>
          <t>A-5058__143</t>
        </is>
      </c>
      <c r="C3152" s="1" t="n">
        <v>37.2341382234</v>
      </c>
      <c r="D3152" s="1" t="n">
        <v>-7.05951863246</v>
      </c>
      <c r="E3152" s="3" t="n">
        <v>3</v>
      </c>
      <c r="F3152" s="2" t="n">
        <v>3</v>
      </c>
      <c r="G3152" s="4" t="n">
        <v>4</v>
      </c>
      <c r="H3152" s="13" t="n"/>
      <c r="I3152" s="15" t="n"/>
      <c r="J3152" s="19" t="n">
        <v>3</v>
      </c>
      <c r="K3152" s="2" t="inlineStr">
        <is>
          <t>marker_877_381622.png</t>
        </is>
      </c>
      <c r="L3152" s="11">
        <f>HYPERLINK("3\1\" &amp; K3152, "Ver Imagen")</f>
        <v/>
      </c>
      <c r="M3152" t="inlineStr">
        <is>
          <t>Moda</t>
        </is>
      </c>
    </row>
    <row r="3153">
      <c r="A3153" t="n">
        <v>3152</v>
      </c>
      <c r="B3153" t="inlineStr">
        <is>
          <t>A-5058__153</t>
        </is>
      </c>
      <c r="C3153" s="1" t="n">
        <v>37.2340891191</v>
      </c>
      <c r="D3153" s="1" t="n">
        <v>-7.06204014997</v>
      </c>
      <c r="E3153" s="3" t="n">
        <v>4</v>
      </c>
      <c r="F3153" s="2" t="n">
        <v>3</v>
      </c>
      <c r="G3153" s="4" t="n">
        <v>3</v>
      </c>
      <c r="H3153" s="13" t="n"/>
      <c r="I3153" s="15" t="n"/>
      <c r="J3153" s="19" t="n">
        <v>3</v>
      </c>
      <c r="K3153" s="2" t="inlineStr">
        <is>
          <t>marker_316_381739.png</t>
        </is>
      </c>
      <c r="L3153" s="11">
        <f>HYPERLINK("3\1\" &amp; K3153, "Ver Imagen")</f>
        <v/>
      </c>
      <c r="M3153" t="inlineStr">
        <is>
          <t>Moda</t>
        </is>
      </c>
    </row>
    <row r="3154">
      <c r="A3154" t="n">
        <v>3153</v>
      </c>
      <c r="B3154" t="inlineStr">
        <is>
          <t>A-5058__156</t>
        </is>
      </c>
      <c r="C3154" s="1" t="n">
        <v>37.2340679975</v>
      </c>
      <c r="D3154" s="1" t="n">
        <v>-7.06280591168</v>
      </c>
      <c r="E3154" s="3" t="n">
        <v>3</v>
      </c>
      <c r="F3154" s="2" t="n">
        <v>3</v>
      </c>
      <c r="G3154" s="4" t="n">
        <v>2</v>
      </c>
      <c r="H3154" s="13" t="n"/>
      <c r="I3154" s="15" t="n"/>
      <c r="J3154" s="19" t="n">
        <v>3</v>
      </c>
      <c r="K3154" s="2" t="inlineStr">
        <is>
          <t>marker_211_381768.png</t>
        </is>
      </c>
      <c r="L3154" s="11">
        <f>HYPERLINK("3\1\" &amp; K3154, "Ver Imagen")</f>
        <v/>
      </c>
      <c r="M3154" t="inlineStr">
        <is>
          <t>Moda</t>
        </is>
      </c>
    </row>
    <row r="3155">
      <c r="A3155" t="n">
        <v>3154</v>
      </c>
      <c r="B3155" t="inlineStr">
        <is>
          <t>A-5058__165</t>
        </is>
      </c>
      <c r="C3155" s="1" t="n">
        <v>37.2339652516</v>
      </c>
      <c r="D3155" s="1" t="n">
        <v>-7.06504946945</v>
      </c>
      <c r="E3155" s="3" t="n">
        <v>3</v>
      </c>
      <c r="F3155" s="2" t="n">
        <v>3</v>
      </c>
      <c r="G3155" s="4" t="n">
        <v>4</v>
      </c>
      <c r="H3155" s="13" t="n"/>
      <c r="I3155" s="15" t="n"/>
      <c r="J3155" s="19" t="n">
        <v>3</v>
      </c>
      <c r="K3155" s="2" t="inlineStr">
        <is>
          <t>marker_651_381877.png</t>
        </is>
      </c>
      <c r="L3155" s="11">
        <f>HYPERLINK("3\1\" &amp; K3155, "Ver Imagen")</f>
        <v/>
      </c>
      <c r="M3155" t="inlineStr">
        <is>
          <t>Moda</t>
        </is>
      </c>
    </row>
    <row r="3156">
      <c r="A3156" t="n">
        <v>3155</v>
      </c>
      <c r="B3156" t="inlineStr">
        <is>
          <t>A-5058__166</t>
        </is>
      </c>
      <c r="C3156" s="1" t="n">
        <v>37.2339373108</v>
      </c>
      <c r="D3156" s="1" t="n">
        <v>-7.06530926446</v>
      </c>
      <c r="E3156" s="3" t="n">
        <v>3</v>
      </c>
      <c r="F3156" s="2" t="n">
        <v>3</v>
      </c>
      <c r="G3156" s="4" t="n">
        <v>4</v>
      </c>
      <c r="H3156" s="13" t="n"/>
      <c r="I3156" s="15" t="n"/>
      <c r="J3156" s="19" t="n">
        <v>3</v>
      </c>
      <c r="K3156" s="2" t="inlineStr">
        <is>
          <t>marker_844_381887.png</t>
        </is>
      </c>
      <c r="L3156" s="11">
        <f>HYPERLINK("3\1\" &amp; K3156, "Ver Imagen")</f>
        <v/>
      </c>
      <c r="M3156" t="inlineStr">
        <is>
          <t>Moda</t>
        </is>
      </c>
    </row>
    <row r="3157">
      <c r="A3157" t="n">
        <v>3156</v>
      </c>
      <c r="B3157" t="inlineStr">
        <is>
          <t>A-5058__168</t>
        </is>
      </c>
      <c r="C3157" s="1" t="n">
        <v>37.2338747632</v>
      </c>
      <c r="D3157" s="1" t="n">
        <v>-7.06580790427</v>
      </c>
      <c r="E3157" s="3" t="n">
        <v>3</v>
      </c>
      <c r="F3157" s="2" t="n">
        <v>3</v>
      </c>
      <c r="G3157" s="4" t="n">
        <v>4</v>
      </c>
      <c r="H3157" s="13" t="n"/>
      <c r="I3157" s="15" t="n"/>
      <c r="J3157" s="19" t="n">
        <v>3</v>
      </c>
      <c r="K3157" s="2" t="inlineStr">
        <is>
          <t>marker_689_382315.png</t>
        </is>
      </c>
      <c r="L3157" s="11">
        <f>HYPERLINK("3\1\" &amp; K3157, "Ver Imagen")</f>
        <v/>
      </c>
      <c r="M3157" t="inlineStr">
        <is>
          <t>Moda</t>
        </is>
      </c>
    </row>
    <row r="3158">
      <c r="A3158" t="n">
        <v>3157</v>
      </c>
      <c r="B3158" t="inlineStr">
        <is>
          <t>A-5058__174</t>
        </is>
      </c>
      <c r="C3158" s="1" t="n">
        <v>37.2336534133</v>
      </c>
      <c r="D3158" s="1" t="n">
        <v>-7.06712962324</v>
      </c>
      <c r="E3158" s="3" t="n">
        <v>3</v>
      </c>
      <c r="F3158" s="2" t="n">
        <v>3</v>
      </c>
      <c r="G3158" s="4" t="n">
        <v>4</v>
      </c>
      <c r="H3158" s="13" t="n"/>
      <c r="I3158" s="15" t="n"/>
      <c r="J3158" s="19" t="n">
        <v>3</v>
      </c>
      <c r="K3158" s="2" t="inlineStr">
        <is>
          <t>marker_870_382454.png</t>
        </is>
      </c>
      <c r="L3158" s="11">
        <f>HYPERLINK("3\1\" &amp; K3158, "Ver Imagen")</f>
        <v/>
      </c>
      <c r="M3158" t="inlineStr">
        <is>
          <t>Moda</t>
        </is>
      </c>
    </row>
    <row r="3159">
      <c r="A3159" t="n">
        <v>3158</v>
      </c>
      <c r="B3159" t="inlineStr">
        <is>
          <t>A-5058__176</t>
        </is>
      </c>
      <c r="C3159" s="1" t="n">
        <v>37.2335787621</v>
      </c>
      <c r="D3159" s="1" t="n">
        <v>-7.06765257012</v>
      </c>
      <c r="E3159" s="3" t="n">
        <v>3</v>
      </c>
      <c r="F3159" s="2" t="n">
        <v>3</v>
      </c>
      <c r="G3159" s="4" t="n">
        <v>4</v>
      </c>
      <c r="H3159" s="13" t="n"/>
      <c r="I3159" s="15" t="n"/>
      <c r="J3159" s="19" t="n">
        <v>3</v>
      </c>
      <c r="K3159" s="2" t="inlineStr">
        <is>
          <t>marker_236_382475.png</t>
        </is>
      </c>
      <c r="L3159" s="11">
        <f>HYPERLINK("3\1\" &amp; K3159, "Ver Imagen")</f>
        <v/>
      </c>
      <c r="M3159" t="inlineStr">
        <is>
          <t>Moda</t>
        </is>
      </c>
    </row>
    <row r="3160">
      <c r="A3160" t="n">
        <v>3159</v>
      </c>
      <c r="B3160" t="inlineStr">
        <is>
          <t>A-5058__180</t>
        </is>
      </c>
      <c r="C3160" s="1" t="n">
        <v>37.2337083777</v>
      </c>
      <c r="D3160" s="1" t="n">
        <v>-7.06863385774</v>
      </c>
      <c r="E3160" s="3" t="n">
        <v>3</v>
      </c>
      <c r="F3160" s="2" t="n">
        <v>3</v>
      </c>
      <c r="G3160" s="4" t="n">
        <v>4</v>
      </c>
      <c r="H3160" s="13" t="n"/>
      <c r="I3160" s="15" t="n"/>
      <c r="J3160" s="19" t="n">
        <v>3</v>
      </c>
      <c r="K3160" s="2" t="inlineStr">
        <is>
          <t>marker_208_382662.png</t>
        </is>
      </c>
      <c r="L3160" s="11">
        <f>HYPERLINK("3\1\" &amp; K3160, "Ver Imagen")</f>
        <v/>
      </c>
      <c r="M3160" t="inlineStr">
        <is>
          <t>Moda</t>
        </is>
      </c>
    </row>
    <row r="3161">
      <c r="A3161" t="n">
        <v>3160</v>
      </c>
      <c r="B3161" t="inlineStr">
        <is>
          <t>A-5058__184</t>
        </is>
      </c>
      <c r="C3161" s="1" t="n">
        <v>37.2339735242</v>
      </c>
      <c r="D3161" s="1" t="n">
        <v>-7.06958170602</v>
      </c>
      <c r="E3161" s="3" t="n">
        <v>2</v>
      </c>
      <c r="F3161" s="2" t="n">
        <v>3</v>
      </c>
      <c r="G3161" s="4" t="n">
        <v>3</v>
      </c>
      <c r="H3161" s="13" t="n"/>
      <c r="I3161" s="15" t="n"/>
      <c r="J3161" s="19" t="n">
        <v>3</v>
      </c>
      <c r="K3161" s="2" t="inlineStr">
        <is>
          <t>marker_782_382717.png</t>
        </is>
      </c>
      <c r="L3161" s="11">
        <f>HYPERLINK("3\1\" &amp; K3161, "Ver Imagen")</f>
        <v/>
      </c>
      <c r="M3161" t="inlineStr">
        <is>
          <t>Moda</t>
        </is>
      </c>
    </row>
    <row r="3162">
      <c r="A3162" t="n">
        <v>3161</v>
      </c>
      <c r="B3162" t="inlineStr">
        <is>
          <t>A-5058__188</t>
        </is>
      </c>
      <c r="C3162" s="1" t="n">
        <v>37.2342342037</v>
      </c>
      <c r="D3162" s="1" t="n">
        <v>-7.0705075035</v>
      </c>
      <c r="E3162" s="3" t="n">
        <v>3</v>
      </c>
      <c r="F3162" s="2" t="n">
        <v>3</v>
      </c>
      <c r="G3162" s="4" t="n">
        <v>4</v>
      </c>
      <c r="H3162" s="13" t="n"/>
      <c r="I3162" s="15" t="n"/>
      <c r="J3162" s="19" t="n">
        <v>3</v>
      </c>
      <c r="K3162" s="2" t="inlineStr">
        <is>
          <t>marker_993_382758.png</t>
        </is>
      </c>
      <c r="L3162" s="11">
        <f>HYPERLINK("3\1\" &amp; K3162, "Ver Imagen")</f>
        <v/>
      </c>
      <c r="M3162" t="inlineStr">
        <is>
          <t>Moda</t>
        </is>
      </c>
    </row>
    <row r="3163">
      <c r="A3163" t="n">
        <v>3162</v>
      </c>
      <c r="B3163" t="inlineStr">
        <is>
          <t>A-5058__193</t>
        </is>
      </c>
      <c r="C3163" s="1" t="n">
        <v>37.2345691077</v>
      </c>
      <c r="D3163" s="1" t="n">
        <v>-7.07170556897</v>
      </c>
      <c r="E3163" s="3" t="n">
        <v>3</v>
      </c>
      <c r="F3163" s="2" t="n">
        <v>3</v>
      </c>
      <c r="G3163" s="4" t="n">
        <v>4</v>
      </c>
      <c r="H3163" s="13" t="n"/>
      <c r="I3163" s="15" t="n"/>
      <c r="J3163" s="19" t="n">
        <v>3</v>
      </c>
      <c r="K3163" s="2" t="inlineStr">
        <is>
          <t>marker_276_382814.png</t>
        </is>
      </c>
      <c r="L3163" s="11">
        <f>HYPERLINK("3\1\" &amp; K3163, "Ver Imagen")</f>
        <v/>
      </c>
      <c r="M3163" t="inlineStr">
        <is>
          <t>Moda</t>
        </is>
      </c>
    </row>
    <row r="3164">
      <c r="A3164" t="n">
        <v>3163</v>
      </c>
      <c r="B3164" t="inlineStr">
        <is>
          <t>A-5058__195</t>
        </is>
      </c>
      <c r="C3164" s="1" t="n">
        <v>37.2347078409</v>
      </c>
      <c r="D3164" s="1" t="n">
        <v>-7.07219482988</v>
      </c>
      <c r="E3164" s="3" t="n">
        <v>3</v>
      </c>
      <c r="F3164" s="2" t="n">
        <v>3</v>
      </c>
      <c r="G3164" s="4" t="n">
        <v>4</v>
      </c>
      <c r="H3164" s="13" t="n"/>
      <c r="I3164" s="15" t="n"/>
      <c r="J3164" s="19" t="n">
        <v>3</v>
      </c>
      <c r="K3164" s="2" t="inlineStr">
        <is>
          <t>marker_150_382837.png</t>
        </is>
      </c>
      <c r="L3164" s="11">
        <f>HYPERLINK("3\1\" &amp; K3164, "Ver Imagen")</f>
        <v/>
      </c>
      <c r="M3164" t="inlineStr">
        <is>
          <t>Moda</t>
        </is>
      </c>
    </row>
    <row r="3165">
      <c r="A3165" t="n">
        <v>3164</v>
      </c>
      <c r="B3165" t="inlineStr">
        <is>
          <t>A-5058__198</t>
        </is>
      </c>
      <c r="C3165" s="1" t="n">
        <v>37.2349470993</v>
      </c>
      <c r="D3165" s="1" t="n">
        <v>-7.07285634743</v>
      </c>
      <c r="E3165" s="3" t="n">
        <v>3</v>
      </c>
      <c r="F3165" s="2" t="n">
        <v>3</v>
      </c>
      <c r="G3165" s="4" t="n">
        <v>4</v>
      </c>
      <c r="H3165" s="13" t="n"/>
      <c r="I3165" s="15" t="n"/>
      <c r="J3165" s="19" t="n">
        <v>3</v>
      </c>
      <c r="K3165" s="2" t="inlineStr">
        <is>
          <t>marker_140_382870.png</t>
        </is>
      </c>
      <c r="L3165" s="11">
        <f>HYPERLINK("3\1\" &amp; K3165, "Ver Imagen")</f>
        <v/>
      </c>
      <c r="M3165" t="inlineStr">
        <is>
          <t>Moda</t>
        </is>
      </c>
    </row>
    <row r="3166">
      <c r="A3166" t="n">
        <v>3165</v>
      </c>
      <c r="B3166" t="inlineStr">
        <is>
          <t>A-5058__199</t>
        </is>
      </c>
      <c r="C3166" s="1" t="n">
        <v>37.2350585061</v>
      </c>
      <c r="D3166" s="1" t="n">
        <v>-7.07309905839</v>
      </c>
      <c r="E3166" s="3" t="n">
        <v>3</v>
      </c>
      <c r="F3166" s="2" t="n">
        <v>3</v>
      </c>
      <c r="G3166" s="4" t="n">
        <v>4</v>
      </c>
      <c r="H3166" s="13" t="n"/>
      <c r="I3166" s="15" t="n"/>
      <c r="J3166" s="19" t="n">
        <v>3</v>
      </c>
      <c r="K3166" s="2" t="inlineStr">
        <is>
          <t>marker_970_382879.png</t>
        </is>
      </c>
      <c r="L3166" s="11">
        <f>HYPERLINK("3\1\" &amp; K3166, "Ver Imagen")</f>
        <v/>
      </c>
      <c r="M3166" t="inlineStr">
        <is>
          <t>Moda</t>
        </is>
      </c>
    </row>
    <row r="3167">
      <c r="A3167" t="n">
        <v>3166</v>
      </c>
      <c r="B3167" t="inlineStr">
        <is>
          <t>A-5058__201</t>
        </is>
      </c>
      <c r="C3167" s="1" t="n">
        <v>37.2352839844</v>
      </c>
      <c r="D3167" s="1" t="n">
        <v>-7.07352667163</v>
      </c>
      <c r="E3167" s="3" t="n">
        <v>3</v>
      </c>
      <c r="F3167" s="2" t="n">
        <v>3</v>
      </c>
      <c r="G3167" s="4" t="n">
        <v>4</v>
      </c>
      <c r="H3167" s="13" t="n"/>
      <c r="I3167" s="15" t="n"/>
      <c r="J3167" s="19" t="n">
        <v>3</v>
      </c>
      <c r="K3167" s="2" t="inlineStr">
        <is>
          <t>marker_433_382903.png</t>
        </is>
      </c>
      <c r="L3167" s="11">
        <f>HYPERLINK("3\1\" &amp; K3167, "Ver Imagen")</f>
        <v/>
      </c>
      <c r="M3167" t="inlineStr">
        <is>
          <t>Moda</t>
        </is>
      </c>
    </row>
    <row r="3168">
      <c r="A3168" t="n">
        <v>3167</v>
      </c>
      <c r="B3168" t="inlineStr">
        <is>
          <t>A-5058__204</t>
        </is>
      </c>
      <c r="C3168" s="1" t="n">
        <v>37.2356360569</v>
      </c>
      <c r="D3168" s="1" t="n">
        <v>-7.07415535162</v>
      </c>
      <c r="E3168" s="3" t="n">
        <v>3</v>
      </c>
      <c r="F3168" s="2" t="n">
        <v>3</v>
      </c>
      <c r="G3168" s="4" t="n">
        <v>4</v>
      </c>
      <c r="H3168" s="13" t="n"/>
      <c r="I3168" s="15" t="n"/>
      <c r="J3168" s="19" t="n">
        <v>3</v>
      </c>
      <c r="K3168" s="2" t="inlineStr">
        <is>
          <t>marker_404_382931.png</t>
        </is>
      </c>
      <c r="L3168" s="11">
        <f>HYPERLINK("3\1\" &amp; K3168, "Ver Imagen")</f>
        <v/>
      </c>
      <c r="M3168" t="inlineStr">
        <is>
          <t>Moda</t>
        </is>
      </c>
    </row>
    <row r="3169">
      <c r="A3169" t="n">
        <v>3168</v>
      </c>
      <c r="B3169" t="inlineStr">
        <is>
          <t>A-5058__206</t>
        </is>
      </c>
      <c r="C3169" s="1" t="n">
        <v>37.2358663076</v>
      </c>
      <c r="D3169" s="1" t="n">
        <v>-7.07456706011</v>
      </c>
      <c r="E3169" s="3" t="n">
        <v>3</v>
      </c>
      <c r="F3169" s="2" t="n">
        <v>3</v>
      </c>
      <c r="G3169" s="4" t="n">
        <v>4</v>
      </c>
      <c r="H3169" s="13" t="n"/>
      <c r="I3169" s="15" t="n"/>
      <c r="J3169" s="19" t="n">
        <v>3</v>
      </c>
      <c r="K3169" s="2" t="inlineStr">
        <is>
          <t>marker_769_382969.png</t>
        </is>
      </c>
      <c r="L3169" s="11">
        <f>HYPERLINK("3\1\" &amp; K3169, "Ver Imagen")</f>
        <v/>
      </c>
      <c r="M3169" t="inlineStr">
        <is>
          <t>Moda</t>
        </is>
      </c>
    </row>
    <row r="3170">
      <c r="A3170" t="n">
        <v>3169</v>
      </c>
      <c r="B3170" t="inlineStr">
        <is>
          <t>A-5058__208</t>
        </is>
      </c>
      <c r="C3170" s="1" t="n">
        <v>37.236095908</v>
      </c>
      <c r="D3170" s="1" t="n">
        <v>-7.0749751965</v>
      </c>
      <c r="E3170" s="3" t="n">
        <v>3</v>
      </c>
      <c r="F3170" s="2" t="n">
        <v>3</v>
      </c>
      <c r="G3170" s="4" t="n">
        <v>4</v>
      </c>
      <c r="H3170" s="13" t="n"/>
      <c r="I3170" s="15" t="n"/>
      <c r="J3170" s="19" t="n">
        <v>3</v>
      </c>
      <c r="K3170" s="2" t="inlineStr">
        <is>
          <t>marker_677_382989.png</t>
        </is>
      </c>
      <c r="L3170" s="11">
        <f>HYPERLINK("3\1\" &amp; K3170, "Ver Imagen")</f>
        <v/>
      </c>
      <c r="M3170" t="inlineStr">
        <is>
          <t>Moda</t>
        </is>
      </c>
    </row>
    <row r="3171">
      <c r="A3171" t="n">
        <v>3170</v>
      </c>
      <c r="B3171" t="inlineStr">
        <is>
          <t>A-5058__210</t>
        </is>
      </c>
      <c r="C3171" s="1" t="n">
        <v>37.2363177893</v>
      </c>
      <c r="D3171" s="1" t="n">
        <v>-7.07537066776</v>
      </c>
      <c r="E3171" s="3" t="n">
        <v>3</v>
      </c>
      <c r="F3171" s="2" t="n">
        <v>3</v>
      </c>
      <c r="G3171" s="4" t="n">
        <v>4</v>
      </c>
      <c r="H3171" s="13" t="n"/>
      <c r="I3171" s="15" t="n"/>
      <c r="J3171" s="19" t="n">
        <v>3</v>
      </c>
      <c r="K3171" s="2" t="inlineStr">
        <is>
          <t>marker_128_383021.png</t>
        </is>
      </c>
      <c r="L3171" s="11">
        <f>HYPERLINK("3\1\" &amp; K3171, "Ver Imagen")</f>
        <v/>
      </c>
      <c r="M3171" t="inlineStr">
        <is>
          <t>Moda</t>
        </is>
      </c>
    </row>
    <row r="3172">
      <c r="A3172" t="n">
        <v>3171</v>
      </c>
      <c r="B3172" t="inlineStr">
        <is>
          <t>A-5058__211</t>
        </is>
      </c>
      <c r="C3172" s="1" t="n">
        <v>37.2364453008</v>
      </c>
      <c r="D3172" s="1" t="n">
        <v>-7.07560307569</v>
      </c>
      <c r="E3172" s="3" t="n">
        <v>3</v>
      </c>
      <c r="F3172" s="2" t="n">
        <v>3</v>
      </c>
      <c r="G3172" s="4" t="n">
        <v>4</v>
      </c>
      <c r="H3172" s="13" t="n"/>
      <c r="I3172" s="15" t="n"/>
      <c r="J3172" s="19" t="n">
        <v>3</v>
      </c>
      <c r="K3172" s="2" t="inlineStr">
        <is>
          <t>marker_457_383029.png</t>
        </is>
      </c>
      <c r="L3172" s="11">
        <f>HYPERLINK("3\1\" &amp; K3172, "Ver Imagen")</f>
        <v/>
      </c>
      <c r="M3172" t="inlineStr">
        <is>
          <t>Moda</t>
        </is>
      </c>
    </row>
    <row r="3173">
      <c r="A3173" t="n">
        <v>3172</v>
      </c>
      <c r="B3173" t="inlineStr">
        <is>
          <t>A-5058__212</t>
        </is>
      </c>
      <c r="C3173" s="1" t="n">
        <v>37.2365549028</v>
      </c>
      <c r="D3173" s="1" t="n">
        <v>-7.07580119375</v>
      </c>
      <c r="E3173" s="3" t="n">
        <v>3</v>
      </c>
      <c r="F3173" s="2" t="n">
        <v>3</v>
      </c>
      <c r="G3173" s="4" t="n">
        <v>4</v>
      </c>
      <c r="H3173" s="13" t="n"/>
      <c r="I3173" s="15" t="n"/>
      <c r="J3173" s="19" t="n">
        <v>3</v>
      </c>
      <c r="K3173" s="2" t="inlineStr">
        <is>
          <t>marker_262_383041.png</t>
        </is>
      </c>
      <c r="L3173" s="11">
        <f>HYPERLINK("3\1\" &amp; K3173, "Ver Imagen")</f>
        <v/>
      </c>
      <c r="M3173" t="inlineStr">
        <is>
          <t>Moda</t>
        </is>
      </c>
    </row>
    <row r="3174">
      <c r="A3174" t="n">
        <v>3173</v>
      </c>
      <c r="B3174" t="inlineStr">
        <is>
          <t>A-5058__213</t>
        </is>
      </c>
      <c r="C3174" s="1" t="n">
        <v>37.2366810614</v>
      </c>
      <c r="D3174" s="1" t="n">
        <v>-7.07602461087</v>
      </c>
      <c r="E3174" s="3" t="n">
        <v>3</v>
      </c>
      <c r="F3174" s="2" t="n">
        <v>3</v>
      </c>
      <c r="G3174" s="4" t="n">
        <v>4</v>
      </c>
      <c r="H3174" s="13" t="n"/>
      <c r="I3174" s="15" t="n"/>
      <c r="J3174" s="19" t="n">
        <v>3</v>
      </c>
      <c r="K3174" s="2" t="inlineStr">
        <is>
          <t>marker_573_383052.png</t>
        </is>
      </c>
      <c r="L3174" s="11">
        <f>HYPERLINK("3\1\" &amp; K3174, "Ver Imagen")</f>
        <v/>
      </c>
      <c r="M3174" t="inlineStr">
        <is>
          <t>Moda</t>
        </is>
      </c>
    </row>
    <row r="3175">
      <c r="A3175" t="n">
        <v>3174</v>
      </c>
      <c r="B3175" t="inlineStr">
        <is>
          <t>A-5058__214</t>
        </is>
      </c>
      <c r="C3175" s="1" t="n">
        <v>37.2367915443</v>
      </c>
      <c r="D3175" s="1" t="n">
        <v>-7.07621966912</v>
      </c>
      <c r="E3175" s="3" t="n">
        <v>3</v>
      </c>
      <c r="F3175" s="2" t="n">
        <v>3</v>
      </c>
      <c r="G3175" s="4" t="n">
        <v>4</v>
      </c>
      <c r="H3175" s="13" t="n"/>
      <c r="I3175" s="15" t="n"/>
      <c r="J3175" s="19" t="n">
        <v>3</v>
      </c>
      <c r="K3175" s="2" t="inlineStr">
        <is>
          <t>marker_382_383062.png</t>
        </is>
      </c>
      <c r="L3175" s="11">
        <f>HYPERLINK("3\1\" &amp; K3175, "Ver Imagen")</f>
        <v/>
      </c>
      <c r="M3175" t="inlineStr">
        <is>
          <t>Moda</t>
        </is>
      </c>
    </row>
    <row r="3176">
      <c r="A3176" t="n">
        <v>3175</v>
      </c>
      <c r="B3176" t="inlineStr">
        <is>
          <t>A-5058__215</t>
        </is>
      </c>
      <c r="C3176" s="1" t="n">
        <v>37.2369018456</v>
      </c>
      <c r="D3176" s="1" t="n">
        <v>-7.0764155946</v>
      </c>
      <c r="E3176" s="3" t="n">
        <v>3</v>
      </c>
      <c r="F3176" s="2" t="n">
        <v>3</v>
      </c>
      <c r="G3176" s="4" t="n">
        <v>4</v>
      </c>
      <c r="H3176" s="13" t="n"/>
      <c r="I3176" s="15" t="n"/>
      <c r="J3176" s="19" t="n">
        <v>3</v>
      </c>
      <c r="K3176" s="2" t="inlineStr">
        <is>
          <t>marker_179_383071.png</t>
        </is>
      </c>
      <c r="L3176" s="11">
        <f>HYPERLINK("3\1\" &amp; K3176, "Ver Imagen")</f>
        <v/>
      </c>
      <c r="M3176" t="inlineStr">
        <is>
          <t>Moda</t>
        </is>
      </c>
    </row>
    <row r="3177">
      <c r="A3177" t="n">
        <v>3176</v>
      </c>
      <c r="B3177" t="inlineStr">
        <is>
          <t>A-5058__217</t>
        </is>
      </c>
      <c r="C3177" s="1" t="n">
        <v>37.2371324948</v>
      </c>
      <c r="D3177" s="1" t="n">
        <v>-7.07683422093</v>
      </c>
      <c r="E3177" s="3" t="n">
        <v>3</v>
      </c>
      <c r="F3177" s="2" t="n">
        <v>3</v>
      </c>
      <c r="G3177" s="4" t="n">
        <v>4</v>
      </c>
      <c r="H3177" s="13" t="n"/>
      <c r="I3177" s="15" t="n"/>
      <c r="J3177" s="19" t="n">
        <v>3</v>
      </c>
      <c r="K3177" s="2" t="inlineStr">
        <is>
          <t>marker_233_383092.png</t>
        </is>
      </c>
      <c r="L3177" s="11">
        <f>HYPERLINK("3\1\" &amp; K3177, "Ver Imagen")</f>
        <v/>
      </c>
      <c r="M3177" t="inlineStr">
        <is>
          <t>Moda</t>
        </is>
      </c>
    </row>
    <row r="3178">
      <c r="A3178" t="n">
        <v>3177</v>
      </c>
      <c r="B3178" t="inlineStr">
        <is>
          <t>A-5058__219</t>
        </is>
      </c>
      <c r="C3178" s="1" t="n">
        <v>37.2373647183</v>
      </c>
      <c r="D3178" s="1" t="n">
        <v>-7.07725293148</v>
      </c>
      <c r="E3178" s="3" t="n">
        <v>3</v>
      </c>
      <c r="F3178" s="2" t="n">
        <v>3</v>
      </c>
      <c r="G3178" s="4" t="n">
        <v>4</v>
      </c>
      <c r="H3178" s="13" t="n"/>
      <c r="I3178" s="15" t="n"/>
      <c r="J3178" s="19" t="n">
        <v>3</v>
      </c>
      <c r="K3178" s="2" t="inlineStr">
        <is>
          <t>marker_224_383110.png</t>
        </is>
      </c>
      <c r="L3178" s="11">
        <f>HYPERLINK("3\1\" &amp; K3178, "Ver Imagen")</f>
        <v/>
      </c>
      <c r="M3178" t="inlineStr">
        <is>
          <t>Moda</t>
        </is>
      </c>
    </row>
    <row r="3179">
      <c r="A3179" t="n">
        <v>3178</v>
      </c>
      <c r="B3179" t="inlineStr">
        <is>
          <t>A-5058__220</t>
        </is>
      </c>
      <c r="C3179" s="1" t="n">
        <v>37.2374839717</v>
      </c>
      <c r="D3179" s="1" t="n">
        <v>-7.07746546893</v>
      </c>
      <c r="E3179" s="3" t="n">
        <v>3</v>
      </c>
      <c r="F3179" s="2" t="n">
        <v>3</v>
      </c>
      <c r="G3179" s="4" t="n">
        <v>4</v>
      </c>
      <c r="H3179" s="13" t="n"/>
      <c r="I3179" s="15" t="n"/>
      <c r="J3179" s="19" t="n">
        <v>3</v>
      </c>
      <c r="K3179" s="2" t="inlineStr">
        <is>
          <t>marker_603_383128.png</t>
        </is>
      </c>
      <c r="L3179" s="11">
        <f>HYPERLINK("3\1\" &amp; K3179, "Ver Imagen")</f>
        <v/>
      </c>
      <c r="M3179" t="inlineStr">
        <is>
          <t>Moda</t>
        </is>
      </c>
    </row>
    <row r="3180">
      <c r="A3180" t="n">
        <v>3179</v>
      </c>
      <c r="B3180" t="inlineStr">
        <is>
          <t>A-5058__221</t>
        </is>
      </c>
      <c r="C3180" s="1" t="n">
        <v>37.2375984542</v>
      </c>
      <c r="D3180" s="1" t="n">
        <v>-7.07766558076</v>
      </c>
      <c r="E3180" s="3" t="n">
        <v>3</v>
      </c>
      <c r="F3180" s="2" t="n">
        <v>3</v>
      </c>
      <c r="G3180" s="4" t="n">
        <v>4</v>
      </c>
      <c r="H3180" s="13" t="n"/>
      <c r="I3180" s="15" t="n"/>
      <c r="J3180" s="19" t="n">
        <v>3</v>
      </c>
      <c r="K3180" s="2" t="inlineStr">
        <is>
          <t>marker_594_383149.png</t>
        </is>
      </c>
      <c r="L3180" s="11">
        <f>HYPERLINK("3\1\" &amp; K3180, "Ver Imagen")</f>
        <v/>
      </c>
      <c r="M3180" t="inlineStr">
        <is>
          <t>Moda</t>
        </is>
      </c>
    </row>
    <row r="3181">
      <c r="A3181" t="n">
        <v>3180</v>
      </c>
      <c r="B3181" t="inlineStr">
        <is>
          <t>A-5058__222</t>
        </is>
      </c>
      <c r="C3181" s="1" t="n">
        <v>37.23771425</v>
      </c>
      <c r="D3181" s="1" t="n">
        <v>-7.07786595309</v>
      </c>
      <c r="E3181" s="3" t="n">
        <v>3</v>
      </c>
      <c r="F3181" s="2" t="n">
        <v>3</v>
      </c>
      <c r="G3181" s="4" t="n">
        <v>4</v>
      </c>
      <c r="H3181" s="13" t="n"/>
      <c r="I3181" s="15" t="n"/>
      <c r="J3181" s="19" t="n">
        <v>3</v>
      </c>
      <c r="K3181" s="2" t="inlineStr">
        <is>
          <t>marker_103_383158.png</t>
        </is>
      </c>
      <c r="L3181" s="11">
        <f>HYPERLINK("3\1\" &amp; K3181, "Ver Imagen")</f>
        <v/>
      </c>
      <c r="M3181" t="inlineStr">
        <is>
          <t>Moda</t>
        </is>
      </c>
    </row>
    <row r="3182">
      <c r="A3182" t="n">
        <v>3181</v>
      </c>
      <c r="B3182" t="inlineStr">
        <is>
          <t>A-5058__223</t>
        </is>
      </c>
      <c r="C3182" s="1" t="n">
        <v>37.23784305</v>
      </c>
      <c r="D3182" s="1" t="n">
        <v>-7.07808507513</v>
      </c>
      <c r="E3182" s="3" t="n">
        <v>3</v>
      </c>
      <c r="F3182" s="2" t="n">
        <v>3</v>
      </c>
      <c r="G3182" s="4" t="n">
        <v>4</v>
      </c>
      <c r="H3182" s="13" t="n"/>
      <c r="I3182" s="15" t="n"/>
      <c r="J3182" s="19" t="n">
        <v>3</v>
      </c>
      <c r="K3182" s="2" t="inlineStr">
        <is>
          <t>marker_970_383168.png</t>
        </is>
      </c>
      <c r="L3182" s="11">
        <f>HYPERLINK("3\1\" &amp; K3182, "Ver Imagen")</f>
        <v/>
      </c>
      <c r="M3182" t="inlineStr">
        <is>
          <t>Moda</t>
        </is>
      </c>
    </row>
    <row r="3183">
      <c r="A3183" t="n">
        <v>3182</v>
      </c>
      <c r="B3183" t="inlineStr">
        <is>
          <t>A-5058__224</t>
        </is>
      </c>
      <c r="C3183" s="1" t="n">
        <v>37.2379572713</v>
      </c>
      <c r="D3183" s="1" t="n">
        <v>-7.078277792</v>
      </c>
      <c r="E3183" s="3" t="n">
        <v>3</v>
      </c>
      <c r="F3183" s="2" t="n">
        <v>3</v>
      </c>
      <c r="G3183" s="4" t="n">
        <v>4</v>
      </c>
      <c r="H3183" s="13" t="n"/>
      <c r="I3183" s="15" t="n"/>
      <c r="J3183" s="19" t="n">
        <v>3</v>
      </c>
      <c r="K3183" s="2" t="inlineStr">
        <is>
          <t>marker_573_383182.png</t>
        </is>
      </c>
      <c r="L3183" s="11">
        <f>HYPERLINK("3\1\" &amp; K3183, "Ver Imagen")</f>
        <v/>
      </c>
      <c r="M3183" t="inlineStr">
        <is>
          <t>Moda</t>
        </is>
      </c>
    </row>
    <row r="3184">
      <c r="A3184" t="n">
        <v>3183</v>
      </c>
      <c r="B3184" t="inlineStr">
        <is>
          <t>A-5058__227</t>
        </is>
      </c>
      <c r="C3184" s="1" t="n">
        <v>37.2383295488</v>
      </c>
      <c r="D3184" s="1" t="n">
        <v>-7.07887566809</v>
      </c>
      <c r="E3184" s="3" t="n">
        <v>3</v>
      </c>
      <c r="F3184" s="2" t="n">
        <v>3</v>
      </c>
      <c r="G3184" s="4" t="n">
        <v>4</v>
      </c>
      <c r="H3184" s="13" t="n"/>
      <c r="I3184" s="15" t="n"/>
      <c r="J3184" s="19" t="n">
        <v>3</v>
      </c>
      <c r="K3184" s="2" t="inlineStr">
        <is>
          <t>marker_850_383213.png</t>
        </is>
      </c>
      <c r="L3184" s="11">
        <f>HYPERLINK("3\1\" &amp; K3184, "Ver Imagen")</f>
        <v/>
      </c>
      <c r="M3184" t="inlineStr">
        <is>
          <t>Moda</t>
        </is>
      </c>
    </row>
    <row r="3185">
      <c r="A3185" t="n">
        <v>3184</v>
      </c>
      <c r="B3185" t="inlineStr">
        <is>
          <t>A-5058__228</t>
        </is>
      </c>
      <c r="C3185" s="1" t="n">
        <v>37.2384735418</v>
      </c>
      <c r="D3185" s="1" t="n">
        <v>-7.0790936783</v>
      </c>
      <c r="E3185" s="3" t="n">
        <v>3</v>
      </c>
      <c r="F3185" s="2" t="n">
        <v>3</v>
      </c>
      <c r="G3185" s="4" t="n">
        <v>4</v>
      </c>
      <c r="H3185" s="13" t="n"/>
      <c r="I3185" s="15" t="n"/>
      <c r="J3185" s="19" t="n">
        <v>3</v>
      </c>
      <c r="K3185" s="2" t="inlineStr">
        <is>
          <t>marker_109_383225.png</t>
        </is>
      </c>
      <c r="L3185" s="11">
        <f>HYPERLINK("3\1\" &amp; K3185, "Ver Imagen")</f>
        <v/>
      </c>
      <c r="M3185" t="inlineStr">
        <is>
          <t>Moda</t>
        </is>
      </c>
    </row>
    <row r="3186">
      <c r="A3186" t="n">
        <v>3185</v>
      </c>
      <c r="B3186" t="inlineStr">
        <is>
          <t>A-5058__238</t>
        </is>
      </c>
      <c r="C3186" s="1" t="n">
        <v>37.2397460951</v>
      </c>
      <c r="D3186" s="1" t="n">
        <v>-7.08101283156</v>
      </c>
      <c r="E3186" s="3" t="n">
        <v>3</v>
      </c>
      <c r="F3186" s="2" t="n">
        <v>3</v>
      </c>
      <c r="G3186" s="4" t="n">
        <v>4</v>
      </c>
      <c r="H3186" s="13" t="n"/>
      <c r="I3186" s="15" t="n"/>
      <c r="J3186" s="19" t="n">
        <v>3</v>
      </c>
      <c r="K3186" s="2" t="inlineStr">
        <is>
          <t>marker_547_383343.png</t>
        </is>
      </c>
      <c r="L3186" s="11">
        <f>HYPERLINK("3\1\" &amp; K3186, "Ver Imagen")</f>
        <v/>
      </c>
      <c r="M3186" t="inlineStr">
        <is>
          <t>Moda</t>
        </is>
      </c>
    </row>
    <row r="3187">
      <c r="A3187" t="n">
        <v>3186</v>
      </c>
      <c r="B3187" t="inlineStr">
        <is>
          <t>A-5058__239</t>
        </is>
      </c>
      <c r="C3187" s="1" t="n">
        <v>37.2398771207</v>
      </c>
      <c r="D3187" s="1" t="n">
        <v>-7.08121233237</v>
      </c>
      <c r="E3187" s="3" t="n">
        <v>3</v>
      </c>
      <c r="F3187" s="2" t="n">
        <v>3</v>
      </c>
      <c r="G3187" s="4" t="n">
        <v>4</v>
      </c>
      <c r="H3187" s="13" t="n"/>
      <c r="I3187" s="15" t="n"/>
      <c r="J3187" s="19" t="n">
        <v>3</v>
      </c>
      <c r="K3187" s="2" t="inlineStr">
        <is>
          <t>marker_368_383356.png</t>
        </is>
      </c>
      <c r="L3187" s="11">
        <f>HYPERLINK("3\1\" &amp; K3187, "Ver Imagen")</f>
        <v/>
      </c>
      <c r="M3187" t="inlineStr">
        <is>
          <t>Moda</t>
        </is>
      </c>
    </row>
    <row r="3188">
      <c r="A3188" t="n">
        <v>3187</v>
      </c>
      <c r="B3188" t="inlineStr">
        <is>
          <t>A-5058__241</t>
        </is>
      </c>
      <c r="C3188" s="1" t="n">
        <v>37.2401460062</v>
      </c>
      <c r="D3188" s="1" t="n">
        <v>-7.08162572011</v>
      </c>
      <c r="E3188" s="3" t="n">
        <v>3</v>
      </c>
      <c r="F3188" s="2" t="n">
        <v>3</v>
      </c>
      <c r="G3188" s="4" t="n">
        <v>4</v>
      </c>
      <c r="H3188" s="13" t="n"/>
      <c r="I3188" s="15" t="n"/>
      <c r="J3188" s="19" t="n">
        <v>3</v>
      </c>
      <c r="K3188" s="2" t="inlineStr">
        <is>
          <t>marker_695_383386.png</t>
        </is>
      </c>
      <c r="L3188" s="11">
        <f>HYPERLINK("3\1\" &amp; K3188, "Ver Imagen")</f>
        <v/>
      </c>
      <c r="M3188" t="inlineStr">
        <is>
          <t>Moda</t>
        </is>
      </c>
    </row>
    <row r="3189">
      <c r="A3189" t="n">
        <v>3188</v>
      </c>
      <c r="B3189" t="inlineStr">
        <is>
          <t>A-5058__242</t>
        </is>
      </c>
      <c r="C3189" s="1" t="n">
        <v>37.2402733579</v>
      </c>
      <c r="D3189" s="1" t="n">
        <v>-7.08181968396</v>
      </c>
      <c r="E3189" s="3" t="n">
        <v>3</v>
      </c>
      <c r="F3189" s="2" t="n">
        <v>3</v>
      </c>
      <c r="G3189" s="4" t="n">
        <v>4</v>
      </c>
      <c r="H3189" s="13" t="n"/>
      <c r="I3189" s="15" t="n"/>
      <c r="J3189" s="19" t="n">
        <v>3</v>
      </c>
      <c r="K3189" s="2" t="inlineStr">
        <is>
          <t>marker_171_383402.png</t>
        </is>
      </c>
      <c r="L3189" s="11">
        <f>HYPERLINK("3\1\" &amp; K3189, "Ver Imagen")</f>
        <v/>
      </c>
      <c r="M3189" t="inlineStr">
        <is>
          <t>Moda</t>
        </is>
      </c>
    </row>
    <row r="3190">
      <c r="A3190" t="n">
        <v>3189</v>
      </c>
      <c r="B3190" t="inlineStr">
        <is>
          <t>A-5058__243</t>
        </is>
      </c>
      <c r="C3190" s="1" t="n">
        <v>37.2404025198</v>
      </c>
      <c r="D3190" s="1" t="n">
        <v>-7.08201545899</v>
      </c>
      <c r="E3190" s="3" t="n">
        <v>3</v>
      </c>
      <c r="F3190" s="2" t="n">
        <v>3</v>
      </c>
      <c r="G3190" s="4" t="n">
        <v>4</v>
      </c>
      <c r="H3190" s="13" t="n"/>
      <c r="I3190" s="15" t="n"/>
      <c r="J3190" s="19" t="n">
        <v>3</v>
      </c>
      <c r="K3190" s="2" t="inlineStr">
        <is>
          <t>marker_821_383413.png</t>
        </is>
      </c>
      <c r="L3190" s="11">
        <f>HYPERLINK("3\1\" &amp; K3190, "Ver Imagen")</f>
        <v/>
      </c>
      <c r="M3190" t="inlineStr">
        <is>
          <t>Moda</t>
        </is>
      </c>
    </row>
    <row r="3191">
      <c r="A3191" t="n">
        <v>3190</v>
      </c>
      <c r="B3191" t="inlineStr">
        <is>
          <t>A-5058__244</t>
        </is>
      </c>
      <c r="C3191" s="1" t="n">
        <v>37.2405407295</v>
      </c>
      <c r="D3191" s="1" t="n">
        <v>-7.08222286931</v>
      </c>
      <c r="E3191" s="3" t="n">
        <v>3</v>
      </c>
      <c r="F3191" s="2" t="n">
        <v>3</v>
      </c>
      <c r="G3191" s="4" t="n">
        <v>4</v>
      </c>
      <c r="H3191" s="13" t="n"/>
      <c r="I3191" s="15" t="n"/>
      <c r="J3191" s="19" t="n">
        <v>3</v>
      </c>
      <c r="K3191" s="2" t="inlineStr">
        <is>
          <t>marker_395_383424.png</t>
        </is>
      </c>
      <c r="L3191" s="11">
        <f>HYPERLINK("3\1\" &amp; K3191, "Ver Imagen")</f>
        <v/>
      </c>
      <c r="M3191" t="inlineStr">
        <is>
          <t>Moda</t>
        </is>
      </c>
    </row>
    <row r="3192">
      <c r="A3192" t="n">
        <v>3191</v>
      </c>
      <c r="B3192" t="inlineStr">
        <is>
          <t>A-5058__245</t>
        </is>
      </c>
      <c r="C3192" s="1" t="n">
        <v>37.2406499679</v>
      </c>
      <c r="D3192" s="1" t="n">
        <v>-7.0823876804</v>
      </c>
      <c r="E3192" s="3" t="n">
        <v>3</v>
      </c>
      <c r="F3192" s="2" t="n">
        <v>3</v>
      </c>
      <c r="G3192" s="4" t="n">
        <v>4</v>
      </c>
      <c r="H3192" s="13" t="n"/>
      <c r="I3192" s="15" t="n"/>
      <c r="J3192" s="19" t="n">
        <v>3</v>
      </c>
      <c r="K3192" s="2" t="inlineStr">
        <is>
          <t>marker_885_383440.png</t>
        </is>
      </c>
      <c r="L3192" s="11">
        <f>HYPERLINK("3\1\" &amp; K3192, "Ver Imagen")</f>
        <v/>
      </c>
      <c r="M3192" t="inlineStr">
        <is>
          <t>Moda</t>
        </is>
      </c>
    </row>
    <row r="3193">
      <c r="A3193" t="n">
        <v>3192</v>
      </c>
      <c r="B3193" t="inlineStr">
        <is>
          <t>A-5058__246</t>
        </is>
      </c>
      <c r="C3193" s="1" t="n">
        <v>37.2407953427</v>
      </c>
      <c r="D3193" s="1" t="n">
        <v>-7.08260741973</v>
      </c>
      <c r="E3193" s="3" t="n">
        <v>3</v>
      </c>
      <c r="F3193" s="2" t="n">
        <v>3</v>
      </c>
      <c r="G3193" s="4" t="n">
        <v>4</v>
      </c>
      <c r="H3193" s="13" t="n"/>
      <c r="I3193" s="15" t="n"/>
      <c r="J3193" s="19" t="n">
        <v>3</v>
      </c>
      <c r="K3193" s="2" t="inlineStr">
        <is>
          <t>marker_259_383450.png</t>
        </is>
      </c>
      <c r="L3193" s="11">
        <f>HYPERLINK("3\1\" &amp; K3193, "Ver Imagen")</f>
        <v/>
      </c>
      <c r="M3193" t="inlineStr">
        <is>
          <t>Moda</t>
        </is>
      </c>
    </row>
    <row r="3194">
      <c r="A3194" t="n">
        <v>3193</v>
      </c>
      <c r="B3194" t="inlineStr">
        <is>
          <t>A-5058__248</t>
        </is>
      </c>
      <c r="C3194" s="1" t="n">
        <v>37.2410399058</v>
      </c>
      <c r="D3194" s="1" t="n">
        <v>-7.0829756846</v>
      </c>
      <c r="E3194" s="3" t="n">
        <v>4</v>
      </c>
      <c r="F3194" s="2" t="n">
        <v>3</v>
      </c>
      <c r="G3194" s="4" t="n">
        <v>3</v>
      </c>
      <c r="H3194" s="13" t="n"/>
      <c r="I3194" s="15" t="n"/>
      <c r="J3194" s="19" t="n">
        <v>3</v>
      </c>
      <c r="K3194" s="2" t="inlineStr">
        <is>
          <t>marker_906_383473.png</t>
        </is>
      </c>
      <c r="L3194" s="11">
        <f>HYPERLINK("3\1\" &amp; K3194, "Ver Imagen")</f>
        <v/>
      </c>
      <c r="M3194" t="inlineStr">
        <is>
          <t>Moda</t>
        </is>
      </c>
    </row>
    <row r="3195">
      <c r="A3195" t="n">
        <v>3194</v>
      </c>
      <c r="B3195" t="inlineStr">
        <is>
          <t>A-5058__251</t>
        </is>
      </c>
      <c r="C3195" s="1" t="n">
        <v>37.2414405893</v>
      </c>
      <c r="D3195" s="1" t="n">
        <v>-7.08358667753</v>
      </c>
      <c r="E3195" s="3" t="n">
        <v>3</v>
      </c>
      <c r="F3195" s="2" t="n">
        <v>3</v>
      </c>
      <c r="G3195" s="4" t="n">
        <v>4</v>
      </c>
      <c r="H3195" s="13" t="n"/>
      <c r="I3195" s="15" t="n"/>
      <c r="J3195" s="19" t="n">
        <v>3</v>
      </c>
      <c r="K3195" s="2" t="inlineStr">
        <is>
          <t>marker_200_383532.png</t>
        </is>
      </c>
      <c r="L3195" s="11">
        <f>HYPERLINK("3\1\" &amp; K3195, "Ver Imagen")</f>
        <v/>
      </c>
      <c r="M3195" t="inlineStr">
        <is>
          <t>Moda</t>
        </is>
      </c>
    </row>
    <row r="3196">
      <c r="A3196" t="n">
        <v>3195</v>
      </c>
      <c r="B3196" t="inlineStr">
        <is>
          <t>A-5058__252</t>
        </is>
      </c>
      <c r="C3196" s="1" t="n">
        <v>37.2415607014</v>
      </c>
      <c r="D3196" s="1" t="n">
        <v>-7.08377167865</v>
      </c>
      <c r="E3196" s="3" t="n">
        <v>3</v>
      </c>
      <c r="F3196" s="2" t="n">
        <v>3</v>
      </c>
      <c r="G3196" s="4" t="n">
        <v>4</v>
      </c>
      <c r="H3196" s="13" t="n"/>
      <c r="I3196" s="15" t="n"/>
      <c r="J3196" s="19" t="n">
        <v>3</v>
      </c>
      <c r="K3196" s="2" t="inlineStr">
        <is>
          <t>marker_101_383544.png</t>
        </is>
      </c>
      <c r="L3196" s="11">
        <f>HYPERLINK("3\1\" &amp; K3196, "Ver Imagen")</f>
        <v/>
      </c>
      <c r="M3196" t="inlineStr">
        <is>
          <t>Moda</t>
        </is>
      </c>
    </row>
    <row r="3197">
      <c r="A3197" t="n">
        <v>3196</v>
      </c>
      <c r="B3197" t="inlineStr">
        <is>
          <t>A-5058__255</t>
        </is>
      </c>
      <c r="C3197" s="1" t="n">
        <v>37.2419211377</v>
      </c>
      <c r="D3197" s="1" t="n">
        <v>-7.0843767378</v>
      </c>
      <c r="E3197" s="3" t="n">
        <v>3</v>
      </c>
      <c r="F3197" s="2" t="n">
        <v>3</v>
      </c>
      <c r="G3197" s="4" t="n">
        <v>4</v>
      </c>
      <c r="H3197" s="13" t="n"/>
      <c r="I3197" s="15" t="n"/>
      <c r="J3197" s="19" t="n">
        <v>3</v>
      </c>
      <c r="K3197" s="2" t="inlineStr">
        <is>
          <t>marker_471_383594.png</t>
        </is>
      </c>
      <c r="L3197" s="11">
        <f>HYPERLINK("3\1\" &amp; K3197, "Ver Imagen")</f>
        <v/>
      </c>
      <c r="M3197" t="inlineStr">
        <is>
          <t>Moda</t>
        </is>
      </c>
    </row>
    <row r="3198">
      <c r="A3198" t="n">
        <v>3197</v>
      </c>
      <c r="B3198" t="inlineStr">
        <is>
          <t>A-5058__256</t>
        </is>
      </c>
      <c r="C3198" s="1" t="n">
        <v>37.2420252503</v>
      </c>
      <c r="D3198" s="1" t="n">
        <v>-7.08458609245</v>
      </c>
      <c r="E3198" s="3" t="n">
        <v>3</v>
      </c>
      <c r="F3198" s="2" t="n">
        <v>3</v>
      </c>
      <c r="G3198" s="4" t="n">
        <v>4</v>
      </c>
      <c r="H3198" s="13" t="n"/>
      <c r="I3198" s="15" t="n"/>
      <c r="J3198" s="19" t="n">
        <v>3</v>
      </c>
      <c r="K3198" s="2" t="inlineStr">
        <is>
          <t>marker_799_383608.png</t>
        </is>
      </c>
      <c r="L3198" s="11">
        <f>HYPERLINK("3\1\" &amp; K3198, "Ver Imagen")</f>
        <v/>
      </c>
      <c r="M3198" t="inlineStr">
        <is>
          <t>Moda</t>
        </is>
      </c>
    </row>
    <row r="3199">
      <c r="A3199" t="n">
        <v>3198</v>
      </c>
      <c r="B3199" t="inlineStr">
        <is>
          <t>A-5058__257</t>
        </is>
      </c>
      <c r="C3199" s="1" t="n">
        <v>37.2421172372</v>
      </c>
      <c r="D3199" s="1" t="n">
        <v>-7.08479344656</v>
      </c>
      <c r="E3199" s="3" t="n">
        <v>3</v>
      </c>
      <c r="F3199" s="2" t="n">
        <v>3</v>
      </c>
      <c r="G3199" s="4" t="n">
        <v>4</v>
      </c>
      <c r="H3199" s="13" t="n"/>
      <c r="I3199" s="15" t="n"/>
      <c r="J3199" s="19" t="n">
        <v>3</v>
      </c>
      <c r="K3199" s="2" t="inlineStr">
        <is>
          <t>marker_764_383632.png</t>
        </is>
      </c>
      <c r="L3199" s="11">
        <f>HYPERLINK("3\1\" &amp; K3199, "Ver Imagen")</f>
        <v/>
      </c>
      <c r="M3199" t="inlineStr">
        <is>
          <t>Moda</t>
        </is>
      </c>
    </row>
    <row r="3200">
      <c r="A3200" t="n">
        <v>3199</v>
      </c>
      <c r="B3200" t="inlineStr">
        <is>
          <t>A-5058__258</t>
        </is>
      </c>
      <c r="C3200" s="1" t="n">
        <v>37.2422153357</v>
      </c>
      <c r="D3200" s="1" t="n">
        <v>-7.08504421058</v>
      </c>
      <c r="E3200" s="3" t="n">
        <v>3</v>
      </c>
      <c r="F3200" s="2" t="n">
        <v>3</v>
      </c>
      <c r="G3200" s="4" t="n">
        <v>4</v>
      </c>
      <c r="H3200" s="13" t="n"/>
      <c r="I3200" s="15" t="n"/>
      <c r="J3200" s="19" t="n">
        <v>3</v>
      </c>
      <c r="K3200" s="2" t="inlineStr">
        <is>
          <t>marker_699_383641.png</t>
        </is>
      </c>
      <c r="L3200" s="11">
        <f>HYPERLINK("3\1\" &amp; K3200, "Ver Imagen")</f>
        <v/>
      </c>
      <c r="M3200" t="inlineStr">
        <is>
          <t>Moda</t>
        </is>
      </c>
    </row>
    <row r="3201">
      <c r="A3201" t="n">
        <v>3200</v>
      </c>
      <c r="B3201" t="inlineStr">
        <is>
          <t>A-5058__268</t>
        </is>
      </c>
      <c r="C3201" s="1" t="n">
        <v>37.2428811503</v>
      </c>
      <c r="D3201" s="1" t="n">
        <v>-7.08740092729</v>
      </c>
      <c r="E3201" s="3" t="n">
        <v>4</v>
      </c>
      <c r="F3201" s="2" t="n">
        <v>3</v>
      </c>
      <c r="G3201" s="4" t="n">
        <v>3</v>
      </c>
      <c r="H3201" s="13" t="n"/>
      <c r="I3201" s="15" t="n"/>
      <c r="J3201" s="19" t="n">
        <v>3</v>
      </c>
      <c r="K3201" s="2" t="inlineStr">
        <is>
          <t>marker_788_383894.png</t>
        </is>
      </c>
      <c r="L3201" s="11">
        <f>HYPERLINK("3\1\" &amp; K3201, "Ver Imagen")</f>
        <v/>
      </c>
      <c r="M3201" t="inlineStr">
        <is>
          <t>Moda</t>
        </is>
      </c>
    </row>
    <row r="3202">
      <c r="A3202" t="n">
        <v>3201</v>
      </c>
      <c r="B3202" t="inlineStr">
        <is>
          <t>A-5058__273</t>
        </is>
      </c>
      <c r="C3202" s="1" t="n">
        <v>37.2433021954</v>
      </c>
      <c r="D3202" s="1" t="n">
        <v>-7.0885640155</v>
      </c>
      <c r="E3202" s="3" t="n">
        <v>3</v>
      </c>
      <c r="F3202" s="2" t="n">
        <v>3</v>
      </c>
      <c r="G3202" s="4" t="n">
        <v>4</v>
      </c>
      <c r="H3202" s="13" t="n"/>
      <c r="I3202" s="15" t="n"/>
      <c r="J3202" s="19" t="n">
        <v>3</v>
      </c>
      <c r="K3202" s="2" t="inlineStr">
        <is>
          <t>marker_863_383953.png</t>
        </is>
      </c>
      <c r="L3202" s="11">
        <f>HYPERLINK("3\1\" &amp; K3202, "Ver Imagen")</f>
        <v/>
      </c>
      <c r="M3202" t="inlineStr">
        <is>
          <t>Moda</t>
        </is>
      </c>
    </row>
    <row r="3203">
      <c r="A3203" t="n">
        <v>3202</v>
      </c>
      <c r="B3203" t="inlineStr">
        <is>
          <t>A-5058__299</t>
        </is>
      </c>
      <c r="C3203" s="1" t="n">
        <v>37.2454676902</v>
      </c>
      <c r="D3203" s="1" t="n">
        <v>-7.09445703989</v>
      </c>
      <c r="E3203" s="3" t="n">
        <v>3</v>
      </c>
      <c r="F3203" s="2" t="n">
        <v>3</v>
      </c>
      <c r="G3203" s="4" t="n">
        <v>4</v>
      </c>
      <c r="H3203" s="13" t="n"/>
      <c r="I3203" s="15" t="n"/>
      <c r="J3203" s="19" t="n">
        <v>3</v>
      </c>
      <c r="K3203" s="2" t="inlineStr">
        <is>
          <t>marker_235_384259.png</t>
        </is>
      </c>
      <c r="L3203" s="11">
        <f>HYPERLINK("3\1\" &amp; K3203, "Ver Imagen")</f>
        <v/>
      </c>
      <c r="M3203" t="inlineStr">
        <is>
          <t>Moda</t>
        </is>
      </c>
    </row>
    <row r="3204">
      <c r="A3204" t="n">
        <v>3203</v>
      </c>
      <c r="B3204" t="inlineStr">
        <is>
          <t>A-5058__313</t>
        </is>
      </c>
      <c r="C3204" s="1" t="n">
        <v>37.245877303</v>
      </c>
      <c r="D3204" s="1" t="n">
        <v>-7.09795059117</v>
      </c>
      <c r="E3204" s="3" t="n">
        <v>3</v>
      </c>
      <c r="F3204" s="2" t="n">
        <v>3</v>
      </c>
      <c r="G3204" s="4" t="n">
        <v>4</v>
      </c>
      <c r="H3204" s="13" t="n"/>
      <c r="I3204" s="15" t="n"/>
      <c r="J3204" s="19" t="n">
        <v>3</v>
      </c>
      <c r="K3204" s="2" t="inlineStr">
        <is>
          <t>marker_230_384425.png</t>
        </is>
      </c>
      <c r="L3204" s="11">
        <f>HYPERLINK("3\1\" &amp; K3204, "Ver Imagen")</f>
        <v/>
      </c>
      <c r="M3204" t="inlineStr">
        <is>
          <t>Moda</t>
        </is>
      </c>
    </row>
    <row r="3205">
      <c r="A3205" t="n">
        <v>3204</v>
      </c>
      <c r="B3205" t="inlineStr">
        <is>
          <t>A-5058__315</t>
        </is>
      </c>
      <c r="C3205" s="1" t="n">
        <v>37.246048215</v>
      </c>
      <c r="D3205" s="1" t="n">
        <v>-7.09838606259</v>
      </c>
      <c r="E3205" s="3" t="n">
        <v>3</v>
      </c>
      <c r="F3205" s="2" t="n">
        <v>3</v>
      </c>
      <c r="G3205" s="4" t="n">
        <v>4</v>
      </c>
      <c r="H3205" s="13" t="n"/>
      <c r="I3205" s="15" t="n"/>
      <c r="J3205" s="19" t="n">
        <v>3</v>
      </c>
      <c r="K3205" s="2" t="inlineStr">
        <is>
          <t>marker_752_384450.png</t>
        </is>
      </c>
      <c r="L3205" s="11">
        <f>HYPERLINK("3\1\" &amp; K3205, "Ver Imagen")</f>
        <v/>
      </c>
      <c r="M3205" t="inlineStr">
        <is>
          <t>Moda</t>
        </is>
      </c>
    </row>
    <row r="3206">
      <c r="A3206" t="n">
        <v>3205</v>
      </c>
      <c r="B3206" t="inlineStr">
        <is>
          <t>A-5058__320</t>
        </is>
      </c>
      <c r="C3206" s="1" t="n">
        <v>37.246663766</v>
      </c>
      <c r="D3206" s="1" t="n">
        <v>-7.09943551406</v>
      </c>
      <c r="E3206" s="3" t="n">
        <v>3</v>
      </c>
      <c r="F3206" s="2" t="n">
        <v>3</v>
      </c>
      <c r="G3206" s="4" t="n">
        <v>4</v>
      </c>
      <c r="H3206" s="13" t="n"/>
      <c r="I3206" s="15" t="n"/>
      <c r="J3206" s="19" t="n">
        <v>3</v>
      </c>
      <c r="K3206" s="2" t="inlineStr">
        <is>
          <t>marker_733_384502.png</t>
        </is>
      </c>
      <c r="L3206" s="11">
        <f>HYPERLINK("3\1\" &amp; K3206, "Ver Imagen")</f>
        <v/>
      </c>
      <c r="M3206" t="inlineStr">
        <is>
          <t>Moda</t>
        </is>
      </c>
    </row>
    <row r="3207">
      <c r="A3207" t="n">
        <v>3206</v>
      </c>
      <c r="B3207" t="inlineStr">
        <is>
          <t>A-5058__325</t>
        </is>
      </c>
      <c r="C3207" s="1" t="n">
        <v>37.2473104085</v>
      </c>
      <c r="D3207" s="1" t="n">
        <v>-7.10041770013</v>
      </c>
      <c r="E3207" s="3" t="n">
        <v>3</v>
      </c>
      <c r="F3207" s="2" t="n">
        <v>3</v>
      </c>
      <c r="G3207" s="4" t="n">
        <v>4</v>
      </c>
      <c r="H3207" s="13" t="n"/>
      <c r="I3207" s="15" t="n"/>
      <c r="J3207" s="19" t="n">
        <v>3</v>
      </c>
      <c r="K3207" s="2" t="inlineStr">
        <is>
          <t>marker_309_384561.png</t>
        </is>
      </c>
      <c r="L3207" s="11">
        <f>HYPERLINK("3\1\" &amp; K3207, "Ver Imagen")</f>
        <v/>
      </c>
      <c r="M3207" t="inlineStr">
        <is>
          <t>Moda</t>
        </is>
      </c>
    </row>
    <row r="3208">
      <c r="A3208" t="n">
        <v>3207</v>
      </c>
      <c r="B3208" t="inlineStr">
        <is>
          <t>A-5058__326</t>
        </is>
      </c>
      <c r="C3208" s="1" t="n">
        <v>37.2474411686</v>
      </c>
      <c r="D3208" s="1" t="n">
        <v>-7.10061370905</v>
      </c>
      <c r="E3208" s="3" t="n">
        <v>3</v>
      </c>
      <c r="F3208" s="2" t="n">
        <v>3</v>
      </c>
      <c r="G3208" s="4" t="n">
        <v>4</v>
      </c>
      <c r="H3208" s="13" t="n"/>
      <c r="I3208" s="15" t="n"/>
      <c r="J3208" s="19" t="n">
        <v>3</v>
      </c>
      <c r="K3208" s="2" t="inlineStr">
        <is>
          <t>marker_285_384571.png</t>
        </is>
      </c>
      <c r="L3208" s="11">
        <f>HYPERLINK("3\1\" &amp; K3208, "Ver Imagen")</f>
        <v/>
      </c>
      <c r="M3208" t="inlineStr">
        <is>
          <t>Moda</t>
        </is>
      </c>
    </row>
    <row r="3209">
      <c r="A3209" t="n">
        <v>3208</v>
      </c>
      <c r="B3209" t="inlineStr">
        <is>
          <t>A-5058__328</t>
        </is>
      </c>
      <c r="C3209" s="1" t="n">
        <v>37.2477000462</v>
      </c>
      <c r="D3209" s="1" t="n">
        <v>-7.10099892546</v>
      </c>
      <c r="E3209" s="3" t="n">
        <v>3</v>
      </c>
      <c r="F3209" s="2" t="n">
        <v>3</v>
      </c>
      <c r="G3209" s="4" t="n">
        <v>4</v>
      </c>
      <c r="H3209" s="13" t="n"/>
      <c r="I3209" s="15" t="n"/>
      <c r="J3209" s="19" t="n">
        <v>3</v>
      </c>
      <c r="K3209" s="2" t="inlineStr">
        <is>
          <t>marker_727_384595.png</t>
        </is>
      </c>
      <c r="L3209" s="11">
        <f>HYPERLINK("3\1\" &amp; K3209, "Ver Imagen")</f>
        <v/>
      </c>
      <c r="M3209" t="inlineStr">
        <is>
          <t>Moda</t>
        </is>
      </c>
    </row>
    <row r="3210">
      <c r="A3210" t="n">
        <v>3209</v>
      </c>
      <c r="B3210" t="inlineStr">
        <is>
          <t>A-5058__336</t>
        </is>
      </c>
      <c r="C3210" s="1" t="n">
        <v>37.2489429864</v>
      </c>
      <c r="D3210" s="1" t="n">
        <v>-7.10222034778</v>
      </c>
      <c r="E3210" s="3" t="n">
        <v>3</v>
      </c>
      <c r="F3210" s="2" t="n">
        <v>3</v>
      </c>
      <c r="G3210" s="4" t="n">
        <v>4</v>
      </c>
      <c r="H3210" s="13" t="n"/>
      <c r="I3210" s="15" t="n"/>
      <c r="J3210" s="19" t="n">
        <v>3</v>
      </c>
      <c r="K3210" s="2" t="inlineStr">
        <is>
          <t>marker_373_384714.png</t>
        </is>
      </c>
      <c r="L3210" s="11">
        <f>HYPERLINK("3\1\" &amp; K3210, "Ver Imagen")</f>
        <v/>
      </c>
      <c r="M3210" t="inlineStr">
        <is>
          <t>Moda</t>
        </is>
      </c>
    </row>
    <row r="3211">
      <c r="A3211" t="n">
        <v>3210</v>
      </c>
      <c r="B3211" t="inlineStr">
        <is>
          <t>A-5058__349</t>
        </is>
      </c>
      <c r="C3211" s="1" t="n">
        <v>37.2513356124</v>
      </c>
      <c r="D3211" s="1" t="n">
        <v>-7.10361140574</v>
      </c>
      <c r="E3211" s="3" t="n">
        <v>2</v>
      </c>
      <c r="F3211" s="2" t="n">
        <v>3</v>
      </c>
      <c r="G3211" s="4" t="n">
        <v>3</v>
      </c>
      <c r="H3211" s="13" t="n"/>
      <c r="I3211" s="15" t="n"/>
      <c r="J3211" s="19" t="n">
        <v>3</v>
      </c>
      <c r="K3211" s="2" t="inlineStr">
        <is>
          <t>marker_719_384856.png</t>
        </is>
      </c>
      <c r="L3211" s="11">
        <f>HYPERLINK("3\1\" &amp; K3211, "Ver Imagen")</f>
        <v/>
      </c>
      <c r="M3211" t="inlineStr">
        <is>
          <t>Moda</t>
        </is>
      </c>
    </row>
    <row r="3212">
      <c r="A3212" t="n">
        <v>3211</v>
      </c>
      <c r="B3212" t="inlineStr">
        <is>
          <t>A-5058__350</t>
        </is>
      </c>
      <c r="C3212" s="1" t="n">
        <v>37.2515132078</v>
      </c>
      <c r="D3212" s="1" t="n">
        <v>-7.10372156947</v>
      </c>
      <c r="E3212" s="3" t="n">
        <v>2</v>
      </c>
      <c r="F3212" s="2" t="n">
        <v>3</v>
      </c>
      <c r="G3212" s="4" t="n">
        <v>3</v>
      </c>
      <c r="H3212" s="13" t="n"/>
      <c r="I3212" s="15" t="n"/>
      <c r="J3212" s="19" t="n">
        <v>3</v>
      </c>
      <c r="K3212" s="2" t="inlineStr">
        <is>
          <t>marker_576_384866.png</t>
        </is>
      </c>
      <c r="L3212" s="11">
        <f>HYPERLINK("3\1\" &amp; K3212, "Ver Imagen")</f>
        <v/>
      </c>
      <c r="M3212" t="inlineStr">
        <is>
          <t>Moda</t>
        </is>
      </c>
    </row>
    <row r="3213">
      <c r="A3213" t="n">
        <v>3212</v>
      </c>
      <c r="B3213" t="inlineStr">
        <is>
          <t>A-5058__351</t>
        </is>
      </c>
      <c r="C3213" s="1" t="n">
        <v>37.2516857743</v>
      </c>
      <c r="D3213" s="1" t="n">
        <v>-7.10384224924</v>
      </c>
      <c r="E3213" s="3" t="n">
        <v>2</v>
      </c>
      <c r="F3213" s="2" t="n">
        <v>3</v>
      </c>
      <c r="G3213" s="4" t="n">
        <v>3</v>
      </c>
      <c r="H3213" s="13" t="n"/>
      <c r="I3213" s="15" t="n"/>
      <c r="J3213" s="19" t="n">
        <v>3</v>
      </c>
      <c r="K3213" s="2" t="inlineStr">
        <is>
          <t>marker_159_384878.png</t>
        </is>
      </c>
      <c r="L3213" s="11">
        <f>HYPERLINK("3\1\" &amp; K3213, "Ver Imagen")</f>
        <v/>
      </c>
      <c r="M3213" t="inlineStr">
        <is>
          <t>Moda</t>
        </is>
      </c>
    </row>
    <row r="3214">
      <c r="A3214" t="n">
        <v>3213</v>
      </c>
      <c r="B3214" t="inlineStr">
        <is>
          <t>A-5058__352</t>
        </is>
      </c>
      <c r="C3214" s="1" t="n">
        <v>37.2518552897</v>
      </c>
      <c r="D3214" s="1" t="n">
        <v>-7.10397898333</v>
      </c>
      <c r="E3214" s="3" t="n">
        <v>2</v>
      </c>
      <c r="F3214" s="2" t="n">
        <v>3</v>
      </c>
      <c r="G3214" s="4" t="n">
        <v>3</v>
      </c>
      <c r="H3214" s="13" t="n"/>
      <c r="I3214" s="15" t="n"/>
      <c r="J3214" s="19" t="n">
        <v>3</v>
      </c>
      <c r="K3214" s="2" t="inlineStr">
        <is>
          <t>marker_873_384889.png</t>
        </is>
      </c>
      <c r="L3214" s="11">
        <f>HYPERLINK("3\1\" &amp; K3214, "Ver Imagen")</f>
        <v/>
      </c>
      <c r="M3214" t="inlineStr">
        <is>
          <t>Moda</t>
        </is>
      </c>
    </row>
    <row r="3215">
      <c r="A3215" t="n">
        <v>3214</v>
      </c>
      <c r="B3215" t="inlineStr">
        <is>
          <t>A-5058__353</t>
        </is>
      </c>
      <c r="C3215" s="1" t="n">
        <v>37.2520257153</v>
      </c>
      <c r="D3215" s="1" t="n">
        <v>-7.10413587951</v>
      </c>
      <c r="E3215" s="3" t="n">
        <v>2</v>
      </c>
      <c r="F3215" s="2" t="n">
        <v>3</v>
      </c>
      <c r="G3215" s="4" t="n">
        <v>3</v>
      </c>
      <c r="H3215" s="13" t="n"/>
      <c r="I3215" s="15" t="n"/>
      <c r="J3215" s="19" t="n">
        <v>3</v>
      </c>
      <c r="K3215" s="2" t="inlineStr">
        <is>
          <t>marker_939_384898.png</t>
        </is>
      </c>
      <c r="L3215" s="11">
        <f>HYPERLINK("3\1\" &amp; K3215, "Ver Imagen")</f>
        <v/>
      </c>
      <c r="M3215" t="inlineStr">
        <is>
          <t>Moda</t>
        </is>
      </c>
    </row>
    <row r="3216">
      <c r="A3216" t="n">
        <v>3215</v>
      </c>
      <c r="B3216" t="inlineStr">
        <is>
          <t>A-5058__354</t>
        </is>
      </c>
      <c r="C3216" s="1" t="n">
        <v>37.2521806997</v>
      </c>
      <c r="D3216" s="1" t="n">
        <v>-7.10430227039</v>
      </c>
      <c r="E3216" s="3" t="n">
        <v>2</v>
      </c>
      <c r="F3216" s="2" t="n">
        <v>3</v>
      </c>
      <c r="G3216" s="4" t="n">
        <v>3</v>
      </c>
      <c r="H3216" s="13" t="n"/>
      <c r="I3216" s="15" t="n"/>
      <c r="J3216" s="19" t="n">
        <v>3</v>
      </c>
      <c r="K3216" s="2" t="inlineStr">
        <is>
          <t>marker_783_384907.png</t>
        </is>
      </c>
      <c r="L3216" s="11">
        <f>HYPERLINK("3\1\" &amp; K3216, "Ver Imagen")</f>
        <v/>
      </c>
      <c r="M3216" t="inlineStr">
        <is>
          <t>Moda</t>
        </is>
      </c>
    </row>
    <row r="3217">
      <c r="A3217" t="n">
        <v>3216</v>
      </c>
      <c r="B3217" t="inlineStr">
        <is>
          <t>A-5058__356</t>
        </is>
      </c>
      <c r="C3217" s="1" t="n">
        <v>37.2524664422</v>
      </c>
      <c r="D3217" s="1" t="n">
        <v>-7.10469579191</v>
      </c>
      <c r="E3217" s="3" t="n">
        <v>2</v>
      </c>
      <c r="F3217" s="2" t="n">
        <v>3</v>
      </c>
      <c r="G3217" s="4" t="n">
        <v>3</v>
      </c>
      <c r="H3217" s="13" t="n"/>
      <c r="I3217" s="15" t="n"/>
      <c r="J3217" s="19" t="n">
        <v>3</v>
      </c>
      <c r="K3217" s="2" t="inlineStr">
        <is>
          <t>marker_555_384926.png</t>
        </is>
      </c>
      <c r="L3217" s="11">
        <f>HYPERLINK("3\1\" &amp; K3217, "Ver Imagen")</f>
        <v/>
      </c>
      <c r="M3217" t="inlineStr">
        <is>
          <t>Moda</t>
        </is>
      </c>
    </row>
    <row r="3218">
      <c r="A3218" t="n">
        <v>3217</v>
      </c>
      <c r="B3218" t="inlineStr">
        <is>
          <t>A-5058__357</t>
        </is>
      </c>
      <c r="C3218" s="1" t="n">
        <v>37.2525737259</v>
      </c>
      <c r="D3218" s="1" t="n">
        <v>-7.10488207965</v>
      </c>
      <c r="E3218" s="3" t="n">
        <v>2</v>
      </c>
      <c r="F3218" s="2" t="n">
        <v>3</v>
      </c>
      <c r="G3218" s="4" t="n">
        <v>3</v>
      </c>
      <c r="H3218" s="13" t="n"/>
      <c r="I3218" s="15" t="n"/>
      <c r="J3218" s="19" t="n">
        <v>3</v>
      </c>
      <c r="K3218" s="2" t="inlineStr">
        <is>
          <t>marker_678_384935.png</t>
        </is>
      </c>
      <c r="L3218" s="11">
        <f>HYPERLINK("3\1\" &amp; K3218, "Ver Imagen")</f>
        <v/>
      </c>
      <c r="M3218" t="inlineStr">
        <is>
          <t>Moda</t>
        </is>
      </c>
    </row>
    <row r="3219">
      <c r="A3219" t="n">
        <v>3218</v>
      </c>
      <c r="B3219" t="inlineStr">
        <is>
          <t>A-5058__360</t>
        </is>
      </c>
      <c r="C3219" s="1" t="n">
        <v>37.2528712728</v>
      </c>
      <c r="D3219" s="1" t="n">
        <v>-7.10554316704</v>
      </c>
      <c r="E3219" s="3" t="n">
        <v>2</v>
      </c>
      <c r="F3219" s="2" t="n">
        <v>3</v>
      </c>
      <c r="G3219" s="4" t="n">
        <v>3</v>
      </c>
      <c r="H3219" s="13" t="n"/>
      <c r="I3219" s="15" t="n"/>
      <c r="J3219" s="19" t="n">
        <v>3</v>
      </c>
      <c r="K3219" s="2" t="inlineStr">
        <is>
          <t>marker_988_384972.png</t>
        </is>
      </c>
      <c r="L3219" s="11">
        <f>HYPERLINK("3\1\" &amp; K3219, "Ver Imagen")</f>
        <v/>
      </c>
      <c r="M3219" t="inlineStr">
        <is>
          <t>Moda</t>
        </is>
      </c>
    </row>
    <row r="3220">
      <c r="A3220" t="n">
        <v>3219</v>
      </c>
      <c r="B3220" t="inlineStr">
        <is>
          <t>A-5058__362</t>
        </is>
      </c>
      <c r="C3220" s="1" t="n">
        <v>37.2530551442</v>
      </c>
      <c r="D3220" s="1" t="n">
        <v>-7.10601794642</v>
      </c>
      <c r="E3220" s="3" t="n">
        <v>2</v>
      </c>
      <c r="F3220" s="2" t="n">
        <v>3</v>
      </c>
      <c r="G3220" s="4" t="n">
        <v>3</v>
      </c>
      <c r="H3220" s="13" t="n"/>
      <c r="I3220" s="15" t="n"/>
      <c r="J3220" s="19" t="n">
        <v>3</v>
      </c>
      <c r="K3220" s="2" t="inlineStr">
        <is>
          <t>marker_206_384992.png</t>
        </is>
      </c>
      <c r="L3220" s="11">
        <f>HYPERLINK("3\1\" &amp; K3220, "Ver Imagen")</f>
        <v/>
      </c>
      <c r="M3220" t="inlineStr">
        <is>
          <t>Moda</t>
        </is>
      </c>
    </row>
    <row r="3221">
      <c r="A3221" t="n">
        <v>3220</v>
      </c>
      <c r="B3221" t="inlineStr">
        <is>
          <t>A-5058__364</t>
        </is>
      </c>
      <c r="C3221" s="1" t="n">
        <v>37.2532390245</v>
      </c>
      <c r="D3221" s="1" t="n">
        <v>-7.10646588723</v>
      </c>
      <c r="E3221" s="3" t="n">
        <v>2</v>
      </c>
      <c r="F3221" s="2" t="n">
        <v>3</v>
      </c>
      <c r="G3221" s="4" t="n">
        <v>3</v>
      </c>
      <c r="H3221" s="13" t="n"/>
      <c r="I3221" s="15" t="n"/>
      <c r="J3221" s="19" t="n">
        <v>3</v>
      </c>
      <c r="K3221" s="2" t="inlineStr">
        <is>
          <t>marker_359_385013.png</t>
        </is>
      </c>
      <c r="L3221" s="11">
        <f>HYPERLINK("3\1\" &amp; K3221, "Ver Imagen")</f>
        <v/>
      </c>
      <c r="M3221" t="inlineStr">
        <is>
          <t>Moda</t>
        </is>
      </c>
    </row>
    <row r="3222">
      <c r="A3222" t="n">
        <v>3221</v>
      </c>
      <c r="B3222" t="inlineStr">
        <is>
          <t>A-5058__365</t>
        </is>
      </c>
      <c r="C3222" s="1" t="n">
        <v>37.2533426838</v>
      </c>
      <c r="D3222" s="1" t="n">
        <v>-7.10668342296</v>
      </c>
      <c r="E3222" s="3" t="n">
        <v>2</v>
      </c>
      <c r="F3222" s="2" t="n">
        <v>3</v>
      </c>
      <c r="G3222" s="4" t="n">
        <v>3</v>
      </c>
      <c r="H3222" s="13" t="n"/>
      <c r="I3222" s="15" t="n"/>
      <c r="J3222" s="19" t="n">
        <v>3</v>
      </c>
      <c r="K3222" s="2" t="inlineStr">
        <is>
          <t>marker_820_385025.png</t>
        </is>
      </c>
      <c r="L3222" s="11">
        <f>HYPERLINK("3\1\" &amp; K3222, "Ver Imagen")</f>
        <v/>
      </c>
      <c r="M3222" t="inlineStr">
        <is>
          <t>Moda</t>
        </is>
      </c>
    </row>
    <row r="3223">
      <c r="A3223" t="n">
        <v>3222</v>
      </c>
      <c r="B3223" t="inlineStr">
        <is>
          <t>A-5058__373</t>
        </is>
      </c>
      <c r="C3223" s="1" t="n">
        <v>37.2543967112</v>
      </c>
      <c r="D3223" s="1" t="n">
        <v>-7.10821221289</v>
      </c>
      <c r="E3223" s="3" t="n">
        <v>2</v>
      </c>
      <c r="F3223" s="2" t="n">
        <v>3</v>
      </c>
      <c r="G3223" s="4" t="n">
        <v>3</v>
      </c>
      <c r="H3223" s="13" t="n"/>
      <c r="I3223" s="15" t="n"/>
      <c r="J3223" s="19" t="n">
        <v>3</v>
      </c>
      <c r="K3223" s="2" t="inlineStr">
        <is>
          <t>marker_987_385107.png</t>
        </is>
      </c>
      <c r="L3223" s="11">
        <f>HYPERLINK("3\1\" &amp; K3223, "Ver Imagen")</f>
        <v/>
      </c>
      <c r="M3223" t="inlineStr">
        <is>
          <t>Moda</t>
        </is>
      </c>
    </row>
    <row r="3224">
      <c r="A3224" t="n">
        <v>3223</v>
      </c>
      <c r="B3224" t="inlineStr">
        <is>
          <t>A-5058__374</t>
        </is>
      </c>
      <c r="C3224" s="1" t="n">
        <v>37.2545172938</v>
      </c>
      <c r="D3224" s="1" t="n">
        <v>-7.10837643034</v>
      </c>
      <c r="E3224" s="3" t="n">
        <v>2</v>
      </c>
      <c r="F3224" s="2" t="n">
        <v>3</v>
      </c>
      <c r="G3224" s="4" t="n">
        <v>3</v>
      </c>
      <c r="H3224" s="13" t="n"/>
      <c r="I3224" s="15" t="n"/>
      <c r="J3224" s="19" t="n">
        <v>3</v>
      </c>
      <c r="K3224" s="2" t="inlineStr">
        <is>
          <t>marker_545_385119.png</t>
        </is>
      </c>
      <c r="L3224" s="11">
        <f>HYPERLINK("3\1\" &amp; K3224, "Ver Imagen")</f>
        <v/>
      </c>
      <c r="M3224" t="inlineStr">
        <is>
          <t>Moda</t>
        </is>
      </c>
    </row>
    <row r="3225">
      <c r="A3225" t="n">
        <v>3224</v>
      </c>
      <c r="B3225" t="inlineStr">
        <is>
          <t>A-5058__375</t>
        </is>
      </c>
      <c r="C3225" s="1" t="n">
        <v>37.2546643514</v>
      </c>
      <c r="D3225" s="1" t="n">
        <v>-7.10856201771</v>
      </c>
      <c r="E3225" s="3" t="n">
        <v>4</v>
      </c>
      <c r="F3225" s="2" t="n">
        <v>3</v>
      </c>
      <c r="G3225" s="4" t="n">
        <v>3</v>
      </c>
      <c r="H3225" s="13" t="n"/>
      <c r="I3225" s="15" t="n"/>
      <c r="J3225" s="19" t="n">
        <v>3</v>
      </c>
      <c r="K3225" s="2" t="inlineStr">
        <is>
          <t>marker_973_385130.png</t>
        </is>
      </c>
      <c r="L3225" s="11">
        <f>HYPERLINK("3\1\" &amp; K3225, "Ver Imagen")</f>
        <v/>
      </c>
      <c r="M3225" t="inlineStr">
        <is>
          <t>Moda</t>
        </is>
      </c>
    </row>
    <row r="3226">
      <c r="A3226" t="n">
        <v>3225</v>
      </c>
      <c r="B3226" t="inlineStr">
        <is>
          <t>A-5058__380</t>
        </is>
      </c>
      <c r="C3226" s="1" t="n">
        <v>37.255102501</v>
      </c>
      <c r="D3226" s="1" t="n">
        <v>-7.10940814389</v>
      </c>
      <c r="E3226" s="3" t="n">
        <v>3</v>
      </c>
      <c r="F3226" s="2" t="n">
        <v>3</v>
      </c>
      <c r="G3226" s="4" t="n">
        <v>4</v>
      </c>
      <c r="H3226" s="13" t="n"/>
      <c r="I3226" s="15" t="n"/>
      <c r="J3226" s="19" t="n">
        <v>3</v>
      </c>
      <c r="K3226" s="2" t="inlineStr">
        <is>
          <t>marker_672_385197.png</t>
        </is>
      </c>
      <c r="L3226" s="11">
        <f>HYPERLINK("3\1\" &amp; K3226, "Ver Imagen")</f>
        <v/>
      </c>
      <c r="M3226" t="inlineStr">
        <is>
          <t>Moda</t>
        </is>
      </c>
    </row>
    <row r="3227">
      <c r="A3227" t="n">
        <v>3226</v>
      </c>
      <c r="B3227" t="inlineStr">
        <is>
          <t>A-5058__381</t>
        </is>
      </c>
      <c r="C3227" s="1" t="n">
        <v>37.2551864279</v>
      </c>
      <c r="D3227" s="1" t="n">
        <v>-7.10966743512</v>
      </c>
      <c r="E3227" s="3" t="n">
        <v>3</v>
      </c>
      <c r="F3227" s="2" t="n">
        <v>3</v>
      </c>
      <c r="G3227" s="4" t="n">
        <v>4</v>
      </c>
      <c r="H3227" s="13" t="n"/>
      <c r="I3227" s="15" t="n"/>
      <c r="J3227" s="19" t="n">
        <v>3</v>
      </c>
      <c r="K3227" s="2" t="inlineStr">
        <is>
          <t>marker_498_385220.png</t>
        </is>
      </c>
      <c r="L3227" s="11">
        <f>HYPERLINK("3\1\" &amp; K3227, "Ver Imagen")</f>
        <v/>
      </c>
      <c r="M3227" t="inlineStr">
        <is>
          <t>Moda</t>
        </is>
      </c>
    </row>
    <row r="3228">
      <c r="A3228" t="n">
        <v>3227</v>
      </c>
      <c r="B3228" t="inlineStr">
        <is>
          <t>A-5058__382</t>
        </is>
      </c>
      <c r="C3228" s="1" t="n">
        <v>37.2552516039</v>
      </c>
      <c r="D3228" s="1" t="n">
        <v>-7.10989809575</v>
      </c>
      <c r="E3228" s="3" t="n">
        <v>3</v>
      </c>
      <c r="F3228" s="2" t="n">
        <v>3</v>
      </c>
      <c r="G3228" s="4" t="n">
        <v>4</v>
      </c>
      <c r="H3228" s="13" t="n"/>
      <c r="I3228" s="15" t="n"/>
      <c r="J3228" s="19" t="n">
        <v>3</v>
      </c>
      <c r="K3228" s="2" t="inlineStr">
        <is>
          <t>marker_356_385231.png</t>
        </is>
      </c>
      <c r="L3228" s="11">
        <f>HYPERLINK("3\1\" &amp; K3228, "Ver Imagen")</f>
        <v/>
      </c>
      <c r="M3228" t="inlineStr">
        <is>
          <t>Moda</t>
        </is>
      </c>
    </row>
    <row r="3229">
      <c r="A3229" t="n">
        <v>3228</v>
      </c>
      <c r="B3229" t="inlineStr">
        <is>
          <t>A-5058__384</t>
        </is>
      </c>
      <c r="C3229" s="1" t="n">
        <v>37.2553487117</v>
      </c>
      <c r="D3229" s="1" t="n">
        <v>-7.11040217566</v>
      </c>
      <c r="E3229" s="3" t="n">
        <v>3</v>
      </c>
      <c r="F3229" s="2" t="n">
        <v>3</v>
      </c>
      <c r="G3229" s="4" t="n">
        <v>4</v>
      </c>
      <c r="H3229" s="13" t="n"/>
      <c r="I3229" s="15" t="n"/>
      <c r="J3229" s="19" t="n">
        <v>3</v>
      </c>
      <c r="K3229" s="2" t="inlineStr">
        <is>
          <t>marker_782_385249.png</t>
        </is>
      </c>
      <c r="L3229" s="11">
        <f>HYPERLINK("3\1\" &amp; K3229, "Ver Imagen")</f>
        <v/>
      </c>
      <c r="M3229" t="inlineStr">
        <is>
          <t>Moda</t>
        </is>
      </c>
    </row>
    <row r="3230">
      <c r="A3230" t="n">
        <v>3229</v>
      </c>
      <c r="B3230" t="inlineStr">
        <is>
          <t>A-5058__389</t>
        </is>
      </c>
      <c r="C3230" s="1" t="n">
        <v>37.2553233</v>
      </c>
      <c r="D3230" s="1" t="n">
        <v>-7.11166386755</v>
      </c>
      <c r="E3230" s="3" t="n">
        <v>3</v>
      </c>
      <c r="F3230" s="2" t="n">
        <v>3</v>
      </c>
      <c r="G3230" s="4" t="n">
        <v>4</v>
      </c>
      <c r="H3230" s="13" t="n"/>
      <c r="I3230" s="15" t="n"/>
      <c r="J3230" s="19" t="n">
        <v>3</v>
      </c>
      <c r="K3230" s="2" t="inlineStr">
        <is>
          <t>marker_236_385295.png</t>
        </is>
      </c>
      <c r="L3230" s="11">
        <f>HYPERLINK("3\1\" &amp; K3230, "Ver Imagen")</f>
        <v/>
      </c>
      <c r="M3230" t="inlineStr">
        <is>
          <t>Moda</t>
        </is>
      </c>
    </row>
    <row r="3231">
      <c r="A3231" t="n">
        <v>3230</v>
      </c>
      <c r="B3231" t="inlineStr">
        <is>
          <t>A-5058__394</t>
        </is>
      </c>
      <c r="C3231" s="1" t="n">
        <v>37.255055113</v>
      </c>
      <c r="D3231" s="1" t="n">
        <v>-7.1129129728</v>
      </c>
      <c r="E3231" s="3" t="n">
        <v>3</v>
      </c>
      <c r="F3231" s="2" t="n">
        <v>3</v>
      </c>
      <c r="G3231" s="4" t="n">
        <v>4</v>
      </c>
      <c r="H3231" s="13" t="n"/>
      <c r="I3231" s="15" t="n"/>
      <c r="J3231" s="19" t="n">
        <v>3</v>
      </c>
      <c r="K3231" s="2" t="inlineStr">
        <is>
          <t>marker_216_385342.png</t>
        </is>
      </c>
      <c r="L3231" s="11">
        <f>HYPERLINK("3\1\" &amp; K3231, "Ver Imagen")</f>
        <v/>
      </c>
      <c r="M3231" t="inlineStr">
        <is>
          <t>Moda</t>
        </is>
      </c>
    </row>
    <row r="3232">
      <c r="A3232" t="n">
        <v>3231</v>
      </c>
      <c r="B3232" t="inlineStr">
        <is>
          <t>A-5058__397</t>
        </is>
      </c>
      <c r="C3232" s="1" t="n">
        <v>37.2548767549</v>
      </c>
      <c r="D3232" s="1" t="n">
        <v>-7.1136299006</v>
      </c>
      <c r="E3232" s="3" t="n">
        <v>3</v>
      </c>
      <c r="F3232" s="2" t="n">
        <v>3</v>
      </c>
      <c r="G3232" s="4" t="n">
        <v>4</v>
      </c>
      <c r="H3232" s="13" t="n"/>
      <c r="I3232" s="15" t="n"/>
      <c r="J3232" s="19" t="n">
        <v>3</v>
      </c>
      <c r="K3232" s="2" t="inlineStr">
        <is>
          <t>marker_150_385391.png</t>
        </is>
      </c>
      <c r="L3232" s="11">
        <f>HYPERLINK("3\1\" &amp; K3232, "Ver Imagen")</f>
        <v/>
      </c>
      <c r="M3232" t="inlineStr">
        <is>
          <t>Moda</t>
        </is>
      </c>
    </row>
    <row r="3233">
      <c r="A3233" t="n">
        <v>3232</v>
      </c>
      <c r="B3233" t="inlineStr">
        <is>
          <t>A-5058__399</t>
        </is>
      </c>
      <c r="C3233" s="1" t="n">
        <v>37.2547577748</v>
      </c>
      <c r="D3233" s="1" t="n">
        <v>-7.1141100892</v>
      </c>
      <c r="E3233" s="3" t="n">
        <v>3</v>
      </c>
      <c r="F3233" s="2" t="n">
        <v>3</v>
      </c>
      <c r="G3233" s="4" t="n">
        <v>4</v>
      </c>
      <c r="H3233" s="13" t="n"/>
      <c r="I3233" s="15" t="n"/>
      <c r="J3233" s="19" t="n">
        <v>3</v>
      </c>
      <c r="K3233" s="2" t="inlineStr">
        <is>
          <t>marker_115_385419.png</t>
        </is>
      </c>
      <c r="L3233" s="11">
        <f>HYPERLINK("3\1\" &amp; K3233, "Ver Imagen")</f>
        <v/>
      </c>
      <c r="M3233" t="inlineStr">
        <is>
          <t>Moda</t>
        </is>
      </c>
    </row>
    <row r="3234">
      <c r="A3234" t="n">
        <v>3233</v>
      </c>
      <c r="B3234" t="inlineStr">
        <is>
          <t>A-5058__402</t>
        </is>
      </c>
      <c r="C3234" s="1" t="n">
        <v>37.2546167025</v>
      </c>
      <c r="D3234" s="1" t="n">
        <v>-7.11481933008</v>
      </c>
      <c r="E3234" s="3" t="n">
        <v>3</v>
      </c>
      <c r="F3234" s="2" t="n">
        <v>3</v>
      </c>
      <c r="G3234" s="4" t="n">
        <v>4</v>
      </c>
      <c r="H3234" s="13" t="n"/>
      <c r="I3234" s="15" t="n"/>
      <c r="J3234" s="19" t="n">
        <v>3</v>
      </c>
      <c r="K3234" s="2" t="inlineStr">
        <is>
          <t>marker_182_388517.png</t>
        </is>
      </c>
      <c r="L3234" s="11">
        <f>HYPERLINK("3\1\" &amp; K3234, "Ver Imagen")</f>
        <v/>
      </c>
      <c r="M3234" t="inlineStr">
        <is>
          <t>Moda</t>
        </is>
      </c>
    </row>
    <row r="3235">
      <c r="A3235" t="n">
        <v>3234</v>
      </c>
      <c r="B3235" t="inlineStr">
        <is>
          <t>A-5058__404</t>
        </is>
      </c>
      <c r="C3235" s="1" t="n">
        <v>37.2545731678</v>
      </c>
      <c r="D3235" s="1" t="n">
        <v>-7.11533837826</v>
      </c>
      <c r="E3235" s="3" t="n">
        <v>3</v>
      </c>
      <c r="F3235" s="2" t="n">
        <v>3</v>
      </c>
      <c r="G3235" s="4" t="n">
        <v>4</v>
      </c>
      <c r="H3235" s="13" t="n"/>
      <c r="I3235" s="15" t="n"/>
      <c r="J3235" s="19" t="n">
        <v>3</v>
      </c>
      <c r="K3235" s="2" t="inlineStr">
        <is>
          <t>marker_847_388576.png</t>
        </is>
      </c>
      <c r="L3235" s="11">
        <f>HYPERLINK("3\1\" &amp; K3235, "Ver Imagen")</f>
        <v/>
      </c>
      <c r="M3235" t="inlineStr">
        <is>
          <t>Moda</t>
        </is>
      </c>
    </row>
    <row r="3236">
      <c r="A3236" t="n">
        <v>3235</v>
      </c>
      <c r="B3236" t="inlineStr">
        <is>
          <t>A-5058__405</t>
        </is>
      </c>
      <c r="C3236" s="1" t="n">
        <v>37.2545736808</v>
      </c>
      <c r="D3236" s="1" t="n">
        <v>-7.11558915008</v>
      </c>
      <c r="E3236" s="3" t="n">
        <v>3</v>
      </c>
      <c r="F3236" s="2" t="n">
        <v>3</v>
      </c>
      <c r="G3236" s="4" t="n">
        <v>4</v>
      </c>
      <c r="H3236" s="13" t="n"/>
      <c r="I3236" s="15" t="n"/>
      <c r="J3236" s="19" t="n">
        <v>3</v>
      </c>
      <c r="K3236" s="2" t="inlineStr">
        <is>
          <t>marker_156_388587.png</t>
        </is>
      </c>
      <c r="L3236" s="11">
        <f>HYPERLINK("3\1\" &amp; K3236, "Ver Imagen")</f>
        <v/>
      </c>
      <c r="M3236" t="inlineStr">
        <is>
          <t>Moda</t>
        </is>
      </c>
    </row>
    <row r="3237">
      <c r="A3237" t="n">
        <v>3236</v>
      </c>
      <c r="B3237" t="inlineStr">
        <is>
          <t>A-5058__412</t>
        </is>
      </c>
      <c r="C3237" s="1" t="n">
        <v>37.2549887292</v>
      </c>
      <c r="D3237" s="1" t="n">
        <v>-7.11722761293</v>
      </c>
      <c r="E3237" s="3" t="n">
        <v>2</v>
      </c>
      <c r="F3237" s="2" t="n">
        <v>3</v>
      </c>
      <c r="G3237" s="4" t="n">
        <v>3</v>
      </c>
      <c r="H3237" s="13" t="n"/>
      <c r="I3237" s="15" t="n"/>
      <c r="J3237" s="19" t="n">
        <v>3</v>
      </c>
      <c r="K3237" s="2" t="inlineStr">
        <is>
          <t>marker_459_388669.png</t>
        </is>
      </c>
      <c r="L3237" s="11">
        <f>HYPERLINK("3\1\" &amp; K3237, "Ver Imagen")</f>
        <v/>
      </c>
      <c r="M3237" t="inlineStr">
        <is>
          <t>Moda</t>
        </is>
      </c>
    </row>
    <row r="3238">
      <c r="A3238" t="n">
        <v>3237</v>
      </c>
      <c r="B3238" t="inlineStr">
        <is>
          <t>A-5058__414</t>
        </is>
      </c>
      <c r="C3238" s="1" t="n">
        <v>37.255240676</v>
      </c>
      <c r="D3238" s="1" t="n">
        <v>-7.11764093193</v>
      </c>
      <c r="E3238" s="3" t="n">
        <v>3</v>
      </c>
      <c r="F3238" s="2" t="n">
        <v>3</v>
      </c>
      <c r="G3238" s="4" t="n">
        <v>4</v>
      </c>
      <c r="H3238" s="13" t="n"/>
      <c r="I3238" s="15" t="n"/>
      <c r="J3238" s="19" t="n">
        <v>3</v>
      </c>
      <c r="K3238" s="2" t="inlineStr">
        <is>
          <t>marker_501_388688.png</t>
        </is>
      </c>
      <c r="L3238" s="11">
        <f>HYPERLINK("3\1\" &amp; K3238, "Ver Imagen")</f>
        <v/>
      </c>
      <c r="M3238" t="inlineStr">
        <is>
          <t>Moda</t>
        </is>
      </c>
    </row>
    <row r="3239">
      <c r="A3239" t="n">
        <v>3238</v>
      </c>
      <c r="B3239" t="inlineStr">
        <is>
          <t>A-5058__416</t>
        </is>
      </c>
      <c r="C3239" s="1" t="n">
        <v>37.2555144071</v>
      </c>
      <c r="D3239" s="1" t="n">
        <v>-7.11797058293</v>
      </c>
      <c r="E3239" s="3" t="n">
        <v>3</v>
      </c>
      <c r="F3239" s="2" t="n">
        <v>3</v>
      </c>
      <c r="G3239" s="4" t="n">
        <v>4</v>
      </c>
      <c r="H3239" s="13" t="n"/>
      <c r="I3239" s="15" t="n"/>
      <c r="J3239" s="19" t="n">
        <v>3</v>
      </c>
      <c r="K3239" s="2" t="inlineStr">
        <is>
          <t>marker_897_388705.png</t>
        </is>
      </c>
      <c r="L3239" s="11">
        <f>HYPERLINK("3\1\" &amp; K3239, "Ver Imagen")</f>
        <v/>
      </c>
      <c r="M3239" t="inlineStr">
        <is>
          <t>Moda</t>
        </is>
      </c>
    </row>
    <row r="3240">
      <c r="A3240" t="n">
        <v>3239</v>
      </c>
      <c r="B3240" t="inlineStr">
        <is>
          <t>A-5058__418</t>
        </is>
      </c>
      <c r="C3240" s="1" t="n">
        <v>37.2558360239</v>
      </c>
      <c r="D3240" s="1" t="n">
        <v>-7.11826311321</v>
      </c>
      <c r="E3240" s="3" t="n">
        <v>3</v>
      </c>
      <c r="F3240" s="2" t="n">
        <v>3</v>
      </c>
      <c r="G3240" s="4" t="n">
        <v>4</v>
      </c>
      <c r="H3240" s="13" t="n"/>
      <c r="I3240" s="15" t="n"/>
      <c r="J3240" s="19" t="n">
        <v>3</v>
      </c>
      <c r="K3240" s="2" t="inlineStr">
        <is>
          <t>marker_584_388726.png</t>
        </is>
      </c>
      <c r="L3240" s="11">
        <f>HYPERLINK("3\1\" &amp; K3240, "Ver Imagen")</f>
        <v/>
      </c>
      <c r="M3240" t="inlineStr">
        <is>
          <t>Moda</t>
        </is>
      </c>
    </row>
    <row r="3241">
      <c r="A3241" t="n">
        <v>3240</v>
      </c>
      <c r="B3241" t="inlineStr">
        <is>
          <t>A-5058__419</t>
        </is>
      </c>
      <c r="C3241" s="1" t="n">
        <v>37.2560226945</v>
      </c>
      <c r="D3241" s="1" t="n">
        <v>-7.11840734464</v>
      </c>
      <c r="E3241" s="3" t="n">
        <v>3</v>
      </c>
      <c r="F3241" s="2" t="n">
        <v>3</v>
      </c>
      <c r="G3241" s="4" t="n">
        <v>4</v>
      </c>
      <c r="H3241" s="13" t="n"/>
      <c r="I3241" s="15" t="n"/>
      <c r="J3241" s="19" t="n">
        <v>3</v>
      </c>
      <c r="K3241" s="2" t="inlineStr">
        <is>
          <t>marker_591_388745.png</t>
        </is>
      </c>
      <c r="L3241" s="11">
        <f>HYPERLINK("3\1\" &amp; K3241, "Ver Imagen")</f>
        <v/>
      </c>
      <c r="M3241" t="inlineStr">
        <is>
          <t>Moda</t>
        </is>
      </c>
    </row>
    <row r="3242">
      <c r="A3242" t="n">
        <v>3241</v>
      </c>
      <c r="B3242" t="inlineStr">
        <is>
          <t>A-5058__420</t>
        </is>
      </c>
      <c r="C3242" s="1" t="n">
        <v>37.2562156141</v>
      </c>
      <c r="D3242" s="1" t="n">
        <v>-7.11855037413</v>
      </c>
      <c r="E3242" s="3" t="n">
        <v>3</v>
      </c>
      <c r="F3242" s="2" t="n">
        <v>3</v>
      </c>
      <c r="G3242" s="4" t="n">
        <v>4</v>
      </c>
      <c r="H3242" s="13" t="n"/>
      <c r="I3242" s="15" t="n"/>
      <c r="J3242" s="19" t="n">
        <v>3</v>
      </c>
      <c r="K3242" s="2" t="inlineStr">
        <is>
          <t>marker_418_388754.png</t>
        </is>
      </c>
      <c r="L3242" s="11">
        <f>HYPERLINK("3\1\" &amp; K3242, "Ver Imagen")</f>
        <v/>
      </c>
      <c r="M3242" t="inlineStr">
        <is>
          <t>Moda</t>
        </is>
      </c>
    </row>
    <row r="3243">
      <c r="A3243" t="n">
        <v>3242</v>
      </c>
      <c r="B3243" t="inlineStr">
        <is>
          <t>A-5058__421</t>
        </is>
      </c>
      <c r="C3243" s="1" t="n">
        <v>37.2564004982</v>
      </c>
      <c r="D3243" s="1" t="n">
        <v>-7.11868624146</v>
      </c>
      <c r="E3243" s="3" t="n">
        <v>3</v>
      </c>
      <c r="F3243" s="2" t="n">
        <v>3</v>
      </c>
      <c r="G3243" s="4" t="n">
        <v>4</v>
      </c>
      <c r="H3243" s="13" t="n"/>
      <c r="I3243" s="15" t="n"/>
      <c r="J3243" s="19" t="n">
        <v>3</v>
      </c>
      <c r="K3243" s="2" t="inlineStr">
        <is>
          <t>marker_537_388763.png</t>
        </is>
      </c>
      <c r="L3243" s="11">
        <f>HYPERLINK("3\1\" &amp; K3243, "Ver Imagen")</f>
        <v/>
      </c>
      <c r="M3243" t="inlineStr">
        <is>
          <t>Moda</t>
        </is>
      </c>
    </row>
    <row r="3244">
      <c r="A3244" t="n">
        <v>3243</v>
      </c>
      <c r="B3244" t="inlineStr">
        <is>
          <t>A-5058__425</t>
        </is>
      </c>
      <c r="C3244" s="1" t="n">
        <v>37.2570787285</v>
      </c>
      <c r="D3244" s="1" t="n">
        <v>-7.11918777327</v>
      </c>
      <c r="E3244" s="3" t="n">
        <v>3</v>
      </c>
      <c r="F3244" s="2" t="n">
        <v>3</v>
      </c>
      <c r="G3244" s="4" t="n">
        <v>4</v>
      </c>
      <c r="H3244" s="13" t="n"/>
      <c r="I3244" s="15" t="n"/>
      <c r="J3244" s="19" t="n">
        <v>3</v>
      </c>
      <c r="K3244" s="2" t="inlineStr">
        <is>
          <t>marker_850_388803.png</t>
        </is>
      </c>
      <c r="L3244" s="11">
        <f>HYPERLINK("3\1\" &amp; K3244, "Ver Imagen")</f>
        <v/>
      </c>
      <c r="M3244" t="inlineStr">
        <is>
          <t>Moda</t>
        </is>
      </c>
    </row>
    <row r="3245">
      <c r="A3245" t="n">
        <v>3244</v>
      </c>
      <c r="B3245" t="inlineStr">
        <is>
          <t>A-5058__427</t>
        </is>
      </c>
      <c r="C3245" s="1" t="n">
        <v>37.2574276684</v>
      </c>
      <c r="D3245" s="1" t="n">
        <v>-7.1194409721</v>
      </c>
      <c r="E3245" s="3" t="n">
        <v>3</v>
      </c>
      <c r="F3245" s="2" t="n">
        <v>3</v>
      </c>
      <c r="G3245" s="4" t="n">
        <v>4</v>
      </c>
      <c r="H3245" s="13" t="n"/>
      <c r="I3245" s="15" t="n"/>
      <c r="J3245" s="19" t="n">
        <v>3</v>
      </c>
      <c r="K3245" s="2" t="inlineStr">
        <is>
          <t>marker_198_388825.png</t>
        </is>
      </c>
      <c r="L3245" s="11">
        <f>HYPERLINK("3\1\" &amp; K3245, "Ver Imagen")</f>
        <v/>
      </c>
      <c r="M3245" t="inlineStr">
        <is>
          <t>Moda</t>
        </is>
      </c>
    </row>
    <row r="3246">
      <c r="A3246" t="n">
        <v>3245</v>
      </c>
      <c r="B3246" t="inlineStr">
        <is>
          <t>A-5058__428</t>
        </is>
      </c>
      <c r="C3246" s="1" t="n">
        <v>37.2576231461</v>
      </c>
      <c r="D3246" s="1" t="n">
        <v>-7.11958157832</v>
      </c>
      <c r="E3246" s="3" t="n">
        <v>3</v>
      </c>
      <c r="F3246" s="2" t="n">
        <v>3</v>
      </c>
      <c r="G3246" s="4" t="n">
        <v>4</v>
      </c>
      <c r="H3246" s="13" t="n"/>
      <c r="I3246" s="15" t="n"/>
      <c r="J3246" s="19" t="n">
        <v>3</v>
      </c>
      <c r="K3246" s="2" t="inlineStr">
        <is>
          <t>marker_767_388834.png</t>
        </is>
      </c>
      <c r="L3246" s="11">
        <f>HYPERLINK("3\1\" &amp; K3246, "Ver Imagen")</f>
        <v/>
      </c>
      <c r="M3246" t="inlineStr">
        <is>
          <t>Moda</t>
        </is>
      </c>
    </row>
    <row r="3247">
      <c r="A3247" t="n">
        <v>3246</v>
      </c>
      <c r="B3247" t="inlineStr">
        <is>
          <t>A-5058__430</t>
        </is>
      </c>
      <c r="C3247" s="1" t="n">
        <v>37.2579374011</v>
      </c>
      <c r="D3247" s="1" t="n">
        <v>-7.11982860737</v>
      </c>
      <c r="E3247" s="3" t="n">
        <v>3</v>
      </c>
      <c r="F3247" s="2" t="n">
        <v>3</v>
      </c>
      <c r="G3247" s="4" t="n">
        <v>4</v>
      </c>
      <c r="H3247" s="13" t="n"/>
      <c r="I3247" s="15" t="n"/>
      <c r="J3247" s="19" t="n">
        <v>3</v>
      </c>
      <c r="K3247" s="2" t="inlineStr">
        <is>
          <t>marker_560_388851.png</t>
        </is>
      </c>
      <c r="L3247" s="11">
        <f>HYPERLINK("3\1\" &amp; K3247, "Ver Imagen")</f>
        <v/>
      </c>
      <c r="M3247" t="inlineStr">
        <is>
          <t>Moda</t>
        </is>
      </c>
    </row>
    <row r="3248">
      <c r="A3248" t="n">
        <v>3247</v>
      </c>
      <c r="B3248" t="inlineStr">
        <is>
          <t>A-5058__431</t>
        </is>
      </c>
      <c r="C3248" s="1" t="n">
        <v>37.2581058569</v>
      </c>
      <c r="D3248" s="1" t="n">
        <v>-7.1199917777</v>
      </c>
      <c r="E3248" s="3" t="n">
        <v>3</v>
      </c>
      <c r="F3248" s="2" t="n">
        <v>3</v>
      </c>
      <c r="G3248" s="4" t="n">
        <v>4</v>
      </c>
      <c r="H3248" s="13" t="n"/>
      <c r="I3248" s="15" t="n"/>
      <c r="J3248" s="19" t="n">
        <v>3</v>
      </c>
      <c r="K3248" s="2" t="inlineStr">
        <is>
          <t>marker_719_388873.png</t>
        </is>
      </c>
      <c r="L3248" s="11">
        <f>HYPERLINK("3\1\" &amp; K3248, "Ver Imagen")</f>
        <v/>
      </c>
      <c r="M3248" t="inlineStr">
        <is>
          <t>Moda</t>
        </is>
      </c>
    </row>
    <row r="3249">
      <c r="A3249" t="n">
        <v>3248</v>
      </c>
      <c r="B3249" t="inlineStr">
        <is>
          <t>A-5058__432</t>
        </is>
      </c>
      <c r="C3249" s="1" t="n">
        <v>37.2582533972</v>
      </c>
      <c r="D3249" s="1" t="n">
        <v>-7.12016394724</v>
      </c>
      <c r="E3249" s="3" t="n">
        <v>3</v>
      </c>
      <c r="F3249" s="2" t="n">
        <v>3</v>
      </c>
      <c r="G3249" s="4" t="n">
        <v>4</v>
      </c>
      <c r="H3249" s="13" t="n"/>
      <c r="I3249" s="15" t="n"/>
      <c r="J3249" s="19" t="n">
        <v>3</v>
      </c>
      <c r="K3249" s="2" t="inlineStr">
        <is>
          <t>marker_985_388883.png</t>
        </is>
      </c>
      <c r="L3249" s="11">
        <f>HYPERLINK("3\1\" &amp; K3249, "Ver Imagen")</f>
        <v/>
      </c>
      <c r="M3249" t="inlineStr">
        <is>
          <t>Moda</t>
        </is>
      </c>
    </row>
    <row r="3250">
      <c r="A3250" t="n">
        <v>3249</v>
      </c>
      <c r="B3250" t="inlineStr">
        <is>
          <t>A-5058__435</t>
        </is>
      </c>
      <c r="C3250" s="1" t="n">
        <v>37.258583598</v>
      </c>
      <c r="D3250" s="1" t="n">
        <v>-7.12079651616</v>
      </c>
      <c r="E3250" s="3" t="n">
        <v>3</v>
      </c>
      <c r="F3250" s="2" t="n">
        <v>3</v>
      </c>
      <c r="G3250" s="4" t="n">
        <v>4</v>
      </c>
      <c r="H3250" s="13" t="n"/>
      <c r="I3250" s="15" t="n"/>
      <c r="J3250" s="19" t="n">
        <v>3</v>
      </c>
      <c r="K3250" s="2" t="inlineStr">
        <is>
          <t>marker_783_388911.png</t>
        </is>
      </c>
      <c r="L3250" s="11">
        <f>HYPERLINK("3\1\" &amp; K3250, "Ver Imagen")</f>
        <v/>
      </c>
      <c r="M3250" t="inlineStr">
        <is>
          <t>Moda</t>
        </is>
      </c>
    </row>
    <row r="3251">
      <c r="A3251" t="n">
        <v>3250</v>
      </c>
      <c r="B3251" t="inlineStr">
        <is>
          <t>A-5058__436</t>
        </is>
      </c>
      <c r="C3251" s="1" t="n">
        <v>37.2586491397</v>
      </c>
      <c r="D3251" s="1" t="n">
        <v>-7.1210368944</v>
      </c>
      <c r="E3251" s="3" t="n">
        <v>3</v>
      </c>
      <c r="F3251" s="2" t="n">
        <v>3</v>
      </c>
      <c r="G3251" s="4" t="n">
        <v>4</v>
      </c>
      <c r="H3251" s="13" t="n"/>
      <c r="I3251" s="15" t="n"/>
      <c r="J3251" s="19" t="n">
        <v>3</v>
      </c>
      <c r="K3251" s="2" t="inlineStr">
        <is>
          <t>marker_454_388921.png</t>
        </is>
      </c>
      <c r="L3251" s="11">
        <f>HYPERLINK("3\1\" &amp; K3251, "Ver Imagen")</f>
        <v/>
      </c>
      <c r="M3251" t="inlineStr">
        <is>
          <t>Moda</t>
        </is>
      </c>
    </row>
    <row r="3252">
      <c r="A3252" t="n">
        <v>3251</v>
      </c>
      <c r="B3252" t="inlineStr">
        <is>
          <t>A-5058__437</t>
        </is>
      </c>
      <c r="C3252" s="1" t="n">
        <v>37.258696889</v>
      </c>
      <c r="D3252" s="1" t="n">
        <v>-7.12130680702</v>
      </c>
      <c r="E3252" s="3" t="n">
        <v>3</v>
      </c>
      <c r="F3252" s="2" t="n">
        <v>3</v>
      </c>
      <c r="G3252" s="4" t="n">
        <v>4</v>
      </c>
      <c r="H3252" s="13" t="n"/>
      <c r="I3252" s="15" t="n"/>
      <c r="J3252" s="19" t="n">
        <v>3</v>
      </c>
      <c r="K3252" s="2" t="inlineStr">
        <is>
          <t>marker_267_388936.png</t>
        </is>
      </c>
      <c r="L3252" s="11">
        <f>HYPERLINK("3\1\" &amp; K3252, "Ver Imagen")</f>
        <v/>
      </c>
      <c r="M3252" t="inlineStr">
        <is>
          <t>Moda</t>
        </is>
      </c>
    </row>
    <row r="3253">
      <c r="A3253" t="n">
        <v>3252</v>
      </c>
      <c r="B3253" t="inlineStr">
        <is>
          <t>A-5058__438</t>
        </is>
      </c>
      <c r="C3253" s="1" t="n">
        <v>37.2587257375</v>
      </c>
      <c r="D3253" s="1" t="n">
        <v>-7.1215500688</v>
      </c>
      <c r="E3253" s="3" t="n">
        <v>3</v>
      </c>
      <c r="F3253" s="2" t="n">
        <v>3</v>
      </c>
      <c r="G3253" s="4" t="n">
        <v>4</v>
      </c>
      <c r="H3253" s="13" t="n"/>
      <c r="I3253" s="15" t="n"/>
      <c r="J3253" s="19" t="n">
        <v>3</v>
      </c>
      <c r="K3253" s="2" t="inlineStr">
        <is>
          <t>marker_460_388945.png</t>
        </is>
      </c>
      <c r="L3253" s="11">
        <f>HYPERLINK("3\1\" &amp; K3253, "Ver Imagen")</f>
        <v/>
      </c>
      <c r="M3253" t="inlineStr">
        <is>
          <t>Moda</t>
        </is>
      </c>
    </row>
    <row r="3254">
      <c r="A3254" t="n">
        <v>3253</v>
      </c>
      <c r="B3254" t="inlineStr">
        <is>
          <t>A-5058__439</t>
        </is>
      </c>
      <c r="C3254" s="1" t="n">
        <v>37.2587465829</v>
      </c>
      <c r="D3254" s="1" t="n">
        <v>-7.12176825016</v>
      </c>
      <c r="E3254" s="3" t="n">
        <v>3</v>
      </c>
      <c r="F3254" s="2" t="n">
        <v>3</v>
      </c>
      <c r="G3254" s="4" t="n">
        <v>4</v>
      </c>
      <c r="H3254" s="13" t="n"/>
      <c r="I3254" s="15" t="n"/>
      <c r="J3254" s="19" t="n">
        <v>3</v>
      </c>
      <c r="K3254" s="2" t="inlineStr">
        <is>
          <t>marker_273_388959.png</t>
        </is>
      </c>
      <c r="L3254" s="11">
        <f>HYPERLINK("3\1\" &amp; K3254, "Ver Imagen")</f>
        <v/>
      </c>
      <c r="M3254" t="inlineStr">
        <is>
          <t>Moda</t>
        </is>
      </c>
    </row>
    <row r="3255">
      <c r="A3255" t="n">
        <v>3254</v>
      </c>
      <c r="B3255" t="inlineStr">
        <is>
          <t>A-5058__454</t>
        </is>
      </c>
      <c r="C3255" s="1" t="n">
        <v>37.2592293113</v>
      </c>
      <c r="D3255" s="1" t="n">
        <v>-7.12551717628</v>
      </c>
      <c r="E3255" s="3" t="n">
        <v>3</v>
      </c>
      <c r="F3255" s="2" t="n">
        <v>3</v>
      </c>
      <c r="G3255" s="4" t="n">
        <v>4</v>
      </c>
      <c r="H3255" s="13" t="n"/>
      <c r="I3255" s="15" t="n"/>
      <c r="J3255" s="19" t="n">
        <v>3</v>
      </c>
      <c r="K3255" s="2" t="inlineStr">
        <is>
          <t>marker_495_389131.png</t>
        </is>
      </c>
      <c r="L3255" s="11">
        <f>HYPERLINK("3\1\" &amp; K3255, "Ver Imagen")</f>
        <v/>
      </c>
      <c r="M3255" t="inlineStr">
        <is>
          <t>Moda</t>
        </is>
      </c>
    </row>
    <row r="3256">
      <c r="A3256" t="n">
        <v>3255</v>
      </c>
      <c r="B3256" t="inlineStr">
        <is>
          <t>A-5058__455</t>
        </is>
      </c>
      <c r="C3256" s="1" t="n">
        <v>37.2593335805</v>
      </c>
      <c r="D3256" s="1" t="n">
        <v>-7.12573988662</v>
      </c>
      <c r="E3256" s="3" t="n">
        <v>3</v>
      </c>
      <c r="F3256" s="2" t="n">
        <v>3</v>
      </c>
      <c r="G3256" s="4" t="n">
        <v>4</v>
      </c>
      <c r="H3256" s="13" t="n"/>
      <c r="I3256" s="15" t="n"/>
      <c r="J3256" s="19" t="n">
        <v>3</v>
      </c>
      <c r="K3256" s="2" t="inlineStr">
        <is>
          <t>marker_579_389140.png</t>
        </is>
      </c>
      <c r="L3256" s="11">
        <f>HYPERLINK("3\1\" &amp; K3256, "Ver Imagen")</f>
        <v/>
      </c>
      <c r="M3256" t="inlineStr">
        <is>
          <t>Moda</t>
        </is>
      </c>
    </row>
    <row r="3257">
      <c r="A3257" t="n">
        <v>3256</v>
      </c>
      <c r="B3257" t="inlineStr">
        <is>
          <t>A-5058__462</t>
        </is>
      </c>
      <c r="C3257" s="1" t="n">
        <v>37.2603526803</v>
      </c>
      <c r="D3257" s="1" t="n">
        <v>-7.12695015865</v>
      </c>
      <c r="E3257" s="3" t="n">
        <v>3</v>
      </c>
      <c r="F3257" s="2" t="n">
        <v>3</v>
      </c>
      <c r="G3257" s="4" t="n">
        <v>4</v>
      </c>
      <c r="H3257" s="13" t="n"/>
      <c r="I3257" s="15" t="n"/>
      <c r="J3257" s="19" t="n">
        <v>3</v>
      </c>
      <c r="K3257" s="2" t="inlineStr">
        <is>
          <t>marker_324_389333.png</t>
        </is>
      </c>
      <c r="L3257" s="11">
        <f>HYPERLINK("3\1\" &amp; K3257, "Ver Imagen")</f>
        <v/>
      </c>
      <c r="M3257" t="inlineStr">
        <is>
          <t>Moda</t>
        </is>
      </c>
    </row>
    <row r="3258">
      <c r="A3258" t="n">
        <v>3257</v>
      </c>
      <c r="B3258" t="inlineStr">
        <is>
          <t>A-5058__464</t>
        </is>
      </c>
      <c r="C3258" s="1" t="n">
        <v>37.2606466485</v>
      </c>
      <c r="D3258" s="1" t="n">
        <v>-7.12726327641</v>
      </c>
      <c r="E3258" s="3" t="n">
        <v>3</v>
      </c>
      <c r="F3258" s="2" t="n">
        <v>3</v>
      </c>
      <c r="G3258" s="4" t="n">
        <v>4</v>
      </c>
      <c r="H3258" s="13" t="n"/>
      <c r="I3258" s="15" t="n"/>
      <c r="J3258" s="19" t="n">
        <v>3</v>
      </c>
      <c r="K3258" s="2" t="inlineStr">
        <is>
          <t>marker_345_389350.png</t>
        </is>
      </c>
      <c r="L3258" s="11">
        <f>HYPERLINK("3\1\" &amp; K3258, "Ver Imagen")</f>
        <v/>
      </c>
      <c r="M3258" t="inlineStr">
        <is>
          <t>Moda</t>
        </is>
      </c>
    </row>
    <row r="3259">
      <c r="A3259" t="n">
        <v>3258</v>
      </c>
      <c r="B3259" t="inlineStr">
        <is>
          <t>A-5058__465</t>
        </is>
      </c>
      <c r="C3259" s="1" t="n">
        <v>37.2607913092</v>
      </c>
      <c r="D3259" s="1" t="n">
        <v>-7.12744974224</v>
      </c>
      <c r="E3259" s="3" t="n">
        <v>3</v>
      </c>
      <c r="F3259" s="2" t="n">
        <v>3</v>
      </c>
      <c r="G3259" s="4" t="n">
        <v>4</v>
      </c>
      <c r="H3259" s="13" t="n"/>
      <c r="I3259" s="15" t="n"/>
      <c r="J3259" s="19" t="n">
        <v>3</v>
      </c>
      <c r="K3259" s="2" t="inlineStr">
        <is>
          <t>marker_705_389360.png</t>
        </is>
      </c>
      <c r="L3259" s="11">
        <f>HYPERLINK("3\1\" &amp; K3259, "Ver Imagen")</f>
        <v/>
      </c>
      <c r="M3259" t="inlineStr">
        <is>
          <t>Moda</t>
        </is>
      </c>
    </row>
    <row r="3260">
      <c r="A3260" t="n">
        <v>3259</v>
      </c>
      <c r="B3260" t="inlineStr">
        <is>
          <t>A-5058__466</t>
        </is>
      </c>
      <c r="C3260" s="1" t="n">
        <v>37.2609126394</v>
      </c>
      <c r="D3260" s="1" t="n">
        <v>-7.1276561012</v>
      </c>
      <c r="E3260" s="3" t="n">
        <v>3</v>
      </c>
      <c r="F3260" s="2" t="n">
        <v>3</v>
      </c>
      <c r="G3260" s="4" t="n">
        <v>4</v>
      </c>
      <c r="H3260" s="13" t="n"/>
      <c r="I3260" s="15" t="n"/>
      <c r="J3260" s="19" t="n">
        <v>3</v>
      </c>
      <c r="K3260" s="2" t="inlineStr">
        <is>
          <t>marker_420_389368.png</t>
        </is>
      </c>
      <c r="L3260" s="11">
        <f>HYPERLINK("3\1\" &amp; K3260, "Ver Imagen")</f>
        <v/>
      </c>
      <c r="M3260" t="inlineStr">
        <is>
          <t>Moda</t>
        </is>
      </c>
    </row>
    <row r="3261">
      <c r="A3261" t="n">
        <v>3260</v>
      </c>
      <c r="B3261" t="inlineStr">
        <is>
          <t>A-5058__467</t>
        </is>
      </c>
      <c r="C3261" s="1" t="n">
        <v>37.2610098312</v>
      </c>
      <c r="D3261" s="1" t="n">
        <v>-7.12790315885</v>
      </c>
      <c r="E3261" s="3" t="n">
        <v>3</v>
      </c>
      <c r="F3261" s="2" t="n">
        <v>3</v>
      </c>
      <c r="G3261" s="4" t="n">
        <v>4</v>
      </c>
      <c r="H3261" s="13" t="n"/>
      <c r="I3261" s="15" t="n"/>
      <c r="J3261" s="19" t="n">
        <v>3</v>
      </c>
      <c r="K3261" s="2" t="inlineStr">
        <is>
          <t>marker_924_389377.png</t>
        </is>
      </c>
      <c r="L3261" s="11">
        <f>HYPERLINK("3\1\" &amp; K3261, "Ver Imagen")</f>
        <v/>
      </c>
      <c r="M3261" t="inlineStr">
        <is>
          <t>Moda</t>
        </is>
      </c>
    </row>
    <row r="3262">
      <c r="A3262" t="n">
        <v>3261</v>
      </c>
      <c r="B3262" t="inlineStr">
        <is>
          <t>A-5058__470</t>
        </is>
      </c>
      <c r="C3262" s="1" t="n">
        <v>37.2610870142</v>
      </c>
      <c r="D3262" s="1" t="n">
        <v>-7.12865370949</v>
      </c>
      <c r="E3262" s="3" t="n">
        <v>3</v>
      </c>
      <c r="F3262" s="2" t="n">
        <v>3</v>
      </c>
      <c r="G3262" s="4" t="n">
        <v>4</v>
      </c>
      <c r="H3262" s="13" t="n"/>
      <c r="I3262" s="15" t="n"/>
      <c r="J3262" s="19" t="n">
        <v>3</v>
      </c>
      <c r="K3262" s="2" t="inlineStr">
        <is>
          <t>marker_137_389404.png</t>
        </is>
      </c>
      <c r="L3262" s="11">
        <f>HYPERLINK("3\1\" &amp; K3262, "Ver Imagen")</f>
        <v/>
      </c>
      <c r="M3262" t="inlineStr">
        <is>
          <t>Moda</t>
        </is>
      </c>
    </row>
    <row r="3263">
      <c r="A3263" t="n">
        <v>3262</v>
      </c>
      <c r="B3263" t="inlineStr">
        <is>
          <t>A-495__10</t>
        </is>
      </c>
      <c r="C3263" s="1" t="n">
        <v>37.4439802268</v>
      </c>
      <c r="D3263" s="1" t="n">
        <v>-7.09794997392</v>
      </c>
      <c r="E3263" s="3" t="n">
        <v>4</v>
      </c>
      <c r="F3263" s="2" t="n">
        <v>3</v>
      </c>
      <c r="G3263" s="4" t="n">
        <v>3</v>
      </c>
      <c r="H3263" s="13" t="n"/>
      <c r="I3263" s="15" t="n"/>
      <c r="J3263" s="19" t="n">
        <v>3</v>
      </c>
      <c r="K3263" s="2" t="inlineStr">
        <is>
          <t>marker_389_381162.png</t>
        </is>
      </c>
      <c r="L3263" s="11">
        <f>HYPERLINK("3\1\" &amp; K3263, "Ver Imagen")</f>
        <v/>
      </c>
      <c r="M3263" t="inlineStr">
        <is>
          <t>Moda</t>
        </is>
      </c>
    </row>
    <row r="3264">
      <c r="A3264" t="n">
        <v>3263</v>
      </c>
      <c r="B3264" t="inlineStr">
        <is>
          <t>A-495__54</t>
        </is>
      </c>
      <c r="C3264" s="1" t="n">
        <v>37.4401418106</v>
      </c>
      <c r="D3264" s="1" t="n">
        <v>-7.0879476845</v>
      </c>
      <c r="E3264" s="3" t="n">
        <v>4</v>
      </c>
      <c r="F3264" s="2" t="n">
        <v>3</v>
      </c>
      <c r="G3264" s="4" t="n">
        <v>3</v>
      </c>
      <c r="H3264" s="13" t="n"/>
      <c r="I3264" s="15" t="n"/>
      <c r="J3264" s="19" t="n">
        <v>3</v>
      </c>
      <c r="K3264" s="2" t="inlineStr">
        <is>
          <t>marker_122_381653.png</t>
        </is>
      </c>
      <c r="L3264" s="11">
        <f>HYPERLINK("3\1\" &amp; K3264, "Ver Imagen")</f>
        <v/>
      </c>
      <c r="M3264" t="inlineStr">
        <is>
          <t>Moda</t>
        </is>
      </c>
    </row>
    <row r="3265">
      <c r="A3265" t="n">
        <v>3264</v>
      </c>
      <c r="B3265" t="inlineStr">
        <is>
          <t>A-495_1__192</t>
        </is>
      </c>
      <c r="C3265" s="1" t="n">
        <v>37.4842250189</v>
      </c>
      <c r="D3265" s="1" t="n">
        <v>-7.13014750602</v>
      </c>
      <c r="E3265" s="3" t="n">
        <v>4</v>
      </c>
      <c r="F3265" s="2" t="n">
        <v>3</v>
      </c>
      <c r="G3265" s="4" t="n">
        <v>3</v>
      </c>
      <c r="H3265" s="13" t="n"/>
      <c r="I3265" s="15" t="n"/>
      <c r="J3265" s="19" t="n">
        <v>3</v>
      </c>
      <c r="K3265" s="2" t="inlineStr">
        <is>
          <t>marker_297_383710.png</t>
        </is>
      </c>
      <c r="L3265" s="11">
        <f>HYPERLINK("3\1\" &amp; K3265, "Ver Imagen")</f>
        <v/>
      </c>
      <c r="M3265" t="inlineStr">
        <is>
          <t>Moda</t>
        </is>
      </c>
    </row>
    <row r="3266">
      <c r="A3266" t="n">
        <v>3265</v>
      </c>
      <c r="B3266" t="inlineStr">
        <is>
          <t>A-495_1__191</t>
        </is>
      </c>
      <c r="C3266" s="1" t="n">
        <v>37.4840701163</v>
      </c>
      <c r="D3266" s="1" t="n">
        <v>-7.1300039346</v>
      </c>
      <c r="E3266" s="3" t="n">
        <v>4</v>
      </c>
      <c r="F3266" s="2" t="n">
        <v>3</v>
      </c>
      <c r="G3266" s="4" t="n">
        <v>3</v>
      </c>
      <c r="H3266" s="13" t="n"/>
      <c r="I3266" s="15" t="n"/>
      <c r="J3266" s="19" t="n">
        <v>3</v>
      </c>
      <c r="K3266" s="2" t="inlineStr">
        <is>
          <t>marker_783_383719.png</t>
        </is>
      </c>
      <c r="L3266" s="11">
        <f>HYPERLINK("3\1\" &amp; K3266, "Ver Imagen")</f>
        <v/>
      </c>
      <c r="M3266" t="inlineStr">
        <is>
          <t>Moda</t>
        </is>
      </c>
    </row>
    <row r="3267">
      <c r="A3267" t="n">
        <v>3266</v>
      </c>
      <c r="B3267" t="inlineStr">
        <is>
          <t>A-495_1__190</t>
        </is>
      </c>
      <c r="C3267" s="1" t="n">
        <v>37.4839095974</v>
      </c>
      <c r="D3267" s="1" t="n">
        <v>-7.12983663106</v>
      </c>
      <c r="E3267" s="3" t="n">
        <v>4</v>
      </c>
      <c r="F3267" s="2" t="n">
        <v>3</v>
      </c>
      <c r="G3267" s="4" t="n">
        <v>3</v>
      </c>
      <c r="H3267" s="13" t="n"/>
      <c r="I3267" s="15" t="n"/>
      <c r="J3267" s="19" t="n">
        <v>3</v>
      </c>
      <c r="K3267" s="2" t="inlineStr">
        <is>
          <t>marker_440_383727.png</t>
        </is>
      </c>
      <c r="L3267" s="11">
        <f>HYPERLINK("3\1\" &amp; K3267, "Ver Imagen")</f>
        <v/>
      </c>
      <c r="M3267" t="inlineStr">
        <is>
          <t>Moda</t>
        </is>
      </c>
    </row>
    <row r="3268">
      <c r="A3268" t="n">
        <v>3267</v>
      </c>
      <c r="B3268" t="inlineStr">
        <is>
          <t>A-495_1__185</t>
        </is>
      </c>
      <c r="C3268" s="1" t="n">
        <v>37.4831488861</v>
      </c>
      <c r="D3268" s="1" t="n">
        <v>-7.12904573503</v>
      </c>
      <c r="E3268" s="3" t="n">
        <v>3</v>
      </c>
      <c r="F3268" s="2" t="n">
        <v>3</v>
      </c>
      <c r="G3268" s="4" t="n">
        <v>2</v>
      </c>
      <c r="H3268" s="13" t="n"/>
      <c r="I3268" s="15" t="n"/>
      <c r="J3268" s="19" t="n">
        <v>3</v>
      </c>
      <c r="K3268" s="2" t="inlineStr">
        <is>
          <t>marker_470_383775.png</t>
        </is>
      </c>
      <c r="L3268" s="11">
        <f>HYPERLINK("3\1\" &amp; K3268, "Ver Imagen")</f>
        <v/>
      </c>
      <c r="M3268" t="inlineStr">
        <is>
          <t>Moda</t>
        </is>
      </c>
    </row>
    <row r="3269">
      <c r="A3269" t="n">
        <v>3268</v>
      </c>
      <c r="B3269" t="inlineStr">
        <is>
          <t>A-495_1__174</t>
        </is>
      </c>
      <c r="C3269" s="1" t="n">
        <v>37.4811420707</v>
      </c>
      <c r="D3269" s="1" t="n">
        <v>-7.12785697274</v>
      </c>
      <c r="E3269" s="3" t="n">
        <v>3</v>
      </c>
      <c r="F3269" s="2" t="n">
        <v>3</v>
      </c>
      <c r="G3269" s="4" t="n">
        <v>2</v>
      </c>
      <c r="H3269" s="13" t="n"/>
      <c r="I3269" s="15" t="n"/>
      <c r="J3269" s="19" t="n">
        <v>3</v>
      </c>
      <c r="K3269" s="2" t="inlineStr">
        <is>
          <t>marker_533_383952.png</t>
        </is>
      </c>
      <c r="L3269" s="11">
        <f>HYPERLINK("3\1\" &amp; K3269, "Ver Imagen")</f>
        <v/>
      </c>
      <c r="M3269" t="inlineStr">
        <is>
          <t>Moda</t>
        </is>
      </c>
    </row>
    <row r="3270">
      <c r="A3270" t="n">
        <v>3269</v>
      </c>
      <c r="B3270" t="inlineStr">
        <is>
          <t>A-495_1__172</t>
        </is>
      </c>
      <c r="C3270" s="1" t="n">
        <v>37.4807413984</v>
      </c>
      <c r="D3270" s="1" t="n">
        <v>-7.12776216302</v>
      </c>
      <c r="E3270" s="3" t="n">
        <v>4</v>
      </c>
      <c r="F3270" s="2" t="n">
        <v>3</v>
      </c>
      <c r="G3270" s="4" t="n">
        <v>3</v>
      </c>
      <c r="H3270" s="13" t="n"/>
      <c r="I3270" s="15" t="n"/>
      <c r="J3270" s="19" t="n">
        <v>3</v>
      </c>
      <c r="K3270" s="2" t="inlineStr">
        <is>
          <t>marker_988_383968.png</t>
        </is>
      </c>
      <c r="L3270" s="11">
        <f>HYPERLINK("3\1\" &amp; K3270, "Ver Imagen")</f>
        <v/>
      </c>
      <c r="M3270" t="inlineStr">
        <is>
          <t>Moda</t>
        </is>
      </c>
    </row>
    <row r="3271">
      <c r="A3271" t="n">
        <v>3270</v>
      </c>
      <c r="B3271" t="inlineStr">
        <is>
          <t>A-495_1__167</t>
        </is>
      </c>
      <c r="C3271" s="1" t="n">
        <v>37.4797564562</v>
      </c>
      <c r="D3271" s="1" t="n">
        <v>-7.1279470455</v>
      </c>
      <c r="E3271" s="3" t="n">
        <v>4</v>
      </c>
      <c r="F3271" s="2" t="n">
        <v>3</v>
      </c>
      <c r="G3271" s="4" t="n">
        <v>3</v>
      </c>
      <c r="H3271" s="13" t="n"/>
      <c r="I3271" s="15" t="n"/>
      <c r="J3271" s="19" t="n">
        <v>3</v>
      </c>
      <c r="K3271" s="2" t="inlineStr">
        <is>
          <t>marker_647_384019.png</t>
        </is>
      </c>
      <c r="L3271" s="11">
        <f>HYPERLINK("3\1\" &amp; K3271, "Ver Imagen")</f>
        <v/>
      </c>
      <c r="M3271" t="inlineStr">
        <is>
          <t>Moda</t>
        </is>
      </c>
    </row>
    <row r="3272">
      <c r="A3272" t="n">
        <v>3271</v>
      </c>
      <c r="B3272" t="inlineStr">
        <is>
          <t>A-495_1__166</t>
        </is>
      </c>
      <c r="C3272" s="1" t="n">
        <v>37.4795188799</v>
      </c>
      <c r="D3272" s="1" t="n">
        <v>-7.12800270825</v>
      </c>
      <c r="E3272" s="3" t="n">
        <v>4</v>
      </c>
      <c r="F3272" s="2" t="n">
        <v>3</v>
      </c>
      <c r="G3272" s="4" t="n">
        <v>3</v>
      </c>
      <c r="H3272" s="13" t="n"/>
      <c r="I3272" s="15" t="n"/>
      <c r="J3272" s="19" t="n">
        <v>3</v>
      </c>
      <c r="K3272" s="2" t="inlineStr">
        <is>
          <t>marker_120_384029.png</t>
        </is>
      </c>
      <c r="L3272" s="11">
        <f>HYPERLINK("3\1\" &amp; K3272, "Ver Imagen")</f>
        <v/>
      </c>
      <c r="M3272" t="inlineStr">
        <is>
          <t>Moda</t>
        </is>
      </c>
    </row>
    <row r="3273">
      <c r="A3273" t="n">
        <v>3272</v>
      </c>
      <c r="B3273" t="inlineStr">
        <is>
          <t>A-495_1__164</t>
        </is>
      </c>
      <c r="C3273" s="1" t="n">
        <v>37.4791468558</v>
      </c>
      <c r="D3273" s="1" t="n">
        <v>-7.12800545995</v>
      </c>
      <c r="E3273" s="3" t="n">
        <v>3</v>
      </c>
      <c r="F3273" s="2" t="n">
        <v>3</v>
      </c>
      <c r="G3273" s="4" t="n">
        <v>4</v>
      </c>
      <c r="H3273" s="13" t="n"/>
      <c r="I3273" s="15" t="n"/>
      <c r="J3273" s="19" t="n">
        <v>3</v>
      </c>
      <c r="K3273" s="2" t="inlineStr">
        <is>
          <t>marker_166_384046.png</t>
        </is>
      </c>
      <c r="L3273" s="11">
        <f>HYPERLINK("3\1\" &amp; K3273, "Ver Imagen")</f>
        <v/>
      </c>
      <c r="M3273" t="inlineStr">
        <is>
          <t>Moda</t>
        </is>
      </c>
    </row>
    <row r="3274">
      <c r="A3274" t="n">
        <v>3273</v>
      </c>
      <c r="B3274" t="inlineStr">
        <is>
          <t>A-495_1__149</t>
        </is>
      </c>
      <c r="C3274" s="1" t="n">
        <v>37.4767542726</v>
      </c>
      <c r="D3274" s="1" t="n">
        <v>-7.12582845875</v>
      </c>
      <c r="E3274" s="3" t="n">
        <v>4</v>
      </c>
      <c r="F3274" s="2" t="n">
        <v>3</v>
      </c>
      <c r="G3274" s="4" t="n">
        <v>3</v>
      </c>
      <c r="H3274" s="13" t="n"/>
      <c r="I3274" s="15" t="n"/>
      <c r="J3274" s="19" t="n">
        <v>3</v>
      </c>
      <c r="K3274" s="2" t="inlineStr">
        <is>
          <t>marker_638_384251.png</t>
        </is>
      </c>
      <c r="L3274" s="11">
        <f>HYPERLINK("3\1\" &amp; K3274, "Ver Imagen")</f>
        <v/>
      </c>
      <c r="M3274" t="inlineStr">
        <is>
          <t>Moda</t>
        </is>
      </c>
    </row>
    <row r="3275">
      <c r="A3275" t="n">
        <v>3274</v>
      </c>
      <c r="B3275" t="inlineStr">
        <is>
          <t>A-495_1__148</t>
        </is>
      </c>
      <c r="C3275" s="1" t="n">
        <v>37.4765533577</v>
      </c>
      <c r="D3275" s="1" t="n">
        <v>-7.12577284559</v>
      </c>
      <c r="E3275" s="3" t="n">
        <v>4</v>
      </c>
      <c r="F3275" s="2" t="n">
        <v>3</v>
      </c>
      <c r="G3275" s="4" t="n">
        <v>3</v>
      </c>
      <c r="H3275" s="13" t="n"/>
      <c r="I3275" s="15" t="n"/>
      <c r="J3275" s="19" t="n">
        <v>3</v>
      </c>
      <c r="K3275" s="2" t="inlineStr">
        <is>
          <t>marker_431_384261.png</t>
        </is>
      </c>
      <c r="L3275" s="11">
        <f>HYPERLINK("3\1\" &amp; K3275, "Ver Imagen")</f>
        <v/>
      </c>
      <c r="M3275" t="inlineStr">
        <is>
          <t>Moda</t>
        </is>
      </c>
    </row>
    <row r="3276">
      <c r="A3276" t="n">
        <v>3275</v>
      </c>
      <c r="B3276" t="inlineStr">
        <is>
          <t>A-495_1__132</t>
        </is>
      </c>
      <c r="C3276" s="1" t="n">
        <v>37.4733647854</v>
      </c>
      <c r="D3276" s="1" t="n">
        <v>-7.12635472642</v>
      </c>
      <c r="E3276" s="3" t="n">
        <v>3</v>
      </c>
      <c r="F3276" s="2" t="n">
        <v>3</v>
      </c>
      <c r="G3276" s="4" t="n">
        <v>2</v>
      </c>
      <c r="H3276" s="13" t="n"/>
      <c r="I3276" s="15" t="n"/>
      <c r="J3276" s="19" t="n">
        <v>3</v>
      </c>
      <c r="K3276" s="2" t="inlineStr">
        <is>
          <t>marker_507_384455.png</t>
        </is>
      </c>
      <c r="L3276" s="11">
        <f>HYPERLINK("3\1\" &amp; K3276, "Ver Imagen")</f>
        <v/>
      </c>
      <c r="M3276" t="inlineStr">
        <is>
          <t>Moda</t>
        </is>
      </c>
    </row>
    <row r="3277">
      <c r="A3277" t="n">
        <v>3276</v>
      </c>
      <c r="B3277" t="inlineStr">
        <is>
          <t>A-495_1__118</t>
        </is>
      </c>
      <c r="C3277" s="1" t="n">
        <v>37.4707865434</v>
      </c>
      <c r="D3277" s="1" t="n">
        <v>-7.12523290409</v>
      </c>
      <c r="E3277" s="3" t="n">
        <v>3</v>
      </c>
      <c r="F3277" s="2" t="n">
        <v>3</v>
      </c>
      <c r="G3277" s="4" t="n">
        <v>2</v>
      </c>
      <c r="H3277" s="13" t="n"/>
      <c r="I3277" s="15" t="n"/>
      <c r="J3277" s="19" t="n">
        <v>3</v>
      </c>
      <c r="K3277" s="2" t="inlineStr">
        <is>
          <t>marker_446_384597.png</t>
        </is>
      </c>
      <c r="L3277" s="11">
        <f>HYPERLINK("3\1\" &amp; K3277, "Ver Imagen")</f>
        <v/>
      </c>
      <c r="M3277" t="inlineStr">
        <is>
          <t>Moda</t>
        </is>
      </c>
    </row>
    <row r="3278">
      <c r="A3278" t="n">
        <v>3277</v>
      </c>
      <c r="B3278" t="inlineStr">
        <is>
          <t>A-495_1__117</t>
        </is>
      </c>
      <c r="C3278" s="1" t="n">
        <v>37.4705959766</v>
      </c>
      <c r="D3278" s="1" t="n">
        <v>-7.12508339335</v>
      </c>
      <c r="E3278" s="3" t="n">
        <v>3</v>
      </c>
      <c r="F3278" s="2" t="n">
        <v>3</v>
      </c>
      <c r="G3278" s="4" t="n">
        <v>4</v>
      </c>
      <c r="H3278" s="13" t="n"/>
      <c r="I3278" s="15" t="n"/>
      <c r="J3278" s="19" t="n">
        <v>3</v>
      </c>
      <c r="K3278" s="2" t="inlineStr">
        <is>
          <t>marker_286_384606.png</t>
        </is>
      </c>
      <c r="L3278" s="11">
        <f>HYPERLINK("3\1\" &amp; K3278, "Ver Imagen")</f>
        <v/>
      </c>
      <c r="M3278" t="inlineStr">
        <is>
          <t>Moda</t>
        </is>
      </c>
    </row>
    <row r="3279">
      <c r="A3279" t="n">
        <v>3278</v>
      </c>
      <c r="B3279" t="inlineStr">
        <is>
          <t>A-495_1__114</t>
        </is>
      </c>
      <c r="C3279" s="1" t="n">
        <v>37.4700760685</v>
      </c>
      <c r="D3279" s="1" t="n">
        <v>-7.12468982979</v>
      </c>
      <c r="E3279" s="3" t="n">
        <v>3</v>
      </c>
      <c r="F3279" s="2" t="n">
        <v>3</v>
      </c>
      <c r="G3279" s="4" t="n">
        <v>2</v>
      </c>
      <c r="H3279" s="13" t="n"/>
      <c r="I3279" s="15" t="n"/>
      <c r="J3279" s="19" t="n">
        <v>3</v>
      </c>
      <c r="K3279" s="2" t="inlineStr">
        <is>
          <t>marker_328_384682.png</t>
        </is>
      </c>
      <c r="L3279" s="11">
        <f>HYPERLINK("3\1\" &amp; K3279, "Ver Imagen")</f>
        <v/>
      </c>
      <c r="M3279" t="inlineStr">
        <is>
          <t>Moda</t>
        </is>
      </c>
    </row>
    <row r="3280">
      <c r="A3280" t="n">
        <v>3279</v>
      </c>
      <c r="B3280" t="inlineStr">
        <is>
          <t>A-495_1__98</t>
        </is>
      </c>
      <c r="C3280" s="1" t="n">
        <v>37.4672012837</v>
      </c>
      <c r="D3280" s="1" t="n">
        <v>-7.12287100661</v>
      </c>
      <c r="E3280" s="3" t="n">
        <v>3</v>
      </c>
      <c r="F3280" s="2" t="n">
        <v>3</v>
      </c>
      <c r="G3280" s="4" t="n">
        <v>2</v>
      </c>
      <c r="H3280" s="13" t="n"/>
      <c r="I3280" s="15" t="n"/>
      <c r="J3280" s="19" t="n">
        <v>3</v>
      </c>
      <c r="K3280" s="2" t="inlineStr">
        <is>
          <t>marker_361_385060.png</t>
        </is>
      </c>
      <c r="L3280" s="11">
        <f>HYPERLINK("3\1\" &amp; K3280, "Ver Imagen")</f>
        <v/>
      </c>
      <c r="M3280" t="inlineStr">
        <is>
          <t>Moda</t>
        </is>
      </c>
    </row>
    <row r="3281">
      <c r="A3281" t="n">
        <v>3280</v>
      </c>
      <c r="B3281" t="inlineStr">
        <is>
          <t>A-495_1__73</t>
        </is>
      </c>
      <c r="C3281" s="1" t="n">
        <v>37.4623833918</v>
      </c>
      <c r="D3281" s="1" t="n">
        <v>-7.12427227879</v>
      </c>
      <c r="E3281" s="3" t="n">
        <v>2</v>
      </c>
      <c r="F3281" s="2" t="n">
        <v>3</v>
      </c>
      <c r="G3281" s="4" t="n">
        <v>3</v>
      </c>
      <c r="H3281" s="13" t="n"/>
      <c r="I3281" s="15" t="n"/>
      <c r="J3281" s="19" t="n">
        <v>3</v>
      </c>
      <c r="K3281" s="2" t="inlineStr">
        <is>
          <t>marker_527_385298.png</t>
        </is>
      </c>
      <c r="L3281" s="11">
        <f>HYPERLINK("3\1\" &amp; K3281, "Ver Imagen")</f>
        <v/>
      </c>
      <c r="M3281" t="inlineStr">
        <is>
          <t>Moda</t>
        </is>
      </c>
    </row>
    <row r="3282">
      <c r="A3282" t="n">
        <v>3281</v>
      </c>
      <c r="B3282" t="inlineStr">
        <is>
          <t>A-495_1__61</t>
        </is>
      </c>
      <c r="C3282" s="1" t="n">
        <v>37.4600180714</v>
      </c>
      <c r="D3282" s="1" t="n">
        <v>-7.12489090673</v>
      </c>
      <c r="E3282" s="3" t="n">
        <v>2</v>
      </c>
      <c r="F3282" s="2" t="n">
        <v>3</v>
      </c>
      <c r="G3282" s="4" t="n">
        <v>3</v>
      </c>
      <c r="H3282" s="13" t="n"/>
      <c r="I3282" s="15" t="n"/>
      <c r="J3282" s="19" t="n">
        <v>3</v>
      </c>
      <c r="K3282" s="2" t="inlineStr">
        <is>
          <t>marker_375_385413.png</t>
        </is>
      </c>
      <c r="L3282" s="11">
        <f>HYPERLINK("3\1\" &amp; K3282, "Ver Imagen")</f>
        <v/>
      </c>
      <c r="M3282" t="inlineStr">
        <is>
          <t>Moda</t>
        </is>
      </c>
    </row>
    <row r="3283">
      <c r="A3283" t="n">
        <v>3282</v>
      </c>
      <c r="B3283" t="inlineStr">
        <is>
          <t>A-495_1__45</t>
        </is>
      </c>
      <c r="C3283" s="1" t="n">
        <v>37.4568912553</v>
      </c>
      <c r="D3283" s="1" t="n">
        <v>-7.12602695409</v>
      </c>
      <c r="E3283" s="3" t="n">
        <v>3</v>
      </c>
      <c r="F3283" s="2" t="n">
        <v>3</v>
      </c>
      <c r="G3283" s="4" t="n">
        <v>2</v>
      </c>
      <c r="H3283" s="13" t="n"/>
      <c r="I3283" s="15" t="n"/>
      <c r="J3283" s="19" t="n">
        <v>3</v>
      </c>
      <c r="K3283" s="2" t="inlineStr">
        <is>
          <t>marker_830_385609.png</t>
        </is>
      </c>
      <c r="L3283" s="11">
        <f>HYPERLINK("3\1\" &amp; K3283, "Ver Imagen")</f>
        <v/>
      </c>
      <c r="M3283" t="inlineStr">
        <is>
          <t>Moda</t>
        </is>
      </c>
    </row>
    <row r="3284">
      <c r="A3284" t="n">
        <v>3283</v>
      </c>
      <c r="B3284" t="inlineStr">
        <is>
          <t>A-495_1__38</t>
        </is>
      </c>
      <c r="C3284" s="1" t="n">
        <v>37.4555166971</v>
      </c>
      <c r="D3284" s="1" t="n">
        <v>-7.12653608336</v>
      </c>
      <c r="E3284" s="3" t="n">
        <v>3</v>
      </c>
      <c r="F3284" s="2" t="n">
        <v>3</v>
      </c>
      <c r="G3284" s="4" t="n">
        <v>2</v>
      </c>
      <c r="H3284" s="13" t="n"/>
      <c r="I3284" s="15" t="n"/>
      <c r="J3284" s="19" t="n">
        <v>3</v>
      </c>
      <c r="K3284" s="2" t="inlineStr">
        <is>
          <t>marker_955_385672.png</t>
        </is>
      </c>
      <c r="L3284" s="11">
        <f>HYPERLINK("3\1\" &amp; K3284, "Ver Imagen")</f>
        <v/>
      </c>
      <c r="M3284" t="inlineStr">
        <is>
          <t>Moda</t>
        </is>
      </c>
    </row>
    <row r="3285">
      <c r="A3285" t="n">
        <v>3284</v>
      </c>
      <c r="B3285" t="inlineStr">
        <is>
          <t>A-495_1__13</t>
        </is>
      </c>
      <c r="C3285" s="1" t="n">
        <v>37.4505725584</v>
      </c>
      <c r="D3285" s="1" t="n">
        <v>-7.12735672264</v>
      </c>
      <c r="E3285" s="3" t="n">
        <v>2</v>
      </c>
      <c r="F3285" s="2" t="n">
        <v>3</v>
      </c>
      <c r="G3285" s="4" t="n">
        <v>3</v>
      </c>
      <c r="H3285" s="13" t="n"/>
      <c r="I3285" s="15" t="n"/>
      <c r="J3285" s="19" t="n">
        <v>3</v>
      </c>
      <c r="K3285" s="2" t="inlineStr">
        <is>
          <t>marker_200_386195.png</t>
        </is>
      </c>
      <c r="L3285" s="11">
        <f>HYPERLINK("3\1\" &amp; K3285, "Ver Imagen")</f>
        <v/>
      </c>
      <c r="M3285" t="inlineStr">
        <is>
          <t>Moda</t>
        </is>
      </c>
    </row>
    <row r="3286">
      <c r="A3286" t="n">
        <v>3285</v>
      </c>
      <c r="B3286" t="inlineStr">
        <is>
          <t>A-495_1__12</t>
        </is>
      </c>
      <c r="C3286" s="1" t="n">
        <v>37.45037478</v>
      </c>
      <c r="D3286" s="1" t="n">
        <v>-7.12731855943</v>
      </c>
      <c r="E3286" s="3" t="n">
        <v>2</v>
      </c>
      <c r="F3286" s="2" t="n">
        <v>3</v>
      </c>
      <c r="G3286" s="4" t="n">
        <v>3</v>
      </c>
      <c r="H3286" s="13" t="n"/>
      <c r="I3286" s="15" t="n"/>
      <c r="J3286" s="19" t="n">
        <v>3</v>
      </c>
      <c r="K3286" s="2" t="inlineStr">
        <is>
          <t>marker_811_386207.png</t>
        </is>
      </c>
      <c r="L3286" s="11">
        <f>HYPERLINK("3\1\" &amp; K3286, "Ver Imagen")</f>
        <v/>
      </c>
      <c r="M3286" t="inlineStr">
        <is>
          <t>Moda</t>
        </is>
      </c>
    </row>
    <row r="3287">
      <c r="A3287" t="n">
        <v>3286</v>
      </c>
      <c r="B3287" t="inlineStr">
        <is>
          <t>A-495_1__11</t>
        </is>
      </c>
      <c r="C3287" s="1" t="n">
        <v>37.4501421582</v>
      </c>
      <c r="D3287" s="1" t="n">
        <v>-7.12726897625</v>
      </c>
      <c r="E3287" s="3" t="n">
        <v>2</v>
      </c>
      <c r="F3287" s="2" t="n">
        <v>3</v>
      </c>
      <c r="G3287" s="4" t="n">
        <v>3</v>
      </c>
      <c r="H3287" s="13" t="n"/>
      <c r="I3287" s="15" t="n"/>
      <c r="J3287" s="19" t="n">
        <v>3</v>
      </c>
      <c r="K3287" s="2" t="inlineStr">
        <is>
          <t>marker_743_386216.png</t>
        </is>
      </c>
      <c r="L3287" s="11">
        <f>HYPERLINK("3\1\" &amp; K3287, "Ver Imagen")</f>
        <v/>
      </c>
      <c r="M3287" t="inlineStr">
        <is>
          <t>Moda</t>
        </is>
      </c>
    </row>
    <row r="3288">
      <c r="A3288" t="n">
        <v>3287</v>
      </c>
      <c r="B3288" t="inlineStr">
        <is>
          <t>A-495_1__9</t>
        </is>
      </c>
      <c r="C3288" s="1" t="n">
        <v>37.4497570488</v>
      </c>
      <c r="D3288" s="1" t="n">
        <v>-7.12717511093</v>
      </c>
      <c r="E3288" s="3" t="n">
        <v>2</v>
      </c>
      <c r="F3288" s="2" t="n">
        <v>3</v>
      </c>
      <c r="G3288" s="4" t="n">
        <v>3</v>
      </c>
      <c r="H3288" s="13" t="n"/>
      <c r="I3288" s="15" t="n"/>
      <c r="J3288" s="19" t="n">
        <v>3</v>
      </c>
      <c r="K3288" s="2" t="inlineStr">
        <is>
          <t>marker_462_386236.png</t>
        </is>
      </c>
      <c r="L3288" s="11">
        <f>HYPERLINK("3\1\" &amp; K3288, "Ver Imagen")</f>
        <v/>
      </c>
      <c r="M3288" t="inlineStr">
        <is>
          <t>Moda</t>
        </is>
      </c>
    </row>
    <row r="3289">
      <c r="A3289" t="n">
        <v>3288</v>
      </c>
      <c r="B3289" t="inlineStr">
        <is>
          <t>A-495_1__8</t>
        </is>
      </c>
      <c r="C3289" s="1" t="n">
        <v>37.4496015822</v>
      </c>
      <c r="D3289" s="1" t="n">
        <v>-7.1271306129</v>
      </c>
      <c r="E3289" s="3" t="n">
        <v>2</v>
      </c>
      <c r="F3289" s="2" t="n">
        <v>3</v>
      </c>
      <c r="G3289" s="4" t="n">
        <v>3</v>
      </c>
      <c r="H3289" s="13" t="n"/>
      <c r="I3289" s="15" t="n"/>
      <c r="J3289" s="19" t="n">
        <v>3</v>
      </c>
      <c r="K3289" s="2" t="inlineStr">
        <is>
          <t>marker_228_386244.png</t>
        </is>
      </c>
      <c r="L3289" s="11">
        <f>HYPERLINK("3\1\" &amp; K3289, "Ver Imagen")</f>
        <v/>
      </c>
      <c r="M3289" t="inlineStr">
        <is>
          <t>Moda</t>
        </is>
      </c>
    </row>
    <row r="3290">
      <c r="A3290" t="n">
        <v>3289</v>
      </c>
      <c r="B3290" t="inlineStr">
        <is>
          <t>A-495_1__7</t>
        </is>
      </c>
      <c r="C3290" s="1" t="n">
        <v>37.4494015162</v>
      </c>
      <c r="D3290" s="1" t="n">
        <v>-7.1270668417</v>
      </c>
      <c r="E3290" s="3" t="n">
        <v>3</v>
      </c>
      <c r="F3290" s="2" t="n">
        <v>3</v>
      </c>
      <c r="G3290" s="4" t="n">
        <v>4</v>
      </c>
      <c r="H3290" s="13" t="n"/>
      <c r="I3290" s="15" t="n"/>
      <c r="J3290" s="19" t="n">
        <v>3</v>
      </c>
      <c r="K3290" s="2" t="inlineStr">
        <is>
          <t>marker_457_386253.png</t>
        </is>
      </c>
      <c r="L3290" s="11">
        <f>HYPERLINK("3\1\" &amp; K3290, "Ver Imagen")</f>
        <v/>
      </c>
      <c r="M3290" t="inlineStr">
        <is>
          <t>Moda</t>
        </is>
      </c>
    </row>
    <row r="3291">
      <c r="A3291" t="n">
        <v>3290</v>
      </c>
      <c r="B3291" t="inlineStr">
        <is>
          <t>A-495_1__5</t>
        </is>
      </c>
      <c r="C3291" s="1" t="n">
        <v>37.4489930812</v>
      </c>
      <c r="D3291" s="1" t="n">
        <v>-7.12692472109</v>
      </c>
      <c r="E3291" s="3" t="n">
        <v>3</v>
      </c>
      <c r="F3291" s="2" t="n">
        <v>3</v>
      </c>
      <c r="G3291" s="4" t="n">
        <v>4</v>
      </c>
      <c r="H3291" s="13" t="n"/>
      <c r="I3291" s="15" t="n"/>
      <c r="J3291" s="19" t="n">
        <v>3</v>
      </c>
      <c r="K3291" s="2" t="inlineStr">
        <is>
          <t>marker_617_386274.png</t>
        </is>
      </c>
      <c r="L3291" s="11">
        <f>HYPERLINK("3\1\" &amp; K3291, "Ver Imagen")</f>
        <v/>
      </c>
      <c r="M3291" t="inlineStr">
        <is>
          <t>Moda</t>
        </is>
      </c>
    </row>
    <row r="3292">
      <c r="A3292" t="n">
        <v>3291</v>
      </c>
      <c r="B3292" t="inlineStr">
        <is>
          <t>A-495_1__4</t>
        </is>
      </c>
      <c r="C3292" s="1" t="n">
        <v>37.4488242107</v>
      </c>
      <c r="D3292" s="1" t="n">
        <v>-7.12686598263</v>
      </c>
      <c r="E3292" s="3" t="n">
        <v>3</v>
      </c>
      <c r="F3292" s="2" t="n">
        <v>3</v>
      </c>
      <c r="G3292" s="4" t="n">
        <v>4</v>
      </c>
      <c r="H3292" s="13" t="n"/>
      <c r="I3292" s="15" t="n"/>
      <c r="J3292" s="19" t="n">
        <v>3</v>
      </c>
      <c r="K3292" s="2" t="inlineStr">
        <is>
          <t>marker_958_386285.png</t>
        </is>
      </c>
      <c r="L3292" s="11">
        <f>HYPERLINK("3\1\" &amp; K3292, "Ver Imagen")</f>
        <v/>
      </c>
      <c r="M3292" t="inlineStr">
        <is>
          <t>Moda</t>
        </is>
      </c>
    </row>
    <row r="3293">
      <c r="A3293" t="n">
        <v>3292</v>
      </c>
      <c r="B3293" t="inlineStr">
        <is>
          <t>A-495_1__2</t>
        </is>
      </c>
      <c r="C3293" s="1" t="n">
        <v>37.4484289359</v>
      </c>
      <c r="D3293" s="1" t="n">
        <v>-7.12672446462</v>
      </c>
      <c r="E3293" s="3" t="n">
        <v>3</v>
      </c>
      <c r="F3293" s="2" t="n">
        <v>3</v>
      </c>
      <c r="G3293" s="4" t="n">
        <v>4</v>
      </c>
      <c r="H3293" s="13" t="n"/>
      <c r="I3293" s="15" t="n"/>
      <c r="J3293" s="19" t="n">
        <v>3</v>
      </c>
      <c r="K3293" s="2" t="inlineStr">
        <is>
          <t>marker_738_386308.png</t>
        </is>
      </c>
      <c r="L3293" s="11">
        <f>HYPERLINK("3\1\" &amp; K3293, "Ver Imagen")</f>
        <v/>
      </c>
      <c r="M3293" t="inlineStr">
        <is>
          <t>Moda</t>
        </is>
      </c>
    </row>
    <row r="3294">
      <c r="A3294" t="n">
        <v>3293</v>
      </c>
      <c r="B3294" t="inlineStr">
        <is>
          <t>A-499__52</t>
        </is>
      </c>
      <c r="C3294" s="1" t="n">
        <v>37.4956986015</v>
      </c>
      <c r="D3294" s="1" t="n">
        <v>-7.27476081099</v>
      </c>
      <c r="E3294" s="3" t="n">
        <v>2</v>
      </c>
      <c r="F3294" s="2" t="n">
        <v>3</v>
      </c>
      <c r="G3294" s="4" t="n">
        <v>3</v>
      </c>
      <c r="H3294" s="13" t="n"/>
      <c r="I3294" s="15" t="n"/>
      <c r="J3294" s="19" t="n">
        <v>3</v>
      </c>
      <c r="K3294" s="2" t="inlineStr">
        <is>
          <t>marker_495_534916.png</t>
        </is>
      </c>
      <c r="L3294" s="11">
        <f>HYPERLINK("3\1\" &amp; K3294, "Ver Imagen")</f>
        <v/>
      </c>
      <c r="M3294" t="inlineStr">
        <is>
          <t>Moda</t>
        </is>
      </c>
    </row>
    <row r="3295">
      <c r="A3295" t="n">
        <v>3294</v>
      </c>
      <c r="B3295" t="inlineStr">
        <is>
          <t>A-499__57</t>
        </is>
      </c>
      <c r="C3295" s="1" t="n">
        <v>37.4956308317</v>
      </c>
      <c r="D3295" s="1" t="n">
        <v>-7.2735034779</v>
      </c>
      <c r="E3295" s="3" t="n">
        <v>2</v>
      </c>
      <c r="F3295" s="2" t="n">
        <v>3</v>
      </c>
      <c r="G3295" s="4" t="n">
        <v>3</v>
      </c>
      <c r="H3295" s="13" t="n"/>
      <c r="I3295" s="15" t="n"/>
      <c r="J3295" s="19" t="n">
        <v>3</v>
      </c>
      <c r="K3295" s="2" t="inlineStr">
        <is>
          <t>marker_291_534966.png</t>
        </is>
      </c>
      <c r="L3295" s="11">
        <f>HYPERLINK("3\1\" &amp; K3295, "Ver Imagen")</f>
        <v/>
      </c>
      <c r="M3295" t="inlineStr">
        <is>
          <t>Moda</t>
        </is>
      </c>
    </row>
    <row r="3296">
      <c r="A3296" t="n">
        <v>3295</v>
      </c>
      <c r="B3296" t="inlineStr">
        <is>
          <t>A-499__58</t>
        </is>
      </c>
      <c r="C3296" s="1" t="n">
        <v>37.4955945549</v>
      </c>
      <c r="D3296" s="1" t="n">
        <v>-7.27327534569</v>
      </c>
      <c r="E3296" s="3" t="n">
        <v>2</v>
      </c>
      <c r="F3296" s="2" t="n">
        <v>3</v>
      </c>
      <c r="G3296" s="4" t="n">
        <v>3</v>
      </c>
      <c r="H3296" s="13" t="n"/>
      <c r="I3296" s="15" t="n"/>
      <c r="J3296" s="19" t="n">
        <v>3</v>
      </c>
      <c r="K3296" s="2" t="inlineStr">
        <is>
          <t>marker_422_534976.png</t>
        </is>
      </c>
      <c r="L3296" s="11">
        <f>HYPERLINK("3\1\" &amp; K3296, "Ver Imagen")</f>
        <v/>
      </c>
      <c r="M3296" t="inlineStr">
        <is>
          <t>Moda</t>
        </is>
      </c>
    </row>
    <row r="3297">
      <c r="A3297" t="n">
        <v>3296</v>
      </c>
      <c r="B3297" t="inlineStr">
        <is>
          <t>A-497__831</t>
        </is>
      </c>
      <c r="C3297" s="1" t="n">
        <v>37.1985217034</v>
      </c>
      <c r="D3297" s="1" t="n">
        <v>-6.98168007796</v>
      </c>
      <c r="E3297" s="3" t="n">
        <v>3</v>
      </c>
      <c r="F3297" s="2" t="n">
        <v>3</v>
      </c>
      <c r="G3297" s="4" t="n">
        <v>4</v>
      </c>
      <c r="H3297" s="13" t="n"/>
      <c r="I3297" s="15" t="n"/>
      <c r="J3297" s="19" t="n">
        <v>3</v>
      </c>
      <c r="K3297" s="2" t="inlineStr">
        <is>
          <t>marker_323_367639.png</t>
        </is>
      </c>
      <c r="L3297" s="11">
        <f>HYPERLINK("3\1\" &amp; K3297, "Ver Imagen")</f>
        <v/>
      </c>
      <c r="M3297" t="inlineStr">
        <is>
          <t>Moda</t>
        </is>
      </c>
    </row>
    <row r="3298">
      <c r="A3298" t="n">
        <v>3297</v>
      </c>
      <c r="B3298" t="inlineStr">
        <is>
          <t>A-497__825</t>
        </is>
      </c>
      <c r="C3298" s="1" t="n">
        <v>37.1978336901</v>
      </c>
      <c r="D3298" s="1" t="n">
        <v>-6.98046650753</v>
      </c>
      <c r="E3298" s="3" t="n">
        <v>4</v>
      </c>
      <c r="F3298" s="2" t="n">
        <v>3</v>
      </c>
      <c r="G3298" s="4" t="n">
        <v>3</v>
      </c>
      <c r="H3298" s="13" t="n"/>
      <c r="I3298" s="15" t="n"/>
      <c r="J3298" s="19" t="n">
        <v>3</v>
      </c>
      <c r="K3298" s="2" t="inlineStr">
        <is>
          <t>marker_823_367703.png</t>
        </is>
      </c>
      <c r="L3298" s="11">
        <f>HYPERLINK("3\1\" &amp; K3298, "Ver Imagen")</f>
        <v/>
      </c>
      <c r="M3298" t="inlineStr">
        <is>
          <t>Moda</t>
        </is>
      </c>
    </row>
    <row r="3299">
      <c r="A3299" t="n">
        <v>3298</v>
      </c>
      <c r="B3299" t="inlineStr">
        <is>
          <t>A-497__824</t>
        </is>
      </c>
      <c r="C3299" s="1" t="n">
        <v>37.1976715908</v>
      </c>
      <c r="D3299" s="1" t="n">
        <v>-6.98024162323</v>
      </c>
      <c r="E3299" s="3" t="n">
        <v>4</v>
      </c>
      <c r="F3299" s="2" t="n">
        <v>3</v>
      </c>
      <c r="G3299" s="4" t="n">
        <v>3</v>
      </c>
      <c r="H3299" s="13" t="n"/>
      <c r="I3299" s="15" t="n"/>
      <c r="J3299" s="19" t="n">
        <v>3</v>
      </c>
      <c r="K3299" s="2" t="inlineStr">
        <is>
          <t>marker_202_367713.png</t>
        </is>
      </c>
      <c r="L3299" s="11">
        <f>HYPERLINK("3\1\" &amp; K3299, "Ver Imagen")</f>
        <v/>
      </c>
      <c r="M3299" t="inlineStr">
        <is>
          <t>Moda</t>
        </is>
      </c>
    </row>
    <row r="3300">
      <c r="A3300" t="n">
        <v>3299</v>
      </c>
      <c r="B3300" t="inlineStr">
        <is>
          <t>A-497__816</t>
        </is>
      </c>
      <c r="C3300" s="1" t="n">
        <v>37.1964649304</v>
      </c>
      <c r="D3300" s="1" t="n">
        <v>-6.97897032489</v>
      </c>
      <c r="E3300" s="3" t="n">
        <v>4</v>
      </c>
      <c r="F3300" s="2" t="n">
        <v>3</v>
      </c>
      <c r="G3300" s="4" t="n">
        <v>3</v>
      </c>
      <c r="H3300" s="13" t="n"/>
      <c r="I3300" s="15" t="n"/>
      <c r="J3300" s="19" t="n">
        <v>3</v>
      </c>
      <c r="K3300" s="2" t="inlineStr">
        <is>
          <t>marker_391_367792.png</t>
        </is>
      </c>
      <c r="L3300" s="11">
        <f>HYPERLINK("3\1\" &amp; K3300, "Ver Imagen")</f>
        <v/>
      </c>
      <c r="M3300" t="inlineStr">
        <is>
          <t>Moda</t>
        </is>
      </c>
    </row>
    <row r="3301">
      <c r="A3301" t="n">
        <v>3300</v>
      </c>
      <c r="B3301" t="inlineStr">
        <is>
          <t>A-497__814</t>
        </is>
      </c>
      <c r="C3301" s="1" t="n">
        <v>37.1960957593</v>
      </c>
      <c r="D3301" s="1" t="n">
        <v>-6.97869192314</v>
      </c>
      <c r="E3301" s="3" t="n">
        <v>2</v>
      </c>
      <c r="F3301" s="2" t="n">
        <v>3</v>
      </c>
      <c r="G3301" s="4" t="n">
        <v>3</v>
      </c>
      <c r="H3301" s="13" t="n"/>
      <c r="I3301" s="15" t="n"/>
      <c r="J3301" s="19" t="n">
        <v>3</v>
      </c>
      <c r="K3301" s="2" t="inlineStr">
        <is>
          <t>marker_136_367810.png</t>
        </is>
      </c>
      <c r="L3301" s="11">
        <f>HYPERLINK("3\1\" &amp; K3301, "Ver Imagen")</f>
        <v/>
      </c>
      <c r="M3301" t="inlineStr">
        <is>
          <t>Moda</t>
        </is>
      </c>
    </row>
    <row r="3302">
      <c r="A3302" t="n">
        <v>3301</v>
      </c>
      <c r="B3302" t="inlineStr">
        <is>
          <t>A-497__812</t>
        </is>
      </c>
      <c r="C3302" s="1" t="n">
        <v>37.1957499129</v>
      </c>
      <c r="D3302" s="1" t="n">
        <v>-6.97846403414</v>
      </c>
      <c r="E3302" s="3" t="n">
        <v>4</v>
      </c>
      <c r="F3302" s="2" t="n">
        <v>3</v>
      </c>
      <c r="G3302" s="4" t="n">
        <v>3</v>
      </c>
      <c r="H3302" s="13" t="n"/>
      <c r="I3302" s="15" t="n"/>
      <c r="J3302" s="19" t="n">
        <v>3</v>
      </c>
      <c r="K3302" s="2" t="inlineStr">
        <is>
          <t>marker_693_367828.png</t>
        </is>
      </c>
      <c r="L3302" s="11">
        <f>HYPERLINK("3\1\" &amp; K3302, "Ver Imagen")</f>
        <v/>
      </c>
      <c r="M3302" t="inlineStr">
        <is>
          <t>Moda</t>
        </is>
      </c>
    </row>
    <row r="3303">
      <c r="A3303" t="n">
        <v>3302</v>
      </c>
      <c r="B3303" t="inlineStr">
        <is>
          <t>A-497__810</t>
        </is>
      </c>
      <c r="C3303" s="1" t="n">
        <v>37.1953652283</v>
      </c>
      <c r="D3303" s="1" t="n">
        <v>-6.97824438361</v>
      </c>
      <c r="E3303" s="3" t="n">
        <v>2</v>
      </c>
      <c r="F3303" s="2" t="n">
        <v>3</v>
      </c>
      <c r="G3303" s="4" t="n">
        <v>3</v>
      </c>
      <c r="H3303" s="13" t="n"/>
      <c r="I3303" s="15" t="n"/>
      <c r="J3303" s="19" t="n">
        <v>3</v>
      </c>
      <c r="K3303" s="2" t="inlineStr">
        <is>
          <t>marker_744_367851.png</t>
        </is>
      </c>
      <c r="L3303" s="11">
        <f>HYPERLINK("3\1\" &amp; K3303, "Ver Imagen")</f>
        <v/>
      </c>
      <c r="M3303" t="inlineStr">
        <is>
          <t>Moda</t>
        </is>
      </c>
    </row>
    <row r="3304">
      <c r="A3304" t="n">
        <v>3303</v>
      </c>
      <c r="B3304" t="inlineStr">
        <is>
          <t>A-497__809</t>
        </is>
      </c>
      <c r="C3304" s="1" t="n">
        <v>37.1951603643</v>
      </c>
      <c r="D3304" s="1" t="n">
        <v>-6.97814389998</v>
      </c>
      <c r="E3304" s="3" t="n">
        <v>3</v>
      </c>
      <c r="F3304" s="2" t="n">
        <v>3</v>
      </c>
      <c r="G3304" s="4" t="n">
        <v>4</v>
      </c>
      <c r="H3304" s="13" t="n"/>
      <c r="I3304" s="15" t="n"/>
      <c r="J3304" s="19" t="n">
        <v>3</v>
      </c>
      <c r="K3304" s="2" t="inlineStr">
        <is>
          <t>marker_264_367859.png</t>
        </is>
      </c>
      <c r="L3304" s="11">
        <f>HYPERLINK("3\1\" &amp; K3304, "Ver Imagen")</f>
        <v/>
      </c>
      <c r="M3304" t="inlineStr">
        <is>
          <t>Moda</t>
        </is>
      </c>
    </row>
    <row r="3305">
      <c r="A3305" t="n">
        <v>3304</v>
      </c>
      <c r="B3305" t="inlineStr">
        <is>
          <t>A-497__807</t>
        </is>
      </c>
      <c r="C3305" s="1" t="n">
        <v>37.1947935062</v>
      </c>
      <c r="D3305" s="1" t="n">
        <v>-6.97799041847</v>
      </c>
      <c r="E3305" s="3" t="n">
        <v>3</v>
      </c>
      <c r="F3305" s="2" t="n">
        <v>3</v>
      </c>
      <c r="G3305" s="4" t="n">
        <v>4</v>
      </c>
      <c r="H3305" s="13" t="n"/>
      <c r="I3305" s="15" t="n"/>
      <c r="J3305" s="19" t="n">
        <v>3</v>
      </c>
      <c r="K3305" s="2" t="inlineStr">
        <is>
          <t>marker_219_367879.png</t>
        </is>
      </c>
      <c r="L3305" s="11">
        <f>HYPERLINK("3\1\" &amp; K3305, "Ver Imagen")</f>
        <v/>
      </c>
      <c r="M3305" t="inlineStr">
        <is>
          <t>Moda</t>
        </is>
      </c>
    </row>
    <row r="3306">
      <c r="A3306" t="n">
        <v>3305</v>
      </c>
      <c r="B3306" t="inlineStr">
        <is>
          <t>A-497__805</t>
        </is>
      </c>
      <c r="C3306" s="1" t="n">
        <v>37.1944363249</v>
      </c>
      <c r="D3306" s="1" t="n">
        <v>-6.9778699802</v>
      </c>
      <c r="E3306" s="3" t="n">
        <v>3</v>
      </c>
      <c r="F3306" s="2" t="n">
        <v>3</v>
      </c>
      <c r="G3306" s="4" t="n">
        <v>4</v>
      </c>
      <c r="H3306" s="13" t="n"/>
      <c r="I3306" s="15" t="n"/>
      <c r="J3306" s="19" t="n">
        <v>3</v>
      </c>
      <c r="K3306" s="2" t="inlineStr">
        <is>
          <t>marker_871_367900.png</t>
        </is>
      </c>
      <c r="L3306" s="11">
        <f>HYPERLINK("3\1\" &amp; K3306, "Ver Imagen")</f>
        <v/>
      </c>
      <c r="M3306" t="inlineStr">
        <is>
          <t>Moda</t>
        </is>
      </c>
    </row>
    <row r="3307">
      <c r="A3307" t="n">
        <v>3306</v>
      </c>
      <c r="B3307" t="inlineStr">
        <is>
          <t>A-497__804</t>
        </is>
      </c>
      <c r="C3307" s="1" t="n">
        <v>37.1941786129</v>
      </c>
      <c r="D3307" s="1" t="n">
        <v>-6.97779733172</v>
      </c>
      <c r="E3307" s="3" t="n">
        <v>3</v>
      </c>
      <c r="F3307" s="2" t="n">
        <v>3</v>
      </c>
      <c r="G3307" s="4" t="n">
        <v>4</v>
      </c>
      <c r="H3307" s="13" t="n"/>
      <c r="I3307" s="15" t="n"/>
      <c r="J3307" s="19" t="n">
        <v>3</v>
      </c>
      <c r="K3307" s="2" t="inlineStr">
        <is>
          <t>marker_837_367909.png</t>
        </is>
      </c>
      <c r="L3307" s="11">
        <f>HYPERLINK("3\1\" &amp; K3307, "Ver Imagen")</f>
        <v/>
      </c>
      <c r="M3307" t="inlineStr">
        <is>
          <t>Moda</t>
        </is>
      </c>
    </row>
    <row r="3308">
      <c r="A3308" t="n">
        <v>3307</v>
      </c>
      <c r="B3308" t="inlineStr">
        <is>
          <t>A-497__803</t>
        </is>
      </c>
      <c r="C3308" s="1" t="n">
        <v>37.1940116983</v>
      </c>
      <c r="D3308" s="1" t="n">
        <v>-6.97775715444</v>
      </c>
      <c r="E3308" s="3" t="n">
        <v>3</v>
      </c>
      <c r="F3308" s="2" t="n">
        <v>3</v>
      </c>
      <c r="G3308" s="4" t="n">
        <v>4</v>
      </c>
      <c r="H3308" s="13" t="n"/>
      <c r="I3308" s="15" t="n"/>
      <c r="J3308" s="19" t="n">
        <v>3</v>
      </c>
      <c r="K3308" s="2" t="inlineStr">
        <is>
          <t>marker_956_367918.png</t>
        </is>
      </c>
      <c r="L3308" s="11">
        <f>HYPERLINK("3\1\" &amp; K3308, "Ver Imagen")</f>
        <v/>
      </c>
      <c r="M3308" t="inlineStr">
        <is>
          <t>Moda</t>
        </is>
      </c>
    </row>
    <row r="3309">
      <c r="A3309" t="n">
        <v>3308</v>
      </c>
      <c r="B3309" t="inlineStr">
        <is>
          <t>A-497__802</t>
        </is>
      </c>
      <c r="C3309" s="1" t="n">
        <v>37.1938144846</v>
      </c>
      <c r="D3309" s="1" t="n">
        <v>-6.97771708808</v>
      </c>
      <c r="E3309" s="3" t="n">
        <v>3</v>
      </c>
      <c r="F3309" s="2" t="n">
        <v>3</v>
      </c>
      <c r="G3309" s="4" t="n">
        <v>4</v>
      </c>
      <c r="H3309" s="13" t="n"/>
      <c r="I3309" s="15" t="n"/>
      <c r="J3309" s="19" t="n">
        <v>3</v>
      </c>
      <c r="K3309" s="2" t="inlineStr">
        <is>
          <t>marker_265_367929.png</t>
        </is>
      </c>
      <c r="L3309" s="11">
        <f>HYPERLINK("3\1\" &amp; K3309, "Ver Imagen")</f>
        <v/>
      </c>
      <c r="M3309" t="inlineStr">
        <is>
          <t>Moda</t>
        </is>
      </c>
    </row>
    <row r="3310">
      <c r="A3310" t="n">
        <v>3309</v>
      </c>
      <c r="B3310" t="inlineStr">
        <is>
          <t>A-497__801</t>
        </is>
      </c>
      <c r="C3310" s="1" t="n">
        <v>37.1936275369</v>
      </c>
      <c r="D3310" s="1" t="n">
        <v>-6.97768765535</v>
      </c>
      <c r="E3310" s="3" t="n">
        <v>3</v>
      </c>
      <c r="F3310" s="2" t="n">
        <v>3</v>
      </c>
      <c r="G3310" s="4" t="n">
        <v>4</v>
      </c>
      <c r="H3310" s="13" t="n"/>
      <c r="I3310" s="15" t="n"/>
      <c r="J3310" s="19" t="n">
        <v>3</v>
      </c>
      <c r="K3310" s="2" t="inlineStr">
        <is>
          <t>marker_513_367938.png</t>
        </is>
      </c>
      <c r="L3310" s="11">
        <f>HYPERLINK("3\1\" &amp; K3310, "Ver Imagen")</f>
        <v/>
      </c>
      <c r="M3310" t="inlineStr">
        <is>
          <t>Moda</t>
        </is>
      </c>
    </row>
    <row r="3311">
      <c r="A3311" t="n">
        <v>3310</v>
      </c>
      <c r="B3311" t="inlineStr">
        <is>
          <t>A-497__798</t>
        </is>
      </c>
      <c r="C3311" s="1" t="n">
        <v>37.1930516025</v>
      </c>
      <c r="D3311" s="1" t="n">
        <v>-6.97764269172</v>
      </c>
      <c r="E3311" s="3" t="n">
        <v>3</v>
      </c>
      <c r="F3311" s="2" t="n">
        <v>3</v>
      </c>
      <c r="G3311" s="4" t="n">
        <v>4</v>
      </c>
      <c r="H3311" s="13" t="n"/>
      <c r="I3311" s="15" t="n"/>
      <c r="J3311" s="19" t="n">
        <v>3</v>
      </c>
      <c r="K3311" s="2" t="inlineStr">
        <is>
          <t>marker_830_367971.png</t>
        </is>
      </c>
      <c r="L3311" s="11">
        <f>HYPERLINK("3\1\" &amp; K3311, "Ver Imagen")</f>
        <v/>
      </c>
      <c r="M3311" t="inlineStr">
        <is>
          <t>Moda</t>
        </is>
      </c>
    </row>
    <row r="3312">
      <c r="A3312" t="n">
        <v>3311</v>
      </c>
      <c r="B3312" t="inlineStr">
        <is>
          <t>A-497__797</t>
        </is>
      </c>
      <c r="C3312" s="1" t="n">
        <v>37.1928366385</v>
      </c>
      <c r="D3312" s="1" t="n">
        <v>-6.97764091577</v>
      </c>
      <c r="E3312" s="3" t="n">
        <v>2</v>
      </c>
      <c r="F3312" s="2" t="n">
        <v>3</v>
      </c>
      <c r="G3312" s="4" t="n">
        <v>3</v>
      </c>
      <c r="H3312" s="13" t="n"/>
      <c r="I3312" s="15" t="n"/>
      <c r="J3312" s="19" t="n">
        <v>3</v>
      </c>
      <c r="K3312" s="2" t="inlineStr">
        <is>
          <t>marker_166_367983.png</t>
        </is>
      </c>
      <c r="L3312" s="11">
        <f>HYPERLINK("3\1\" &amp; K3312, "Ver Imagen")</f>
        <v/>
      </c>
      <c r="M3312" t="inlineStr">
        <is>
          <t>Moda</t>
        </is>
      </c>
    </row>
    <row r="3313">
      <c r="A3313" t="n">
        <v>3312</v>
      </c>
      <c r="B3313" t="inlineStr">
        <is>
          <t>A-497__796</t>
        </is>
      </c>
      <c r="C3313" s="1" t="n">
        <v>37.1926232475</v>
      </c>
      <c r="D3313" s="1" t="n">
        <v>-6.97764606993</v>
      </c>
      <c r="E3313" s="3" t="n">
        <v>3</v>
      </c>
      <c r="F3313" s="2" t="n">
        <v>3</v>
      </c>
      <c r="G3313" s="4" t="n">
        <v>4</v>
      </c>
      <c r="H3313" s="13" t="n"/>
      <c r="I3313" s="15" t="n"/>
      <c r="J3313" s="19" t="n">
        <v>3</v>
      </c>
      <c r="K3313" s="2" t="inlineStr">
        <is>
          <t>marker_119_367995.png</t>
        </is>
      </c>
      <c r="L3313" s="11">
        <f>HYPERLINK("3\1\" &amp; K3313, "Ver Imagen")</f>
        <v/>
      </c>
      <c r="M3313" t="inlineStr">
        <is>
          <t>Moda</t>
        </is>
      </c>
    </row>
    <row r="3314">
      <c r="A3314" t="n">
        <v>3313</v>
      </c>
      <c r="B3314" t="inlineStr">
        <is>
          <t>A-497__791</t>
        </is>
      </c>
      <c r="C3314" s="1" t="n">
        <v>37.1915880441</v>
      </c>
      <c r="D3314" s="1" t="n">
        <v>-6.97776205671</v>
      </c>
      <c r="E3314" s="3" t="n">
        <v>3</v>
      </c>
      <c r="F3314" s="2" t="n">
        <v>3</v>
      </c>
      <c r="G3314" s="4" t="n">
        <v>4</v>
      </c>
      <c r="H3314" s="13" t="n"/>
      <c r="I3314" s="15" t="n"/>
      <c r="J3314" s="19" t="n">
        <v>3</v>
      </c>
      <c r="K3314" s="2" t="inlineStr">
        <is>
          <t>marker_888_368052.png</t>
        </is>
      </c>
      <c r="L3314" s="11">
        <f>HYPERLINK("3\1\" &amp; K3314, "Ver Imagen")</f>
        <v/>
      </c>
      <c r="M3314" t="inlineStr">
        <is>
          <t>Moda</t>
        </is>
      </c>
    </row>
    <row r="3315">
      <c r="A3315" t="n">
        <v>3314</v>
      </c>
      <c r="B3315" t="inlineStr">
        <is>
          <t>A-497__790</t>
        </is>
      </c>
      <c r="C3315" s="1" t="n">
        <v>37.1914015111</v>
      </c>
      <c r="D3315" s="1" t="n">
        <v>-6.9777966568</v>
      </c>
      <c r="E3315" s="3" t="n">
        <v>3</v>
      </c>
      <c r="F3315" s="2" t="n">
        <v>3</v>
      </c>
      <c r="G3315" s="4" t="n">
        <v>4</v>
      </c>
      <c r="H3315" s="13" t="n"/>
      <c r="I3315" s="15" t="n"/>
      <c r="J3315" s="19" t="n">
        <v>3</v>
      </c>
      <c r="K3315" s="2" t="inlineStr">
        <is>
          <t>marker_907_368062.png</t>
        </is>
      </c>
      <c r="L3315" s="11">
        <f>HYPERLINK("3\1\" &amp; K3315, "Ver Imagen")</f>
        <v/>
      </c>
      <c r="M3315" t="inlineStr">
        <is>
          <t>Moda</t>
        </is>
      </c>
    </row>
    <row r="3316">
      <c r="A3316" t="n">
        <v>3315</v>
      </c>
      <c r="B3316" t="inlineStr">
        <is>
          <t>A-497__787</t>
        </is>
      </c>
      <c r="C3316" s="1" t="n">
        <v>37.1908268649</v>
      </c>
      <c r="D3316" s="1" t="n">
        <v>-6.97792204452</v>
      </c>
      <c r="E3316" s="3" t="n">
        <v>3</v>
      </c>
      <c r="F3316" s="2" t="n">
        <v>3</v>
      </c>
      <c r="G3316" s="4" t="n">
        <v>4</v>
      </c>
      <c r="H3316" s="13" t="n"/>
      <c r="I3316" s="15" t="n"/>
      <c r="J3316" s="19" t="n">
        <v>3</v>
      </c>
      <c r="K3316" s="2" t="inlineStr">
        <is>
          <t>marker_564_368092.png</t>
        </is>
      </c>
      <c r="L3316" s="11">
        <f>HYPERLINK("3\1\" &amp; K3316, "Ver Imagen")</f>
        <v/>
      </c>
      <c r="M3316" t="inlineStr">
        <is>
          <t>Moda</t>
        </is>
      </c>
    </row>
    <row r="3317">
      <c r="A3317" t="n">
        <v>3316</v>
      </c>
      <c r="B3317" t="inlineStr">
        <is>
          <t>A-497__786</t>
        </is>
      </c>
      <c r="C3317" s="1" t="n">
        <v>37.1906397211</v>
      </c>
      <c r="D3317" s="1" t="n">
        <v>-6.97796739633</v>
      </c>
      <c r="E3317" s="3" t="n">
        <v>3</v>
      </c>
      <c r="F3317" s="2" t="n">
        <v>3</v>
      </c>
      <c r="G3317" s="4" t="n">
        <v>4</v>
      </c>
      <c r="H3317" s="13" t="n"/>
      <c r="I3317" s="15" t="n"/>
      <c r="J3317" s="19" t="n">
        <v>3</v>
      </c>
      <c r="K3317" s="2" t="inlineStr">
        <is>
          <t>marker_762_368102.png</t>
        </is>
      </c>
      <c r="L3317" s="11">
        <f>HYPERLINK("3\1\" &amp; K3317, "Ver Imagen")</f>
        <v/>
      </c>
      <c r="M3317" t="inlineStr">
        <is>
          <t>Moda</t>
        </is>
      </c>
    </row>
    <row r="3318">
      <c r="A3318" t="n">
        <v>3317</v>
      </c>
      <c r="B3318" t="inlineStr">
        <is>
          <t>A-497__785</t>
        </is>
      </c>
      <c r="C3318" s="1" t="n">
        <v>37.1904423957</v>
      </c>
      <c r="D3318" s="1" t="n">
        <v>-6.97801743829</v>
      </c>
      <c r="E3318" s="3" t="n">
        <v>3</v>
      </c>
      <c r="F3318" s="2" t="n">
        <v>3</v>
      </c>
      <c r="G3318" s="4" t="n">
        <v>4</v>
      </c>
      <c r="H3318" s="13" t="n"/>
      <c r="I3318" s="15" t="n"/>
      <c r="J3318" s="19" t="n">
        <v>3</v>
      </c>
      <c r="K3318" s="2" t="inlineStr">
        <is>
          <t>marker_374_368112.png</t>
        </is>
      </c>
      <c r="L3318" s="11">
        <f>HYPERLINK("3\1\" &amp; K3318, "Ver Imagen")</f>
        <v/>
      </c>
      <c r="M3318" t="inlineStr">
        <is>
          <t>Moda</t>
        </is>
      </c>
    </row>
    <row r="3319">
      <c r="A3319" t="n">
        <v>3318</v>
      </c>
      <c r="B3319" t="inlineStr">
        <is>
          <t>A-497__784</t>
        </is>
      </c>
      <c r="C3319" s="1" t="n">
        <v>37.1902339759</v>
      </c>
      <c r="D3319" s="1" t="n">
        <v>-6.97807207244</v>
      </c>
      <c r="E3319" s="3" t="n">
        <v>3</v>
      </c>
      <c r="F3319" s="2" t="n">
        <v>3</v>
      </c>
      <c r="G3319" s="4" t="n">
        <v>4</v>
      </c>
      <c r="H3319" s="13" t="n"/>
      <c r="I3319" s="15" t="n"/>
      <c r="J3319" s="19" t="n">
        <v>3</v>
      </c>
      <c r="K3319" s="2" t="inlineStr">
        <is>
          <t>marker_349_368122.png</t>
        </is>
      </c>
      <c r="L3319" s="11">
        <f>HYPERLINK("3\1\" &amp; K3319, "Ver Imagen")</f>
        <v/>
      </c>
      <c r="M3319" t="inlineStr">
        <is>
          <t>Moda</t>
        </is>
      </c>
    </row>
    <row r="3320">
      <c r="A3320" t="n">
        <v>3319</v>
      </c>
      <c r="B3320" t="inlineStr">
        <is>
          <t>A-497__781</t>
        </is>
      </c>
      <c r="C3320" s="1" t="n">
        <v>37.189615514</v>
      </c>
      <c r="D3320" s="1" t="n">
        <v>-6.97824626041</v>
      </c>
      <c r="E3320" s="3" t="n">
        <v>3</v>
      </c>
      <c r="F3320" s="2" t="n">
        <v>3</v>
      </c>
      <c r="G3320" s="4" t="n">
        <v>4</v>
      </c>
      <c r="H3320" s="13" t="n"/>
      <c r="I3320" s="15" t="n"/>
      <c r="J3320" s="19" t="n">
        <v>3</v>
      </c>
      <c r="K3320" s="2" t="inlineStr">
        <is>
          <t>marker_531_368152.png</t>
        </is>
      </c>
      <c r="L3320" s="11">
        <f>HYPERLINK("3\1\" &amp; K3320, "Ver Imagen")</f>
        <v/>
      </c>
      <c r="M3320" t="inlineStr">
        <is>
          <t>Moda</t>
        </is>
      </c>
    </row>
    <row r="3321">
      <c r="A3321" t="n">
        <v>3320</v>
      </c>
      <c r="B3321" t="inlineStr">
        <is>
          <t>A-497__779</t>
        </is>
      </c>
      <c r="C3321" s="1" t="n">
        <v>37.1892359894</v>
      </c>
      <c r="D3321" s="1" t="n">
        <v>-6.97835679246</v>
      </c>
      <c r="E3321" s="3" t="n">
        <v>2</v>
      </c>
      <c r="F3321" s="2" t="n">
        <v>3</v>
      </c>
      <c r="G3321" s="4" t="n">
        <v>3</v>
      </c>
      <c r="H3321" s="13" t="n"/>
      <c r="I3321" s="15" t="n"/>
      <c r="J3321" s="19" t="n">
        <v>3</v>
      </c>
      <c r="K3321" s="2" t="inlineStr">
        <is>
          <t>marker_873_368173.png</t>
        </is>
      </c>
      <c r="L3321" s="11">
        <f>HYPERLINK("3\1\" &amp; K3321, "Ver Imagen")</f>
        <v/>
      </c>
      <c r="M3321" t="inlineStr">
        <is>
          <t>Moda</t>
        </is>
      </c>
    </row>
    <row r="3322">
      <c r="A3322" t="n">
        <v>3321</v>
      </c>
      <c r="B3322" t="inlineStr">
        <is>
          <t>A-497__763</t>
        </is>
      </c>
      <c r="C3322" s="1" t="n">
        <v>37.1864657128</v>
      </c>
      <c r="D3322" s="1" t="n">
        <v>-6.98016509798</v>
      </c>
      <c r="E3322" s="3" t="n">
        <v>3</v>
      </c>
      <c r="F3322" s="2" t="n">
        <v>3</v>
      </c>
      <c r="G3322" s="4" t="n">
        <v>4</v>
      </c>
      <c r="H3322" s="13" t="n"/>
      <c r="I3322" s="15" t="n"/>
      <c r="J3322" s="19" t="n">
        <v>3</v>
      </c>
      <c r="K3322" s="2" t="inlineStr">
        <is>
          <t>marker_645_368529.png</t>
        </is>
      </c>
      <c r="L3322" s="11">
        <f>HYPERLINK("3\1\" &amp; K3322, "Ver Imagen")</f>
        <v/>
      </c>
      <c r="M3322" t="inlineStr">
        <is>
          <t>Moda</t>
        </is>
      </c>
    </row>
    <row r="3323">
      <c r="A3323" t="n">
        <v>3322</v>
      </c>
      <c r="B3323" t="inlineStr">
        <is>
          <t>A-497__762</t>
        </is>
      </c>
      <c r="C3323" s="1" t="n">
        <v>37.1863575543</v>
      </c>
      <c r="D3323" s="1" t="n">
        <v>-6.98040079943</v>
      </c>
      <c r="E3323" s="3" t="n">
        <v>3</v>
      </c>
      <c r="F3323" s="2" t="n">
        <v>3</v>
      </c>
      <c r="G3323" s="4" t="n">
        <v>4</v>
      </c>
      <c r="H3323" s="13" t="n"/>
      <c r="I3323" s="15" t="n"/>
      <c r="J3323" s="19" t="n">
        <v>3</v>
      </c>
      <c r="K3323" s="2" t="inlineStr">
        <is>
          <t>marker_677_368540.png</t>
        </is>
      </c>
      <c r="L3323" s="11">
        <f>HYPERLINK("3\1\" &amp; K3323, "Ver Imagen")</f>
        <v/>
      </c>
      <c r="M3323" t="inlineStr">
        <is>
          <t>Moda</t>
        </is>
      </c>
    </row>
    <row r="3324">
      <c r="A3324" t="n">
        <v>3323</v>
      </c>
      <c r="B3324" t="inlineStr">
        <is>
          <t>A-497_2C__22</t>
        </is>
      </c>
      <c r="C3324" s="1" t="n">
        <v>37.267607136</v>
      </c>
      <c r="D3324" s="1" t="n">
        <v>-6.96252513979</v>
      </c>
      <c r="E3324" s="3" t="n">
        <v>3</v>
      </c>
      <c r="F3324" s="2" t="n">
        <v>3</v>
      </c>
      <c r="G3324" s="4" t="n">
        <v>4</v>
      </c>
      <c r="H3324" s="13" t="n"/>
      <c r="I3324" s="15" t="n"/>
      <c r="J3324" s="19" t="n">
        <v>3</v>
      </c>
      <c r="K3324" s="2" t="inlineStr">
        <is>
          <t>marker_879_654407.png</t>
        </is>
      </c>
      <c r="L3324" s="11">
        <f>HYPERLINK("3\1\" &amp; K3324, "Ver Imagen")</f>
        <v/>
      </c>
      <c r="M3324" t="inlineStr">
        <is>
          <t>Moda</t>
        </is>
      </c>
    </row>
    <row r="3325">
      <c r="A3325" t="n">
        <v>3324</v>
      </c>
      <c r="B3325" t="inlineStr">
        <is>
          <t>A-497_2C__24</t>
        </is>
      </c>
      <c r="C3325" s="1" t="n">
        <v>37.2676206651</v>
      </c>
      <c r="D3325" s="1" t="n">
        <v>-6.96302666065</v>
      </c>
      <c r="E3325" s="3" t="n">
        <v>4</v>
      </c>
      <c r="F3325" s="2" t="n">
        <v>3</v>
      </c>
      <c r="G3325" s="4" t="n">
        <v>3</v>
      </c>
      <c r="H3325" s="13" t="n"/>
      <c r="I3325" s="15" t="n"/>
      <c r="J3325" s="19" t="n">
        <v>3</v>
      </c>
      <c r="K3325" s="2" t="inlineStr">
        <is>
          <t>marker_161_654425.png</t>
        </is>
      </c>
      <c r="L3325" s="11">
        <f>HYPERLINK("3\1\" &amp; K3325, "Ver Imagen")</f>
        <v/>
      </c>
      <c r="M3325" t="inlineStr">
        <is>
          <t>Moda</t>
        </is>
      </c>
    </row>
    <row r="3326">
      <c r="A3326" t="n">
        <v>3325</v>
      </c>
      <c r="B3326" t="inlineStr">
        <is>
          <t>A-497_2C__27</t>
        </is>
      </c>
      <c r="C3326" s="1" t="n">
        <v>37.2676424132</v>
      </c>
      <c r="D3326" s="1" t="n">
        <v>-6.9638071887</v>
      </c>
      <c r="E3326" s="3" t="n">
        <v>2</v>
      </c>
      <c r="F3326" s="2" t="n">
        <v>3</v>
      </c>
      <c r="G3326" s="4" t="n">
        <v>3</v>
      </c>
      <c r="H3326" s="13" t="n"/>
      <c r="I3326" s="15" t="n"/>
      <c r="J3326" s="19" t="n">
        <v>3</v>
      </c>
      <c r="K3326" s="2" t="inlineStr">
        <is>
          <t>marker_156_654457.png</t>
        </is>
      </c>
      <c r="L3326" s="11">
        <f>HYPERLINK("3\1\" &amp; K3326, "Ver Imagen")</f>
        <v/>
      </c>
      <c r="M3326" t="inlineStr">
        <is>
          <t>Moda</t>
        </is>
      </c>
    </row>
    <row r="3327">
      <c r="A3327" t="n">
        <v>3326</v>
      </c>
      <c r="B3327" t="inlineStr">
        <is>
          <t>A-497_2C__34</t>
        </is>
      </c>
      <c r="C3327" s="1" t="n">
        <v>37.2676859556</v>
      </c>
      <c r="D3327" s="1" t="n">
        <v>-6.96556137038</v>
      </c>
      <c r="E3327" s="3" t="n">
        <v>4</v>
      </c>
      <c r="F3327" s="2" t="n">
        <v>3</v>
      </c>
      <c r="G3327" s="4" t="n">
        <v>3</v>
      </c>
      <c r="H3327" s="13" t="n"/>
      <c r="I3327" s="15" t="n"/>
      <c r="J3327" s="19" t="n">
        <v>3</v>
      </c>
      <c r="K3327" s="2" t="inlineStr">
        <is>
          <t>marker_961_654525.png</t>
        </is>
      </c>
      <c r="L3327" s="11">
        <f>HYPERLINK("3\1\" &amp; K3327, "Ver Imagen")</f>
        <v/>
      </c>
      <c r="M3327" t="inlineStr">
        <is>
          <t>Moda</t>
        </is>
      </c>
    </row>
    <row r="3328">
      <c r="A3328" t="n">
        <v>3327</v>
      </c>
      <c r="B3328" t="inlineStr">
        <is>
          <t>A-497_2C__36</t>
        </is>
      </c>
      <c r="C3328" s="1" t="n">
        <v>37.2677065537</v>
      </c>
      <c r="D3328" s="1" t="n">
        <v>-6.96609157311</v>
      </c>
      <c r="E3328" s="3" t="n">
        <v>4</v>
      </c>
      <c r="F3328" s="2" t="n">
        <v>3</v>
      </c>
      <c r="G3328" s="4" t="n">
        <v>3</v>
      </c>
      <c r="H3328" s="13" t="n"/>
      <c r="I3328" s="15" t="n"/>
      <c r="J3328" s="19" t="n">
        <v>3</v>
      </c>
      <c r="K3328" s="2" t="inlineStr">
        <is>
          <t>marker_765_654611.png</t>
        </is>
      </c>
      <c r="L3328" s="11">
        <f>HYPERLINK("3\1\" &amp; K3328, "Ver Imagen")</f>
        <v/>
      </c>
      <c r="M3328" t="inlineStr">
        <is>
          <t>Moda</t>
        </is>
      </c>
    </row>
    <row r="3329">
      <c r="A3329" t="n">
        <v>3328</v>
      </c>
      <c r="B3329" t="inlineStr">
        <is>
          <t>A-497_2C__37</t>
        </is>
      </c>
      <c r="C3329" s="1" t="n">
        <v>37.2677189296</v>
      </c>
      <c r="D3329" s="1" t="n">
        <v>-6.96636040165</v>
      </c>
      <c r="E3329" s="3" t="n">
        <v>4</v>
      </c>
      <c r="F3329" s="2" t="n">
        <v>3</v>
      </c>
      <c r="G3329" s="4" t="n">
        <v>3</v>
      </c>
      <c r="H3329" s="13" t="n"/>
      <c r="I3329" s="15" t="n"/>
      <c r="J3329" s="19" t="n">
        <v>3</v>
      </c>
      <c r="K3329" s="2" t="inlineStr">
        <is>
          <t>marker_815_654621.png</t>
        </is>
      </c>
      <c r="L3329" s="11">
        <f>HYPERLINK("3\1\" &amp; K3329, "Ver Imagen")</f>
        <v/>
      </c>
      <c r="M3329" t="inlineStr">
        <is>
          <t>Moda</t>
        </is>
      </c>
    </row>
    <row r="3330">
      <c r="A3330" t="n">
        <v>3329</v>
      </c>
      <c r="B3330" t="inlineStr">
        <is>
          <t>A-497_2C__40</t>
        </is>
      </c>
      <c r="C3330" s="1" t="n">
        <v>37.2677608225</v>
      </c>
      <c r="D3330" s="1" t="n">
        <v>-6.96713156249</v>
      </c>
      <c r="E3330" s="3" t="n">
        <v>4</v>
      </c>
      <c r="F3330" s="2" t="n">
        <v>3</v>
      </c>
      <c r="G3330" s="4" t="n">
        <v>3</v>
      </c>
      <c r="H3330" s="13" t="n"/>
      <c r="I3330" s="15" t="n"/>
      <c r="J3330" s="19" t="n">
        <v>3</v>
      </c>
      <c r="K3330" s="2" t="inlineStr">
        <is>
          <t>marker_888_654649.png</t>
        </is>
      </c>
      <c r="L3330" s="11">
        <f>HYPERLINK("3\1\" &amp; K3330, "Ver Imagen")</f>
        <v/>
      </c>
      <c r="M3330" t="inlineStr">
        <is>
          <t>Moda</t>
        </is>
      </c>
    </row>
    <row r="3331">
      <c r="A3331" t="n">
        <v>3330</v>
      </c>
      <c r="B3331" t="inlineStr">
        <is>
          <t>A-497_2C__41</t>
        </is>
      </c>
      <c r="C3331" s="1" t="n">
        <v>37.2677771973</v>
      </c>
      <c r="D3331" s="1" t="n">
        <v>-6.96738532336</v>
      </c>
      <c r="E3331" s="3" t="n">
        <v>4</v>
      </c>
      <c r="F3331" s="2" t="n">
        <v>3</v>
      </c>
      <c r="G3331" s="4" t="n">
        <v>3</v>
      </c>
      <c r="H3331" s="13" t="n"/>
      <c r="I3331" s="15" t="n"/>
      <c r="J3331" s="19" t="n">
        <v>3</v>
      </c>
      <c r="K3331" s="2" t="inlineStr">
        <is>
          <t>marker_211_654657.png</t>
        </is>
      </c>
      <c r="L3331" s="11">
        <f>HYPERLINK("3\1\" &amp; K3331, "Ver Imagen")</f>
        <v/>
      </c>
      <c r="M3331" t="inlineStr">
        <is>
          <t>Moda</t>
        </is>
      </c>
    </row>
    <row r="3332">
      <c r="A3332" t="n">
        <v>3331</v>
      </c>
      <c r="B3332" t="inlineStr">
        <is>
          <t>A-497_2C__42</t>
        </is>
      </c>
      <c r="C3332" s="1" t="n">
        <v>37.2677903159</v>
      </c>
      <c r="D3332" s="1" t="n">
        <v>-6.9675738089</v>
      </c>
      <c r="E3332" s="3" t="n">
        <v>4</v>
      </c>
      <c r="F3332" s="2" t="n">
        <v>3</v>
      </c>
      <c r="G3332" s="4" t="n">
        <v>3</v>
      </c>
      <c r="H3332" s="13" t="n"/>
      <c r="I3332" s="15" t="n"/>
      <c r="J3332" s="19" t="n">
        <v>3</v>
      </c>
      <c r="K3332" s="2" t="inlineStr">
        <is>
          <t>marker_388_654665.png</t>
        </is>
      </c>
      <c r="L3332" s="11">
        <f>HYPERLINK("3\1\" &amp; K3332, "Ver Imagen")</f>
        <v/>
      </c>
      <c r="M3332" t="inlineStr">
        <is>
          <t>Moda</t>
        </is>
      </c>
    </row>
    <row r="3333">
      <c r="A3333" t="n">
        <v>3332</v>
      </c>
      <c r="B3333" t="inlineStr">
        <is>
          <t>A-497_2C__46</t>
        </is>
      </c>
      <c r="C3333" s="1" t="n">
        <v>37.2678842974</v>
      </c>
      <c r="D3333" s="1" t="n">
        <v>-6.96864503402</v>
      </c>
      <c r="E3333" s="3" t="n">
        <v>4</v>
      </c>
      <c r="F3333" s="2" t="n">
        <v>3</v>
      </c>
      <c r="G3333" s="4" t="n">
        <v>3</v>
      </c>
      <c r="H3333" s="13" t="n"/>
      <c r="I3333" s="15" t="n"/>
      <c r="J3333" s="19" t="n">
        <v>3</v>
      </c>
      <c r="K3333" s="2" t="inlineStr">
        <is>
          <t>marker_865_654700.png</t>
        </is>
      </c>
      <c r="L3333" s="11">
        <f>HYPERLINK("3\1\" &amp; K3333, "Ver Imagen")</f>
        <v/>
      </c>
      <c r="M3333" t="inlineStr">
        <is>
          <t>Moda</t>
        </is>
      </c>
    </row>
    <row r="3334">
      <c r="A3334" t="n">
        <v>3333</v>
      </c>
      <c r="B3334" t="inlineStr">
        <is>
          <t>A-497_2C__48</t>
        </is>
      </c>
      <c r="C3334" s="1" t="n">
        <v>37.2679307331</v>
      </c>
      <c r="D3334" s="1" t="n">
        <v>-6.96913368859</v>
      </c>
      <c r="E3334" s="3" t="n">
        <v>4</v>
      </c>
      <c r="F3334" s="2" t="n">
        <v>3</v>
      </c>
      <c r="G3334" s="4" t="n">
        <v>3</v>
      </c>
      <c r="H3334" s="13" t="n"/>
      <c r="I3334" s="15" t="n"/>
      <c r="J3334" s="19" t="n">
        <v>3</v>
      </c>
      <c r="K3334" s="2" t="inlineStr">
        <is>
          <t>marker_515_654716.png</t>
        </is>
      </c>
      <c r="L3334" s="11">
        <f>HYPERLINK("3\1\" &amp; K3334, "Ver Imagen")</f>
        <v/>
      </c>
      <c r="M3334" t="inlineStr">
        <is>
          <t>Moda</t>
        </is>
      </c>
    </row>
    <row r="3335">
      <c r="A3335" t="n">
        <v>3334</v>
      </c>
      <c r="B3335" t="inlineStr">
        <is>
          <t>A-497_2C__49</t>
        </is>
      </c>
      <c r="C3335" s="1" t="n">
        <v>37.2679580547</v>
      </c>
      <c r="D3335" s="1" t="n">
        <v>-6.9693953785</v>
      </c>
      <c r="E3335" s="3" t="n">
        <v>4</v>
      </c>
      <c r="F3335" s="2" t="n">
        <v>3</v>
      </c>
      <c r="G3335" s="4" t="n">
        <v>3</v>
      </c>
      <c r="H3335" s="13" t="n"/>
      <c r="I3335" s="15" t="n"/>
      <c r="J3335" s="19" t="n">
        <v>3</v>
      </c>
      <c r="K3335" s="2" t="inlineStr">
        <is>
          <t>marker_550_654725.png</t>
        </is>
      </c>
      <c r="L3335" s="11">
        <f>HYPERLINK("3\1\" &amp; K3335, "Ver Imagen")</f>
        <v/>
      </c>
      <c r="M3335" t="inlineStr">
        <is>
          <t>Moda</t>
        </is>
      </c>
    </row>
    <row r="3336">
      <c r="A3336" t="n">
        <v>3335</v>
      </c>
      <c r="B3336" t="inlineStr">
        <is>
          <t>A-497_2C__54</t>
        </is>
      </c>
      <c r="C3336" s="1" t="n">
        <v>37.2681059585</v>
      </c>
      <c r="D3336" s="1" t="n">
        <v>-6.97064017424</v>
      </c>
      <c r="E3336" s="3" t="n">
        <v>2</v>
      </c>
      <c r="F3336" s="2" t="n">
        <v>3</v>
      </c>
      <c r="G3336" s="4" t="n">
        <v>3</v>
      </c>
      <c r="H3336" s="13" t="n"/>
      <c r="I3336" s="15" t="n"/>
      <c r="J3336" s="19" t="n">
        <v>3</v>
      </c>
      <c r="K3336" s="2" t="inlineStr">
        <is>
          <t>marker_529_654795.png</t>
        </is>
      </c>
      <c r="L3336" s="11">
        <f>HYPERLINK("3\1\" &amp; K3336, "Ver Imagen")</f>
        <v/>
      </c>
      <c r="M3336" t="inlineStr">
        <is>
          <t>Moda</t>
        </is>
      </c>
    </row>
    <row r="3337">
      <c r="A3337" t="n">
        <v>3336</v>
      </c>
      <c r="B3337" t="inlineStr">
        <is>
          <t>A-497_2C__59</t>
        </is>
      </c>
      <c r="C3337" s="1" t="n">
        <v>37.268288927</v>
      </c>
      <c r="D3337" s="1" t="n">
        <v>-6.97188963842</v>
      </c>
      <c r="E3337" s="3" t="n">
        <v>3</v>
      </c>
      <c r="F3337" s="2" t="n">
        <v>3</v>
      </c>
      <c r="G3337" s="4" t="n">
        <v>2</v>
      </c>
      <c r="H3337" s="13" t="n"/>
      <c r="I3337" s="15" t="n"/>
      <c r="J3337" s="19" t="n">
        <v>3</v>
      </c>
      <c r="K3337" s="2" t="inlineStr">
        <is>
          <t>marker_395_654864.png</t>
        </is>
      </c>
      <c r="L3337" s="11">
        <f>HYPERLINK("3\1\" &amp; K3337, "Ver Imagen")</f>
        <v/>
      </c>
      <c r="M3337" t="inlineStr">
        <is>
          <t>Moda</t>
        </is>
      </c>
    </row>
    <row r="3338">
      <c r="A3338" t="n">
        <v>3337</v>
      </c>
      <c r="B3338" t="inlineStr">
        <is>
          <t>A-497_2C__61</t>
        </is>
      </c>
      <c r="C3338" s="1" t="n">
        <v>37.2683703934</v>
      </c>
      <c r="D3338" s="1" t="n">
        <v>-6.97236862736</v>
      </c>
      <c r="E3338" s="3" t="n">
        <v>4</v>
      </c>
      <c r="F3338" s="2" t="n">
        <v>3</v>
      </c>
      <c r="G3338" s="4" t="n">
        <v>3</v>
      </c>
      <c r="H3338" s="13" t="n"/>
      <c r="I3338" s="15" t="n"/>
      <c r="J3338" s="19" t="n">
        <v>3</v>
      </c>
      <c r="K3338" s="2" t="inlineStr">
        <is>
          <t>marker_327_654884.png</t>
        </is>
      </c>
      <c r="L3338" s="11">
        <f>HYPERLINK("3\1\" &amp; K3338, "Ver Imagen")</f>
        <v/>
      </c>
      <c r="M3338" t="inlineStr">
        <is>
          <t>Moda</t>
        </is>
      </c>
    </row>
    <row r="3339">
      <c r="A3339" t="n">
        <v>3338</v>
      </c>
      <c r="B3339" t="inlineStr">
        <is>
          <t>A-497_2C__62</t>
        </is>
      </c>
      <c r="C3339" s="1" t="n">
        <v>37.2684156282</v>
      </c>
      <c r="D3339" s="1" t="n">
        <v>-6.97262385617</v>
      </c>
      <c r="E3339" s="3" t="n">
        <v>3</v>
      </c>
      <c r="F3339" s="2" t="n">
        <v>3</v>
      </c>
      <c r="G3339" s="4" t="n">
        <v>2</v>
      </c>
      <c r="H3339" s="13" t="n"/>
      <c r="I3339" s="15" t="n"/>
      <c r="J3339" s="19" t="n">
        <v>3</v>
      </c>
      <c r="K3339" s="2" t="inlineStr">
        <is>
          <t>marker_539_654893.png</t>
        </is>
      </c>
      <c r="L3339" s="11">
        <f>HYPERLINK("3\1\" &amp; K3339, "Ver Imagen")</f>
        <v/>
      </c>
      <c r="M3339" t="inlineStr">
        <is>
          <t>Moda</t>
        </is>
      </c>
    </row>
    <row r="3340">
      <c r="A3340" t="n">
        <v>3339</v>
      </c>
      <c r="B3340" t="inlineStr">
        <is>
          <t>A-497_2C__64</t>
        </is>
      </c>
      <c r="C3340" s="1" t="n">
        <v>37.2685122023</v>
      </c>
      <c r="D3340" s="1" t="n">
        <v>-6.97314242986</v>
      </c>
      <c r="E3340" s="3" t="n">
        <v>4</v>
      </c>
      <c r="F3340" s="2" t="n">
        <v>3</v>
      </c>
      <c r="G3340" s="4" t="n">
        <v>3</v>
      </c>
      <c r="H3340" s="13" t="n"/>
      <c r="I3340" s="15" t="n"/>
      <c r="J3340" s="19" t="n">
        <v>3</v>
      </c>
      <c r="K3340" s="2" t="inlineStr">
        <is>
          <t>marker_985_654911.png</t>
        </is>
      </c>
      <c r="L3340" s="11">
        <f>HYPERLINK("3\1\" &amp; K3340, "Ver Imagen")</f>
        <v/>
      </c>
      <c r="M3340" t="inlineStr">
        <is>
          <t>Moda</t>
        </is>
      </c>
    </row>
    <row r="3341">
      <c r="A3341" t="n">
        <v>3340</v>
      </c>
      <c r="B3341" t="inlineStr">
        <is>
          <t>A-497_2C__65</t>
        </is>
      </c>
      <c r="C3341" s="1" t="n">
        <v>37.2685523747</v>
      </c>
      <c r="D3341" s="1" t="n">
        <v>-6.973350256</v>
      </c>
      <c r="E3341" s="3" t="n">
        <v>2</v>
      </c>
      <c r="F3341" s="2" t="n">
        <v>3</v>
      </c>
      <c r="G3341" s="4" t="n">
        <v>3</v>
      </c>
      <c r="H3341" s="13" t="n"/>
      <c r="I3341" s="15" t="n"/>
      <c r="J3341" s="19" t="n">
        <v>3</v>
      </c>
      <c r="K3341" s="2" t="inlineStr">
        <is>
          <t>marker_504_654920.png</t>
        </is>
      </c>
      <c r="L3341" s="11">
        <f>HYPERLINK("3\1\" &amp; K3341, "Ver Imagen")</f>
        <v/>
      </c>
      <c r="M3341" t="inlineStr">
        <is>
          <t>Moda</t>
        </is>
      </c>
    </row>
    <row r="3342">
      <c r="A3342" t="n">
        <v>3341</v>
      </c>
      <c r="B3342" t="inlineStr">
        <is>
          <t>A-497_2C__75</t>
        </is>
      </c>
      <c r="C3342" s="1" t="n">
        <v>37.2690922295</v>
      </c>
      <c r="D3342" s="1" t="n">
        <v>-6.97578865732</v>
      </c>
      <c r="E3342" s="3" t="n">
        <v>4</v>
      </c>
      <c r="F3342" s="2" t="n">
        <v>3</v>
      </c>
      <c r="G3342" s="4" t="n">
        <v>3</v>
      </c>
      <c r="H3342" s="13" t="n"/>
      <c r="I3342" s="15" t="n"/>
      <c r="J3342" s="19" t="n">
        <v>3</v>
      </c>
      <c r="K3342" s="2" t="inlineStr">
        <is>
          <t>marker_709_655083.png</t>
        </is>
      </c>
      <c r="L3342" s="11">
        <f>HYPERLINK("3\1\" &amp; K3342, "Ver Imagen")</f>
        <v/>
      </c>
      <c r="M3342" t="inlineStr">
        <is>
          <t>Moda</t>
        </is>
      </c>
    </row>
    <row r="3343">
      <c r="A3343" t="n">
        <v>3342</v>
      </c>
      <c r="B3343" t="inlineStr">
        <is>
          <t>A-497_2C__76</t>
        </is>
      </c>
      <c r="C3343" s="1" t="n">
        <v>37.2691582179</v>
      </c>
      <c r="D3343" s="1" t="n">
        <v>-6.97604587271</v>
      </c>
      <c r="E3343" s="3" t="n">
        <v>4</v>
      </c>
      <c r="F3343" s="2" t="n">
        <v>3</v>
      </c>
      <c r="G3343" s="4" t="n">
        <v>3</v>
      </c>
      <c r="H3343" s="13" t="n"/>
      <c r="I3343" s="15" t="n"/>
      <c r="J3343" s="19" t="n">
        <v>3</v>
      </c>
      <c r="K3343" s="2" t="inlineStr">
        <is>
          <t>marker_764_655091.png</t>
        </is>
      </c>
      <c r="L3343" s="11">
        <f>HYPERLINK("3\1\" &amp; K3343, "Ver Imagen")</f>
        <v/>
      </c>
      <c r="M3343" t="inlineStr">
        <is>
          <t>Moda</t>
        </is>
      </c>
    </row>
    <row r="3344">
      <c r="A3344" t="n">
        <v>3343</v>
      </c>
      <c r="B3344" t="inlineStr">
        <is>
          <t>A-497_2C__77</t>
        </is>
      </c>
      <c r="C3344" s="1" t="n">
        <v>37.2692195098</v>
      </c>
      <c r="D3344" s="1" t="n">
        <v>-6.97628061481</v>
      </c>
      <c r="E3344" s="3" t="n">
        <v>4</v>
      </c>
      <c r="F3344" s="2" t="n">
        <v>3</v>
      </c>
      <c r="G3344" s="4" t="n">
        <v>3</v>
      </c>
      <c r="H3344" s="13" t="n"/>
      <c r="I3344" s="15" t="n"/>
      <c r="J3344" s="19" t="n">
        <v>3</v>
      </c>
      <c r="K3344" s="2" t="inlineStr">
        <is>
          <t>marker_986_655099.png</t>
        </is>
      </c>
      <c r="L3344" s="11">
        <f>HYPERLINK("3\1\" &amp; K3344, "Ver Imagen")</f>
        <v/>
      </c>
      <c r="M3344" t="inlineStr">
        <is>
          <t>Moda</t>
        </is>
      </c>
    </row>
    <row r="3345">
      <c r="A3345" t="n">
        <v>3344</v>
      </c>
      <c r="B3345" t="inlineStr">
        <is>
          <t>A-497_2C__81</t>
        </is>
      </c>
      <c r="C3345" s="1" t="n">
        <v>37.2694784022</v>
      </c>
      <c r="D3345" s="1" t="n">
        <v>-6.97721420613</v>
      </c>
      <c r="E3345" s="3" t="n">
        <v>2</v>
      </c>
      <c r="F3345" s="2" t="n">
        <v>3</v>
      </c>
      <c r="G3345" s="4" t="n">
        <v>3</v>
      </c>
      <c r="H3345" s="13" t="n"/>
      <c r="I3345" s="15" t="n"/>
      <c r="J3345" s="19" t="n">
        <v>3</v>
      </c>
      <c r="K3345" s="2" t="inlineStr">
        <is>
          <t>marker_497_655139.png</t>
        </is>
      </c>
      <c r="L3345" s="11">
        <f>HYPERLINK("3\1\" &amp; K3345, "Ver Imagen")</f>
        <v/>
      </c>
      <c r="M3345" t="inlineStr">
        <is>
          <t>Moda</t>
        </is>
      </c>
    </row>
    <row r="3346">
      <c r="A3346" t="n">
        <v>3345</v>
      </c>
      <c r="B3346" t="inlineStr">
        <is>
          <t>A-497_2C__87</t>
        </is>
      </c>
      <c r="C3346" s="1" t="n">
        <v>37.2698948573</v>
      </c>
      <c r="D3346" s="1" t="n">
        <v>-6.97867728086</v>
      </c>
      <c r="E3346" s="3" t="n">
        <v>4</v>
      </c>
      <c r="F3346" s="2" t="n">
        <v>3</v>
      </c>
      <c r="G3346" s="4" t="n">
        <v>3</v>
      </c>
      <c r="H3346" s="13" t="n"/>
      <c r="I3346" s="15" t="n"/>
      <c r="J3346" s="19" t="n">
        <v>3</v>
      </c>
      <c r="K3346" s="2" t="inlineStr">
        <is>
          <t>marker_454_655233.png</t>
        </is>
      </c>
      <c r="L3346" s="11">
        <f>HYPERLINK("3\1\" &amp; K3346, "Ver Imagen")</f>
        <v/>
      </c>
      <c r="M3346" t="inlineStr">
        <is>
          <t>Moda</t>
        </is>
      </c>
    </row>
    <row r="3347">
      <c r="A3347" t="n">
        <v>3346</v>
      </c>
      <c r="B3347" t="inlineStr">
        <is>
          <t>A-497_2C__89</t>
        </is>
      </c>
      <c r="C3347" s="1" t="n">
        <v>37.2700363155</v>
      </c>
      <c r="D3347" s="1" t="n">
        <v>-6.97916846704</v>
      </c>
      <c r="E3347" s="3" t="n">
        <v>4</v>
      </c>
      <c r="F3347" s="2" t="n">
        <v>3</v>
      </c>
      <c r="G3347" s="4" t="n">
        <v>3</v>
      </c>
      <c r="H3347" s="13" t="n"/>
      <c r="I3347" s="15" t="n"/>
      <c r="J3347" s="19" t="n">
        <v>3</v>
      </c>
      <c r="K3347" s="2" t="inlineStr">
        <is>
          <t>marker_175_655271.png</t>
        </is>
      </c>
      <c r="L3347" s="11">
        <f>HYPERLINK("3\1\" &amp; K3347, "Ver Imagen")</f>
        <v/>
      </c>
      <c r="M3347" t="inlineStr">
        <is>
          <t>Moda</t>
        </is>
      </c>
    </row>
    <row r="3348">
      <c r="A3348" t="n">
        <v>3347</v>
      </c>
      <c r="B3348" t="inlineStr">
        <is>
          <t>A-497_2C__90</t>
        </is>
      </c>
      <c r="C3348" s="1" t="n">
        <v>37.2700979719</v>
      </c>
      <c r="D3348" s="1" t="n">
        <v>-6.97938296081</v>
      </c>
      <c r="E3348" s="3" t="n">
        <v>4</v>
      </c>
      <c r="F3348" s="2" t="n">
        <v>3</v>
      </c>
      <c r="G3348" s="4" t="n">
        <v>3</v>
      </c>
      <c r="H3348" s="13" t="n"/>
      <c r="I3348" s="15" t="n"/>
      <c r="J3348" s="19" t="n">
        <v>3</v>
      </c>
      <c r="K3348" s="2" t="inlineStr">
        <is>
          <t>marker_248_655280.png</t>
        </is>
      </c>
      <c r="L3348" s="11">
        <f>HYPERLINK("3\1\" &amp; K3348, "Ver Imagen")</f>
        <v/>
      </c>
      <c r="M3348" t="inlineStr">
        <is>
          <t>Moda</t>
        </is>
      </c>
    </row>
    <row r="3349">
      <c r="A3349" t="n">
        <v>3348</v>
      </c>
      <c r="B3349" t="inlineStr">
        <is>
          <t>A-497_2C__91</t>
        </is>
      </c>
      <c r="C3349" s="1" t="n">
        <v>37.2701633068</v>
      </c>
      <c r="D3349" s="1" t="n">
        <v>-6.97961095253</v>
      </c>
      <c r="E3349" s="3" t="n">
        <v>4</v>
      </c>
      <c r="F3349" s="2" t="n">
        <v>3</v>
      </c>
      <c r="G3349" s="4" t="n">
        <v>3</v>
      </c>
      <c r="H3349" s="13" t="n"/>
      <c r="I3349" s="15" t="n"/>
      <c r="J3349" s="19" t="n">
        <v>3</v>
      </c>
      <c r="K3349" s="2" t="inlineStr">
        <is>
          <t>marker_829_655291.png</t>
        </is>
      </c>
      <c r="L3349" s="11">
        <f>HYPERLINK("3\1\" &amp; K3349, "Ver Imagen")</f>
        <v/>
      </c>
      <c r="M3349" t="inlineStr">
        <is>
          <t>Moda</t>
        </is>
      </c>
    </row>
    <row r="3350">
      <c r="A3350" t="n">
        <v>3349</v>
      </c>
      <c r="B3350" t="inlineStr">
        <is>
          <t>A-497_2C__102</t>
        </is>
      </c>
      <c r="C3350" s="1" t="n">
        <v>37.2709260771</v>
      </c>
      <c r="D3350" s="1" t="n">
        <v>-6.98225954432</v>
      </c>
      <c r="E3350" s="3" t="n">
        <v>2</v>
      </c>
      <c r="F3350" s="2" t="n">
        <v>3</v>
      </c>
      <c r="G3350" s="4" t="n">
        <v>3</v>
      </c>
      <c r="H3350" s="13" t="n"/>
      <c r="I3350" s="15" t="n"/>
      <c r="J3350" s="19" t="n">
        <v>3</v>
      </c>
      <c r="K3350" s="2" t="inlineStr">
        <is>
          <t>marker_750_655460.png</t>
        </is>
      </c>
      <c r="L3350" s="11">
        <f>HYPERLINK("3\1\" &amp; K3350, "Ver Imagen")</f>
        <v/>
      </c>
      <c r="M3350" t="inlineStr">
        <is>
          <t>Moda</t>
        </is>
      </c>
    </row>
    <row r="3351">
      <c r="A3351" t="n">
        <v>3350</v>
      </c>
      <c r="B3351" t="inlineStr">
        <is>
          <t>A-497_2C__104</t>
        </is>
      </c>
      <c r="C3351" s="1" t="n">
        <v>37.271063947</v>
      </c>
      <c r="D3351" s="1" t="n">
        <v>-6.98273852614</v>
      </c>
      <c r="E3351" s="3" t="n">
        <v>3</v>
      </c>
      <c r="F3351" s="2" t="n">
        <v>3</v>
      </c>
      <c r="G3351" s="4" t="n">
        <v>4</v>
      </c>
      <c r="H3351" s="13" t="n"/>
      <c r="I3351" s="15" t="n"/>
      <c r="J3351" s="19" t="n">
        <v>3</v>
      </c>
      <c r="K3351" s="2" t="inlineStr">
        <is>
          <t>marker_336_655478.png</t>
        </is>
      </c>
      <c r="L3351" s="11">
        <f>HYPERLINK("3\1\" &amp; K3351, "Ver Imagen")</f>
        <v/>
      </c>
      <c r="M3351" t="inlineStr">
        <is>
          <t>Moda</t>
        </is>
      </c>
    </row>
    <row r="3352">
      <c r="A3352" t="n">
        <v>3351</v>
      </c>
      <c r="B3352" t="inlineStr">
        <is>
          <t>A-497_2C__105</t>
        </is>
      </c>
      <c r="C3352" s="1" t="n">
        <v>37.2711279526</v>
      </c>
      <c r="D3352" s="1" t="n">
        <v>-6.98295986008</v>
      </c>
      <c r="E3352" s="3" t="n">
        <v>4</v>
      </c>
      <c r="F3352" s="2" t="n">
        <v>3</v>
      </c>
      <c r="G3352" s="4" t="n">
        <v>3</v>
      </c>
      <c r="H3352" s="13" t="n"/>
      <c r="I3352" s="15" t="n"/>
      <c r="J3352" s="19" t="n">
        <v>3</v>
      </c>
      <c r="K3352" s="2" t="inlineStr">
        <is>
          <t>marker_899_655488.png</t>
        </is>
      </c>
      <c r="L3352" s="11">
        <f>HYPERLINK("3\1\" &amp; K3352, "Ver Imagen")</f>
        <v/>
      </c>
      <c r="M3352" t="inlineStr">
        <is>
          <t>Moda</t>
        </is>
      </c>
    </row>
    <row r="3353">
      <c r="A3353" t="n">
        <v>3352</v>
      </c>
      <c r="B3353" t="inlineStr">
        <is>
          <t>A-497_2C__110</t>
        </is>
      </c>
      <c r="C3353" s="1" t="n">
        <v>37.2714765752</v>
      </c>
      <c r="D3353" s="1" t="n">
        <v>-6.98417843435</v>
      </c>
      <c r="E3353" s="3" t="n">
        <v>3</v>
      </c>
      <c r="F3353" s="2" t="n">
        <v>3</v>
      </c>
      <c r="G3353" s="4" t="n">
        <v>2</v>
      </c>
      <c r="H3353" s="13" t="n"/>
      <c r="I3353" s="15" t="n"/>
      <c r="J3353" s="19" t="n">
        <v>3</v>
      </c>
      <c r="K3353" s="2" t="inlineStr">
        <is>
          <t>marker_777_655535.png</t>
        </is>
      </c>
      <c r="L3353" s="11">
        <f>HYPERLINK("3\1\" &amp; K3353, "Ver Imagen")</f>
        <v/>
      </c>
      <c r="M3353" t="inlineStr">
        <is>
          <t>Moda</t>
        </is>
      </c>
    </row>
    <row r="3354">
      <c r="A3354" t="n">
        <v>3353</v>
      </c>
      <c r="B3354" t="inlineStr">
        <is>
          <t>A-497_2C__111</t>
        </is>
      </c>
      <c r="C3354" s="1" t="n">
        <v>37.2715406642</v>
      </c>
      <c r="D3354" s="1" t="n">
        <v>-6.98441752509</v>
      </c>
      <c r="E3354" s="3" t="n">
        <v>3</v>
      </c>
      <c r="F3354" s="2" t="n">
        <v>3</v>
      </c>
      <c r="G3354" s="4" t="n">
        <v>2</v>
      </c>
      <c r="H3354" s="13" t="n"/>
      <c r="I3354" s="15" t="n"/>
      <c r="J3354" s="19" t="n">
        <v>3</v>
      </c>
      <c r="K3354" s="2" t="inlineStr">
        <is>
          <t>marker_642_655545.png</t>
        </is>
      </c>
      <c r="L3354" s="11">
        <f>HYPERLINK("3\1\" &amp; K3354, "Ver Imagen")</f>
        <v/>
      </c>
      <c r="M3354" t="inlineStr">
        <is>
          <t>Moda</t>
        </is>
      </c>
    </row>
    <row r="3355">
      <c r="A3355" t="n">
        <v>3354</v>
      </c>
      <c r="B3355" t="inlineStr">
        <is>
          <t>A-497_2C__114</t>
        </is>
      </c>
      <c r="C3355" s="1" t="n">
        <v>37.27170982</v>
      </c>
      <c r="D3355" s="1" t="n">
        <v>-6.98512471642</v>
      </c>
      <c r="E3355" s="3" t="n">
        <v>3</v>
      </c>
      <c r="F3355" s="2" t="n">
        <v>3</v>
      </c>
      <c r="G3355" s="4" t="n">
        <v>2</v>
      </c>
      <c r="H3355" s="13" t="n"/>
      <c r="I3355" s="15" t="n"/>
      <c r="J3355" s="19" t="n">
        <v>3</v>
      </c>
      <c r="K3355" s="2" t="inlineStr">
        <is>
          <t>marker_838_655626.png</t>
        </is>
      </c>
      <c r="L3355" s="11">
        <f>HYPERLINK("3\1\" &amp; K3355, "Ver Imagen")</f>
        <v/>
      </c>
      <c r="M3355" t="inlineStr">
        <is>
          <t>Moda</t>
        </is>
      </c>
    </row>
    <row r="3356">
      <c r="A3356" t="n">
        <v>3355</v>
      </c>
      <c r="B3356" t="inlineStr">
        <is>
          <t>A-497_2C__115</t>
        </is>
      </c>
      <c r="C3356" s="1" t="n">
        <v>37.2717599606</v>
      </c>
      <c r="D3356" s="1" t="n">
        <v>-6.98538559174</v>
      </c>
      <c r="E3356" s="3" t="n">
        <v>3</v>
      </c>
      <c r="F3356" s="2" t="n">
        <v>3</v>
      </c>
      <c r="G3356" s="4" t="n">
        <v>2</v>
      </c>
      <c r="H3356" s="13" t="n"/>
      <c r="I3356" s="15" t="n"/>
      <c r="J3356" s="19" t="n">
        <v>3</v>
      </c>
      <c r="K3356" s="2" t="inlineStr">
        <is>
          <t>marker_352_655635.png</t>
        </is>
      </c>
      <c r="L3356" s="11">
        <f>HYPERLINK("3\1\" &amp; K3356, "Ver Imagen")</f>
        <v/>
      </c>
      <c r="M3356" t="inlineStr">
        <is>
          <t>Moda</t>
        </is>
      </c>
    </row>
    <row r="3357">
      <c r="A3357" t="n">
        <v>3356</v>
      </c>
      <c r="B3357" t="inlineStr">
        <is>
          <t>A-497_2C__118</t>
        </is>
      </c>
      <c r="C3357" s="1" t="n">
        <v>37.2718493812</v>
      </c>
      <c r="D3357" s="1" t="n">
        <v>-6.98614513661</v>
      </c>
      <c r="E3357" s="3" t="n">
        <v>2</v>
      </c>
      <c r="F3357" s="2" t="n">
        <v>3</v>
      </c>
      <c r="G3357" s="4" t="n">
        <v>3</v>
      </c>
      <c r="H3357" s="13" t="n"/>
      <c r="I3357" s="15" t="n"/>
      <c r="J3357" s="19" t="n">
        <v>3</v>
      </c>
      <c r="K3357" s="2" t="inlineStr">
        <is>
          <t>marker_195_655664.png</t>
        </is>
      </c>
      <c r="L3357" s="11">
        <f>HYPERLINK("3\1\" &amp; K3357, "Ver Imagen")</f>
        <v/>
      </c>
      <c r="M3357" t="inlineStr">
        <is>
          <t>Moda</t>
        </is>
      </c>
    </row>
    <row r="3358">
      <c r="A3358" t="n">
        <v>3357</v>
      </c>
      <c r="B3358" t="inlineStr">
        <is>
          <t>A-497_2C__120</t>
        </is>
      </c>
      <c r="C3358" s="1" t="n">
        <v>37.2718475651</v>
      </c>
      <c r="D3358" s="1" t="n">
        <v>-6.9866712407</v>
      </c>
      <c r="E3358" s="3" t="n">
        <v>3</v>
      </c>
      <c r="F3358" s="2" t="n">
        <v>3</v>
      </c>
      <c r="G3358" s="4" t="n">
        <v>2</v>
      </c>
      <c r="H3358" s="13" t="n"/>
      <c r="I3358" s="15" t="n"/>
      <c r="J3358" s="19" t="n">
        <v>3</v>
      </c>
      <c r="K3358" s="2" t="inlineStr">
        <is>
          <t>marker_603_655682.png</t>
        </is>
      </c>
      <c r="L3358" s="11">
        <f>HYPERLINK("3\1\" &amp; K3358, "Ver Imagen")</f>
        <v/>
      </c>
      <c r="M3358" t="inlineStr">
        <is>
          <t>Moda</t>
        </is>
      </c>
    </row>
    <row r="3359">
      <c r="A3359" t="n">
        <v>3358</v>
      </c>
      <c r="B3359" t="inlineStr">
        <is>
          <t>A-497_2C__136</t>
        </is>
      </c>
      <c r="C3359" s="1" t="n">
        <v>37.2699537484</v>
      </c>
      <c r="D3359" s="1" t="n">
        <v>-6.98967854562</v>
      </c>
      <c r="E3359" s="3" t="n">
        <v>2</v>
      </c>
      <c r="F3359" s="2" t="n">
        <v>3</v>
      </c>
      <c r="G3359" s="4" t="n">
        <v>3</v>
      </c>
      <c r="H3359" s="13" t="n"/>
      <c r="I3359" s="15" t="n"/>
      <c r="J3359" s="19" t="n">
        <v>3</v>
      </c>
      <c r="K3359" s="2" t="inlineStr">
        <is>
          <t>marker_745_655830.png</t>
        </is>
      </c>
      <c r="L3359" s="11">
        <f>HYPERLINK("3\1\" &amp; K3359, "Ver Imagen")</f>
        <v/>
      </c>
      <c r="M3359" t="inlineStr">
        <is>
          <t>Moda</t>
        </is>
      </c>
    </row>
    <row r="3360">
      <c r="A3360" t="n">
        <v>3359</v>
      </c>
      <c r="B3360" t="inlineStr">
        <is>
          <t>A-497_2C__137</t>
        </is>
      </c>
      <c r="C3360" s="1" t="n">
        <v>37.2697643278</v>
      </c>
      <c r="D3360" s="1" t="n">
        <v>-6.98981070155</v>
      </c>
      <c r="E3360" s="3" t="n">
        <v>2</v>
      </c>
      <c r="F3360" s="2" t="n">
        <v>3</v>
      </c>
      <c r="G3360" s="4" t="n">
        <v>3</v>
      </c>
      <c r="H3360" s="13" t="n"/>
      <c r="I3360" s="15" t="n"/>
      <c r="J3360" s="19" t="n">
        <v>3</v>
      </c>
      <c r="K3360" s="2" t="inlineStr">
        <is>
          <t>marker_359_655842.png</t>
        </is>
      </c>
      <c r="L3360" s="11">
        <f>HYPERLINK("3\1\" &amp; K3360, "Ver Imagen")</f>
        <v/>
      </c>
      <c r="M3360" t="inlineStr">
        <is>
          <t>Moda</t>
        </is>
      </c>
    </row>
    <row r="3361">
      <c r="A3361" t="n">
        <v>3360</v>
      </c>
      <c r="B3361" t="inlineStr">
        <is>
          <t>A-497_2C__139</t>
        </is>
      </c>
      <c r="C3361" s="1" t="n">
        <v>37.2694114942</v>
      </c>
      <c r="D3361" s="1" t="n">
        <v>-6.99005889042</v>
      </c>
      <c r="E3361" s="3" t="n">
        <v>2</v>
      </c>
      <c r="F3361" s="2" t="n">
        <v>3</v>
      </c>
      <c r="G3361" s="4" t="n">
        <v>3</v>
      </c>
      <c r="H3361" s="13" t="n"/>
      <c r="I3361" s="15" t="n"/>
      <c r="J3361" s="19" t="n">
        <v>3</v>
      </c>
      <c r="K3361" s="2" t="inlineStr">
        <is>
          <t>marker_498_655864.png</t>
        </is>
      </c>
      <c r="L3361" s="11">
        <f>HYPERLINK("3\1\" &amp; K3361, "Ver Imagen")</f>
        <v/>
      </c>
      <c r="M3361" t="inlineStr">
        <is>
          <t>Moda</t>
        </is>
      </c>
    </row>
    <row r="3362">
      <c r="A3362" t="n">
        <v>3361</v>
      </c>
      <c r="B3362" t="inlineStr">
        <is>
          <t>A-497_2C__141</t>
        </is>
      </c>
      <c r="C3362" s="1" t="n">
        <v>37.26906961</v>
      </c>
      <c r="D3362" s="1" t="n">
        <v>-6.99030306329</v>
      </c>
      <c r="E3362" s="3" t="n">
        <v>3</v>
      </c>
      <c r="F3362" s="2" t="n">
        <v>3</v>
      </c>
      <c r="G3362" s="4" t="n">
        <v>2</v>
      </c>
      <c r="H3362" s="13" t="n"/>
      <c r="I3362" s="15" t="n"/>
      <c r="J3362" s="19" t="n">
        <v>3</v>
      </c>
      <c r="K3362" s="2" t="inlineStr">
        <is>
          <t>marker_674_655881.png</t>
        </is>
      </c>
      <c r="L3362" s="11">
        <f>HYPERLINK("3\1\" &amp; K3362, "Ver Imagen")</f>
        <v/>
      </c>
      <c r="M3362" t="inlineStr">
        <is>
          <t>Moda</t>
        </is>
      </c>
    </row>
    <row r="3363">
      <c r="A3363" t="n">
        <v>3362</v>
      </c>
      <c r="B3363" t="inlineStr">
        <is>
          <t>A-497_2C__148</t>
        </is>
      </c>
      <c r="C3363" s="1" t="n">
        <v>37.2678209478</v>
      </c>
      <c r="D3363" s="1" t="n">
        <v>-6.9911829071</v>
      </c>
      <c r="E3363" s="3" t="n">
        <v>2</v>
      </c>
      <c r="F3363" s="2" t="n">
        <v>3</v>
      </c>
      <c r="G3363" s="4" t="n">
        <v>3</v>
      </c>
      <c r="H3363" s="13" t="n"/>
      <c r="I3363" s="15" t="n"/>
      <c r="J3363" s="19" t="n">
        <v>3</v>
      </c>
      <c r="K3363" s="2" t="inlineStr">
        <is>
          <t>marker_319_655956.png</t>
        </is>
      </c>
      <c r="L3363" s="11">
        <f>HYPERLINK("3\1\" &amp; K3363, "Ver Imagen")</f>
        <v/>
      </c>
      <c r="M3363" t="inlineStr">
        <is>
          <t>Moda</t>
        </is>
      </c>
    </row>
    <row r="3364">
      <c r="A3364" t="n">
        <v>3363</v>
      </c>
      <c r="B3364" t="inlineStr">
        <is>
          <t>A-497_2C__158</t>
        </is>
      </c>
      <c r="C3364" s="1" t="n">
        <v>37.2663493782</v>
      </c>
      <c r="D3364" s="1" t="n">
        <v>-6.99286299308</v>
      </c>
      <c r="E3364" s="3" t="n">
        <v>2</v>
      </c>
      <c r="F3364" s="2" t="n">
        <v>3</v>
      </c>
      <c r="G3364" s="4" t="n">
        <v>3</v>
      </c>
      <c r="H3364" s="13" t="n"/>
      <c r="I3364" s="15" t="n"/>
      <c r="J3364" s="19" t="n">
        <v>3</v>
      </c>
      <c r="K3364" s="2" t="inlineStr">
        <is>
          <t>marker_933_656086.png</t>
        </is>
      </c>
      <c r="L3364" s="11">
        <f>HYPERLINK("3\1\" &amp; K3364, "Ver Imagen")</f>
        <v/>
      </c>
      <c r="M3364" t="inlineStr">
        <is>
          <t>Moda</t>
        </is>
      </c>
    </row>
    <row r="3365">
      <c r="A3365" t="n">
        <v>3364</v>
      </c>
      <c r="B3365" t="inlineStr">
        <is>
          <t>A-497_2C__159</t>
        </is>
      </c>
      <c r="C3365" s="1" t="n">
        <v>37.2662466553</v>
      </c>
      <c r="D3365" s="1" t="n">
        <v>-6.99307142277</v>
      </c>
      <c r="E3365" s="3" t="n">
        <v>2</v>
      </c>
      <c r="F3365" s="2" t="n">
        <v>3</v>
      </c>
      <c r="G3365" s="4" t="n">
        <v>3</v>
      </c>
      <c r="H3365" s="13" t="n"/>
      <c r="I3365" s="15" t="n"/>
      <c r="J3365" s="19" t="n">
        <v>3</v>
      </c>
      <c r="K3365" s="2" t="inlineStr">
        <is>
          <t>marker_742_656094.png</t>
        </is>
      </c>
      <c r="L3365" s="11">
        <f>HYPERLINK("3\1\" &amp; K3365, "Ver Imagen")</f>
        <v/>
      </c>
      <c r="M3365" t="inlineStr">
        <is>
          <t>Moda</t>
        </is>
      </c>
    </row>
    <row r="3366">
      <c r="A3366" t="n">
        <v>3365</v>
      </c>
      <c r="B3366" t="inlineStr">
        <is>
          <t>A-497__733</t>
        </is>
      </c>
      <c r="C3366" s="1" t="n">
        <v>37.1903633984</v>
      </c>
      <c r="D3366" s="1" t="n">
        <v>-6.97786198072</v>
      </c>
      <c r="E3366" s="3" t="n">
        <v>2</v>
      </c>
      <c r="F3366" s="2" t="n">
        <v>3</v>
      </c>
      <c r="G3366" s="4" t="n">
        <v>3</v>
      </c>
      <c r="H3366" s="13" t="n"/>
      <c r="I3366" s="15" t="n"/>
      <c r="J3366" s="19" t="n">
        <v>3</v>
      </c>
      <c r="K3366" s="2" t="inlineStr">
        <is>
          <t>marker_390_368914.png</t>
        </is>
      </c>
      <c r="L3366" s="11">
        <f>HYPERLINK("3\1\" &amp; K3366, "Ver Imagen")</f>
        <v/>
      </c>
      <c r="M3366" t="inlineStr">
        <is>
          <t>Moda</t>
        </is>
      </c>
    </row>
    <row r="3367">
      <c r="A3367" t="n">
        <v>3366</v>
      </c>
      <c r="B3367" t="inlineStr">
        <is>
          <t>A-497__732</t>
        </is>
      </c>
      <c r="C3367" s="1" t="n">
        <v>37.1906065036</v>
      </c>
      <c r="D3367" s="1" t="n">
        <v>-6.97780062168</v>
      </c>
      <c r="E3367" s="3" t="n">
        <v>2</v>
      </c>
      <c r="F3367" s="2" t="n">
        <v>3</v>
      </c>
      <c r="G3367" s="4" t="n">
        <v>3</v>
      </c>
      <c r="H3367" s="13" t="n"/>
      <c r="I3367" s="15" t="n"/>
      <c r="J3367" s="19" t="n">
        <v>3</v>
      </c>
      <c r="K3367" s="2" t="inlineStr">
        <is>
          <t>marker_250_368927.png</t>
        </is>
      </c>
      <c r="L3367" s="11">
        <f>HYPERLINK("3\1\" &amp; K3367, "Ver Imagen")</f>
        <v/>
      </c>
      <c r="M3367" t="inlineStr">
        <is>
          <t>Moda</t>
        </is>
      </c>
    </row>
    <row r="3368">
      <c r="A3368" t="n">
        <v>3367</v>
      </c>
      <c r="B3368" t="inlineStr">
        <is>
          <t>A-497__729</t>
        </is>
      </c>
      <c r="C3368" s="1" t="n">
        <v>37.191208144</v>
      </c>
      <c r="D3368" s="1" t="n">
        <v>-6.97766170586</v>
      </c>
      <c r="E3368" s="3" t="n">
        <v>3</v>
      </c>
      <c r="F3368" s="2" t="n">
        <v>3</v>
      </c>
      <c r="G3368" s="4" t="n">
        <v>2</v>
      </c>
      <c r="H3368" s="13" t="n"/>
      <c r="I3368" s="15" t="n"/>
      <c r="J3368" s="19" t="n">
        <v>3</v>
      </c>
      <c r="K3368" s="2" t="inlineStr">
        <is>
          <t>marker_279_368974.png</t>
        </is>
      </c>
      <c r="L3368" s="11">
        <f>HYPERLINK("3\1\" &amp; K3368, "Ver Imagen")</f>
        <v/>
      </c>
      <c r="M3368" t="inlineStr">
        <is>
          <t>Moda</t>
        </is>
      </c>
    </row>
    <row r="3369">
      <c r="A3369" t="n">
        <v>3368</v>
      </c>
      <c r="B3369" t="inlineStr">
        <is>
          <t>A-497__726</t>
        </is>
      </c>
      <c r="C3369" s="1" t="n">
        <v>37.1917637979</v>
      </c>
      <c r="D3369" s="1" t="n">
        <v>-6.97756227574</v>
      </c>
      <c r="E3369" s="3" t="n">
        <v>2</v>
      </c>
      <c r="F3369" s="2" t="n">
        <v>3</v>
      </c>
      <c r="G3369" s="4" t="n">
        <v>3</v>
      </c>
      <c r="H3369" s="13" t="n"/>
      <c r="I3369" s="15" t="n"/>
      <c r="J3369" s="19" t="n">
        <v>3</v>
      </c>
      <c r="K3369" s="2" t="inlineStr">
        <is>
          <t>marker_796_369003.png</t>
        </is>
      </c>
      <c r="L3369" s="11">
        <f>HYPERLINK("3\1\" &amp; K3369, "Ver Imagen")</f>
        <v/>
      </c>
      <c r="M3369" t="inlineStr">
        <is>
          <t>Moda</t>
        </is>
      </c>
    </row>
    <row r="3370">
      <c r="A3370" t="n">
        <v>3369</v>
      </c>
      <c r="B3370" t="inlineStr">
        <is>
          <t>A-497__721</t>
        </is>
      </c>
      <c r="C3370" s="1" t="n">
        <v>37.1927728317</v>
      </c>
      <c r="D3370" s="1" t="n">
        <v>-6.97747298689</v>
      </c>
      <c r="E3370" s="3" t="n">
        <v>2</v>
      </c>
      <c r="F3370" s="2" t="n">
        <v>3</v>
      </c>
      <c r="G3370" s="4" t="n">
        <v>3</v>
      </c>
      <c r="H3370" s="13" t="n"/>
      <c r="I3370" s="15" t="n"/>
      <c r="J3370" s="19" t="n">
        <v>3</v>
      </c>
      <c r="K3370" s="2" t="inlineStr">
        <is>
          <t>marker_166_369052.png</t>
        </is>
      </c>
      <c r="L3370" s="11">
        <f>HYPERLINK("3\1\" &amp; K3370, "Ver Imagen")</f>
        <v/>
      </c>
      <c r="M3370" t="inlineStr">
        <is>
          <t>Moda</t>
        </is>
      </c>
    </row>
    <row r="3371">
      <c r="A3371" t="n">
        <v>3370</v>
      </c>
      <c r="B3371" t="inlineStr">
        <is>
          <t>A-497__719</t>
        </is>
      </c>
      <c r="C3371" s="1" t="n">
        <v>37.1931651855</v>
      </c>
      <c r="D3371" s="1" t="n">
        <v>-6.97747874557</v>
      </c>
      <c r="E3371" s="3" t="n">
        <v>3</v>
      </c>
      <c r="F3371" s="2" t="n">
        <v>3</v>
      </c>
      <c r="G3371" s="4" t="n">
        <v>2</v>
      </c>
      <c r="H3371" s="13" t="n"/>
      <c r="I3371" s="15" t="n"/>
      <c r="J3371" s="19" t="n">
        <v>3</v>
      </c>
      <c r="K3371" s="2" t="inlineStr">
        <is>
          <t>marker_281_369070.png</t>
        </is>
      </c>
      <c r="L3371" s="11">
        <f>HYPERLINK("3\1\" &amp; K3371, "Ver Imagen")</f>
        <v/>
      </c>
      <c r="M3371" t="inlineStr">
        <is>
          <t>Moda</t>
        </is>
      </c>
    </row>
    <row r="3372">
      <c r="A3372" t="n">
        <v>3371</v>
      </c>
      <c r="B3372" t="inlineStr">
        <is>
          <t>A-497__715</t>
        </is>
      </c>
      <c r="C3372" s="1" t="n">
        <v>37.1939919735</v>
      </c>
      <c r="D3372" s="1" t="n">
        <v>-6.97757998917</v>
      </c>
      <c r="E3372" s="3" t="n">
        <v>3</v>
      </c>
      <c r="F3372" s="2" t="n">
        <v>3</v>
      </c>
      <c r="G3372" s="4" t="n">
        <v>4</v>
      </c>
      <c r="H3372" s="13" t="n"/>
      <c r="I3372" s="15" t="n"/>
      <c r="J3372" s="19" t="n">
        <v>3</v>
      </c>
      <c r="K3372" s="2" t="inlineStr">
        <is>
          <t>marker_740_369113.png</t>
        </is>
      </c>
      <c r="L3372" s="11">
        <f>HYPERLINK("3\1\" &amp; K3372, "Ver Imagen")</f>
        <v/>
      </c>
      <c r="M3372" t="inlineStr">
        <is>
          <t>Moda</t>
        </is>
      </c>
    </row>
    <row r="3373">
      <c r="A3373" t="n">
        <v>3372</v>
      </c>
      <c r="B3373" t="inlineStr">
        <is>
          <t>A-497_2C__192</t>
        </is>
      </c>
      <c r="C3373" s="1" t="n">
        <v>37.2646079295</v>
      </c>
      <c r="D3373" s="1" t="n">
        <v>-7.00112150581</v>
      </c>
      <c r="E3373" s="3" t="n">
        <v>4</v>
      </c>
      <c r="F3373" s="2" t="n">
        <v>3</v>
      </c>
      <c r="G3373" s="4" t="n">
        <v>3</v>
      </c>
      <c r="H3373" s="13" t="n"/>
      <c r="I3373" s="15" t="n"/>
      <c r="J3373" s="19" t="n">
        <v>3</v>
      </c>
      <c r="K3373" s="2" t="inlineStr">
        <is>
          <t>marker_893_656445.png</t>
        </is>
      </c>
      <c r="L3373" s="11">
        <f>HYPERLINK("3\1\" &amp; K3373, "Ver Imagen")</f>
        <v/>
      </c>
      <c r="M3373" t="inlineStr">
        <is>
          <t>Moda</t>
        </is>
      </c>
    </row>
    <row r="3374">
      <c r="A3374" t="n">
        <v>3373</v>
      </c>
      <c r="B3374" t="inlineStr">
        <is>
          <t>A-497_2C__193</t>
        </is>
      </c>
      <c r="C3374" s="1" t="n">
        <v>37.2645588037</v>
      </c>
      <c r="D3374" s="1" t="n">
        <v>-7.00139377519</v>
      </c>
      <c r="E3374" s="3" t="n">
        <v>3</v>
      </c>
      <c r="F3374" s="2" t="n">
        <v>3</v>
      </c>
      <c r="G3374" s="4" t="n">
        <v>2</v>
      </c>
      <c r="H3374" s="13" t="n"/>
      <c r="I3374" s="15" t="n"/>
      <c r="J3374" s="19" t="n">
        <v>3</v>
      </c>
      <c r="K3374" s="2" t="inlineStr">
        <is>
          <t>marker_837_656454.png</t>
        </is>
      </c>
      <c r="L3374" s="11">
        <f>HYPERLINK("3\1\" &amp; K3374, "Ver Imagen")</f>
        <v/>
      </c>
      <c r="M3374" t="inlineStr">
        <is>
          <t>Moda</t>
        </is>
      </c>
    </row>
    <row r="3375">
      <c r="A3375" t="n">
        <v>3374</v>
      </c>
      <c r="B3375" t="inlineStr">
        <is>
          <t>A-497__699</t>
        </is>
      </c>
      <c r="C3375" s="1" t="n">
        <v>37.1969503753</v>
      </c>
      <c r="D3375" s="1" t="n">
        <v>-6.97917792058</v>
      </c>
      <c r="E3375" s="3" t="n">
        <v>3</v>
      </c>
      <c r="F3375" s="2" t="n">
        <v>3</v>
      </c>
      <c r="G3375" s="4" t="n">
        <v>2</v>
      </c>
      <c r="H3375" s="13" t="n"/>
      <c r="I3375" s="15" t="n"/>
      <c r="J3375" s="19" t="n">
        <v>3</v>
      </c>
      <c r="K3375" s="2" t="inlineStr">
        <is>
          <t>marker_891_370385.png</t>
        </is>
      </c>
      <c r="L3375" s="11">
        <f>HYPERLINK("3\1\" &amp; K3375, "Ver Imagen")</f>
        <v/>
      </c>
      <c r="M3375" t="inlineStr">
        <is>
          <t>Moda</t>
        </is>
      </c>
    </row>
    <row r="3376">
      <c r="A3376" t="n">
        <v>3375</v>
      </c>
      <c r="B3376" t="inlineStr">
        <is>
          <t>A-497_2C__199</t>
        </is>
      </c>
      <c r="C3376" s="1" t="n">
        <v>37.264279895</v>
      </c>
      <c r="D3376" s="1" t="n">
        <v>-7.00294498895</v>
      </c>
      <c r="E3376" s="3" t="n">
        <v>2</v>
      </c>
      <c r="F3376" s="2" t="n">
        <v>3</v>
      </c>
      <c r="G3376" s="4" t="n">
        <v>3</v>
      </c>
      <c r="H3376" s="13" t="n"/>
      <c r="I3376" s="15" t="n"/>
      <c r="J3376" s="19" t="n">
        <v>3</v>
      </c>
      <c r="K3376" s="2" t="inlineStr">
        <is>
          <t>marker_269_656515.png</t>
        </is>
      </c>
      <c r="L3376" s="11">
        <f>HYPERLINK("3\1\" &amp; K3376, "Ver Imagen")</f>
        <v/>
      </c>
      <c r="M3376" t="inlineStr">
        <is>
          <t>Moda</t>
        </is>
      </c>
    </row>
    <row r="3377">
      <c r="A3377" t="n">
        <v>3376</v>
      </c>
      <c r="B3377" t="inlineStr">
        <is>
          <t>A-497_2C__200</t>
        </is>
      </c>
      <c r="C3377" s="1" t="n">
        <v>37.2642430853</v>
      </c>
      <c r="D3377" s="1" t="n">
        <v>-7.00315285925</v>
      </c>
      <c r="E3377" s="3" t="n">
        <v>2</v>
      </c>
      <c r="F3377" s="2" t="n">
        <v>3</v>
      </c>
      <c r="G3377" s="4" t="n">
        <v>3</v>
      </c>
      <c r="H3377" s="13" t="n"/>
      <c r="I3377" s="15" t="n"/>
      <c r="J3377" s="19" t="n">
        <v>3</v>
      </c>
      <c r="K3377" s="2" t="inlineStr">
        <is>
          <t>marker_258_656525.png</t>
        </is>
      </c>
      <c r="L3377" s="11">
        <f>HYPERLINK("3\1\" &amp; K3377, "Ver Imagen")</f>
        <v/>
      </c>
      <c r="M3377" t="inlineStr">
        <is>
          <t>Moda</t>
        </is>
      </c>
    </row>
    <row r="3378">
      <c r="A3378" t="n">
        <v>3377</v>
      </c>
      <c r="B3378" t="inlineStr">
        <is>
          <t>A-497_2C__201</t>
        </is>
      </c>
      <c r="C3378" s="1" t="n">
        <v>37.2641988666</v>
      </c>
      <c r="D3378" s="1" t="n">
        <v>-7.00340381306</v>
      </c>
      <c r="E3378" s="3" t="n">
        <v>2</v>
      </c>
      <c r="F3378" s="2" t="n">
        <v>3</v>
      </c>
      <c r="G3378" s="4" t="n">
        <v>3</v>
      </c>
      <c r="H3378" s="13" t="n"/>
      <c r="I3378" s="15" t="n"/>
      <c r="J3378" s="19" t="n">
        <v>3</v>
      </c>
      <c r="K3378" s="2" t="inlineStr">
        <is>
          <t>marker_938_656534.png</t>
        </is>
      </c>
      <c r="L3378" s="11">
        <f>HYPERLINK("3\1\" &amp; K3378, "Ver Imagen")</f>
        <v/>
      </c>
      <c r="M3378" t="inlineStr">
        <is>
          <t>Moda</t>
        </is>
      </c>
    </row>
    <row r="3379">
      <c r="A3379" t="n">
        <v>3378</v>
      </c>
      <c r="B3379" t="inlineStr">
        <is>
          <t>A-497_2C__202</t>
        </is>
      </c>
      <c r="C3379" s="1" t="n">
        <v>37.2641505599</v>
      </c>
      <c r="D3379" s="1" t="n">
        <v>-7.00367928708</v>
      </c>
      <c r="E3379" s="3" t="n">
        <v>2</v>
      </c>
      <c r="F3379" s="2" t="n">
        <v>3</v>
      </c>
      <c r="G3379" s="4" t="n">
        <v>3</v>
      </c>
      <c r="H3379" s="13" t="n"/>
      <c r="I3379" s="15" t="n"/>
      <c r="J3379" s="19" t="n">
        <v>3</v>
      </c>
      <c r="K3379" s="2" t="inlineStr">
        <is>
          <t>marker_965_656550.png</t>
        </is>
      </c>
      <c r="L3379" s="11">
        <f>HYPERLINK("3\1\" &amp; K3379, "Ver Imagen")</f>
        <v/>
      </c>
      <c r="M3379" t="inlineStr">
        <is>
          <t>Moda</t>
        </is>
      </c>
    </row>
    <row r="3380">
      <c r="A3380" t="n">
        <v>3379</v>
      </c>
      <c r="B3380" t="inlineStr">
        <is>
          <t>A-497_2C__203</t>
        </is>
      </c>
      <c r="C3380" s="1" t="n">
        <v>37.2641161655</v>
      </c>
      <c r="D3380" s="1" t="n">
        <v>-7.0038748008</v>
      </c>
      <c r="E3380" s="3" t="n">
        <v>2</v>
      </c>
      <c r="F3380" s="2" t="n">
        <v>3</v>
      </c>
      <c r="G3380" s="4" t="n">
        <v>3</v>
      </c>
      <c r="H3380" s="13" t="n"/>
      <c r="I3380" s="15" t="n"/>
      <c r="J3380" s="19" t="n">
        <v>3</v>
      </c>
      <c r="K3380" s="2" t="inlineStr">
        <is>
          <t>marker_198_656579.png</t>
        </is>
      </c>
      <c r="L3380" s="11">
        <f>HYPERLINK("3\1\" &amp; K3380, "Ver Imagen")</f>
        <v/>
      </c>
      <c r="M3380" t="inlineStr">
        <is>
          <t>Moda</t>
        </is>
      </c>
    </row>
    <row r="3381">
      <c r="A3381" t="n">
        <v>3380</v>
      </c>
      <c r="B3381" t="inlineStr">
        <is>
          <t>A-497_2C__204</t>
        </is>
      </c>
      <c r="C3381" s="1" t="n">
        <v>37.2640725687</v>
      </c>
      <c r="D3381" s="1" t="n">
        <v>-7.00411992732</v>
      </c>
      <c r="E3381" s="3" t="n">
        <v>2</v>
      </c>
      <c r="F3381" s="2" t="n">
        <v>3</v>
      </c>
      <c r="G3381" s="4" t="n">
        <v>3</v>
      </c>
      <c r="H3381" s="13" t="n"/>
      <c r="I3381" s="15" t="n"/>
      <c r="J3381" s="19" t="n">
        <v>3</v>
      </c>
      <c r="K3381" s="2" t="inlineStr">
        <is>
          <t>marker_853_656589.png</t>
        </is>
      </c>
      <c r="L3381" s="11">
        <f>HYPERLINK("3\1\" &amp; K3381, "Ver Imagen")</f>
        <v/>
      </c>
      <c r="M3381" t="inlineStr">
        <is>
          <t>Moda</t>
        </is>
      </c>
    </row>
    <row r="3382">
      <c r="A3382" t="n">
        <v>3381</v>
      </c>
      <c r="B3382" t="inlineStr">
        <is>
          <t>A-497_2C__205</t>
        </is>
      </c>
      <c r="C3382" s="1" t="n">
        <v>37.2640323783</v>
      </c>
      <c r="D3382" s="1" t="n">
        <v>-7.00434609335</v>
      </c>
      <c r="E3382" s="3" t="n">
        <v>4</v>
      </c>
      <c r="F3382" s="2" t="n">
        <v>3</v>
      </c>
      <c r="G3382" s="4" t="n">
        <v>3</v>
      </c>
      <c r="H3382" s="13" t="n"/>
      <c r="I3382" s="15" t="n"/>
      <c r="J3382" s="19" t="n">
        <v>3</v>
      </c>
      <c r="K3382" s="2" t="inlineStr">
        <is>
          <t>marker_652_656600.png</t>
        </is>
      </c>
      <c r="L3382" s="11">
        <f>HYPERLINK("3\1\" &amp; K3382, "Ver Imagen")</f>
        <v/>
      </c>
      <c r="M3382" t="inlineStr">
        <is>
          <t>Moda</t>
        </is>
      </c>
    </row>
    <row r="3383">
      <c r="A3383" t="n">
        <v>3382</v>
      </c>
      <c r="B3383" t="inlineStr">
        <is>
          <t>A-497_2C__207</t>
        </is>
      </c>
      <c r="C3383" s="1" t="n">
        <v>37.2639406302</v>
      </c>
      <c r="D3383" s="1" t="n">
        <v>-7.00486692448</v>
      </c>
      <c r="E3383" s="3" t="n">
        <v>2</v>
      </c>
      <c r="F3383" s="2" t="n">
        <v>3</v>
      </c>
      <c r="G3383" s="4" t="n">
        <v>3</v>
      </c>
      <c r="H3383" s="13" t="n"/>
      <c r="I3383" s="15" t="n"/>
      <c r="J3383" s="19" t="n">
        <v>3</v>
      </c>
      <c r="K3383" s="2" t="inlineStr">
        <is>
          <t>marker_393_656619.png</t>
        </is>
      </c>
      <c r="L3383" s="11">
        <f>HYPERLINK("3\1\" &amp; K3383, "Ver Imagen")</f>
        <v/>
      </c>
      <c r="M3383" t="inlineStr">
        <is>
          <t>Moda</t>
        </is>
      </c>
    </row>
    <row r="3384">
      <c r="A3384" t="n">
        <v>3383</v>
      </c>
      <c r="B3384" t="inlineStr">
        <is>
          <t>A-497_2C__208</t>
        </is>
      </c>
      <c r="C3384" s="1" t="n">
        <v>37.2639008486</v>
      </c>
      <c r="D3384" s="1" t="n">
        <v>-7.00509160783</v>
      </c>
      <c r="E3384" s="3" t="n">
        <v>2</v>
      </c>
      <c r="F3384" s="2" t="n">
        <v>3</v>
      </c>
      <c r="G3384" s="4" t="n">
        <v>3</v>
      </c>
      <c r="H3384" s="13" t="n"/>
      <c r="I3384" s="15" t="n"/>
      <c r="J3384" s="19" t="n">
        <v>3</v>
      </c>
      <c r="K3384" s="2" t="inlineStr">
        <is>
          <t>marker_297_656630.png</t>
        </is>
      </c>
      <c r="L3384" s="11">
        <f>HYPERLINK("3\1\" &amp; K3384, "Ver Imagen")</f>
        <v/>
      </c>
      <c r="M3384" t="inlineStr">
        <is>
          <t>Moda</t>
        </is>
      </c>
    </row>
    <row r="3385">
      <c r="A3385" t="n">
        <v>3384</v>
      </c>
      <c r="B3385" t="inlineStr">
        <is>
          <t>A-497_2C__209</t>
        </is>
      </c>
      <c r="C3385" s="1" t="n">
        <v>37.2638558089</v>
      </c>
      <c r="D3385" s="1" t="n">
        <v>-7.00534505515</v>
      </c>
      <c r="E3385" s="3" t="n">
        <v>2</v>
      </c>
      <c r="F3385" s="2" t="n">
        <v>3</v>
      </c>
      <c r="G3385" s="4" t="n">
        <v>3</v>
      </c>
      <c r="H3385" s="13" t="n"/>
      <c r="I3385" s="15" t="n"/>
      <c r="J3385" s="19" t="n">
        <v>3</v>
      </c>
      <c r="K3385" s="2" t="inlineStr">
        <is>
          <t>marker_228_656639.png</t>
        </is>
      </c>
      <c r="L3385" s="11">
        <f>HYPERLINK("3\1\" &amp; K3385, "Ver Imagen")</f>
        <v/>
      </c>
      <c r="M3385" t="inlineStr">
        <is>
          <t>Moda</t>
        </is>
      </c>
    </row>
    <row r="3386">
      <c r="A3386" t="n">
        <v>3385</v>
      </c>
      <c r="B3386" t="inlineStr">
        <is>
          <t>A-497_2C__210</t>
        </is>
      </c>
      <c r="C3386" s="1" t="n">
        <v>37.263809695</v>
      </c>
      <c r="D3386" s="1" t="n">
        <v>-7.00560533405</v>
      </c>
      <c r="E3386" s="3" t="n">
        <v>2</v>
      </c>
      <c r="F3386" s="2" t="n">
        <v>3</v>
      </c>
      <c r="G3386" s="4" t="n">
        <v>3</v>
      </c>
      <c r="H3386" s="13" t="n"/>
      <c r="I3386" s="15" t="n"/>
      <c r="J3386" s="19" t="n">
        <v>3</v>
      </c>
      <c r="K3386" s="2" t="inlineStr">
        <is>
          <t>marker_143_656652.png</t>
        </is>
      </c>
      <c r="L3386" s="11">
        <f>HYPERLINK("3\1\" &amp; K3386, "Ver Imagen")</f>
        <v/>
      </c>
      <c r="M3386" t="inlineStr">
        <is>
          <t>Moda</t>
        </is>
      </c>
    </row>
    <row r="3387">
      <c r="A3387" t="n">
        <v>3386</v>
      </c>
      <c r="B3387" t="inlineStr">
        <is>
          <t>A-497_2C__211</t>
        </is>
      </c>
      <c r="C3387" s="1" t="n">
        <v>37.2637690314</v>
      </c>
      <c r="D3387" s="1" t="n">
        <v>-7.00583402074</v>
      </c>
      <c r="E3387" s="3" t="n">
        <v>2</v>
      </c>
      <c r="F3387" s="2" t="n">
        <v>3</v>
      </c>
      <c r="G3387" s="4" t="n">
        <v>3</v>
      </c>
      <c r="H3387" s="13" t="n"/>
      <c r="I3387" s="15" t="n"/>
      <c r="J3387" s="19" t="n">
        <v>3</v>
      </c>
      <c r="K3387" s="2" t="inlineStr">
        <is>
          <t>marker_305_656664.png</t>
        </is>
      </c>
      <c r="L3387" s="11">
        <f>HYPERLINK("3\1\" &amp; K3387, "Ver Imagen")</f>
        <v/>
      </c>
      <c r="M3387" t="inlineStr">
        <is>
          <t>Moda</t>
        </is>
      </c>
    </row>
    <row r="3388">
      <c r="A3388" t="n">
        <v>3387</v>
      </c>
      <c r="B3388" t="inlineStr">
        <is>
          <t>A-497_2C__212</t>
        </is>
      </c>
      <c r="C3388" s="1" t="n">
        <v>37.2637146263</v>
      </c>
      <c r="D3388" s="1" t="n">
        <v>-7.00613698875</v>
      </c>
      <c r="E3388" s="3" t="n">
        <v>2</v>
      </c>
      <c r="F3388" s="2" t="n">
        <v>3</v>
      </c>
      <c r="G3388" s="4" t="n">
        <v>3</v>
      </c>
      <c r="H3388" s="13" t="n"/>
      <c r="I3388" s="15" t="n"/>
      <c r="J3388" s="19" t="n">
        <v>3</v>
      </c>
      <c r="K3388" s="2" t="inlineStr">
        <is>
          <t>marker_152_656672.png</t>
        </is>
      </c>
      <c r="L3388" s="11">
        <f>HYPERLINK("3\1\" &amp; K3388, "Ver Imagen")</f>
        <v/>
      </c>
      <c r="M3388" t="inlineStr">
        <is>
          <t>Moda</t>
        </is>
      </c>
    </row>
    <row r="3389">
      <c r="A3389" t="n">
        <v>3388</v>
      </c>
      <c r="B3389" t="inlineStr">
        <is>
          <t>A-497_2C__213</t>
        </is>
      </c>
      <c r="C3389" s="1" t="n">
        <v>37.2636764289</v>
      </c>
      <c r="D3389" s="1" t="n">
        <v>-7.00634926096</v>
      </c>
      <c r="E3389" s="3" t="n">
        <v>2</v>
      </c>
      <c r="F3389" s="2" t="n">
        <v>3</v>
      </c>
      <c r="G3389" s="4" t="n">
        <v>3</v>
      </c>
      <c r="H3389" s="13" t="n"/>
      <c r="I3389" s="15" t="n"/>
      <c r="J3389" s="19" t="n">
        <v>3</v>
      </c>
      <c r="K3389" s="2" t="inlineStr">
        <is>
          <t>marker_950_656683.png</t>
        </is>
      </c>
      <c r="L3389" s="11">
        <f>HYPERLINK("3\1\" &amp; K3389, "Ver Imagen")</f>
        <v/>
      </c>
      <c r="M3389" t="inlineStr">
        <is>
          <t>Moda</t>
        </is>
      </c>
    </row>
    <row r="3390">
      <c r="A3390" t="n">
        <v>3389</v>
      </c>
      <c r="B3390" t="inlineStr">
        <is>
          <t>A-497_2C__214</t>
        </is>
      </c>
      <c r="C3390" s="1" t="n">
        <v>37.2636336767</v>
      </c>
      <c r="D3390" s="1" t="n">
        <v>-7.00658579854</v>
      </c>
      <c r="E3390" s="3" t="n">
        <v>2</v>
      </c>
      <c r="F3390" s="2" t="n">
        <v>3</v>
      </c>
      <c r="G3390" s="4" t="n">
        <v>3</v>
      </c>
      <c r="H3390" s="13" t="n"/>
      <c r="I3390" s="15" t="n"/>
      <c r="J3390" s="19" t="n">
        <v>3</v>
      </c>
      <c r="K3390" s="2" t="inlineStr">
        <is>
          <t>marker_519_656692.png</t>
        </is>
      </c>
      <c r="L3390" s="11">
        <f>HYPERLINK("3\1\" &amp; K3390, "Ver Imagen")</f>
        <v/>
      </c>
      <c r="M3390" t="inlineStr">
        <is>
          <t>Moda</t>
        </is>
      </c>
    </row>
    <row r="3391">
      <c r="A3391" t="n">
        <v>3390</v>
      </c>
      <c r="B3391" t="inlineStr">
        <is>
          <t>A-497__697</t>
        </is>
      </c>
      <c r="C3391" s="1" t="n">
        <v>37.1972644501</v>
      </c>
      <c r="D3391" s="1" t="n">
        <v>-6.97949745795</v>
      </c>
      <c r="E3391" s="3" t="n">
        <v>3</v>
      </c>
      <c r="F3391" s="2" t="n">
        <v>3</v>
      </c>
      <c r="G3391" s="4" t="n">
        <v>4</v>
      </c>
      <c r="H3391" s="13" t="n"/>
      <c r="I3391" s="15" t="n"/>
      <c r="J3391" s="19" t="n">
        <v>3</v>
      </c>
      <c r="K3391" s="2" t="inlineStr">
        <is>
          <t>marker_252_370406.png</t>
        </is>
      </c>
      <c r="L3391" s="11">
        <f>HYPERLINK("3\1\" &amp; K3391, "Ver Imagen")</f>
        <v/>
      </c>
      <c r="M3391" t="inlineStr">
        <is>
          <t>Moda</t>
        </is>
      </c>
    </row>
    <row r="3392">
      <c r="A3392" t="n">
        <v>3391</v>
      </c>
      <c r="B3392" t="inlineStr">
        <is>
          <t>A-497__696</t>
        </is>
      </c>
      <c r="C3392" s="1" t="n">
        <v>37.1974331185</v>
      </c>
      <c r="D3392" s="1" t="n">
        <v>-6.97968439606</v>
      </c>
      <c r="E3392" s="3" t="n">
        <v>2</v>
      </c>
      <c r="F3392" s="2" t="n">
        <v>3</v>
      </c>
      <c r="G3392" s="4" t="n">
        <v>3</v>
      </c>
      <c r="H3392" s="13" t="n"/>
      <c r="I3392" s="15" t="n"/>
      <c r="J3392" s="19" t="n">
        <v>3</v>
      </c>
      <c r="K3392" s="2" t="inlineStr">
        <is>
          <t>marker_473_370415.png</t>
        </is>
      </c>
      <c r="L3392" s="11">
        <f>HYPERLINK("3\1\" &amp; K3392, "Ver Imagen")</f>
        <v/>
      </c>
      <c r="M3392" t="inlineStr">
        <is>
          <t>Moda</t>
        </is>
      </c>
    </row>
    <row r="3393">
      <c r="A3393" t="n">
        <v>3392</v>
      </c>
      <c r="B3393" t="inlineStr">
        <is>
          <t>A-497__695</t>
        </is>
      </c>
      <c r="C3393" s="1" t="n">
        <v>37.1975616677</v>
      </c>
      <c r="D3393" s="1" t="n">
        <v>-6.97983518793</v>
      </c>
      <c r="E3393" s="3" t="n">
        <v>2</v>
      </c>
      <c r="F3393" s="2" t="n">
        <v>3</v>
      </c>
      <c r="G3393" s="4" t="n">
        <v>3</v>
      </c>
      <c r="H3393" s="13" t="n"/>
      <c r="I3393" s="15" t="n"/>
      <c r="J3393" s="19" t="n">
        <v>3</v>
      </c>
      <c r="K3393" s="2" t="inlineStr">
        <is>
          <t>marker_548_370430.png</t>
        </is>
      </c>
      <c r="L3393" s="11">
        <f>HYPERLINK("3\1\" &amp; K3393, "Ver Imagen")</f>
        <v/>
      </c>
      <c r="M3393" t="inlineStr">
        <is>
          <t>Moda</t>
        </is>
      </c>
    </row>
    <row r="3394">
      <c r="A3394" t="n">
        <v>3393</v>
      </c>
      <c r="B3394" t="inlineStr">
        <is>
          <t>A-497__691</t>
        </is>
      </c>
      <c r="C3394" s="1" t="n">
        <v>37.1980824893</v>
      </c>
      <c r="D3394" s="1" t="n">
        <v>-6.98055069672</v>
      </c>
      <c r="E3394" s="3" t="n">
        <v>2</v>
      </c>
      <c r="F3394" s="2" t="n">
        <v>3</v>
      </c>
      <c r="G3394" s="4" t="n">
        <v>3</v>
      </c>
      <c r="H3394" s="13" t="n"/>
      <c r="I3394" s="15" t="n"/>
      <c r="J3394" s="19" t="n">
        <v>3</v>
      </c>
      <c r="K3394" s="2" t="inlineStr">
        <is>
          <t>marker_959_370465.png</t>
        </is>
      </c>
      <c r="L3394" s="11">
        <f>HYPERLINK("3\1\" &amp; K3394, "Ver Imagen")</f>
        <v/>
      </c>
      <c r="M3394" t="inlineStr">
        <is>
          <t>Moda</t>
        </is>
      </c>
    </row>
    <row r="3395">
      <c r="A3395" t="n">
        <v>3394</v>
      </c>
      <c r="B3395" t="inlineStr">
        <is>
          <t>A-497__685</t>
        </is>
      </c>
      <c r="C3395" s="1" t="n">
        <v>37.1987733923</v>
      </c>
      <c r="D3395" s="1" t="n">
        <v>-6.98184504528</v>
      </c>
      <c r="E3395" s="3" t="n">
        <v>2</v>
      </c>
      <c r="F3395" s="2" t="n">
        <v>3</v>
      </c>
      <c r="G3395" s="4" t="n">
        <v>3</v>
      </c>
      <c r="H3395" s="13" t="n"/>
      <c r="I3395" s="15" t="n"/>
      <c r="J3395" s="19" t="n">
        <v>3</v>
      </c>
      <c r="K3395" s="2" t="inlineStr">
        <is>
          <t>marker_564_370521.png</t>
        </is>
      </c>
      <c r="L3395" s="11">
        <f>HYPERLINK("3\1\" &amp; K3395, "Ver Imagen")</f>
        <v/>
      </c>
      <c r="M3395" t="inlineStr">
        <is>
          <t>Moda</t>
        </is>
      </c>
    </row>
    <row r="3396">
      <c r="A3396" t="n">
        <v>3395</v>
      </c>
      <c r="B3396" t="inlineStr">
        <is>
          <t>A-497__684</t>
        </is>
      </c>
      <c r="C3396" s="1" t="n">
        <v>37.1988582967</v>
      </c>
      <c r="D3396" s="1" t="n">
        <v>-6.98204425669</v>
      </c>
      <c r="E3396" s="3" t="n">
        <v>2</v>
      </c>
      <c r="F3396" s="2" t="n">
        <v>3</v>
      </c>
      <c r="G3396" s="4" t="n">
        <v>3</v>
      </c>
      <c r="H3396" s="13" t="n"/>
      <c r="I3396" s="15" t="n"/>
      <c r="J3396" s="19" t="n">
        <v>3</v>
      </c>
      <c r="K3396" s="2" t="inlineStr">
        <is>
          <t>marker_873_370531.png</t>
        </is>
      </c>
      <c r="L3396" s="11">
        <f>HYPERLINK("3\1\" &amp; K3396, "Ver Imagen")</f>
        <v/>
      </c>
      <c r="M3396" t="inlineStr">
        <is>
          <t>Moda</t>
        </is>
      </c>
    </row>
    <row r="3397">
      <c r="A3397" t="n">
        <v>3396</v>
      </c>
      <c r="B3397" t="inlineStr">
        <is>
          <t>A-497__683</t>
        </is>
      </c>
      <c r="C3397" s="1" t="n">
        <v>37.1989447827</v>
      </c>
      <c r="D3397" s="1" t="n">
        <v>-6.98225808402</v>
      </c>
      <c r="E3397" s="3" t="n">
        <v>2</v>
      </c>
      <c r="F3397" s="2" t="n">
        <v>3</v>
      </c>
      <c r="G3397" s="4" t="n">
        <v>3</v>
      </c>
      <c r="H3397" s="13" t="n"/>
      <c r="I3397" s="15" t="n"/>
      <c r="J3397" s="19" t="n">
        <v>3</v>
      </c>
      <c r="K3397" s="2" t="inlineStr">
        <is>
          <t>marker_680_370541.png</t>
        </is>
      </c>
      <c r="L3397" s="11">
        <f>HYPERLINK("3\1\" &amp; K3397, "Ver Imagen")</f>
        <v/>
      </c>
      <c r="M3397" t="inlineStr">
        <is>
          <t>Moda</t>
        </is>
      </c>
    </row>
    <row r="3398">
      <c r="A3398" t="n">
        <v>3397</v>
      </c>
      <c r="B3398" t="inlineStr">
        <is>
          <t>A-497_2C__222</t>
        </is>
      </c>
      <c r="C3398" s="1" t="n">
        <v>37.2631275277</v>
      </c>
      <c r="D3398" s="1" t="n">
        <v>-7.00849625261</v>
      </c>
      <c r="E3398" s="3" t="n">
        <v>2</v>
      </c>
      <c r="F3398" s="2" t="n">
        <v>3</v>
      </c>
      <c r="G3398" s="4" t="n">
        <v>3</v>
      </c>
      <c r="H3398" s="13" t="n"/>
      <c r="I3398" s="15" t="n"/>
      <c r="J3398" s="19" t="n">
        <v>3</v>
      </c>
      <c r="K3398" s="2" t="inlineStr">
        <is>
          <t>marker_145_656784.png</t>
        </is>
      </c>
      <c r="L3398" s="11">
        <f>HYPERLINK("3\1\" &amp; K3398, "Ver Imagen")</f>
        <v/>
      </c>
      <c r="M3398" t="inlineStr">
        <is>
          <t>Moda</t>
        </is>
      </c>
    </row>
    <row r="3399">
      <c r="A3399" t="n">
        <v>3398</v>
      </c>
      <c r="B3399" t="inlineStr">
        <is>
          <t>A-497__678</t>
        </is>
      </c>
      <c r="C3399" s="1" t="n">
        <v>37.199352613</v>
      </c>
      <c r="D3399" s="1" t="n">
        <v>-6.9834346155</v>
      </c>
      <c r="E3399" s="3" t="n">
        <v>2</v>
      </c>
      <c r="F3399" s="2" t="n">
        <v>3</v>
      </c>
      <c r="G3399" s="4" t="n">
        <v>3</v>
      </c>
      <c r="H3399" s="13" t="n"/>
      <c r="I3399" s="15" t="n"/>
      <c r="J3399" s="19" t="n">
        <v>3</v>
      </c>
      <c r="K3399" s="2" t="inlineStr">
        <is>
          <t>marker_452_370591.png</t>
        </is>
      </c>
      <c r="L3399" s="11">
        <f>HYPERLINK("3\1\" &amp; K3399, "Ver Imagen")</f>
        <v/>
      </c>
      <c r="M3399" t="inlineStr">
        <is>
          <t>Moda</t>
        </is>
      </c>
    </row>
    <row r="3400">
      <c r="A3400" t="n">
        <v>3399</v>
      </c>
      <c r="B3400" t="inlineStr">
        <is>
          <t>A-497__677</t>
        </is>
      </c>
      <c r="C3400" s="1" t="n">
        <v>37.1994306235</v>
      </c>
      <c r="D3400" s="1" t="n">
        <v>-6.98369139035</v>
      </c>
      <c r="E3400" s="3" t="n">
        <v>2</v>
      </c>
      <c r="F3400" s="2" t="n">
        <v>3</v>
      </c>
      <c r="G3400" s="4" t="n">
        <v>3</v>
      </c>
      <c r="H3400" s="13" t="n"/>
      <c r="I3400" s="15" t="n"/>
      <c r="J3400" s="19" t="n">
        <v>3</v>
      </c>
      <c r="K3400" s="2" t="inlineStr">
        <is>
          <t>marker_619_370607.png</t>
        </is>
      </c>
      <c r="L3400" s="11">
        <f>HYPERLINK("3\1\" &amp; K3400, "Ver Imagen")</f>
        <v/>
      </c>
      <c r="M3400" t="inlineStr">
        <is>
          <t>Moda</t>
        </is>
      </c>
    </row>
    <row r="3401">
      <c r="A3401" t="n">
        <v>3400</v>
      </c>
      <c r="B3401" t="inlineStr">
        <is>
          <t>A-497__676</t>
        </is>
      </c>
      <c r="C3401" s="1" t="n">
        <v>37.1994904913</v>
      </c>
      <c r="D3401" s="1" t="n">
        <v>-6.98389580977</v>
      </c>
      <c r="E3401" s="3" t="n">
        <v>2</v>
      </c>
      <c r="F3401" s="2" t="n">
        <v>3</v>
      </c>
      <c r="G3401" s="4" t="n">
        <v>3</v>
      </c>
      <c r="H3401" s="13" t="n"/>
      <c r="I3401" s="15" t="n"/>
      <c r="J3401" s="19" t="n">
        <v>3</v>
      </c>
      <c r="K3401" s="2" t="inlineStr">
        <is>
          <t>marker_932_370615.png</t>
        </is>
      </c>
      <c r="L3401" s="11">
        <f>HYPERLINK("3\1\" &amp; K3401, "Ver Imagen")</f>
        <v/>
      </c>
      <c r="M3401" t="inlineStr">
        <is>
          <t>Moda</t>
        </is>
      </c>
    </row>
    <row r="3402">
      <c r="A3402" t="n">
        <v>3401</v>
      </c>
      <c r="B3402" t="inlineStr">
        <is>
          <t>A-497_2C__236</t>
        </is>
      </c>
      <c r="C3402" s="1" t="n">
        <v>37.2611739149</v>
      </c>
      <c r="D3402" s="1" t="n">
        <v>-7.01095771569</v>
      </c>
      <c r="E3402" s="3" t="n">
        <v>2</v>
      </c>
      <c r="F3402" s="2" t="n">
        <v>3</v>
      </c>
      <c r="G3402" s="4" t="n">
        <v>3</v>
      </c>
      <c r="H3402" s="13" t="n"/>
      <c r="I3402" s="15" t="n"/>
      <c r="J3402" s="19" t="n">
        <v>3</v>
      </c>
      <c r="K3402" s="2" t="inlineStr">
        <is>
          <t>marker_644_656934.png</t>
        </is>
      </c>
      <c r="L3402" s="11">
        <f>HYPERLINK("3\1\" &amp; K3402, "Ver Imagen")</f>
        <v/>
      </c>
      <c r="M3402" t="inlineStr">
        <is>
          <t>Moda</t>
        </is>
      </c>
    </row>
    <row r="3403">
      <c r="A3403" t="n">
        <v>3402</v>
      </c>
      <c r="B3403" t="inlineStr">
        <is>
          <t>A-497__668</t>
        </is>
      </c>
      <c r="C3403" s="1" t="n">
        <v>37.2000074753</v>
      </c>
      <c r="D3403" s="1" t="n">
        <v>-6.98587057615</v>
      </c>
      <c r="E3403" s="3" t="n">
        <v>3</v>
      </c>
      <c r="F3403" s="2" t="n">
        <v>3</v>
      </c>
      <c r="G3403" s="4" t="n">
        <v>4</v>
      </c>
      <c r="H3403" s="13" t="n"/>
      <c r="I3403" s="15" t="n"/>
      <c r="J3403" s="19" t="n">
        <v>3</v>
      </c>
      <c r="K3403" s="2" t="inlineStr">
        <is>
          <t>marker_117_371043.png</t>
        </is>
      </c>
      <c r="L3403" s="11">
        <f>HYPERLINK("3\1\" &amp; K3403, "Ver Imagen")</f>
        <v/>
      </c>
      <c r="M3403" t="inlineStr">
        <is>
          <t>Moda</t>
        </is>
      </c>
    </row>
    <row r="3404">
      <c r="A3404" t="n">
        <v>3403</v>
      </c>
      <c r="B3404" t="inlineStr">
        <is>
          <t>A-497_2C__241</t>
        </is>
      </c>
      <c r="C3404" s="1" t="n">
        <v>37.2602637769</v>
      </c>
      <c r="D3404" s="1" t="n">
        <v>-7.01154047135</v>
      </c>
      <c r="E3404" s="3" t="n">
        <v>3</v>
      </c>
      <c r="F3404" s="2" t="n">
        <v>3</v>
      </c>
      <c r="G3404" s="4" t="n">
        <v>2</v>
      </c>
      <c r="H3404" s="13" t="n"/>
      <c r="I3404" s="15" t="n"/>
      <c r="J3404" s="19" t="n">
        <v>3</v>
      </c>
      <c r="K3404" s="2" t="inlineStr">
        <is>
          <t>marker_345_657035.png</t>
        </is>
      </c>
      <c r="L3404" s="11">
        <f>HYPERLINK("3\1\" &amp; K3404, "Ver Imagen")</f>
        <v/>
      </c>
      <c r="M3404" t="inlineStr">
        <is>
          <t>Moda</t>
        </is>
      </c>
    </row>
    <row r="3405">
      <c r="A3405" t="n">
        <v>3404</v>
      </c>
      <c r="B3405" t="inlineStr">
        <is>
          <t>A-497__665</t>
        </is>
      </c>
      <c r="C3405" s="1" t="n">
        <v>37.2001916113</v>
      </c>
      <c r="D3405" s="1" t="n">
        <v>-6.98662356722</v>
      </c>
      <c r="E3405" s="3" t="n">
        <v>2</v>
      </c>
      <c r="F3405" s="2" t="n">
        <v>3</v>
      </c>
      <c r="G3405" s="4" t="n">
        <v>3</v>
      </c>
      <c r="H3405" s="13" t="n"/>
      <c r="I3405" s="15" t="n"/>
      <c r="J3405" s="19" t="n">
        <v>3</v>
      </c>
      <c r="K3405" s="2" t="inlineStr">
        <is>
          <t>marker_861_371069.png</t>
        </is>
      </c>
      <c r="L3405" s="11">
        <f>HYPERLINK("3\1\" &amp; K3405, "Ver Imagen")</f>
        <v/>
      </c>
      <c r="M3405" t="inlineStr">
        <is>
          <t>Moda</t>
        </is>
      </c>
    </row>
    <row r="3406">
      <c r="A3406" t="n">
        <v>3405</v>
      </c>
      <c r="B3406" t="inlineStr">
        <is>
          <t>A-497_2C__243</t>
        </is>
      </c>
      <c r="C3406" s="1" t="n">
        <v>37.259881105</v>
      </c>
      <c r="D3406" s="1" t="n">
        <v>-7.01178334893</v>
      </c>
      <c r="E3406" s="3" t="n">
        <v>2</v>
      </c>
      <c r="F3406" s="2" t="n">
        <v>3</v>
      </c>
      <c r="G3406" s="4" t="n">
        <v>3</v>
      </c>
      <c r="H3406" s="13" t="n"/>
      <c r="I3406" s="15" t="n"/>
      <c r="J3406" s="19" t="n">
        <v>3</v>
      </c>
      <c r="K3406" s="2" t="inlineStr">
        <is>
          <t>marker_316_657051.png</t>
        </is>
      </c>
      <c r="L3406" s="11">
        <f>HYPERLINK("3\1\" &amp; K3406, "Ver Imagen")</f>
        <v/>
      </c>
      <c r="M3406" t="inlineStr">
        <is>
          <t>Moda</t>
        </is>
      </c>
    </row>
    <row r="3407">
      <c r="A3407" t="n">
        <v>3406</v>
      </c>
      <c r="B3407" t="inlineStr">
        <is>
          <t>A-497__663</t>
        </is>
      </c>
      <c r="C3407" s="1" t="n">
        <v>37.2002859192</v>
      </c>
      <c r="D3407" s="1" t="n">
        <v>-6.98701261832</v>
      </c>
      <c r="E3407" s="3" t="n">
        <v>2</v>
      </c>
      <c r="F3407" s="2" t="n">
        <v>3</v>
      </c>
      <c r="G3407" s="4" t="n">
        <v>3</v>
      </c>
      <c r="H3407" s="13" t="n"/>
      <c r="I3407" s="15" t="n"/>
      <c r="J3407" s="19" t="n">
        <v>3</v>
      </c>
      <c r="K3407" s="2" t="inlineStr">
        <is>
          <t>marker_946_371124.png</t>
        </is>
      </c>
      <c r="L3407" s="11">
        <f>HYPERLINK("3\1\" &amp; K3407, "Ver Imagen")</f>
        <v/>
      </c>
      <c r="M3407" t="inlineStr">
        <is>
          <t>Moda</t>
        </is>
      </c>
    </row>
    <row r="3408">
      <c r="A3408" t="n">
        <v>3407</v>
      </c>
      <c r="B3408" t="inlineStr">
        <is>
          <t>A-497__661</t>
        </is>
      </c>
      <c r="C3408" s="1" t="n">
        <v>37.2004023435</v>
      </c>
      <c r="D3408" s="1" t="n">
        <v>-6.98750876485</v>
      </c>
      <c r="E3408" s="3" t="n">
        <v>2</v>
      </c>
      <c r="F3408" s="2" t="n">
        <v>3</v>
      </c>
      <c r="G3408" s="4" t="n">
        <v>3</v>
      </c>
      <c r="H3408" s="13" t="n"/>
      <c r="I3408" s="15" t="n"/>
      <c r="J3408" s="19" t="n">
        <v>3</v>
      </c>
      <c r="K3408" s="2" t="inlineStr">
        <is>
          <t>marker_511_371141.png</t>
        </is>
      </c>
      <c r="L3408" s="11">
        <f>HYPERLINK("3\1\" &amp; K3408, "Ver Imagen")</f>
        <v/>
      </c>
      <c r="M3408" t="inlineStr">
        <is>
          <t>Moda</t>
        </is>
      </c>
    </row>
    <row r="3409">
      <c r="A3409" t="n">
        <v>3408</v>
      </c>
      <c r="B3409" t="inlineStr">
        <is>
          <t>A-497__660</t>
        </is>
      </c>
      <c r="C3409" s="1" t="n">
        <v>37.2004639199</v>
      </c>
      <c r="D3409" s="1" t="n">
        <v>-6.98777691841</v>
      </c>
      <c r="E3409" s="3" t="n">
        <v>2</v>
      </c>
      <c r="F3409" s="2" t="n">
        <v>3</v>
      </c>
      <c r="G3409" s="4" t="n">
        <v>3</v>
      </c>
      <c r="H3409" s="13" t="n"/>
      <c r="I3409" s="15" t="n"/>
      <c r="J3409" s="19" t="n">
        <v>3</v>
      </c>
      <c r="K3409" s="2" t="inlineStr">
        <is>
          <t>marker_172_371149.png</t>
        </is>
      </c>
      <c r="L3409" s="11">
        <f>HYPERLINK("3\1\" &amp; K3409, "Ver Imagen")</f>
        <v/>
      </c>
      <c r="M3409" t="inlineStr">
        <is>
          <t>Moda</t>
        </is>
      </c>
    </row>
    <row r="3410">
      <c r="A3410" t="n">
        <v>3409</v>
      </c>
      <c r="B3410" t="inlineStr">
        <is>
          <t>A-497__658</t>
        </is>
      </c>
      <c r="C3410" s="1" t="n">
        <v>37.2005873859</v>
      </c>
      <c r="D3410" s="1" t="n">
        <v>-6.98832301619</v>
      </c>
      <c r="E3410" s="3" t="n">
        <v>2</v>
      </c>
      <c r="F3410" s="2" t="n">
        <v>3</v>
      </c>
      <c r="G3410" s="4" t="n">
        <v>3</v>
      </c>
      <c r="H3410" s="13" t="n"/>
      <c r="I3410" s="15" t="n"/>
      <c r="J3410" s="19" t="n">
        <v>3</v>
      </c>
      <c r="K3410" s="2" t="inlineStr">
        <is>
          <t>marker_541_371165.png</t>
        </is>
      </c>
      <c r="L3410" s="11">
        <f>HYPERLINK("3\1\" &amp; K3410, "Ver Imagen")</f>
        <v/>
      </c>
      <c r="M3410" t="inlineStr">
        <is>
          <t>Moda</t>
        </is>
      </c>
    </row>
    <row r="3411">
      <c r="A3411" t="n">
        <v>3410</v>
      </c>
      <c r="B3411" t="inlineStr">
        <is>
          <t>A-497__654</t>
        </is>
      </c>
      <c r="C3411" s="1" t="n">
        <v>37.2007920389</v>
      </c>
      <c r="D3411" s="1" t="n">
        <v>-6.98923230331</v>
      </c>
      <c r="E3411" s="3" t="n">
        <v>2</v>
      </c>
      <c r="F3411" s="2" t="n">
        <v>3</v>
      </c>
      <c r="G3411" s="4" t="n">
        <v>3</v>
      </c>
      <c r="H3411" s="13" t="n"/>
      <c r="I3411" s="15" t="n"/>
      <c r="J3411" s="19" t="n">
        <v>3</v>
      </c>
      <c r="K3411" s="2" t="inlineStr">
        <is>
          <t>marker_571_371201.png</t>
        </is>
      </c>
      <c r="L3411" s="11">
        <f>HYPERLINK("3\1\" &amp; K3411, "Ver Imagen")</f>
        <v/>
      </c>
      <c r="M3411" t="inlineStr">
        <is>
          <t>Moda</t>
        </is>
      </c>
    </row>
    <row r="3412">
      <c r="A3412" t="n">
        <v>3411</v>
      </c>
      <c r="B3412" t="inlineStr">
        <is>
          <t>A-497__653</t>
        </is>
      </c>
      <c r="C3412" s="1" t="n">
        <v>37.2008457167</v>
      </c>
      <c r="D3412" s="1" t="n">
        <v>-6.98946053686</v>
      </c>
      <c r="E3412" s="3" t="n">
        <v>2</v>
      </c>
      <c r="F3412" s="2" t="n">
        <v>3</v>
      </c>
      <c r="G3412" s="4" t="n">
        <v>3</v>
      </c>
      <c r="H3412" s="13" t="n"/>
      <c r="I3412" s="15" t="n"/>
      <c r="J3412" s="19" t="n">
        <v>3</v>
      </c>
      <c r="K3412" s="2" t="inlineStr">
        <is>
          <t>marker_726_371209.png</t>
        </is>
      </c>
      <c r="L3412" s="11">
        <f>HYPERLINK("3\1\" &amp; K3412, "Ver Imagen")</f>
        <v/>
      </c>
      <c r="M3412" t="inlineStr">
        <is>
          <t>Moda</t>
        </is>
      </c>
    </row>
    <row r="3413">
      <c r="A3413" t="n">
        <v>3412</v>
      </c>
      <c r="B3413" t="inlineStr">
        <is>
          <t>A-497_2C__251</t>
        </is>
      </c>
      <c r="C3413" s="1" t="n">
        <v>37.2584249852</v>
      </c>
      <c r="D3413" s="1" t="n">
        <v>-7.01270972468</v>
      </c>
      <c r="E3413" s="3" t="n">
        <v>2</v>
      </c>
      <c r="F3413" s="2" t="n">
        <v>3</v>
      </c>
      <c r="G3413" s="4" t="n">
        <v>3</v>
      </c>
      <c r="H3413" s="13" t="n"/>
      <c r="I3413" s="15" t="n"/>
      <c r="J3413" s="19" t="n">
        <v>3</v>
      </c>
      <c r="K3413" s="2" t="inlineStr">
        <is>
          <t>marker_913_319411.png</t>
        </is>
      </c>
      <c r="L3413" s="11">
        <f>HYPERLINK("3\1\" &amp; K3413, "Ver Imagen")</f>
        <v/>
      </c>
      <c r="M3413" t="inlineStr">
        <is>
          <t>Moda</t>
        </is>
      </c>
    </row>
    <row r="3414">
      <c r="A3414" t="n">
        <v>3413</v>
      </c>
      <c r="B3414" t="inlineStr">
        <is>
          <t>A-497_2C__252</t>
        </is>
      </c>
      <c r="C3414" s="1" t="n">
        <v>37.2582445174</v>
      </c>
      <c r="D3414" s="1" t="n">
        <v>-7.01282533492</v>
      </c>
      <c r="E3414" s="3" t="n">
        <v>2</v>
      </c>
      <c r="F3414" s="2" t="n">
        <v>3</v>
      </c>
      <c r="G3414" s="4" t="n">
        <v>3</v>
      </c>
      <c r="H3414" s="13" t="n"/>
      <c r="I3414" s="15" t="n"/>
      <c r="J3414" s="19" t="n">
        <v>3</v>
      </c>
      <c r="K3414" s="2" t="inlineStr">
        <is>
          <t>marker_456_319423.png</t>
        </is>
      </c>
      <c r="L3414" s="11">
        <f>HYPERLINK("3\1\" &amp; K3414, "Ver Imagen")</f>
        <v/>
      </c>
      <c r="M3414" t="inlineStr">
        <is>
          <t>Moda</t>
        </is>
      </c>
    </row>
    <row r="3415">
      <c r="A3415" t="n">
        <v>3414</v>
      </c>
      <c r="B3415" t="inlineStr">
        <is>
          <t>A-497__649</t>
        </is>
      </c>
      <c r="C3415" s="1" t="n">
        <v>37.2010702046</v>
      </c>
      <c r="D3415" s="1" t="n">
        <v>-6.99049974382</v>
      </c>
      <c r="E3415" s="3" t="n">
        <v>2</v>
      </c>
      <c r="F3415" s="2" t="n">
        <v>3</v>
      </c>
      <c r="G3415" s="4" t="n">
        <v>3</v>
      </c>
      <c r="H3415" s="13" t="n"/>
      <c r="I3415" s="15" t="n"/>
      <c r="J3415" s="19" t="n">
        <v>3</v>
      </c>
      <c r="K3415" s="2" t="inlineStr">
        <is>
          <t>marker_203_371245.png</t>
        </is>
      </c>
      <c r="L3415" s="11">
        <f>HYPERLINK("3\1\" &amp; K3415, "Ver Imagen")</f>
        <v/>
      </c>
      <c r="M3415" t="inlineStr">
        <is>
          <t>Moda</t>
        </is>
      </c>
    </row>
    <row r="3416">
      <c r="A3416" t="n">
        <v>3415</v>
      </c>
      <c r="B3416" t="inlineStr">
        <is>
          <t>A-497__648</t>
        </is>
      </c>
      <c r="C3416" s="1" t="n">
        <v>37.2011175202</v>
      </c>
      <c r="D3416" s="1" t="n">
        <v>-6.99072926173</v>
      </c>
      <c r="E3416" s="3" t="n">
        <v>2</v>
      </c>
      <c r="F3416" s="2" t="n">
        <v>3</v>
      </c>
      <c r="G3416" s="4" t="n">
        <v>3</v>
      </c>
      <c r="H3416" s="13" t="n"/>
      <c r="I3416" s="15" t="n"/>
      <c r="J3416" s="19" t="n">
        <v>3</v>
      </c>
      <c r="K3416" s="2" t="inlineStr">
        <is>
          <t>marker_805_371254.png</t>
        </is>
      </c>
      <c r="L3416" s="11">
        <f>HYPERLINK("3\1\" &amp; K3416, "Ver Imagen")</f>
        <v/>
      </c>
      <c r="M3416" t="inlineStr">
        <is>
          <t>Moda</t>
        </is>
      </c>
    </row>
    <row r="3417">
      <c r="A3417" t="n">
        <v>3416</v>
      </c>
      <c r="B3417" t="inlineStr">
        <is>
          <t>A-497__647</t>
        </is>
      </c>
      <c r="C3417" s="1" t="n">
        <v>37.201160829</v>
      </c>
      <c r="D3417" s="1" t="n">
        <v>-6.99094161718</v>
      </c>
      <c r="E3417" s="3" t="n">
        <v>2</v>
      </c>
      <c r="F3417" s="2" t="n">
        <v>3</v>
      </c>
      <c r="G3417" s="4" t="n">
        <v>3</v>
      </c>
      <c r="H3417" s="13" t="n"/>
      <c r="I3417" s="15" t="n"/>
      <c r="J3417" s="19" t="n">
        <v>3</v>
      </c>
      <c r="K3417" s="2" t="inlineStr">
        <is>
          <t>marker_934_371262.png</t>
        </is>
      </c>
      <c r="L3417" s="11">
        <f>HYPERLINK("3\1\" &amp; K3417, "Ver Imagen")</f>
        <v/>
      </c>
      <c r="M3417" t="inlineStr">
        <is>
          <t>Moda</t>
        </is>
      </c>
    </row>
    <row r="3418">
      <c r="A3418" t="n">
        <v>3417</v>
      </c>
      <c r="B3418" t="inlineStr">
        <is>
          <t>A-497__646</t>
        </is>
      </c>
      <c r="C3418" s="1" t="n">
        <v>37.2012229726</v>
      </c>
      <c r="D3418" s="1" t="n">
        <v>-6.99125033548</v>
      </c>
      <c r="E3418" s="3" t="n">
        <v>2</v>
      </c>
      <c r="F3418" s="2" t="n">
        <v>3</v>
      </c>
      <c r="G3418" s="4" t="n">
        <v>3</v>
      </c>
      <c r="H3418" s="13" t="n"/>
      <c r="I3418" s="15" t="n"/>
      <c r="J3418" s="19" t="n">
        <v>3</v>
      </c>
      <c r="K3418" s="2" t="inlineStr">
        <is>
          <t>marker_716_371270.png</t>
        </is>
      </c>
      <c r="L3418" s="11">
        <f>HYPERLINK("3\1\" &amp; K3418, "Ver Imagen")</f>
        <v/>
      </c>
      <c r="M3418" t="inlineStr">
        <is>
          <t>Moda</t>
        </is>
      </c>
    </row>
    <row r="3419">
      <c r="A3419" t="n">
        <v>3418</v>
      </c>
      <c r="B3419" t="inlineStr">
        <is>
          <t>A-497__645</t>
        </is>
      </c>
      <c r="C3419" s="1" t="n">
        <v>37.2012649081</v>
      </c>
      <c r="D3419" s="1" t="n">
        <v>-6.99146096536</v>
      </c>
      <c r="E3419" s="3" t="n">
        <v>2</v>
      </c>
      <c r="F3419" s="2" t="n">
        <v>3</v>
      </c>
      <c r="G3419" s="4" t="n">
        <v>3</v>
      </c>
      <c r="H3419" s="13" t="n"/>
      <c r="I3419" s="15" t="n"/>
      <c r="J3419" s="19" t="n">
        <v>3</v>
      </c>
      <c r="K3419" s="2" t="inlineStr">
        <is>
          <t>marker_586_371281.png</t>
        </is>
      </c>
      <c r="L3419" s="11">
        <f>HYPERLINK("3\1\" &amp; K3419, "Ver Imagen")</f>
        <v/>
      </c>
      <c r="M3419" t="inlineStr">
        <is>
          <t>Moda</t>
        </is>
      </c>
    </row>
    <row r="3420">
      <c r="A3420" t="n">
        <v>3419</v>
      </c>
      <c r="B3420" t="inlineStr">
        <is>
          <t>A-497__644</t>
        </is>
      </c>
      <c r="C3420" s="1" t="n">
        <v>37.2013088232</v>
      </c>
      <c r="D3420" s="1" t="n">
        <v>-6.99168346636</v>
      </c>
      <c r="E3420" s="3" t="n">
        <v>2</v>
      </c>
      <c r="F3420" s="2" t="n">
        <v>3</v>
      </c>
      <c r="G3420" s="4" t="n">
        <v>3</v>
      </c>
      <c r="H3420" s="13" t="n"/>
      <c r="I3420" s="15" t="n"/>
      <c r="J3420" s="19" t="n">
        <v>3</v>
      </c>
      <c r="K3420" s="2" t="inlineStr">
        <is>
          <t>marker_636_371290.png</t>
        </is>
      </c>
      <c r="L3420" s="11">
        <f>HYPERLINK("3\1\" &amp; K3420, "Ver Imagen")</f>
        <v/>
      </c>
      <c r="M3420" t="inlineStr">
        <is>
          <t>Moda</t>
        </is>
      </c>
    </row>
    <row r="3421">
      <c r="A3421" t="n">
        <v>3420</v>
      </c>
      <c r="B3421" t="inlineStr">
        <is>
          <t>A-497_2C__256</t>
        </is>
      </c>
      <c r="C3421" s="1" t="n">
        <v>37.2575203134</v>
      </c>
      <c r="D3421" s="1" t="n">
        <v>-7.01328063883</v>
      </c>
      <c r="E3421" s="3" t="n">
        <v>2</v>
      </c>
      <c r="F3421" s="2" t="n">
        <v>3</v>
      </c>
      <c r="G3421" s="4" t="n">
        <v>3</v>
      </c>
      <c r="H3421" s="13" t="n"/>
      <c r="I3421" s="15" t="n"/>
      <c r="J3421" s="19" t="n">
        <v>3</v>
      </c>
      <c r="K3421" s="2" t="inlineStr">
        <is>
          <t>marker_407_319554.png</t>
        </is>
      </c>
      <c r="L3421" s="11">
        <f>HYPERLINK("3\1\" &amp; K3421, "Ver Imagen")</f>
        <v/>
      </c>
      <c r="M3421" t="inlineStr">
        <is>
          <t>Moda</t>
        </is>
      </c>
    </row>
    <row r="3422">
      <c r="A3422" t="n">
        <v>3421</v>
      </c>
      <c r="B3422" t="inlineStr">
        <is>
          <t>A-497_2C__257</t>
        </is>
      </c>
      <c r="C3422" s="1" t="n">
        <v>37.25731554</v>
      </c>
      <c r="D3422" s="1" t="n">
        <v>-7.01341151723</v>
      </c>
      <c r="E3422" s="3" t="n">
        <v>2</v>
      </c>
      <c r="F3422" s="2" t="n">
        <v>3</v>
      </c>
      <c r="G3422" s="4" t="n">
        <v>3</v>
      </c>
      <c r="H3422" s="13" t="n"/>
      <c r="I3422" s="15" t="n"/>
      <c r="J3422" s="19" t="n">
        <v>3</v>
      </c>
      <c r="K3422" s="2" t="inlineStr">
        <is>
          <t>marker_341_319563.png</t>
        </is>
      </c>
      <c r="L3422" s="11">
        <f>HYPERLINK("3\1\" &amp; K3422, "Ver Imagen")</f>
        <v/>
      </c>
      <c r="M3422" t="inlineStr">
        <is>
          <t>Moda</t>
        </is>
      </c>
    </row>
    <row r="3423">
      <c r="A3423" t="n">
        <v>3422</v>
      </c>
      <c r="B3423" t="inlineStr">
        <is>
          <t>A-497_2C__258</t>
        </is>
      </c>
      <c r="C3423" s="1" t="n">
        <v>37.2571556124</v>
      </c>
      <c r="D3423" s="1" t="n">
        <v>-7.01351409695</v>
      </c>
      <c r="E3423" s="3" t="n">
        <v>2</v>
      </c>
      <c r="F3423" s="2" t="n">
        <v>3</v>
      </c>
      <c r="G3423" s="4" t="n">
        <v>3</v>
      </c>
      <c r="H3423" s="13" t="n"/>
      <c r="I3423" s="15" t="n"/>
      <c r="J3423" s="19" t="n">
        <v>3</v>
      </c>
      <c r="K3423" s="2" t="inlineStr">
        <is>
          <t>marker_128_319571.png</t>
        </is>
      </c>
      <c r="L3423" s="11">
        <f>HYPERLINK("3\1\" &amp; K3423, "Ver Imagen")</f>
        <v/>
      </c>
      <c r="M3423" t="inlineStr">
        <is>
          <t>Moda</t>
        </is>
      </c>
    </row>
    <row r="3424">
      <c r="A3424" t="n">
        <v>3423</v>
      </c>
      <c r="B3424" t="inlineStr">
        <is>
          <t>A-497_2C__259</t>
        </is>
      </c>
      <c r="C3424" s="1" t="n">
        <v>37.2569857317</v>
      </c>
      <c r="D3424" s="1" t="n">
        <v>-7.01362252851</v>
      </c>
      <c r="E3424" s="3" t="n">
        <v>2</v>
      </c>
      <c r="F3424" s="2" t="n">
        <v>3</v>
      </c>
      <c r="G3424" s="4" t="n">
        <v>3</v>
      </c>
      <c r="H3424" s="13" t="n"/>
      <c r="I3424" s="15" t="n"/>
      <c r="J3424" s="19" t="n">
        <v>3</v>
      </c>
      <c r="K3424" s="2" t="inlineStr">
        <is>
          <t>marker_140_319581.png</t>
        </is>
      </c>
      <c r="L3424" s="11">
        <f>HYPERLINK("3\1\" &amp; K3424, "Ver Imagen")</f>
        <v/>
      </c>
      <c r="M3424" t="inlineStr">
        <is>
          <t>Moda</t>
        </is>
      </c>
    </row>
    <row r="3425">
      <c r="A3425" t="n">
        <v>3424</v>
      </c>
      <c r="B3425" t="inlineStr">
        <is>
          <t>A-497__641</t>
        </is>
      </c>
      <c r="C3425" s="1" t="n">
        <v>37.2014432069</v>
      </c>
      <c r="D3425" s="1" t="n">
        <v>-6.9924021703</v>
      </c>
      <c r="E3425" s="3" t="n">
        <v>2</v>
      </c>
      <c r="F3425" s="2" t="n">
        <v>3</v>
      </c>
      <c r="G3425" s="4" t="n">
        <v>3</v>
      </c>
      <c r="H3425" s="13" t="n"/>
      <c r="I3425" s="15" t="n"/>
      <c r="J3425" s="19" t="n">
        <v>3</v>
      </c>
      <c r="K3425" s="2" t="inlineStr">
        <is>
          <t>marker_253_371320.png</t>
        </is>
      </c>
      <c r="L3425" s="11">
        <f>HYPERLINK("3\1\" &amp; K3425, "Ver Imagen")</f>
        <v/>
      </c>
      <c r="M3425" t="inlineStr">
        <is>
          <t>Moda</t>
        </is>
      </c>
    </row>
    <row r="3426">
      <c r="A3426" t="n">
        <v>3425</v>
      </c>
      <c r="B3426" t="inlineStr">
        <is>
          <t>A-497__636</t>
        </is>
      </c>
      <c r="C3426" s="1" t="n">
        <v>37.2016726638</v>
      </c>
      <c r="D3426" s="1" t="n">
        <v>-6.99363482599</v>
      </c>
      <c r="E3426" s="3" t="n">
        <v>2</v>
      </c>
      <c r="F3426" s="2" t="n">
        <v>3</v>
      </c>
      <c r="G3426" s="4" t="n">
        <v>3</v>
      </c>
      <c r="H3426" s="13" t="n"/>
      <c r="I3426" s="15" t="n"/>
      <c r="J3426" s="19" t="n">
        <v>3</v>
      </c>
      <c r="K3426" s="2" t="inlineStr">
        <is>
          <t>marker_943_371371.png</t>
        </is>
      </c>
      <c r="L3426" s="11">
        <f>HYPERLINK("3\1\" &amp; K3426, "Ver Imagen")</f>
        <v/>
      </c>
      <c r="M3426" t="inlineStr">
        <is>
          <t>Moda</t>
        </is>
      </c>
    </row>
    <row r="3427">
      <c r="A3427" t="n">
        <v>3426</v>
      </c>
      <c r="B3427" t="inlineStr">
        <is>
          <t>A-497__635</t>
        </is>
      </c>
      <c r="C3427" s="1" t="n">
        <v>37.2017193983</v>
      </c>
      <c r="D3427" s="1" t="n">
        <v>-6.9938823503</v>
      </c>
      <c r="E3427" s="3" t="n">
        <v>2</v>
      </c>
      <c r="F3427" s="2" t="n">
        <v>3</v>
      </c>
      <c r="G3427" s="4" t="n">
        <v>3</v>
      </c>
      <c r="H3427" s="13" t="n"/>
      <c r="I3427" s="15" t="n"/>
      <c r="J3427" s="19" t="n">
        <v>3</v>
      </c>
      <c r="K3427" s="2" t="inlineStr">
        <is>
          <t>marker_895_371380.png</t>
        </is>
      </c>
      <c r="L3427" s="11">
        <f>HYPERLINK("3\1\" &amp; K3427, "Ver Imagen")</f>
        <v/>
      </c>
      <c r="M3427" t="inlineStr">
        <is>
          <t>Moda</t>
        </is>
      </c>
    </row>
    <row r="3428">
      <c r="A3428" t="n">
        <v>3427</v>
      </c>
      <c r="B3428" t="inlineStr">
        <is>
          <t>A-497__634</t>
        </is>
      </c>
      <c r="C3428" s="1" t="n">
        <v>37.2017712273</v>
      </c>
      <c r="D3428" s="1" t="n">
        <v>-6.99416307202</v>
      </c>
      <c r="E3428" s="3" t="n">
        <v>2</v>
      </c>
      <c r="F3428" s="2" t="n">
        <v>3</v>
      </c>
      <c r="G3428" s="4" t="n">
        <v>3</v>
      </c>
      <c r="H3428" s="13" t="n"/>
      <c r="I3428" s="15" t="n"/>
      <c r="J3428" s="19" t="n">
        <v>3</v>
      </c>
      <c r="K3428" s="2" t="inlineStr">
        <is>
          <t>marker_284_371394.png</t>
        </is>
      </c>
      <c r="L3428" s="11">
        <f>HYPERLINK("3\1\" &amp; K3428, "Ver Imagen")</f>
        <v/>
      </c>
      <c r="M3428" t="inlineStr">
        <is>
          <t>Moda</t>
        </is>
      </c>
    </row>
    <row r="3429">
      <c r="A3429" t="n">
        <v>3428</v>
      </c>
      <c r="B3429" t="inlineStr">
        <is>
          <t>A-497__633</t>
        </is>
      </c>
      <c r="C3429" s="1" t="n">
        <v>37.2018103738</v>
      </c>
      <c r="D3429" s="1" t="n">
        <v>-6.99438191523</v>
      </c>
      <c r="E3429" s="3" t="n">
        <v>2</v>
      </c>
      <c r="F3429" s="2" t="n">
        <v>3</v>
      </c>
      <c r="G3429" s="4" t="n">
        <v>3</v>
      </c>
      <c r="H3429" s="13" t="n"/>
      <c r="I3429" s="15" t="n"/>
      <c r="J3429" s="19" t="n">
        <v>3</v>
      </c>
      <c r="K3429" s="2" t="inlineStr">
        <is>
          <t>marker_575_371404.png</t>
        </is>
      </c>
      <c r="L3429" s="11">
        <f>HYPERLINK("3\1\" &amp; K3429, "Ver Imagen")</f>
        <v/>
      </c>
      <c r="M3429" t="inlineStr">
        <is>
          <t>Moda</t>
        </is>
      </c>
    </row>
    <row r="3430">
      <c r="A3430" t="n">
        <v>3429</v>
      </c>
      <c r="B3430" t="inlineStr">
        <is>
          <t>A-497__631</t>
        </is>
      </c>
      <c r="C3430" s="1" t="n">
        <v>37.2019006981</v>
      </c>
      <c r="D3430" s="1" t="n">
        <v>-6.99489995768</v>
      </c>
      <c r="E3430" s="3" t="n">
        <v>2</v>
      </c>
      <c r="F3430" s="2" t="n">
        <v>3</v>
      </c>
      <c r="G3430" s="4" t="n">
        <v>3</v>
      </c>
      <c r="H3430" s="13" t="n"/>
      <c r="I3430" s="15" t="n"/>
      <c r="J3430" s="19" t="n">
        <v>3</v>
      </c>
      <c r="K3430" s="2" t="inlineStr">
        <is>
          <t>marker_713_371424.png</t>
        </is>
      </c>
      <c r="L3430" s="11">
        <f>HYPERLINK("3\1\" &amp; K3430, "Ver Imagen")</f>
        <v/>
      </c>
      <c r="M3430" t="inlineStr">
        <is>
          <t>Moda</t>
        </is>
      </c>
    </row>
    <row r="3431">
      <c r="A3431" t="n">
        <v>3430</v>
      </c>
      <c r="B3431" t="inlineStr">
        <is>
          <t>A-497__630</t>
        </is>
      </c>
      <c r="C3431" s="1" t="n">
        <v>37.2019370359</v>
      </c>
      <c r="D3431" s="1" t="n">
        <v>-6.99511350753</v>
      </c>
      <c r="E3431" s="3" t="n">
        <v>2</v>
      </c>
      <c r="F3431" s="2" t="n">
        <v>3</v>
      </c>
      <c r="G3431" s="4" t="n">
        <v>3</v>
      </c>
      <c r="H3431" s="13" t="n"/>
      <c r="I3431" s="15" t="n"/>
      <c r="J3431" s="19" t="n">
        <v>3</v>
      </c>
      <c r="K3431" s="2" t="inlineStr">
        <is>
          <t>marker_925_371433.png</t>
        </is>
      </c>
      <c r="L3431" s="11">
        <f>HYPERLINK("3\1\" &amp; K3431, "Ver Imagen")</f>
        <v/>
      </c>
      <c r="M3431" t="inlineStr">
        <is>
          <t>Moda</t>
        </is>
      </c>
    </row>
    <row r="3432">
      <c r="A3432" t="n">
        <v>3431</v>
      </c>
      <c r="B3432" t="inlineStr">
        <is>
          <t>A-497__629</t>
        </is>
      </c>
      <c r="C3432" s="1" t="n">
        <v>37.201981382</v>
      </c>
      <c r="D3432" s="1" t="n">
        <v>-6.9953786832</v>
      </c>
      <c r="E3432" s="3" t="n">
        <v>2</v>
      </c>
      <c r="F3432" s="2" t="n">
        <v>3</v>
      </c>
      <c r="G3432" s="4" t="n">
        <v>3</v>
      </c>
      <c r="H3432" s="13" t="n"/>
      <c r="I3432" s="15" t="n"/>
      <c r="J3432" s="19" t="n">
        <v>3</v>
      </c>
      <c r="K3432" s="2" t="inlineStr">
        <is>
          <t>marker_976_371441.png</t>
        </is>
      </c>
      <c r="L3432" s="11">
        <f>HYPERLINK("3\1\" &amp; K3432, "Ver Imagen")</f>
        <v/>
      </c>
      <c r="M3432" t="inlineStr">
        <is>
          <t>Moda</t>
        </is>
      </c>
    </row>
    <row r="3433">
      <c r="A3433" t="n">
        <v>3432</v>
      </c>
      <c r="B3433" t="inlineStr">
        <is>
          <t>A-497__626</t>
        </is>
      </c>
      <c r="C3433" s="1" t="n">
        <v>37.2021143255</v>
      </c>
      <c r="D3433" s="1" t="n">
        <v>-6.99619891623</v>
      </c>
      <c r="E3433" s="3" t="n">
        <v>2</v>
      </c>
      <c r="F3433" s="2" t="n">
        <v>3</v>
      </c>
      <c r="G3433" s="4" t="n">
        <v>3</v>
      </c>
      <c r="H3433" s="13" t="n"/>
      <c r="I3433" s="15" t="n"/>
      <c r="J3433" s="19" t="n">
        <v>3</v>
      </c>
      <c r="K3433" s="2" t="inlineStr">
        <is>
          <t>marker_274_371467.png</t>
        </is>
      </c>
      <c r="L3433" s="11">
        <f>HYPERLINK("3\1\" &amp; K3433, "Ver Imagen")</f>
        <v/>
      </c>
      <c r="M3433" t="inlineStr">
        <is>
          <t>Moda</t>
        </is>
      </c>
    </row>
    <row r="3434">
      <c r="A3434" t="n">
        <v>3433</v>
      </c>
      <c r="B3434" t="inlineStr">
        <is>
          <t>A-497__617</t>
        </is>
      </c>
      <c r="C3434" s="1" t="n">
        <v>37.202441104</v>
      </c>
      <c r="D3434" s="1" t="n">
        <v>-6.99839424501</v>
      </c>
      <c r="E3434" s="3" t="n">
        <v>4</v>
      </c>
      <c r="F3434" s="2" t="n">
        <v>3</v>
      </c>
      <c r="G3434" s="4" t="n">
        <v>3</v>
      </c>
      <c r="H3434" s="13" t="n"/>
      <c r="I3434" s="15" t="n"/>
      <c r="J3434" s="19" t="n">
        <v>3</v>
      </c>
      <c r="K3434" s="2" t="inlineStr">
        <is>
          <t>marker_894_371555.png</t>
        </is>
      </c>
      <c r="L3434" s="11">
        <f>HYPERLINK("3\1\" &amp; K3434, "Ver Imagen")</f>
        <v/>
      </c>
      <c r="M3434" t="inlineStr">
        <is>
          <t>Moda</t>
        </is>
      </c>
    </row>
    <row r="3435">
      <c r="A3435" t="n">
        <v>3434</v>
      </c>
      <c r="B3435" t="inlineStr">
        <is>
          <t>A-497__615</t>
        </is>
      </c>
      <c r="C3435" s="1" t="n">
        <v>37.2025121988</v>
      </c>
      <c r="D3435" s="1" t="n">
        <v>-6.99888957176</v>
      </c>
      <c r="E3435" s="3" t="n">
        <v>3</v>
      </c>
      <c r="F3435" s="2" t="n">
        <v>3</v>
      </c>
      <c r="G3435" s="4" t="n">
        <v>4</v>
      </c>
      <c r="H3435" s="13" t="n"/>
      <c r="I3435" s="15" t="n"/>
      <c r="J3435" s="19" t="n">
        <v>3</v>
      </c>
      <c r="K3435" s="2" t="inlineStr">
        <is>
          <t>marker_391_371576.png</t>
        </is>
      </c>
      <c r="L3435" s="11">
        <f>HYPERLINK("3\1\" &amp; K3435, "Ver Imagen")</f>
        <v/>
      </c>
      <c r="M3435" t="inlineStr">
        <is>
          <t>Moda</t>
        </is>
      </c>
    </row>
    <row r="3436">
      <c r="A3436" t="n">
        <v>3435</v>
      </c>
      <c r="B3436" t="inlineStr">
        <is>
          <t>A-497__613</t>
        </is>
      </c>
      <c r="C3436" s="1" t="n">
        <v>37.2025810938</v>
      </c>
      <c r="D3436" s="1" t="n">
        <v>-6.99940693255</v>
      </c>
      <c r="E3436" s="3" t="n">
        <v>4</v>
      </c>
      <c r="F3436" s="2" t="n">
        <v>3</v>
      </c>
      <c r="G3436" s="4" t="n">
        <v>3</v>
      </c>
      <c r="H3436" s="13" t="n"/>
      <c r="I3436" s="15" t="n"/>
      <c r="J3436" s="19" t="n">
        <v>3</v>
      </c>
      <c r="K3436" s="2" t="inlineStr">
        <is>
          <t>marker_632_371593.png</t>
        </is>
      </c>
      <c r="L3436" s="11">
        <f>HYPERLINK("3\1\" &amp; K3436, "Ver Imagen")</f>
        <v/>
      </c>
      <c r="M3436" t="inlineStr">
        <is>
          <t>Moda</t>
        </is>
      </c>
    </row>
    <row r="3437">
      <c r="A3437" t="n">
        <v>3436</v>
      </c>
      <c r="B3437" t="inlineStr">
        <is>
          <t>A-497__611</t>
        </is>
      </c>
      <c r="C3437" s="1" t="n">
        <v>37.2026475795</v>
      </c>
      <c r="D3437" s="1" t="n">
        <v>-6.99989528486</v>
      </c>
      <c r="E3437" s="3" t="n">
        <v>3</v>
      </c>
      <c r="F3437" s="2" t="n">
        <v>3</v>
      </c>
      <c r="G3437" s="4" t="n">
        <v>2</v>
      </c>
      <c r="H3437" s="13" t="n"/>
      <c r="I3437" s="15" t="n"/>
      <c r="J3437" s="19" t="n">
        <v>3</v>
      </c>
      <c r="K3437" s="2" t="inlineStr">
        <is>
          <t>marker_594_371611.png</t>
        </is>
      </c>
      <c r="L3437" s="11">
        <f>HYPERLINK("3\1\" &amp; K3437, "Ver Imagen")</f>
        <v/>
      </c>
      <c r="M3437" t="inlineStr">
        <is>
          <t>Moda</t>
        </is>
      </c>
    </row>
    <row r="3438">
      <c r="A3438" t="n">
        <v>3437</v>
      </c>
      <c r="B3438" t="inlineStr">
        <is>
          <t>A-497__610</t>
        </is>
      </c>
      <c r="C3438" s="1" t="n">
        <v>37.2026757577</v>
      </c>
      <c r="D3438" s="1" t="n">
        <v>-7.00011487016</v>
      </c>
      <c r="E3438" s="3" t="n">
        <v>3</v>
      </c>
      <c r="F3438" s="2" t="n">
        <v>3</v>
      </c>
      <c r="G3438" s="4" t="n">
        <v>2</v>
      </c>
      <c r="H3438" s="13" t="n"/>
      <c r="I3438" s="15" t="n"/>
      <c r="J3438" s="19" t="n">
        <v>3</v>
      </c>
      <c r="K3438" s="2" t="inlineStr">
        <is>
          <t>marker_638_371619.png</t>
        </is>
      </c>
      <c r="L3438" s="11">
        <f>HYPERLINK("3\1\" &amp; K3438, "Ver Imagen")</f>
        <v/>
      </c>
      <c r="M3438" t="inlineStr">
        <is>
          <t>Moda</t>
        </is>
      </c>
    </row>
    <row r="3439">
      <c r="A3439" t="n">
        <v>3438</v>
      </c>
      <c r="B3439" t="inlineStr">
        <is>
          <t>A-497__608</t>
        </is>
      </c>
      <c r="C3439" s="1" t="n">
        <v>37.2027343047</v>
      </c>
      <c r="D3439" s="1" t="n">
        <v>-7.00059921259</v>
      </c>
      <c r="E3439" s="3" t="n">
        <v>4</v>
      </c>
      <c r="F3439" s="2" t="n">
        <v>3</v>
      </c>
      <c r="G3439" s="4" t="n">
        <v>3</v>
      </c>
      <c r="H3439" s="13" t="n"/>
      <c r="I3439" s="15" t="n"/>
      <c r="J3439" s="19" t="n">
        <v>3</v>
      </c>
      <c r="K3439" s="2" t="inlineStr">
        <is>
          <t>marker_223_371639.png</t>
        </is>
      </c>
      <c r="L3439" s="11">
        <f>HYPERLINK("3\1\" &amp; K3439, "Ver Imagen")</f>
        <v/>
      </c>
      <c r="M3439" t="inlineStr">
        <is>
          <t>Moda</t>
        </is>
      </c>
    </row>
    <row r="3440">
      <c r="A3440" t="n">
        <v>3439</v>
      </c>
      <c r="B3440" t="inlineStr">
        <is>
          <t>A-497__606</t>
        </is>
      </c>
      <c r="C3440" s="1" t="n">
        <v>37.2027949305</v>
      </c>
      <c r="D3440" s="1" t="n">
        <v>-7.00112881373</v>
      </c>
      <c r="E3440" s="3" t="n">
        <v>4</v>
      </c>
      <c r="F3440" s="2" t="n">
        <v>3</v>
      </c>
      <c r="G3440" s="4" t="n">
        <v>3</v>
      </c>
      <c r="H3440" s="13" t="n"/>
      <c r="I3440" s="15" t="n"/>
      <c r="J3440" s="19" t="n">
        <v>3</v>
      </c>
      <c r="K3440" s="2" t="inlineStr">
        <is>
          <t>marker_394_371659.png</t>
        </is>
      </c>
      <c r="L3440" s="11">
        <f>HYPERLINK("3\1\" &amp; K3440, "Ver Imagen")</f>
        <v/>
      </c>
      <c r="M3440" t="inlineStr">
        <is>
          <t>Moda</t>
        </is>
      </c>
    </row>
    <row r="3441">
      <c r="A3441" t="n">
        <v>3440</v>
      </c>
      <c r="B3441" t="inlineStr">
        <is>
          <t>A-497__605</t>
        </is>
      </c>
      <c r="C3441" s="1" t="n">
        <v>37.2028225075</v>
      </c>
      <c r="D3441" s="1" t="n">
        <v>-7.00136085946</v>
      </c>
      <c r="E3441" s="3" t="n">
        <v>3</v>
      </c>
      <c r="F3441" s="2" t="n">
        <v>3</v>
      </c>
      <c r="G3441" s="4" t="n">
        <v>2</v>
      </c>
      <c r="H3441" s="13" t="n"/>
      <c r="I3441" s="15" t="n"/>
      <c r="J3441" s="19" t="n">
        <v>3</v>
      </c>
      <c r="K3441" s="2" t="inlineStr">
        <is>
          <t>marker_352_371669.png</t>
        </is>
      </c>
      <c r="L3441" s="11">
        <f>HYPERLINK("3\1\" &amp; K3441, "Ver Imagen")</f>
        <v/>
      </c>
      <c r="M3441" t="inlineStr">
        <is>
          <t>Moda</t>
        </is>
      </c>
    </row>
    <row r="3442">
      <c r="A3442" t="n">
        <v>3441</v>
      </c>
      <c r="B3442" t="inlineStr">
        <is>
          <t>A-497__597</t>
        </is>
      </c>
      <c r="C3442" s="1" t="n">
        <v>37.2030421097</v>
      </c>
      <c r="D3442" s="1" t="n">
        <v>-7.00333919732</v>
      </c>
      <c r="E3442" s="3" t="n">
        <v>3</v>
      </c>
      <c r="F3442" s="2" t="n">
        <v>3</v>
      </c>
      <c r="G3442" s="4" t="n">
        <v>4</v>
      </c>
      <c r="H3442" s="13" t="n"/>
      <c r="I3442" s="15" t="n"/>
      <c r="J3442" s="19" t="n">
        <v>3</v>
      </c>
      <c r="K3442" s="2" t="inlineStr">
        <is>
          <t>marker_550_371739.png</t>
        </is>
      </c>
      <c r="L3442" s="11">
        <f>HYPERLINK("3\1\" &amp; K3442, "Ver Imagen")</f>
        <v/>
      </c>
      <c r="M3442" t="inlineStr">
        <is>
          <t>Moda</t>
        </is>
      </c>
    </row>
    <row r="3443">
      <c r="A3443" t="n">
        <v>3442</v>
      </c>
      <c r="B3443" t="inlineStr">
        <is>
          <t>A-497_2C__262</t>
        </is>
      </c>
      <c r="C3443" s="1" t="n">
        <v>37.2564361318</v>
      </c>
      <c r="D3443" s="1" t="n">
        <v>-7.01397232186</v>
      </c>
      <c r="E3443" s="3" t="n">
        <v>2</v>
      </c>
      <c r="F3443" s="2" t="n">
        <v>3</v>
      </c>
      <c r="G3443" s="4" t="n">
        <v>3</v>
      </c>
      <c r="H3443" s="13" t="n"/>
      <c r="I3443" s="15" t="n"/>
      <c r="J3443" s="19" t="n">
        <v>3</v>
      </c>
      <c r="K3443" s="2" t="inlineStr">
        <is>
          <t>marker_949_319611.png</t>
        </is>
      </c>
      <c r="L3443" s="11">
        <f>HYPERLINK("3\1\" &amp; K3443, "Ver Imagen")</f>
        <v/>
      </c>
      <c r="M3443" t="inlineStr">
        <is>
          <t>Moda</t>
        </is>
      </c>
    </row>
    <row r="3444">
      <c r="A3444" t="n">
        <v>3443</v>
      </c>
      <c r="B3444" t="inlineStr">
        <is>
          <t>A-497__592</t>
        </is>
      </c>
      <c r="C3444" s="1" t="n">
        <v>37.203195514</v>
      </c>
      <c r="D3444" s="1" t="n">
        <v>-7.00464420072</v>
      </c>
      <c r="E3444" s="3" t="n">
        <v>4</v>
      </c>
      <c r="F3444" s="2" t="n">
        <v>3</v>
      </c>
      <c r="G3444" s="4" t="n">
        <v>3</v>
      </c>
      <c r="H3444" s="13" t="n"/>
      <c r="I3444" s="15" t="n"/>
      <c r="J3444" s="19" t="n">
        <v>3</v>
      </c>
      <c r="K3444" s="2" t="inlineStr">
        <is>
          <t>marker_996_371803.png</t>
        </is>
      </c>
      <c r="L3444" s="11">
        <f>HYPERLINK("3\1\" &amp; K3444, "Ver Imagen")</f>
        <v/>
      </c>
      <c r="M3444" t="inlineStr">
        <is>
          <t>Moda</t>
        </is>
      </c>
    </row>
    <row r="3445">
      <c r="A3445" t="n">
        <v>3444</v>
      </c>
      <c r="B3445" t="inlineStr">
        <is>
          <t>A-497__591</t>
        </is>
      </c>
      <c r="C3445" s="1" t="n">
        <v>37.2032262082</v>
      </c>
      <c r="D3445" s="1" t="n">
        <v>-7.00488951098</v>
      </c>
      <c r="E3445" s="3" t="n">
        <v>2</v>
      </c>
      <c r="F3445" s="2" t="n">
        <v>3</v>
      </c>
      <c r="G3445" s="4" t="n">
        <v>3</v>
      </c>
      <c r="H3445" s="13" t="n"/>
      <c r="I3445" s="15" t="n"/>
      <c r="J3445" s="19" t="n">
        <v>3</v>
      </c>
      <c r="K3445" s="2" t="inlineStr">
        <is>
          <t>marker_587_371812.png</t>
        </is>
      </c>
      <c r="L3445" s="11">
        <f>HYPERLINK("3\1\" &amp; K3445, "Ver Imagen")</f>
        <v/>
      </c>
      <c r="M3445" t="inlineStr">
        <is>
          <t>Moda</t>
        </is>
      </c>
    </row>
    <row r="3446">
      <c r="A3446" t="n">
        <v>3445</v>
      </c>
      <c r="B3446" t="inlineStr">
        <is>
          <t>A-497__590</t>
        </is>
      </c>
      <c r="C3446" s="1" t="n">
        <v>37.2032585077</v>
      </c>
      <c r="D3446" s="1" t="n">
        <v>-7.00514566664</v>
      </c>
      <c r="E3446" s="3" t="n">
        <v>2</v>
      </c>
      <c r="F3446" s="2" t="n">
        <v>3</v>
      </c>
      <c r="G3446" s="4" t="n">
        <v>3</v>
      </c>
      <c r="H3446" s="13" t="n"/>
      <c r="I3446" s="15" t="n"/>
      <c r="J3446" s="19" t="n">
        <v>3</v>
      </c>
      <c r="K3446" s="2" t="inlineStr">
        <is>
          <t>marker_106_371820.png</t>
        </is>
      </c>
      <c r="L3446" s="11">
        <f>HYPERLINK("3\1\" &amp; K3446, "Ver Imagen")</f>
        <v/>
      </c>
      <c r="M3446" t="inlineStr">
        <is>
          <t>Moda</t>
        </is>
      </c>
    </row>
    <row r="3447">
      <c r="A3447" t="n">
        <v>3446</v>
      </c>
      <c r="B3447" t="inlineStr">
        <is>
          <t>A-497__589</t>
        </is>
      </c>
      <c r="C3447" s="1" t="n">
        <v>37.2032929949</v>
      </c>
      <c r="D3447" s="1" t="n">
        <v>-7.00541756383</v>
      </c>
      <c r="E3447" s="3" t="n">
        <v>2</v>
      </c>
      <c r="F3447" s="2" t="n">
        <v>3</v>
      </c>
      <c r="G3447" s="4" t="n">
        <v>3</v>
      </c>
      <c r="H3447" s="13" t="n"/>
      <c r="I3447" s="15" t="n"/>
      <c r="J3447" s="19" t="n">
        <v>3</v>
      </c>
      <c r="K3447" s="2" t="inlineStr">
        <is>
          <t>marker_593_371834.png</t>
        </is>
      </c>
      <c r="L3447" s="11">
        <f>HYPERLINK("3\1\" &amp; K3447, "Ver Imagen")</f>
        <v/>
      </c>
      <c r="M3447" t="inlineStr">
        <is>
          <t>Moda</t>
        </is>
      </c>
    </row>
    <row r="3448">
      <c r="A3448" t="n">
        <v>3447</v>
      </c>
      <c r="B3448" t="inlineStr">
        <is>
          <t>A-497_2C__268</t>
        </is>
      </c>
      <c r="C3448" s="1" t="n">
        <v>37.2553528605</v>
      </c>
      <c r="D3448" s="1" t="n">
        <v>-7.01466613659</v>
      </c>
      <c r="E3448" s="3" t="n">
        <v>2</v>
      </c>
      <c r="F3448" s="2" t="n">
        <v>3</v>
      </c>
      <c r="G3448" s="4" t="n">
        <v>3</v>
      </c>
      <c r="H3448" s="13" t="n"/>
      <c r="I3448" s="15" t="n"/>
      <c r="J3448" s="19" t="n">
        <v>3</v>
      </c>
      <c r="K3448" s="2" t="inlineStr">
        <is>
          <t>marker_309_319717.png</t>
        </is>
      </c>
      <c r="L3448" s="11">
        <f>HYPERLINK("3\1\" &amp; K3448, "Ver Imagen")</f>
        <v/>
      </c>
      <c r="M3448" t="inlineStr">
        <is>
          <t>Moda</t>
        </is>
      </c>
    </row>
    <row r="3449">
      <c r="A3449" t="n">
        <v>3448</v>
      </c>
      <c r="B3449" t="inlineStr">
        <is>
          <t>A-497__588</t>
        </is>
      </c>
      <c r="C3449" s="1" t="n">
        <v>37.2033179637</v>
      </c>
      <c r="D3449" s="1" t="n">
        <v>-7.00561291906</v>
      </c>
      <c r="E3449" s="3" t="n">
        <v>2</v>
      </c>
      <c r="F3449" s="2" t="n">
        <v>3</v>
      </c>
      <c r="G3449" s="4" t="n">
        <v>3</v>
      </c>
      <c r="H3449" s="13" t="n"/>
      <c r="I3449" s="15" t="n"/>
      <c r="J3449" s="19" t="n">
        <v>3</v>
      </c>
      <c r="K3449" s="2" t="inlineStr">
        <is>
          <t>marker_589_371852.png</t>
        </is>
      </c>
      <c r="L3449" s="11">
        <f>HYPERLINK("3\1\" &amp; K3449, "Ver Imagen")</f>
        <v/>
      </c>
      <c r="M3449" t="inlineStr">
        <is>
          <t>Moda</t>
        </is>
      </c>
    </row>
    <row r="3450">
      <c r="A3450" t="n">
        <v>3449</v>
      </c>
      <c r="B3450" t="inlineStr">
        <is>
          <t>A-497_2C__274</t>
        </is>
      </c>
      <c r="C3450" s="1" t="n">
        <v>37.2542652305</v>
      </c>
      <c r="D3450" s="1" t="n">
        <v>-7.0153632224</v>
      </c>
      <c r="E3450" s="3" t="n">
        <v>3</v>
      </c>
      <c r="F3450" s="2" t="n">
        <v>3</v>
      </c>
      <c r="G3450" s="4" t="n">
        <v>4</v>
      </c>
      <c r="H3450" s="13" t="n"/>
      <c r="I3450" s="15" t="n"/>
      <c r="J3450" s="19" t="n">
        <v>3</v>
      </c>
      <c r="K3450" s="2" t="inlineStr">
        <is>
          <t>marker_629_319806.png</t>
        </is>
      </c>
      <c r="L3450" s="11">
        <f>HYPERLINK("3\1\" &amp; K3450, "Ver Imagen")</f>
        <v/>
      </c>
      <c r="M3450" t="inlineStr">
        <is>
          <t>Moda</t>
        </is>
      </c>
    </row>
    <row r="3451">
      <c r="A3451" t="n">
        <v>3450</v>
      </c>
      <c r="B3451" t="inlineStr">
        <is>
          <t>A-497_2C__275</t>
        </is>
      </c>
      <c r="C3451" s="1" t="n">
        <v>37.2540835206</v>
      </c>
      <c r="D3451" s="1" t="n">
        <v>-7.01547948904</v>
      </c>
      <c r="E3451" s="3" t="n">
        <v>3</v>
      </c>
      <c r="F3451" s="2" t="n">
        <v>3</v>
      </c>
      <c r="G3451" s="4" t="n">
        <v>4</v>
      </c>
      <c r="H3451" s="13" t="n"/>
      <c r="I3451" s="15" t="n"/>
      <c r="J3451" s="19" t="n">
        <v>3</v>
      </c>
      <c r="K3451" s="2" t="inlineStr">
        <is>
          <t>marker_297_319816.png</t>
        </is>
      </c>
      <c r="L3451" s="11">
        <f>HYPERLINK("3\1\" &amp; K3451, "Ver Imagen")</f>
        <v/>
      </c>
      <c r="M3451" t="inlineStr">
        <is>
          <t>Moda</t>
        </is>
      </c>
    </row>
    <row r="3452">
      <c r="A3452" t="n">
        <v>3451</v>
      </c>
      <c r="B3452" t="inlineStr">
        <is>
          <t>A-497_2C__276</t>
        </is>
      </c>
      <c r="C3452" s="1" t="n">
        <v>37.2539031166</v>
      </c>
      <c r="D3452" s="1" t="n">
        <v>-7.01559569925</v>
      </c>
      <c r="E3452" s="3" t="n">
        <v>3</v>
      </c>
      <c r="F3452" s="2" t="n">
        <v>3</v>
      </c>
      <c r="G3452" s="4" t="n">
        <v>4</v>
      </c>
      <c r="H3452" s="13" t="n"/>
      <c r="I3452" s="15" t="n"/>
      <c r="J3452" s="19" t="n">
        <v>3</v>
      </c>
      <c r="K3452" s="2" t="inlineStr">
        <is>
          <t>marker_798_319827.png</t>
        </is>
      </c>
      <c r="L3452" s="11">
        <f>HYPERLINK("3\1\" &amp; K3452, "Ver Imagen")</f>
        <v/>
      </c>
      <c r="M3452" t="inlineStr">
        <is>
          <t>Moda</t>
        </is>
      </c>
    </row>
    <row r="3453">
      <c r="A3453" t="n">
        <v>3452</v>
      </c>
      <c r="B3453" t="inlineStr">
        <is>
          <t>A-497__583</t>
        </is>
      </c>
      <c r="C3453" s="1" t="n">
        <v>37.2034861207</v>
      </c>
      <c r="D3453" s="1" t="n">
        <v>-7.00688639198</v>
      </c>
      <c r="E3453" s="3" t="n">
        <v>4</v>
      </c>
      <c r="F3453" s="2" t="n">
        <v>3</v>
      </c>
      <c r="G3453" s="4" t="n">
        <v>3</v>
      </c>
      <c r="H3453" s="13" t="n"/>
      <c r="I3453" s="15" t="n"/>
      <c r="J3453" s="19" t="n">
        <v>3</v>
      </c>
      <c r="K3453" s="2" t="inlineStr">
        <is>
          <t>marker_392_371897.png</t>
        </is>
      </c>
      <c r="L3453" s="11">
        <f>HYPERLINK("3\1\" &amp; K3453, "Ver Imagen")</f>
        <v/>
      </c>
      <c r="M3453" t="inlineStr">
        <is>
          <t>Moda</t>
        </is>
      </c>
    </row>
    <row r="3454">
      <c r="A3454" t="n">
        <v>3453</v>
      </c>
      <c r="B3454" t="inlineStr">
        <is>
          <t>A-497__581</t>
        </is>
      </c>
      <c r="C3454" s="1" t="n">
        <v>37.203555824</v>
      </c>
      <c r="D3454" s="1" t="n">
        <v>-7.00738339896</v>
      </c>
      <c r="E3454" s="3" t="n">
        <v>2</v>
      </c>
      <c r="F3454" s="2" t="n">
        <v>3</v>
      </c>
      <c r="G3454" s="4" t="n">
        <v>3</v>
      </c>
      <c r="H3454" s="13" t="n"/>
      <c r="I3454" s="15" t="n"/>
      <c r="J3454" s="19" t="n">
        <v>3</v>
      </c>
      <c r="K3454" s="2" t="inlineStr">
        <is>
          <t>marker_517_371917.png</t>
        </is>
      </c>
      <c r="L3454" s="11">
        <f>HYPERLINK("3\1\" &amp; K3454, "Ver Imagen")</f>
        <v/>
      </c>
      <c r="M3454" t="inlineStr">
        <is>
          <t>Moda</t>
        </is>
      </c>
    </row>
    <row r="3455">
      <c r="A3455" t="n">
        <v>3454</v>
      </c>
      <c r="B3455" t="inlineStr">
        <is>
          <t>A-497__579</t>
        </is>
      </c>
      <c r="C3455" s="1" t="n">
        <v>37.2036322248</v>
      </c>
      <c r="D3455" s="1" t="n">
        <v>-7.00789628389</v>
      </c>
      <c r="E3455" s="3" t="n">
        <v>2</v>
      </c>
      <c r="F3455" s="2" t="n">
        <v>3</v>
      </c>
      <c r="G3455" s="4" t="n">
        <v>3</v>
      </c>
      <c r="H3455" s="13" t="n"/>
      <c r="I3455" s="15" t="n"/>
      <c r="J3455" s="19" t="n">
        <v>3</v>
      </c>
      <c r="K3455" s="2" t="inlineStr">
        <is>
          <t>marker_421_371935.png</t>
        </is>
      </c>
      <c r="L3455" s="11">
        <f>HYPERLINK("3\1\" &amp; K3455, "Ver Imagen")</f>
        <v/>
      </c>
      <c r="M3455" t="inlineStr">
        <is>
          <t>Moda</t>
        </is>
      </c>
    </row>
    <row r="3456">
      <c r="A3456" t="n">
        <v>3455</v>
      </c>
      <c r="B3456" t="inlineStr">
        <is>
          <t>A-497__569</t>
        </is>
      </c>
      <c r="C3456" s="1" t="n">
        <v>37.2040131056</v>
      </c>
      <c r="D3456" s="1" t="n">
        <v>-7.01033268482</v>
      </c>
      <c r="E3456" s="3" t="n">
        <v>3</v>
      </c>
      <c r="F3456" s="2" t="n">
        <v>3</v>
      </c>
      <c r="G3456" s="4" t="n">
        <v>4</v>
      </c>
      <c r="H3456" s="13" t="n"/>
      <c r="I3456" s="15" t="n"/>
      <c r="J3456" s="19" t="n">
        <v>3</v>
      </c>
      <c r="K3456" s="2" t="inlineStr">
        <is>
          <t>marker_637_372050.png</t>
        </is>
      </c>
      <c r="L3456" s="11">
        <f>HYPERLINK("3\1\" &amp; K3456, "Ver Imagen")</f>
        <v/>
      </c>
      <c r="M3456" t="inlineStr">
        <is>
          <t>Moda</t>
        </is>
      </c>
    </row>
    <row r="3457">
      <c r="A3457" t="n">
        <v>3456</v>
      </c>
      <c r="B3457" t="inlineStr">
        <is>
          <t>A-497_2C__307</t>
        </is>
      </c>
      <c r="C3457" s="1" t="n">
        <v>37.2481128458</v>
      </c>
      <c r="D3457" s="1" t="n">
        <v>-7.01837397856</v>
      </c>
      <c r="E3457" s="3" t="n">
        <v>4</v>
      </c>
      <c r="F3457" s="2" t="n">
        <v>3</v>
      </c>
      <c r="G3457" s="4" t="n">
        <v>3</v>
      </c>
      <c r="H3457" s="13" t="n"/>
      <c r="I3457" s="15" t="n"/>
      <c r="J3457" s="19" t="n">
        <v>3</v>
      </c>
      <c r="K3457" s="2" t="inlineStr">
        <is>
          <t>marker_959_361801.png</t>
        </is>
      </c>
      <c r="L3457" s="11">
        <f>HYPERLINK("3\1\" &amp; K3457, "Ver Imagen")</f>
        <v/>
      </c>
      <c r="M3457" t="inlineStr">
        <is>
          <t>Moda</t>
        </is>
      </c>
    </row>
    <row r="3458">
      <c r="A3458" t="n">
        <v>3457</v>
      </c>
      <c r="B3458" t="inlineStr">
        <is>
          <t>A-497_2C__308</t>
        </is>
      </c>
      <c r="C3458" s="1" t="n">
        <v>37.2479116347</v>
      </c>
      <c r="D3458" s="1" t="n">
        <v>-7.01838135045</v>
      </c>
      <c r="E3458" s="3" t="n">
        <v>3</v>
      </c>
      <c r="F3458" s="2" t="n">
        <v>3</v>
      </c>
      <c r="G3458" s="4" t="n">
        <v>2</v>
      </c>
      <c r="H3458" s="13" t="n"/>
      <c r="I3458" s="15" t="n"/>
      <c r="J3458" s="19" t="n">
        <v>3</v>
      </c>
      <c r="K3458" s="2" t="inlineStr">
        <is>
          <t>marker_469_361811.png</t>
        </is>
      </c>
      <c r="L3458" s="11">
        <f>HYPERLINK("3\1\" &amp; K3458, "Ver Imagen")</f>
        <v/>
      </c>
      <c r="M3458" t="inlineStr">
        <is>
          <t>Moda</t>
        </is>
      </c>
    </row>
    <row r="3459">
      <c r="A3459" t="n">
        <v>3458</v>
      </c>
      <c r="B3459" t="inlineStr">
        <is>
          <t>A-497__558</t>
        </is>
      </c>
      <c r="C3459" s="1" t="n">
        <v>37.2044973156</v>
      </c>
      <c r="D3459" s="1" t="n">
        <v>-7.0130844794</v>
      </c>
      <c r="E3459" s="3" t="n">
        <v>4</v>
      </c>
      <c r="F3459" s="2" t="n">
        <v>3</v>
      </c>
      <c r="G3459" s="4" t="n">
        <v>3</v>
      </c>
      <c r="H3459" s="13" t="n"/>
      <c r="I3459" s="15" t="n"/>
      <c r="J3459" s="19" t="n">
        <v>3</v>
      </c>
      <c r="K3459" s="2" t="inlineStr">
        <is>
          <t>marker_859_372163.png</t>
        </is>
      </c>
      <c r="L3459" s="11">
        <f>HYPERLINK("3\1\" &amp; K3459, "Ver Imagen")</f>
        <v/>
      </c>
      <c r="M3459" t="inlineStr">
        <is>
          <t>Moda</t>
        </is>
      </c>
    </row>
    <row r="3460">
      <c r="A3460" t="n">
        <v>3459</v>
      </c>
      <c r="B3460" t="inlineStr">
        <is>
          <t>A-497__557</t>
        </is>
      </c>
      <c r="C3460" s="1" t="n">
        <v>37.2045454285</v>
      </c>
      <c r="D3460" s="1" t="n">
        <v>-7.01334031002</v>
      </c>
      <c r="E3460" s="3" t="n">
        <v>4</v>
      </c>
      <c r="F3460" s="2" t="n">
        <v>3</v>
      </c>
      <c r="G3460" s="4" t="n">
        <v>3</v>
      </c>
      <c r="H3460" s="13" t="n"/>
      <c r="I3460" s="15" t="n"/>
      <c r="J3460" s="19" t="n">
        <v>3</v>
      </c>
      <c r="K3460" s="2" t="inlineStr">
        <is>
          <t>marker_177_372173.png</t>
        </is>
      </c>
      <c r="L3460" s="11">
        <f>HYPERLINK("3\1\" &amp; K3460, "Ver Imagen")</f>
        <v/>
      </c>
      <c r="M3460" t="inlineStr">
        <is>
          <t>Moda</t>
        </is>
      </c>
    </row>
    <row r="3461">
      <c r="A3461" t="n">
        <v>3460</v>
      </c>
      <c r="B3461" t="inlineStr">
        <is>
          <t>A-497_2C__325</t>
        </is>
      </c>
      <c r="C3461" s="1" t="n">
        <v>37.2444458706</v>
      </c>
      <c r="D3461" s="1" t="n">
        <v>-7.01850625607</v>
      </c>
      <c r="E3461" s="3" t="n">
        <v>2</v>
      </c>
      <c r="F3461" s="2" t="n">
        <v>3</v>
      </c>
      <c r="G3461" s="4" t="n">
        <v>3</v>
      </c>
      <c r="H3461" s="13" t="n"/>
      <c r="I3461" s="15" t="n"/>
      <c r="J3461" s="19" t="n">
        <v>3</v>
      </c>
      <c r="K3461" s="2" t="inlineStr">
        <is>
          <t>marker_938_361974.png</t>
        </is>
      </c>
      <c r="L3461" s="11">
        <f>HYPERLINK("3\1\" &amp; K3461, "Ver Imagen")</f>
        <v/>
      </c>
      <c r="M3461" t="inlineStr">
        <is>
          <t>Moda</t>
        </is>
      </c>
    </row>
    <row r="3462">
      <c r="A3462" t="n">
        <v>3461</v>
      </c>
      <c r="B3462" t="inlineStr">
        <is>
          <t>A-497_2C__326</t>
        </is>
      </c>
      <c r="C3462" s="1" t="n">
        <v>37.2442451958</v>
      </c>
      <c r="D3462" s="1" t="n">
        <v>-7.01851494079</v>
      </c>
      <c r="E3462" s="3" t="n">
        <v>2</v>
      </c>
      <c r="F3462" s="2" t="n">
        <v>3</v>
      </c>
      <c r="G3462" s="4" t="n">
        <v>3</v>
      </c>
      <c r="H3462" s="13" t="n"/>
      <c r="I3462" s="15" t="n"/>
      <c r="J3462" s="19" t="n">
        <v>3</v>
      </c>
      <c r="K3462" s="2" t="inlineStr">
        <is>
          <t>marker_698_361983.png</t>
        </is>
      </c>
      <c r="L3462" s="11">
        <f>HYPERLINK("3\1\" &amp; K3462, "Ver Imagen")</f>
        <v/>
      </c>
      <c r="M3462" t="inlineStr">
        <is>
          <t>Moda</t>
        </is>
      </c>
    </row>
    <row r="3463">
      <c r="A3463" t="n">
        <v>3462</v>
      </c>
      <c r="B3463" t="inlineStr">
        <is>
          <t>A-497_2C__333</t>
        </is>
      </c>
      <c r="C3463" s="1" t="n">
        <v>37.2428355979</v>
      </c>
      <c r="D3463" s="1" t="n">
        <v>-7.01857194289</v>
      </c>
      <c r="E3463" s="3" t="n">
        <v>3</v>
      </c>
      <c r="F3463" s="2" t="n">
        <v>3</v>
      </c>
      <c r="G3463" s="4" t="n">
        <v>4</v>
      </c>
      <c r="H3463" s="13" t="n"/>
      <c r="I3463" s="15" t="n"/>
      <c r="J3463" s="19" t="n">
        <v>3</v>
      </c>
      <c r="K3463" s="2" t="inlineStr">
        <is>
          <t>marker_420_362047.png</t>
        </is>
      </c>
      <c r="L3463" s="11">
        <f>HYPERLINK("3\1\" &amp; K3463, "Ver Imagen")</f>
        <v/>
      </c>
      <c r="M3463" t="inlineStr">
        <is>
          <t>Moda</t>
        </is>
      </c>
    </row>
    <row r="3464">
      <c r="A3464" t="n">
        <v>3463</v>
      </c>
      <c r="B3464" t="inlineStr">
        <is>
          <t>A-497__538</t>
        </is>
      </c>
      <c r="C3464" s="1" t="n">
        <v>37.2055589837</v>
      </c>
      <c r="D3464" s="1" t="n">
        <v>-7.01797651647</v>
      </c>
      <c r="E3464" s="3" t="n">
        <v>3</v>
      </c>
      <c r="F3464" s="2" t="n">
        <v>3</v>
      </c>
      <c r="G3464" s="4" t="n">
        <v>4</v>
      </c>
      <c r="H3464" s="13" t="n"/>
      <c r="I3464" s="15" t="n"/>
      <c r="J3464" s="19" t="n">
        <v>3</v>
      </c>
      <c r="K3464" s="2" t="inlineStr">
        <is>
          <t>marker_682_372395.png</t>
        </is>
      </c>
      <c r="L3464" s="11">
        <f>HYPERLINK("3\1\" &amp; K3464, "Ver Imagen")</f>
        <v/>
      </c>
      <c r="M3464" t="inlineStr">
        <is>
          <t>Moda</t>
        </is>
      </c>
    </row>
    <row r="3465">
      <c r="A3465" t="n">
        <v>3464</v>
      </c>
      <c r="B3465" t="inlineStr">
        <is>
          <t>A-497__537</t>
        </is>
      </c>
      <c r="C3465" s="1" t="n">
        <v>37.2056300933</v>
      </c>
      <c r="D3465" s="1" t="n">
        <v>-7.01821194024</v>
      </c>
      <c r="E3465" s="3" t="n">
        <v>3</v>
      </c>
      <c r="F3465" s="2" t="n">
        <v>3</v>
      </c>
      <c r="G3465" s="4" t="n">
        <v>4</v>
      </c>
      <c r="H3465" s="13" t="n"/>
      <c r="I3465" s="15" t="n"/>
      <c r="J3465" s="19" t="n">
        <v>3</v>
      </c>
      <c r="K3465" s="2" t="inlineStr">
        <is>
          <t>marker_692_372404.png</t>
        </is>
      </c>
      <c r="L3465" s="11">
        <f>HYPERLINK("3\1\" &amp; K3465, "Ver Imagen")</f>
        <v/>
      </c>
      <c r="M3465" t="inlineStr">
        <is>
          <t>Moda</t>
        </is>
      </c>
    </row>
    <row r="3466">
      <c r="A3466" t="n">
        <v>3465</v>
      </c>
      <c r="B3466" t="inlineStr">
        <is>
          <t>A-497_2C__345</t>
        </is>
      </c>
      <c r="C3466" s="1" t="n">
        <v>37.2404230336</v>
      </c>
      <c r="D3466" s="1" t="n">
        <v>-7.01865992766</v>
      </c>
      <c r="E3466" s="3" t="n">
        <v>4</v>
      </c>
      <c r="F3466" s="2" t="n">
        <v>3</v>
      </c>
      <c r="G3466" s="4" t="n">
        <v>3</v>
      </c>
      <c r="H3466" s="13" t="n"/>
      <c r="I3466" s="15" t="n"/>
      <c r="J3466" s="19" t="n">
        <v>3</v>
      </c>
      <c r="K3466" s="2" t="inlineStr">
        <is>
          <t>marker_593_362174.png</t>
        </is>
      </c>
      <c r="L3466" s="11">
        <f>HYPERLINK("3\1\" &amp; K3466, "Ver Imagen")</f>
        <v/>
      </c>
      <c r="M3466" t="inlineStr">
        <is>
          <t>Moda</t>
        </is>
      </c>
    </row>
    <row r="3467">
      <c r="A3467" t="n">
        <v>3466</v>
      </c>
      <c r="B3467" t="inlineStr">
        <is>
          <t>A-497__533</t>
        </is>
      </c>
      <c r="C3467" s="1" t="n">
        <v>37.2059725628</v>
      </c>
      <c r="D3467" s="1" t="n">
        <v>-7.01918933</v>
      </c>
      <c r="E3467" s="3" t="n">
        <v>4</v>
      </c>
      <c r="F3467" s="2" t="n">
        <v>3</v>
      </c>
      <c r="G3467" s="4" t="n">
        <v>3</v>
      </c>
      <c r="H3467" s="13" t="n"/>
      <c r="I3467" s="15" t="n"/>
      <c r="J3467" s="19" t="n">
        <v>3</v>
      </c>
      <c r="K3467" s="2" t="inlineStr">
        <is>
          <t>marker_922_372467.png</t>
        </is>
      </c>
      <c r="L3467" s="11">
        <f>HYPERLINK("3\1\" &amp; K3467, "Ver Imagen")</f>
        <v/>
      </c>
      <c r="M3467" t="inlineStr">
        <is>
          <t>Moda</t>
        </is>
      </c>
    </row>
    <row r="3468">
      <c r="A3468" t="n">
        <v>3467</v>
      </c>
      <c r="B3468" t="inlineStr">
        <is>
          <t>A-497_2C__347</t>
        </is>
      </c>
      <c r="C3468" s="1" t="n">
        <v>37.2400233649</v>
      </c>
      <c r="D3468" s="1" t="n">
        <v>-7.0186756585</v>
      </c>
      <c r="E3468" s="3" t="n">
        <v>4</v>
      </c>
      <c r="F3468" s="2" t="n">
        <v>3</v>
      </c>
      <c r="G3468" s="4" t="n">
        <v>3</v>
      </c>
      <c r="H3468" s="13" t="n"/>
      <c r="I3468" s="15" t="n"/>
      <c r="J3468" s="19" t="n">
        <v>3</v>
      </c>
      <c r="K3468" s="2" t="inlineStr">
        <is>
          <t>marker_245_362193.png</t>
        </is>
      </c>
      <c r="L3468" s="11">
        <f>HYPERLINK("3\1\" &amp; K3468, "Ver Imagen")</f>
        <v/>
      </c>
      <c r="M3468" t="inlineStr">
        <is>
          <t>Moda</t>
        </is>
      </c>
    </row>
    <row r="3469">
      <c r="A3469" t="n">
        <v>3468</v>
      </c>
      <c r="B3469" t="inlineStr">
        <is>
          <t>A-497_2C__349</t>
        </is>
      </c>
      <c r="C3469" s="1" t="n">
        <v>37.2396224454</v>
      </c>
      <c r="D3469" s="1" t="n">
        <v>-7.01869192682</v>
      </c>
      <c r="E3469" s="3" t="n">
        <v>2</v>
      </c>
      <c r="F3469" s="2" t="n">
        <v>3</v>
      </c>
      <c r="G3469" s="4" t="n">
        <v>3</v>
      </c>
      <c r="H3469" s="13" t="n"/>
      <c r="I3469" s="15" t="n"/>
      <c r="J3469" s="19" t="n">
        <v>3</v>
      </c>
      <c r="K3469" s="2" t="inlineStr">
        <is>
          <t>marker_924_362221.png</t>
        </is>
      </c>
      <c r="L3469" s="11">
        <f>HYPERLINK("3\1\" &amp; K3469, "Ver Imagen")</f>
        <v/>
      </c>
      <c r="M3469" t="inlineStr">
        <is>
          <t>Moda</t>
        </is>
      </c>
    </row>
    <row r="3470">
      <c r="A3470" t="n">
        <v>3469</v>
      </c>
      <c r="B3470" t="inlineStr">
        <is>
          <t>A-497_2C__352</t>
        </is>
      </c>
      <c r="C3470" s="1" t="n">
        <v>37.2390071094</v>
      </c>
      <c r="D3470" s="1" t="n">
        <v>-7.01871882133</v>
      </c>
      <c r="E3470" s="3" t="n">
        <v>2</v>
      </c>
      <c r="F3470" s="2" t="n">
        <v>3</v>
      </c>
      <c r="G3470" s="4" t="n">
        <v>3</v>
      </c>
      <c r="H3470" s="13" t="n"/>
      <c r="I3470" s="15" t="n"/>
      <c r="J3470" s="19" t="n">
        <v>3</v>
      </c>
      <c r="K3470" s="2" t="inlineStr">
        <is>
          <t>marker_857_362249.png</t>
        </is>
      </c>
      <c r="L3470" s="11">
        <f>HYPERLINK("3\1\" &amp; K3470, "Ver Imagen")</f>
        <v/>
      </c>
      <c r="M3470" t="inlineStr">
        <is>
          <t>Moda</t>
        </is>
      </c>
    </row>
    <row r="3471">
      <c r="A3471" t="n">
        <v>3470</v>
      </c>
      <c r="B3471" t="inlineStr">
        <is>
          <t>A-497_2C__354</t>
        </is>
      </c>
      <c r="C3471" s="1" t="n">
        <v>37.2386290022</v>
      </c>
      <c r="D3471" s="1" t="n">
        <v>-7.01873493452</v>
      </c>
      <c r="E3471" s="3" t="n">
        <v>4</v>
      </c>
      <c r="F3471" s="2" t="n">
        <v>3</v>
      </c>
      <c r="G3471" s="4" t="n">
        <v>3</v>
      </c>
      <c r="H3471" s="13" t="n"/>
      <c r="I3471" s="15" t="n"/>
      <c r="J3471" s="19" t="n">
        <v>3</v>
      </c>
      <c r="K3471" s="2" t="inlineStr">
        <is>
          <t>marker_367_362269.png</t>
        </is>
      </c>
      <c r="L3471" s="11">
        <f>HYPERLINK("3\1\" &amp; K3471, "Ver Imagen")</f>
        <v/>
      </c>
      <c r="M3471" t="inlineStr">
        <is>
          <t>Moda</t>
        </is>
      </c>
    </row>
    <row r="3472">
      <c r="A3472" t="n">
        <v>3471</v>
      </c>
      <c r="B3472" t="inlineStr">
        <is>
          <t>A-497__524</t>
        </is>
      </c>
      <c r="C3472" s="1" t="n">
        <v>37.2069184117</v>
      </c>
      <c r="D3472" s="1" t="n">
        <v>-7.02101268889</v>
      </c>
      <c r="E3472" s="3" t="n">
        <v>4</v>
      </c>
      <c r="F3472" s="2" t="n">
        <v>3</v>
      </c>
      <c r="G3472" s="4" t="n">
        <v>3</v>
      </c>
      <c r="H3472" s="13" t="n"/>
      <c r="I3472" s="15" t="n"/>
      <c r="J3472" s="19" t="n">
        <v>3</v>
      </c>
      <c r="K3472" s="2" t="inlineStr">
        <is>
          <t>marker_610_372559.png</t>
        </is>
      </c>
      <c r="L3472" s="11">
        <f>HYPERLINK("3\1\" &amp; K3472, "Ver Imagen")</f>
        <v/>
      </c>
      <c r="M3472" t="inlineStr">
        <is>
          <t>Moda</t>
        </is>
      </c>
    </row>
    <row r="3473">
      <c r="A3473" t="n">
        <v>3472</v>
      </c>
      <c r="B3473" t="inlineStr">
        <is>
          <t>A-497_2C__369</t>
        </is>
      </c>
      <c r="C3473" s="1" t="n">
        <v>37.2355597937</v>
      </c>
      <c r="D3473" s="1" t="n">
        <v>-7.01842451789</v>
      </c>
      <c r="E3473" s="3" t="n">
        <v>4</v>
      </c>
      <c r="F3473" s="2" t="n">
        <v>3</v>
      </c>
      <c r="G3473" s="4" t="n">
        <v>3</v>
      </c>
      <c r="H3473" s="13" t="n"/>
      <c r="I3473" s="15" t="n"/>
      <c r="J3473" s="19" t="n">
        <v>3</v>
      </c>
      <c r="K3473" s="2" t="inlineStr">
        <is>
          <t>marker_969_362457.png</t>
        </is>
      </c>
      <c r="L3473" s="11">
        <f>HYPERLINK("3\1\" &amp; K3473, "Ver Imagen")</f>
        <v/>
      </c>
      <c r="M3473" t="inlineStr">
        <is>
          <t>Moda</t>
        </is>
      </c>
    </row>
    <row r="3474">
      <c r="A3474" t="n">
        <v>3473</v>
      </c>
      <c r="B3474" t="inlineStr">
        <is>
          <t>A-497__510</t>
        </is>
      </c>
      <c r="C3474" s="1" t="n">
        <v>37.2091932696</v>
      </c>
      <c r="D3474" s="1" t="n">
        <v>-7.02313144298</v>
      </c>
      <c r="E3474" s="3" t="n">
        <v>4</v>
      </c>
      <c r="F3474" s="2" t="n">
        <v>3</v>
      </c>
      <c r="G3474" s="4" t="n">
        <v>3</v>
      </c>
      <c r="H3474" s="13" t="n"/>
      <c r="I3474" s="15" t="n"/>
      <c r="J3474" s="19" t="n">
        <v>3</v>
      </c>
      <c r="K3474" s="2" t="inlineStr">
        <is>
          <t>marker_592_372691.png</t>
        </is>
      </c>
      <c r="L3474" s="11">
        <f>HYPERLINK("3\1\" &amp; K3474, "Ver Imagen")</f>
        <v/>
      </c>
      <c r="M3474" t="inlineStr">
        <is>
          <t>Moda</t>
        </is>
      </c>
    </row>
    <row r="3475">
      <c r="A3475" t="n">
        <v>3474</v>
      </c>
      <c r="B3475" t="inlineStr">
        <is>
          <t>A-497__503</t>
        </is>
      </c>
      <c r="C3475" s="1" t="n">
        <v>37.2105315416</v>
      </c>
      <c r="D3475" s="1" t="n">
        <v>-7.02368140881</v>
      </c>
      <c r="E3475" s="3" t="n">
        <v>2</v>
      </c>
      <c r="F3475" s="2" t="n">
        <v>3</v>
      </c>
      <c r="G3475" s="4" t="n">
        <v>3</v>
      </c>
      <c r="H3475" s="13" t="n"/>
      <c r="I3475" s="15" t="n"/>
      <c r="J3475" s="19" t="n">
        <v>3</v>
      </c>
      <c r="K3475" s="2" t="inlineStr">
        <is>
          <t>marker_204_376052.png</t>
        </is>
      </c>
      <c r="L3475" s="11">
        <f>HYPERLINK("3\1\" &amp; K3475, "Ver Imagen")</f>
        <v/>
      </c>
      <c r="M3475" t="inlineStr">
        <is>
          <t>Moda</t>
        </is>
      </c>
    </row>
    <row r="3476">
      <c r="A3476" t="n">
        <v>3475</v>
      </c>
      <c r="B3476" t="inlineStr">
        <is>
          <t>A-497_2C__397</t>
        </is>
      </c>
      <c r="C3476" s="1" t="n">
        <v>37.2302865297</v>
      </c>
      <c r="D3476" s="1" t="n">
        <v>-7.02024738575</v>
      </c>
      <c r="E3476" s="3" t="n">
        <v>4</v>
      </c>
      <c r="F3476" s="2" t="n">
        <v>3</v>
      </c>
      <c r="G3476" s="4" t="n">
        <v>3</v>
      </c>
      <c r="H3476" s="13" t="n"/>
      <c r="I3476" s="15" t="n"/>
      <c r="J3476" s="19" t="n">
        <v>3</v>
      </c>
      <c r="K3476" s="2" t="inlineStr">
        <is>
          <t>marker_231_362876.png</t>
        </is>
      </c>
      <c r="L3476" s="11">
        <f>HYPERLINK("3\1\" &amp; K3476, "Ver Imagen")</f>
        <v/>
      </c>
      <c r="M3476" t="inlineStr">
        <is>
          <t>Moda</t>
        </is>
      </c>
    </row>
    <row r="3477">
      <c r="A3477" t="n">
        <v>3476</v>
      </c>
      <c r="B3477" t="inlineStr">
        <is>
          <t>A-497_2C__399</t>
        </is>
      </c>
      <c r="C3477" s="1" t="n">
        <v>37.2299644525</v>
      </c>
      <c r="D3477" s="1" t="n">
        <v>-7.02049477745</v>
      </c>
      <c r="E3477" s="3" t="n">
        <v>2</v>
      </c>
      <c r="F3477" s="2" t="n">
        <v>3</v>
      </c>
      <c r="G3477" s="4" t="n">
        <v>3</v>
      </c>
      <c r="H3477" s="13" t="n"/>
      <c r="I3477" s="15" t="n"/>
      <c r="J3477" s="19" t="n">
        <v>3</v>
      </c>
      <c r="K3477" s="2" t="inlineStr">
        <is>
          <t>marker_948_362897.png</t>
        </is>
      </c>
      <c r="L3477" s="11">
        <f>HYPERLINK("3\1\" &amp; K3477, "Ver Imagen")</f>
        <v/>
      </c>
      <c r="M3477" t="inlineStr">
        <is>
          <t>Moda</t>
        </is>
      </c>
    </row>
    <row r="3478">
      <c r="A3478" t="n">
        <v>3477</v>
      </c>
      <c r="B3478" t="inlineStr">
        <is>
          <t>A-497_2C__400</t>
        </is>
      </c>
      <c r="C3478" s="1" t="n">
        <v>37.2297664202</v>
      </c>
      <c r="D3478" s="1" t="n">
        <v>-7.0206453873</v>
      </c>
      <c r="E3478" s="3" t="n">
        <v>4</v>
      </c>
      <c r="F3478" s="2" t="n">
        <v>3</v>
      </c>
      <c r="G3478" s="4" t="n">
        <v>3</v>
      </c>
      <c r="H3478" s="13" t="n"/>
      <c r="I3478" s="15" t="n"/>
      <c r="J3478" s="19" t="n">
        <v>3</v>
      </c>
      <c r="K3478" s="2" t="inlineStr">
        <is>
          <t>marker_854_362906.png</t>
        </is>
      </c>
      <c r="L3478" s="11">
        <f>HYPERLINK("3\1\" &amp; K3478, "Ver Imagen")</f>
        <v/>
      </c>
      <c r="M3478" t="inlineStr">
        <is>
          <t>Moda</t>
        </is>
      </c>
    </row>
    <row r="3479">
      <c r="A3479" t="n">
        <v>3478</v>
      </c>
      <c r="B3479" t="inlineStr">
        <is>
          <t>A-497_2C__401</t>
        </is>
      </c>
      <c r="C3479" s="1" t="n">
        <v>37.2295929697</v>
      </c>
      <c r="D3479" s="1" t="n">
        <v>-7.02077606714</v>
      </c>
      <c r="E3479" s="3" t="n">
        <v>4</v>
      </c>
      <c r="F3479" s="2" t="n">
        <v>3</v>
      </c>
      <c r="G3479" s="4" t="n">
        <v>3</v>
      </c>
      <c r="H3479" s="13" t="n"/>
      <c r="I3479" s="15" t="n"/>
      <c r="J3479" s="19" t="n">
        <v>3</v>
      </c>
      <c r="K3479" s="2" t="inlineStr">
        <is>
          <t>marker_300_362915.png</t>
        </is>
      </c>
      <c r="L3479" s="11">
        <f>HYPERLINK("3\1\" &amp; K3479, "Ver Imagen")</f>
        <v/>
      </c>
      <c r="M3479" t="inlineStr">
        <is>
          <t>Moda</t>
        </is>
      </c>
    </row>
    <row r="3480">
      <c r="A3480" t="n">
        <v>3479</v>
      </c>
      <c r="B3480" t="inlineStr">
        <is>
          <t>A-497_2C__402</t>
        </is>
      </c>
      <c r="C3480" s="1" t="n">
        <v>37.2294673064</v>
      </c>
      <c r="D3480" s="1" t="n">
        <v>-7.02087041269</v>
      </c>
      <c r="E3480" s="3" t="n">
        <v>4</v>
      </c>
      <c r="F3480" s="2" t="n">
        <v>3</v>
      </c>
      <c r="G3480" s="4" t="n">
        <v>3</v>
      </c>
      <c r="H3480" s="13" t="n"/>
      <c r="I3480" s="15" t="n"/>
      <c r="J3480" s="19" t="n">
        <v>3</v>
      </c>
      <c r="K3480" s="2" t="inlineStr">
        <is>
          <t>marker_618_362925.png</t>
        </is>
      </c>
      <c r="L3480" s="11">
        <f>HYPERLINK("3\1\" &amp; K3480, "Ver Imagen")</f>
        <v/>
      </c>
      <c r="M3480" t="inlineStr">
        <is>
          <t>Moda</t>
        </is>
      </c>
    </row>
    <row r="3481">
      <c r="A3481" t="n">
        <v>3480</v>
      </c>
      <c r="B3481" t="inlineStr">
        <is>
          <t>A-497_2C__403</t>
        </is>
      </c>
      <c r="C3481" s="1" t="n">
        <v>37.2292680647</v>
      </c>
      <c r="D3481" s="1" t="n">
        <v>-7.02101984004</v>
      </c>
      <c r="E3481" s="3" t="n">
        <v>4</v>
      </c>
      <c r="F3481" s="2" t="n">
        <v>3</v>
      </c>
      <c r="G3481" s="4" t="n">
        <v>3</v>
      </c>
      <c r="H3481" s="13" t="n"/>
      <c r="I3481" s="15" t="n"/>
      <c r="J3481" s="19" t="n">
        <v>3</v>
      </c>
      <c r="K3481" s="2" t="inlineStr">
        <is>
          <t>marker_711_362935.png</t>
        </is>
      </c>
      <c r="L3481" s="11">
        <f>HYPERLINK("3\1\" &amp; K3481, "Ver Imagen")</f>
        <v/>
      </c>
      <c r="M3481" t="inlineStr">
        <is>
          <t>Moda</t>
        </is>
      </c>
    </row>
    <row r="3482">
      <c r="A3482" t="n">
        <v>3481</v>
      </c>
      <c r="B3482" t="inlineStr">
        <is>
          <t>A-497_2C__416</t>
        </is>
      </c>
      <c r="C3482" s="1" t="n">
        <v>37.227038376</v>
      </c>
      <c r="D3482" s="1" t="n">
        <v>-7.02269010246</v>
      </c>
      <c r="E3482" s="3" t="n">
        <v>3</v>
      </c>
      <c r="F3482" s="2" t="n">
        <v>3</v>
      </c>
      <c r="G3482" s="4" t="n">
        <v>2</v>
      </c>
      <c r="H3482" s="13" t="n"/>
      <c r="I3482" s="15" t="n"/>
      <c r="J3482" s="19" t="n">
        <v>3</v>
      </c>
      <c r="K3482" s="2" t="inlineStr">
        <is>
          <t>marker_777_363074.png</t>
        </is>
      </c>
      <c r="L3482" s="11">
        <f>HYPERLINK("3\1\" &amp; K3482, "Ver Imagen")</f>
        <v/>
      </c>
      <c r="M3482" t="inlineStr">
        <is>
          <t>Moda</t>
        </is>
      </c>
    </row>
    <row r="3483">
      <c r="A3483" t="n">
        <v>3482</v>
      </c>
      <c r="B3483" t="inlineStr">
        <is>
          <t>A-497_2C__418</t>
        </is>
      </c>
      <c r="C3483" s="1" t="n">
        <v>37.2266550445</v>
      </c>
      <c r="D3483" s="1" t="n">
        <v>-7.0229163502</v>
      </c>
      <c r="E3483" s="3" t="n">
        <v>3</v>
      </c>
      <c r="F3483" s="2" t="n">
        <v>3</v>
      </c>
      <c r="G3483" s="4" t="n">
        <v>2</v>
      </c>
      <c r="H3483" s="13" t="n"/>
      <c r="I3483" s="15" t="n"/>
      <c r="J3483" s="19" t="n">
        <v>3</v>
      </c>
      <c r="K3483" s="2" t="inlineStr">
        <is>
          <t>marker_693_363094.png</t>
        </is>
      </c>
      <c r="L3483" s="11">
        <f>HYPERLINK("3\1\" &amp; K3483, "Ver Imagen")</f>
        <v/>
      </c>
      <c r="M3483" t="inlineStr">
        <is>
          <t>Moda</t>
        </is>
      </c>
    </row>
    <row r="3484">
      <c r="A3484" t="n">
        <v>3483</v>
      </c>
      <c r="B3484" t="inlineStr">
        <is>
          <t>A-497__480</t>
        </is>
      </c>
      <c r="C3484" s="1" t="n">
        <v>37.2151684347</v>
      </c>
      <c r="D3484" s="1" t="n">
        <v>-7.02338021865</v>
      </c>
      <c r="E3484" s="3" t="n">
        <v>2</v>
      </c>
      <c r="F3484" s="2" t="n">
        <v>3</v>
      </c>
      <c r="G3484" s="4" t="n">
        <v>3</v>
      </c>
      <c r="H3484" s="13" t="n"/>
      <c r="I3484" s="15" t="n"/>
      <c r="J3484" s="19" t="n">
        <v>3</v>
      </c>
      <c r="K3484" s="2" t="inlineStr">
        <is>
          <t>marker_125_376309.png</t>
        </is>
      </c>
      <c r="L3484" s="11">
        <f>HYPERLINK("3\1\" &amp; K3484, "Ver Imagen")</f>
        <v/>
      </c>
      <c r="M3484" t="inlineStr">
        <is>
          <t>Moda</t>
        </is>
      </c>
    </row>
    <row r="3485">
      <c r="A3485" t="n">
        <v>3484</v>
      </c>
      <c r="B3485" t="inlineStr">
        <is>
          <t>A-497__474</t>
        </is>
      </c>
      <c r="C3485" s="1" t="n">
        <v>37.2163913315</v>
      </c>
      <c r="D3485" s="1" t="n">
        <v>-7.02315989239</v>
      </c>
      <c r="E3485" s="3" t="n">
        <v>3</v>
      </c>
      <c r="F3485" s="2" t="n">
        <v>3</v>
      </c>
      <c r="G3485" s="4" t="n">
        <v>2</v>
      </c>
      <c r="H3485" s="13" t="n"/>
      <c r="I3485" s="15" t="n"/>
      <c r="J3485" s="19" t="n">
        <v>3</v>
      </c>
      <c r="K3485" s="2" t="inlineStr">
        <is>
          <t>marker_364_376383.png</t>
        </is>
      </c>
      <c r="L3485" s="11">
        <f>HYPERLINK("3\1\" &amp; K3485, "Ver Imagen")</f>
        <v/>
      </c>
      <c r="M3485" t="inlineStr">
        <is>
          <t>Moda</t>
        </is>
      </c>
    </row>
    <row r="3486">
      <c r="A3486" t="n">
        <v>3485</v>
      </c>
      <c r="B3486" t="inlineStr">
        <is>
          <t>A-497__472</t>
        </is>
      </c>
      <c r="C3486" s="1" t="n">
        <v>37.2168029492</v>
      </c>
      <c r="D3486" s="1" t="n">
        <v>-7.023084971</v>
      </c>
      <c r="E3486" s="3" t="n">
        <v>2</v>
      </c>
      <c r="F3486" s="2" t="n">
        <v>3</v>
      </c>
      <c r="G3486" s="4" t="n">
        <v>3</v>
      </c>
      <c r="H3486" s="13" t="n"/>
      <c r="I3486" s="15" t="n"/>
      <c r="J3486" s="19" t="n">
        <v>3</v>
      </c>
      <c r="K3486" s="2" t="inlineStr">
        <is>
          <t>marker_263_376404.png</t>
        </is>
      </c>
      <c r="L3486" s="11">
        <f>HYPERLINK("3\1\" &amp; K3486, "Ver Imagen")</f>
        <v/>
      </c>
      <c r="M3486" t="inlineStr">
        <is>
          <t>Moda</t>
        </is>
      </c>
    </row>
    <row r="3487">
      <c r="A3487" t="n">
        <v>3486</v>
      </c>
      <c r="B3487" t="inlineStr">
        <is>
          <t>A-497__470</t>
        </is>
      </c>
      <c r="C3487" s="1" t="n">
        <v>37.2171875591</v>
      </c>
      <c r="D3487" s="1" t="n">
        <v>-7.02301678805</v>
      </c>
      <c r="E3487" s="3" t="n">
        <v>2</v>
      </c>
      <c r="F3487" s="2" t="n">
        <v>3</v>
      </c>
      <c r="G3487" s="4" t="n">
        <v>3</v>
      </c>
      <c r="H3487" s="13" t="n"/>
      <c r="I3487" s="15" t="n"/>
      <c r="J3487" s="19" t="n">
        <v>3</v>
      </c>
      <c r="K3487" s="2" t="inlineStr">
        <is>
          <t>marker_776_376472.png</t>
        </is>
      </c>
      <c r="L3487" s="11">
        <f>HYPERLINK("3\1\" &amp; K3487, "Ver Imagen")</f>
        <v/>
      </c>
      <c r="M3487" t="inlineStr">
        <is>
          <t>Moda</t>
        </is>
      </c>
    </row>
    <row r="3488">
      <c r="A3488" t="n">
        <v>3487</v>
      </c>
      <c r="B3488" t="inlineStr">
        <is>
          <t>A-497__469</t>
        </is>
      </c>
      <c r="C3488" s="1" t="n">
        <v>37.2173580271</v>
      </c>
      <c r="D3488" s="1" t="n">
        <v>-7.02298729775</v>
      </c>
      <c r="E3488" s="3" t="n">
        <v>3</v>
      </c>
      <c r="F3488" s="2" t="n">
        <v>3</v>
      </c>
      <c r="G3488" s="4" t="n">
        <v>2</v>
      </c>
      <c r="H3488" s="13" t="n"/>
      <c r="I3488" s="15" t="n"/>
      <c r="J3488" s="19" t="n">
        <v>3</v>
      </c>
      <c r="K3488" s="2" t="inlineStr">
        <is>
          <t>marker_646_376480.png</t>
        </is>
      </c>
      <c r="L3488" s="11">
        <f>HYPERLINK("3\1\" &amp; K3488, "Ver Imagen")</f>
        <v/>
      </c>
      <c r="M3488" t="inlineStr">
        <is>
          <t>Moda</t>
        </is>
      </c>
    </row>
    <row r="3489">
      <c r="A3489" t="n">
        <v>3488</v>
      </c>
      <c r="B3489" t="inlineStr">
        <is>
          <t>A-497__468</t>
        </is>
      </c>
      <c r="C3489" s="1" t="n">
        <v>37.2175455213</v>
      </c>
      <c r="D3489" s="1" t="n">
        <v>-7.02295537561</v>
      </c>
      <c r="E3489" s="3" t="n">
        <v>4</v>
      </c>
      <c r="F3489" s="2" t="n">
        <v>3</v>
      </c>
      <c r="G3489" s="4" t="n">
        <v>3</v>
      </c>
      <c r="H3489" s="13" t="n"/>
      <c r="I3489" s="15" t="n"/>
      <c r="J3489" s="19" t="n">
        <v>3</v>
      </c>
      <c r="K3489" s="2" t="inlineStr">
        <is>
          <t>marker_109_376489.png</t>
        </is>
      </c>
      <c r="L3489" s="11">
        <f>HYPERLINK("3\1\" &amp; K3489, "Ver Imagen")</f>
        <v/>
      </c>
      <c r="M3489" t="inlineStr">
        <is>
          <t>Moda</t>
        </is>
      </c>
    </row>
    <row r="3490">
      <c r="A3490" t="n">
        <v>3489</v>
      </c>
      <c r="B3490" t="inlineStr">
        <is>
          <t>A-497_2C__435</t>
        </is>
      </c>
      <c r="C3490" s="1" t="n">
        <v>37.2232369122</v>
      </c>
      <c r="D3490" s="1" t="n">
        <v>-7.02327046562</v>
      </c>
      <c r="E3490" s="3" t="n">
        <v>2</v>
      </c>
      <c r="F3490" s="2" t="n">
        <v>3</v>
      </c>
      <c r="G3490" s="4" t="n">
        <v>3</v>
      </c>
      <c r="H3490" s="13" t="n"/>
      <c r="I3490" s="15" t="n"/>
      <c r="J3490" s="19" t="n">
        <v>3</v>
      </c>
      <c r="K3490" s="2" t="inlineStr">
        <is>
          <t>marker_612_363258.png</t>
        </is>
      </c>
      <c r="L3490" s="11">
        <f>HYPERLINK("3\1\" &amp; K3490, "Ver Imagen")</f>
        <v/>
      </c>
      <c r="M3490" t="inlineStr">
        <is>
          <t>Moda</t>
        </is>
      </c>
    </row>
    <row r="3491">
      <c r="A3491" t="n">
        <v>3490</v>
      </c>
      <c r="B3491" t="inlineStr">
        <is>
          <t>A-497_2C__439</t>
        </is>
      </c>
      <c r="C3491" s="1" t="n">
        <v>37.2224793118</v>
      </c>
      <c r="D3491" s="1" t="n">
        <v>-7.0231970096</v>
      </c>
      <c r="E3491" s="3" t="n">
        <v>2</v>
      </c>
      <c r="F3491" s="2" t="n">
        <v>3</v>
      </c>
      <c r="G3491" s="4" t="n">
        <v>3</v>
      </c>
      <c r="H3491" s="13" t="n"/>
      <c r="I3491" s="15" t="n"/>
      <c r="J3491" s="19" t="n">
        <v>3</v>
      </c>
      <c r="K3491" s="2" t="inlineStr">
        <is>
          <t>marker_784_363299.png</t>
        </is>
      </c>
      <c r="L3491" s="11">
        <f>HYPERLINK("3\1\" &amp; K3491, "Ver Imagen")</f>
        <v/>
      </c>
      <c r="M3491" t="inlineStr">
        <is>
          <t>Moda</t>
        </is>
      </c>
    </row>
    <row r="3492">
      <c r="A3492" t="n">
        <v>3491</v>
      </c>
      <c r="B3492" t="inlineStr">
        <is>
          <t>A-497_2C__449</t>
        </is>
      </c>
      <c r="C3492" s="1" t="n">
        <v>37.2204825203</v>
      </c>
      <c r="D3492" s="1" t="n">
        <v>-7.02300638825</v>
      </c>
      <c r="E3492" s="3" t="n">
        <v>3</v>
      </c>
      <c r="F3492" s="2" t="n">
        <v>3</v>
      </c>
      <c r="G3492" s="4" t="n">
        <v>4</v>
      </c>
      <c r="H3492" s="13" t="n"/>
      <c r="I3492" s="15" t="n"/>
      <c r="J3492" s="19" t="n">
        <v>3</v>
      </c>
      <c r="K3492" s="2" t="inlineStr">
        <is>
          <t>marker_948_363409.png</t>
        </is>
      </c>
      <c r="L3492" s="11">
        <f>HYPERLINK("3\1\" &amp; K3492, "Ver Imagen")</f>
        <v/>
      </c>
      <c r="M3492" t="inlineStr">
        <is>
          <t>Moda</t>
        </is>
      </c>
    </row>
    <row r="3493">
      <c r="A3493" t="n">
        <v>3492</v>
      </c>
      <c r="B3493" t="inlineStr">
        <is>
          <t>A-497_2C__451</t>
        </is>
      </c>
      <c r="C3493" s="1" t="n">
        <v>37.2200560991</v>
      </c>
      <c r="D3493" s="1" t="n">
        <v>-7.02297047112</v>
      </c>
      <c r="E3493" s="3" t="n">
        <v>4</v>
      </c>
      <c r="F3493" s="2" t="n">
        <v>3</v>
      </c>
      <c r="G3493" s="4" t="n">
        <v>3</v>
      </c>
      <c r="H3493" s="13" t="n"/>
      <c r="I3493" s="15" t="n"/>
      <c r="J3493" s="19" t="n">
        <v>3</v>
      </c>
      <c r="K3493" s="2" t="inlineStr">
        <is>
          <t>marker_682_363428.png</t>
        </is>
      </c>
      <c r="L3493" s="11">
        <f>HYPERLINK("3\1\" &amp; K3493, "Ver Imagen")</f>
        <v/>
      </c>
      <c r="M3493" t="inlineStr">
        <is>
          <t>Moda</t>
        </is>
      </c>
    </row>
    <row r="3494">
      <c r="A3494" t="n">
        <v>3493</v>
      </c>
      <c r="B3494" t="inlineStr">
        <is>
          <t>A-497_2C__452</t>
        </is>
      </c>
      <c r="C3494" s="1" t="n">
        <v>37.219847288</v>
      </c>
      <c r="D3494" s="1" t="n">
        <v>-7.02295762341</v>
      </c>
      <c r="E3494" s="3" t="n">
        <v>4</v>
      </c>
      <c r="F3494" s="2" t="n">
        <v>3</v>
      </c>
      <c r="G3494" s="4" t="n">
        <v>3</v>
      </c>
      <c r="H3494" s="13" t="n"/>
      <c r="I3494" s="15" t="n"/>
      <c r="J3494" s="19" t="n">
        <v>3</v>
      </c>
      <c r="K3494" s="2" t="inlineStr">
        <is>
          <t>marker_409_363437.png</t>
        </is>
      </c>
      <c r="L3494" s="11">
        <f>HYPERLINK("3\1\" &amp; K3494, "Ver Imagen")</f>
        <v/>
      </c>
      <c r="M3494" t="inlineStr">
        <is>
          <t>Moda</t>
        </is>
      </c>
    </row>
    <row r="3495">
      <c r="A3495" t="n">
        <v>3494</v>
      </c>
      <c r="B3495" t="inlineStr">
        <is>
          <t>A-497_2C__453</t>
        </is>
      </c>
      <c r="C3495" s="1" t="n">
        <v>37.2196459475</v>
      </c>
      <c r="D3495" s="1" t="n">
        <v>-7.02295048981</v>
      </c>
      <c r="E3495" s="3" t="n">
        <v>4</v>
      </c>
      <c r="F3495" s="2" t="n">
        <v>3</v>
      </c>
      <c r="G3495" s="4" t="n">
        <v>3</v>
      </c>
      <c r="H3495" s="13" t="n"/>
      <c r="I3495" s="15" t="n"/>
      <c r="J3495" s="19" t="n">
        <v>3</v>
      </c>
      <c r="K3495" s="2" t="inlineStr">
        <is>
          <t>marker_336_363446.png</t>
        </is>
      </c>
      <c r="L3495" s="11">
        <f>HYPERLINK("3\1\" &amp; K3495, "Ver Imagen")</f>
        <v/>
      </c>
      <c r="M3495" t="inlineStr">
        <is>
          <t>Moda</t>
        </is>
      </c>
    </row>
    <row r="3496">
      <c r="A3496" t="n">
        <v>3495</v>
      </c>
      <c r="B3496" t="inlineStr">
        <is>
          <t>A-497_2C__457</t>
        </is>
      </c>
      <c r="C3496" s="1" t="n">
        <v>37.2188301612</v>
      </c>
      <c r="D3496" s="1" t="n">
        <v>-7.0229743139</v>
      </c>
      <c r="E3496" s="3" t="n">
        <v>2</v>
      </c>
      <c r="F3496" s="2" t="n">
        <v>3</v>
      </c>
      <c r="G3496" s="4" t="n">
        <v>3</v>
      </c>
      <c r="H3496" s="13" t="n"/>
      <c r="I3496" s="15" t="n"/>
      <c r="J3496" s="19" t="n">
        <v>3</v>
      </c>
      <c r="K3496" s="2" t="inlineStr">
        <is>
          <t>marker_522_363487.png</t>
        </is>
      </c>
      <c r="L3496" s="11">
        <f>HYPERLINK("3\1\" &amp; K3496, "Ver Imagen")</f>
        <v/>
      </c>
      <c r="M3496" t="inlineStr">
        <is>
          <t>Moda</t>
        </is>
      </c>
    </row>
    <row r="3497">
      <c r="A3497" t="n">
        <v>3496</v>
      </c>
      <c r="B3497" t="inlineStr">
        <is>
          <t>A-497_2C__475</t>
        </is>
      </c>
      <c r="C3497" s="1" t="n">
        <v>37.2152265516</v>
      </c>
      <c r="D3497" s="1" t="n">
        <v>-7.02354554443</v>
      </c>
      <c r="E3497" s="3" t="n">
        <v>4</v>
      </c>
      <c r="F3497" s="2" t="n">
        <v>3</v>
      </c>
      <c r="G3497" s="4" t="n">
        <v>3</v>
      </c>
      <c r="H3497" s="13" t="n"/>
      <c r="I3497" s="15" t="n"/>
      <c r="J3497" s="19" t="n">
        <v>3</v>
      </c>
      <c r="K3497" s="2" t="inlineStr">
        <is>
          <t>marker_414_363701.png</t>
        </is>
      </c>
      <c r="L3497" s="11">
        <f>HYPERLINK("3\1\" &amp; K3497, "Ver Imagen")</f>
        <v/>
      </c>
      <c r="M3497" t="inlineStr">
        <is>
          <t>Moda</t>
        </is>
      </c>
    </row>
    <row r="3498">
      <c r="A3498" t="n">
        <v>3497</v>
      </c>
      <c r="B3498" t="inlineStr">
        <is>
          <t>A-497_2C__479</t>
        </is>
      </c>
      <c r="C3498" s="1" t="n">
        <v>37.21438888</v>
      </c>
      <c r="D3498" s="1" t="n">
        <v>-7.02369792884</v>
      </c>
      <c r="E3498" s="3" t="n">
        <v>4</v>
      </c>
      <c r="F3498" s="2" t="n">
        <v>3</v>
      </c>
      <c r="G3498" s="4" t="n">
        <v>3</v>
      </c>
      <c r="H3498" s="13" t="n"/>
      <c r="I3498" s="15" t="n"/>
      <c r="J3498" s="19" t="n">
        <v>3</v>
      </c>
      <c r="K3498" s="2" t="inlineStr">
        <is>
          <t>marker_695_363746.png</t>
        </is>
      </c>
      <c r="L3498" s="11">
        <f>HYPERLINK("3\1\" &amp; K3498, "Ver Imagen")</f>
        <v/>
      </c>
      <c r="M3498" t="inlineStr">
        <is>
          <t>Moda</t>
        </is>
      </c>
    </row>
    <row r="3499">
      <c r="A3499" t="n">
        <v>3498</v>
      </c>
      <c r="B3499" t="inlineStr">
        <is>
          <t>A-497_2C__488</t>
        </is>
      </c>
      <c r="C3499" s="1" t="n">
        <v>37.2126198364</v>
      </c>
      <c r="D3499" s="1" t="n">
        <v>-7.02399515171</v>
      </c>
      <c r="E3499" s="3" t="n">
        <v>4</v>
      </c>
      <c r="F3499" s="2" t="n">
        <v>3</v>
      </c>
      <c r="G3499" s="4" t="n">
        <v>3</v>
      </c>
      <c r="H3499" s="13" t="n"/>
      <c r="I3499" s="15" t="n"/>
      <c r="J3499" s="19" t="n">
        <v>3</v>
      </c>
      <c r="K3499" s="2" t="inlineStr">
        <is>
          <t>marker_683_363855.png</t>
        </is>
      </c>
      <c r="L3499" s="11">
        <f>HYPERLINK("3\1\" &amp; K3499, "Ver Imagen")</f>
        <v/>
      </c>
      <c r="M3499" t="inlineStr">
        <is>
          <t>Moda</t>
        </is>
      </c>
    </row>
    <row r="3500">
      <c r="A3500" t="n">
        <v>3499</v>
      </c>
      <c r="B3500" t="inlineStr">
        <is>
          <t>A-497_2C__492</t>
        </is>
      </c>
      <c r="C3500" s="1" t="n">
        <v>37.21175571</v>
      </c>
      <c r="D3500" s="1" t="n">
        <v>-7.02404934996</v>
      </c>
      <c r="E3500" s="3" t="n">
        <v>4</v>
      </c>
      <c r="F3500" s="2" t="n">
        <v>3</v>
      </c>
      <c r="G3500" s="4" t="n">
        <v>3</v>
      </c>
      <c r="H3500" s="13" t="n"/>
      <c r="I3500" s="15" t="n"/>
      <c r="J3500" s="19" t="n">
        <v>3</v>
      </c>
      <c r="K3500" s="2" t="inlineStr">
        <is>
          <t>marker_894_363915.png</t>
        </is>
      </c>
      <c r="L3500" s="11">
        <f>HYPERLINK("3\1\" &amp; K3500, "Ver Imagen")</f>
        <v/>
      </c>
      <c r="M3500" t="inlineStr">
        <is>
          <t>Moda</t>
        </is>
      </c>
    </row>
    <row r="3501">
      <c r="A3501" t="n">
        <v>3500</v>
      </c>
      <c r="B3501" t="inlineStr">
        <is>
          <t>A-497_2C__494</t>
        </is>
      </c>
      <c r="C3501" s="1" t="n">
        <v>37.2113713714</v>
      </c>
      <c r="D3501" s="1" t="n">
        <v>-7.02402966503</v>
      </c>
      <c r="E3501" s="3" t="n">
        <v>4</v>
      </c>
      <c r="F3501" s="2" t="n">
        <v>3</v>
      </c>
      <c r="G3501" s="4" t="n">
        <v>3</v>
      </c>
      <c r="H3501" s="13" t="n"/>
      <c r="I3501" s="15" t="n"/>
      <c r="J3501" s="19" t="n">
        <v>3</v>
      </c>
      <c r="K3501" s="2" t="inlineStr">
        <is>
          <t>marker_207_363942.png</t>
        </is>
      </c>
      <c r="L3501" s="11">
        <f>HYPERLINK("3\1\" &amp; K3501, "Ver Imagen")</f>
        <v/>
      </c>
      <c r="M3501" t="inlineStr">
        <is>
          <t>Moda</t>
        </is>
      </c>
    </row>
    <row r="3502">
      <c r="A3502" t="n">
        <v>3501</v>
      </c>
      <c r="B3502" t="inlineStr">
        <is>
          <t>A-497_2C__495</t>
        </is>
      </c>
      <c r="C3502" s="1" t="n">
        <v>37.2111775098</v>
      </c>
      <c r="D3502" s="1" t="n">
        <v>-7.02400987202</v>
      </c>
      <c r="E3502" s="3" t="n">
        <v>4</v>
      </c>
      <c r="F3502" s="2" t="n">
        <v>3</v>
      </c>
      <c r="G3502" s="4" t="n">
        <v>3</v>
      </c>
      <c r="H3502" s="13" t="n"/>
      <c r="I3502" s="15" t="n"/>
      <c r="J3502" s="19" t="n">
        <v>3</v>
      </c>
      <c r="K3502" s="2" t="inlineStr">
        <is>
          <t>marker_503_363956.png</t>
        </is>
      </c>
      <c r="L3502" s="11">
        <f>HYPERLINK("3\1\" &amp; K3502, "Ver Imagen")</f>
        <v/>
      </c>
      <c r="M3502" t="inlineStr">
        <is>
          <t>Moda</t>
        </is>
      </c>
    </row>
    <row r="3503">
      <c r="A3503" t="n">
        <v>3502</v>
      </c>
      <c r="B3503" t="inlineStr">
        <is>
          <t>A-497_2C__496</t>
        </is>
      </c>
      <c r="C3503" s="1" t="n">
        <v>37.2109886192</v>
      </c>
      <c r="D3503" s="1" t="n">
        <v>-7.02398335252</v>
      </c>
      <c r="E3503" s="3" t="n">
        <v>4</v>
      </c>
      <c r="F3503" s="2" t="n">
        <v>3</v>
      </c>
      <c r="G3503" s="4" t="n">
        <v>3</v>
      </c>
      <c r="H3503" s="13" t="n"/>
      <c r="I3503" s="15" t="n"/>
      <c r="J3503" s="19" t="n">
        <v>3</v>
      </c>
      <c r="K3503" s="2" t="inlineStr">
        <is>
          <t>marker_898_363967.png</t>
        </is>
      </c>
      <c r="L3503" s="11">
        <f>HYPERLINK("3\1\" &amp; K3503, "Ver Imagen")</f>
        <v/>
      </c>
      <c r="M3503" t="inlineStr">
        <is>
          <t>Moda</t>
        </is>
      </c>
    </row>
    <row r="3504">
      <c r="A3504" t="n">
        <v>3503</v>
      </c>
      <c r="B3504" t="inlineStr">
        <is>
          <t>A-497_2C__497</t>
        </is>
      </c>
      <c r="C3504" s="1" t="n">
        <v>37.2108011125</v>
      </c>
      <c r="D3504" s="1" t="n">
        <v>-7.02394907332</v>
      </c>
      <c r="E3504" s="3" t="n">
        <v>4</v>
      </c>
      <c r="F3504" s="2" t="n">
        <v>3</v>
      </c>
      <c r="G3504" s="4" t="n">
        <v>3</v>
      </c>
      <c r="H3504" s="13" t="n"/>
      <c r="I3504" s="15" t="n"/>
      <c r="J3504" s="19" t="n">
        <v>3</v>
      </c>
      <c r="K3504" s="2" t="inlineStr">
        <is>
          <t>marker_745_364032.png</t>
        </is>
      </c>
      <c r="L3504" s="11">
        <f>HYPERLINK("3\1\" &amp; K3504, "Ver Imagen")</f>
        <v/>
      </c>
      <c r="M3504" t="inlineStr">
        <is>
          <t>Moda</t>
        </is>
      </c>
    </row>
    <row r="3505">
      <c r="A3505" t="n">
        <v>3504</v>
      </c>
      <c r="B3505" t="inlineStr">
        <is>
          <t>A-497_2C__498</t>
        </is>
      </c>
      <c r="C3505" s="1" t="n">
        <v>37.2105815322</v>
      </c>
      <c r="D3505" s="1" t="n">
        <v>-7.02389888229</v>
      </c>
      <c r="E3505" s="3" t="n">
        <v>2</v>
      </c>
      <c r="F3505" s="2" t="n">
        <v>3</v>
      </c>
      <c r="G3505" s="4" t="n">
        <v>3</v>
      </c>
      <c r="H3505" s="13" t="n"/>
      <c r="I3505" s="15" t="n"/>
      <c r="J3505" s="19" t="n">
        <v>3</v>
      </c>
      <c r="K3505" s="2" t="inlineStr">
        <is>
          <t>marker_717_364041.png</t>
        </is>
      </c>
      <c r="L3505" s="11">
        <f>HYPERLINK("3\1\" &amp; K3505, "Ver Imagen")</f>
        <v/>
      </c>
      <c r="M3505" t="inlineStr">
        <is>
          <t>Moda</t>
        </is>
      </c>
    </row>
    <row r="3506">
      <c r="A3506" t="n">
        <v>3505</v>
      </c>
      <c r="B3506" t="inlineStr">
        <is>
          <t>A-497_2C__503</t>
        </is>
      </c>
      <c r="C3506" s="1" t="n">
        <v>37.2095945912</v>
      </c>
      <c r="D3506" s="1" t="n">
        <v>-7.02355479878</v>
      </c>
      <c r="E3506" s="3" t="n">
        <v>4</v>
      </c>
      <c r="F3506" s="2" t="n">
        <v>3</v>
      </c>
      <c r="G3506" s="4" t="n">
        <v>3</v>
      </c>
      <c r="H3506" s="13" t="n"/>
      <c r="I3506" s="15" t="n"/>
      <c r="J3506" s="19" t="n">
        <v>3</v>
      </c>
      <c r="K3506" s="2" t="inlineStr">
        <is>
          <t>marker_175_364091.png</t>
        </is>
      </c>
      <c r="L3506" s="11">
        <f>HYPERLINK("3\1\" &amp; K3506, "Ver Imagen")</f>
        <v/>
      </c>
      <c r="M3506" t="inlineStr">
        <is>
          <t>Moda</t>
        </is>
      </c>
    </row>
    <row r="3507">
      <c r="A3507" t="n">
        <v>3506</v>
      </c>
      <c r="B3507" t="inlineStr">
        <is>
          <t>A-497_2C__510</t>
        </is>
      </c>
      <c r="C3507" s="1" t="n">
        <v>37.2083208634</v>
      </c>
      <c r="D3507" s="1" t="n">
        <v>-7.02277428814</v>
      </c>
      <c r="E3507" s="3" t="n">
        <v>3</v>
      </c>
      <c r="F3507" s="2" t="n">
        <v>3</v>
      </c>
      <c r="G3507" s="4" t="n">
        <v>2</v>
      </c>
      <c r="H3507" s="13" t="n"/>
      <c r="I3507" s="15" t="n"/>
      <c r="J3507" s="19" t="n">
        <v>3</v>
      </c>
      <c r="K3507" s="2" t="inlineStr">
        <is>
          <t>marker_670_364159.png</t>
        </is>
      </c>
      <c r="L3507" s="11">
        <f>HYPERLINK("3\1\" &amp; K3507, "Ver Imagen")</f>
        <v/>
      </c>
      <c r="M3507" t="inlineStr">
        <is>
          <t>Moda</t>
        </is>
      </c>
    </row>
    <row r="3508">
      <c r="A3508" t="n">
        <v>3507</v>
      </c>
      <c r="B3508" t="inlineStr">
        <is>
          <t>A-497_2C__512</t>
        </is>
      </c>
      <c r="C3508" s="1" t="n">
        <v>37.2079938859</v>
      </c>
      <c r="D3508" s="1" t="n">
        <v>-7.02249790509</v>
      </c>
      <c r="E3508" s="3" t="n">
        <v>2</v>
      </c>
      <c r="F3508" s="2" t="n">
        <v>3</v>
      </c>
      <c r="G3508" s="4" t="n">
        <v>3</v>
      </c>
      <c r="H3508" s="13" t="n"/>
      <c r="I3508" s="15" t="n"/>
      <c r="J3508" s="19" t="n">
        <v>3</v>
      </c>
      <c r="K3508" s="2" t="inlineStr">
        <is>
          <t>marker_507_364178.png</t>
        </is>
      </c>
      <c r="L3508" s="11">
        <f>HYPERLINK("3\1\" &amp; K3508, "Ver Imagen")</f>
        <v/>
      </c>
      <c r="M3508" t="inlineStr">
        <is>
          <t>Moda</t>
        </is>
      </c>
    </row>
    <row r="3509">
      <c r="A3509" t="n">
        <v>3508</v>
      </c>
      <c r="B3509" t="inlineStr">
        <is>
          <t>A-497_2C__513</t>
        </is>
      </c>
      <c r="C3509" s="1" t="n">
        <v>37.2078393048</v>
      </c>
      <c r="D3509" s="1" t="n">
        <v>-7.02235454407</v>
      </c>
      <c r="E3509" s="3" t="n">
        <v>2</v>
      </c>
      <c r="F3509" s="2" t="n">
        <v>3</v>
      </c>
      <c r="G3509" s="4" t="n">
        <v>3</v>
      </c>
      <c r="H3509" s="13" t="n"/>
      <c r="I3509" s="15" t="n"/>
      <c r="J3509" s="19" t="n">
        <v>3</v>
      </c>
      <c r="K3509" s="2" t="inlineStr">
        <is>
          <t>marker_737_364188.png</t>
        </is>
      </c>
      <c r="L3509" s="11">
        <f>HYPERLINK("3\1\" &amp; K3509, "Ver Imagen")</f>
        <v/>
      </c>
      <c r="M3509" t="inlineStr">
        <is>
          <t>Moda</t>
        </is>
      </c>
    </row>
    <row r="3510">
      <c r="A3510" t="n">
        <v>3509</v>
      </c>
      <c r="B3510" t="inlineStr">
        <is>
          <t>A-497_2C__514</t>
        </is>
      </c>
      <c r="C3510" s="1" t="n">
        <v>37.2076505005</v>
      </c>
      <c r="D3510" s="1" t="n">
        <v>-7.022166977</v>
      </c>
      <c r="E3510" s="3" t="n">
        <v>2</v>
      </c>
      <c r="F3510" s="2" t="n">
        <v>3</v>
      </c>
      <c r="G3510" s="4" t="n">
        <v>3</v>
      </c>
      <c r="H3510" s="13" t="n"/>
      <c r="I3510" s="15" t="n"/>
      <c r="J3510" s="19" t="n">
        <v>3</v>
      </c>
      <c r="K3510" s="2" t="inlineStr">
        <is>
          <t>marker_489_364198.png</t>
        </is>
      </c>
      <c r="L3510" s="11">
        <f>HYPERLINK("3\1\" &amp; K3510, "Ver Imagen")</f>
        <v/>
      </c>
      <c r="M3510" t="inlineStr">
        <is>
          <t>Moda</t>
        </is>
      </c>
    </row>
    <row r="3511">
      <c r="A3511" t="n">
        <v>3510</v>
      </c>
      <c r="B3511" t="inlineStr">
        <is>
          <t>A-497_2C__515</t>
        </is>
      </c>
      <c r="C3511" s="1" t="n">
        <v>37.2075236113</v>
      </c>
      <c r="D3511" s="1" t="n">
        <v>-7.02203312077</v>
      </c>
      <c r="E3511" s="3" t="n">
        <v>2</v>
      </c>
      <c r="F3511" s="2" t="n">
        <v>3</v>
      </c>
      <c r="G3511" s="4" t="n">
        <v>3</v>
      </c>
      <c r="H3511" s="13" t="n"/>
      <c r="I3511" s="15" t="n"/>
      <c r="J3511" s="19" t="n">
        <v>3</v>
      </c>
      <c r="K3511" s="2" t="inlineStr">
        <is>
          <t>marker_277_364207.png</t>
        </is>
      </c>
      <c r="L3511" s="11">
        <f>HYPERLINK("3\1\" &amp; K3511, "Ver Imagen")</f>
        <v/>
      </c>
      <c r="M3511" t="inlineStr">
        <is>
          <t>Moda</t>
        </is>
      </c>
    </row>
    <row r="3512">
      <c r="A3512" t="n">
        <v>3511</v>
      </c>
      <c r="B3512" t="inlineStr">
        <is>
          <t>A-497_2C__516</t>
        </is>
      </c>
      <c r="C3512" s="1" t="n">
        <v>37.2073648791</v>
      </c>
      <c r="D3512" s="1" t="n">
        <v>-7.0218572606</v>
      </c>
      <c r="E3512" s="3" t="n">
        <v>2</v>
      </c>
      <c r="F3512" s="2" t="n">
        <v>3</v>
      </c>
      <c r="G3512" s="4" t="n">
        <v>3</v>
      </c>
      <c r="H3512" s="13" t="n"/>
      <c r="I3512" s="15" t="n"/>
      <c r="J3512" s="19" t="n">
        <v>3</v>
      </c>
      <c r="K3512" s="2" t="inlineStr">
        <is>
          <t>marker_529_364218.png</t>
        </is>
      </c>
      <c r="L3512" s="11">
        <f>HYPERLINK("3\1\" &amp; K3512, "Ver Imagen")</f>
        <v/>
      </c>
      <c r="M3512" t="inlineStr">
        <is>
          <t>Moda</t>
        </is>
      </c>
    </row>
    <row r="3513">
      <c r="A3513" t="n">
        <v>3512</v>
      </c>
      <c r="B3513" t="inlineStr">
        <is>
          <t>A-497_2C__517</t>
        </is>
      </c>
      <c r="C3513" s="1" t="n">
        <v>37.20721844</v>
      </c>
      <c r="D3513" s="1" t="n">
        <v>-7.02168662116</v>
      </c>
      <c r="E3513" s="3" t="n">
        <v>2</v>
      </c>
      <c r="F3513" s="2" t="n">
        <v>3</v>
      </c>
      <c r="G3513" s="4" t="n">
        <v>3</v>
      </c>
      <c r="H3513" s="13" t="n"/>
      <c r="I3513" s="15" t="n"/>
      <c r="J3513" s="19" t="n">
        <v>3</v>
      </c>
      <c r="K3513" s="2" t="inlineStr">
        <is>
          <t>marker_435_364234.png</t>
        </is>
      </c>
      <c r="L3513" s="11">
        <f>HYPERLINK("3\1\" &amp; K3513, "Ver Imagen")</f>
        <v/>
      </c>
      <c r="M3513" t="inlineStr">
        <is>
          <t>Moda</t>
        </is>
      </c>
    </row>
    <row r="3514">
      <c r="A3514" t="n">
        <v>3513</v>
      </c>
      <c r="B3514" t="inlineStr">
        <is>
          <t>A-497_2C__518</t>
        </is>
      </c>
      <c r="C3514" s="1" t="n">
        <v>37.2070760786</v>
      </c>
      <c r="D3514" s="1" t="n">
        <v>-7.02151193781</v>
      </c>
      <c r="E3514" s="3" t="n">
        <v>3</v>
      </c>
      <c r="F3514" s="2" t="n">
        <v>3</v>
      </c>
      <c r="G3514" s="4" t="n">
        <v>4</v>
      </c>
      <c r="H3514" s="13" t="n"/>
      <c r="I3514" s="15" t="n"/>
      <c r="J3514" s="19" t="n">
        <v>3</v>
      </c>
      <c r="K3514" s="2" t="inlineStr">
        <is>
          <t>marker_648_364244.png</t>
        </is>
      </c>
      <c r="L3514" s="11">
        <f>HYPERLINK("3\1\" &amp; K3514, "Ver Imagen")</f>
        <v/>
      </c>
      <c r="M3514" t="inlineStr">
        <is>
          <t>Moda</t>
        </is>
      </c>
    </row>
    <row r="3515">
      <c r="A3515" t="n">
        <v>3514</v>
      </c>
      <c r="B3515" t="inlineStr">
        <is>
          <t>A-497_2C__519</t>
        </is>
      </c>
      <c r="C3515" s="1" t="n">
        <v>37.2069122072</v>
      </c>
      <c r="D3515" s="1" t="n">
        <v>-7.02129621282</v>
      </c>
      <c r="E3515" s="3" t="n">
        <v>2</v>
      </c>
      <c r="F3515" s="2" t="n">
        <v>3</v>
      </c>
      <c r="G3515" s="4" t="n">
        <v>3</v>
      </c>
      <c r="H3515" s="13" t="n"/>
      <c r="I3515" s="15" t="n"/>
      <c r="J3515" s="19" t="n">
        <v>3</v>
      </c>
      <c r="K3515" s="2" t="inlineStr">
        <is>
          <t>marker_372_364265.png</t>
        </is>
      </c>
      <c r="L3515" s="11">
        <f>HYPERLINK("3\1\" &amp; K3515, "Ver Imagen")</f>
        <v/>
      </c>
      <c r="M3515" t="inlineStr">
        <is>
          <t>Moda</t>
        </is>
      </c>
    </row>
    <row r="3516">
      <c r="A3516" t="n">
        <v>3515</v>
      </c>
      <c r="B3516" t="inlineStr">
        <is>
          <t>A-497_2C__551</t>
        </is>
      </c>
      <c r="C3516" s="1" t="n">
        <v>37.2045348036</v>
      </c>
      <c r="D3516" s="1" t="n">
        <v>-7.01405294458</v>
      </c>
      <c r="E3516" s="3" t="n">
        <v>2</v>
      </c>
      <c r="F3516" s="2" t="n">
        <v>3</v>
      </c>
      <c r="G3516" s="4" t="n">
        <v>3</v>
      </c>
      <c r="H3516" s="13" t="n"/>
      <c r="I3516" s="15" t="n"/>
      <c r="J3516" s="19" t="n">
        <v>3</v>
      </c>
      <c r="K3516" s="2" t="inlineStr">
        <is>
          <t>marker_253_364693.png</t>
        </is>
      </c>
      <c r="L3516" s="11">
        <f>HYPERLINK("3\1\" &amp; K3516, "Ver Imagen")</f>
        <v/>
      </c>
      <c r="M3516" t="inlineStr">
        <is>
          <t>Moda</t>
        </is>
      </c>
    </row>
    <row r="3517">
      <c r="A3517" t="n">
        <v>3516</v>
      </c>
      <c r="B3517" t="inlineStr">
        <is>
          <t>A-497_2C__576</t>
        </is>
      </c>
      <c r="C3517" s="1" t="n">
        <v>37.2034803561</v>
      </c>
      <c r="D3517" s="1" t="n">
        <v>-7.00785064269</v>
      </c>
      <c r="E3517" s="3" t="n">
        <v>2</v>
      </c>
      <c r="F3517" s="2" t="n">
        <v>3</v>
      </c>
      <c r="G3517" s="4" t="n">
        <v>3</v>
      </c>
      <c r="H3517" s="13" t="n"/>
      <c r="I3517" s="15" t="n"/>
      <c r="J3517" s="19" t="n">
        <v>3</v>
      </c>
      <c r="K3517" s="2" t="inlineStr">
        <is>
          <t>marker_423_366538.png</t>
        </is>
      </c>
      <c r="L3517" s="11">
        <f>HYPERLINK("3\1\" &amp; K3517, "Ver Imagen")</f>
        <v/>
      </c>
      <c r="M3517" t="inlineStr">
        <is>
          <t>Moda</t>
        </is>
      </c>
    </row>
    <row r="3518">
      <c r="A3518" t="n">
        <v>3517</v>
      </c>
      <c r="B3518" t="inlineStr">
        <is>
          <t>A-497_2C__592</t>
        </is>
      </c>
      <c r="C3518" s="1" t="n">
        <v>37.2029545525</v>
      </c>
      <c r="D3518" s="1" t="n">
        <v>-7.00386111523</v>
      </c>
      <c r="E3518" s="3" t="n">
        <v>3</v>
      </c>
      <c r="F3518" s="2" t="n">
        <v>3</v>
      </c>
      <c r="G3518" s="4" t="n">
        <v>4</v>
      </c>
      <c r="H3518" s="13" t="n"/>
      <c r="I3518" s="15" t="n"/>
      <c r="J3518" s="19" t="n">
        <v>3</v>
      </c>
      <c r="K3518" s="2" t="inlineStr">
        <is>
          <t>marker_380_366689.png</t>
        </is>
      </c>
      <c r="L3518" s="11">
        <f>HYPERLINK("3\1\" &amp; K3518, "Ver Imagen")</f>
        <v/>
      </c>
      <c r="M3518" t="inlineStr">
        <is>
          <t>Moda</t>
        </is>
      </c>
    </row>
    <row r="3519">
      <c r="A3519" t="n">
        <v>3518</v>
      </c>
      <c r="B3519" t="inlineStr">
        <is>
          <t>A-497_2C__615</t>
        </is>
      </c>
      <c r="C3519" s="1" t="n">
        <v>37.2022431792</v>
      </c>
      <c r="D3519" s="1" t="n">
        <v>-6.99807825992</v>
      </c>
      <c r="E3519" s="3" t="n">
        <v>2</v>
      </c>
      <c r="F3519" s="2" t="n">
        <v>3</v>
      </c>
      <c r="G3519" s="4" t="n">
        <v>3</v>
      </c>
      <c r="H3519" s="13" t="n"/>
      <c r="I3519" s="15" t="n"/>
      <c r="J3519" s="19" t="n">
        <v>3</v>
      </c>
      <c r="K3519" s="2" t="inlineStr">
        <is>
          <t>marker_677_366919.png</t>
        </is>
      </c>
      <c r="L3519" s="11">
        <f>HYPERLINK("3\1\" &amp; K3519, "Ver Imagen")</f>
        <v/>
      </c>
      <c r="M3519" t="inlineStr">
        <is>
          <t>Moda</t>
        </is>
      </c>
    </row>
    <row r="3520">
      <c r="A3520" t="n">
        <v>3519</v>
      </c>
      <c r="B3520" t="inlineStr">
        <is>
          <t>A-497_2C__649</t>
        </is>
      </c>
      <c r="C3520" s="1" t="n">
        <v>37.2007309643</v>
      </c>
      <c r="D3520" s="1" t="n">
        <v>-6.98964097547</v>
      </c>
      <c r="E3520" s="3" t="n">
        <v>2</v>
      </c>
      <c r="F3520" s="2" t="n">
        <v>3</v>
      </c>
      <c r="G3520" s="4" t="n">
        <v>3</v>
      </c>
      <c r="H3520" s="13" t="n"/>
      <c r="I3520" s="15" t="n"/>
      <c r="J3520" s="19" t="n">
        <v>3</v>
      </c>
      <c r="K3520" s="2" t="inlineStr">
        <is>
          <t>marker_122_367270.png</t>
        </is>
      </c>
      <c r="L3520" s="11">
        <f>HYPERLINK("3\1\" &amp; K3520, "Ver Imagen")</f>
        <v/>
      </c>
      <c r="M3520" t="inlineStr">
        <is>
          <t>Moda</t>
        </is>
      </c>
    </row>
    <row r="3521">
      <c r="A3521" t="n">
        <v>3520</v>
      </c>
      <c r="B3521" t="inlineStr">
        <is>
          <t>A-497__433</t>
        </is>
      </c>
      <c r="C3521" s="1" t="n">
        <v>37.2246362599</v>
      </c>
      <c r="D3521" s="1" t="n">
        <v>-7.02320676438</v>
      </c>
      <c r="E3521" s="3" t="n">
        <v>2</v>
      </c>
      <c r="F3521" s="2" t="n">
        <v>3</v>
      </c>
      <c r="G3521" s="4" t="n">
        <v>3</v>
      </c>
      <c r="H3521" s="13" t="n"/>
      <c r="I3521" s="15" t="n"/>
      <c r="J3521" s="19" t="n">
        <v>3</v>
      </c>
      <c r="K3521" s="2" t="inlineStr">
        <is>
          <t>marker_312_376870.png</t>
        </is>
      </c>
      <c r="L3521" s="11">
        <f>HYPERLINK("3\1\" &amp; K3521, "Ver Imagen")</f>
        <v/>
      </c>
      <c r="M3521" t="inlineStr">
        <is>
          <t>Moda</t>
        </is>
      </c>
    </row>
    <row r="3522">
      <c r="A3522" t="n">
        <v>3521</v>
      </c>
      <c r="B3522" t="inlineStr">
        <is>
          <t>A-497__414</t>
        </is>
      </c>
      <c r="C3522" s="1" t="n">
        <v>37.2281970838</v>
      </c>
      <c r="D3522" s="1" t="n">
        <v>-7.02162910121</v>
      </c>
      <c r="E3522" s="3" t="n">
        <v>3</v>
      </c>
      <c r="F3522" s="2" t="n">
        <v>3</v>
      </c>
      <c r="G3522" s="4" t="n">
        <v>2</v>
      </c>
      <c r="H3522" s="13" t="n"/>
      <c r="I3522" s="15" t="n"/>
      <c r="J3522" s="19" t="n">
        <v>3</v>
      </c>
      <c r="K3522" s="2" t="inlineStr">
        <is>
          <t>marker_115_377066.png</t>
        </is>
      </c>
      <c r="L3522" s="11">
        <f>HYPERLINK("3\1\" &amp; K3522, "Ver Imagen")</f>
        <v/>
      </c>
      <c r="M3522" t="inlineStr">
        <is>
          <t>Moda</t>
        </is>
      </c>
    </row>
    <row r="3523">
      <c r="A3523" t="n">
        <v>3522</v>
      </c>
      <c r="B3523" t="inlineStr">
        <is>
          <t>A-497__394</t>
        </is>
      </c>
      <c r="C3523" s="1" t="n">
        <v>37.2316315596</v>
      </c>
      <c r="D3523" s="1" t="n">
        <v>-7.01900766005</v>
      </c>
      <c r="E3523" s="3" t="n">
        <v>3</v>
      </c>
      <c r="F3523" s="2" t="n">
        <v>3</v>
      </c>
      <c r="G3523" s="4" t="n">
        <v>4</v>
      </c>
      <c r="H3523" s="13" t="n"/>
      <c r="I3523" s="15" t="n"/>
      <c r="J3523" s="19" t="n">
        <v>3</v>
      </c>
      <c r="K3523" s="2" t="inlineStr">
        <is>
          <t>marker_760_377246.png</t>
        </is>
      </c>
      <c r="L3523" s="11">
        <f>HYPERLINK("3\1\" &amp; K3523, "Ver Imagen")</f>
        <v/>
      </c>
      <c r="M3523" t="inlineStr">
        <is>
          <t>Moda</t>
        </is>
      </c>
    </row>
    <row r="3524">
      <c r="A3524" t="n">
        <v>3523</v>
      </c>
      <c r="B3524" t="inlineStr">
        <is>
          <t>A-497__380</t>
        </is>
      </c>
      <c r="C3524" s="1" t="n">
        <v>37.2342919759</v>
      </c>
      <c r="D3524" s="1" t="n">
        <v>-7.0179998725</v>
      </c>
      <c r="E3524" s="3" t="n">
        <v>2</v>
      </c>
      <c r="F3524" s="2" t="n">
        <v>3</v>
      </c>
      <c r="G3524" s="4" t="n">
        <v>3</v>
      </c>
      <c r="H3524" s="13" t="n"/>
      <c r="I3524" s="15" t="n"/>
      <c r="J3524" s="19" t="n">
        <v>3</v>
      </c>
      <c r="K3524" s="2" t="inlineStr">
        <is>
          <t>marker_920_377370.png</t>
        </is>
      </c>
      <c r="L3524" s="11">
        <f>HYPERLINK("3\1\" &amp; K3524, "Ver Imagen")</f>
        <v/>
      </c>
      <c r="M3524" t="inlineStr">
        <is>
          <t>Moda</t>
        </is>
      </c>
    </row>
    <row r="3525">
      <c r="A3525" t="n">
        <v>3524</v>
      </c>
      <c r="B3525" t="inlineStr">
        <is>
          <t>A-497__374</t>
        </is>
      </c>
      <c r="C3525" s="1" t="n">
        <v>37.2355149564</v>
      </c>
      <c r="D3525" s="1" t="n">
        <v>-7.018239925</v>
      </c>
      <c r="E3525" s="3" t="n">
        <v>2</v>
      </c>
      <c r="F3525" s="2" t="n">
        <v>3</v>
      </c>
      <c r="G3525" s="4" t="n">
        <v>3</v>
      </c>
      <c r="H3525" s="13" t="n"/>
      <c r="I3525" s="15" t="n"/>
      <c r="J3525" s="19" t="n">
        <v>3</v>
      </c>
      <c r="K3525" s="2" t="inlineStr">
        <is>
          <t>marker_289_377421.png</t>
        </is>
      </c>
      <c r="L3525" s="11">
        <f>HYPERLINK("3\1\" &amp; K3525, "Ver Imagen")</f>
        <v/>
      </c>
      <c r="M3525" t="inlineStr">
        <is>
          <t>Moda</t>
        </is>
      </c>
    </row>
    <row r="3526">
      <c r="A3526" t="n">
        <v>3525</v>
      </c>
      <c r="B3526" t="inlineStr">
        <is>
          <t>A-497__348</t>
        </is>
      </c>
      <c r="C3526" s="1" t="n">
        <v>37.2407790967</v>
      </c>
      <c r="D3526" s="1" t="n">
        <v>-7.01845298153</v>
      </c>
      <c r="E3526" s="3" t="n">
        <v>4</v>
      </c>
      <c r="F3526" s="2" t="n">
        <v>3</v>
      </c>
      <c r="G3526" s="4" t="n">
        <v>3</v>
      </c>
      <c r="H3526" s="13" t="n"/>
      <c r="I3526" s="15" t="n"/>
      <c r="J3526" s="19" t="n">
        <v>3</v>
      </c>
      <c r="K3526" s="2" t="inlineStr">
        <is>
          <t>marker_577_377681.png</t>
        </is>
      </c>
      <c r="L3526" s="11">
        <f>HYPERLINK("3\1\" &amp; K3526, "Ver Imagen")</f>
        <v/>
      </c>
      <c r="M3526" t="inlineStr">
        <is>
          <t>Moda</t>
        </is>
      </c>
    </row>
    <row r="3527">
      <c r="A3527" t="n">
        <v>3526</v>
      </c>
      <c r="B3527" t="inlineStr">
        <is>
          <t>A-497__347</t>
        </is>
      </c>
      <c r="C3527" s="1" t="n">
        <v>37.2409502916</v>
      </c>
      <c r="D3527" s="1" t="n">
        <v>-7.01844785691</v>
      </c>
      <c r="E3527" s="3" t="n">
        <v>4</v>
      </c>
      <c r="F3527" s="2" t="n">
        <v>3</v>
      </c>
      <c r="G3527" s="4" t="n">
        <v>3</v>
      </c>
      <c r="H3527" s="13" t="n"/>
      <c r="I3527" s="15" t="n"/>
      <c r="J3527" s="19" t="n">
        <v>3</v>
      </c>
      <c r="K3527" s="2" t="inlineStr">
        <is>
          <t>marker_268_377697.png</t>
        </is>
      </c>
      <c r="L3527" s="11">
        <f>HYPERLINK("3\1\" &amp; K3527, "Ver Imagen")</f>
        <v/>
      </c>
      <c r="M3527" t="inlineStr">
        <is>
          <t>Moda</t>
        </is>
      </c>
    </row>
    <row r="3528">
      <c r="A3528" t="n">
        <v>3527</v>
      </c>
      <c r="B3528" t="inlineStr">
        <is>
          <t>A-497__346</t>
        </is>
      </c>
      <c r="C3528" s="1" t="n">
        <v>37.2411383135</v>
      </c>
      <c r="D3528" s="1" t="n">
        <v>-7.01844199959</v>
      </c>
      <c r="E3528" s="3" t="n">
        <v>4</v>
      </c>
      <c r="F3528" s="2" t="n">
        <v>3</v>
      </c>
      <c r="G3528" s="4" t="n">
        <v>3</v>
      </c>
      <c r="H3528" s="13" t="n"/>
      <c r="I3528" s="15" t="n"/>
      <c r="J3528" s="19" t="n">
        <v>3</v>
      </c>
      <c r="K3528" s="2" t="inlineStr">
        <is>
          <t>marker_730_377707.png</t>
        </is>
      </c>
      <c r="L3528" s="11">
        <f>HYPERLINK("3\1\" &amp; K3528, "Ver Imagen")</f>
        <v/>
      </c>
      <c r="M3528" t="inlineStr">
        <is>
          <t>Moda</t>
        </is>
      </c>
    </row>
    <row r="3529">
      <c r="A3529" t="n">
        <v>3528</v>
      </c>
      <c r="B3529" t="inlineStr">
        <is>
          <t>A-497__344</t>
        </is>
      </c>
      <c r="C3529" s="1" t="n">
        <v>37.2415425096</v>
      </c>
      <c r="D3529" s="1" t="n">
        <v>-7.01842816451</v>
      </c>
      <c r="E3529" s="3" t="n">
        <v>4</v>
      </c>
      <c r="F3529" s="2" t="n">
        <v>3</v>
      </c>
      <c r="G3529" s="4" t="n">
        <v>3</v>
      </c>
      <c r="H3529" s="13" t="n"/>
      <c r="I3529" s="15" t="n"/>
      <c r="J3529" s="19" t="n">
        <v>3</v>
      </c>
      <c r="K3529" s="2" t="inlineStr">
        <is>
          <t>marker_969_377729.png</t>
        </is>
      </c>
      <c r="L3529" s="11">
        <f>HYPERLINK("3\1\" &amp; K3529, "Ver Imagen")</f>
        <v/>
      </c>
      <c r="M3529" t="inlineStr">
        <is>
          <t>Moda</t>
        </is>
      </c>
    </row>
    <row r="3530">
      <c r="A3530" t="n">
        <v>3529</v>
      </c>
      <c r="B3530" t="inlineStr">
        <is>
          <t>A-497__341</t>
        </is>
      </c>
      <c r="C3530" s="1" t="n">
        <v>37.2421538006</v>
      </c>
      <c r="D3530" s="1" t="n">
        <v>-7.01840476156</v>
      </c>
      <c r="E3530" s="3" t="n">
        <v>4</v>
      </c>
      <c r="F3530" s="2" t="n">
        <v>3</v>
      </c>
      <c r="G3530" s="4" t="n">
        <v>3</v>
      </c>
      <c r="H3530" s="13" t="n"/>
      <c r="I3530" s="15" t="n"/>
      <c r="J3530" s="19" t="n">
        <v>3</v>
      </c>
      <c r="K3530" s="2" t="inlineStr">
        <is>
          <t>marker_518_377759.png</t>
        </is>
      </c>
      <c r="L3530" s="11">
        <f>HYPERLINK("3\1\" &amp; K3530, "Ver Imagen")</f>
        <v/>
      </c>
      <c r="M3530" t="inlineStr">
        <is>
          <t>Moda</t>
        </is>
      </c>
    </row>
    <row r="3531">
      <c r="A3531" t="n">
        <v>3530</v>
      </c>
      <c r="B3531" t="inlineStr">
        <is>
          <t>A-497__340</t>
        </is>
      </c>
      <c r="C3531" s="1" t="n">
        <v>37.2423479788</v>
      </c>
      <c r="D3531" s="1" t="n">
        <v>-7.01839697982</v>
      </c>
      <c r="E3531" s="3" t="n">
        <v>3</v>
      </c>
      <c r="F3531" s="2" t="n">
        <v>3</v>
      </c>
      <c r="G3531" s="4" t="n">
        <v>2</v>
      </c>
      <c r="H3531" s="13" t="n"/>
      <c r="I3531" s="15" t="n"/>
      <c r="J3531" s="19" t="n">
        <v>3</v>
      </c>
      <c r="K3531" s="2" t="inlineStr">
        <is>
          <t>marker_527_377772.png</t>
        </is>
      </c>
      <c r="L3531" s="11">
        <f>HYPERLINK("3\1\" &amp; K3531, "Ver Imagen")</f>
        <v/>
      </c>
      <c r="M3531" t="inlineStr">
        <is>
          <t>Moda</t>
        </is>
      </c>
    </row>
    <row r="3532">
      <c r="A3532" t="n">
        <v>3531</v>
      </c>
      <c r="B3532" t="inlineStr">
        <is>
          <t>A-497__339</t>
        </is>
      </c>
      <c r="C3532" s="1" t="n">
        <v>37.2425509784</v>
      </c>
      <c r="D3532" s="1" t="n">
        <v>-7.01838891157</v>
      </c>
      <c r="E3532" s="3" t="n">
        <v>3</v>
      </c>
      <c r="F3532" s="2" t="n">
        <v>3</v>
      </c>
      <c r="G3532" s="4" t="n">
        <v>4</v>
      </c>
      <c r="H3532" s="13" t="n"/>
      <c r="I3532" s="15" t="n"/>
      <c r="J3532" s="19" t="n">
        <v>3</v>
      </c>
      <c r="K3532" s="2" t="inlineStr">
        <is>
          <t>marker_949_377780.png</t>
        </is>
      </c>
      <c r="L3532" s="11">
        <f>HYPERLINK("3\1\" &amp; K3532, "Ver Imagen")</f>
        <v/>
      </c>
      <c r="M3532" t="inlineStr">
        <is>
          <t>Moda</t>
        </is>
      </c>
    </row>
    <row r="3533">
      <c r="A3533" t="n">
        <v>3532</v>
      </c>
      <c r="B3533" t="inlineStr">
        <is>
          <t>A-497__333</t>
        </is>
      </c>
      <c r="C3533" s="1" t="n">
        <v>37.2437762778</v>
      </c>
      <c r="D3533" s="1" t="n">
        <v>-7.01833798305</v>
      </c>
      <c r="E3533" s="3" t="n">
        <v>3</v>
      </c>
      <c r="F3533" s="2" t="n">
        <v>3</v>
      </c>
      <c r="G3533" s="4" t="n">
        <v>4</v>
      </c>
      <c r="H3533" s="13" t="n"/>
      <c r="I3533" s="15" t="n"/>
      <c r="J3533" s="19" t="n">
        <v>3</v>
      </c>
      <c r="K3533" s="2" t="inlineStr">
        <is>
          <t>marker_978_377843.png</t>
        </is>
      </c>
      <c r="L3533" s="11">
        <f>HYPERLINK("3\1\" &amp; K3533, "Ver Imagen")</f>
        <v/>
      </c>
      <c r="M3533" t="inlineStr">
        <is>
          <t>Moda</t>
        </is>
      </c>
    </row>
    <row r="3534">
      <c r="A3534" t="n">
        <v>3533</v>
      </c>
      <c r="B3534" t="inlineStr">
        <is>
          <t>A-497__332</t>
        </is>
      </c>
      <c r="C3534" s="1" t="n">
        <v>37.2439521647</v>
      </c>
      <c r="D3534" s="1" t="n">
        <v>-7.01833270172</v>
      </c>
      <c r="E3534" s="3" t="n">
        <v>3</v>
      </c>
      <c r="F3534" s="2" t="n">
        <v>3</v>
      </c>
      <c r="G3534" s="4" t="n">
        <v>4</v>
      </c>
      <c r="H3534" s="13" t="n"/>
      <c r="I3534" s="15" t="n"/>
      <c r="J3534" s="19" t="n">
        <v>3</v>
      </c>
      <c r="K3534" s="2" t="inlineStr">
        <is>
          <t>marker_833_377853.png</t>
        </is>
      </c>
      <c r="L3534" s="11">
        <f>HYPERLINK("3\1\" &amp; K3534, "Ver Imagen")</f>
        <v/>
      </c>
      <c r="M3534" t="inlineStr">
        <is>
          <t>Moda</t>
        </is>
      </c>
    </row>
    <row r="3535">
      <c r="A3535" t="n">
        <v>3534</v>
      </c>
      <c r="B3535" t="inlineStr">
        <is>
          <t>A-497__330</t>
        </is>
      </c>
      <c r="C3535" s="1" t="n">
        <v>37.2444029443</v>
      </c>
      <c r="D3535" s="1" t="n">
        <v>-7.01832065398</v>
      </c>
      <c r="E3535" s="3" t="n">
        <v>4</v>
      </c>
      <c r="F3535" s="2" t="n">
        <v>3</v>
      </c>
      <c r="G3535" s="4" t="n">
        <v>3</v>
      </c>
      <c r="H3535" s="13" t="n"/>
      <c r="I3535" s="15" t="n"/>
      <c r="J3535" s="19" t="n">
        <v>3</v>
      </c>
      <c r="K3535" s="2" t="inlineStr">
        <is>
          <t>marker_973_377871.png</t>
        </is>
      </c>
      <c r="L3535" s="11">
        <f>HYPERLINK("3\1\" &amp; K3535, "Ver Imagen")</f>
        <v/>
      </c>
      <c r="M3535" t="inlineStr">
        <is>
          <t>Moda</t>
        </is>
      </c>
    </row>
    <row r="3536">
      <c r="A3536" t="n">
        <v>3535</v>
      </c>
      <c r="B3536" t="inlineStr">
        <is>
          <t>A-497__327</t>
        </is>
      </c>
      <c r="C3536" s="1" t="n">
        <v>37.2449805113</v>
      </c>
      <c r="D3536" s="1" t="n">
        <v>-7.0182996025</v>
      </c>
      <c r="E3536" s="3" t="n">
        <v>3</v>
      </c>
      <c r="F3536" s="2" t="n">
        <v>3</v>
      </c>
      <c r="G3536" s="4" t="n">
        <v>4</v>
      </c>
      <c r="H3536" s="13" t="n"/>
      <c r="I3536" s="15" t="n"/>
      <c r="J3536" s="19" t="n">
        <v>3</v>
      </c>
      <c r="K3536" s="2" t="inlineStr">
        <is>
          <t>marker_783_377899.png</t>
        </is>
      </c>
      <c r="L3536" s="11">
        <f>HYPERLINK("3\1\" &amp; K3536, "Ver Imagen")</f>
        <v/>
      </c>
      <c r="M3536" t="inlineStr">
        <is>
          <t>Moda</t>
        </is>
      </c>
    </row>
    <row r="3537">
      <c r="A3537" t="n">
        <v>3536</v>
      </c>
      <c r="B3537" t="inlineStr">
        <is>
          <t>A-497__324</t>
        </is>
      </c>
      <c r="C3537" s="1" t="n">
        <v>37.2456088832</v>
      </c>
      <c r="D3537" s="1" t="n">
        <v>-7.01827357564</v>
      </c>
      <c r="E3537" s="3" t="n">
        <v>4</v>
      </c>
      <c r="F3537" s="2" t="n">
        <v>3</v>
      </c>
      <c r="G3537" s="4" t="n">
        <v>3</v>
      </c>
      <c r="H3537" s="13" t="n"/>
      <c r="I3537" s="15" t="n"/>
      <c r="J3537" s="19" t="n">
        <v>3</v>
      </c>
      <c r="K3537" s="2" t="inlineStr">
        <is>
          <t>marker_651_377924.png</t>
        </is>
      </c>
      <c r="L3537" s="11">
        <f>HYPERLINK("3\1\" &amp; K3537, "Ver Imagen")</f>
        <v/>
      </c>
      <c r="M3537" t="inlineStr">
        <is>
          <t>Moda</t>
        </is>
      </c>
    </row>
    <row r="3538">
      <c r="A3538" t="n">
        <v>3537</v>
      </c>
      <c r="B3538" t="inlineStr">
        <is>
          <t>A-497__319</t>
        </is>
      </c>
      <c r="C3538" s="1" t="n">
        <v>37.2466347366</v>
      </c>
      <c r="D3538" s="1" t="n">
        <v>-7.01823977314</v>
      </c>
      <c r="E3538" s="3" t="n">
        <v>3</v>
      </c>
      <c r="F3538" s="2" t="n">
        <v>3</v>
      </c>
      <c r="G3538" s="4" t="n">
        <v>4</v>
      </c>
      <c r="H3538" s="13" t="n"/>
      <c r="I3538" s="15" t="n"/>
      <c r="J3538" s="19" t="n">
        <v>3</v>
      </c>
      <c r="K3538" s="2" t="inlineStr">
        <is>
          <t>marker_434_377976.png</t>
        </is>
      </c>
      <c r="L3538" s="11">
        <f>HYPERLINK("3\1\" &amp; K3538, "Ver Imagen")</f>
        <v/>
      </c>
      <c r="M3538" t="inlineStr">
        <is>
          <t>Moda</t>
        </is>
      </c>
    </row>
    <row r="3539">
      <c r="A3539" t="n">
        <v>3538</v>
      </c>
      <c r="B3539" t="inlineStr">
        <is>
          <t>A-497__272</t>
        </is>
      </c>
      <c r="C3539" s="1" t="n">
        <v>37.2554320506</v>
      </c>
      <c r="D3539" s="1" t="n">
        <v>-7.01441960516</v>
      </c>
      <c r="E3539" s="3" t="n">
        <v>4</v>
      </c>
      <c r="F3539" s="2" t="n">
        <v>3</v>
      </c>
      <c r="G3539" s="4" t="n">
        <v>3</v>
      </c>
      <c r="H3539" s="13" t="n"/>
      <c r="I3539" s="15" t="n"/>
      <c r="J3539" s="19" t="n">
        <v>3</v>
      </c>
      <c r="K3539" s="2" t="inlineStr">
        <is>
          <t>marker_820_378558.png</t>
        </is>
      </c>
      <c r="L3539" s="11">
        <f>HYPERLINK("3\1\" &amp; K3539, "Ver Imagen")</f>
        <v/>
      </c>
      <c r="M3539" t="inlineStr">
        <is>
          <t>Moda</t>
        </is>
      </c>
    </row>
    <row r="3540">
      <c r="A3540" t="n">
        <v>3539</v>
      </c>
      <c r="B3540" t="inlineStr">
        <is>
          <t>A-497__271</t>
        </is>
      </c>
      <c r="C3540" s="1" t="n">
        <v>37.2556501878</v>
      </c>
      <c r="D3540" s="1" t="n">
        <v>-7.01428294916</v>
      </c>
      <c r="E3540" s="3" t="n">
        <v>3</v>
      </c>
      <c r="F3540" s="2" t="n">
        <v>3</v>
      </c>
      <c r="G3540" s="4" t="n">
        <v>4</v>
      </c>
      <c r="H3540" s="13" t="n"/>
      <c r="I3540" s="15" t="n"/>
      <c r="J3540" s="19" t="n">
        <v>3</v>
      </c>
      <c r="K3540" s="2" t="inlineStr">
        <is>
          <t>marker_389_378572.png</t>
        </is>
      </c>
      <c r="L3540" s="11">
        <f>HYPERLINK("3\1\" &amp; K3540, "Ver Imagen")</f>
        <v/>
      </c>
      <c r="M3540" t="inlineStr">
        <is>
          <t>Moda</t>
        </is>
      </c>
    </row>
    <row r="3541">
      <c r="A3541" t="n">
        <v>3540</v>
      </c>
      <c r="B3541" t="inlineStr">
        <is>
          <t>A-497__266</t>
        </is>
      </c>
      <c r="C3541" s="1" t="n">
        <v>37.2565079664</v>
      </c>
      <c r="D3541" s="1" t="n">
        <v>-7.01373410536</v>
      </c>
      <c r="E3541" s="3" t="n">
        <v>2</v>
      </c>
      <c r="F3541" s="2" t="n">
        <v>3</v>
      </c>
      <c r="G3541" s="4" t="n">
        <v>3</v>
      </c>
      <c r="H3541" s="13" t="n"/>
      <c r="I3541" s="15" t="n"/>
      <c r="J3541" s="19" t="n">
        <v>3</v>
      </c>
      <c r="K3541" s="2" t="inlineStr">
        <is>
          <t>marker_923_378621.png</t>
        </is>
      </c>
      <c r="L3541" s="11">
        <f>HYPERLINK("3\1\" &amp; K3541, "Ver Imagen")</f>
        <v/>
      </c>
      <c r="M3541" t="inlineStr">
        <is>
          <t>Moda</t>
        </is>
      </c>
    </row>
    <row r="3542">
      <c r="A3542" t="n">
        <v>3541</v>
      </c>
      <c r="B3542" t="inlineStr">
        <is>
          <t>A-497__265</t>
        </is>
      </c>
      <c r="C3542" s="1" t="n">
        <v>37.2566965295</v>
      </c>
      <c r="D3542" s="1" t="n">
        <v>-7.01361340926</v>
      </c>
      <c r="E3542" s="3" t="n">
        <v>2</v>
      </c>
      <c r="F3542" s="2" t="n">
        <v>3</v>
      </c>
      <c r="G3542" s="4" t="n">
        <v>3</v>
      </c>
      <c r="H3542" s="13" t="n"/>
      <c r="I3542" s="15" t="n"/>
      <c r="J3542" s="19" t="n">
        <v>3</v>
      </c>
      <c r="K3542" s="2" t="inlineStr">
        <is>
          <t>marker_212_378631.png</t>
        </is>
      </c>
      <c r="L3542" s="11">
        <f>HYPERLINK("3\1\" &amp; K3542, "Ver Imagen")</f>
        <v/>
      </c>
      <c r="M3542" t="inlineStr">
        <is>
          <t>Moda</t>
        </is>
      </c>
    </row>
    <row r="3543">
      <c r="A3543" t="n">
        <v>3542</v>
      </c>
      <c r="B3543" t="inlineStr">
        <is>
          <t>A-497__264</t>
        </is>
      </c>
      <c r="C3543" s="1" t="n">
        <v>37.256876784</v>
      </c>
      <c r="D3543" s="1" t="n">
        <v>-7.01349827739</v>
      </c>
      <c r="E3543" s="3" t="n">
        <v>2</v>
      </c>
      <c r="F3543" s="2" t="n">
        <v>3</v>
      </c>
      <c r="G3543" s="4" t="n">
        <v>3</v>
      </c>
      <c r="H3543" s="13" t="n"/>
      <c r="I3543" s="15" t="n"/>
      <c r="J3543" s="19" t="n">
        <v>3</v>
      </c>
      <c r="K3543" s="2" t="inlineStr">
        <is>
          <t>marker_224_378639.png</t>
        </is>
      </c>
      <c r="L3543" s="11">
        <f>HYPERLINK("3\1\" &amp; K3543, "Ver Imagen")</f>
        <v/>
      </c>
      <c r="M3543" t="inlineStr">
        <is>
          <t>Moda</t>
        </is>
      </c>
    </row>
    <row r="3544">
      <c r="A3544" t="n">
        <v>3543</v>
      </c>
      <c r="B3544" t="inlineStr">
        <is>
          <t>A-497__258</t>
        </is>
      </c>
      <c r="C3544" s="1" t="n">
        <v>37.2579538053</v>
      </c>
      <c r="D3544" s="1" t="n">
        <v>-7.01281196054</v>
      </c>
      <c r="E3544" s="3" t="n">
        <v>2</v>
      </c>
      <c r="F3544" s="2" t="n">
        <v>3</v>
      </c>
      <c r="G3544" s="4" t="n">
        <v>3</v>
      </c>
      <c r="H3544" s="13" t="n"/>
      <c r="I3544" s="15" t="n"/>
      <c r="J3544" s="19" t="n">
        <v>3</v>
      </c>
      <c r="K3544" s="2" t="inlineStr">
        <is>
          <t>marker_802_378700.png</t>
        </is>
      </c>
      <c r="L3544" s="11">
        <f>HYPERLINK("3\1\" &amp; K3544, "Ver Imagen")</f>
        <v/>
      </c>
      <c r="M3544" t="inlineStr">
        <is>
          <t>Moda</t>
        </is>
      </c>
    </row>
    <row r="3545">
      <c r="A3545" t="n">
        <v>3544</v>
      </c>
      <c r="B3545" t="inlineStr">
        <is>
          <t>A-497__257</t>
        </is>
      </c>
      <c r="C3545" s="1" t="n">
        <v>37.2581365474</v>
      </c>
      <c r="D3545" s="1" t="n">
        <v>-7.0126954148</v>
      </c>
      <c r="E3545" s="3" t="n">
        <v>2</v>
      </c>
      <c r="F3545" s="2" t="n">
        <v>3</v>
      </c>
      <c r="G3545" s="4" t="n">
        <v>3</v>
      </c>
      <c r="H3545" s="13" t="n"/>
      <c r="I3545" s="15" t="n"/>
      <c r="J3545" s="19" t="n">
        <v>3</v>
      </c>
      <c r="K3545" s="2" t="inlineStr">
        <is>
          <t>marker_229_378710.png</t>
        </is>
      </c>
      <c r="L3545" s="11">
        <f>HYPERLINK("3\1\" &amp; K3545, "Ver Imagen")</f>
        <v/>
      </c>
      <c r="M3545" t="inlineStr">
        <is>
          <t>Moda</t>
        </is>
      </c>
    </row>
    <row r="3546">
      <c r="A3546" t="n">
        <v>3545</v>
      </c>
      <c r="B3546" t="inlineStr">
        <is>
          <t>A-497__256</t>
        </is>
      </c>
      <c r="C3546" s="1" t="n">
        <v>37.2583715356</v>
      </c>
      <c r="D3546" s="1" t="n">
        <v>-7.01254605949</v>
      </c>
      <c r="E3546" s="3" t="n">
        <v>2</v>
      </c>
      <c r="F3546" s="2" t="n">
        <v>3</v>
      </c>
      <c r="G3546" s="4" t="n">
        <v>3</v>
      </c>
      <c r="H3546" s="13" t="n"/>
      <c r="I3546" s="15" t="n"/>
      <c r="J3546" s="19" t="n">
        <v>3</v>
      </c>
      <c r="K3546" s="2" t="inlineStr">
        <is>
          <t>marker_470_378722.png</t>
        </is>
      </c>
      <c r="L3546" s="11">
        <f>HYPERLINK("3\1\" &amp; K3546, "Ver Imagen")</f>
        <v/>
      </c>
      <c r="M3546" t="inlineStr">
        <is>
          <t>Moda</t>
        </is>
      </c>
    </row>
    <row r="3547">
      <c r="A3547" t="n">
        <v>3546</v>
      </c>
      <c r="B3547" t="inlineStr">
        <is>
          <t>A-497__253</t>
        </is>
      </c>
      <c r="C3547" s="1" t="n">
        <v>37.2588638125</v>
      </c>
      <c r="D3547" s="1" t="n">
        <v>-7.01223377738</v>
      </c>
      <c r="E3547" s="3" t="n">
        <v>2</v>
      </c>
      <c r="F3547" s="2" t="n">
        <v>3</v>
      </c>
      <c r="G3547" s="4" t="n">
        <v>3</v>
      </c>
      <c r="H3547" s="13" t="n"/>
      <c r="I3547" s="15" t="n"/>
      <c r="J3547" s="19" t="n">
        <v>3</v>
      </c>
      <c r="K3547" s="2" t="inlineStr">
        <is>
          <t>marker_843_378753.png</t>
        </is>
      </c>
      <c r="L3547" s="11">
        <f>HYPERLINK("3\1\" &amp; K3547, "Ver Imagen")</f>
        <v/>
      </c>
      <c r="M3547" t="inlineStr">
        <is>
          <t>Moda</t>
        </is>
      </c>
    </row>
    <row r="3548">
      <c r="A3548" t="n">
        <v>3547</v>
      </c>
      <c r="B3548" t="inlineStr">
        <is>
          <t>A-497__248</t>
        </is>
      </c>
      <c r="C3548" s="1" t="n">
        <v>37.2598006206</v>
      </c>
      <c r="D3548" s="1" t="n">
        <v>-7.01163248151</v>
      </c>
      <c r="E3548" s="3" t="n">
        <v>4</v>
      </c>
      <c r="F3548" s="2" t="n">
        <v>3</v>
      </c>
      <c r="G3548" s="4" t="n">
        <v>3</v>
      </c>
      <c r="H3548" s="13" t="n"/>
      <c r="I3548" s="15" t="n"/>
      <c r="J3548" s="19" t="n">
        <v>3</v>
      </c>
      <c r="K3548" s="2" t="inlineStr">
        <is>
          <t>marker_434_378803.png</t>
        </is>
      </c>
      <c r="L3548" s="11">
        <f>HYPERLINK("3\1\" &amp; K3548, "Ver Imagen")</f>
        <v/>
      </c>
      <c r="M3548" t="inlineStr">
        <is>
          <t>Moda</t>
        </is>
      </c>
    </row>
    <row r="3549">
      <c r="A3549" t="n">
        <v>3548</v>
      </c>
      <c r="B3549" t="inlineStr">
        <is>
          <t>A-497__231</t>
        </is>
      </c>
      <c r="C3549" s="1" t="n">
        <v>37.2625635097</v>
      </c>
      <c r="D3549" s="1" t="n">
        <v>-7.00929482683</v>
      </c>
      <c r="E3549" s="3" t="n">
        <v>2</v>
      </c>
      <c r="F3549" s="2" t="n">
        <v>3</v>
      </c>
      <c r="G3549" s="4" t="n">
        <v>3</v>
      </c>
      <c r="H3549" s="13" t="n"/>
      <c r="I3549" s="15" t="n"/>
      <c r="J3549" s="19" t="n">
        <v>3</v>
      </c>
      <c r="K3549" s="2" t="inlineStr">
        <is>
          <t>marker_359_379028.png</t>
        </is>
      </c>
      <c r="L3549" s="11">
        <f>HYPERLINK("3\1\" &amp; K3549, "Ver Imagen")</f>
        <v/>
      </c>
      <c r="M3549" t="inlineStr">
        <is>
          <t>Moda</t>
        </is>
      </c>
    </row>
    <row r="3550">
      <c r="A3550" t="n">
        <v>3549</v>
      </c>
      <c r="B3550" t="inlineStr">
        <is>
          <t>A-497__228</t>
        </is>
      </c>
      <c r="C3550" s="1" t="n">
        <v>37.2629101694</v>
      </c>
      <c r="D3550" s="1" t="n">
        <v>-7.00866669747</v>
      </c>
      <c r="E3550" s="3" t="n">
        <v>2</v>
      </c>
      <c r="F3550" s="2" t="n">
        <v>3</v>
      </c>
      <c r="G3550" s="4" t="n">
        <v>3</v>
      </c>
      <c r="H3550" s="13" t="n"/>
      <c r="I3550" s="15" t="n"/>
      <c r="J3550" s="19" t="n">
        <v>3</v>
      </c>
      <c r="K3550" s="2" t="inlineStr">
        <is>
          <t>marker_339_379061.png</t>
        </is>
      </c>
      <c r="L3550" s="11">
        <f>HYPERLINK("3\1\" &amp; K3550, "Ver Imagen")</f>
        <v/>
      </c>
      <c r="M3550" t="inlineStr">
        <is>
          <t>Moda</t>
        </is>
      </c>
    </row>
    <row r="3551">
      <c r="A3551" t="n">
        <v>3550</v>
      </c>
      <c r="B3551" t="inlineStr">
        <is>
          <t>A-497__222</t>
        </is>
      </c>
      <c r="C3551" s="1" t="n">
        <v>37.2633951571</v>
      </c>
      <c r="D3551" s="1" t="n">
        <v>-7.00720957755</v>
      </c>
      <c r="E3551" s="3" t="n">
        <v>3</v>
      </c>
      <c r="F3551" s="2" t="n">
        <v>3</v>
      </c>
      <c r="G3551" s="4" t="n">
        <v>4</v>
      </c>
      <c r="H3551" s="13" t="n"/>
      <c r="I3551" s="15" t="n"/>
      <c r="J3551" s="19" t="n">
        <v>3</v>
      </c>
      <c r="K3551" s="2" t="inlineStr">
        <is>
          <t>marker_163_379123.png</t>
        </is>
      </c>
      <c r="L3551" s="11">
        <f>HYPERLINK("3\1\" &amp; K3551, "Ver Imagen")</f>
        <v/>
      </c>
      <c r="M3551" t="inlineStr">
        <is>
          <t>Moda</t>
        </is>
      </c>
    </row>
    <row r="3552">
      <c r="A3552" t="n">
        <v>3551</v>
      </c>
      <c r="B3552" t="inlineStr">
        <is>
          <t>A-497__219</t>
        </is>
      </c>
      <c r="C3552" s="1" t="n">
        <v>37.2635282623</v>
      </c>
      <c r="D3552" s="1" t="n">
        <v>-7.00651933812</v>
      </c>
      <c r="E3552" s="3" t="n">
        <v>4</v>
      </c>
      <c r="F3552" s="2" t="n">
        <v>3</v>
      </c>
      <c r="G3552" s="4" t="n">
        <v>3</v>
      </c>
      <c r="H3552" s="13" t="n"/>
      <c r="I3552" s="15" t="n"/>
      <c r="J3552" s="19" t="n">
        <v>3</v>
      </c>
      <c r="K3552" s="2" t="inlineStr">
        <is>
          <t>marker_843_379155.png</t>
        </is>
      </c>
      <c r="L3552" s="11">
        <f>HYPERLINK("3\1\" &amp; K3552, "Ver Imagen")</f>
        <v/>
      </c>
      <c r="M3552" t="inlineStr">
        <is>
          <t>Moda</t>
        </is>
      </c>
    </row>
    <row r="3553">
      <c r="A3553" t="n">
        <v>3552</v>
      </c>
      <c r="B3553" t="inlineStr">
        <is>
          <t>A-497__140</t>
        </is>
      </c>
      <c r="C3553" s="1" t="n">
        <v>37.2700204404</v>
      </c>
      <c r="D3553" s="1" t="n">
        <v>-6.98945763916</v>
      </c>
      <c r="E3553" s="3" t="n">
        <v>4</v>
      </c>
      <c r="F3553" s="2" t="n">
        <v>3</v>
      </c>
      <c r="G3553" s="4" t="n">
        <v>3</v>
      </c>
      <c r="H3553" s="13" t="n"/>
      <c r="I3553" s="15" t="n"/>
      <c r="J3553" s="19" t="n">
        <v>3</v>
      </c>
      <c r="K3553" s="2" t="inlineStr">
        <is>
          <t>marker_542_380441.png</t>
        </is>
      </c>
      <c r="L3553" s="11">
        <f>HYPERLINK("3\1\" &amp; K3553, "Ver Imagen")</f>
        <v/>
      </c>
      <c r="M3553" t="inlineStr">
        <is>
          <t>Moda</t>
        </is>
      </c>
    </row>
    <row r="3554">
      <c r="A3554" t="n">
        <v>3553</v>
      </c>
      <c r="B3554" t="inlineStr">
        <is>
          <t>A-497__132</t>
        </is>
      </c>
      <c r="C3554" s="1" t="n">
        <v>37.2712789194</v>
      </c>
      <c r="D3554" s="1" t="n">
        <v>-6.98826148916</v>
      </c>
      <c r="E3554" s="3" t="n">
        <v>2</v>
      </c>
      <c r="F3554" s="2" t="n">
        <v>3</v>
      </c>
      <c r="G3554" s="4" t="n">
        <v>3</v>
      </c>
      <c r="H3554" s="13" t="n"/>
      <c r="I3554" s="15" t="n"/>
      <c r="J3554" s="19" t="n">
        <v>3</v>
      </c>
      <c r="K3554" s="2" t="inlineStr">
        <is>
          <t>marker_745_380513.png</t>
        </is>
      </c>
      <c r="L3554" s="11">
        <f>HYPERLINK("3\1\" &amp; K3554, "Ver Imagen")</f>
        <v/>
      </c>
      <c r="M3554" t="inlineStr">
        <is>
          <t>Moda</t>
        </is>
      </c>
    </row>
    <row r="3555">
      <c r="A3555" t="n">
        <v>3554</v>
      </c>
      <c r="B3555" t="inlineStr">
        <is>
          <t>A-497__131</t>
        </is>
      </c>
      <c r="C3555" s="1" t="n">
        <v>37.2713860742</v>
      </c>
      <c r="D3555" s="1" t="n">
        <v>-6.98805892199</v>
      </c>
      <c r="E3555" s="3" t="n">
        <v>2</v>
      </c>
      <c r="F3555" s="2" t="n">
        <v>3</v>
      </c>
      <c r="G3555" s="4" t="n">
        <v>3</v>
      </c>
      <c r="H3555" s="13" t="n"/>
      <c r="I3555" s="15" t="n"/>
      <c r="J3555" s="19" t="n">
        <v>3</v>
      </c>
      <c r="K3555" s="2" t="inlineStr">
        <is>
          <t>marker_318_380523.png</t>
        </is>
      </c>
      <c r="L3555" s="11">
        <f>HYPERLINK("3\1\" &amp; K3555, "Ver Imagen")</f>
        <v/>
      </c>
      <c r="M3555" t="inlineStr">
        <is>
          <t>Moda</t>
        </is>
      </c>
    </row>
    <row r="3556">
      <c r="A3556" t="n">
        <v>3555</v>
      </c>
      <c r="B3556" t="inlineStr">
        <is>
          <t>A-497__130</t>
        </is>
      </c>
      <c r="C3556" s="1" t="n">
        <v>37.2714837956</v>
      </c>
      <c r="D3556" s="1" t="n">
        <v>-6.98783734685</v>
      </c>
      <c r="E3556" s="3" t="n">
        <v>2</v>
      </c>
      <c r="F3556" s="2" t="n">
        <v>3</v>
      </c>
      <c r="G3556" s="4" t="n">
        <v>3</v>
      </c>
      <c r="H3556" s="13" t="n"/>
      <c r="I3556" s="15" t="n"/>
      <c r="J3556" s="19" t="n">
        <v>3</v>
      </c>
      <c r="K3556" s="2" t="inlineStr">
        <is>
          <t>marker_687_380532.png</t>
        </is>
      </c>
      <c r="L3556" s="11">
        <f>HYPERLINK("3\1\" &amp; K3556, "Ver Imagen")</f>
        <v/>
      </c>
      <c r="M3556" t="inlineStr">
        <is>
          <t>Moda</t>
        </is>
      </c>
    </row>
    <row r="3557">
      <c r="A3557" t="n">
        <v>3556</v>
      </c>
      <c r="B3557" t="inlineStr">
        <is>
          <t>A-497__129</t>
        </is>
      </c>
      <c r="C3557" s="1" t="n">
        <v>37.271571352</v>
      </c>
      <c r="D3557" s="1" t="n">
        <v>-6.98758829814</v>
      </c>
      <c r="E3557" s="3" t="n">
        <v>2</v>
      </c>
      <c r="F3557" s="2" t="n">
        <v>3</v>
      </c>
      <c r="G3557" s="4" t="n">
        <v>3</v>
      </c>
      <c r="H3557" s="13" t="n"/>
      <c r="I3557" s="15" t="n"/>
      <c r="J3557" s="19" t="n">
        <v>3</v>
      </c>
      <c r="K3557" s="2" t="inlineStr">
        <is>
          <t>marker_902_380540.png</t>
        </is>
      </c>
      <c r="L3557" s="11">
        <f>HYPERLINK("3\1\" &amp; K3557, "Ver Imagen")</f>
        <v/>
      </c>
      <c r="M3557" t="inlineStr">
        <is>
          <t>Moda</t>
        </is>
      </c>
    </row>
    <row r="3558">
      <c r="A3558" t="n">
        <v>3557</v>
      </c>
      <c r="B3558" t="inlineStr">
        <is>
          <t>A-497__128</t>
        </is>
      </c>
      <c r="C3558" s="1" t="n">
        <v>37.2716364748</v>
      </c>
      <c r="D3558" s="1" t="n">
        <v>-6.98734644449</v>
      </c>
      <c r="E3558" s="3" t="n">
        <v>2</v>
      </c>
      <c r="F3558" s="2" t="n">
        <v>3</v>
      </c>
      <c r="G3558" s="4" t="n">
        <v>3</v>
      </c>
      <c r="H3558" s="13" t="n"/>
      <c r="I3558" s="15" t="n"/>
      <c r="J3558" s="19" t="n">
        <v>3</v>
      </c>
      <c r="K3558" s="2" t="inlineStr">
        <is>
          <t>marker_985_380550.png</t>
        </is>
      </c>
      <c r="L3558" s="11">
        <f>HYPERLINK("3\1\" &amp; K3558, "Ver Imagen")</f>
        <v/>
      </c>
      <c r="M3558" t="inlineStr">
        <is>
          <t>Moda</t>
        </is>
      </c>
    </row>
    <row r="3559">
      <c r="A3559" t="n">
        <v>3558</v>
      </c>
      <c r="B3559" t="inlineStr">
        <is>
          <t>A-497__125</t>
        </is>
      </c>
      <c r="C3559" s="1" t="n">
        <v>37.2717339255</v>
      </c>
      <c r="D3559" s="1" t="n">
        <v>-6.98657461497</v>
      </c>
      <c r="E3559" s="3" t="n">
        <v>2</v>
      </c>
      <c r="F3559" s="2" t="n">
        <v>3</v>
      </c>
      <c r="G3559" s="4" t="n">
        <v>3</v>
      </c>
      <c r="H3559" s="13" t="n"/>
      <c r="I3559" s="15" t="n"/>
      <c r="J3559" s="19" t="n">
        <v>3</v>
      </c>
      <c r="K3559" s="2" t="inlineStr">
        <is>
          <t>marker_896_380580.png</t>
        </is>
      </c>
      <c r="L3559" s="11">
        <f>HYPERLINK("3\1\" &amp; K3559, "Ver Imagen")</f>
        <v/>
      </c>
      <c r="M3559" t="inlineStr">
        <is>
          <t>Moda</t>
        </is>
      </c>
    </row>
    <row r="3560">
      <c r="A3560" t="n">
        <v>3559</v>
      </c>
      <c r="B3560" t="inlineStr">
        <is>
          <t>A-497__124</t>
        </is>
      </c>
      <c r="C3560" s="1" t="n">
        <v>37.2717361411</v>
      </c>
      <c r="D3560" s="1" t="n">
        <v>-6.9863682066</v>
      </c>
      <c r="E3560" s="3" t="n">
        <v>2</v>
      </c>
      <c r="F3560" s="2" t="n">
        <v>3</v>
      </c>
      <c r="G3560" s="4" t="n">
        <v>3</v>
      </c>
      <c r="H3560" s="13" t="n"/>
      <c r="I3560" s="15" t="n"/>
      <c r="J3560" s="19" t="n">
        <v>3</v>
      </c>
      <c r="K3560" s="2" t="inlineStr">
        <is>
          <t>marker_798_380589.png</t>
        </is>
      </c>
      <c r="L3560" s="11">
        <f>HYPERLINK("3\1\" &amp; K3560, "Ver Imagen")</f>
        <v/>
      </c>
      <c r="M3560" t="inlineStr">
        <is>
          <t>Moda</t>
        </is>
      </c>
    </row>
    <row r="3561">
      <c r="A3561" t="n">
        <v>3560</v>
      </c>
      <c r="B3561" t="inlineStr">
        <is>
          <t>A-497__123</t>
        </is>
      </c>
      <c r="C3561" s="1" t="n">
        <v>37.27172528</v>
      </c>
      <c r="D3561" s="1" t="n">
        <v>-6.98608784304</v>
      </c>
      <c r="E3561" s="3" t="n">
        <v>2</v>
      </c>
      <c r="F3561" s="2" t="n">
        <v>3</v>
      </c>
      <c r="G3561" s="4" t="n">
        <v>3</v>
      </c>
      <c r="H3561" s="13" t="n"/>
      <c r="I3561" s="15" t="n"/>
      <c r="J3561" s="19" t="n">
        <v>3</v>
      </c>
      <c r="K3561" s="2" t="inlineStr">
        <is>
          <t>marker_744_380599.png</t>
        </is>
      </c>
      <c r="L3561" s="11">
        <f>HYPERLINK("3\1\" &amp; K3561, "Ver Imagen")</f>
        <v/>
      </c>
      <c r="M3561" t="inlineStr">
        <is>
          <t>Moda</t>
        </is>
      </c>
    </row>
    <row r="3562">
      <c r="A3562" t="n">
        <v>3561</v>
      </c>
      <c r="B3562" t="inlineStr">
        <is>
          <t>A-497__122</t>
        </is>
      </c>
      <c r="C3562" s="1" t="n">
        <v>37.271706189</v>
      </c>
      <c r="D3562" s="1" t="n">
        <v>-6.98586603763</v>
      </c>
      <c r="E3562" s="3" t="n">
        <v>2</v>
      </c>
      <c r="F3562" s="2" t="n">
        <v>3</v>
      </c>
      <c r="G3562" s="4" t="n">
        <v>3</v>
      </c>
      <c r="H3562" s="13" t="n"/>
      <c r="I3562" s="15" t="n"/>
      <c r="J3562" s="19" t="n">
        <v>3</v>
      </c>
      <c r="K3562" s="2" t="inlineStr">
        <is>
          <t>marker_768_380607.png</t>
        </is>
      </c>
      <c r="L3562" s="11">
        <f>HYPERLINK("3\1\" &amp; K3562, "Ver Imagen")</f>
        <v/>
      </c>
      <c r="M3562" t="inlineStr">
        <is>
          <t>Moda</t>
        </is>
      </c>
    </row>
    <row r="3563">
      <c r="A3563" t="n">
        <v>3562</v>
      </c>
      <c r="B3563" t="inlineStr">
        <is>
          <t>A-497__119</t>
        </is>
      </c>
      <c r="C3563" s="1" t="n">
        <v>37.2715914629</v>
      </c>
      <c r="D3563" s="1" t="n">
        <v>-6.98514600846</v>
      </c>
      <c r="E3563" s="3" t="n">
        <v>2</v>
      </c>
      <c r="F3563" s="2" t="n">
        <v>3</v>
      </c>
      <c r="G3563" s="4" t="n">
        <v>3</v>
      </c>
      <c r="H3563" s="13" t="n"/>
      <c r="I3563" s="15" t="n"/>
      <c r="J3563" s="19" t="n">
        <v>3</v>
      </c>
      <c r="K3563" s="2" t="inlineStr">
        <is>
          <t>marker_173_380634.png</t>
        </is>
      </c>
      <c r="L3563" s="11">
        <f>HYPERLINK("3\1\" &amp; K3563, "Ver Imagen")</f>
        <v/>
      </c>
      <c r="M3563" t="inlineStr">
        <is>
          <t>Moda</t>
        </is>
      </c>
    </row>
    <row r="3564">
      <c r="A3564" t="n">
        <v>3563</v>
      </c>
      <c r="B3564" t="inlineStr">
        <is>
          <t>A-497__118</t>
        </is>
      </c>
      <c r="C3564" s="1" t="n">
        <v>37.2715356004</v>
      </c>
      <c r="D3564" s="1" t="n">
        <v>-6.98489448133</v>
      </c>
      <c r="E3564" s="3" t="n">
        <v>2</v>
      </c>
      <c r="F3564" s="2" t="n">
        <v>3</v>
      </c>
      <c r="G3564" s="4" t="n">
        <v>3</v>
      </c>
      <c r="H3564" s="13" t="n"/>
      <c r="I3564" s="15" t="n"/>
      <c r="J3564" s="19" t="n">
        <v>3</v>
      </c>
      <c r="K3564" s="2" t="inlineStr">
        <is>
          <t>marker_322_380642.png</t>
        </is>
      </c>
      <c r="L3564" s="11">
        <f>HYPERLINK("3\1\" &amp; K3564, "Ver Imagen")</f>
        <v/>
      </c>
      <c r="M3564" t="inlineStr">
        <is>
          <t>Moda</t>
        </is>
      </c>
    </row>
    <row r="3565">
      <c r="A3565" t="n">
        <v>3564</v>
      </c>
      <c r="B3565" t="inlineStr">
        <is>
          <t>A-497__116</t>
        </is>
      </c>
      <c r="C3565" s="1" t="n">
        <v>37.2714101572</v>
      </c>
      <c r="D3565" s="1" t="n">
        <v>-6.98439656478</v>
      </c>
      <c r="E3565" s="3" t="n">
        <v>2</v>
      </c>
      <c r="F3565" s="2" t="n">
        <v>3</v>
      </c>
      <c r="G3565" s="4" t="n">
        <v>3</v>
      </c>
      <c r="H3565" s="13" t="n"/>
      <c r="I3565" s="15" t="n"/>
      <c r="J3565" s="19" t="n">
        <v>3</v>
      </c>
      <c r="K3565" s="2" t="inlineStr">
        <is>
          <t>marker_329_380659.png</t>
        </is>
      </c>
      <c r="L3565" s="11">
        <f>HYPERLINK("3\1\" &amp; K3565, "Ver Imagen")</f>
        <v/>
      </c>
      <c r="M3565" t="inlineStr">
        <is>
          <t>Moda</t>
        </is>
      </c>
    </row>
    <row r="3566">
      <c r="A3566" t="n">
        <v>3565</v>
      </c>
      <c r="B3566" t="inlineStr">
        <is>
          <t>A-490__2</t>
        </is>
      </c>
      <c r="C3566" s="1" t="n">
        <v>37.447329644</v>
      </c>
      <c r="D3566" s="1" t="n">
        <v>-7.12684714525</v>
      </c>
      <c r="E3566" s="3" t="n">
        <v>4</v>
      </c>
      <c r="F3566" s="2" t="n">
        <v>4</v>
      </c>
      <c r="G3566" s="4" t="n">
        <v>4</v>
      </c>
      <c r="H3566" s="13" t="n"/>
      <c r="I3566" s="15" t="n"/>
      <c r="J3566" s="19" t="n">
        <v>4</v>
      </c>
      <c r="K3566" s="2" t="inlineStr">
        <is>
          <t>marker_920_817123.png</t>
        </is>
      </c>
      <c r="L3566" s="11">
        <f>HYPERLINK("4\0\" &amp; K3566, "Ver Imagen")</f>
        <v/>
      </c>
      <c r="M3566" t="inlineStr">
        <is>
          <t>Moda</t>
        </is>
      </c>
    </row>
    <row r="3567">
      <c r="A3567" t="n">
        <v>3566</v>
      </c>
      <c r="B3567" t="inlineStr">
        <is>
          <t>A-490__4</t>
        </is>
      </c>
      <c r="C3567" s="1" t="n">
        <v>37.447221136</v>
      </c>
      <c r="D3567" s="1" t="n">
        <v>-7.12720990345</v>
      </c>
      <c r="E3567" s="3" t="n">
        <v>4</v>
      </c>
      <c r="F3567" s="2" t="n">
        <v>4</v>
      </c>
      <c r="G3567" s="4" t="n">
        <v>4</v>
      </c>
      <c r="H3567" s="13" t="n"/>
      <c r="I3567" s="15" t="n"/>
      <c r="J3567" s="19" t="n">
        <v>4</v>
      </c>
      <c r="K3567" s="2" t="inlineStr">
        <is>
          <t>marker_658_724702.png</t>
        </is>
      </c>
      <c r="L3567" s="11">
        <f>HYPERLINK("4\0\" &amp; K3567, "Ver Imagen")</f>
        <v/>
      </c>
      <c r="M3567" t="inlineStr">
        <is>
          <t>Moda</t>
        </is>
      </c>
    </row>
    <row r="3568">
      <c r="A3568" t="n">
        <v>3567</v>
      </c>
      <c r="B3568" t="inlineStr">
        <is>
          <t>A-490__252</t>
        </is>
      </c>
      <c r="C3568" s="1" t="n">
        <v>37.4660566109</v>
      </c>
      <c r="D3568" s="1" t="n">
        <v>-7.18227954579</v>
      </c>
      <c r="E3568" s="3" t="n">
        <v>4</v>
      </c>
      <c r="F3568" s="2" t="n">
        <v>4</v>
      </c>
      <c r="G3568" s="4" t="n">
        <v>4</v>
      </c>
      <c r="H3568" s="13" t="n"/>
      <c r="I3568" s="15" t="n"/>
      <c r="J3568" s="19" t="n">
        <v>4</v>
      </c>
      <c r="K3568" s="2" t="inlineStr">
        <is>
          <t>marker_384_749543.png</t>
        </is>
      </c>
      <c r="L3568" s="11">
        <f>HYPERLINK("4\0\" &amp; K3568, "Ver Imagen")</f>
        <v/>
      </c>
      <c r="M3568" t="inlineStr">
        <is>
          <t>Moda</t>
        </is>
      </c>
    </row>
    <row r="3569">
      <c r="A3569" t="n">
        <v>3568</v>
      </c>
      <c r="B3569" t="inlineStr">
        <is>
          <t>A-490__225</t>
        </is>
      </c>
      <c r="C3569" s="1" t="n">
        <v>37.4629217014</v>
      </c>
      <c r="D3569" s="1" t="n">
        <v>-7.17663635809</v>
      </c>
      <c r="E3569" s="3" t="n">
        <v>4</v>
      </c>
      <c r="F3569" s="2" t="n">
        <v>4</v>
      </c>
      <c r="G3569" s="4" t="n">
        <v>4</v>
      </c>
      <c r="H3569" s="13" t="n"/>
      <c r="I3569" s="15" t="n"/>
      <c r="J3569" s="19" t="n">
        <v>4</v>
      </c>
      <c r="K3569" s="2" t="inlineStr">
        <is>
          <t>marker_507_743712.png</t>
        </is>
      </c>
      <c r="L3569" s="11">
        <f>HYPERLINK("4\0\" &amp; K3569, "Ver Imagen")</f>
        <v/>
      </c>
      <c r="M3569" t="inlineStr">
        <is>
          <t>Moda</t>
        </is>
      </c>
    </row>
    <row r="3570">
      <c r="A3570" t="n">
        <v>3569</v>
      </c>
      <c r="B3570" t="inlineStr">
        <is>
          <t>A-492__13</t>
        </is>
      </c>
      <c r="C3570" s="1" t="n">
        <v>37.273962745</v>
      </c>
      <c r="D3570" s="1" t="n">
        <v>-6.99130941286</v>
      </c>
      <c r="E3570" s="3" t="n">
        <v>4</v>
      </c>
      <c r="F3570" s="2" t="n">
        <v>4</v>
      </c>
      <c r="G3570" s="4" t="n">
        <v>4</v>
      </c>
      <c r="H3570" s="13" t="n"/>
      <c r="I3570" s="15" t="n"/>
      <c r="J3570" s="19" t="n">
        <v>4</v>
      </c>
      <c r="K3570" s="2" t="inlineStr">
        <is>
          <t>marker_469_821934.png</t>
        </is>
      </c>
      <c r="L3570" s="11">
        <f>HYPERLINK("4\0\" &amp; K3570, "Ver Imagen")</f>
        <v/>
      </c>
      <c r="M3570" t="inlineStr">
        <is>
          <t>Moda</t>
        </is>
      </c>
    </row>
    <row r="3571">
      <c r="A3571" t="n">
        <v>3570</v>
      </c>
      <c r="B3571" t="inlineStr">
        <is>
          <t>A-492__23</t>
        </is>
      </c>
      <c r="C3571" s="1" t="n">
        <v>37.2758245773</v>
      </c>
      <c r="D3571" s="1" t="n">
        <v>-6.99101125825</v>
      </c>
      <c r="E3571" s="3" t="n">
        <v>4</v>
      </c>
      <c r="F3571" s="2" t="n">
        <v>4</v>
      </c>
      <c r="G3571" s="4" t="n">
        <v>4</v>
      </c>
      <c r="H3571" s="13" t="n"/>
      <c r="I3571" s="15" t="n"/>
      <c r="J3571" s="19" t="n">
        <v>4</v>
      </c>
      <c r="K3571" s="2" t="inlineStr">
        <is>
          <t>marker_251_822063.png</t>
        </is>
      </c>
      <c r="L3571" s="11">
        <f>HYPERLINK("4\0\" &amp; K3571, "Ver Imagen")</f>
        <v/>
      </c>
      <c r="M3571" t="inlineStr">
        <is>
          <t>Moda</t>
        </is>
      </c>
    </row>
    <row r="3572">
      <c r="A3572" t="n">
        <v>3571</v>
      </c>
      <c r="B3572" t="inlineStr">
        <is>
          <t>A-492__33</t>
        </is>
      </c>
      <c r="C3572" s="1" t="n">
        <v>37.2774247351</v>
      </c>
      <c r="D3572" s="1" t="n">
        <v>-6.99212913578</v>
      </c>
      <c r="E3572" s="3" t="n">
        <v>4</v>
      </c>
      <c r="F3572" s="2" t="n">
        <v>4</v>
      </c>
      <c r="G3572" s="4" t="n">
        <v>4</v>
      </c>
      <c r="H3572" s="13" t="n"/>
      <c r="I3572" s="15" t="n"/>
      <c r="J3572" s="19" t="n">
        <v>4</v>
      </c>
      <c r="K3572" s="2" t="inlineStr">
        <is>
          <t>marker_529_822628.png</t>
        </is>
      </c>
      <c r="L3572" s="11">
        <f>HYPERLINK("4\0\" &amp; K3572, "Ver Imagen")</f>
        <v/>
      </c>
      <c r="M3572" t="inlineStr">
        <is>
          <t>Moda</t>
        </is>
      </c>
    </row>
    <row r="3573">
      <c r="A3573" t="n">
        <v>3572</v>
      </c>
      <c r="B3573" t="inlineStr">
        <is>
          <t>A-492__63</t>
        </is>
      </c>
      <c r="C3573" s="1" t="n">
        <v>37.2799404802</v>
      </c>
      <c r="D3573" s="1" t="n">
        <v>-6.99878097358</v>
      </c>
      <c r="E3573" s="3" t="n">
        <v>4</v>
      </c>
      <c r="F3573" s="2" t="n">
        <v>4</v>
      </c>
      <c r="G3573" s="4" t="n">
        <v>4</v>
      </c>
      <c r="H3573" s="13" t="n"/>
      <c r="I3573" s="15" t="n"/>
      <c r="J3573" s="19" t="n">
        <v>4</v>
      </c>
      <c r="K3573" s="2" t="inlineStr">
        <is>
          <t>marker_451_823179.png</t>
        </is>
      </c>
      <c r="L3573" s="11">
        <f>HYPERLINK("4\0\" &amp; K3573, "Ver Imagen")</f>
        <v/>
      </c>
      <c r="M3573" t="inlineStr">
        <is>
          <t>Moda</t>
        </is>
      </c>
    </row>
    <row r="3574">
      <c r="A3574" t="n">
        <v>3573</v>
      </c>
      <c r="B3574" t="inlineStr">
        <is>
          <t>A-492__67</t>
        </is>
      </c>
      <c r="C3574" s="1" t="n">
        <v>37.2801466689</v>
      </c>
      <c r="D3574" s="1" t="n">
        <v>-6.99972036462</v>
      </c>
      <c r="E3574" s="3" t="n">
        <v>4</v>
      </c>
      <c r="F3574" s="2" t="n">
        <v>4</v>
      </c>
      <c r="G3574" s="4" t="n">
        <v>4</v>
      </c>
      <c r="H3574" s="13" t="n"/>
      <c r="I3574" s="15" t="n"/>
      <c r="J3574" s="19" t="n">
        <v>4</v>
      </c>
      <c r="K3574" s="2" t="inlineStr">
        <is>
          <t>marker_468_823246.png</t>
        </is>
      </c>
      <c r="L3574" s="11">
        <f>HYPERLINK("4\0\" &amp; K3574, "Ver Imagen")</f>
        <v/>
      </c>
      <c r="M3574" t="inlineStr">
        <is>
          <t>Moda</t>
        </is>
      </c>
    </row>
    <row r="3575">
      <c r="A3575" t="n">
        <v>3574</v>
      </c>
      <c r="B3575" t="inlineStr">
        <is>
          <t>A-492__71</t>
        </is>
      </c>
      <c r="C3575" s="1" t="n">
        <v>37.2805802453</v>
      </c>
      <c r="D3575" s="1" t="n">
        <v>-7.00036742402</v>
      </c>
      <c r="E3575" s="3" t="n">
        <v>4</v>
      </c>
      <c r="F3575" s="2" t="n">
        <v>4</v>
      </c>
      <c r="G3575" s="4" t="n">
        <v>4</v>
      </c>
      <c r="H3575" s="13" t="n"/>
      <c r="I3575" s="15" t="n"/>
      <c r="J3575" s="19" t="n">
        <v>4</v>
      </c>
      <c r="K3575" s="2" t="inlineStr">
        <is>
          <t>marker_213_823310.png</t>
        </is>
      </c>
      <c r="L3575" s="11">
        <f>HYPERLINK("4\0\" &amp; K3575, "Ver Imagen")</f>
        <v/>
      </c>
      <c r="M3575" t="inlineStr">
        <is>
          <t>Moda</t>
        </is>
      </c>
    </row>
    <row r="3576">
      <c r="A3576" t="n">
        <v>3575</v>
      </c>
      <c r="B3576" t="inlineStr">
        <is>
          <t>A-495R__69</t>
        </is>
      </c>
      <c r="C3576" s="1" t="n">
        <v>37.457922639</v>
      </c>
      <c r="D3576" s="1" t="n">
        <v>-7.11425485116</v>
      </c>
      <c r="E3576" s="3" t="n">
        <v>4</v>
      </c>
      <c r="F3576" s="2" t="n">
        <v>4</v>
      </c>
      <c r="G3576" s="4" t="n">
        <v>4</v>
      </c>
      <c r="H3576" s="13" t="n"/>
      <c r="I3576" s="15" t="n"/>
      <c r="J3576" s="19" t="n">
        <v>4</v>
      </c>
      <c r="K3576" s="2" t="inlineStr">
        <is>
          <t>marker_667_935244.png</t>
        </is>
      </c>
      <c r="L3576" s="11">
        <f>HYPERLINK("4\0\" &amp; K3576, "Ver Imagen")</f>
        <v/>
      </c>
      <c r="M3576" t="inlineStr">
        <is>
          <t>Moda</t>
        </is>
      </c>
    </row>
    <row r="3577">
      <c r="A3577" t="n">
        <v>3576</v>
      </c>
      <c r="B3577" t="inlineStr">
        <is>
          <t>A-495R__63</t>
        </is>
      </c>
      <c r="C3577" s="1" t="n">
        <v>37.4567477625</v>
      </c>
      <c r="D3577" s="1" t="n">
        <v>-7.11381648884</v>
      </c>
      <c r="E3577" s="3" t="n">
        <v>4</v>
      </c>
      <c r="F3577" s="2" t="n">
        <v>4</v>
      </c>
      <c r="G3577" s="4" t="n">
        <v>4</v>
      </c>
      <c r="H3577" s="13" t="n"/>
      <c r="I3577" s="15" t="n"/>
      <c r="J3577" s="19" t="n">
        <v>4</v>
      </c>
      <c r="K3577" s="2" t="inlineStr">
        <is>
          <t>marker_608_935407.png</t>
        </is>
      </c>
      <c r="L3577" s="11">
        <f>HYPERLINK("4\0\" &amp; K3577, "Ver Imagen")</f>
        <v/>
      </c>
      <c r="M3577" t="inlineStr">
        <is>
          <t>Moda</t>
        </is>
      </c>
    </row>
    <row r="3578">
      <c r="A3578" t="n">
        <v>3577</v>
      </c>
      <c r="B3578" t="inlineStr">
        <is>
          <t>A-495R__62</t>
        </is>
      </c>
      <c r="C3578" s="1" t="n">
        <v>37.4565344423</v>
      </c>
      <c r="D3578" s="1" t="n">
        <v>-7.1137378207</v>
      </c>
      <c r="E3578" s="3" t="n">
        <v>4</v>
      </c>
      <c r="F3578" s="2" t="n">
        <v>4</v>
      </c>
      <c r="G3578" s="4" t="n">
        <v>4</v>
      </c>
      <c r="H3578" s="13" t="n"/>
      <c r="I3578" s="15" t="n"/>
      <c r="J3578" s="19" t="n">
        <v>4</v>
      </c>
      <c r="K3578" s="2" t="inlineStr">
        <is>
          <t>marker_100_935419.png</t>
        </is>
      </c>
      <c r="L3578" s="11">
        <f>HYPERLINK("4\0\" &amp; K3578, "Ver Imagen")</f>
        <v/>
      </c>
      <c r="M3578" t="inlineStr">
        <is>
          <t>Moda</t>
        </is>
      </c>
    </row>
    <row r="3579">
      <c r="A3579" t="n">
        <v>3578</v>
      </c>
      <c r="B3579" t="inlineStr">
        <is>
          <t>A-495R__52</t>
        </is>
      </c>
      <c r="C3579" s="1" t="n">
        <v>37.4546318531</v>
      </c>
      <c r="D3579" s="1" t="n">
        <v>-7.11294978586</v>
      </c>
      <c r="E3579" s="3" t="n">
        <v>4</v>
      </c>
      <c r="F3579" s="2" t="n">
        <v>4</v>
      </c>
      <c r="G3579" s="4" t="n">
        <v>4</v>
      </c>
      <c r="H3579" s="13" t="n"/>
      <c r="I3579" s="15" t="n"/>
      <c r="J3579" s="19" t="n">
        <v>4</v>
      </c>
      <c r="K3579" s="2" t="inlineStr">
        <is>
          <t>marker_323_935642.png</t>
        </is>
      </c>
      <c r="L3579" s="11">
        <f>HYPERLINK("4\0\" &amp; K3579, "Ver Imagen")</f>
        <v/>
      </c>
      <c r="M3579" t="inlineStr">
        <is>
          <t>Moda</t>
        </is>
      </c>
    </row>
    <row r="3580">
      <c r="A3580" t="n">
        <v>3579</v>
      </c>
      <c r="B3580" t="inlineStr">
        <is>
          <t>A-495R__41</t>
        </is>
      </c>
      <c r="C3580" s="1" t="n">
        <v>37.4525869958</v>
      </c>
      <c r="D3580" s="1" t="n">
        <v>-7.11184100213</v>
      </c>
      <c r="E3580" s="3" t="n">
        <v>4</v>
      </c>
      <c r="F3580" s="2" t="n">
        <v>4</v>
      </c>
      <c r="G3580" s="4" t="n">
        <v>4</v>
      </c>
      <c r="H3580" s="13" t="n"/>
      <c r="I3580" s="15" t="n"/>
      <c r="J3580" s="19" t="n">
        <v>4</v>
      </c>
      <c r="K3580" s="2" t="inlineStr">
        <is>
          <t>marker_794_936512.png</t>
        </is>
      </c>
      <c r="L3580" s="11">
        <f>HYPERLINK("4\0\" &amp; K3580, "Ver Imagen")</f>
        <v/>
      </c>
      <c r="M3580" t="inlineStr">
        <is>
          <t>Moda</t>
        </is>
      </c>
    </row>
    <row r="3581">
      <c r="A3581" t="n">
        <v>3580</v>
      </c>
      <c r="B3581" t="inlineStr">
        <is>
          <t>A-495R__36</t>
        </is>
      </c>
      <c r="C3581" s="1" t="n">
        <v>37.4516352442</v>
      </c>
      <c r="D3581" s="1" t="n">
        <v>-7.11130771493</v>
      </c>
      <c r="E3581" s="3" t="n">
        <v>4</v>
      </c>
      <c r="F3581" s="2" t="n">
        <v>4</v>
      </c>
      <c r="G3581" s="4" t="n">
        <v>4</v>
      </c>
      <c r="H3581" s="13" t="n"/>
      <c r="I3581" s="15" t="n"/>
      <c r="J3581" s="19" t="n">
        <v>4</v>
      </c>
      <c r="K3581" s="2" t="inlineStr">
        <is>
          <t>marker_384_936563.png</t>
        </is>
      </c>
      <c r="L3581" s="11">
        <f>HYPERLINK("4\0\" &amp; K3581, "Ver Imagen")</f>
        <v/>
      </c>
      <c r="M3581" t="inlineStr">
        <is>
          <t>Moda</t>
        </is>
      </c>
    </row>
    <row r="3582">
      <c r="A3582" t="n">
        <v>3581</v>
      </c>
      <c r="B3582" t="inlineStr">
        <is>
          <t>A-495R__32</t>
        </is>
      </c>
      <c r="C3582" s="1" t="n">
        <v>37.4509651124</v>
      </c>
      <c r="D3582" s="1" t="n">
        <v>-7.1107934761</v>
      </c>
      <c r="E3582" s="3" t="n">
        <v>4</v>
      </c>
      <c r="F3582" s="2" t="n">
        <v>4</v>
      </c>
      <c r="G3582" s="4" t="n">
        <v>4</v>
      </c>
      <c r="H3582" s="13" t="n"/>
      <c r="I3582" s="15" t="n"/>
      <c r="J3582" s="19" t="n">
        <v>4</v>
      </c>
      <c r="K3582" s="2" t="inlineStr">
        <is>
          <t>marker_239_936601.png</t>
        </is>
      </c>
      <c r="L3582" s="11">
        <f>HYPERLINK("4\0\" &amp; K3582, "Ver Imagen")</f>
        <v/>
      </c>
      <c r="M3582" t="inlineStr">
        <is>
          <t>Moda</t>
        </is>
      </c>
    </row>
    <row r="3583">
      <c r="A3583" t="n">
        <v>3582</v>
      </c>
      <c r="B3583" t="inlineStr">
        <is>
          <t>A-495R__23</t>
        </is>
      </c>
      <c r="C3583" s="1" t="n">
        <v>37.4492738591</v>
      </c>
      <c r="D3583" s="1" t="n">
        <v>-7.11002779125</v>
      </c>
      <c r="E3583" s="3" t="n">
        <v>4</v>
      </c>
      <c r="F3583" s="2" t="n">
        <v>4</v>
      </c>
      <c r="G3583" s="4" t="n">
        <v>4</v>
      </c>
      <c r="H3583" s="13" t="n"/>
      <c r="I3583" s="15" t="n"/>
      <c r="J3583" s="19" t="n">
        <v>4</v>
      </c>
      <c r="K3583" s="2" t="inlineStr">
        <is>
          <t>marker_829_936698.png</t>
        </is>
      </c>
      <c r="L3583" s="11">
        <f>HYPERLINK("4\0\" &amp; K3583, "Ver Imagen")</f>
        <v/>
      </c>
      <c r="M3583" t="inlineStr">
        <is>
          <t>Moda</t>
        </is>
      </c>
    </row>
    <row r="3584">
      <c r="A3584" t="n">
        <v>3583</v>
      </c>
      <c r="B3584" t="inlineStr">
        <is>
          <t>A-5050__24</t>
        </is>
      </c>
      <c r="C3584" s="1" t="n">
        <v>37.2072569677</v>
      </c>
      <c r="D3584" s="1" t="n">
        <v>-7.02191093123</v>
      </c>
      <c r="E3584" s="3" t="n">
        <v>4</v>
      </c>
      <c r="F3584" s="2" t="n">
        <v>4</v>
      </c>
      <c r="G3584" s="4" t="n">
        <v>4</v>
      </c>
      <c r="H3584" s="13" t="n"/>
      <c r="I3584" s="15" t="n"/>
      <c r="J3584" s="19" t="n">
        <v>4</v>
      </c>
      <c r="K3584" s="2" t="inlineStr">
        <is>
          <t>marker_338_949421.png</t>
        </is>
      </c>
      <c r="L3584" s="11">
        <f>HYPERLINK("4\0\" &amp; K3584, "Ver Imagen")</f>
        <v/>
      </c>
      <c r="M3584" t="inlineStr">
        <is>
          <t>Moda</t>
        </is>
      </c>
    </row>
    <row r="3585">
      <c r="A3585" t="n">
        <v>3584</v>
      </c>
      <c r="B3585" t="inlineStr">
        <is>
          <t>A-5053__328</t>
        </is>
      </c>
      <c r="C3585" s="1" t="n">
        <v>37.2794772709</v>
      </c>
      <c r="D3585" s="1" t="n">
        <v>-7.14501996021</v>
      </c>
      <c r="E3585" s="3" t="n">
        <v>4</v>
      </c>
      <c r="F3585" s="2" t="n">
        <v>4</v>
      </c>
      <c r="G3585" s="4" t="n">
        <v>4</v>
      </c>
      <c r="H3585" s="13" t="n"/>
      <c r="I3585" s="15" t="n"/>
      <c r="J3585" s="19" t="n">
        <v>4</v>
      </c>
      <c r="K3585" s="2" t="inlineStr">
        <is>
          <t>marker_709_964486.png</t>
        </is>
      </c>
      <c r="L3585" s="11">
        <f>HYPERLINK("4\0\" &amp; K3585, "Ver Imagen")</f>
        <v/>
      </c>
      <c r="M3585" t="inlineStr">
        <is>
          <t>Moda</t>
        </is>
      </c>
    </row>
    <row r="3586">
      <c r="A3586" t="n">
        <v>3585</v>
      </c>
      <c r="B3586" t="inlineStr">
        <is>
          <t>A-5053__324</t>
        </is>
      </c>
      <c r="C3586" s="1" t="n">
        <v>37.2788119643</v>
      </c>
      <c r="D3586" s="1" t="n">
        <v>-7.14446947696</v>
      </c>
      <c r="E3586" s="3" t="n">
        <v>4</v>
      </c>
      <c r="F3586" s="2" t="n">
        <v>4</v>
      </c>
      <c r="G3586" s="4" t="n">
        <v>4</v>
      </c>
      <c r="H3586" s="13" t="n"/>
      <c r="I3586" s="15" t="n"/>
      <c r="J3586" s="19" t="n">
        <v>4</v>
      </c>
      <c r="K3586" s="2" t="inlineStr">
        <is>
          <t>marker_360_964533.png</t>
        </is>
      </c>
      <c r="L3586" s="11">
        <f>HYPERLINK("4\0\" &amp; K3586, "Ver Imagen")</f>
        <v/>
      </c>
      <c r="M3586" t="inlineStr">
        <is>
          <t>Moda</t>
        </is>
      </c>
    </row>
    <row r="3587">
      <c r="A3587" t="n">
        <v>3586</v>
      </c>
      <c r="B3587" t="inlineStr">
        <is>
          <t>A-5053__261</t>
        </is>
      </c>
      <c r="C3587" s="1" t="n">
        <v>37.2684362226</v>
      </c>
      <c r="D3587" s="1" t="n">
        <v>-7.13646381225</v>
      </c>
      <c r="E3587" s="3" t="n">
        <v>4</v>
      </c>
      <c r="F3587" s="2" t="n">
        <v>4</v>
      </c>
      <c r="G3587" s="4" t="n">
        <v>4</v>
      </c>
      <c r="H3587" s="13" t="n"/>
      <c r="I3587" s="15" t="n"/>
      <c r="J3587" s="19" t="n">
        <v>4</v>
      </c>
      <c r="K3587" s="2" t="inlineStr">
        <is>
          <t>marker_409_965246.png</t>
        </is>
      </c>
      <c r="L3587" s="11">
        <f>HYPERLINK("4\0\" &amp; K3587, "Ver Imagen")</f>
        <v/>
      </c>
      <c r="M3587" t="inlineStr">
        <is>
          <t>Moda</t>
        </is>
      </c>
    </row>
    <row r="3588">
      <c r="A3588" t="n">
        <v>3587</v>
      </c>
      <c r="B3588" t="inlineStr">
        <is>
          <t>A-5053__257</t>
        </is>
      </c>
      <c r="C3588" s="1" t="n">
        <v>37.2682073279</v>
      </c>
      <c r="D3588" s="1" t="n">
        <v>-7.13548693532</v>
      </c>
      <c r="E3588" s="3" t="n">
        <v>4</v>
      </c>
      <c r="F3588" s="2" t="n">
        <v>4</v>
      </c>
      <c r="G3588" s="4" t="n">
        <v>4</v>
      </c>
      <c r="H3588" s="13" t="n"/>
      <c r="I3588" s="15" t="n"/>
      <c r="J3588" s="19" t="n">
        <v>4</v>
      </c>
      <c r="K3588" s="2" t="inlineStr">
        <is>
          <t>marker_256_965287.png</t>
        </is>
      </c>
      <c r="L3588" s="11">
        <f>HYPERLINK("4\0\" &amp; K3588, "Ver Imagen")</f>
        <v/>
      </c>
      <c r="M3588" t="inlineStr">
        <is>
          <t>Moda</t>
        </is>
      </c>
    </row>
    <row r="3589">
      <c r="A3589" t="n">
        <v>3588</v>
      </c>
      <c r="B3589" t="inlineStr">
        <is>
          <t>A-5053__235</t>
        </is>
      </c>
      <c r="C3589" s="1" t="n">
        <v>37.2648393532</v>
      </c>
      <c r="D3589" s="1" t="n">
        <v>-7.13211782999</v>
      </c>
      <c r="E3589" s="3" t="n">
        <v>4</v>
      </c>
      <c r="F3589" s="2" t="n">
        <v>4</v>
      </c>
      <c r="G3589" s="4" t="n">
        <v>4</v>
      </c>
      <c r="H3589" s="13" t="n"/>
      <c r="I3589" s="15" t="n"/>
      <c r="J3589" s="19" t="n">
        <v>4</v>
      </c>
      <c r="K3589" s="2" t="inlineStr">
        <is>
          <t>marker_264_965545.png</t>
        </is>
      </c>
      <c r="L3589" s="11">
        <f>HYPERLINK("4\0\" &amp; K3589, "Ver Imagen")</f>
        <v/>
      </c>
      <c r="M3589" t="inlineStr">
        <is>
          <t>Moda</t>
        </is>
      </c>
    </row>
    <row r="3590">
      <c r="A3590" t="n">
        <v>3589</v>
      </c>
      <c r="B3590" t="inlineStr">
        <is>
          <t>A-5058__287</t>
        </is>
      </c>
      <c r="C3590" s="1" t="n">
        <v>37.2448170308</v>
      </c>
      <c r="D3590" s="1" t="n">
        <v>-7.09158589456</v>
      </c>
      <c r="E3590" s="3" t="n">
        <v>4</v>
      </c>
      <c r="F3590" s="2" t="n">
        <v>4</v>
      </c>
      <c r="G3590" s="4" t="n">
        <v>4</v>
      </c>
      <c r="H3590" s="13" t="n"/>
      <c r="I3590" s="15" t="n"/>
      <c r="J3590" s="19" t="n">
        <v>4</v>
      </c>
      <c r="K3590" s="2" t="inlineStr">
        <is>
          <t>marker_551_384116.png</t>
        </is>
      </c>
      <c r="L3590" s="11">
        <f>HYPERLINK("4\0\" &amp; K3590, "Ver Imagen")</f>
        <v/>
      </c>
      <c r="M3590" t="inlineStr">
        <is>
          <t>Moda</t>
        </is>
      </c>
    </row>
    <row r="3591">
      <c r="A3591" t="n">
        <v>3590</v>
      </c>
      <c r="B3591" t="inlineStr">
        <is>
          <t>A-5058__289</t>
        </is>
      </c>
      <c r="C3591" s="1" t="n">
        <v>37.2450282207</v>
      </c>
      <c r="D3591" s="1" t="n">
        <v>-7.09204151454</v>
      </c>
      <c r="E3591" s="3" t="n">
        <v>4</v>
      </c>
      <c r="F3591" s="2" t="n">
        <v>4</v>
      </c>
      <c r="G3591" s="4" t="n">
        <v>4</v>
      </c>
      <c r="H3591" s="13" t="n"/>
      <c r="I3591" s="15" t="n"/>
      <c r="J3591" s="19" t="n">
        <v>4</v>
      </c>
      <c r="K3591" s="2" t="inlineStr">
        <is>
          <t>marker_650_384135.png</t>
        </is>
      </c>
      <c r="L3591" s="11">
        <f>HYPERLINK("4\0\" &amp; K3591, "Ver Imagen")</f>
        <v/>
      </c>
      <c r="M3591" t="inlineStr">
        <is>
          <t>Moda</t>
        </is>
      </c>
    </row>
    <row r="3592">
      <c r="A3592" t="n">
        <v>3591</v>
      </c>
      <c r="B3592" t="inlineStr">
        <is>
          <t>A-5058__294</t>
        </is>
      </c>
      <c r="C3592" s="1" t="n">
        <v>37.2453484423</v>
      </c>
      <c r="D3592" s="1" t="n">
        <v>-7.09319484727</v>
      </c>
      <c r="E3592" s="3" t="n">
        <v>4</v>
      </c>
      <c r="F3592" s="2" t="n">
        <v>4</v>
      </c>
      <c r="G3592" s="4" t="n">
        <v>4</v>
      </c>
      <c r="H3592" s="13" t="n"/>
      <c r="I3592" s="15" t="n"/>
      <c r="J3592" s="19" t="n">
        <v>4</v>
      </c>
      <c r="K3592" s="2" t="inlineStr">
        <is>
          <t>marker_215_384197.png</t>
        </is>
      </c>
      <c r="L3592" s="11">
        <f>HYPERLINK("4\0\" &amp; K3592, "Ver Imagen")</f>
        <v/>
      </c>
      <c r="M3592" t="inlineStr">
        <is>
          <t>Moda</t>
        </is>
      </c>
    </row>
    <row r="3593">
      <c r="A3593" t="n">
        <v>3592</v>
      </c>
      <c r="B3593" t="inlineStr">
        <is>
          <t>A-5058__295</t>
        </is>
      </c>
      <c r="C3593" s="1" t="n">
        <v>37.2453826881</v>
      </c>
      <c r="D3593" s="1" t="n">
        <v>-7.09347062485</v>
      </c>
      <c r="E3593" s="3" t="n">
        <v>4</v>
      </c>
      <c r="F3593" s="2" t="n">
        <v>4</v>
      </c>
      <c r="G3593" s="4" t="n">
        <v>4</v>
      </c>
      <c r="H3593" s="13" t="n"/>
      <c r="I3593" s="15" t="n"/>
      <c r="J3593" s="19" t="n">
        <v>4</v>
      </c>
      <c r="K3593" s="2" t="inlineStr">
        <is>
          <t>marker_492_384205.png</t>
        </is>
      </c>
      <c r="L3593" s="11">
        <f>HYPERLINK("4\0\" &amp; K3593, "Ver Imagen")</f>
        <v/>
      </c>
      <c r="M3593" t="inlineStr">
        <is>
          <t>Moda</t>
        </is>
      </c>
    </row>
    <row r="3594">
      <c r="A3594" t="n">
        <v>3593</v>
      </c>
      <c r="B3594" t="inlineStr">
        <is>
          <t>A-5058__448</t>
        </is>
      </c>
      <c r="C3594" s="1" t="n">
        <v>37.2589388359</v>
      </c>
      <c r="D3594" s="1" t="n">
        <v>-7.12407741064</v>
      </c>
      <c r="E3594" s="3" t="n">
        <v>4</v>
      </c>
      <c r="F3594" s="2" t="n">
        <v>4</v>
      </c>
      <c r="G3594" s="4" t="n">
        <v>4</v>
      </c>
      <c r="H3594" s="13" t="n"/>
      <c r="I3594" s="15" t="n"/>
      <c r="J3594" s="19" t="n">
        <v>4</v>
      </c>
      <c r="K3594" s="2" t="inlineStr">
        <is>
          <t>marker_768_389056.png</t>
        </is>
      </c>
      <c r="L3594" s="11">
        <f>HYPERLINK("4\0\" &amp; K3594, "Ver Imagen")</f>
        <v/>
      </c>
      <c r="M3594" t="inlineStr">
        <is>
          <t>Moda</t>
        </is>
      </c>
    </row>
    <row r="3595">
      <c r="A3595" t="n">
        <v>3594</v>
      </c>
      <c r="B3595" t="inlineStr">
        <is>
          <t>A-495_1__159</t>
        </is>
      </c>
      <c r="C3595" s="1" t="n">
        <v>37.4782194652</v>
      </c>
      <c r="D3595" s="1" t="n">
        <v>-7.12753317984</v>
      </c>
      <c r="E3595" s="3" t="n">
        <v>4</v>
      </c>
      <c r="F3595" s="2" t="n">
        <v>4</v>
      </c>
      <c r="G3595" s="4" t="n">
        <v>4</v>
      </c>
      <c r="H3595" s="13" t="n"/>
      <c r="I3595" s="15" t="n"/>
      <c r="J3595" s="19" t="n">
        <v>4</v>
      </c>
      <c r="K3595" s="2" t="inlineStr">
        <is>
          <t>marker_832_384103.png</t>
        </is>
      </c>
      <c r="L3595" s="11">
        <f>HYPERLINK("4\0\" &amp; K3595, "Ver Imagen")</f>
        <v/>
      </c>
      <c r="M3595" t="inlineStr">
        <is>
          <t>Moda</t>
        </is>
      </c>
    </row>
    <row r="3596">
      <c r="A3596" t="n">
        <v>3595</v>
      </c>
      <c r="B3596" t="inlineStr">
        <is>
          <t>A-495_1__128</t>
        </is>
      </c>
      <c r="C3596" s="1" t="n">
        <v>37.4725468378</v>
      </c>
      <c r="D3596" s="1" t="n">
        <v>-7.12640045403</v>
      </c>
      <c r="E3596" s="3" t="n">
        <v>4</v>
      </c>
      <c r="F3596" s="2" t="n">
        <v>4</v>
      </c>
      <c r="G3596" s="4" t="n">
        <v>4</v>
      </c>
      <c r="H3596" s="13" t="n"/>
      <c r="I3596" s="15" t="n"/>
      <c r="J3596" s="19" t="n">
        <v>4</v>
      </c>
      <c r="K3596" s="2" t="inlineStr">
        <is>
          <t>marker_276_384493.png</t>
        </is>
      </c>
      <c r="L3596" s="11">
        <f>HYPERLINK("4\0\" &amp; K3596, "Ver Imagen")</f>
        <v/>
      </c>
      <c r="M3596" t="inlineStr">
        <is>
          <t>Moda</t>
        </is>
      </c>
    </row>
    <row r="3597">
      <c r="A3597" t="n">
        <v>3596</v>
      </c>
      <c r="B3597" t="inlineStr">
        <is>
          <t>A-495_1__104</t>
        </is>
      </c>
      <c r="C3597" s="1" t="n">
        <v>37.4683074051</v>
      </c>
      <c r="D3597" s="1" t="n">
        <v>-7.12348801904</v>
      </c>
      <c r="E3597" s="3" t="n">
        <v>4</v>
      </c>
      <c r="F3597" s="2" t="n">
        <v>4</v>
      </c>
      <c r="G3597" s="4" t="n">
        <v>4</v>
      </c>
      <c r="H3597" s="13" t="n"/>
      <c r="I3597" s="15" t="n"/>
      <c r="J3597" s="19" t="n">
        <v>4</v>
      </c>
      <c r="K3597" s="2" t="inlineStr">
        <is>
          <t>marker_757_384959.png</t>
        </is>
      </c>
      <c r="L3597" s="11">
        <f>HYPERLINK("4\0\" &amp; K3597, "Ver Imagen")</f>
        <v/>
      </c>
      <c r="M3597" t="inlineStr">
        <is>
          <t>Moda</t>
        </is>
      </c>
    </row>
    <row r="3598">
      <c r="A3598" t="n">
        <v>3597</v>
      </c>
      <c r="B3598" t="inlineStr">
        <is>
          <t>A-499__70</t>
        </is>
      </c>
      <c r="C3598" s="1" t="n">
        <v>37.495447051</v>
      </c>
      <c r="D3598" s="1" t="n">
        <v>-7.27025930428</v>
      </c>
      <c r="E3598" s="3" t="n">
        <v>4</v>
      </c>
      <c r="F3598" s="2" t="n">
        <v>4</v>
      </c>
      <c r="G3598" s="4" t="n">
        <v>4</v>
      </c>
      <c r="H3598" s="13" t="n"/>
      <c r="I3598" s="15" t="n"/>
      <c r="J3598" s="19" t="n">
        <v>4</v>
      </c>
      <c r="K3598" s="2" t="inlineStr">
        <is>
          <t>marker_540_535178.png</t>
        </is>
      </c>
      <c r="L3598" s="11">
        <f>HYPERLINK("4\0\" &amp; K3598, "Ver Imagen")</f>
        <v/>
      </c>
      <c r="M3598" t="inlineStr">
        <is>
          <t>Moda</t>
        </is>
      </c>
    </row>
    <row r="3599">
      <c r="A3599" t="n">
        <v>3598</v>
      </c>
      <c r="B3599" t="inlineStr">
        <is>
          <t>A-499__75</t>
        </is>
      </c>
      <c r="C3599" s="1" t="n">
        <v>37.4954274256</v>
      </c>
      <c r="D3599" s="1" t="n">
        <v>-7.26895732536</v>
      </c>
      <c r="E3599" s="3" t="n">
        <v>4</v>
      </c>
      <c r="F3599" s="2" t="n">
        <v>4</v>
      </c>
      <c r="G3599" s="4" t="n">
        <v>4</v>
      </c>
      <c r="H3599" s="13" t="n"/>
      <c r="I3599" s="15" t="n"/>
      <c r="J3599" s="19" t="n">
        <v>4</v>
      </c>
      <c r="K3599" s="2" t="inlineStr">
        <is>
          <t>marker_906_789143.png</t>
        </is>
      </c>
      <c r="L3599" s="11">
        <f>HYPERLINK("4\0\" &amp; K3599, "Ver Imagen")</f>
        <v/>
      </c>
      <c r="M3599" t="inlineStr">
        <is>
          <t>Moda</t>
        </is>
      </c>
    </row>
    <row r="3600">
      <c r="A3600" t="n">
        <v>3599</v>
      </c>
      <c r="B3600" t="inlineStr">
        <is>
          <t>A-497__834</t>
        </is>
      </c>
      <c r="C3600" s="1" t="n">
        <v>37.1988149762</v>
      </c>
      <c r="D3600" s="1" t="n">
        <v>-6.98236193708</v>
      </c>
      <c r="E3600" s="3" t="n">
        <v>4</v>
      </c>
      <c r="F3600" s="2" t="n">
        <v>4</v>
      </c>
      <c r="G3600" s="4" t="n">
        <v>4</v>
      </c>
      <c r="H3600" s="13" t="n"/>
      <c r="I3600" s="15" t="n"/>
      <c r="J3600" s="19" t="n">
        <v>4</v>
      </c>
      <c r="K3600" s="2" t="inlineStr">
        <is>
          <t>marker_584_367606.png</t>
        </is>
      </c>
      <c r="L3600" s="11">
        <f>HYPERLINK("4\0\" &amp; K3600, "Ver Imagen")</f>
        <v/>
      </c>
      <c r="M3600" t="inlineStr">
        <is>
          <t>Moda</t>
        </is>
      </c>
    </row>
    <row r="3601">
      <c r="A3601" t="n">
        <v>3600</v>
      </c>
      <c r="B3601" t="inlineStr">
        <is>
          <t>A-497__770</t>
        </is>
      </c>
      <c r="C3601" s="1" t="n">
        <v>37.1876023696</v>
      </c>
      <c r="D3601" s="1" t="n">
        <v>-6.97910448656</v>
      </c>
      <c r="E3601" s="3" t="n">
        <v>4</v>
      </c>
      <c r="F3601" s="2" t="n">
        <v>4</v>
      </c>
      <c r="G3601" s="4" t="n">
        <v>4</v>
      </c>
      <c r="H3601" s="13" t="n"/>
      <c r="I3601" s="15" t="n"/>
      <c r="J3601" s="19" t="n">
        <v>4</v>
      </c>
      <c r="K3601" s="2" t="inlineStr">
        <is>
          <t>marker_583_368305.png</t>
        </is>
      </c>
      <c r="L3601" s="11">
        <f>HYPERLINK("4\0\" &amp; K3601, "Ver Imagen")</f>
        <v/>
      </c>
      <c r="M3601" t="inlineStr">
        <is>
          <t>Moda</t>
        </is>
      </c>
    </row>
    <row r="3602">
      <c r="A3602" t="n">
        <v>3601</v>
      </c>
      <c r="B3602" t="inlineStr">
        <is>
          <t>A-497__757</t>
        </is>
      </c>
      <c r="C3602" s="1" t="n">
        <v>37.1859783337</v>
      </c>
      <c r="D3602" s="1" t="n">
        <v>-6.97982040685</v>
      </c>
      <c r="E3602" s="3" t="n">
        <v>4</v>
      </c>
      <c r="F3602" s="2" t="n">
        <v>4</v>
      </c>
      <c r="G3602" s="4" t="n">
        <v>4</v>
      </c>
      <c r="H3602" s="13" t="n"/>
      <c r="I3602" s="15" t="n"/>
      <c r="J3602" s="19" t="n">
        <v>4</v>
      </c>
      <c r="K3602" s="2" t="inlineStr">
        <is>
          <t>marker_400_368602.png</t>
        </is>
      </c>
      <c r="L3602" s="11">
        <f>HYPERLINK("4\0\" &amp; K3602, "Ver Imagen")</f>
        <v/>
      </c>
      <c r="M3602" t="inlineStr">
        <is>
          <t>Moda</t>
        </is>
      </c>
    </row>
    <row r="3603">
      <c r="A3603" t="n">
        <v>3602</v>
      </c>
      <c r="B3603" t="inlineStr">
        <is>
          <t>A-497__756</t>
        </is>
      </c>
      <c r="C3603" s="1" t="n">
        <v>37.1861620631</v>
      </c>
      <c r="D3603" s="1" t="n">
        <v>-6.97973852747</v>
      </c>
      <c r="E3603" s="3" t="n">
        <v>4</v>
      </c>
      <c r="F3603" s="2" t="n">
        <v>4</v>
      </c>
      <c r="G3603" s="4" t="n">
        <v>4</v>
      </c>
      <c r="H3603" s="13" t="n"/>
      <c r="I3603" s="15" t="n"/>
      <c r="J3603" s="19" t="n">
        <v>4</v>
      </c>
      <c r="K3603" s="2" t="inlineStr">
        <is>
          <t>marker_556_368614.png</t>
        </is>
      </c>
      <c r="L3603" s="11">
        <f>HYPERLINK("4\0\" &amp; K3603, "Ver Imagen")</f>
        <v/>
      </c>
      <c r="M3603" t="inlineStr">
        <is>
          <t>Moda</t>
        </is>
      </c>
    </row>
    <row r="3604">
      <c r="A3604" t="n">
        <v>3603</v>
      </c>
      <c r="B3604" t="inlineStr">
        <is>
          <t>A-497__675</t>
        </is>
      </c>
      <c r="C3604" s="1" t="n">
        <v>37.1995658232</v>
      </c>
      <c r="D3604" s="1" t="n">
        <v>-6.98416312692</v>
      </c>
      <c r="E3604" s="3" t="n">
        <v>4</v>
      </c>
      <c r="F3604" s="2" t="n">
        <v>4</v>
      </c>
      <c r="G3604" s="4" t="n">
        <v>4</v>
      </c>
      <c r="H3604" s="13" t="n"/>
      <c r="I3604" s="15" t="n"/>
      <c r="J3604" s="19" t="n">
        <v>4</v>
      </c>
      <c r="K3604" s="2" t="inlineStr">
        <is>
          <t>marker_820_370730.png</t>
        </is>
      </c>
      <c r="L3604" s="11">
        <f>HYPERLINK("4\0\" &amp; K3604, "Ver Imagen")</f>
        <v/>
      </c>
      <c r="M3604" t="inlineStr">
        <is>
          <t>Moda</t>
        </is>
      </c>
    </row>
    <row r="3605">
      <c r="A3605" t="n">
        <v>3604</v>
      </c>
      <c r="B3605" t="inlineStr">
        <is>
          <t>A-497__604</t>
        </is>
      </c>
      <c r="C3605" s="1" t="n">
        <v>37.2028552088</v>
      </c>
      <c r="D3605" s="1" t="n">
        <v>-7.00162537277</v>
      </c>
      <c r="E3605" s="3" t="n">
        <v>4</v>
      </c>
      <c r="F3605" s="2" t="n">
        <v>4</v>
      </c>
      <c r="G3605" s="4" t="n">
        <v>4</v>
      </c>
      <c r="H3605" s="13" t="n"/>
      <c r="I3605" s="15" t="n"/>
      <c r="J3605" s="19" t="n">
        <v>4</v>
      </c>
      <c r="K3605" s="2" t="inlineStr">
        <is>
          <t>marker_994_371678.png</t>
        </is>
      </c>
      <c r="L3605" s="11">
        <f>HYPERLINK("4\0\" &amp; K3605, "Ver Imagen")</f>
        <v/>
      </c>
      <c r="M3605" t="inlineStr">
        <is>
          <t>Moda</t>
        </is>
      </c>
    </row>
    <row r="3606">
      <c r="A3606" t="n">
        <v>3605</v>
      </c>
      <c r="B3606" t="inlineStr">
        <is>
          <t>A-497_2C__283</t>
        </is>
      </c>
      <c r="C3606" s="1" t="n">
        <v>37.252677315</v>
      </c>
      <c r="D3606" s="1" t="n">
        <v>-7.01638212154</v>
      </c>
      <c r="E3606" s="3" t="n">
        <v>4</v>
      </c>
      <c r="F3606" s="2" t="n">
        <v>4</v>
      </c>
      <c r="G3606" s="4" t="n">
        <v>4</v>
      </c>
      <c r="H3606" s="13" t="n"/>
      <c r="I3606" s="15" t="n"/>
      <c r="J3606" s="19" t="n">
        <v>4</v>
      </c>
      <c r="K3606" s="2" t="inlineStr">
        <is>
          <t>marker_122_319917.png</t>
        </is>
      </c>
      <c r="L3606" s="11">
        <f>HYPERLINK("4\0\" &amp; K3606, "Ver Imagen")</f>
        <v/>
      </c>
      <c r="M3606" t="inlineStr">
        <is>
          <t>Moda</t>
        </is>
      </c>
    </row>
    <row r="3607">
      <c r="A3607" t="n">
        <v>3606</v>
      </c>
      <c r="B3607" t="inlineStr">
        <is>
          <t>A-497_2C__309</t>
        </is>
      </c>
      <c r="C3607" s="1" t="n">
        <v>37.2476981663</v>
      </c>
      <c r="D3607" s="1" t="n">
        <v>-7.01838923454</v>
      </c>
      <c r="E3607" s="3" t="n">
        <v>4</v>
      </c>
      <c r="F3607" s="2" t="n">
        <v>4</v>
      </c>
      <c r="G3607" s="4" t="n">
        <v>4</v>
      </c>
      <c r="H3607" s="13" t="n"/>
      <c r="I3607" s="15" t="n"/>
      <c r="J3607" s="19" t="n">
        <v>4</v>
      </c>
      <c r="K3607" s="2" t="inlineStr">
        <is>
          <t>marker_367_361819.png</t>
        </is>
      </c>
      <c r="L3607" s="11">
        <f>HYPERLINK("4\0\" &amp; K3607, "Ver Imagen")</f>
        <v/>
      </c>
      <c r="M3607" t="inlineStr">
        <is>
          <t>Moda</t>
        </is>
      </c>
    </row>
    <row r="3608">
      <c r="A3608" t="n">
        <v>3607</v>
      </c>
      <c r="B3608" t="inlineStr">
        <is>
          <t>A-497_2C__389</t>
        </is>
      </c>
      <c r="C3608" s="1" t="n">
        <v>37.2317323555</v>
      </c>
      <c r="D3608" s="1" t="n">
        <v>-7.01914393715</v>
      </c>
      <c r="E3608" s="3" t="n">
        <v>4</v>
      </c>
      <c r="F3608" s="2" t="n">
        <v>4</v>
      </c>
      <c r="G3608" s="4" t="n">
        <v>4</v>
      </c>
      <c r="H3608" s="13" t="n"/>
      <c r="I3608" s="15" t="n"/>
      <c r="J3608" s="19" t="n">
        <v>4</v>
      </c>
      <c r="K3608" s="2" t="inlineStr">
        <is>
          <t>marker_898_362799.png</t>
        </is>
      </c>
      <c r="L3608" s="11">
        <f>HYPERLINK("4\0\" &amp; K3608, "Ver Imagen")</f>
        <v/>
      </c>
      <c r="M3608" t="inlineStr">
        <is>
          <t>Moda</t>
        </is>
      </c>
    </row>
    <row r="3609">
      <c r="A3609" t="n">
        <v>3608</v>
      </c>
      <c r="B3609" t="inlineStr">
        <is>
          <t>A-497_2C__539</t>
        </is>
      </c>
      <c r="C3609" s="1" t="n">
        <v>37.2051010206</v>
      </c>
      <c r="D3609" s="1" t="n">
        <v>-7.01680024119</v>
      </c>
      <c r="E3609" s="3" t="n">
        <v>4</v>
      </c>
      <c r="F3609" s="2" t="n">
        <v>4</v>
      </c>
      <c r="G3609" s="4" t="n">
        <v>4</v>
      </c>
      <c r="H3609" s="13" t="n"/>
      <c r="I3609" s="15" t="n"/>
      <c r="J3609" s="19" t="n">
        <v>4</v>
      </c>
      <c r="K3609" s="2" t="inlineStr">
        <is>
          <t>marker_333_364531.png</t>
        </is>
      </c>
      <c r="L3609" s="11">
        <f>HYPERLINK("4\0\" &amp; K3609, "Ver Imagen")</f>
        <v/>
      </c>
      <c r="M3609" t="inlineStr">
        <is>
          <t>Moda</t>
        </is>
      </c>
    </row>
    <row r="3610">
      <c r="A3610" t="n">
        <v>3609</v>
      </c>
      <c r="B3610" t="inlineStr">
        <is>
          <t>A-497__292</t>
        </is>
      </c>
      <c r="C3610" s="1" t="n">
        <v>37.2518188091</v>
      </c>
      <c r="D3610" s="1" t="n">
        <v>-7.01671723351</v>
      </c>
      <c r="E3610" s="3" t="n">
        <v>4</v>
      </c>
      <c r="F3610" s="2" t="n">
        <v>4</v>
      </c>
      <c r="G3610" s="4" t="n">
        <v>4</v>
      </c>
      <c r="H3610" s="13" t="n"/>
      <c r="I3610" s="15" t="n"/>
      <c r="J3610" s="19" t="n">
        <v>4</v>
      </c>
      <c r="K3610" s="2" t="inlineStr">
        <is>
          <t>marker_778_378331.png</t>
        </is>
      </c>
      <c r="L3610" s="11">
        <f>HYPERLINK("4\0\" &amp; K3610, "Ver Imagen")</f>
        <v/>
      </c>
      <c r="M3610" t="inlineStr">
        <is>
          <t>Moda</t>
        </is>
      </c>
    </row>
    <row r="3611">
      <c r="A3611" t="n">
        <v>3610</v>
      </c>
      <c r="B3611" t="inlineStr">
        <is>
          <t>A-497__223</t>
        </is>
      </c>
      <c r="C3611" s="1" t="n">
        <v>37.2633407578</v>
      </c>
      <c r="D3611" s="1" t="n">
        <v>-7.00745223531</v>
      </c>
      <c r="E3611" s="3" t="n">
        <v>4</v>
      </c>
      <c r="F3611" s="2" t="n">
        <v>4</v>
      </c>
      <c r="G3611" s="4" t="n">
        <v>4</v>
      </c>
      <c r="H3611" s="13" t="n"/>
      <c r="I3611" s="15" t="n"/>
      <c r="J3611" s="19" t="n">
        <v>4</v>
      </c>
      <c r="K3611" s="2" t="inlineStr">
        <is>
          <t>marker_976_379110.png</t>
        </is>
      </c>
      <c r="L3611" s="11">
        <f>HYPERLINK("4\0\" &amp; K3611, "Ver Imagen")</f>
        <v/>
      </c>
      <c r="M3611" t="inlineStr">
        <is>
          <t>Moda</t>
        </is>
      </c>
    </row>
    <row r="3612">
      <c r="A3612" t="n">
        <v>3611</v>
      </c>
      <c r="B3612" t="inlineStr">
        <is>
          <t>A-497__113</t>
        </is>
      </c>
      <c r="C3612" s="1" t="n">
        <v>37.2712180556</v>
      </c>
      <c r="D3612" s="1" t="n">
        <v>-6.98370896043</v>
      </c>
      <c r="E3612" s="3" t="n">
        <v>4</v>
      </c>
      <c r="F3612" s="2" t="n">
        <v>4</v>
      </c>
      <c r="G3612" s="4" t="n">
        <v>4</v>
      </c>
      <c r="H3612" s="13" t="n"/>
      <c r="I3612" s="15" t="n"/>
      <c r="J3612" s="19" t="n">
        <v>4</v>
      </c>
      <c r="K3612" s="2" t="inlineStr">
        <is>
          <t>marker_451_380688.png</t>
        </is>
      </c>
      <c r="L3612" s="11">
        <f>HYPERLINK("4\0\" &amp; K3612, "Ver Imagen")</f>
        <v/>
      </c>
      <c r="M3612" t="inlineStr">
        <is>
          <t>Moda</t>
        </is>
      </c>
    </row>
    <row r="3613">
      <c r="A3613" t="n">
        <v>3612</v>
      </c>
      <c r="B3613" t="inlineStr">
        <is>
          <t>A-497__112</t>
        </is>
      </c>
      <c r="C3613" s="1" t="n">
        <v>37.2711403845</v>
      </c>
      <c r="D3613" s="1" t="n">
        <v>-6.98344320924</v>
      </c>
      <c r="E3613" s="3" t="n">
        <v>4</v>
      </c>
      <c r="F3613" s="2" t="n">
        <v>4</v>
      </c>
      <c r="G3613" s="4" t="n">
        <v>4</v>
      </c>
      <c r="H3613" s="13" t="n"/>
      <c r="I3613" s="15" t="n"/>
      <c r="J3613" s="19" t="n">
        <v>4</v>
      </c>
      <c r="K3613" s="2" t="inlineStr">
        <is>
          <t>marker_549_380706.png</t>
        </is>
      </c>
      <c r="L3613" s="11">
        <f>HYPERLINK("4\0\" &amp; K3613, "Ver Imagen")</f>
        <v/>
      </c>
      <c r="M3613" t="inlineStr">
        <is>
          <t>Moda</t>
        </is>
      </c>
    </row>
    <row r="3614">
      <c r="A3614" t="n">
        <v>3613</v>
      </c>
      <c r="B3614" t="inlineStr">
        <is>
          <t>A-497__110</t>
        </is>
      </c>
      <c r="C3614" s="1" t="n">
        <v>37.271006868</v>
      </c>
      <c r="D3614" s="1" t="n">
        <v>-6.9829789587</v>
      </c>
      <c r="E3614" s="3" t="n">
        <v>4</v>
      </c>
      <c r="F3614" s="2" t="n">
        <v>4</v>
      </c>
      <c r="G3614" s="4" t="n">
        <v>4</v>
      </c>
      <c r="H3614" s="13" t="n"/>
      <c r="I3614" s="15" t="n"/>
      <c r="J3614" s="19" t="n">
        <v>4</v>
      </c>
      <c r="K3614" s="2" t="inlineStr">
        <is>
          <t>marker_350_380724.png</t>
        </is>
      </c>
      <c r="L3614" s="11">
        <f>HYPERLINK("4\0\" &amp; K3614, "Ver Imagen")</f>
        <v/>
      </c>
      <c r="M3614" t="inlineStr">
        <is>
          <t>Moda</t>
        </is>
      </c>
    </row>
    <row r="3615">
      <c r="A3615" t="n">
        <v>3614</v>
      </c>
      <c r="B3615" t="inlineStr">
        <is>
          <t>A-497__97</t>
        </is>
      </c>
      <c r="C3615" s="1" t="n">
        <v>37.2701188818</v>
      </c>
      <c r="D3615" s="1" t="n">
        <v>-6.97987968149</v>
      </c>
      <c r="E3615" s="3" t="n">
        <v>4</v>
      </c>
      <c r="F3615" s="2" t="n">
        <v>4</v>
      </c>
      <c r="G3615" s="4" t="n">
        <v>4</v>
      </c>
      <c r="H3615" s="13" t="n"/>
      <c r="I3615" s="15" t="n"/>
      <c r="J3615" s="19" t="n">
        <v>4</v>
      </c>
      <c r="K3615" s="2" t="inlineStr">
        <is>
          <t>marker_114_380866.png</t>
        </is>
      </c>
      <c r="L3615" s="11">
        <f>HYPERLINK("4\0\" &amp; K3615, "Ver Imagen")</f>
        <v/>
      </c>
      <c r="M3615" t="inlineStr">
        <is>
          <t>Moda</t>
        </is>
      </c>
    </row>
    <row r="3616">
      <c r="A3616" t="n">
        <v>3615</v>
      </c>
      <c r="B3616" t="inlineStr">
        <is>
          <t>A-497__92</t>
        </is>
      </c>
      <c r="C3616" s="1" t="n">
        <v>37.269757612</v>
      </c>
      <c r="D3616" s="1" t="n">
        <v>-6.97861932231</v>
      </c>
      <c r="E3616" s="3" t="n">
        <v>4</v>
      </c>
      <c r="F3616" s="2" t="n">
        <v>4</v>
      </c>
      <c r="G3616" s="4" t="n">
        <v>4</v>
      </c>
      <c r="H3616" s="13" t="n"/>
      <c r="I3616" s="15" t="n"/>
      <c r="J3616" s="19" t="n">
        <v>4</v>
      </c>
      <c r="K3616" s="2" t="inlineStr">
        <is>
          <t>marker_117_380920.png</t>
        </is>
      </c>
      <c r="L3616" s="11">
        <f>HYPERLINK("4\0\" &amp; K3616, "Ver Imagen")</f>
        <v/>
      </c>
      <c r="M3616" t="inlineStr">
        <is>
          <t>Moda</t>
        </is>
      </c>
    </row>
    <row r="3617">
      <c r="A3617" t="n">
        <v>3616</v>
      </c>
      <c r="B3617" t="inlineStr">
        <is>
          <t>A-5052__2</t>
        </is>
      </c>
      <c r="C3617" s="1" t="n">
        <v>37.2186166692</v>
      </c>
      <c r="D3617" s="1" t="n">
        <v>-7.12543685262</v>
      </c>
      <c r="E3617" s="3" t="n">
        <v>3</v>
      </c>
      <c r="F3617" s="2" t="n">
        <v>4</v>
      </c>
      <c r="G3617" s="4" t="n">
        <v>4</v>
      </c>
      <c r="H3617" s="13" t="n"/>
      <c r="I3617" s="15" t="n"/>
      <c r="J3617" s="19" t="n">
        <v>4</v>
      </c>
      <c r="K3617" s="2" t="inlineStr">
        <is>
          <t>marker_116_949875.png</t>
        </is>
      </c>
      <c r="L3617" s="11">
        <f>HYPERLINK("4\1\" &amp; K3617, "Ver Imagen")</f>
        <v/>
      </c>
      <c r="M3617" t="inlineStr">
        <is>
          <t>Moda</t>
        </is>
      </c>
    </row>
    <row r="3618">
      <c r="A3618" t="n">
        <v>3617</v>
      </c>
      <c r="B3618" t="inlineStr">
        <is>
          <t>A-5052__285</t>
        </is>
      </c>
      <c r="C3618" s="1" t="n">
        <v>37.2111367101</v>
      </c>
      <c r="D3618" s="1" t="n">
        <v>-7.05531387567</v>
      </c>
      <c r="E3618" s="3" t="n">
        <v>3</v>
      </c>
      <c r="F3618" s="2" t="n">
        <v>4</v>
      </c>
      <c r="G3618" s="4" t="n">
        <v>4</v>
      </c>
      <c r="H3618" s="13" t="n"/>
      <c r="I3618" s="15" t="n"/>
      <c r="J3618" s="19" t="n">
        <v>4</v>
      </c>
      <c r="K3618" s="2" t="inlineStr">
        <is>
          <t>marker_581_960583.png</t>
        </is>
      </c>
      <c r="L3618" s="11">
        <f>HYPERLINK("4\1\" &amp; K3618, "Ver Imagen")</f>
        <v/>
      </c>
      <c r="M3618" t="inlineStr">
        <is>
          <t>Moda</t>
        </is>
      </c>
    </row>
    <row r="3619">
      <c r="A3619" t="n">
        <v>3618</v>
      </c>
      <c r="B3619" t="inlineStr">
        <is>
          <t>A-5052__298</t>
        </is>
      </c>
      <c r="C3619" s="1" t="n">
        <v>37.2108006529</v>
      </c>
      <c r="D3619" s="1" t="n">
        <v>-7.05205756681</v>
      </c>
      <c r="E3619" s="3" t="n">
        <v>3</v>
      </c>
      <c r="F3619" s="2" t="n">
        <v>4</v>
      </c>
      <c r="G3619" s="4" t="n">
        <v>4</v>
      </c>
      <c r="H3619" s="13" t="n"/>
      <c r="I3619" s="15" t="n"/>
      <c r="J3619" s="19" t="n">
        <v>4</v>
      </c>
      <c r="K3619" s="2" t="inlineStr">
        <is>
          <t>marker_832_960887.png</t>
        </is>
      </c>
      <c r="L3619" s="11">
        <f>HYPERLINK("4\1\" &amp; K3619, "Ver Imagen")</f>
        <v/>
      </c>
      <c r="M3619" t="inlineStr">
        <is>
          <t>Moda</t>
        </is>
      </c>
    </row>
    <row r="3620">
      <c r="A3620" t="n">
        <v>3619</v>
      </c>
      <c r="B3620" t="inlineStr">
        <is>
          <t>A-5052__404</t>
        </is>
      </c>
      <c r="C3620" s="1" t="n">
        <v>37.2043791243</v>
      </c>
      <c r="D3620" s="1" t="n">
        <v>-7.02754230021</v>
      </c>
      <c r="E3620" s="3" t="n">
        <v>3</v>
      </c>
      <c r="F3620" s="2" t="n">
        <v>4</v>
      </c>
      <c r="G3620" s="4" t="n">
        <v>4</v>
      </c>
      <c r="H3620" s="13" t="n"/>
      <c r="I3620" s="15" t="n"/>
      <c r="J3620" s="19" t="n">
        <v>4</v>
      </c>
      <c r="K3620" s="2" t="inlineStr">
        <is>
          <t>marker_481_962710.png</t>
        </is>
      </c>
      <c r="L3620" s="11">
        <f>HYPERLINK("4\1\" &amp; K3620, "Ver Imagen")</f>
        <v/>
      </c>
      <c r="M3620" t="inlineStr">
        <is>
          <t>Moda</t>
        </is>
      </c>
    </row>
    <row r="3621">
      <c r="A3621" t="n">
        <v>3620</v>
      </c>
      <c r="B3621" t="inlineStr">
        <is>
          <t>A-5053__321</t>
        </is>
      </c>
      <c r="C3621" s="1" t="n">
        <v>37.2782469886</v>
      </c>
      <c r="D3621" s="1" t="n">
        <v>-7.14404515523</v>
      </c>
      <c r="E3621" s="3" t="n">
        <v>4</v>
      </c>
      <c r="F3621" s="2" t="n">
        <v>4</v>
      </c>
      <c r="G3621" s="4" t="n">
        <v>3</v>
      </c>
      <c r="H3621" s="13" t="n"/>
      <c r="I3621" s="15" t="n"/>
      <c r="J3621" s="19" t="n">
        <v>4</v>
      </c>
      <c r="K3621" s="2" t="inlineStr">
        <is>
          <t>marker_996_964564.png</t>
        </is>
      </c>
      <c r="L3621" s="11">
        <f>HYPERLINK("4\1\" &amp; K3621, "Ver Imagen")</f>
        <v/>
      </c>
      <c r="M3621" t="inlineStr">
        <is>
          <t>Moda</t>
        </is>
      </c>
    </row>
    <row r="3622">
      <c r="A3622" t="n">
        <v>3621</v>
      </c>
      <c r="B3622" t="inlineStr">
        <is>
          <t>A-5053__319</t>
        </is>
      </c>
      <c r="C3622" s="1" t="n">
        <v>37.2779222981</v>
      </c>
      <c r="D3622" s="1" t="n">
        <v>-7.14378532086</v>
      </c>
      <c r="E3622" s="3" t="n">
        <v>3</v>
      </c>
      <c r="F3622" s="2" t="n">
        <v>4</v>
      </c>
      <c r="G3622" s="4" t="n">
        <v>4</v>
      </c>
      <c r="H3622" s="13" t="n"/>
      <c r="I3622" s="15" t="n"/>
      <c r="J3622" s="19" t="n">
        <v>4</v>
      </c>
      <c r="K3622" s="2" t="inlineStr">
        <is>
          <t>marker_110_964583.png</t>
        </is>
      </c>
      <c r="L3622" s="11">
        <f>HYPERLINK("4\1\" &amp; K3622, "Ver Imagen")</f>
        <v/>
      </c>
      <c r="M3622" t="inlineStr">
        <is>
          <t>Moda</t>
        </is>
      </c>
    </row>
    <row r="3623">
      <c r="A3623" t="n">
        <v>3622</v>
      </c>
      <c r="B3623" t="inlineStr">
        <is>
          <t>A-5053__296</t>
        </is>
      </c>
      <c r="C3623" s="1" t="n">
        <v>37.2735207844</v>
      </c>
      <c r="D3623" s="1" t="n">
        <v>-7.14201963082</v>
      </c>
      <c r="E3623" s="3" t="n">
        <v>4</v>
      </c>
      <c r="F3623" s="2" t="n">
        <v>4</v>
      </c>
      <c r="G3623" s="4" t="n">
        <v>3</v>
      </c>
      <c r="H3623" s="13" t="n"/>
      <c r="I3623" s="15" t="n"/>
      <c r="J3623" s="19" t="n">
        <v>4</v>
      </c>
      <c r="K3623" s="2" t="inlineStr">
        <is>
          <t>marker_470_964901.png</t>
        </is>
      </c>
      <c r="L3623" s="11">
        <f>HYPERLINK("4\1\" &amp; K3623, "Ver Imagen")</f>
        <v/>
      </c>
      <c r="M3623" t="inlineStr">
        <is>
          <t>Moda</t>
        </is>
      </c>
    </row>
    <row r="3624">
      <c r="A3624" t="n">
        <v>3623</v>
      </c>
      <c r="B3624" t="inlineStr">
        <is>
          <t>A-5053__273</t>
        </is>
      </c>
      <c r="C3624" s="1" t="n">
        <v>37.2694579381</v>
      </c>
      <c r="D3624" s="1" t="n">
        <v>-7.13911819895</v>
      </c>
      <c r="E3624" s="3" t="n">
        <v>3</v>
      </c>
      <c r="F3624" s="2" t="n">
        <v>4</v>
      </c>
      <c r="G3624" s="4" t="n">
        <v>4</v>
      </c>
      <c r="H3624" s="13" t="n"/>
      <c r="I3624" s="15" t="n"/>
      <c r="J3624" s="19" t="n">
        <v>4</v>
      </c>
      <c r="K3624" s="2" t="inlineStr">
        <is>
          <t>marker_492_965122.png</t>
        </is>
      </c>
      <c r="L3624" s="11">
        <f>HYPERLINK("4\1\" &amp; K3624, "Ver Imagen")</f>
        <v/>
      </c>
      <c r="M3624" t="inlineStr">
        <is>
          <t>Moda</t>
        </is>
      </c>
    </row>
    <row r="3625">
      <c r="A3625" t="n">
        <v>3624</v>
      </c>
      <c r="B3625" t="inlineStr">
        <is>
          <t>A-5053__269</t>
        </is>
      </c>
      <c r="C3625" s="1" t="n">
        <v>37.2689908164</v>
      </c>
      <c r="D3625" s="1" t="n">
        <v>-7.13840834803</v>
      </c>
      <c r="E3625" s="3" t="n">
        <v>4</v>
      </c>
      <c r="F3625" s="2" t="n">
        <v>4</v>
      </c>
      <c r="G3625" s="4" t="n">
        <v>3</v>
      </c>
      <c r="H3625" s="13" t="n"/>
      <c r="I3625" s="15" t="n"/>
      <c r="J3625" s="19" t="n">
        <v>4</v>
      </c>
      <c r="K3625" s="2" t="inlineStr">
        <is>
          <t>marker_647_965155.png</t>
        </is>
      </c>
      <c r="L3625" s="11">
        <f>HYPERLINK("4\1\" &amp; K3625, "Ver Imagen")</f>
        <v/>
      </c>
      <c r="M3625" t="inlineStr">
        <is>
          <t>Moda</t>
        </is>
      </c>
    </row>
    <row r="3626">
      <c r="A3626" t="n">
        <v>3625</v>
      </c>
      <c r="B3626" t="inlineStr">
        <is>
          <t>A-5053__217</t>
        </is>
      </c>
      <c r="C3626" s="1" t="n">
        <v>37.2615756017</v>
      </c>
      <c r="D3626" s="1" t="n">
        <v>-7.13005852732</v>
      </c>
      <c r="E3626" s="3" t="n">
        <v>4</v>
      </c>
      <c r="F3626" s="2" t="n">
        <v>4</v>
      </c>
      <c r="G3626" s="4" t="n">
        <v>3</v>
      </c>
      <c r="H3626" s="13" t="n"/>
      <c r="I3626" s="15" t="n"/>
      <c r="J3626" s="19" t="n">
        <v>4</v>
      </c>
      <c r="K3626" s="2" t="inlineStr">
        <is>
          <t>marker_357_965717.png</t>
        </is>
      </c>
      <c r="L3626" s="11">
        <f>HYPERLINK("4\1\" &amp; K3626, "Ver Imagen")</f>
        <v/>
      </c>
      <c r="M3626" t="inlineStr">
        <is>
          <t>Moda</t>
        </is>
      </c>
    </row>
    <row r="3627">
      <c r="A3627" t="n">
        <v>3626</v>
      </c>
      <c r="B3627" t="inlineStr">
        <is>
          <t>A-5053__26</t>
        </is>
      </c>
      <c r="C3627" s="1" t="n">
        <v>37.2239659841</v>
      </c>
      <c r="D3627" s="1" t="n">
        <v>-7.12527181822</v>
      </c>
      <c r="E3627" s="3" t="n">
        <v>4</v>
      </c>
      <c r="F3627" s="2" t="n">
        <v>4</v>
      </c>
      <c r="G3627" s="4" t="n">
        <v>3</v>
      </c>
      <c r="H3627" s="13" t="n"/>
      <c r="I3627" s="15" t="n"/>
      <c r="J3627" s="19" t="n">
        <v>4</v>
      </c>
      <c r="K3627" s="2" t="inlineStr">
        <is>
          <t>marker_508_022405.png</t>
        </is>
      </c>
      <c r="L3627" s="11">
        <f>HYPERLINK("4\1\" &amp; K3627, "Ver Imagen")</f>
        <v/>
      </c>
      <c r="M3627" t="inlineStr">
        <is>
          <t>Moda</t>
        </is>
      </c>
    </row>
    <row r="3628">
      <c r="A3628" t="n">
        <v>3627</v>
      </c>
      <c r="B3628" t="inlineStr">
        <is>
          <t>A-499__71</t>
        </is>
      </c>
      <c r="C3628" s="1" t="n">
        <v>37.4954714666</v>
      </c>
      <c r="D3628" s="1" t="n">
        <v>-7.27002868798</v>
      </c>
      <c r="E3628" s="3" t="n">
        <v>3</v>
      </c>
      <c r="F3628" s="2" t="n">
        <v>4</v>
      </c>
      <c r="G3628" s="4" t="n">
        <v>4</v>
      </c>
      <c r="H3628" s="13" t="n"/>
      <c r="I3628" s="15" t="n"/>
      <c r="J3628" s="19" t="n">
        <v>4</v>
      </c>
      <c r="K3628" s="2" t="inlineStr">
        <is>
          <t>marker_758_535187.png</t>
        </is>
      </c>
      <c r="L3628" s="11">
        <f>HYPERLINK("4\1\" &amp; K3628, "Ver Imagen")</f>
        <v/>
      </c>
      <c r="M3628" t="inlineStr">
        <is>
          <t>Moda</t>
        </is>
      </c>
    </row>
    <row r="3629">
      <c r="A3629" t="n">
        <v>3628</v>
      </c>
      <c r="B3629" t="inlineStr">
        <is>
          <t>A-497_2C__152</t>
        </is>
      </c>
      <c r="C3629" s="1" t="n">
        <v>37.2671720942</v>
      </c>
      <c r="D3629" s="1" t="n">
        <v>-6.99173229313</v>
      </c>
      <c r="E3629" s="3" t="n">
        <v>4</v>
      </c>
      <c r="F3629" s="2" t="n">
        <v>4</v>
      </c>
      <c r="G3629" s="4" t="n">
        <v>3</v>
      </c>
      <c r="H3629" s="13" t="n"/>
      <c r="I3629" s="15" t="n"/>
      <c r="J3629" s="19" t="n">
        <v>4</v>
      </c>
      <c r="K3629" s="2" t="inlineStr">
        <is>
          <t>marker_383_656021.png</t>
        </is>
      </c>
      <c r="L3629" s="11">
        <f>HYPERLINK("4\1\" &amp; K3629, "Ver Imagen")</f>
        <v/>
      </c>
      <c r="M3629" t="inlineStr">
        <is>
          <t>Moda</t>
        </is>
      </c>
    </row>
    <row r="3630">
      <c r="A3630" t="n">
        <v>3629</v>
      </c>
      <c r="B3630" t="inlineStr">
        <is>
          <t>A-497_2C__311</t>
        </is>
      </c>
      <c r="C3630" s="1" t="n">
        <v>37.2472740256</v>
      </c>
      <c r="D3630" s="1" t="n">
        <v>-7.01840555103</v>
      </c>
      <c r="E3630" s="3" t="n">
        <v>4</v>
      </c>
      <c r="F3630" s="2" t="n">
        <v>4</v>
      </c>
      <c r="G3630" s="4" t="n">
        <v>3</v>
      </c>
      <c r="H3630" s="13" t="n"/>
      <c r="I3630" s="15" t="n"/>
      <c r="J3630" s="19" t="n">
        <v>4</v>
      </c>
      <c r="K3630" s="2" t="inlineStr">
        <is>
          <t>marker_708_361842.png</t>
        </is>
      </c>
      <c r="L3630" s="11">
        <f>HYPERLINK("4\1\" &amp; K3630, "Ver Imagen")</f>
        <v/>
      </c>
      <c r="M3630" t="inlineStr">
        <is>
          <t>Moda</t>
        </is>
      </c>
    </row>
    <row r="3631">
      <c r="A3631" t="n">
        <v>3630</v>
      </c>
      <c r="B3631" t="inlineStr">
        <is>
          <t>A-497_2C__559</t>
        </is>
      </c>
      <c r="C3631" s="1" t="n">
        <v>37.2041660832</v>
      </c>
      <c r="D3631" s="1" t="n">
        <v>-7.01206556294</v>
      </c>
      <c r="E3631" s="3" t="n">
        <v>3</v>
      </c>
      <c r="F3631" s="2" t="n">
        <v>4</v>
      </c>
      <c r="G3631" s="4" t="n">
        <v>4</v>
      </c>
      <c r="H3631" s="13" t="n"/>
      <c r="I3631" s="15" t="n"/>
      <c r="J3631" s="19" t="n">
        <v>4</v>
      </c>
      <c r="K3631" s="2" t="inlineStr">
        <is>
          <t>marker_785_366367.png</t>
        </is>
      </c>
      <c r="L3631" s="11">
        <f>HYPERLINK("4\1\" &amp; K3631, "Ver Imagen")</f>
        <v/>
      </c>
      <c r="M3631" t="inlineStr">
        <is>
          <t>Moda</t>
        </is>
      </c>
    </row>
    <row r="3632">
      <c r="A3632" t="n">
        <v>3631</v>
      </c>
      <c r="B3632" t="inlineStr">
        <is>
          <t>A-490__23</t>
        </is>
      </c>
      <c r="C3632" s="1" t="n">
        <v>37.4466132952</v>
      </c>
      <c r="D3632" s="1" t="n">
        <v>-7.13201701077</v>
      </c>
      <c r="E3632" s="3" t="n">
        <v>3</v>
      </c>
      <c r="F3632" s="2" t="n">
        <v>4</v>
      </c>
      <c r="G3632" s="4" t="n">
        <v>4</v>
      </c>
      <c r="H3632" s="13" t="n"/>
      <c r="I3632" s="15" t="n"/>
      <c r="J3632" s="19" t="n">
        <v>4</v>
      </c>
      <c r="K3632" s="2" t="inlineStr">
        <is>
          <t>marker_137_730734.png</t>
        </is>
      </c>
      <c r="L3632" s="11">
        <f>HYPERLINK("4\1\" &amp; K3632, "Ver Imagen")</f>
        <v/>
      </c>
      <c r="M3632" t="inlineStr">
        <is>
          <t>Moda</t>
        </is>
      </c>
    </row>
    <row r="3633">
      <c r="A3633" t="n">
        <v>3632</v>
      </c>
      <c r="B3633" t="inlineStr">
        <is>
          <t>A-490__3</t>
        </is>
      </c>
      <c r="C3633" s="1" t="n">
        <v>37.4472647652</v>
      </c>
      <c r="D3633" s="1" t="n">
        <v>-7.1269836869</v>
      </c>
      <c r="E3633" s="3" t="n">
        <v>4</v>
      </c>
      <c r="F3633" s="2" t="n">
        <v>5</v>
      </c>
      <c r="G3633" s="4" t="n">
        <v>4</v>
      </c>
      <c r="H3633" s="13" t="n"/>
      <c r="I3633" s="15" t="n"/>
      <c r="J3633" s="19" t="n">
        <v>4</v>
      </c>
      <c r="K3633" s="2" t="inlineStr">
        <is>
          <t>marker_163_817296.png</t>
        </is>
      </c>
      <c r="L3633" s="11">
        <f>HYPERLINK("4\1\" &amp; K3633, "Ver Imagen")</f>
        <v/>
      </c>
      <c r="M3633" t="inlineStr">
        <is>
          <t>Moda</t>
        </is>
      </c>
    </row>
    <row r="3634">
      <c r="A3634" t="n">
        <v>3633</v>
      </c>
      <c r="B3634" t="inlineStr">
        <is>
          <t>A-490__5</t>
        </is>
      </c>
      <c r="C3634" s="1" t="n">
        <v>37.4471879349</v>
      </c>
      <c r="D3634" s="1" t="n">
        <v>-7.1274658401</v>
      </c>
      <c r="E3634" s="3" t="n">
        <v>4</v>
      </c>
      <c r="F3634" s="2" t="n">
        <v>5</v>
      </c>
      <c r="G3634" s="4" t="n">
        <v>4</v>
      </c>
      <c r="H3634" s="13" t="n"/>
      <c r="I3634" s="15" t="n"/>
      <c r="J3634" s="19" t="n">
        <v>4</v>
      </c>
      <c r="K3634" s="2" t="inlineStr">
        <is>
          <t>marker_303_667472.png</t>
        </is>
      </c>
      <c r="L3634" s="11">
        <f>HYPERLINK("4\1\" &amp; K3634, "Ver Imagen")</f>
        <v/>
      </c>
      <c r="M3634" t="inlineStr">
        <is>
          <t>Moda</t>
        </is>
      </c>
    </row>
    <row r="3635">
      <c r="A3635" t="n">
        <v>3634</v>
      </c>
      <c r="B3635" t="inlineStr">
        <is>
          <t>A-490__6</t>
        </is>
      </c>
      <c r="C3635" s="1" t="n">
        <v>37.4471589601</v>
      </c>
      <c r="D3635" s="1" t="n">
        <v>-7.12774900447</v>
      </c>
      <c r="E3635" s="3" t="n">
        <v>4</v>
      </c>
      <c r="F3635" s="2" t="n">
        <v>4</v>
      </c>
      <c r="G3635" s="4" t="n">
        <v>3</v>
      </c>
      <c r="H3635" s="13" t="n"/>
      <c r="I3635" s="15" t="n"/>
      <c r="J3635" s="19" t="n">
        <v>4</v>
      </c>
      <c r="K3635" s="2" t="inlineStr">
        <is>
          <t>marker_462_724787.png</t>
        </is>
      </c>
      <c r="L3635" s="11">
        <f>HYPERLINK("4\1\" &amp; K3635, "Ver Imagen")</f>
        <v/>
      </c>
      <c r="M3635" t="inlineStr">
        <is>
          <t>Moda</t>
        </is>
      </c>
    </row>
    <row r="3636">
      <c r="A3636" t="n">
        <v>3635</v>
      </c>
      <c r="B3636" t="inlineStr">
        <is>
          <t>A-490__11</t>
        </is>
      </c>
      <c r="C3636" s="1" t="n">
        <v>37.4471450717</v>
      </c>
      <c r="D3636" s="1" t="n">
        <v>-7.12896618092</v>
      </c>
      <c r="E3636" s="3" t="n">
        <v>4</v>
      </c>
      <c r="F3636" s="2" t="n">
        <v>5</v>
      </c>
      <c r="G3636" s="4" t="n">
        <v>4</v>
      </c>
      <c r="H3636" s="13" t="n"/>
      <c r="I3636" s="15" t="n"/>
      <c r="J3636" s="19" t="n">
        <v>4</v>
      </c>
      <c r="K3636" s="2" t="inlineStr">
        <is>
          <t>marker_481_726083.png</t>
        </is>
      </c>
      <c r="L3636" s="11">
        <f>HYPERLINK("4\1\" &amp; K3636, "Ver Imagen")</f>
        <v/>
      </c>
      <c r="M3636" t="inlineStr">
        <is>
          <t>Moda</t>
        </is>
      </c>
    </row>
    <row r="3637">
      <c r="A3637" t="n">
        <v>3636</v>
      </c>
      <c r="B3637" t="inlineStr">
        <is>
          <t>A-490__15</t>
        </is>
      </c>
      <c r="C3637" s="1" t="n">
        <v>37.4470435673</v>
      </c>
      <c r="D3637" s="1" t="n">
        <v>-7.1300083677</v>
      </c>
      <c r="E3637" s="3" t="n">
        <v>4</v>
      </c>
      <c r="F3637" s="2" t="n">
        <v>5</v>
      </c>
      <c r="G3637" s="4" t="n">
        <v>4</v>
      </c>
      <c r="H3637" s="13" t="n"/>
      <c r="I3637" s="15" t="n"/>
      <c r="J3637" s="19" t="n">
        <v>4</v>
      </c>
      <c r="K3637" s="2" t="inlineStr">
        <is>
          <t>marker_466_728126.png</t>
        </is>
      </c>
      <c r="L3637" s="11">
        <f>HYPERLINK("4\1\" &amp; K3637, "Ver Imagen")</f>
        <v/>
      </c>
      <c r="M3637" t="inlineStr">
        <is>
          <t>Moda</t>
        </is>
      </c>
    </row>
    <row r="3638">
      <c r="A3638" t="n">
        <v>3637</v>
      </c>
      <c r="B3638" t="inlineStr">
        <is>
          <t>A-490__16</t>
        </is>
      </c>
      <c r="C3638" s="1" t="n">
        <v>37.4469835928</v>
      </c>
      <c r="D3638" s="1" t="n">
        <v>-7.13023226812</v>
      </c>
      <c r="E3638" s="3" t="n">
        <v>4</v>
      </c>
      <c r="F3638" s="2" t="n">
        <v>5</v>
      </c>
      <c r="G3638" s="4" t="n">
        <v>4</v>
      </c>
      <c r="H3638" s="13" t="n"/>
      <c r="I3638" s="15" t="n"/>
      <c r="J3638" s="19" t="n">
        <v>4</v>
      </c>
      <c r="K3638" s="2" t="inlineStr">
        <is>
          <t>marker_333_728175.png</t>
        </is>
      </c>
      <c r="L3638" s="11">
        <f>HYPERLINK("4\1\" &amp; K3638, "Ver Imagen")</f>
        <v/>
      </c>
      <c r="M3638" t="inlineStr">
        <is>
          <t>Moda</t>
        </is>
      </c>
    </row>
    <row r="3639">
      <c r="A3639" t="n">
        <v>3638</v>
      </c>
      <c r="B3639" t="inlineStr">
        <is>
          <t>A-490__72</t>
        </is>
      </c>
      <c r="C3639" s="1" t="n">
        <v>37.4485094024</v>
      </c>
      <c r="D3639" s="1" t="n">
        <v>-7.14374260633</v>
      </c>
      <c r="E3639" s="3" t="n">
        <v>3</v>
      </c>
      <c r="F3639" s="2" t="n">
        <v>4</v>
      </c>
      <c r="G3639" s="4" t="n">
        <v>4</v>
      </c>
      <c r="H3639" s="13" t="n"/>
      <c r="I3639" s="15" t="n"/>
      <c r="J3639" s="19" t="n">
        <v>4</v>
      </c>
      <c r="K3639" s="2" t="inlineStr">
        <is>
          <t>marker_983_738217.png</t>
        </is>
      </c>
      <c r="L3639" s="11">
        <f>HYPERLINK("4\1\" &amp; K3639, "Ver Imagen")</f>
        <v/>
      </c>
      <c r="M3639" t="inlineStr">
        <is>
          <t>Moda</t>
        </is>
      </c>
    </row>
    <row r="3640">
      <c r="A3640" t="n">
        <v>3639</v>
      </c>
      <c r="B3640" t="inlineStr">
        <is>
          <t>A-490__77</t>
        </is>
      </c>
      <c r="C3640" s="1" t="n">
        <v>37.4485810968</v>
      </c>
      <c r="D3640" s="1" t="n">
        <v>-7.14497038354</v>
      </c>
      <c r="E3640" s="3" t="n">
        <v>3</v>
      </c>
      <c r="F3640" s="2" t="n">
        <v>4</v>
      </c>
      <c r="G3640" s="4" t="n">
        <v>4</v>
      </c>
      <c r="H3640" s="13" t="n"/>
      <c r="I3640" s="15" t="n"/>
      <c r="J3640" s="19" t="n">
        <v>4</v>
      </c>
      <c r="K3640" s="2" t="inlineStr">
        <is>
          <t>marker_197_738520.png</t>
        </is>
      </c>
      <c r="L3640" s="11">
        <f>HYPERLINK("4\1\" &amp; K3640, "Ver Imagen")</f>
        <v/>
      </c>
      <c r="M3640" t="inlineStr">
        <is>
          <t>Moda</t>
        </is>
      </c>
    </row>
    <row r="3641">
      <c r="A3641" t="n">
        <v>3640</v>
      </c>
      <c r="B3641" t="inlineStr">
        <is>
          <t>A-490__78</t>
        </is>
      </c>
      <c r="C3641" s="1" t="n">
        <v>37.44859407</v>
      </c>
      <c r="D3641" s="1" t="n">
        <v>-7.14518579622</v>
      </c>
      <c r="E3641" s="3" t="n">
        <v>3</v>
      </c>
      <c r="F3641" s="2" t="n">
        <v>4</v>
      </c>
      <c r="G3641" s="4" t="n">
        <v>4</v>
      </c>
      <c r="H3641" s="13" t="n"/>
      <c r="I3641" s="15" t="n"/>
      <c r="J3641" s="19" t="n">
        <v>4</v>
      </c>
      <c r="K3641" s="2" t="inlineStr">
        <is>
          <t>marker_771_738559.png</t>
        </is>
      </c>
      <c r="L3641" s="11">
        <f>HYPERLINK("4\1\" &amp; K3641, "Ver Imagen")</f>
        <v/>
      </c>
      <c r="M3641" t="inlineStr">
        <is>
          <t>Moda</t>
        </is>
      </c>
    </row>
    <row r="3642">
      <c r="A3642" t="n">
        <v>3641</v>
      </c>
      <c r="B3642" t="inlineStr">
        <is>
          <t>A-490__102</t>
        </is>
      </c>
      <c r="C3642" s="1" t="n">
        <v>37.4493572669</v>
      </c>
      <c r="D3642" s="1" t="n">
        <v>-7.15114186203</v>
      </c>
      <c r="E3642" s="3" t="n">
        <v>3</v>
      </c>
      <c r="F3642" s="2" t="n">
        <v>4</v>
      </c>
      <c r="G3642" s="4" t="n">
        <v>4</v>
      </c>
      <c r="H3642" s="13" t="n"/>
      <c r="I3642" s="15" t="n"/>
      <c r="J3642" s="19" t="n">
        <v>4</v>
      </c>
      <c r="K3642" s="2" t="inlineStr">
        <is>
          <t>marker_726_739592.png</t>
        </is>
      </c>
      <c r="L3642" s="11">
        <f>HYPERLINK("4\1\" &amp; K3642, "Ver Imagen")</f>
        <v/>
      </c>
      <c r="M3642" t="inlineStr">
        <is>
          <t>Moda</t>
        </is>
      </c>
    </row>
    <row r="3643">
      <c r="A3643" t="n">
        <v>3642</v>
      </c>
      <c r="B3643" t="inlineStr">
        <is>
          <t>A-490__103</t>
        </is>
      </c>
      <c r="C3643" s="1" t="n">
        <v>37.4494601518</v>
      </c>
      <c r="D3643" s="1" t="n">
        <v>-7.15135952432</v>
      </c>
      <c r="E3643" s="3" t="n">
        <v>3</v>
      </c>
      <c r="F3643" s="2" t="n">
        <v>4</v>
      </c>
      <c r="G3643" s="4" t="n">
        <v>4</v>
      </c>
      <c r="H3643" s="13" t="n"/>
      <c r="I3643" s="15" t="n"/>
      <c r="J3643" s="19" t="n">
        <v>4</v>
      </c>
      <c r="K3643" s="2" t="inlineStr">
        <is>
          <t>marker_840_739608.png</t>
        </is>
      </c>
      <c r="L3643" s="11">
        <f>HYPERLINK("4\1\" &amp; K3643, "Ver Imagen")</f>
        <v/>
      </c>
      <c r="M3643" t="inlineStr">
        <is>
          <t>Moda</t>
        </is>
      </c>
    </row>
    <row r="3644">
      <c r="A3644" t="n">
        <v>3643</v>
      </c>
      <c r="B3644" t="inlineStr">
        <is>
          <t>A-490__104</t>
        </is>
      </c>
      <c r="C3644" s="1" t="n">
        <v>37.4495751308</v>
      </c>
      <c r="D3644" s="1" t="n">
        <v>-7.15156447309</v>
      </c>
      <c r="E3644" s="3" t="n">
        <v>4</v>
      </c>
      <c r="F3644" s="2" t="n">
        <v>4</v>
      </c>
      <c r="G3644" s="4" t="n">
        <v>5</v>
      </c>
      <c r="H3644" s="13" t="n"/>
      <c r="I3644" s="15" t="n"/>
      <c r="J3644" s="19" t="n">
        <v>4</v>
      </c>
      <c r="K3644" s="2" t="inlineStr">
        <is>
          <t>marker_695_739634.png</t>
        </is>
      </c>
      <c r="L3644" s="11">
        <f>HYPERLINK("4\1\" &amp; K3644, "Ver Imagen")</f>
        <v/>
      </c>
      <c r="M3644" t="inlineStr">
        <is>
          <t>Moda</t>
        </is>
      </c>
    </row>
    <row r="3645">
      <c r="A3645" t="n">
        <v>3644</v>
      </c>
      <c r="B3645" t="inlineStr">
        <is>
          <t>A-490__221</t>
        </is>
      </c>
      <c r="C3645" s="1" t="n">
        <v>37.4624328424</v>
      </c>
      <c r="D3645" s="1" t="n">
        <v>-7.17583827658</v>
      </c>
      <c r="E3645" s="3" t="n">
        <v>3</v>
      </c>
      <c r="F3645" s="2" t="n">
        <v>4</v>
      </c>
      <c r="G3645" s="4" t="n">
        <v>4</v>
      </c>
      <c r="H3645" s="13" t="n"/>
      <c r="I3645" s="15" t="n"/>
      <c r="J3645" s="19" t="n">
        <v>4</v>
      </c>
      <c r="K3645" s="2" t="inlineStr">
        <is>
          <t>marker_761_743400.png</t>
        </is>
      </c>
      <c r="L3645" s="11">
        <f>HYPERLINK("4\1\" &amp; K3645, "Ver Imagen")</f>
        <v/>
      </c>
      <c r="M3645" t="inlineStr">
        <is>
          <t>Moda</t>
        </is>
      </c>
    </row>
    <row r="3646">
      <c r="A3646" t="n">
        <v>3645</v>
      </c>
      <c r="B3646" t="inlineStr">
        <is>
          <t>A-490__171</t>
        </is>
      </c>
      <c r="C3646" s="1" t="n">
        <v>37.4556673027</v>
      </c>
      <c r="D3646" s="1" t="n">
        <v>-7.1663911521</v>
      </c>
      <c r="E3646" s="3" t="n">
        <v>3</v>
      </c>
      <c r="F3646" s="2" t="n">
        <v>4</v>
      </c>
      <c r="G3646" s="4" t="n">
        <v>4</v>
      </c>
      <c r="H3646" s="13" t="n"/>
      <c r="I3646" s="15" t="n"/>
      <c r="J3646" s="19" t="n">
        <v>4</v>
      </c>
      <c r="K3646" s="2" t="inlineStr">
        <is>
          <t>marker_511_741501.png</t>
        </is>
      </c>
      <c r="L3646" s="11">
        <f>HYPERLINK("4\1\" &amp; K3646, "Ver Imagen")</f>
        <v/>
      </c>
      <c r="M3646" t="inlineStr">
        <is>
          <t>Moda</t>
        </is>
      </c>
    </row>
    <row r="3647">
      <c r="A3647" t="n">
        <v>3646</v>
      </c>
      <c r="B3647" t="inlineStr">
        <is>
          <t>A-490__206</t>
        </is>
      </c>
      <c r="C3647" s="1" t="n">
        <v>37.4606036355</v>
      </c>
      <c r="D3647" s="1" t="n">
        <v>-7.17282770506</v>
      </c>
      <c r="E3647" s="3" t="n">
        <v>3</v>
      </c>
      <c r="F3647" s="2" t="n">
        <v>4</v>
      </c>
      <c r="G3647" s="4" t="n">
        <v>4</v>
      </c>
      <c r="H3647" s="13" t="n"/>
      <c r="I3647" s="15" t="n"/>
      <c r="J3647" s="19" t="n">
        <v>4</v>
      </c>
      <c r="K3647" s="2" t="inlineStr">
        <is>
          <t>marker_943_742505.png</t>
        </is>
      </c>
      <c r="L3647" s="11">
        <f>HYPERLINK("4\1\" &amp; K3647, "Ver Imagen")</f>
        <v/>
      </c>
      <c r="M3647" t="inlineStr">
        <is>
          <t>Moda</t>
        </is>
      </c>
    </row>
    <row r="3648">
      <c r="A3648" t="n">
        <v>3647</v>
      </c>
      <c r="B3648" t="inlineStr">
        <is>
          <t>A-490__222</t>
        </is>
      </c>
      <c r="C3648" s="1" t="n">
        <v>37.462543341</v>
      </c>
      <c r="D3648" s="1" t="n">
        <v>-7.17601807431</v>
      </c>
      <c r="E3648" s="3" t="n">
        <v>3</v>
      </c>
      <c r="F3648" s="2" t="n">
        <v>4</v>
      </c>
      <c r="G3648" s="4" t="n">
        <v>4</v>
      </c>
      <c r="H3648" s="13" t="n"/>
      <c r="I3648" s="15" t="n"/>
      <c r="J3648" s="19" t="n">
        <v>4</v>
      </c>
      <c r="K3648" s="2" t="inlineStr">
        <is>
          <t>marker_501_743597.png</t>
        </is>
      </c>
      <c r="L3648" s="11">
        <f>HYPERLINK("4\1\" &amp; K3648, "Ver Imagen")</f>
        <v/>
      </c>
      <c r="M3648" t="inlineStr">
        <is>
          <t>Moda</t>
        </is>
      </c>
    </row>
    <row r="3649">
      <c r="A3649" t="n">
        <v>3648</v>
      </c>
      <c r="B3649" t="inlineStr">
        <is>
          <t>A-490__233</t>
        </is>
      </c>
      <c r="C3649" s="1" t="n">
        <v>37.4638844926</v>
      </c>
      <c r="D3649" s="1" t="n">
        <v>-7.17829651647</v>
      </c>
      <c r="E3649" s="3" t="n">
        <v>3</v>
      </c>
      <c r="F3649" s="2" t="n">
        <v>4</v>
      </c>
      <c r="G3649" s="4" t="n">
        <v>4</v>
      </c>
      <c r="H3649" s="13" t="n"/>
      <c r="I3649" s="15" t="n"/>
      <c r="J3649" s="19" t="n">
        <v>4</v>
      </c>
      <c r="K3649" s="2" t="inlineStr">
        <is>
          <t>marker_447_743903.png</t>
        </is>
      </c>
      <c r="L3649" s="11">
        <f>HYPERLINK("4\1\" &amp; K3649, "Ver Imagen")</f>
        <v/>
      </c>
      <c r="M3649" t="inlineStr">
        <is>
          <t>Moda</t>
        </is>
      </c>
    </row>
    <row r="3650">
      <c r="A3650" t="n">
        <v>3649</v>
      </c>
      <c r="B3650" t="inlineStr">
        <is>
          <t>A-490__237</t>
        </is>
      </c>
      <c r="C3650" s="1" t="n">
        <v>37.4643504212</v>
      </c>
      <c r="D3650" s="1" t="n">
        <v>-7.17916923168</v>
      </c>
      <c r="E3650" s="3" t="n">
        <v>4</v>
      </c>
      <c r="F3650" s="2" t="n">
        <v>4</v>
      </c>
      <c r="G3650" s="4" t="n">
        <v>5</v>
      </c>
      <c r="H3650" s="13" t="n"/>
      <c r="I3650" s="15" t="n"/>
      <c r="J3650" s="19" t="n">
        <v>4</v>
      </c>
      <c r="K3650" s="2" t="inlineStr">
        <is>
          <t>marker_101_744049.png</t>
        </is>
      </c>
      <c r="L3650" s="11">
        <f>HYPERLINK("4\1\" &amp; K3650, "Ver Imagen")</f>
        <v/>
      </c>
      <c r="M3650" t="inlineStr">
        <is>
          <t>Moda</t>
        </is>
      </c>
    </row>
    <row r="3651">
      <c r="A3651" t="n">
        <v>3650</v>
      </c>
      <c r="B3651" t="inlineStr">
        <is>
          <t>A-490__239</t>
        </is>
      </c>
      <c r="C3651" s="1" t="n">
        <v>37.4645842024</v>
      </c>
      <c r="D3651" s="1" t="n">
        <v>-7.1795713624</v>
      </c>
      <c r="E3651" s="3" t="n">
        <v>3</v>
      </c>
      <c r="F3651" s="2" t="n">
        <v>4</v>
      </c>
      <c r="G3651" s="4" t="n">
        <v>4</v>
      </c>
      <c r="H3651" s="13" t="n"/>
      <c r="I3651" s="15" t="n"/>
      <c r="J3651" s="19" t="n">
        <v>4</v>
      </c>
      <c r="K3651" s="2" t="inlineStr">
        <is>
          <t>marker_264_744128.png</t>
        </is>
      </c>
      <c r="L3651" s="11">
        <f>HYPERLINK("4\1\" &amp; K3651, "Ver Imagen")</f>
        <v/>
      </c>
      <c r="M3651" t="inlineStr">
        <is>
          <t>Moda</t>
        </is>
      </c>
    </row>
    <row r="3652">
      <c r="A3652" t="n">
        <v>3651</v>
      </c>
      <c r="B3652" t="inlineStr">
        <is>
          <t>A-490__241</t>
        </is>
      </c>
      <c r="C3652" s="1" t="n">
        <v>37.4648406133</v>
      </c>
      <c r="D3652" s="1" t="n">
        <v>-7.18001521949</v>
      </c>
      <c r="E3652" s="3" t="n">
        <v>4</v>
      </c>
      <c r="F3652" s="2" t="n">
        <v>4</v>
      </c>
      <c r="G3652" s="4" t="n">
        <v>5</v>
      </c>
      <c r="H3652" s="13" t="n"/>
      <c r="I3652" s="15" t="n"/>
      <c r="J3652" s="19" t="n">
        <v>4</v>
      </c>
      <c r="K3652" s="2" t="inlineStr">
        <is>
          <t>marker_109_749198.png</t>
        </is>
      </c>
      <c r="L3652" s="11">
        <f>HYPERLINK("4\1\" &amp; K3652, "Ver Imagen")</f>
        <v/>
      </c>
      <c r="M3652" t="inlineStr">
        <is>
          <t>Moda</t>
        </is>
      </c>
    </row>
    <row r="3653">
      <c r="A3653" t="n">
        <v>3652</v>
      </c>
      <c r="B3653" t="inlineStr">
        <is>
          <t>A-490__242</t>
        </is>
      </c>
      <c r="C3653" s="1" t="n">
        <v>37.4649700932</v>
      </c>
      <c r="D3653" s="1" t="n">
        <v>-7.18025145709</v>
      </c>
      <c r="E3653" s="3" t="n">
        <v>4</v>
      </c>
      <c r="F3653" s="2" t="n">
        <v>4</v>
      </c>
      <c r="G3653" s="4" t="n">
        <v>5</v>
      </c>
      <c r="H3653" s="13" t="n"/>
      <c r="I3653" s="15" t="n"/>
      <c r="J3653" s="19" t="n">
        <v>4</v>
      </c>
      <c r="K3653" s="2" t="inlineStr">
        <is>
          <t>marker_740_749219.png</t>
        </is>
      </c>
      <c r="L3653" s="11">
        <f>HYPERLINK("4\1\" &amp; K3653, "Ver Imagen")</f>
        <v/>
      </c>
      <c r="M3653" t="inlineStr">
        <is>
          <t>Moda</t>
        </is>
      </c>
    </row>
    <row r="3654">
      <c r="A3654" t="n">
        <v>3653</v>
      </c>
      <c r="B3654" t="inlineStr">
        <is>
          <t>A-490__254</t>
        </is>
      </c>
      <c r="C3654" s="1" t="n">
        <v>37.4663056453</v>
      </c>
      <c r="D3654" s="1" t="n">
        <v>-7.18274046835</v>
      </c>
      <c r="E3654" s="3" t="n">
        <v>3</v>
      </c>
      <c r="F3654" s="2" t="n">
        <v>4</v>
      </c>
      <c r="G3654" s="4" t="n">
        <v>4</v>
      </c>
      <c r="H3654" s="13" t="n"/>
      <c r="I3654" s="15" t="n"/>
      <c r="J3654" s="19" t="n">
        <v>4</v>
      </c>
      <c r="K3654" s="2" t="inlineStr">
        <is>
          <t>marker_451_749584.png</t>
        </is>
      </c>
      <c r="L3654" s="11">
        <f>HYPERLINK("4\1\" &amp; K3654, "Ver Imagen")</f>
        <v/>
      </c>
      <c r="M3654" t="inlineStr">
        <is>
          <t>Moda</t>
        </is>
      </c>
    </row>
    <row r="3655">
      <c r="A3655" t="n">
        <v>3654</v>
      </c>
      <c r="B3655" t="inlineStr">
        <is>
          <t>A-490__259</t>
        </is>
      </c>
      <c r="C3655" s="1" t="n">
        <v>37.4668474219</v>
      </c>
      <c r="D3655" s="1" t="n">
        <v>-7.1837829048</v>
      </c>
      <c r="E3655" s="3" t="n">
        <v>3</v>
      </c>
      <c r="F3655" s="2" t="n">
        <v>4</v>
      </c>
      <c r="G3655" s="4" t="n">
        <v>4</v>
      </c>
      <c r="H3655" s="13" t="n"/>
      <c r="I3655" s="15" t="n"/>
      <c r="J3655" s="19" t="n">
        <v>4</v>
      </c>
      <c r="K3655" s="2" t="inlineStr">
        <is>
          <t>marker_787_749682.png</t>
        </is>
      </c>
      <c r="L3655" s="11">
        <f>HYPERLINK("4\1\" &amp; K3655, "Ver Imagen")</f>
        <v/>
      </c>
      <c r="M3655" t="inlineStr">
        <is>
          <t>Moda</t>
        </is>
      </c>
    </row>
    <row r="3656">
      <c r="A3656" t="n">
        <v>3655</v>
      </c>
      <c r="B3656" t="inlineStr">
        <is>
          <t>A-490__261</t>
        </is>
      </c>
      <c r="C3656" s="1" t="n">
        <v>37.4670499443</v>
      </c>
      <c r="D3656" s="1" t="n">
        <v>-7.18419336941</v>
      </c>
      <c r="E3656" s="3" t="n">
        <v>3</v>
      </c>
      <c r="F3656" s="2" t="n">
        <v>4</v>
      </c>
      <c r="G3656" s="4" t="n">
        <v>4</v>
      </c>
      <c r="H3656" s="13" t="n"/>
      <c r="I3656" s="15" t="n"/>
      <c r="J3656" s="19" t="n">
        <v>4</v>
      </c>
      <c r="K3656" s="2" t="inlineStr">
        <is>
          <t>marker_244_749729.png</t>
        </is>
      </c>
      <c r="L3656" s="11">
        <f>HYPERLINK("4\1\" &amp; K3656, "Ver Imagen")</f>
        <v/>
      </c>
      <c r="M3656" t="inlineStr">
        <is>
          <t>Moda</t>
        </is>
      </c>
    </row>
    <row r="3657">
      <c r="A3657" t="n">
        <v>3656</v>
      </c>
      <c r="B3657" t="inlineStr">
        <is>
          <t>A-495R__40</t>
        </is>
      </c>
      <c r="C3657" s="1" t="n">
        <v>37.4523688332</v>
      </c>
      <c r="D3657" s="1" t="n">
        <v>-7.11172010097</v>
      </c>
      <c r="E3657" s="3" t="n">
        <v>4</v>
      </c>
      <c r="F3657" s="2" t="n">
        <v>5</v>
      </c>
      <c r="G3657" s="4" t="n">
        <v>4</v>
      </c>
      <c r="H3657" s="13" t="n"/>
      <c r="I3657" s="15" t="n"/>
      <c r="J3657" s="19" t="n">
        <v>4</v>
      </c>
      <c r="K3657" s="2" t="inlineStr">
        <is>
          <t>marker_280_936521.png</t>
        </is>
      </c>
      <c r="L3657" s="11">
        <f>HYPERLINK("4\1\" &amp; K3657, "Ver Imagen")</f>
        <v/>
      </c>
      <c r="M3657" t="inlineStr">
        <is>
          <t>Moda</t>
        </is>
      </c>
    </row>
    <row r="3658">
      <c r="A3658" t="n">
        <v>3657</v>
      </c>
      <c r="B3658" t="inlineStr">
        <is>
          <t>A-492__14</t>
        </is>
      </c>
      <c r="C3658" s="1" t="n">
        <v>37.2741768647</v>
      </c>
      <c r="D3658" s="1" t="n">
        <v>-6.99130787766</v>
      </c>
      <c r="E3658" s="3" t="n">
        <v>3</v>
      </c>
      <c r="F3658" s="2" t="n">
        <v>4</v>
      </c>
      <c r="G3658" s="4" t="n">
        <v>4</v>
      </c>
      <c r="H3658" s="13" t="n"/>
      <c r="I3658" s="15" t="n"/>
      <c r="J3658" s="19" t="n">
        <v>4</v>
      </c>
      <c r="K3658" s="2" t="inlineStr">
        <is>
          <t>marker_339_821945.png</t>
        </is>
      </c>
      <c r="L3658" s="11">
        <f>HYPERLINK("4\1\" &amp; K3658, "Ver Imagen")</f>
        <v/>
      </c>
      <c r="M3658" t="inlineStr">
        <is>
          <t>Moda</t>
        </is>
      </c>
    </row>
    <row r="3659">
      <c r="A3659" t="n">
        <v>3658</v>
      </c>
      <c r="B3659" t="inlineStr">
        <is>
          <t>A-492__32</t>
        </is>
      </c>
      <c r="C3659" s="1" t="n">
        <v>37.2772526837</v>
      </c>
      <c r="D3659" s="1" t="n">
        <v>-6.99197857082</v>
      </c>
      <c r="E3659" s="3" t="n">
        <v>3</v>
      </c>
      <c r="F3659" s="2" t="n">
        <v>4</v>
      </c>
      <c r="G3659" s="4" t="n">
        <v>4</v>
      </c>
      <c r="H3659" s="13" t="n"/>
      <c r="I3659" s="15" t="n"/>
      <c r="J3659" s="19" t="n">
        <v>4</v>
      </c>
      <c r="K3659" s="2" t="inlineStr">
        <is>
          <t>marker_834_822576.png</t>
        </is>
      </c>
      <c r="L3659" s="11">
        <f>HYPERLINK("4\1\" &amp; K3659, "Ver Imagen")</f>
        <v/>
      </c>
      <c r="M3659" t="inlineStr">
        <is>
          <t>Moda</t>
        </is>
      </c>
    </row>
    <row r="3660">
      <c r="A3660" t="n">
        <v>3659</v>
      </c>
      <c r="B3660" t="inlineStr">
        <is>
          <t>A-492__34</t>
        </is>
      </c>
      <c r="C3660" s="1" t="n">
        <v>37.2775633947</v>
      </c>
      <c r="D3660" s="1" t="n">
        <v>-6.99225258973</v>
      </c>
      <c r="E3660" s="3" t="n">
        <v>4</v>
      </c>
      <c r="F3660" s="2" t="n">
        <v>4</v>
      </c>
      <c r="G3660" s="4" t="n">
        <v>3</v>
      </c>
      <c r="H3660" s="13" t="n"/>
      <c r="I3660" s="15" t="n"/>
      <c r="J3660" s="19" t="n">
        <v>4</v>
      </c>
      <c r="K3660" s="2" t="inlineStr">
        <is>
          <t>marker_516_822642.png</t>
        </is>
      </c>
      <c r="L3660" s="11">
        <f>HYPERLINK("4\1\" &amp; K3660, "Ver Imagen")</f>
        <v/>
      </c>
      <c r="M3660" t="inlineStr">
        <is>
          <t>Moda</t>
        </is>
      </c>
    </row>
    <row r="3661">
      <c r="A3661" t="n">
        <v>3660</v>
      </c>
      <c r="B3661" t="inlineStr">
        <is>
          <t>A-492__36</t>
        </is>
      </c>
      <c r="C3661" s="1" t="n">
        <v>37.2778885213</v>
      </c>
      <c r="D3661" s="1" t="n">
        <v>-6.99255555898</v>
      </c>
      <c r="E3661" s="3" t="n">
        <v>4</v>
      </c>
      <c r="F3661" s="2" t="n">
        <v>5</v>
      </c>
      <c r="G3661" s="4" t="n">
        <v>4</v>
      </c>
      <c r="H3661" s="13" t="n"/>
      <c r="I3661" s="15" t="n"/>
      <c r="J3661" s="19" t="n">
        <v>4</v>
      </c>
      <c r="K3661" s="2" t="inlineStr">
        <is>
          <t>marker_314_822805.png</t>
        </is>
      </c>
      <c r="L3661" s="11">
        <f>HYPERLINK("4\1\" &amp; K3661, "Ver Imagen")</f>
        <v/>
      </c>
      <c r="M3661" t="inlineStr">
        <is>
          <t>Moda</t>
        </is>
      </c>
    </row>
    <row r="3662">
      <c r="A3662" t="n">
        <v>3661</v>
      </c>
      <c r="B3662" t="inlineStr">
        <is>
          <t>A-492__62</t>
        </is>
      </c>
      <c r="C3662" s="1" t="n">
        <v>37.2798911767</v>
      </c>
      <c r="D3662" s="1" t="n">
        <v>-6.99849943216</v>
      </c>
      <c r="E3662" s="3" t="n">
        <v>4</v>
      </c>
      <c r="F3662" s="2" t="n">
        <v>3</v>
      </c>
      <c r="G3662" s="4" t="n">
        <v>4</v>
      </c>
      <c r="H3662" s="13" t="n"/>
      <c r="I3662" s="15" t="n"/>
      <c r="J3662" s="19" t="n">
        <v>4</v>
      </c>
      <c r="K3662" s="2" t="inlineStr">
        <is>
          <t>marker_924_823168.png</t>
        </is>
      </c>
      <c r="L3662" s="11">
        <f>HYPERLINK("4\1\" &amp; K3662, "Ver Imagen")</f>
        <v/>
      </c>
      <c r="M3662" t="inlineStr">
        <is>
          <t>Moda</t>
        </is>
      </c>
    </row>
    <row r="3663">
      <c r="A3663" t="n">
        <v>3662</v>
      </c>
      <c r="B3663" t="inlineStr">
        <is>
          <t>A-492__69</t>
        </is>
      </c>
      <c r="C3663" s="1" t="n">
        <v>37.2802713915</v>
      </c>
      <c r="D3663" s="1" t="n">
        <v>-6.99999700258</v>
      </c>
      <c r="E3663" s="3" t="n">
        <v>4</v>
      </c>
      <c r="F3663" s="2" t="n">
        <v>3</v>
      </c>
      <c r="G3663" s="4" t="n">
        <v>4</v>
      </c>
      <c r="H3663" s="13" t="n"/>
      <c r="I3663" s="15" t="n"/>
      <c r="J3663" s="19" t="n">
        <v>4</v>
      </c>
      <c r="K3663" s="2" t="inlineStr">
        <is>
          <t>marker_342_823273.png</t>
        </is>
      </c>
      <c r="L3663" s="11">
        <f>HYPERLINK("4\1\" &amp; K3663, "Ver Imagen")</f>
        <v/>
      </c>
      <c r="M3663" t="inlineStr">
        <is>
          <t>Moda</t>
        </is>
      </c>
    </row>
    <row r="3664">
      <c r="A3664" t="n">
        <v>3663</v>
      </c>
      <c r="B3664" t="inlineStr">
        <is>
          <t>A-492__70</t>
        </is>
      </c>
      <c r="C3664" s="1" t="n">
        <v>37.2804510363</v>
      </c>
      <c r="D3664" s="1" t="n">
        <v>-7.00013812526</v>
      </c>
      <c r="E3664" s="3" t="n">
        <v>3</v>
      </c>
      <c r="F3664" s="2" t="n">
        <v>4</v>
      </c>
      <c r="G3664" s="4" t="n">
        <v>4</v>
      </c>
      <c r="H3664" s="13" t="n"/>
      <c r="I3664" s="15" t="n"/>
      <c r="J3664" s="19" t="n">
        <v>4</v>
      </c>
      <c r="K3664" s="2" t="inlineStr">
        <is>
          <t>marker_637_823288.png</t>
        </is>
      </c>
      <c r="L3664" s="11">
        <f>HYPERLINK("4\1\" &amp; K3664, "Ver Imagen")</f>
        <v/>
      </c>
      <c r="M3664" t="inlineStr">
        <is>
          <t>Moda</t>
        </is>
      </c>
    </row>
    <row r="3665">
      <c r="A3665" t="n">
        <v>3664</v>
      </c>
      <c r="B3665" t="inlineStr">
        <is>
          <t>A-492__73</t>
        </is>
      </c>
      <c r="C3665" s="1" t="n">
        <v>37.2805234715</v>
      </c>
      <c r="D3665" s="1" t="n">
        <v>-7.00091844939</v>
      </c>
      <c r="E3665" s="3" t="n">
        <v>3</v>
      </c>
      <c r="F3665" s="2" t="n">
        <v>4</v>
      </c>
      <c r="G3665" s="4" t="n">
        <v>4</v>
      </c>
      <c r="H3665" s="13" t="n"/>
      <c r="I3665" s="15" t="n"/>
      <c r="J3665" s="19" t="n">
        <v>4</v>
      </c>
      <c r="K3665" s="2" t="inlineStr">
        <is>
          <t>marker_272_823376.png</t>
        </is>
      </c>
      <c r="L3665" s="11">
        <f>HYPERLINK("4\1\" &amp; K3665, "Ver Imagen")</f>
        <v/>
      </c>
      <c r="M3665" t="inlineStr">
        <is>
          <t>Moda</t>
        </is>
      </c>
    </row>
    <row r="3666">
      <c r="A3666" t="n">
        <v>3665</v>
      </c>
      <c r="B3666" t="inlineStr">
        <is>
          <t>A-492__114</t>
        </is>
      </c>
      <c r="C3666" s="1" t="n">
        <v>37.2781881874</v>
      </c>
      <c r="D3666" s="1" t="n">
        <v>-7.01038253316</v>
      </c>
      <c r="E3666" s="3" t="n">
        <v>3</v>
      </c>
      <c r="F3666" s="2" t="n">
        <v>4</v>
      </c>
      <c r="G3666" s="4" t="n">
        <v>4</v>
      </c>
      <c r="H3666" s="13" t="n"/>
      <c r="I3666" s="15" t="n"/>
      <c r="J3666" s="19" t="n">
        <v>4</v>
      </c>
      <c r="K3666" s="2" t="inlineStr">
        <is>
          <t>marker_580_824337.png</t>
        </is>
      </c>
      <c r="L3666" s="11">
        <f>HYPERLINK("4\1\" &amp; K3666, "Ver Imagen")</f>
        <v/>
      </c>
      <c r="M3666" t="inlineStr">
        <is>
          <t>Moda</t>
        </is>
      </c>
    </row>
    <row r="3667">
      <c r="A3667" t="n">
        <v>3666</v>
      </c>
      <c r="B3667" t="inlineStr">
        <is>
          <t>A-492__126</t>
        </is>
      </c>
      <c r="C3667" s="1" t="n">
        <v>37.276816647</v>
      </c>
      <c r="D3667" s="1" t="n">
        <v>-7.01288939979</v>
      </c>
      <c r="E3667" s="3" t="n">
        <v>3</v>
      </c>
      <c r="F3667" s="2" t="n">
        <v>4</v>
      </c>
      <c r="G3667" s="4" t="n">
        <v>4</v>
      </c>
      <c r="H3667" s="13" t="n"/>
      <c r="I3667" s="15" t="n"/>
      <c r="J3667" s="19" t="n">
        <v>4</v>
      </c>
      <c r="K3667" s="2" t="inlineStr">
        <is>
          <t>marker_211_824490.png</t>
        </is>
      </c>
      <c r="L3667" s="11">
        <f>HYPERLINK("4\1\" &amp; K3667, "Ver Imagen")</f>
        <v/>
      </c>
      <c r="M3667" t="inlineStr">
        <is>
          <t>Moda</t>
        </is>
      </c>
    </row>
    <row r="3668">
      <c r="A3668" t="n">
        <v>3667</v>
      </c>
      <c r="B3668" t="inlineStr">
        <is>
          <t>A-492__480</t>
        </is>
      </c>
      <c r="C3668" s="1" t="n">
        <v>37.3193613742</v>
      </c>
      <c r="D3668" s="1" t="n">
        <v>-7.07149589041</v>
      </c>
      <c r="E3668" s="3" t="n">
        <v>3</v>
      </c>
      <c r="F3668" s="2" t="n">
        <v>4</v>
      </c>
      <c r="G3668" s="4" t="n">
        <v>4</v>
      </c>
      <c r="H3668" s="13" t="n"/>
      <c r="I3668" s="15" t="n"/>
      <c r="J3668" s="19" t="n">
        <v>4</v>
      </c>
      <c r="K3668" s="2" t="inlineStr">
        <is>
          <t>marker_564_840158.png</t>
        </is>
      </c>
      <c r="L3668" s="11">
        <f>HYPERLINK("4\1\" &amp; K3668, "Ver Imagen")</f>
        <v/>
      </c>
      <c r="M3668" t="inlineStr">
        <is>
          <t>Moda</t>
        </is>
      </c>
    </row>
    <row r="3669">
      <c r="A3669" t="n">
        <v>3668</v>
      </c>
      <c r="B3669" t="inlineStr">
        <is>
          <t>A-495R__55</t>
        </is>
      </c>
      <c r="C3669" s="1" t="n">
        <v>37.4552028892</v>
      </c>
      <c r="D3669" s="1" t="n">
        <v>-7.11321969714</v>
      </c>
      <c r="E3669" s="3" t="n">
        <v>4</v>
      </c>
      <c r="F3669" s="2" t="n">
        <v>4</v>
      </c>
      <c r="G3669" s="4" t="n">
        <v>5</v>
      </c>
      <c r="H3669" s="13" t="n"/>
      <c r="I3669" s="15" t="n"/>
      <c r="J3669" s="19" t="n">
        <v>4</v>
      </c>
      <c r="K3669" s="2" t="inlineStr">
        <is>
          <t>marker_786_935610.png</t>
        </is>
      </c>
      <c r="L3669" s="11">
        <f>HYPERLINK("4\1\" &amp; K3669, "Ver Imagen")</f>
        <v/>
      </c>
      <c r="M3669" t="inlineStr">
        <is>
          <t>Moda</t>
        </is>
      </c>
    </row>
    <row r="3670">
      <c r="A3670" t="n">
        <v>3669</v>
      </c>
      <c r="B3670" t="inlineStr">
        <is>
          <t>A-495R__31</t>
        </is>
      </c>
      <c r="C3670" s="1" t="n">
        <v>37.4507956766</v>
      </c>
      <c r="D3670" s="1" t="n">
        <v>-7.11068402267</v>
      </c>
      <c r="E3670" s="3" t="n">
        <v>4</v>
      </c>
      <c r="F3670" s="2" t="n">
        <v>5</v>
      </c>
      <c r="G3670" s="4" t="n">
        <v>4</v>
      </c>
      <c r="H3670" s="13" t="n"/>
      <c r="I3670" s="15" t="n"/>
      <c r="J3670" s="19" t="n">
        <v>4</v>
      </c>
      <c r="K3670" s="2" t="inlineStr">
        <is>
          <t>marker_184_936610.png</t>
        </is>
      </c>
      <c r="L3670" s="11">
        <f>HYPERLINK("4\1\" &amp; K3670, "Ver Imagen")</f>
        <v/>
      </c>
      <c r="M3670" t="inlineStr">
        <is>
          <t>Moda</t>
        </is>
      </c>
    </row>
    <row r="3671">
      <c r="A3671" t="n">
        <v>3670</v>
      </c>
      <c r="B3671" t="inlineStr">
        <is>
          <t>A-495R__29</t>
        </is>
      </c>
      <c r="C3671" s="1" t="n">
        <v>37.4504184705</v>
      </c>
      <c r="D3671" s="1" t="n">
        <v>-7.11051606353</v>
      </c>
      <c r="E3671" s="3" t="n">
        <v>4</v>
      </c>
      <c r="F3671" s="2" t="n">
        <v>3</v>
      </c>
      <c r="G3671" s="4" t="n">
        <v>4</v>
      </c>
      <c r="H3671" s="13" t="n"/>
      <c r="I3671" s="15" t="n"/>
      <c r="J3671" s="19" t="n">
        <v>4</v>
      </c>
      <c r="K3671" s="2" t="inlineStr">
        <is>
          <t>marker_565_936632.png</t>
        </is>
      </c>
      <c r="L3671" s="11">
        <f>HYPERLINK("4\1\" &amp; K3671, "Ver Imagen")</f>
        <v/>
      </c>
      <c r="M3671" t="inlineStr">
        <is>
          <t>Moda</t>
        </is>
      </c>
    </row>
    <row r="3672">
      <c r="A3672" s="16" t="n">
        <v>3671</v>
      </c>
      <c r="B3672" s="16" t="inlineStr">
        <is>
          <t>A-495R__2</t>
        </is>
      </c>
      <c r="C3672" s="16" t="n">
        <v>37.4467946099</v>
      </c>
      <c r="D3672" s="16" t="n">
        <v>-7.10643605252</v>
      </c>
      <c r="E3672" s="16" t="n">
        <v>3</v>
      </c>
      <c r="F3672" s="16" t="n">
        <v>4</v>
      </c>
      <c r="G3672" s="16" t="n">
        <v>4</v>
      </c>
      <c r="H3672" s="16" t="n"/>
      <c r="I3672" s="16" t="n"/>
      <c r="J3672" s="21" t="n">
        <v>4</v>
      </c>
      <c r="K3672" s="16" t="inlineStr">
        <is>
          <t>marker_276_937101.png</t>
        </is>
      </c>
      <c r="L3672" s="17">
        <f>HYPERLINK("4\1\" &amp; K3672, "Ver Imagen")</f>
        <v/>
      </c>
      <c r="M3672" s="16" t="inlineStr">
        <is>
          <t>X_ Tramo desbrozado</t>
        </is>
      </c>
      <c r="N3672" s="16" t="n"/>
    </row>
    <row r="3673">
      <c r="A3673" t="n">
        <v>3672</v>
      </c>
      <c r="B3673" t="inlineStr">
        <is>
          <t>A-497__24</t>
        </is>
      </c>
      <c r="C3673" s="1" t="n">
        <v>37.2674724111</v>
      </c>
      <c r="D3673" s="1" t="n">
        <v>-6.96177595187</v>
      </c>
      <c r="E3673" s="3" t="n">
        <v>4</v>
      </c>
      <c r="F3673" s="2" t="n">
        <v>3</v>
      </c>
      <c r="G3673" s="4" t="n">
        <v>4</v>
      </c>
      <c r="H3673" s="13" t="n"/>
      <c r="I3673" s="15" t="n"/>
      <c r="J3673" s="19" t="n">
        <v>4</v>
      </c>
      <c r="K3673" s="2" t="inlineStr">
        <is>
          <t>marker_965_943730.png</t>
        </is>
      </c>
      <c r="L3673" s="11">
        <f>HYPERLINK("4\1\" &amp; K3673, "Ver Imagen")</f>
        <v/>
      </c>
      <c r="M3673" t="inlineStr">
        <is>
          <t>Moda</t>
        </is>
      </c>
    </row>
    <row r="3674">
      <c r="A3674" t="n">
        <v>3673</v>
      </c>
      <c r="B3674" t="inlineStr">
        <is>
          <t>A-497__9</t>
        </is>
      </c>
      <c r="C3674" s="1" t="n">
        <v>37.2667590309</v>
      </c>
      <c r="D3674" s="1" t="n">
        <v>-6.95815092892</v>
      </c>
      <c r="E3674" s="3" t="n">
        <v>3</v>
      </c>
      <c r="F3674" s="2" t="n">
        <v>4</v>
      </c>
      <c r="G3674" s="4" t="n">
        <v>4</v>
      </c>
      <c r="H3674" s="13" t="n"/>
      <c r="I3674" s="15" t="n"/>
      <c r="J3674" s="19" t="n">
        <v>4</v>
      </c>
      <c r="K3674" s="2" t="inlineStr">
        <is>
          <t>marker_105_943986.png</t>
        </is>
      </c>
      <c r="L3674" s="11">
        <f>HYPERLINK("4\1\" &amp; K3674, "Ver Imagen")</f>
        <v/>
      </c>
      <c r="M3674" t="inlineStr">
        <is>
          <t>Moda</t>
        </is>
      </c>
    </row>
    <row r="3675">
      <c r="A3675" t="n">
        <v>3674</v>
      </c>
      <c r="B3675" t="inlineStr">
        <is>
          <t>A-5050__59</t>
        </is>
      </c>
      <c r="C3675" s="1" t="n">
        <v>37.2027895701</v>
      </c>
      <c r="D3675" s="1" t="n">
        <v>-7.01503379167</v>
      </c>
      <c r="E3675" s="3" t="n">
        <v>3</v>
      </c>
      <c r="F3675" s="2" t="n">
        <v>4</v>
      </c>
      <c r="G3675" s="4" t="n">
        <v>4</v>
      </c>
      <c r="H3675" s="13" t="n"/>
      <c r="I3675" s="15" t="n"/>
      <c r="J3675" s="19" t="n">
        <v>4</v>
      </c>
      <c r="K3675" s="2" t="inlineStr">
        <is>
          <t>marker_457_949050.png</t>
        </is>
      </c>
      <c r="L3675" s="11">
        <f>HYPERLINK("4\1\" &amp; K3675, "Ver Imagen")</f>
        <v/>
      </c>
      <c r="M3675" t="inlineStr">
        <is>
          <t>Moda</t>
        </is>
      </c>
    </row>
    <row r="3676">
      <c r="A3676" t="n">
        <v>3675</v>
      </c>
      <c r="B3676" t="inlineStr">
        <is>
          <t>A-5050__25</t>
        </is>
      </c>
      <c r="C3676" s="1" t="n">
        <v>37.2071010481</v>
      </c>
      <c r="D3676" s="1" t="n">
        <v>-7.02173370082</v>
      </c>
      <c r="E3676" s="3" t="n">
        <v>4</v>
      </c>
      <c r="F3676" s="2" t="n">
        <v>3</v>
      </c>
      <c r="G3676" s="4" t="n">
        <v>4</v>
      </c>
      <c r="H3676" s="13" t="n"/>
      <c r="I3676" s="15" t="n"/>
      <c r="J3676" s="19" t="n">
        <v>4</v>
      </c>
      <c r="K3676" s="2" t="inlineStr">
        <is>
          <t>marker_353_949407.png</t>
        </is>
      </c>
      <c r="L3676" s="11">
        <f>HYPERLINK("4\1\" &amp; K3676, "Ver Imagen")</f>
        <v/>
      </c>
      <c r="M3676" t="inlineStr">
        <is>
          <t>Moda</t>
        </is>
      </c>
    </row>
    <row r="3677">
      <c r="A3677" t="n">
        <v>3676</v>
      </c>
      <c r="B3677" t="inlineStr">
        <is>
          <t>A-5050__23</t>
        </is>
      </c>
      <c r="C3677" s="1" t="n">
        <v>37.2074366388</v>
      </c>
      <c r="D3677" s="1" t="n">
        <v>-7.0220961505</v>
      </c>
      <c r="E3677" s="3" t="n">
        <v>4</v>
      </c>
      <c r="F3677" s="2" t="n">
        <v>3</v>
      </c>
      <c r="G3677" s="4" t="n">
        <v>4</v>
      </c>
      <c r="H3677" s="13" t="n"/>
      <c r="I3677" s="15" t="n"/>
      <c r="J3677" s="19" t="n">
        <v>4</v>
      </c>
      <c r="K3677" s="2" t="inlineStr">
        <is>
          <t>marker_202_949429.png</t>
        </is>
      </c>
      <c r="L3677" s="11">
        <f>HYPERLINK("4\1\" &amp; K3677, "Ver Imagen")</f>
        <v/>
      </c>
      <c r="M3677" t="inlineStr">
        <is>
          <t>Moda</t>
        </is>
      </c>
    </row>
    <row r="3678">
      <c r="A3678" t="n">
        <v>3677</v>
      </c>
      <c r="B3678" t="inlineStr">
        <is>
          <t>A-5052__328</t>
        </is>
      </c>
      <c r="C3678" s="1" t="n">
        <v>37.2111248981</v>
      </c>
      <c r="D3678" s="1" t="n">
        <v>-7.04477278746</v>
      </c>
      <c r="E3678" s="3" t="n">
        <v>4</v>
      </c>
      <c r="F3678" s="2" t="n">
        <v>4</v>
      </c>
      <c r="G3678" s="4" t="n">
        <v>3</v>
      </c>
      <c r="H3678" s="13" t="n"/>
      <c r="I3678" s="15" t="n"/>
      <c r="J3678" s="19" t="n">
        <v>4</v>
      </c>
      <c r="K3678" s="2" t="inlineStr">
        <is>
          <t>marker_261_961477.png</t>
        </is>
      </c>
      <c r="L3678" s="11">
        <f>HYPERLINK("4\1\" &amp; K3678, "Ver Imagen")</f>
        <v/>
      </c>
      <c r="M3678" t="inlineStr">
        <is>
          <t>Moda</t>
        </is>
      </c>
    </row>
    <row r="3679">
      <c r="A3679" t="n">
        <v>3678</v>
      </c>
      <c r="B3679" t="inlineStr">
        <is>
          <t>A-5052__403</t>
        </is>
      </c>
      <c r="C3679" s="1" t="n">
        <v>37.2044683541</v>
      </c>
      <c r="D3679" s="1" t="n">
        <v>-7.02778881811</v>
      </c>
      <c r="E3679" s="3" t="n">
        <v>4</v>
      </c>
      <c r="F3679" s="2" t="n">
        <v>3</v>
      </c>
      <c r="G3679" s="4" t="n">
        <v>4</v>
      </c>
      <c r="H3679" s="13" t="n"/>
      <c r="I3679" s="15" t="n"/>
      <c r="J3679" s="19" t="n">
        <v>4</v>
      </c>
      <c r="K3679" s="2" t="inlineStr">
        <is>
          <t>marker_736_962700.png</t>
        </is>
      </c>
      <c r="L3679" s="11">
        <f>HYPERLINK("4\1\" &amp; K3679, "Ver Imagen")</f>
        <v/>
      </c>
      <c r="M3679" t="inlineStr">
        <is>
          <t>Moda</t>
        </is>
      </c>
    </row>
    <row r="3680">
      <c r="A3680" t="n">
        <v>3679</v>
      </c>
      <c r="B3680" t="inlineStr">
        <is>
          <t>A-5053__323</t>
        </is>
      </c>
      <c r="C3680" s="1" t="n">
        <v>37.2786209156</v>
      </c>
      <c r="D3680" s="1" t="n">
        <v>-7.14432713007</v>
      </c>
      <c r="E3680" s="3" t="n">
        <v>4</v>
      </c>
      <c r="F3680" s="2" t="n">
        <v>3</v>
      </c>
      <c r="G3680" s="4" t="n">
        <v>4</v>
      </c>
      <c r="H3680" s="13" t="n"/>
      <c r="I3680" s="15" t="n"/>
      <c r="J3680" s="19" t="n">
        <v>4</v>
      </c>
      <c r="K3680" s="2" t="inlineStr">
        <is>
          <t>marker_877_964544.png</t>
        </is>
      </c>
      <c r="L3680" s="11">
        <f>HYPERLINK("4\1\" &amp; K3680, "Ver Imagen")</f>
        <v/>
      </c>
      <c r="M3680" t="inlineStr">
        <is>
          <t>Moda</t>
        </is>
      </c>
    </row>
    <row r="3681">
      <c r="A3681" t="n">
        <v>3680</v>
      </c>
      <c r="B3681" t="inlineStr">
        <is>
          <t>A-5053__297</t>
        </is>
      </c>
      <c r="C3681" s="1" t="n">
        <v>37.2737077745</v>
      </c>
      <c r="D3681" s="1" t="n">
        <v>-7.14209916746</v>
      </c>
      <c r="E3681" s="3" t="n">
        <v>5</v>
      </c>
      <c r="F3681" s="2" t="n">
        <v>4</v>
      </c>
      <c r="G3681" s="4" t="n">
        <v>4</v>
      </c>
      <c r="H3681" s="13" t="n"/>
      <c r="I3681" s="15" t="n"/>
      <c r="J3681" s="19" t="n">
        <v>4</v>
      </c>
      <c r="K3681" s="2" t="inlineStr">
        <is>
          <t>marker_790_964893.png</t>
        </is>
      </c>
      <c r="L3681" s="11">
        <f>HYPERLINK("4\1\" &amp; K3681, "Ver Imagen")</f>
        <v/>
      </c>
      <c r="M3681" t="inlineStr">
        <is>
          <t>Moda</t>
        </is>
      </c>
    </row>
    <row r="3682">
      <c r="A3682" t="n">
        <v>3681</v>
      </c>
      <c r="B3682" t="inlineStr">
        <is>
          <t>A-5053__295</t>
        </is>
      </c>
      <c r="C3682" s="1" t="n">
        <v>37.2733295304</v>
      </c>
      <c r="D3682" s="1" t="n">
        <v>-7.14193572633</v>
      </c>
      <c r="E3682" s="3" t="n">
        <v>5</v>
      </c>
      <c r="F3682" s="2" t="n">
        <v>4</v>
      </c>
      <c r="G3682" s="4" t="n">
        <v>4</v>
      </c>
      <c r="H3682" s="13" t="n"/>
      <c r="I3682" s="15" t="n"/>
      <c r="J3682" s="19" t="n">
        <v>4</v>
      </c>
      <c r="K3682" s="2" t="inlineStr">
        <is>
          <t>marker_920_964912.png</t>
        </is>
      </c>
      <c r="L3682" s="11">
        <f>HYPERLINK("4\1\" &amp; K3682, "Ver Imagen")</f>
        <v/>
      </c>
      <c r="M3682" t="inlineStr">
        <is>
          <t>Moda</t>
        </is>
      </c>
    </row>
    <row r="3683">
      <c r="A3683" t="n">
        <v>3682</v>
      </c>
      <c r="B3683" t="inlineStr">
        <is>
          <t>A-5053__292</t>
        </is>
      </c>
      <c r="C3683" s="1" t="n">
        <v>37.272770215</v>
      </c>
      <c r="D3683" s="1" t="n">
        <v>-7.14165876865</v>
      </c>
      <c r="E3683" s="3" t="n">
        <v>5</v>
      </c>
      <c r="F3683" s="2" t="n">
        <v>4</v>
      </c>
      <c r="G3683" s="4" t="n">
        <v>4</v>
      </c>
      <c r="H3683" s="13" t="n"/>
      <c r="I3683" s="15" t="n"/>
      <c r="J3683" s="19" t="n">
        <v>4</v>
      </c>
      <c r="K3683" s="2" t="inlineStr">
        <is>
          <t>marker_387_964939.png</t>
        </is>
      </c>
      <c r="L3683" s="11">
        <f>HYPERLINK("4\1\" &amp; K3683, "Ver Imagen")</f>
        <v/>
      </c>
      <c r="M3683" t="inlineStr">
        <is>
          <t>Moda</t>
        </is>
      </c>
    </row>
    <row r="3684">
      <c r="A3684" t="n">
        <v>3683</v>
      </c>
      <c r="B3684" t="inlineStr">
        <is>
          <t>A-5053__277</t>
        </is>
      </c>
      <c r="C3684" s="1" t="n">
        <v>37.2701589667</v>
      </c>
      <c r="D3684" s="1" t="n">
        <v>-7.13969102151</v>
      </c>
      <c r="E3684" s="3" t="n">
        <v>4</v>
      </c>
      <c r="F3684" s="2" t="n">
        <v>3</v>
      </c>
      <c r="G3684" s="4" t="n">
        <v>4</v>
      </c>
      <c r="H3684" s="13" t="n"/>
      <c r="I3684" s="15" t="n"/>
      <c r="J3684" s="19" t="n">
        <v>4</v>
      </c>
      <c r="K3684" s="2" t="inlineStr">
        <is>
          <t>marker_645_965087.png</t>
        </is>
      </c>
      <c r="L3684" s="11">
        <f>HYPERLINK("4\1\" &amp; K3684, "Ver Imagen")</f>
        <v/>
      </c>
      <c r="M3684" t="inlineStr">
        <is>
          <t>Moda</t>
        </is>
      </c>
    </row>
    <row r="3685">
      <c r="A3685" t="n">
        <v>3684</v>
      </c>
      <c r="B3685" t="inlineStr">
        <is>
          <t>A-5053__276</t>
        </is>
      </c>
      <c r="C3685" s="1" t="n">
        <v>37.2699906726</v>
      </c>
      <c r="D3685" s="1" t="n">
        <v>-7.13957271306</v>
      </c>
      <c r="E3685" s="3" t="n">
        <v>4</v>
      </c>
      <c r="F3685" s="2" t="n">
        <v>3</v>
      </c>
      <c r="G3685" s="4" t="n">
        <v>4</v>
      </c>
      <c r="H3685" s="13" t="n"/>
      <c r="I3685" s="15" t="n"/>
      <c r="J3685" s="19" t="n">
        <v>4</v>
      </c>
      <c r="K3685" s="2" t="inlineStr">
        <is>
          <t>marker_591_965097.png</t>
        </is>
      </c>
      <c r="L3685" s="11">
        <f>HYPERLINK("4\1\" &amp; K3685, "Ver Imagen")</f>
        <v/>
      </c>
      <c r="M3685" t="inlineStr">
        <is>
          <t>Moda</t>
        </is>
      </c>
    </row>
    <row r="3686">
      <c r="A3686" t="n">
        <v>3685</v>
      </c>
      <c r="B3686" t="inlineStr">
        <is>
          <t>A-5053__267</t>
        </is>
      </c>
      <c r="C3686" s="1" t="n">
        <v>37.2687942341</v>
      </c>
      <c r="D3686" s="1" t="n">
        <v>-7.13794240552</v>
      </c>
      <c r="E3686" s="3" t="n">
        <v>4</v>
      </c>
      <c r="F3686" s="2" t="n">
        <v>3</v>
      </c>
      <c r="G3686" s="4" t="n">
        <v>4</v>
      </c>
      <c r="H3686" s="13" t="n"/>
      <c r="I3686" s="15" t="n"/>
      <c r="J3686" s="19" t="n">
        <v>4</v>
      </c>
      <c r="K3686" s="2" t="inlineStr">
        <is>
          <t>marker_953_965173.png</t>
        </is>
      </c>
      <c r="L3686" s="11">
        <f>HYPERLINK("4\1\" &amp; K3686, "Ver Imagen")</f>
        <v/>
      </c>
      <c r="M3686" t="inlineStr">
        <is>
          <t>Moda</t>
        </is>
      </c>
    </row>
    <row r="3687">
      <c r="A3687" t="n">
        <v>3686</v>
      </c>
      <c r="B3687" t="inlineStr">
        <is>
          <t>A-5053__266</t>
        </is>
      </c>
      <c r="C3687" s="1" t="n">
        <v>37.2687178733</v>
      </c>
      <c r="D3687" s="1" t="n">
        <v>-7.13768796822</v>
      </c>
      <c r="E3687" s="3" t="n">
        <v>5</v>
      </c>
      <c r="F3687" s="2" t="n">
        <v>4</v>
      </c>
      <c r="G3687" s="4" t="n">
        <v>4</v>
      </c>
      <c r="H3687" s="13" t="n"/>
      <c r="I3687" s="15" t="n"/>
      <c r="J3687" s="19" t="n">
        <v>4</v>
      </c>
      <c r="K3687" s="2" t="inlineStr">
        <is>
          <t>marker_724_965182.png</t>
        </is>
      </c>
      <c r="L3687" s="11">
        <f>HYPERLINK("4\1\" &amp; K3687, "Ver Imagen")</f>
        <v/>
      </c>
      <c r="M3687" t="inlineStr">
        <is>
          <t>Moda</t>
        </is>
      </c>
    </row>
    <row r="3688">
      <c r="A3688" t="n">
        <v>3687</v>
      </c>
      <c r="B3688" t="inlineStr">
        <is>
          <t>A-5053__265</t>
        </is>
      </c>
      <c r="C3688" s="1" t="n">
        <v>37.2686520945</v>
      </c>
      <c r="D3688" s="1" t="n">
        <v>-7.13742501325</v>
      </c>
      <c r="E3688" s="3" t="n">
        <v>5</v>
      </c>
      <c r="F3688" s="2" t="n">
        <v>4</v>
      </c>
      <c r="G3688" s="4" t="n">
        <v>4</v>
      </c>
      <c r="H3688" s="13" t="n"/>
      <c r="I3688" s="15" t="n"/>
      <c r="J3688" s="19" t="n">
        <v>4</v>
      </c>
      <c r="K3688" s="2" t="inlineStr">
        <is>
          <t>marker_465_965190.png</t>
        </is>
      </c>
      <c r="L3688" s="11">
        <f>HYPERLINK("4\1\" &amp; K3688, "Ver Imagen")</f>
        <v/>
      </c>
      <c r="M3688" t="inlineStr">
        <is>
          <t>Moda</t>
        </is>
      </c>
    </row>
    <row r="3689">
      <c r="A3689" t="n">
        <v>3688</v>
      </c>
      <c r="B3689" t="inlineStr">
        <is>
          <t>A-5053__253</t>
        </is>
      </c>
      <c r="C3689" s="1" t="n">
        <v>37.2678439073</v>
      </c>
      <c r="D3689" s="1" t="n">
        <v>-7.13457816139</v>
      </c>
      <c r="E3689" s="3" t="n">
        <v>5</v>
      </c>
      <c r="F3689" s="2" t="n">
        <v>4</v>
      </c>
      <c r="G3689" s="4" t="n">
        <v>4</v>
      </c>
      <c r="H3689" s="13" t="n"/>
      <c r="I3689" s="15" t="n"/>
      <c r="J3689" s="19" t="n">
        <v>4</v>
      </c>
      <c r="K3689" s="2" t="inlineStr">
        <is>
          <t>marker_715_965323.png</t>
        </is>
      </c>
      <c r="L3689" s="11">
        <f>HYPERLINK("4\1\" &amp; K3689, "Ver Imagen")</f>
        <v/>
      </c>
      <c r="M3689" t="inlineStr">
        <is>
          <t>Moda</t>
        </is>
      </c>
    </row>
    <row r="3690">
      <c r="A3690" t="n">
        <v>3689</v>
      </c>
      <c r="B3690" t="inlineStr">
        <is>
          <t>A-5053__233</t>
        </is>
      </c>
      <c r="C3690" s="1" t="n">
        <v>37.2644738723</v>
      </c>
      <c r="D3690" s="1" t="n">
        <v>-7.1318905156</v>
      </c>
      <c r="E3690" s="3" t="n">
        <v>5</v>
      </c>
      <c r="F3690" s="2" t="n">
        <v>4</v>
      </c>
      <c r="G3690" s="4" t="n">
        <v>4</v>
      </c>
      <c r="H3690" s="13" t="n"/>
      <c r="I3690" s="15" t="n"/>
      <c r="J3690" s="19" t="n">
        <v>4</v>
      </c>
      <c r="K3690" s="2" t="inlineStr">
        <is>
          <t>marker_483_965567.png</t>
        </is>
      </c>
      <c r="L3690" s="11">
        <f>HYPERLINK("4\1\" &amp; K3690, "Ver Imagen")</f>
        <v/>
      </c>
      <c r="M3690" t="inlineStr">
        <is>
          <t>Moda</t>
        </is>
      </c>
    </row>
    <row r="3691">
      <c r="A3691" t="n">
        <v>3690</v>
      </c>
      <c r="B3691" t="inlineStr">
        <is>
          <t>A-5053__221</t>
        </is>
      </c>
      <c r="C3691" s="1" t="n">
        <v>37.2623146538</v>
      </c>
      <c r="D3691" s="1" t="n">
        <v>-7.13053945859</v>
      </c>
      <c r="E3691" s="3" t="n">
        <v>5</v>
      </c>
      <c r="F3691" s="2" t="n">
        <v>4</v>
      </c>
      <c r="G3691" s="4" t="n">
        <v>4</v>
      </c>
      <c r="H3691" s="13" t="n"/>
      <c r="I3691" s="15" t="n"/>
      <c r="J3691" s="19" t="n">
        <v>4</v>
      </c>
      <c r="K3691" s="2" t="inlineStr">
        <is>
          <t>marker_546_965679.png</t>
        </is>
      </c>
      <c r="L3691" s="11">
        <f>HYPERLINK("4\1\" &amp; K3691, "Ver Imagen")</f>
        <v/>
      </c>
      <c r="M3691" t="inlineStr">
        <is>
          <t>Moda</t>
        </is>
      </c>
    </row>
    <row r="3692">
      <c r="A3692" t="n">
        <v>3691</v>
      </c>
      <c r="B3692" t="inlineStr">
        <is>
          <t>A-5053__45</t>
        </is>
      </c>
      <c r="C3692" s="1" t="n">
        <v>37.2276657865</v>
      </c>
      <c r="D3692" s="1" t="n">
        <v>-7.12658033033</v>
      </c>
      <c r="E3692" s="3" t="n">
        <v>4</v>
      </c>
      <c r="F3692" s="2" t="n">
        <v>3</v>
      </c>
      <c r="G3692" s="4" t="n">
        <v>4</v>
      </c>
      <c r="H3692" s="13" t="n"/>
      <c r="I3692" s="15" t="n"/>
      <c r="J3692" s="19" t="n">
        <v>4</v>
      </c>
      <c r="K3692" s="2" t="inlineStr">
        <is>
          <t>marker_820_021652.png</t>
        </is>
      </c>
      <c r="L3692" s="11">
        <f>HYPERLINK("4\1\" &amp; K3692, "Ver Imagen")</f>
        <v/>
      </c>
      <c r="M3692" t="inlineStr">
        <is>
          <t>Moda</t>
        </is>
      </c>
    </row>
    <row r="3693">
      <c r="A3693" t="n">
        <v>3692</v>
      </c>
      <c r="B3693" t="inlineStr">
        <is>
          <t>A-495__53</t>
        </is>
      </c>
      <c r="C3693" s="1" t="n">
        <v>37.4402433745</v>
      </c>
      <c r="D3693" s="1" t="n">
        <v>-7.08815555196</v>
      </c>
      <c r="E3693" s="3" t="n">
        <v>4</v>
      </c>
      <c r="F3693" s="2" t="n">
        <v>3</v>
      </c>
      <c r="G3693" s="4" t="n">
        <v>4</v>
      </c>
      <c r="H3693" s="13" t="n"/>
      <c r="I3693" s="15" t="n"/>
      <c r="J3693" s="19" t="n">
        <v>4</v>
      </c>
      <c r="K3693" s="2" t="inlineStr">
        <is>
          <t>marker_516_381643.png</t>
        </is>
      </c>
      <c r="L3693" s="11">
        <f>HYPERLINK("4\1\" &amp; K3693, "Ver Imagen")</f>
        <v/>
      </c>
      <c r="M3693" t="inlineStr">
        <is>
          <t>Moda</t>
        </is>
      </c>
    </row>
    <row r="3694">
      <c r="A3694" t="n">
        <v>3693</v>
      </c>
      <c r="B3694" t="inlineStr">
        <is>
          <t>A-495__57</t>
        </is>
      </c>
      <c r="C3694" s="1" t="n">
        <v>37.4398203267</v>
      </c>
      <c r="D3694" s="1" t="n">
        <v>-7.08728118302</v>
      </c>
      <c r="E3694" s="3" t="n">
        <v>4</v>
      </c>
      <c r="F3694" s="2" t="n">
        <v>3</v>
      </c>
      <c r="G3694" s="4" t="n">
        <v>4</v>
      </c>
      <c r="H3694" s="13" t="n"/>
      <c r="I3694" s="15" t="n"/>
      <c r="J3694" s="19" t="n">
        <v>4</v>
      </c>
      <c r="K3694" s="2" t="inlineStr">
        <is>
          <t>marker_111_381678.png</t>
        </is>
      </c>
      <c r="L3694" s="11">
        <f>HYPERLINK("4\1\" &amp; K3694, "Ver Imagen")</f>
        <v/>
      </c>
      <c r="M3694" t="inlineStr">
        <is>
          <t>Moda</t>
        </is>
      </c>
    </row>
    <row r="3695">
      <c r="A3695" t="n">
        <v>3694</v>
      </c>
      <c r="B3695" t="inlineStr">
        <is>
          <t>A-495__78</t>
        </is>
      </c>
      <c r="C3695" s="1" t="n">
        <v>37.4379170592</v>
      </c>
      <c r="D3695" s="1" t="n">
        <v>-7.08247495347</v>
      </c>
      <c r="E3695" s="3" t="n">
        <v>4</v>
      </c>
      <c r="F3695" s="2" t="n">
        <v>3</v>
      </c>
      <c r="G3695" s="4" t="n">
        <v>4</v>
      </c>
      <c r="H3695" s="13" t="n"/>
      <c r="I3695" s="15" t="n"/>
      <c r="J3695" s="19" t="n">
        <v>4</v>
      </c>
      <c r="K3695" s="2" t="inlineStr">
        <is>
          <t>marker_722_381910.png</t>
        </is>
      </c>
      <c r="L3695" s="11">
        <f>HYPERLINK("4\1\" &amp; K3695, "Ver Imagen")</f>
        <v/>
      </c>
      <c r="M3695" t="inlineStr">
        <is>
          <t>Moda</t>
        </is>
      </c>
    </row>
    <row r="3696">
      <c r="A3696" t="n">
        <v>3695</v>
      </c>
      <c r="B3696" t="inlineStr">
        <is>
          <t>A-495__85</t>
        </is>
      </c>
      <c r="C3696" s="1" t="n">
        <v>37.4373648897</v>
      </c>
      <c r="D3696" s="1" t="n">
        <v>-7.08092268144</v>
      </c>
      <c r="E3696" s="3" t="n">
        <v>4</v>
      </c>
      <c r="F3696" s="2" t="n">
        <v>3</v>
      </c>
      <c r="G3696" s="4" t="n">
        <v>4</v>
      </c>
      <c r="H3696" s="13" t="n"/>
      <c r="I3696" s="15" t="n"/>
      <c r="J3696" s="19" t="n">
        <v>4</v>
      </c>
      <c r="K3696" s="2" t="inlineStr">
        <is>
          <t>marker_829_381988.png</t>
        </is>
      </c>
      <c r="L3696" s="11">
        <f>HYPERLINK("4\1\" &amp; K3696, "Ver Imagen")</f>
        <v/>
      </c>
      <c r="M3696" t="inlineStr">
        <is>
          <t>Moda</t>
        </is>
      </c>
    </row>
    <row r="3697">
      <c r="A3697" t="n">
        <v>3696</v>
      </c>
      <c r="B3697" t="inlineStr">
        <is>
          <t>A-495__115</t>
        </is>
      </c>
      <c r="C3697" s="1" t="n">
        <v>37.4355203234</v>
      </c>
      <c r="D3697" s="1" t="n">
        <v>-7.07429308228</v>
      </c>
      <c r="E3697" s="3" t="n">
        <v>4</v>
      </c>
      <c r="F3697" s="2" t="n">
        <v>4</v>
      </c>
      <c r="G3697" s="4" t="n">
        <v>5</v>
      </c>
      <c r="H3697" s="13" t="n"/>
      <c r="I3697" s="15" t="n"/>
      <c r="J3697" s="19" t="n">
        <v>4</v>
      </c>
      <c r="K3697" s="2" t="inlineStr">
        <is>
          <t>marker_545_382320.png</t>
        </is>
      </c>
      <c r="L3697" s="11">
        <f>HYPERLINK("4\1\" &amp; K3697, "Ver Imagen")</f>
        <v/>
      </c>
      <c r="M3697" t="inlineStr">
        <is>
          <t>Moda</t>
        </is>
      </c>
    </row>
    <row r="3698">
      <c r="A3698" t="n">
        <v>3697</v>
      </c>
      <c r="B3698" t="inlineStr">
        <is>
          <t>A-495__127</t>
        </is>
      </c>
      <c r="C3698" s="1" t="n">
        <v>37.4352432827</v>
      </c>
      <c r="D3698" s="1" t="n">
        <v>-7.07124096853</v>
      </c>
      <c r="E3698" s="3" t="n">
        <v>4</v>
      </c>
      <c r="F3698" s="2" t="n">
        <v>3</v>
      </c>
      <c r="G3698" s="4" t="n">
        <v>4</v>
      </c>
      <c r="H3698" s="13" t="n"/>
      <c r="I3698" s="15" t="n"/>
      <c r="J3698" s="19" t="n">
        <v>4</v>
      </c>
      <c r="K3698" s="2" t="inlineStr">
        <is>
          <t>marker_856_382441.png</t>
        </is>
      </c>
      <c r="L3698" s="11">
        <f>HYPERLINK("4\1\" &amp; K3698, "Ver Imagen")</f>
        <v/>
      </c>
      <c r="M3698" t="inlineStr">
        <is>
          <t>Moda</t>
        </is>
      </c>
    </row>
    <row r="3699">
      <c r="A3699" t="n">
        <v>3698</v>
      </c>
      <c r="B3699" t="inlineStr">
        <is>
          <t>A-5058__169</t>
        </is>
      </c>
      <c r="C3699" s="1" t="n">
        <v>37.2338479038</v>
      </c>
      <c r="D3699" s="1" t="n">
        <v>-7.06605329536</v>
      </c>
      <c r="E3699" s="3" t="n">
        <v>4</v>
      </c>
      <c r="F3699" s="2" t="n">
        <v>3</v>
      </c>
      <c r="G3699" s="4" t="n">
        <v>4</v>
      </c>
      <c r="H3699" s="13" t="n"/>
      <c r="I3699" s="15" t="n"/>
      <c r="J3699" s="19" t="n">
        <v>4</v>
      </c>
      <c r="K3699" s="2" t="inlineStr">
        <is>
          <t>marker_790_382375.png</t>
        </is>
      </c>
      <c r="L3699" s="11">
        <f>HYPERLINK("4\1\" &amp; K3699, "Ver Imagen")</f>
        <v/>
      </c>
      <c r="M3699" t="inlineStr">
        <is>
          <t>Moda</t>
        </is>
      </c>
    </row>
    <row r="3700">
      <c r="A3700" t="n">
        <v>3699</v>
      </c>
      <c r="B3700" t="inlineStr">
        <is>
          <t>A-5058__170</t>
        </is>
      </c>
      <c r="C3700" s="1" t="n">
        <v>37.233872883</v>
      </c>
      <c r="D3700" s="1" t="n">
        <v>-7.06627680406</v>
      </c>
      <c r="E3700" s="3" t="n">
        <v>4</v>
      </c>
      <c r="F3700" s="2" t="n">
        <v>3</v>
      </c>
      <c r="G3700" s="4" t="n">
        <v>4</v>
      </c>
      <c r="H3700" s="13" t="n"/>
      <c r="I3700" s="15" t="n"/>
      <c r="J3700" s="19" t="n">
        <v>4</v>
      </c>
      <c r="K3700" s="2" t="inlineStr">
        <is>
          <t>marker_207_382387.png</t>
        </is>
      </c>
      <c r="L3700" s="11">
        <f>HYPERLINK("4\1\" &amp; K3700, "Ver Imagen")</f>
        <v/>
      </c>
      <c r="M3700" t="inlineStr">
        <is>
          <t>Moda</t>
        </is>
      </c>
    </row>
    <row r="3701">
      <c r="A3701" t="n">
        <v>3700</v>
      </c>
      <c r="B3701" t="inlineStr">
        <is>
          <t>A-5058__171</t>
        </is>
      </c>
      <c r="C3701" s="1" t="n">
        <v>37.2339203454</v>
      </c>
      <c r="D3701" s="1" t="n">
        <v>-7.06645397409</v>
      </c>
      <c r="E3701" s="3" t="n">
        <v>4</v>
      </c>
      <c r="F3701" s="2" t="n">
        <v>3</v>
      </c>
      <c r="G3701" s="4" t="n">
        <v>4</v>
      </c>
      <c r="H3701" s="13" t="n"/>
      <c r="I3701" s="15" t="n"/>
      <c r="J3701" s="19" t="n">
        <v>4</v>
      </c>
      <c r="K3701" s="2" t="inlineStr">
        <is>
          <t>marker_692_382403.png</t>
        </is>
      </c>
      <c r="L3701" s="11">
        <f>HYPERLINK("4\1\" &amp; K3701, "Ver Imagen")</f>
        <v/>
      </c>
      <c r="M3701" t="inlineStr">
        <is>
          <t>Moda</t>
        </is>
      </c>
    </row>
    <row r="3702">
      <c r="A3702" t="n">
        <v>3701</v>
      </c>
      <c r="B3702" t="inlineStr">
        <is>
          <t>A-5058__172</t>
        </is>
      </c>
      <c r="C3702" s="1" t="n">
        <v>37.2338777619</v>
      </c>
      <c r="D3702" s="1" t="n">
        <v>-7.0666647479</v>
      </c>
      <c r="E3702" s="3" t="n">
        <v>4</v>
      </c>
      <c r="F3702" s="2" t="n">
        <v>3</v>
      </c>
      <c r="G3702" s="4" t="n">
        <v>4</v>
      </c>
      <c r="H3702" s="13" t="n"/>
      <c r="I3702" s="15" t="n"/>
      <c r="J3702" s="19" t="n">
        <v>4</v>
      </c>
      <c r="K3702" s="2" t="inlineStr">
        <is>
          <t>marker_441_382414.png</t>
        </is>
      </c>
      <c r="L3702" s="11">
        <f>HYPERLINK("4\1\" &amp; K3702, "Ver Imagen")</f>
        <v/>
      </c>
      <c r="M3702" t="inlineStr">
        <is>
          <t>Moda</t>
        </is>
      </c>
    </row>
    <row r="3703">
      <c r="A3703" t="n">
        <v>3702</v>
      </c>
      <c r="B3703" t="inlineStr">
        <is>
          <t>A-5058__200</t>
        </is>
      </c>
      <c r="C3703" s="1" t="n">
        <v>37.2351595584</v>
      </c>
      <c r="D3703" s="1" t="n">
        <v>-7.07329642498</v>
      </c>
      <c r="E3703" s="3" t="n">
        <v>4</v>
      </c>
      <c r="F3703" s="2" t="n">
        <v>3</v>
      </c>
      <c r="G3703" s="4" t="n">
        <v>4</v>
      </c>
      <c r="H3703" s="13" t="n"/>
      <c r="I3703" s="15" t="n"/>
      <c r="J3703" s="19" t="n">
        <v>4</v>
      </c>
      <c r="K3703" s="2" t="inlineStr">
        <is>
          <t>marker_661_382893.png</t>
        </is>
      </c>
      <c r="L3703" s="11">
        <f>HYPERLINK("4\1\" &amp; K3703, "Ver Imagen")</f>
        <v/>
      </c>
      <c r="M3703" t="inlineStr">
        <is>
          <t>Moda</t>
        </is>
      </c>
    </row>
    <row r="3704">
      <c r="A3704" t="n">
        <v>3703</v>
      </c>
      <c r="B3704" t="inlineStr">
        <is>
          <t>A-5058__205</t>
        </is>
      </c>
      <c r="C3704" s="1" t="n">
        <v>37.235759551</v>
      </c>
      <c r="D3704" s="1" t="n">
        <v>-7.07437519135</v>
      </c>
      <c r="E3704" s="3" t="n">
        <v>4</v>
      </c>
      <c r="F3704" s="2" t="n">
        <v>3</v>
      </c>
      <c r="G3704" s="4" t="n">
        <v>4</v>
      </c>
      <c r="H3704" s="13" t="n"/>
      <c r="I3704" s="15" t="n"/>
      <c r="J3704" s="19" t="n">
        <v>4</v>
      </c>
      <c r="K3704" s="2" t="inlineStr">
        <is>
          <t>marker_136_382951.png</t>
        </is>
      </c>
      <c r="L3704" s="11">
        <f>HYPERLINK("4\1\" &amp; K3704, "Ver Imagen")</f>
        <v/>
      </c>
      <c r="M3704" t="inlineStr">
        <is>
          <t>Moda</t>
        </is>
      </c>
    </row>
    <row r="3705">
      <c r="A3705" t="n">
        <v>3704</v>
      </c>
      <c r="B3705" t="inlineStr">
        <is>
          <t>A-5058__209</t>
        </is>
      </c>
      <c r="C3705" s="1" t="n">
        <v>37.2362112436</v>
      </c>
      <c r="D3705" s="1" t="n">
        <v>-7.07518088868</v>
      </c>
      <c r="E3705" s="3" t="n">
        <v>4</v>
      </c>
      <c r="F3705" s="2" t="n">
        <v>3</v>
      </c>
      <c r="G3705" s="4" t="n">
        <v>4</v>
      </c>
      <c r="H3705" s="13" t="n"/>
      <c r="I3705" s="15" t="n"/>
      <c r="J3705" s="19" t="n">
        <v>4</v>
      </c>
      <c r="K3705" s="2" t="inlineStr">
        <is>
          <t>marker_411_383010.png</t>
        </is>
      </c>
      <c r="L3705" s="11">
        <f>HYPERLINK("4\1\" &amp; K3705, "Ver Imagen")</f>
        <v/>
      </c>
      <c r="M3705" t="inlineStr">
        <is>
          <t>Moda</t>
        </is>
      </c>
    </row>
    <row r="3706">
      <c r="A3706" t="n">
        <v>3705</v>
      </c>
      <c r="B3706" t="inlineStr">
        <is>
          <t>A-5058__216</t>
        </is>
      </c>
      <c r="C3706" s="1" t="n">
        <v>37.2370287539</v>
      </c>
      <c r="D3706" s="1" t="n">
        <v>-7.07664457148</v>
      </c>
      <c r="E3706" s="3" t="n">
        <v>4</v>
      </c>
      <c r="F3706" s="2" t="n">
        <v>3</v>
      </c>
      <c r="G3706" s="4" t="n">
        <v>4</v>
      </c>
      <c r="H3706" s="13" t="n"/>
      <c r="I3706" s="15" t="n"/>
      <c r="J3706" s="19" t="n">
        <v>4</v>
      </c>
      <c r="K3706" s="2" t="inlineStr">
        <is>
          <t>marker_305_383080.png</t>
        </is>
      </c>
      <c r="L3706" s="11">
        <f>HYPERLINK("4\1\" &amp; K3706, "Ver Imagen")</f>
        <v/>
      </c>
      <c r="M3706" t="inlineStr">
        <is>
          <t>Moda</t>
        </is>
      </c>
    </row>
    <row r="3707">
      <c r="A3707" t="n">
        <v>3706</v>
      </c>
      <c r="B3707" t="inlineStr">
        <is>
          <t>A-5058__269</t>
        </is>
      </c>
      <c r="C3707" s="1" t="n">
        <v>37.2429603009</v>
      </c>
      <c r="D3707" s="1" t="n">
        <v>-7.08766895197</v>
      </c>
      <c r="E3707" s="3" t="n">
        <v>4</v>
      </c>
      <c r="F3707" s="2" t="n">
        <v>3</v>
      </c>
      <c r="G3707" s="4" t="n">
        <v>4</v>
      </c>
      <c r="H3707" s="13" t="n"/>
      <c r="I3707" s="15" t="n"/>
      <c r="J3707" s="19" t="n">
        <v>4</v>
      </c>
      <c r="K3707" s="2" t="inlineStr">
        <is>
          <t>marker_660_383911.png</t>
        </is>
      </c>
      <c r="L3707" s="11">
        <f>HYPERLINK("4\1\" &amp; K3707, "Ver Imagen")</f>
        <v/>
      </c>
      <c r="M3707" t="inlineStr">
        <is>
          <t>Moda</t>
        </is>
      </c>
    </row>
    <row r="3708">
      <c r="A3708" t="n">
        <v>3707</v>
      </c>
      <c r="B3708" t="inlineStr">
        <is>
          <t>A-5058__274</t>
        </is>
      </c>
      <c r="C3708" s="1" t="n">
        <v>37.2434142799</v>
      </c>
      <c r="D3708" s="1" t="n">
        <v>-7.0888017166</v>
      </c>
      <c r="E3708" s="3" t="n">
        <v>4</v>
      </c>
      <c r="F3708" s="2" t="n">
        <v>3</v>
      </c>
      <c r="G3708" s="4" t="n">
        <v>4</v>
      </c>
      <c r="H3708" s="13" t="n"/>
      <c r="I3708" s="15" t="n"/>
      <c r="J3708" s="19" t="n">
        <v>4</v>
      </c>
      <c r="K3708" s="2" t="inlineStr">
        <is>
          <t>marker_828_383964.png</t>
        </is>
      </c>
      <c r="L3708" s="11">
        <f>HYPERLINK("4\1\" &amp; K3708, "Ver Imagen")</f>
        <v/>
      </c>
      <c r="M3708" t="inlineStr">
        <is>
          <t>Moda</t>
        </is>
      </c>
    </row>
    <row r="3709">
      <c r="A3709" t="n">
        <v>3708</v>
      </c>
      <c r="B3709" t="inlineStr">
        <is>
          <t>A-5058__278</t>
        </is>
      </c>
      <c r="C3709" s="1" t="n">
        <v>37.2438328629</v>
      </c>
      <c r="D3709" s="1" t="n">
        <v>-7.08963289939</v>
      </c>
      <c r="E3709" s="3" t="n">
        <v>4</v>
      </c>
      <c r="F3709" s="2" t="n">
        <v>3</v>
      </c>
      <c r="G3709" s="4" t="n">
        <v>4</v>
      </c>
      <c r="H3709" s="13" t="n"/>
      <c r="I3709" s="15" t="n"/>
      <c r="J3709" s="19" t="n">
        <v>4</v>
      </c>
      <c r="K3709" s="2" t="inlineStr">
        <is>
          <t>marker_976_384014.png</t>
        </is>
      </c>
      <c r="L3709" s="11">
        <f>HYPERLINK("4\1\" &amp; K3709, "Ver Imagen")</f>
        <v/>
      </c>
      <c r="M3709" t="inlineStr">
        <is>
          <t>Moda</t>
        </is>
      </c>
    </row>
    <row r="3710">
      <c r="A3710" t="n">
        <v>3709</v>
      </c>
      <c r="B3710" t="inlineStr">
        <is>
          <t>A-5058__280</t>
        </is>
      </c>
      <c r="C3710" s="1" t="n">
        <v>37.2440529468</v>
      </c>
      <c r="D3710" s="1" t="n">
        <v>-7.09006975312</v>
      </c>
      <c r="E3710" s="3" t="n">
        <v>4</v>
      </c>
      <c r="F3710" s="2" t="n">
        <v>3</v>
      </c>
      <c r="G3710" s="4" t="n">
        <v>4</v>
      </c>
      <c r="H3710" s="13" t="n"/>
      <c r="I3710" s="15" t="n"/>
      <c r="J3710" s="19" t="n">
        <v>4</v>
      </c>
      <c r="K3710" s="2" t="inlineStr">
        <is>
          <t>marker_371_384033.png</t>
        </is>
      </c>
      <c r="L3710" s="11">
        <f>HYPERLINK("4\1\" &amp; K3710, "Ver Imagen")</f>
        <v/>
      </c>
      <c r="M3710" t="inlineStr">
        <is>
          <t>Moda</t>
        </is>
      </c>
    </row>
    <row r="3711">
      <c r="A3711" t="n">
        <v>3710</v>
      </c>
      <c r="B3711" t="inlineStr">
        <is>
          <t>A-5058__281</t>
        </is>
      </c>
      <c r="C3711" s="1" t="n">
        <v>37.2441605618</v>
      </c>
      <c r="D3711" s="1" t="n">
        <v>-7.09028495702</v>
      </c>
      <c r="E3711" s="3" t="n">
        <v>4</v>
      </c>
      <c r="F3711" s="2" t="n">
        <v>3</v>
      </c>
      <c r="G3711" s="4" t="n">
        <v>4</v>
      </c>
      <c r="H3711" s="13" t="n"/>
      <c r="I3711" s="15" t="n"/>
      <c r="J3711" s="19" t="n">
        <v>4</v>
      </c>
      <c r="K3711" s="2" t="inlineStr">
        <is>
          <t>marker_167_384042.png</t>
        </is>
      </c>
      <c r="L3711" s="11">
        <f>HYPERLINK("4\1\" &amp; K3711, "Ver Imagen")</f>
        <v/>
      </c>
      <c r="M3711" t="inlineStr">
        <is>
          <t>Moda</t>
        </is>
      </c>
    </row>
    <row r="3712">
      <c r="A3712" t="n">
        <v>3711</v>
      </c>
      <c r="B3712" t="inlineStr">
        <is>
          <t>A-5058__282</t>
        </is>
      </c>
      <c r="C3712" s="1" t="n">
        <v>37.2442685525</v>
      </c>
      <c r="D3712" s="1" t="n">
        <v>-7.09049949022</v>
      </c>
      <c r="E3712" s="3" t="n">
        <v>4</v>
      </c>
      <c r="F3712" s="2" t="n">
        <v>3</v>
      </c>
      <c r="G3712" s="4" t="n">
        <v>4</v>
      </c>
      <c r="H3712" s="13" t="n"/>
      <c r="I3712" s="15" t="n"/>
      <c r="J3712" s="19" t="n">
        <v>4</v>
      </c>
      <c r="K3712" s="2" t="inlineStr">
        <is>
          <t>marker_887_384051.png</t>
        </is>
      </c>
      <c r="L3712" s="11">
        <f>HYPERLINK("4\1\" &amp; K3712, "Ver Imagen")</f>
        <v/>
      </c>
      <c r="M3712" t="inlineStr">
        <is>
          <t>Moda</t>
        </is>
      </c>
    </row>
    <row r="3713">
      <c r="A3713" t="n">
        <v>3712</v>
      </c>
      <c r="B3713" t="inlineStr">
        <is>
          <t>A-5058__283</t>
        </is>
      </c>
      <c r="C3713" s="1" t="n">
        <v>37.2443754496</v>
      </c>
      <c r="D3713" s="1" t="n">
        <v>-7.09071293762</v>
      </c>
      <c r="E3713" s="3" t="n">
        <v>4</v>
      </c>
      <c r="F3713" s="2" t="n">
        <v>3</v>
      </c>
      <c r="G3713" s="4" t="n">
        <v>4</v>
      </c>
      <c r="H3713" s="13" t="n"/>
      <c r="I3713" s="15" t="n"/>
      <c r="J3713" s="19" t="n">
        <v>4</v>
      </c>
      <c r="K3713" s="2" t="inlineStr">
        <is>
          <t>marker_594_384061.png</t>
        </is>
      </c>
      <c r="L3713" s="11">
        <f>HYPERLINK("4\1\" &amp; K3713, "Ver Imagen")</f>
        <v/>
      </c>
      <c r="M3713" t="inlineStr">
        <is>
          <t>Moda</t>
        </is>
      </c>
    </row>
    <row r="3714">
      <c r="A3714" t="n">
        <v>3713</v>
      </c>
      <c r="B3714" t="inlineStr">
        <is>
          <t>A-5058__286</t>
        </is>
      </c>
      <c r="C3714" s="1" t="n">
        <v>37.2446994702</v>
      </c>
      <c r="D3714" s="1" t="n">
        <v>-7.09135281075</v>
      </c>
      <c r="E3714" s="3" t="n">
        <v>4</v>
      </c>
      <c r="F3714" s="2" t="n">
        <v>3</v>
      </c>
      <c r="G3714" s="4" t="n">
        <v>4</v>
      </c>
      <c r="H3714" s="13" t="n"/>
      <c r="I3714" s="15" t="n"/>
      <c r="J3714" s="19" t="n">
        <v>4</v>
      </c>
      <c r="K3714" s="2" t="inlineStr">
        <is>
          <t>marker_343_384094.png</t>
        </is>
      </c>
      <c r="L3714" s="11">
        <f>HYPERLINK("4\1\" &amp; K3714, "Ver Imagen")</f>
        <v/>
      </c>
      <c r="M3714" t="inlineStr">
        <is>
          <t>Moda</t>
        </is>
      </c>
    </row>
    <row r="3715">
      <c r="A3715" t="n">
        <v>3714</v>
      </c>
      <c r="B3715" t="inlineStr">
        <is>
          <t>A-5058__291</t>
        </is>
      </c>
      <c r="C3715" s="1" t="n">
        <v>37.2451808787</v>
      </c>
      <c r="D3715" s="1" t="n">
        <v>-7.09246419013</v>
      </c>
      <c r="E3715" s="3" t="n">
        <v>4</v>
      </c>
      <c r="F3715" s="2" t="n">
        <v>3</v>
      </c>
      <c r="G3715" s="4" t="n">
        <v>4</v>
      </c>
      <c r="H3715" s="13" t="n"/>
      <c r="I3715" s="15" t="n"/>
      <c r="J3715" s="19" t="n">
        <v>4</v>
      </c>
      <c r="K3715" s="2" t="inlineStr">
        <is>
          <t>marker_579_384159.png</t>
        </is>
      </c>
      <c r="L3715" s="11">
        <f>HYPERLINK("4\1\" &amp; K3715, "Ver Imagen")</f>
        <v/>
      </c>
      <c r="M3715" t="inlineStr">
        <is>
          <t>Moda</t>
        </is>
      </c>
    </row>
    <row r="3716">
      <c r="A3716" t="n">
        <v>3715</v>
      </c>
      <c r="B3716" t="inlineStr">
        <is>
          <t>A-5058__296</t>
        </is>
      </c>
      <c r="C3716" s="1" t="n">
        <v>37.2454067041</v>
      </c>
      <c r="D3716" s="1" t="n">
        <v>-7.09370971925</v>
      </c>
      <c r="E3716" s="3" t="n">
        <v>4</v>
      </c>
      <c r="F3716" s="2" t="n">
        <v>3</v>
      </c>
      <c r="G3716" s="4" t="n">
        <v>4</v>
      </c>
      <c r="H3716" s="13" t="n"/>
      <c r="I3716" s="15" t="n"/>
      <c r="J3716" s="19" t="n">
        <v>4</v>
      </c>
      <c r="K3716" s="2" t="inlineStr">
        <is>
          <t>marker_916_384224.png</t>
        </is>
      </c>
      <c r="L3716" s="11">
        <f>HYPERLINK("4\1\" &amp; K3716, "Ver Imagen")</f>
        <v/>
      </c>
      <c r="M3716" t="inlineStr">
        <is>
          <t>Moda</t>
        </is>
      </c>
    </row>
    <row r="3717">
      <c r="A3717" t="n">
        <v>3716</v>
      </c>
      <c r="B3717" t="inlineStr">
        <is>
          <t>A-5058__298</t>
        </is>
      </c>
      <c r="C3717" s="1" t="n">
        <v>37.2454496735</v>
      </c>
      <c r="D3717" s="1" t="n">
        <v>-7.09423117543</v>
      </c>
      <c r="E3717" s="3" t="n">
        <v>4</v>
      </c>
      <c r="F3717" s="2" t="n">
        <v>3</v>
      </c>
      <c r="G3717" s="4" t="n">
        <v>4</v>
      </c>
      <c r="H3717" s="13" t="n"/>
      <c r="I3717" s="15" t="n"/>
      <c r="J3717" s="19" t="n">
        <v>4</v>
      </c>
      <c r="K3717" s="2" t="inlineStr">
        <is>
          <t>marker_518_384247.png</t>
        </is>
      </c>
      <c r="L3717" s="11">
        <f>HYPERLINK("4\1\" &amp; K3717, "Ver Imagen")</f>
        <v/>
      </c>
      <c r="M3717" t="inlineStr">
        <is>
          <t>Moda</t>
        </is>
      </c>
    </row>
    <row r="3718">
      <c r="A3718" t="n">
        <v>3717</v>
      </c>
      <c r="B3718" t="inlineStr">
        <is>
          <t>A-5058__316</t>
        </is>
      </c>
      <c r="C3718" s="1" t="n">
        <v>37.2461656194</v>
      </c>
      <c r="D3718" s="1" t="n">
        <v>-7.09862371752</v>
      </c>
      <c r="E3718" s="3" t="n">
        <v>4</v>
      </c>
      <c r="F3718" s="2" t="n">
        <v>3</v>
      </c>
      <c r="G3718" s="4" t="n">
        <v>4</v>
      </c>
      <c r="H3718" s="13" t="n"/>
      <c r="I3718" s="15" t="n"/>
      <c r="J3718" s="19" t="n">
        <v>4</v>
      </c>
      <c r="K3718" s="2" t="inlineStr">
        <is>
          <t>marker_609_384460.png</t>
        </is>
      </c>
      <c r="L3718" s="11">
        <f>HYPERLINK("4\1\" &amp; K3718, "Ver Imagen")</f>
        <v/>
      </c>
      <c r="M3718" t="inlineStr">
        <is>
          <t>Moda</t>
        </is>
      </c>
    </row>
    <row r="3719">
      <c r="A3719" t="n">
        <v>3718</v>
      </c>
      <c r="B3719" t="inlineStr">
        <is>
          <t>A-5058__317</t>
        </is>
      </c>
      <c r="C3719" s="1" t="n">
        <v>37.2462844842</v>
      </c>
      <c r="D3719" s="1" t="n">
        <v>-7.09883330519</v>
      </c>
      <c r="E3719" s="3" t="n">
        <v>4</v>
      </c>
      <c r="F3719" s="2" t="n">
        <v>3</v>
      </c>
      <c r="G3719" s="4" t="n">
        <v>4</v>
      </c>
      <c r="H3719" s="13" t="n"/>
      <c r="I3719" s="15" t="n"/>
      <c r="J3719" s="19" t="n">
        <v>4</v>
      </c>
      <c r="K3719" s="2" t="inlineStr">
        <is>
          <t>marker_965_384468.png</t>
        </is>
      </c>
      <c r="L3719" s="11">
        <f>HYPERLINK("4\1\" &amp; K3719, "Ver Imagen")</f>
        <v/>
      </c>
      <c r="M3719" t="inlineStr">
        <is>
          <t>Moda</t>
        </is>
      </c>
    </row>
    <row r="3720">
      <c r="A3720" t="n">
        <v>3719</v>
      </c>
      <c r="B3720" t="inlineStr">
        <is>
          <t>A-5058__321</t>
        </is>
      </c>
      <c r="C3720" s="1" t="n">
        <v>37.2467951901</v>
      </c>
      <c r="D3720" s="1" t="n">
        <v>-7.09963555975</v>
      </c>
      <c r="E3720" s="3" t="n">
        <v>4</v>
      </c>
      <c r="F3720" s="2" t="n">
        <v>3</v>
      </c>
      <c r="G3720" s="4" t="n">
        <v>4</v>
      </c>
      <c r="H3720" s="13" t="n"/>
      <c r="I3720" s="15" t="n"/>
      <c r="J3720" s="19" t="n">
        <v>4</v>
      </c>
      <c r="K3720" s="2" t="inlineStr">
        <is>
          <t>marker_892_384511.png</t>
        </is>
      </c>
      <c r="L3720" s="11">
        <f>HYPERLINK("4\1\" &amp; K3720, "Ver Imagen")</f>
        <v/>
      </c>
      <c r="M3720" t="inlineStr">
        <is>
          <t>Moda</t>
        </is>
      </c>
    </row>
    <row r="3721">
      <c r="A3721" t="n">
        <v>3720</v>
      </c>
      <c r="B3721" t="inlineStr">
        <is>
          <t>A-5058__323</t>
        </is>
      </c>
      <c r="C3721" s="1" t="n">
        <v>37.2470496804</v>
      </c>
      <c r="D3721" s="1" t="n">
        <v>-7.10002070127</v>
      </c>
      <c r="E3721" s="3" t="n">
        <v>4</v>
      </c>
      <c r="F3721" s="2" t="n">
        <v>3</v>
      </c>
      <c r="G3721" s="4" t="n">
        <v>4</v>
      </c>
      <c r="H3721" s="13" t="n"/>
      <c r="I3721" s="15" t="n"/>
      <c r="J3721" s="19" t="n">
        <v>4</v>
      </c>
      <c r="K3721" s="2" t="inlineStr">
        <is>
          <t>marker_683_384540.png</t>
        </is>
      </c>
      <c r="L3721" s="11">
        <f>HYPERLINK("4\1\" &amp; K3721, "Ver Imagen")</f>
        <v/>
      </c>
      <c r="M3721" t="inlineStr">
        <is>
          <t>Moda</t>
        </is>
      </c>
    </row>
    <row r="3722">
      <c r="A3722" t="n">
        <v>3721</v>
      </c>
      <c r="B3722" t="inlineStr">
        <is>
          <t>A-5058__333</t>
        </is>
      </c>
      <c r="C3722" s="1" t="n">
        <v>37.2484226202</v>
      </c>
      <c r="D3722" s="1" t="n">
        <v>-7.10188068823</v>
      </c>
      <c r="E3722" s="3" t="n">
        <v>4</v>
      </c>
      <c r="F3722" s="2" t="n">
        <v>3</v>
      </c>
      <c r="G3722" s="4" t="n">
        <v>4</v>
      </c>
      <c r="H3722" s="13" t="n"/>
      <c r="I3722" s="15" t="n"/>
      <c r="J3722" s="19" t="n">
        <v>4</v>
      </c>
      <c r="K3722" s="2" t="inlineStr">
        <is>
          <t>marker_630_384667.png</t>
        </is>
      </c>
      <c r="L3722" s="11">
        <f>HYPERLINK("4\1\" &amp; K3722, "Ver Imagen")</f>
        <v/>
      </c>
      <c r="M3722" t="inlineStr">
        <is>
          <t>Moda</t>
        </is>
      </c>
    </row>
    <row r="3723">
      <c r="A3723" t="n">
        <v>3722</v>
      </c>
      <c r="B3723" t="inlineStr">
        <is>
          <t>A-5058__335</t>
        </is>
      </c>
      <c r="C3723" s="1" t="n">
        <v>37.2487868944</v>
      </c>
      <c r="D3723" s="1" t="n">
        <v>-7.10212826679</v>
      </c>
      <c r="E3723" s="3" t="n">
        <v>4</v>
      </c>
      <c r="F3723" s="2" t="n">
        <v>3</v>
      </c>
      <c r="G3723" s="4" t="n">
        <v>4</v>
      </c>
      <c r="H3723" s="13" t="n"/>
      <c r="I3723" s="15" t="n"/>
      <c r="J3723" s="19" t="n">
        <v>4</v>
      </c>
      <c r="K3723" s="2" t="inlineStr">
        <is>
          <t>marker_294_384704.png</t>
        </is>
      </c>
      <c r="L3723" s="11">
        <f>HYPERLINK("4\1\" &amp; K3723, "Ver Imagen")</f>
        <v/>
      </c>
      <c r="M3723" t="inlineStr">
        <is>
          <t>Moda</t>
        </is>
      </c>
    </row>
    <row r="3724">
      <c r="A3724" t="n">
        <v>3723</v>
      </c>
      <c r="B3724" t="inlineStr">
        <is>
          <t>A-5058__444</t>
        </is>
      </c>
      <c r="C3724" s="1" t="n">
        <v>37.2588574033</v>
      </c>
      <c r="D3724" s="1" t="n">
        <v>-7.12306661919</v>
      </c>
      <c r="E3724" s="3" t="n">
        <v>4</v>
      </c>
      <c r="F3724" s="2" t="n">
        <v>3</v>
      </c>
      <c r="G3724" s="4" t="n">
        <v>4</v>
      </c>
      <c r="H3724" s="13" t="n"/>
      <c r="I3724" s="15" t="n"/>
      <c r="J3724" s="19" t="n">
        <v>4</v>
      </c>
      <c r="K3724" s="2" t="inlineStr">
        <is>
          <t>marker_615_389020.png</t>
        </is>
      </c>
      <c r="L3724" s="11">
        <f>HYPERLINK("4\1\" &amp; K3724, "Ver Imagen")</f>
        <v/>
      </c>
      <c r="M3724" t="inlineStr">
        <is>
          <t>Moda</t>
        </is>
      </c>
    </row>
    <row r="3725">
      <c r="A3725" t="n">
        <v>3724</v>
      </c>
      <c r="B3725" t="inlineStr">
        <is>
          <t>A-5058__452</t>
        </is>
      </c>
      <c r="C3725" s="1" t="n">
        <v>37.2590788672</v>
      </c>
      <c r="D3725" s="1" t="n">
        <v>-7.12505438223</v>
      </c>
      <c r="E3725" s="3" t="n">
        <v>4</v>
      </c>
      <c r="F3725" s="2" t="n">
        <v>3</v>
      </c>
      <c r="G3725" s="4" t="n">
        <v>4</v>
      </c>
      <c r="H3725" s="13" t="n"/>
      <c r="I3725" s="15" t="n"/>
      <c r="J3725" s="19" t="n">
        <v>4</v>
      </c>
      <c r="K3725" s="2" t="inlineStr">
        <is>
          <t>marker_128_389094.png</t>
        </is>
      </c>
      <c r="L3725" s="11">
        <f>HYPERLINK("4\1\" &amp; K3725, "Ver Imagen")</f>
        <v/>
      </c>
      <c r="M3725" t="inlineStr">
        <is>
          <t>Moda</t>
        </is>
      </c>
    </row>
    <row r="3726">
      <c r="A3726" t="n">
        <v>3725</v>
      </c>
      <c r="B3726" t="inlineStr">
        <is>
          <t>A-495_1__170</t>
        </is>
      </c>
      <c r="C3726" s="1" t="n">
        <v>37.4803324241</v>
      </c>
      <c r="D3726" s="1" t="n">
        <v>-7.12779180342</v>
      </c>
      <c r="E3726" s="3" t="n">
        <v>4</v>
      </c>
      <c r="F3726" s="2" t="n">
        <v>3</v>
      </c>
      <c r="G3726" s="4" t="n">
        <v>4</v>
      </c>
      <c r="H3726" s="13" t="n"/>
      <c r="I3726" s="15" t="n"/>
      <c r="J3726" s="19" t="n">
        <v>4</v>
      </c>
      <c r="K3726" s="2" t="inlineStr">
        <is>
          <t>marker_357_383986.png</t>
        </is>
      </c>
      <c r="L3726" s="11">
        <f>HYPERLINK("4\1\" &amp; K3726, "Ver Imagen")</f>
        <v/>
      </c>
      <c r="M3726" t="inlineStr">
        <is>
          <t>Moda</t>
        </is>
      </c>
    </row>
    <row r="3727">
      <c r="A3727" t="n">
        <v>3726</v>
      </c>
      <c r="B3727" t="inlineStr">
        <is>
          <t>A-495_1__161</t>
        </is>
      </c>
      <c r="C3727" s="1" t="n">
        <v>37.4785505685</v>
      </c>
      <c r="D3727" s="1" t="n">
        <v>-7.12779311015</v>
      </c>
      <c r="E3727" s="3" t="n">
        <v>4</v>
      </c>
      <c r="F3727" s="2" t="n">
        <v>3</v>
      </c>
      <c r="G3727" s="4" t="n">
        <v>4</v>
      </c>
      <c r="H3727" s="13" t="n"/>
      <c r="I3727" s="15" t="n"/>
      <c r="J3727" s="19" t="n">
        <v>4</v>
      </c>
      <c r="K3727" s="2" t="inlineStr">
        <is>
          <t>marker_990_384086.png</t>
        </is>
      </c>
      <c r="L3727" s="11">
        <f>HYPERLINK("4\1\" &amp; K3727, "Ver Imagen")</f>
        <v/>
      </c>
      <c r="M3727" t="inlineStr">
        <is>
          <t>Moda</t>
        </is>
      </c>
    </row>
    <row r="3728">
      <c r="A3728" t="n">
        <v>3727</v>
      </c>
      <c r="B3728" t="inlineStr">
        <is>
          <t>A-495_1__157</t>
        </is>
      </c>
      <c r="C3728" s="1" t="n">
        <v>37.4779259218</v>
      </c>
      <c r="D3728" s="1" t="n">
        <v>-7.12719243623</v>
      </c>
      <c r="E3728" s="3" t="n">
        <v>4</v>
      </c>
      <c r="F3728" s="2" t="n">
        <v>3</v>
      </c>
      <c r="G3728" s="4" t="n">
        <v>4</v>
      </c>
      <c r="H3728" s="13" t="n"/>
      <c r="I3728" s="15" t="n"/>
      <c r="J3728" s="19" t="n">
        <v>4</v>
      </c>
      <c r="K3728" s="2" t="inlineStr">
        <is>
          <t>marker_728_384122.png</t>
        </is>
      </c>
      <c r="L3728" s="11">
        <f>HYPERLINK("4\1\" &amp; K3728, "Ver Imagen")</f>
        <v/>
      </c>
      <c r="M3728" t="inlineStr">
        <is>
          <t>Moda</t>
        </is>
      </c>
    </row>
    <row r="3729">
      <c r="A3729" t="n">
        <v>3728</v>
      </c>
      <c r="B3729" t="inlineStr">
        <is>
          <t>A-495_1__154</t>
        </is>
      </c>
      <c r="C3729" s="1" t="n">
        <v>37.4775219923</v>
      </c>
      <c r="D3729" s="1" t="n">
        <v>-7.12662701503</v>
      </c>
      <c r="E3729" s="3" t="n">
        <v>4</v>
      </c>
      <c r="F3729" s="2" t="n">
        <v>3</v>
      </c>
      <c r="G3729" s="4" t="n">
        <v>4</v>
      </c>
      <c r="H3729" s="13" t="n"/>
      <c r="I3729" s="15" t="n"/>
      <c r="J3729" s="19" t="n">
        <v>4</v>
      </c>
      <c r="K3729" s="2" t="inlineStr">
        <is>
          <t>marker_823_384176.png</t>
        </is>
      </c>
      <c r="L3729" s="11">
        <f>HYPERLINK("4\1\" &amp; K3729, "Ver Imagen")</f>
        <v/>
      </c>
      <c r="M3729" t="inlineStr">
        <is>
          <t>Moda</t>
        </is>
      </c>
    </row>
    <row r="3730">
      <c r="A3730" t="n">
        <v>3729</v>
      </c>
      <c r="B3730" t="inlineStr">
        <is>
          <t>A-495_1__153</t>
        </is>
      </c>
      <c r="C3730" s="1" t="n">
        <v>37.4773831975</v>
      </c>
      <c r="D3730" s="1" t="n">
        <v>-7.12641831009</v>
      </c>
      <c r="E3730" s="3" t="n">
        <v>4</v>
      </c>
      <c r="F3730" s="2" t="n">
        <v>3</v>
      </c>
      <c r="G3730" s="4" t="n">
        <v>4</v>
      </c>
      <c r="H3730" s="13" t="n"/>
      <c r="I3730" s="15" t="n"/>
      <c r="J3730" s="19" t="n">
        <v>4</v>
      </c>
      <c r="K3730" s="2" t="inlineStr">
        <is>
          <t>marker_521_384184.png</t>
        </is>
      </c>
      <c r="L3730" s="11">
        <f>HYPERLINK("4\1\" &amp; K3730, "Ver Imagen")</f>
        <v/>
      </c>
      <c r="M3730" t="inlineStr">
        <is>
          <t>Moda</t>
        </is>
      </c>
    </row>
    <row r="3731">
      <c r="A3731" t="n">
        <v>3730</v>
      </c>
      <c r="B3731" t="inlineStr">
        <is>
          <t>A-495_1__146</t>
        </is>
      </c>
      <c r="C3731" s="1" t="n">
        <v>37.4761471628</v>
      </c>
      <c r="D3731" s="1" t="n">
        <v>-7.1257753463</v>
      </c>
      <c r="E3731" s="3" t="n">
        <v>4</v>
      </c>
      <c r="F3731" s="2" t="n">
        <v>3</v>
      </c>
      <c r="G3731" s="4" t="n">
        <v>4</v>
      </c>
      <c r="H3731" s="13" t="n"/>
      <c r="I3731" s="15" t="n"/>
      <c r="J3731" s="19" t="n">
        <v>4</v>
      </c>
      <c r="K3731" s="2" t="inlineStr">
        <is>
          <t>marker_484_384283.png</t>
        </is>
      </c>
      <c r="L3731" s="11">
        <f>HYPERLINK("4\1\" &amp; K3731, "Ver Imagen")</f>
        <v/>
      </c>
      <c r="M3731" t="inlineStr">
        <is>
          <t>Moda</t>
        </is>
      </c>
    </row>
    <row r="3732">
      <c r="A3732" t="n">
        <v>3731</v>
      </c>
      <c r="B3732" t="inlineStr">
        <is>
          <t>A-495_1__142</t>
        </is>
      </c>
      <c r="C3732" s="1" t="n">
        <v>37.4753720166</v>
      </c>
      <c r="D3732" s="1" t="n">
        <v>-7.1259228748</v>
      </c>
      <c r="E3732" s="3" t="n">
        <v>4</v>
      </c>
      <c r="F3732" s="2" t="n">
        <v>3</v>
      </c>
      <c r="G3732" s="4" t="n">
        <v>4</v>
      </c>
      <c r="H3732" s="13" t="n"/>
      <c r="I3732" s="15" t="n"/>
      <c r="J3732" s="19" t="n">
        <v>4</v>
      </c>
      <c r="K3732" s="2" t="inlineStr">
        <is>
          <t>marker_872_384340.png</t>
        </is>
      </c>
      <c r="L3732" s="11">
        <f>HYPERLINK("4\1\" &amp; K3732, "Ver Imagen")</f>
        <v/>
      </c>
      <c r="M3732" t="inlineStr">
        <is>
          <t>Moda</t>
        </is>
      </c>
    </row>
    <row r="3733">
      <c r="A3733" t="n">
        <v>3732</v>
      </c>
      <c r="B3733" t="inlineStr">
        <is>
          <t>A-495_1__139</t>
        </is>
      </c>
      <c r="C3733" s="1" t="n">
        <v>37.4747654015</v>
      </c>
      <c r="D3733" s="1" t="n">
        <v>-7.12605674407</v>
      </c>
      <c r="E3733" s="3" t="n">
        <v>4</v>
      </c>
      <c r="F3733" s="2" t="n">
        <v>3</v>
      </c>
      <c r="G3733" s="4" t="n">
        <v>4</v>
      </c>
      <c r="H3733" s="13" t="n"/>
      <c r="I3733" s="15" t="n"/>
      <c r="J3733" s="19" t="n">
        <v>4</v>
      </c>
      <c r="K3733" s="2" t="inlineStr">
        <is>
          <t>marker_483_384382.png</t>
        </is>
      </c>
      <c r="L3733" s="11">
        <f>HYPERLINK("4\1\" &amp; K3733, "Ver Imagen")</f>
        <v/>
      </c>
      <c r="M3733" t="inlineStr">
        <is>
          <t>Moda</t>
        </is>
      </c>
    </row>
    <row r="3734">
      <c r="A3734" t="n">
        <v>3733</v>
      </c>
      <c r="B3734" t="inlineStr">
        <is>
          <t>A-495_1__134</t>
        </is>
      </c>
      <c r="C3734" s="1" t="n">
        <v>37.4737552169</v>
      </c>
      <c r="D3734" s="1" t="n">
        <v>-7.12627689842</v>
      </c>
      <c r="E3734" s="3" t="n">
        <v>4</v>
      </c>
      <c r="F3734" s="2" t="n">
        <v>3</v>
      </c>
      <c r="G3734" s="4" t="n">
        <v>4</v>
      </c>
      <c r="H3734" s="13" t="n"/>
      <c r="I3734" s="15" t="n"/>
      <c r="J3734" s="19" t="n">
        <v>4</v>
      </c>
      <c r="K3734" s="2" t="inlineStr">
        <is>
          <t>marker_282_384431.png</t>
        </is>
      </c>
      <c r="L3734" s="11">
        <f>HYPERLINK("4\1\" &amp; K3734, "Ver Imagen")</f>
        <v/>
      </c>
      <c r="M3734" t="inlineStr">
        <is>
          <t>Moda</t>
        </is>
      </c>
    </row>
    <row r="3735">
      <c r="A3735" t="n">
        <v>3734</v>
      </c>
      <c r="B3735" t="inlineStr">
        <is>
          <t>A-495_1__130</t>
        </is>
      </c>
      <c r="C3735" s="1" t="n">
        <v>37.472965358</v>
      </c>
      <c r="D3735" s="1" t="n">
        <v>-7.12640699039</v>
      </c>
      <c r="E3735" s="3" t="n">
        <v>4</v>
      </c>
      <c r="F3735" s="2" t="n">
        <v>3</v>
      </c>
      <c r="G3735" s="4" t="n">
        <v>4</v>
      </c>
      <c r="H3735" s="13" t="n"/>
      <c r="I3735" s="15" t="n"/>
      <c r="J3735" s="19" t="n">
        <v>4</v>
      </c>
      <c r="K3735" s="2" t="inlineStr">
        <is>
          <t>marker_905_384476.png</t>
        </is>
      </c>
      <c r="L3735" s="11">
        <f>HYPERLINK("4\1\" &amp; K3735, "Ver Imagen")</f>
        <v/>
      </c>
      <c r="M3735" t="inlineStr">
        <is>
          <t>Moda</t>
        </is>
      </c>
    </row>
    <row r="3736">
      <c r="A3736" t="n">
        <v>3735</v>
      </c>
      <c r="B3736" t="inlineStr">
        <is>
          <t>A-495_1__127</t>
        </is>
      </c>
      <c r="C3736" s="1" t="n">
        <v>37.4723440989</v>
      </c>
      <c r="D3736" s="1" t="n">
        <v>-7.12635947036</v>
      </c>
      <c r="E3736" s="3" t="n">
        <v>4</v>
      </c>
      <c r="F3736" s="2" t="n">
        <v>3</v>
      </c>
      <c r="G3736" s="4" t="n">
        <v>4</v>
      </c>
      <c r="H3736" s="13" t="n"/>
      <c r="I3736" s="15" t="n"/>
      <c r="J3736" s="19" t="n">
        <v>4</v>
      </c>
      <c r="K3736" s="2" t="inlineStr">
        <is>
          <t>marker_437_384502.png</t>
        </is>
      </c>
      <c r="L3736" s="11">
        <f>HYPERLINK("4\1\" &amp; K3736, "Ver Imagen")</f>
        <v/>
      </c>
      <c r="M3736" t="inlineStr">
        <is>
          <t>Moda</t>
        </is>
      </c>
    </row>
    <row r="3737">
      <c r="A3737" t="n">
        <v>3736</v>
      </c>
      <c r="B3737" t="inlineStr">
        <is>
          <t>A-495_1__125</t>
        </is>
      </c>
      <c r="C3737" s="1" t="n">
        <v>37.4719894459</v>
      </c>
      <c r="D3737" s="1" t="n">
        <v>-7.12618764286</v>
      </c>
      <c r="E3737" s="3" t="n">
        <v>4</v>
      </c>
      <c r="F3737" s="2" t="n">
        <v>3</v>
      </c>
      <c r="G3737" s="4" t="n">
        <v>4</v>
      </c>
      <c r="H3737" s="13" t="n"/>
      <c r="I3737" s="15" t="n"/>
      <c r="J3737" s="19" t="n">
        <v>4</v>
      </c>
      <c r="K3737" s="2" t="inlineStr">
        <is>
          <t>marker_635_384521.png</t>
        </is>
      </c>
      <c r="L3737" s="11">
        <f>HYPERLINK("4\1\" &amp; K3737, "Ver Imagen")</f>
        <v/>
      </c>
      <c r="M3737" t="inlineStr">
        <is>
          <t>Moda</t>
        </is>
      </c>
    </row>
    <row r="3738">
      <c r="A3738" t="n">
        <v>3737</v>
      </c>
      <c r="B3738" t="inlineStr">
        <is>
          <t>A-495_1__122</t>
        </is>
      </c>
      <c r="C3738" s="1" t="n">
        <v>37.4714726086</v>
      </c>
      <c r="D3738" s="1" t="n">
        <v>-7.1257911239</v>
      </c>
      <c r="E3738" s="3" t="n">
        <v>4</v>
      </c>
      <c r="F3738" s="2" t="n">
        <v>3</v>
      </c>
      <c r="G3738" s="4" t="n">
        <v>4</v>
      </c>
      <c r="H3738" s="13" t="n"/>
      <c r="I3738" s="15" t="n"/>
      <c r="J3738" s="19" t="n">
        <v>4</v>
      </c>
      <c r="K3738" s="2" t="inlineStr">
        <is>
          <t>marker_439_384550.png</t>
        </is>
      </c>
      <c r="L3738" s="11">
        <f>HYPERLINK("4\1\" &amp; K3738, "Ver Imagen")</f>
        <v/>
      </c>
      <c r="M3738" t="inlineStr">
        <is>
          <t>Moda</t>
        </is>
      </c>
    </row>
    <row r="3739">
      <c r="A3739" t="n">
        <v>3738</v>
      </c>
      <c r="B3739" t="inlineStr">
        <is>
          <t>A-495_1__121</t>
        </is>
      </c>
      <c r="C3739" s="1" t="n">
        <v>37.4712862727</v>
      </c>
      <c r="D3739" s="1" t="n">
        <v>-7.12563804834</v>
      </c>
      <c r="E3739" s="3" t="n">
        <v>4</v>
      </c>
      <c r="F3739" s="2" t="n">
        <v>3</v>
      </c>
      <c r="G3739" s="4" t="n">
        <v>4</v>
      </c>
      <c r="H3739" s="13" t="n"/>
      <c r="I3739" s="15" t="n"/>
      <c r="J3739" s="19" t="n">
        <v>4</v>
      </c>
      <c r="K3739" s="2" t="inlineStr">
        <is>
          <t>marker_635_384560.png</t>
        </is>
      </c>
      <c r="L3739" s="11">
        <f>HYPERLINK("4\1\" &amp; K3739, "Ver Imagen")</f>
        <v/>
      </c>
      <c r="M3739" t="inlineStr">
        <is>
          <t>Moda</t>
        </is>
      </c>
    </row>
    <row r="3740">
      <c r="A3740" t="n">
        <v>3739</v>
      </c>
      <c r="B3740" t="inlineStr">
        <is>
          <t>A-495_1__110</t>
        </is>
      </c>
      <c r="C3740" s="1" t="n">
        <v>37.4693838788</v>
      </c>
      <c r="D3740" s="1" t="n">
        <v>-7.12420481671</v>
      </c>
      <c r="E3740" s="3" t="n">
        <v>5</v>
      </c>
      <c r="F3740" s="2" t="n">
        <v>4</v>
      </c>
      <c r="G3740" s="4" t="n">
        <v>4</v>
      </c>
      <c r="H3740" s="13" t="n"/>
      <c r="I3740" s="15" t="n"/>
      <c r="J3740" s="19" t="n">
        <v>4</v>
      </c>
      <c r="K3740" s="2" t="inlineStr">
        <is>
          <t>marker_792_384721.png</t>
        </is>
      </c>
      <c r="L3740" s="11">
        <f>HYPERLINK("4\1\" &amp; K3740, "Ver Imagen")</f>
        <v/>
      </c>
      <c r="M3740" t="inlineStr">
        <is>
          <t>Moda</t>
        </is>
      </c>
    </row>
    <row r="3741">
      <c r="A3741" t="n">
        <v>3740</v>
      </c>
      <c r="B3741" t="inlineStr">
        <is>
          <t>A-495_1__101</t>
        </is>
      </c>
      <c r="C3741" s="1" t="n">
        <v>37.4677541383</v>
      </c>
      <c r="D3741" s="1" t="n">
        <v>-7.12314355761</v>
      </c>
      <c r="E3741" s="3" t="n">
        <v>4</v>
      </c>
      <c r="F3741" s="2" t="n">
        <v>3</v>
      </c>
      <c r="G3741" s="4" t="n">
        <v>4</v>
      </c>
      <c r="H3741" s="13" t="n"/>
      <c r="I3741" s="15" t="n"/>
      <c r="J3741" s="19" t="n">
        <v>4</v>
      </c>
      <c r="K3741" s="2" t="inlineStr">
        <is>
          <t>marker_748_385013.png</t>
        </is>
      </c>
      <c r="L3741" s="11">
        <f>HYPERLINK("4\1\" &amp; K3741, "Ver Imagen")</f>
        <v/>
      </c>
      <c r="M3741" t="inlineStr">
        <is>
          <t>Moda</t>
        </is>
      </c>
    </row>
    <row r="3742">
      <c r="A3742" t="n">
        <v>3741</v>
      </c>
      <c r="B3742" t="inlineStr">
        <is>
          <t>A-497__828</t>
        </is>
      </c>
      <c r="C3742" s="1" t="n">
        <v>37.1981880542</v>
      </c>
      <c r="D3742" s="1" t="n">
        <v>-6.98103060481</v>
      </c>
      <c r="E3742" s="3" t="n">
        <v>4</v>
      </c>
      <c r="F3742" s="2" t="n">
        <v>3</v>
      </c>
      <c r="G3742" s="4" t="n">
        <v>4</v>
      </c>
      <c r="H3742" s="13" t="n"/>
      <c r="I3742" s="15" t="n"/>
      <c r="J3742" s="19" t="n">
        <v>4</v>
      </c>
      <c r="K3742" s="2" t="inlineStr">
        <is>
          <t>marker_640_367666.png</t>
        </is>
      </c>
      <c r="L3742" s="11">
        <f>HYPERLINK("4\1\" &amp; K3742, "Ver Imagen")</f>
        <v/>
      </c>
      <c r="M3742" t="inlineStr">
        <is>
          <t>Moda</t>
        </is>
      </c>
    </row>
    <row r="3743">
      <c r="A3743" t="n">
        <v>3742</v>
      </c>
      <c r="B3743" t="inlineStr">
        <is>
          <t>A-497__808</t>
        </is>
      </c>
      <c r="C3743" s="1" t="n">
        <v>37.194966547</v>
      </c>
      <c r="D3743" s="1" t="n">
        <v>-6.97805880952</v>
      </c>
      <c r="E3743" s="3" t="n">
        <v>4</v>
      </c>
      <c r="F3743" s="2" t="n">
        <v>3</v>
      </c>
      <c r="G3743" s="4" t="n">
        <v>4</v>
      </c>
      <c r="H3743" s="13" t="n"/>
      <c r="I3743" s="15" t="n"/>
      <c r="J3743" s="19" t="n">
        <v>4</v>
      </c>
      <c r="K3743" s="2" t="inlineStr">
        <is>
          <t>marker_841_367868.png</t>
        </is>
      </c>
      <c r="L3743" s="11">
        <f>HYPERLINK("4\1\" &amp; K3743, "Ver Imagen")</f>
        <v/>
      </c>
      <c r="M3743" t="inlineStr">
        <is>
          <t>Moda</t>
        </is>
      </c>
    </row>
    <row r="3744">
      <c r="A3744" t="n">
        <v>3743</v>
      </c>
      <c r="B3744" t="inlineStr">
        <is>
          <t>A-497__799</t>
        </is>
      </c>
      <c r="C3744" s="1" t="n">
        <v>37.1932584219</v>
      </c>
      <c r="D3744" s="1" t="n">
        <v>-6.97765189223</v>
      </c>
      <c r="E3744" s="3" t="n">
        <v>4</v>
      </c>
      <c r="F3744" s="2" t="n">
        <v>3</v>
      </c>
      <c r="G3744" s="4" t="n">
        <v>4</v>
      </c>
      <c r="H3744" s="13" t="n"/>
      <c r="I3744" s="15" t="n"/>
      <c r="J3744" s="19" t="n">
        <v>4</v>
      </c>
      <c r="K3744" s="2" t="inlineStr">
        <is>
          <t>marker_683_367959.png</t>
        </is>
      </c>
      <c r="L3744" s="11">
        <f>HYPERLINK("4\1\" &amp; K3744, "Ver Imagen")</f>
        <v/>
      </c>
      <c r="M3744" t="inlineStr">
        <is>
          <t>Moda</t>
        </is>
      </c>
    </row>
    <row r="3745">
      <c r="A3745" t="n">
        <v>3744</v>
      </c>
      <c r="B3745" t="inlineStr">
        <is>
          <t>A-497__795</t>
        </is>
      </c>
      <c r="C3745" s="1" t="n">
        <v>37.1924060034</v>
      </c>
      <c r="D3745" s="1" t="n">
        <v>-6.97765814461</v>
      </c>
      <c r="E3745" s="3" t="n">
        <v>4</v>
      </c>
      <c r="F3745" s="2" t="n">
        <v>3</v>
      </c>
      <c r="G3745" s="4" t="n">
        <v>4</v>
      </c>
      <c r="H3745" s="13" t="n"/>
      <c r="I3745" s="15" t="n"/>
      <c r="J3745" s="19" t="n">
        <v>4</v>
      </c>
      <c r="K3745" s="2" t="inlineStr">
        <is>
          <t>marker_675_368006.png</t>
        </is>
      </c>
      <c r="L3745" s="11">
        <f>HYPERLINK("4\1\" &amp; K3745, "Ver Imagen")</f>
        <v/>
      </c>
      <c r="M3745" t="inlineStr">
        <is>
          <t>Moda</t>
        </is>
      </c>
    </row>
    <row r="3746">
      <c r="A3746" t="n">
        <v>3745</v>
      </c>
      <c r="B3746" t="inlineStr">
        <is>
          <t>A-497__792</t>
        </is>
      </c>
      <c r="C3746" s="1" t="n">
        <v>37.1917832033</v>
      </c>
      <c r="D3746" s="1" t="n">
        <v>-6.97772981146</v>
      </c>
      <c r="E3746" s="3" t="n">
        <v>4</v>
      </c>
      <c r="F3746" s="2" t="n">
        <v>3</v>
      </c>
      <c r="G3746" s="4" t="n">
        <v>4</v>
      </c>
      <c r="H3746" s="13" t="n"/>
      <c r="I3746" s="15" t="n"/>
      <c r="J3746" s="19" t="n">
        <v>4</v>
      </c>
      <c r="K3746" s="2" t="inlineStr">
        <is>
          <t>marker_520_368040.png</t>
        </is>
      </c>
      <c r="L3746" s="11">
        <f>HYPERLINK("4\1\" &amp; K3746, "Ver Imagen")</f>
        <v/>
      </c>
      <c r="M3746" t="inlineStr">
        <is>
          <t>Moda</t>
        </is>
      </c>
    </row>
    <row r="3747">
      <c r="A3747" t="n">
        <v>3746</v>
      </c>
      <c r="B3747" t="inlineStr">
        <is>
          <t>A-497__783</t>
        </is>
      </c>
      <c r="C3747" s="1" t="n">
        <v>37.1899925614</v>
      </c>
      <c r="D3747" s="1" t="n">
        <v>-6.97813783844</v>
      </c>
      <c r="E3747" s="3" t="n">
        <v>4</v>
      </c>
      <c r="F3747" s="2" t="n">
        <v>3</v>
      </c>
      <c r="G3747" s="4" t="n">
        <v>4</v>
      </c>
      <c r="H3747" s="13" t="n"/>
      <c r="I3747" s="15" t="n"/>
      <c r="J3747" s="19" t="n">
        <v>4</v>
      </c>
      <c r="K3747" s="2" t="inlineStr">
        <is>
          <t>marker_741_368132.png</t>
        </is>
      </c>
      <c r="L3747" s="11">
        <f>HYPERLINK("4\1\" &amp; K3747, "Ver Imagen")</f>
        <v/>
      </c>
      <c r="M3747" t="inlineStr">
        <is>
          <t>Moda</t>
        </is>
      </c>
    </row>
    <row r="3748">
      <c r="A3748" t="n">
        <v>3747</v>
      </c>
      <c r="B3748" t="inlineStr">
        <is>
          <t>A-497_2C__20</t>
        </is>
      </c>
      <c r="C3748" s="1" t="n">
        <v>37.2675938963</v>
      </c>
      <c r="D3748" s="1" t="n">
        <v>-6.96203319018</v>
      </c>
      <c r="E3748" s="3" t="n">
        <v>4</v>
      </c>
      <c r="F3748" s="2" t="n">
        <v>3</v>
      </c>
      <c r="G3748" s="4" t="n">
        <v>4</v>
      </c>
      <c r="H3748" s="13" t="n"/>
      <c r="I3748" s="15" t="n"/>
      <c r="J3748" s="19" t="n">
        <v>4</v>
      </c>
      <c r="K3748" s="2" t="inlineStr">
        <is>
          <t>marker_694_654388.png</t>
        </is>
      </c>
      <c r="L3748" s="11">
        <f>HYPERLINK("4\1\" &amp; K3748, "Ver Imagen")</f>
        <v/>
      </c>
      <c r="M3748" t="inlineStr">
        <is>
          <t>Moda</t>
        </is>
      </c>
    </row>
    <row r="3749">
      <c r="A3749" t="n">
        <v>3748</v>
      </c>
      <c r="B3749" t="inlineStr">
        <is>
          <t>A-497_2C__21</t>
        </is>
      </c>
      <c r="C3749" s="1" t="n">
        <v>37.2675998387</v>
      </c>
      <c r="D3749" s="1" t="n">
        <v>-6.96224729898</v>
      </c>
      <c r="E3749" s="3" t="n">
        <v>4</v>
      </c>
      <c r="F3749" s="2" t="n">
        <v>3</v>
      </c>
      <c r="G3749" s="4" t="n">
        <v>4</v>
      </c>
      <c r="H3749" s="13" t="n"/>
      <c r="I3749" s="15" t="n"/>
      <c r="J3749" s="19" t="n">
        <v>4</v>
      </c>
      <c r="K3749" s="2" t="inlineStr">
        <is>
          <t>marker_418_654398.png</t>
        </is>
      </c>
      <c r="L3749" s="11">
        <f>HYPERLINK("4\1\" &amp; K3749, "Ver Imagen")</f>
        <v/>
      </c>
      <c r="M3749" t="inlineStr">
        <is>
          <t>Moda</t>
        </is>
      </c>
    </row>
    <row r="3750">
      <c r="A3750" t="n">
        <v>3749</v>
      </c>
      <c r="B3750" t="inlineStr">
        <is>
          <t>A-497_2C__25</t>
        </is>
      </c>
      <c r="C3750" s="1" t="n">
        <v>37.2676286602</v>
      </c>
      <c r="D3750" s="1" t="n">
        <v>-6.96327324032</v>
      </c>
      <c r="E3750" s="3" t="n">
        <v>4</v>
      </c>
      <c r="F3750" s="2" t="n">
        <v>3</v>
      </c>
      <c r="G3750" s="4" t="n">
        <v>4</v>
      </c>
      <c r="H3750" s="13" t="n"/>
      <c r="I3750" s="15" t="n"/>
      <c r="J3750" s="19" t="n">
        <v>4</v>
      </c>
      <c r="K3750" s="2" t="inlineStr">
        <is>
          <t>marker_629_654435.png</t>
        </is>
      </c>
      <c r="L3750" s="11">
        <f>HYPERLINK("4\1\" &amp; K3750, "Ver Imagen")</f>
        <v/>
      </c>
      <c r="M3750" t="inlineStr">
        <is>
          <t>Moda</t>
        </is>
      </c>
    </row>
    <row r="3751">
      <c r="A3751" t="n">
        <v>3750</v>
      </c>
      <c r="B3751" t="inlineStr">
        <is>
          <t>A-497_2C__78</t>
        </is>
      </c>
      <c r="C3751" s="1" t="n">
        <v>37.2692867241</v>
      </c>
      <c r="D3751" s="1" t="n">
        <v>-6.97653117972</v>
      </c>
      <c r="E3751" s="3" t="n">
        <v>4</v>
      </c>
      <c r="F3751" s="2" t="n">
        <v>3</v>
      </c>
      <c r="G3751" s="4" t="n">
        <v>4</v>
      </c>
      <c r="H3751" s="13" t="n"/>
      <c r="I3751" s="15" t="n"/>
      <c r="J3751" s="19" t="n">
        <v>4</v>
      </c>
      <c r="K3751" s="2" t="inlineStr">
        <is>
          <t>marker_727_655108.png</t>
        </is>
      </c>
      <c r="L3751" s="11">
        <f>HYPERLINK("4\1\" &amp; K3751, "Ver Imagen")</f>
        <v/>
      </c>
      <c r="M3751" t="inlineStr">
        <is>
          <t>Moda</t>
        </is>
      </c>
    </row>
    <row r="3752">
      <c r="A3752" t="n">
        <v>3751</v>
      </c>
      <c r="B3752" t="inlineStr">
        <is>
          <t>A-497_2C__154</t>
        </is>
      </c>
      <c r="C3752" s="1" t="n">
        <v>37.2668707558</v>
      </c>
      <c r="D3752" s="1" t="n">
        <v>-6.99206999673</v>
      </c>
      <c r="E3752" s="3" t="n">
        <v>5</v>
      </c>
      <c r="F3752" s="2" t="n">
        <v>4</v>
      </c>
      <c r="G3752" s="4" t="n">
        <v>4</v>
      </c>
      <c r="H3752" s="13" t="n"/>
      <c r="I3752" s="15" t="n"/>
      <c r="J3752" s="19" t="n">
        <v>4</v>
      </c>
      <c r="K3752" s="2" t="inlineStr">
        <is>
          <t>marker_742_656044.png</t>
        </is>
      </c>
      <c r="L3752" s="11">
        <f>HYPERLINK("4\1\" &amp; K3752, "Ver Imagen")</f>
        <v/>
      </c>
      <c r="M3752" t="inlineStr">
        <is>
          <t>Moda</t>
        </is>
      </c>
    </row>
    <row r="3753">
      <c r="A3753" t="n">
        <v>3752</v>
      </c>
      <c r="B3753" t="inlineStr">
        <is>
          <t>A-497_2C__163</t>
        </is>
      </c>
      <c r="C3753" s="1" t="n">
        <v>37.2659180951</v>
      </c>
      <c r="D3753" s="1" t="n">
        <v>-6.99396570515</v>
      </c>
      <c r="E3753" s="3" t="n">
        <v>4</v>
      </c>
      <c r="F3753" s="2" t="n">
        <v>3</v>
      </c>
      <c r="G3753" s="4" t="n">
        <v>4</v>
      </c>
      <c r="H3753" s="13" t="n"/>
      <c r="I3753" s="15" t="n"/>
      <c r="J3753" s="19" t="n">
        <v>4</v>
      </c>
      <c r="K3753" s="2" t="inlineStr">
        <is>
          <t>marker_534_656128.png</t>
        </is>
      </c>
      <c r="L3753" s="11">
        <f>HYPERLINK("4\1\" &amp; K3753, "Ver Imagen")</f>
        <v/>
      </c>
      <c r="M3753" t="inlineStr">
        <is>
          <t>Moda</t>
        </is>
      </c>
    </row>
    <row r="3754">
      <c r="A3754" t="n">
        <v>3753</v>
      </c>
      <c r="B3754" t="inlineStr">
        <is>
          <t>A-497__723</t>
        </is>
      </c>
      <c r="C3754" s="1" t="n">
        <v>37.1923955694</v>
      </c>
      <c r="D3754" s="1" t="n">
        <v>-6.97749210608</v>
      </c>
      <c r="E3754" s="3" t="n">
        <v>4</v>
      </c>
      <c r="F3754" s="2" t="n">
        <v>3</v>
      </c>
      <c r="G3754" s="4" t="n">
        <v>4</v>
      </c>
      <c r="H3754" s="13" t="n"/>
      <c r="I3754" s="15" t="n"/>
      <c r="J3754" s="19" t="n">
        <v>4</v>
      </c>
      <c r="K3754" s="2" t="inlineStr">
        <is>
          <t>marker_455_369034.png</t>
        </is>
      </c>
      <c r="L3754" s="11">
        <f>HYPERLINK("4\1\" &amp; K3754, "Ver Imagen")</f>
        <v/>
      </c>
      <c r="M3754" t="inlineStr">
        <is>
          <t>Moda</t>
        </is>
      </c>
    </row>
    <row r="3755">
      <c r="A3755" t="n">
        <v>3754</v>
      </c>
      <c r="B3755" t="inlineStr">
        <is>
          <t>A-497_2C__186</t>
        </is>
      </c>
      <c r="C3755" s="1" t="n">
        <v>37.2648651269</v>
      </c>
      <c r="D3755" s="1" t="n">
        <v>-6.99965627353</v>
      </c>
      <c r="E3755" s="3" t="n">
        <v>4</v>
      </c>
      <c r="F3755" s="2" t="n">
        <v>5</v>
      </c>
      <c r="G3755" s="4" t="n">
        <v>4</v>
      </c>
      <c r="H3755" s="13" t="n"/>
      <c r="I3755" s="15" t="n"/>
      <c r="J3755" s="19" t="n">
        <v>4</v>
      </c>
      <c r="K3755" s="2" t="inlineStr">
        <is>
          <t>marker_841_656382.png</t>
        </is>
      </c>
      <c r="L3755" s="11">
        <f>HYPERLINK("4\1\" &amp; K3755, "Ver Imagen")</f>
        <v/>
      </c>
      <c r="M3755" t="inlineStr">
        <is>
          <t>Moda</t>
        </is>
      </c>
    </row>
    <row r="3756">
      <c r="A3756" t="n">
        <v>3755</v>
      </c>
      <c r="B3756" t="inlineStr">
        <is>
          <t>A-497__706</t>
        </is>
      </c>
      <c r="C3756" s="1" t="n">
        <v>37.195697733</v>
      </c>
      <c r="D3756" s="1" t="n">
        <v>-6.97823113593</v>
      </c>
      <c r="E3756" s="3" t="n">
        <v>4</v>
      </c>
      <c r="F3756" s="2" t="n">
        <v>3</v>
      </c>
      <c r="G3756" s="4" t="n">
        <v>4</v>
      </c>
      <c r="H3756" s="13" t="n"/>
      <c r="I3756" s="15" t="n"/>
      <c r="J3756" s="19" t="n">
        <v>4</v>
      </c>
      <c r="K3756" s="2" t="inlineStr">
        <is>
          <t>marker_679_370319.png</t>
        </is>
      </c>
      <c r="L3756" s="11">
        <f>HYPERLINK("4\1\" &amp; K3756, "Ver Imagen")</f>
        <v/>
      </c>
      <c r="M3756" t="inlineStr">
        <is>
          <t>Moda</t>
        </is>
      </c>
    </row>
    <row r="3757">
      <c r="A3757" t="n">
        <v>3756</v>
      </c>
      <c r="B3757" t="inlineStr">
        <is>
          <t>A-497__596</t>
        </is>
      </c>
      <c r="C3757" s="1" t="n">
        <v>37.203072258</v>
      </c>
      <c r="D3757" s="1" t="n">
        <v>-7.00359437334</v>
      </c>
      <c r="E3757" s="3" t="n">
        <v>4</v>
      </c>
      <c r="F3757" s="2" t="n">
        <v>3</v>
      </c>
      <c r="G3757" s="4" t="n">
        <v>4</v>
      </c>
      <c r="H3757" s="13" t="n"/>
      <c r="I3757" s="15" t="n"/>
      <c r="J3757" s="19" t="n">
        <v>4</v>
      </c>
      <c r="K3757" s="2" t="inlineStr">
        <is>
          <t>marker_928_371748.png</t>
        </is>
      </c>
      <c r="L3757" s="11">
        <f>HYPERLINK("4\1\" &amp; K3757, "Ver Imagen")</f>
        <v/>
      </c>
      <c r="M3757" t="inlineStr">
        <is>
          <t>Moda</t>
        </is>
      </c>
    </row>
    <row r="3758">
      <c r="A3758" t="n">
        <v>3757</v>
      </c>
      <c r="B3758" t="inlineStr">
        <is>
          <t>A-497_2C__282</t>
        </is>
      </c>
      <c r="C3758" s="1" t="n">
        <v>37.2528578446</v>
      </c>
      <c r="D3758" s="1" t="n">
        <v>-7.01626654604</v>
      </c>
      <c r="E3758" s="3" t="n">
        <v>4</v>
      </c>
      <c r="F3758" s="2" t="n">
        <v>3</v>
      </c>
      <c r="G3758" s="4" t="n">
        <v>4</v>
      </c>
      <c r="H3758" s="13" t="n"/>
      <c r="I3758" s="15" t="n"/>
      <c r="J3758" s="19" t="n">
        <v>4</v>
      </c>
      <c r="K3758" s="2" t="inlineStr">
        <is>
          <t>marker_868_319908.png</t>
        </is>
      </c>
      <c r="L3758" s="11">
        <f>HYPERLINK("4\1\" &amp; K3758, "Ver Imagen")</f>
        <v/>
      </c>
      <c r="M3758" t="inlineStr">
        <is>
          <t>Moda</t>
        </is>
      </c>
    </row>
    <row r="3759">
      <c r="A3759" t="n">
        <v>3758</v>
      </c>
      <c r="B3759" t="inlineStr">
        <is>
          <t>A-497__575</t>
        </is>
      </c>
      <c r="C3759" s="1" t="n">
        <v>37.2037807865</v>
      </c>
      <c r="D3759" s="1" t="n">
        <v>-7.00887384021</v>
      </c>
      <c r="E3759" s="3" t="n">
        <v>4</v>
      </c>
      <c r="F3759" s="2" t="n">
        <v>3</v>
      </c>
      <c r="G3759" s="4" t="n">
        <v>4</v>
      </c>
      <c r="H3759" s="13" t="n"/>
      <c r="I3759" s="15" t="n"/>
      <c r="J3759" s="19" t="n">
        <v>4</v>
      </c>
      <c r="K3759" s="2" t="inlineStr">
        <is>
          <t>marker_213_371973.png</t>
        </is>
      </c>
      <c r="L3759" s="11">
        <f>HYPERLINK("4\1\" &amp; K3759, "Ver Imagen")</f>
        <v/>
      </c>
      <c r="M3759" t="inlineStr">
        <is>
          <t>Moda</t>
        </is>
      </c>
    </row>
    <row r="3760">
      <c r="A3760" t="n">
        <v>3759</v>
      </c>
      <c r="B3760" t="inlineStr">
        <is>
          <t>A-497_2C__295</t>
        </is>
      </c>
      <c r="C3760" s="1" t="n">
        <v>37.2504889931</v>
      </c>
      <c r="D3760" s="1" t="n">
        <v>-7.01776372206</v>
      </c>
      <c r="E3760" s="3" t="n">
        <v>4</v>
      </c>
      <c r="F3760" s="2" t="n">
        <v>3</v>
      </c>
      <c r="G3760" s="4" t="n">
        <v>4</v>
      </c>
      <c r="H3760" s="13" t="n"/>
      <c r="I3760" s="15" t="n"/>
      <c r="J3760" s="19" t="n">
        <v>4</v>
      </c>
      <c r="K3760" s="2" t="inlineStr">
        <is>
          <t>marker_392_320120.png</t>
        </is>
      </c>
      <c r="L3760" s="11">
        <f>HYPERLINK("4\1\" &amp; K3760, "Ver Imagen")</f>
        <v/>
      </c>
      <c r="M3760" t="inlineStr">
        <is>
          <t>Moda</t>
        </is>
      </c>
    </row>
    <row r="3761">
      <c r="A3761" t="n">
        <v>3760</v>
      </c>
      <c r="B3761" t="inlineStr">
        <is>
          <t>A-497_2C__310</t>
        </is>
      </c>
      <c r="C3761" s="1" t="n">
        <v>37.2475041476</v>
      </c>
      <c r="D3761" s="1" t="n">
        <v>-7.01839624823</v>
      </c>
      <c r="E3761" s="3" t="n">
        <v>4</v>
      </c>
      <c r="F3761" s="2" t="n">
        <v>3</v>
      </c>
      <c r="G3761" s="4" t="n">
        <v>4</v>
      </c>
      <c r="H3761" s="13" t="n"/>
      <c r="I3761" s="15" t="n"/>
      <c r="J3761" s="19" t="n">
        <v>4</v>
      </c>
      <c r="K3761" s="2" t="inlineStr">
        <is>
          <t>marker_509_361833.png</t>
        </is>
      </c>
      <c r="L3761" s="11">
        <f>HYPERLINK("4\1\" &amp; K3761, "Ver Imagen")</f>
        <v/>
      </c>
      <c r="M3761" t="inlineStr">
        <is>
          <t>Moda</t>
        </is>
      </c>
    </row>
    <row r="3762">
      <c r="A3762" t="n">
        <v>3761</v>
      </c>
      <c r="B3762" t="inlineStr">
        <is>
          <t>A-497_2C__314</t>
        </is>
      </c>
      <c r="C3762" s="1" t="n">
        <v>37.2467122794</v>
      </c>
      <c r="D3762" s="1" t="n">
        <v>-7.01842592946</v>
      </c>
      <c r="E3762" s="3" t="n">
        <v>4</v>
      </c>
      <c r="F3762" s="2" t="n">
        <v>3</v>
      </c>
      <c r="G3762" s="4" t="n">
        <v>4</v>
      </c>
      <c r="H3762" s="13" t="n"/>
      <c r="I3762" s="15" t="n"/>
      <c r="J3762" s="19" t="n">
        <v>4</v>
      </c>
      <c r="K3762" s="2" t="inlineStr">
        <is>
          <t>marker_539_361871.png</t>
        </is>
      </c>
      <c r="L3762" s="11">
        <f>HYPERLINK("4\1\" &amp; K3762, "Ver Imagen")</f>
        <v/>
      </c>
      <c r="M3762" t="inlineStr">
        <is>
          <t>Moda</t>
        </is>
      </c>
    </row>
    <row r="3763">
      <c r="A3763" t="n">
        <v>3762</v>
      </c>
      <c r="B3763" t="inlineStr">
        <is>
          <t>A-497_2C__331</t>
        </is>
      </c>
      <c r="C3763" s="1" t="n">
        <v>37.2432474318</v>
      </c>
      <c r="D3763" s="1" t="n">
        <v>-7.0185583439</v>
      </c>
      <c r="E3763" s="3" t="n">
        <v>4</v>
      </c>
      <c r="F3763" s="2" t="n">
        <v>3</v>
      </c>
      <c r="G3763" s="4" t="n">
        <v>4</v>
      </c>
      <c r="H3763" s="13" t="n"/>
      <c r="I3763" s="15" t="n"/>
      <c r="J3763" s="19" t="n">
        <v>4</v>
      </c>
      <c r="K3763" s="2" t="inlineStr">
        <is>
          <t>marker_627_362029.png</t>
        </is>
      </c>
      <c r="L3763" s="11">
        <f>HYPERLINK("4\1\" &amp; K3763, "Ver Imagen")</f>
        <v/>
      </c>
      <c r="M3763" t="inlineStr">
        <is>
          <t>Moda</t>
        </is>
      </c>
    </row>
    <row r="3764">
      <c r="A3764" t="n">
        <v>3763</v>
      </c>
      <c r="B3764" t="inlineStr">
        <is>
          <t>A-497__541</t>
        </is>
      </c>
      <c r="C3764" s="1" t="n">
        <v>37.2053599259</v>
      </c>
      <c r="D3764" s="1" t="n">
        <v>-7.01724486874</v>
      </c>
      <c r="E3764" s="3" t="n">
        <v>4</v>
      </c>
      <c r="F3764" s="2" t="n">
        <v>3</v>
      </c>
      <c r="G3764" s="4" t="n">
        <v>4</v>
      </c>
      <c r="H3764" s="13" t="n"/>
      <c r="I3764" s="15" t="n"/>
      <c r="J3764" s="19" t="n">
        <v>4</v>
      </c>
      <c r="K3764" s="2" t="inlineStr">
        <is>
          <t>marker_611_372366.png</t>
        </is>
      </c>
      <c r="L3764" s="11">
        <f>HYPERLINK("4\1\" &amp; K3764, "Ver Imagen")</f>
        <v/>
      </c>
      <c r="M3764" t="inlineStr">
        <is>
          <t>Moda</t>
        </is>
      </c>
    </row>
    <row r="3765">
      <c r="A3765" t="n">
        <v>3764</v>
      </c>
      <c r="B3765" t="inlineStr">
        <is>
          <t>A-497_2C__362</t>
        </is>
      </c>
      <c r="C3765" s="1" t="n">
        <v>37.2369685557</v>
      </c>
      <c r="D3765" s="1" t="n">
        <v>-7.01872087628</v>
      </c>
      <c r="E3765" s="3" t="n">
        <v>4</v>
      </c>
      <c r="F3765" s="2" t="n">
        <v>3</v>
      </c>
      <c r="G3765" s="4" t="n">
        <v>4</v>
      </c>
      <c r="H3765" s="13" t="n"/>
      <c r="I3765" s="15" t="n"/>
      <c r="J3765" s="19" t="n">
        <v>4</v>
      </c>
      <c r="K3765" s="2" t="inlineStr">
        <is>
          <t>marker_389_362365.png</t>
        </is>
      </c>
      <c r="L3765" s="11">
        <f>HYPERLINK("4\1\" &amp; K3765, "Ver Imagen")</f>
        <v/>
      </c>
      <c r="M3765" t="inlineStr">
        <is>
          <t>Moda</t>
        </is>
      </c>
    </row>
    <row r="3766">
      <c r="A3766" t="n">
        <v>3765</v>
      </c>
      <c r="B3766" t="inlineStr">
        <is>
          <t>A-497_2C__363</t>
        </is>
      </c>
      <c r="C3766" s="1" t="n">
        <v>37.2367755522</v>
      </c>
      <c r="D3766" s="1" t="n">
        <v>-7.01869679411</v>
      </c>
      <c r="E3766" s="3" t="n">
        <v>4</v>
      </c>
      <c r="F3766" s="2" t="n">
        <v>3</v>
      </c>
      <c r="G3766" s="4" t="n">
        <v>4</v>
      </c>
      <c r="H3766" s="13" t="n"/>
      <c r="I3766" s="15" t="n"/>
      <c r="J3766" s="19" t="n">
        <v>4</v>
      </c>
      <c r="K3766" s="2" t="inlineStr">
        <is>
          <t>marker_423_362376.png</t>
        </is>
      </c>
      <c r="L3766" s="11">
        <f>HYPERLINK("4\1\" &amp; K3766, "Ver Imagen")</f>
        <v/>
      </c>
      <c r="M3766" t="inlineStr">
        <is>
          <t>Moda</t>
        </is>
      </c>
    </row>
    <row r="3767">
      <c r="A3767" t="n">
        <v>3766</v>
      </c>
      <c r="B3767" t="inlineStr">
        <is>
          <t>A-497_2C__364</t>
        </is>
      </c>
      <c r="C3767" s="1" t="n">
        <v>37.2365798428</v>
      </c>
      <c r="D3767" s="1" t="n">
        <v>-7.01866611852</v>
      </c>
      <c r="E3767" s="3" t="n">
        <v>4</v>
      </c>
      <c r="F3767" s="2" t="n">
        <v>3</v>
      </c>
      <c r="G3767" s="4" t="n">
        <v>4</v>
      </c>
      <c r="H3767" s="13" t="n"/>
      <c r="I3767" s="15" t="n"/>
      <c r="J3767" s="19" t="n">
        <v>4</v>
      </c>
      <c r="K3767" s="2" t="inlineStr">
        <is>
          <t>marker_661_362385.png</t>
        </is>
      </c>
      <c r="L3767" s="11">
        <f>HYPERLINK("4\1\" &amp; K3767, "Ver Imagen")</f>
        <v/>
      </c>
      <c r="M3767" t="inlineStr">
        <is>
          <t>Moda</t>
        </is>
      </c>
    </row>
    <row r="3768">
      <c r="A3768" t="n">
        <v>3767</v>
      </c>
      <c r="B3768" t="inlineStr">
        <is>
          <t>A-497_2C__442</t>
        </is>
      </c>
      <c r="C3768" s="1" t="n">
        <v>37.2218688481</v>
      </c>
      <c r="D3768" s="1" t="n">
        <v>-7.02313398483</v>
      </c>
      <c r="E3768" s="3" t="n">
        <v>4</v>
      </c>
      <c r="F3768" s="2" t="n">
        <v>3</v>
      </c>
      <c r="G3768" s="4" t="n">
        <v>4</v>
      </c>
      <c r="H3768" s="13" t="n"/>
      <c r="I3768" s="15" t="n"/>
      <c r="J3768" s="19" t="n">
        <v>4</v>
      </c>
      <c r="K3768" s="2" t="inlineStr">
        <is>
          <t>marker_847_363328.png</t>
        </is>
      </c>
      <c r="L3768" s="11">
        <f>HYPERLINK("4\1\" &amp; K3768, "Ver Imagen")</f>
        <v/>
      </c>
      <c r="M3768" t="inlineStr">
        <is>
          <t>Moda</t>
        </is>
      </c>
    </row>
    <row r="3769">
      <c r="A3769" t="n">
        <v>3768</v>
      </c>
      <c r="B3769" t="inlineStr">
        <is>
          <t>A-497_2C__443</t>
        </is>
      </c>
      <c r="C3769" s="1" t="n">
        <v>37.2216462312</v>
      </c>
      <c r="D3769" s="1" t="n">
        <v>-7.02311207856</v>
      </c>
      <c r="E3769" s="3" t="n">
        <v>4</v>
      </c>
      <c r="F3769" s="2" t="n">
        <v>3</v>
      </c>
      <c r="G3769" s="4" t="n">
        <v>4</v>
      </c>
      <c r="H3769" s="13" t="n"/>
      <c r="I3769" s="15" t="n"/>
      <c r="J3769" s="19" t="n">
        <v>4</v>
      </c>
      <c r="K3769" s="2" t="inlineStr">
        <is>
          <t>marker_737_363346.png</t>
        </is>
      </c>
      <c r="L3769" s="11">
        <f>HYPERLINK("4\1\" &amp; K3769, "Ver Imagen")</f>
        <v/>
      </c>
      <c r="M3769" t="inlineStr">
        <is>
          <t>Moda</t>
        </is>
      </c>
    </row>
    <row r="3770">
      <c r="A3770" t="n">
        <v>3769</v>
      </c>
      <c r="B3770" t="inlineStr">
        <is>
          <t>A-497_2C__445</t>
        </is>
      </c>
      <c r="C3770" s="1" t="n">
        <v>37.2212146738</v>
      </c>
      <c r="D3770" s="1" t="n">
        <v>-7.02307142575</v>
      </c>
      <c r="E3770" s="3" t="n">
        <v>4</v>
      </c>
      <c r="F3770" s="2" t="n">
        <v>3</v>
      </c>
      <c r="G3770" s="4" t="n">
        <v>4</v>
      </c>
      <c r="H3770" s="13" t="n"/>
      <c r="I3770" s="15" t="n"/>
      <c r="J3770" s="19" t="n">
        <v>4</v>
      </c>
      <c r="K3770" s="2" t="inlineStr">
        <is>
          <t>marker_758_363362.png</t>
        </is>
      </c>
      <c r="L3770" s="11">
        <f>HYPERLINK("4\1\" &amp; K3770, "Ver Imagen")</f>
        <v/>
      </c>
      <c r="M3770" t="inlineStr">
        <is>
          <t>Moda</t>
        </is>
      </c>
    </row>
    <row r="3771">
      <c r="A3771" t="n">
        <v>3770</v>
      </c>
      <c r="B3771" t="inlineStr">
        <is>
          <t>A-497_2C__446</t>
        </is>
      </c>
      <c r="C3771" s="1" t="n">
        <v>37.2210234223</v>
      </c>
      <c r="D3771" s="1" t="n">
        <v>-7.02305423711</v>
      </c>
      <c r="E3771" s="3" t="n">
        <v>4</v>
      </c>
      <c r="F3771" s="2" t="n">
        <v>3</v>
      </c>
      <c r="G3771" s="4" t="n">
        <v>4</v>
      </c>
      <c r="H3771" s="13" t="n"/>
      <c r="I3771" s="15" t="n"/>
      <c r="J3771" s="19" t="n">
        <v>4</v>
      </c>
      <c r="K3771" s="2" t="inlineStr">
        <is>
          <t>marker_422_363372.png</t>
        </is>
      </c>
      <c r="L3771" s="11">
        <f>HYPERLINK("4\1\" &amp; K3771, "Ver Imagen")</f>
        <v/>
      </c>
      <c r="M3771" t="inlineStr">
        <is>
          <t>Moda</t>
        </is>
      </c>
    </row>
    <row r="3772">
      <c r="A3772" t="n">
        <v>3771</v>
      </c>
      <c r="B3772" t="inlineStr">
        <is>
          <t>A-497_2C__448</t>
        </is>
      </c>
      <c r="C3772" s="1" t="n">
        <v>37.2206346457</v>
      </c>
      <c r="D3772" s="1" t="n">
        <v>-7.0230199342</v>
      </c>
      <c r="E3772" s="3" t="n">
        <v>4</v>
      </c>
      <c r="F3772" s="2" t="n">
        <v>3</v>
      </c>
      <c r="G3772" s="4" t="n">
        <v>4</v>
      </c>
      <c r="H3772" s="13" t="n"/>
      <c r="I3772" s="15" t="n"/>
      <c r="J3772" s="19" t="n">
        <v>4</v>
      </c>
      <c r="K3772" s="2" t="inlineStr">
        <is>
          <t>marker_889_363392.png</t>
        </is>
      </c>
      <c r="L3772" s="11">
        <f>HYPERLINK("4\1\" &amp; K3772, "Ver Imagen")</f>
        <v/>
      </c>
      <c r="M3772" t="inlineStr">
        <is>
          <t>Moda</t>
        </is>
      </c>
    </row>
    <row r="3773">
      <c r="A3773" t="n">
        <v>3772</v>
      </c>
      <c r="B3773" t="inlineStr">
        <is>
          <t>A-497_2C__450</t>
        </is>
      </c>
      <c r="C3773" s="1" t="n">
        <v>37.2202424958</v>
      </c>
      <c r="D3773" s="1" t="n">
        <v>-7.02298528105</v>
      </c>
      <c r="E3773" s="3" t="n">
        <v>4</v>
      </c>
      <c r="F3773" s="2" t="n">
        <v>3</v>
      </c>
      <c r="G3773" s="4" t="n">
        <v>4</v>
      </c>
      <c r="H3773" s="13" t="n"/>
      <c r="I3773" s="15" t="n"/>
      <c r="J3773" s="19" t="n">
        <v>4</v>
      </c>
      <c r="K3773" s="2" t="inlineStr">
        <is>
          <t>marker_705_363419.png</t>
        </is>
      </c>
      <c r="L3773" s="11">
        <f>HYPERLINK("4\1\" &amp; K3773, "Ver Imagen")</f>
        <v/>
      </c>
      <c r="M3773" t="inlineStr">
        <is>
          <t>Moda</t>
        </is>
      </c>
    </row>
    <row r="3774">
      <c r="A3774" t="n">
        <v>3773</v>
      </c>
      <c r="B3774" t="inlineStr">
        <is>
          <t>A-497_2C__460</t>
        </is>
      </c>
      <c r="C3774" s="1" t="n">
        <v>37.2181827526</v>
      </c>
      <c r="D3774" s="1" t="n">
        <v>-7.02304033131</v>
      </c>
      <c r="E3774" s="3" t="n">
        <v>4</v>
      </c>
      <c r="F3774" s="2" t="n">
        <v>3</v>
      </c>
      <c r="G3774" s="4" t="n">
        <v>4</v>
      </c>
      <c r="H3774" s="13" t="n"/>
      <c r="I3774" s="15" t="n"/>
      <c r="J3774" s="19" t="n">
        <v>4</v>
      </c>
      <c r="K3774" s="2" t="inlineStr">
        <is>
          <t>marker_825_363535.png</t>
        </is>
      </c>
      <c r="L3774" s="11">
        <f>HYPERLINK("4\1\" &amp; K3774, "Ver Imagen")</f>
        <v/>
      </c>
      <c r="M3774" t="inlineStr">
        <is>
          <t>Moda</t>
        </is>
      </c>
    </row>
    <row r="3775">
      <c r="A3775" t="n">
        <v>3774</v>
      </c>
      <c r="B3775" t="inlineStr">
        <is>
          <t>A-497_2C__465</t>
        </is>
      </c>
      <c r="C3775" s="1" t="n">
        <v>37.2171841384</v>
      </c>
      <c r="D3775" s="1" t="n">
        <v>-7.02320473567</v>
      </c>
      <c r="E3775" s="3" t="n">
        <v>4</v>
      </c>
      <c r="F3775" s="2" t="n">
        <v>3</v>
      </c>
      <c r="G3775" s="4" t="n">
        <v>4</v>
      </c>
      <c r="H3775" s="13" t="n"/>
      <c r="I3775" s="15" t="n"/>
      <c r="J3775" s="19" t="n">
        <v>4</v>
      </c>
      <c r="K3775" s="2" t="inlineStr">
        <is>
          <t>marker_251_363588.png</t>
        </is>
      </c>
      <c r="L3775" s="11">
        <f>HYPERLINK("4\1\" &amp; K3775, "Ver Imagen")</f>
        <v/>
      </c>
      <c r="M3775" t="inlineStr">
        <is>
          <t>Moda</t>
        </is>
      </c>
    </row>
    <row r="3776">
      <c r="A3776" t="n">
        <v>3775</v>
      </c>
      <c r="B3776" t="inlineStr">
        <is>
          <t>A-497_2C__471</t>
        </is>
      </c>
      <c r="C3776" s="1" t="n">
        <v>37.2159887285</v>
      </c>
      <c r="D3776" s="1" t="n">
        <v>-7.02341668934</v>
      </c>
      <c r="E3776" s="3" t="n">
        <v>4</v>
      </c>
      <c r="F3776" s="2" t="n">
        <v>3</v>
      </c>
      <c r="G3776" s="4" t="n">
        <v>4</v>
      </c>
      <c r="H3776" s="13" t="n"/>
      <c r="I3776" s="15" t="n"/>
      <c r="J3776" s="19" t="n">
        <v>4</v>
      </c>
      <c r="K3776" s="2" t="inlineStr">
        <is>
          <t>marker_504_363657.png</t>
        </is>
      </c>
      <c r="L3776" s="11">
        <f>HYPERLINK("4\1\" &amp; K3776, "Ver Imagen")</f>
        <v/>
      </c>
      <c r="M3776" t="inlineStr">
        <is>
          <t>Moda</t>
        </is>
      </c>
    </row>
    <row r="3777">
      <c r="A3777" t="n">
        <v>3776</v>
      </c>
      <c r="B3777" t="inlineStr">
        <is>
          <t>A-497_2C__472</t>
        </is>
      </c>
      <c r="C3777" s="1" t="n">
        <v>37.2157914368</v>
      </c>
      <c r="D3777" s="1" t="n">
        <v>-7.02345028941</v>
      </c>
      <c r="E3777" s="3" t="n">
        <v>4</v>
      </c>
      <c r="F3777" s="2" t="n">
        <v>3</v>
      </c>
      <c r="G3777" s="4" t="n">
        <v>4</v>
      </c>
      <c r="H3777" s="13" t="n"/>
      <c r="I3777" s="15" t="n"/>
      <c r="J3777" s="19" t="n">
        <v>4</v>
      </c>
      <c r="K3777" s="2" t="inlineStr">
        <is>
          <t>marker_682_363668.png</t>
        </is>
      </c>
      <c r="L3777" s="11">
        <f>HYPERLINK("4\1\" &amp; K3777, "Ver Imagen")</f>
        <v/>
      </c>
      <c r="M3777" t="inlineStr">
        <is>
          <t>Moda</t>
        </is>
      </c>
    </row>
    <row r="3778">
      <c r="A3778" t="n">
        <v>3777</v>
      </c>
      <c r="B3778" t="inlineStr">
        <is>
          <t>A-497_2C__477</t>
        </is>
      </c>
      <c r="C3778" s="1" t="n">
        <v>37.2147908874</v>
      </c>
      <c r="D3778" s="1" t="n">
        <v>-7.02362230439</v>
      </c>
      <c r="E3778" s="3" t="n">
        <v>4</v>
      </c>
      <c r="F3778" s="2" t="n">
        <v>3</v>
      </c>
      <c r="G3778" s="4" t="n">
        <v>4</v>
      </c>
      <c r="H3778" s="13" t="n"/>
      <c r="I3778" s="15" t="n"/>
      <c r="J3778" s="19" t="n">
        <v>4</v>
      </c>
      <c r="K3778" s="2" t="inlineStr">
        <is>
          <t>marker_427_363727.png</t>
        </is>
      </c>
      <c r="L3778" s="11">
        <f>HYPERLINK("4\1\" &amp; K3778, "Ver Imagen")</f>
        <v/>
      </c>
      <c r="M3778" t="inlineStr">
        <is>
          <t>Moda</t>
        </is>
      </c>
    </row>
    <row r="3779">
      <c r="A3779" t="n">
        <v>3778</v>
      </c>
      <c r="B3779" t="inlineStr">
        <is>
          <t>A-497_2C__478</t>
        </is>
      </c>
      <c r="C3779" s="1" t="n">
        <v>37.2145465284</v>
      </c>
      <c r="D3779" s="1" t="n">
        <v>-7.0236677941</v>
      </c>
      <c r="E3779" s="3" t="n">
        <v>4</v>
      </c>
      <c r="F3779" s="2" t="n">
        <v>3</v>
      </c>
      <c r="G3779" s="4" t="n">
        <v>4</v>
      </c>
      <c r="H3779" s="13" t="n"/>
      <c r="I3779" s="15" t="n"/>
      <c r="J3779" s="19" t="n">
        <v>4</v>
      </c>
      <c r="K3779" s="2" t="inlineStr">
        <is>
          <t>marker_135_363736.png</t>
        </is>
      </c>
      <c r="L3779" s="11">
        <f>HYPERLINK("4\1\" &amp; K3779, "Ver Imagen")</f>
        <v/>
      </c>
      <c r="M3779" t="inlineStr">
        <is>
          <t>Moda</t>
        </is>
      </c>
    </row>
    <row r="3780">
      <c r="A3780" t="n">
        <v>3779</v>
      </c>
      <c r="B3780" t="inlineStr">
        <is>
          <t>A-497_2C__480</t>
        </is>
      </c>
      <c r="C3780" s="1" t="n">
        <v>37.2142006211</v>
      </c>
      <c r="D3780" s="1" t="n">
        <v>-7.02373417593</v>
      </c>
      <c r="E3780" s="3" t="n">
        <v>4</v>
      </c>
      <c r="F3780" s="2" t="n">
        <v>3</v>
      </c>
      <c r="G3780" s="4" t="n">
        <v>4</v>
      </c>
      <c r="H3780" s="13" t="n"/>
      <c r="I3780" s="15" t="n"/>
      <c r="J3780" s="19" t="n">
        <v>4</v>
      </c>
      <c r="K3780" s="2" t="inlineStr">
        <is>
          <t>marker_490_363758.png</t>
        </is>
      </c>
      <c r="L3780" s="11">
        <f>HYPERLINK("4\1\" &amp; K3780, "Ver Imagen")</f>
        <v/>
      </c>
      <c r="M3780" t="inlineStr">
        <is>
          <t>Moda</t>
        </is>
      </c>
    </row>
    <row r="3781">
      <c r="A3781" t="n">
        <v>3780</v>
      </c>
      <c r="B3781" t="inlineStr">
        <is>
          <t>A-497_2C__484</t>
        </is>
      </c>
      <c r="C3781" s="1" t="n">
        <v>37.2133716959</v>
      </c>
      <c r="D3781" s="1" t="n">
        <v>-7.02388180745</v>
      </c>
      <c r="E3781" s="3" t="n">
        <v>4</v>
      </c>
      <c r="F3781" s="2" t="n">
        <v>3</v>
      </c>
      <c r="G3781" s="4" t="n">
        <v>4</v>
      </c>
      <c r="H3781" s="13" t="n"/>
      <c r="I3781" s="15" t="n"/>
      <c r="J3781" s="19" t="n">
        <v>4</v>
      </c>
      <c r="K3781" s="2" t="inlineStr">
        <is>
          <t>marker_993_363813.png</t>
        </is>
      </c>
      <c r="L3781" s="11">
        <f>HYPERLINK("4\1\" &amp; K3781, "Ver Imagen")</f>
        <v/>
      </c>
      <c r="M3781" t="inlineStr">
        <is>
          <t>Moda</t>
        </is>
      </c>
    </row>
    <row r="3782">
      <c r="A3782" t="n">
        <v>3781</v>
      </c>
      <c r="B3782" t="inlineStr">
        <is>
          <t>A-497_2C__489</t>
        </is>
      </c>
      <c r="C3782" s="1" t="n">
        <v>37.2124193086</v>
      </c>
      <c r="D3782" s="1" t="n">
        <v>-7.0240180262</v>
      </c>
      <c r="E3782" s="3" t="n">
        <v>4</v>
      </c>
      <c r="F3782" s="2" t="n">
        <v>3</v>
      </c>
      <c r="G3782" s="4" t="n">
        <v>4</v>
      </c>
      <c r="H3782" s="13" t="n"/>
      <c r="I3782" s="15" t="n"/>
      <c r="J3782" s="19" t="n">
        <v>4</v>
      </c>
      <c r="K3782" s="2" t="inlineStr">
        <is>
          <t>marker_223_363867.png</t>
        </is>
      </c>
      <c r="L3782" s="11">
        <f>HYPERLINK("4\1\" &amp; K3782, "Ver Imagen")</f>
        <v/>
      </c>
      <c r="M3782" t="inlineStr">
        <is>
          <t>Moda</t>
        </is>
      </c>
    </row>
    <row r="3783">
      <c r="A3783" t="n">
        <v>3782</v>
      </c>
      <c r="B3783" t="inlineStr">
        <is>
          <t>A-497_2C__502</t>
        </is>
      </c>
      <c r="C3783" s="1" t="n">
        <v>37.2097890244</v>
      </c>
      <c r="D3783" s="1" t="n">
        <v>-7.0236374397</v>
      </c>
      <c r="E3783" s="3" t="n">
        <v>4</v>
      </c>
      <c r="F3783" s="2" t="n">
        <v>3</v>
      </c>
      <c r="G3783" s="4" t="n">
        <v>4</v>
      </c>
      <c r="H3783" s="13" t="n"/>
      <c r="I3783" s="15" t="n"/>
      <c r="J3783" s="19" t="n">
        <v>4</v>
      </c>
      <c r="K3783" s="2" t="inlineStr">
        <is>
          <t>marker_956_364082.png</t>
        </is>
      </c>
      <c r="L3783" s="11">
        <f>HYPERLINK("4\1\" &amp; K3783, "Ver Imagen")</f>
        <v/>
      </c>
      <c r="M3783" t="inlineStr">
        <is>
          <t>Moda</t>
        </is>
      </c>
    </row>
    <row r="3784">
      <c r="A3784" t="n">
        <v>3783</v>
      </c>
      <c r="B3784" t="inlineStr">
        <is>
          <t>A-497__345</t>
        </is>
      </c>
      <c r="C3784" s="1" t="n">
        <v>37.2413525785</v>
      </c>
      <c r="D3784" s="1" t="n">
        <v>-7.01843492303</v>
      </c>
      <c r="E3784" s="3" t="n">
        <v>4</v>
      </c>
      <c r="F3784" s="2" t="n">
        <v>3</v>
      </c>
      <c r="G3784" s="4" t="n">
        <v>4</v>
      </c>
      <c r="H3784" s="13" t="n"/>
      <c r="I3784" s="15" t="n"/>
      <c r="J3784" s="19" t="n">
        <v>4</v>
      </c>
      <c r="K3784" s="2" t="inlineStr">
        <is>
          <t>marker_420_377718.png</t>
        </is>
      </c>
      <c r="L3784" s="11">
        <f>HYPERLINK("4\1\" &amp; K3784, "Ver Imagen")</f>
        <v/>
      </c>
      <c r="M3784" t="inlineStr">
        <is>
          <t>Moda</t>
        </is>
      </c>
    </row>
    <row r="3785">
      <c r="A3785" t="n">
        <v>3784</v>
      </c>
      <c r="B3785" t="inlineStr">
        <is>
          <t>A-497__343</t>
        </is>
      </c>
      <c r="C3785" s="1" t="n">
        <v>37.2417574658</v>
      </c>
      <c r="D3785" s="1" t="n">
        <v>-7.01842034197</v>
      </c>
      <c r="E3785" s="3" t="n">
        <v>4</v>
      </c>
      <c r="F3785" s="2" t="n">
        <v>3</v>
      </c>
      <c r="G3785" s="4" t="n">
        <v>4</v>
      </c>
      <c r="H3785" s="13" t="n"/>
      <c r="I3785" s="15" t="n"/>
      <c r="J3785" s="19" t="n">
        <v>4</v>
      </c>
      <c r="K3785" s="2" t="inlineStr">
        <is>
          <t>marker_876_377740.png</t>
        </is>
      </c>
      <c r="L3785" s="11">
        <f>HYPERLINK("4\1\" &amp; K3785, "Ver Imagen")</f>
        <v/>
      </c>
      <c r="M3785" t="inlineStr">
        <is>
          <t>Moda</t>
        </is>
      </c>
    </row>
    <row r="3786">
      <c r="A3786" t="n">
        <v>3785</v>
      </c>
      <c r="B3786" t="inlineStr">
        <is>
          <t>A-497__336</t>
        </is>
      </c>
      <c r="C3786" s="1" t="n">
        <v>37.2431585286</v>
      </c>
      <c r="D3786" s="1" t="n">
        <v>-7.01836345727</v>
      </c>
      <c r="E3786" s="3" t="n">
        <v>4</v>
      </c>
      <c r="F3786" s="2" t="n">
        <v>3</v>
      </c>
      <c r="G3786" s="4" t="n">
        <v>4</v>
      </c>
      <c r="H3786" s="13" t="n"/>
      <c r="I3786" s="15" t="n"/>
      <c r="J3786" s="19" t="n">
        <v>4</v>
      </c>
      <c r="K3786" s="2" t="inlineStr">
        <is>
          <t>marker_452_377808.png</t>
        </is>
      </c>
      <c r="L3786" s="11">
        <f>HYPERLINK("4\1\" &amp; K3786, "Ver Imagen")</f>
        <v/>
      </c>
      <c r="M3786" t="inlineStr">
        <is>
          <t>Moda</t>
        </is>
      </c>
    </row>
    <row r="3787">
      <c r="A3787" t="n">
        <v>3786</v>
      </c>
      <c r="B3787" t="inlineStr">
        <is>
          <t>A-497__335</t>
        </is>
      </c>
      <c r="C3787" s="1" t="n">
        <v>37.2433532511</v>
      </c>
      <c r="D3787" s="1" t="n">
        <v>-7.01835491121</v>
      </c>
      <c r="E3787" s="3" t="n">
        <v>4</v>
      </c>
      <c r="F3787" s="2" t="n">
        <v>3</v>
      </c>
      <c r="G3787" s="4" t="n">
        <v>4</v>
      </c>
      <c r="H3787" s="13" t="n"/>
      <c r="I3787" s="15" t="n"/>
      <c r="J3787" s="19" t="n">
        <v>4</v>
      </c>
      <c r="K3787" s="2" t="inlineStr">
        <is>
          <t>marker_243_377817.png</t>
        </is>
      </c>
      <c r="L3787" s="11">
        <f>HYPERLINK("4\1\" &amp; K3787, "Ver Imagen")</f>
        <v/>
      </c>
      <c r="M3787" t="inlineStr">
        <is>
          <t>Moda</t>
        </is>
      </c>
    </row>
    <row r="3788">
      <c r="A3788" t="n">
        <v>3787</v>
      </c>
      <c r="B3788" t="inlineStr">
        <is>
          <t>A-497__325</t>
        </is>
      </c>
      <c r="C3788" s="1" t="n">
        <v>37.2454211674</v>
      </c>
      <c r="D3788" s="1" t="n">
        <v>-7.01828085637</v>
      </c>
      <c r="E3788" s="3" t="n">
        <v>4</v>
      </c>
      <c r="F3788" s="2" t="n">
        <v>3</v>
      </c>
      <c r="G3788" s="4" t="n">
        <v>4</v>
      </c>
      <c r="H3788" s="13" t="n"/>
      <c r="I3788" s="15" t="n"/>
      <c r="J3788" s="19" t="n">
        <v>4</v>
      </c>
      <c r="K3788" s="2" t="inlineStr">
        <is>
          <t>marker_210_377916.png</t>
        </is>
      </c>
      <c r="L3788" s="11">
        <f>HYPERLINK("4\1\" &amp; K3788, "Ver Imagen")</f>
        <v/>
      </c>
      <c r="M3788" t="inlineStr">
        <is>
          <t>Moda</t>
        </is>
      </c>
    </row>
    <row r="3789">
      <c r="A3789" t="n">
        <v>3788</v>
      </c>
      <c r="B3789" t="inlineStr">
        <is>
          <t>A-497__293</t>
        </is>
      </c>
      <c r="C3789" s="1" t="n">
        <v>37.251642301</v>
      </c>
      <c r="D3789" s="1" t="n">
        <v>-7.01682977869</v>
      </c>
      <c r="E3789" s="3" t="n">
        <v>4</v>
      </c>
      <c r="F3789" s="2" t="n">
        <v>3</v>
      </c>
      <c r="G3789" s="4" t="n">
        <v>4</v>
      </c>
      <c r="H3789" s="13" t="n"/>
      <c r="I3789" s="15" t="n"/>
      <c r="J3789" s="19" t="n">
        <v>4</v>
      </c>
      <c r="K3789" s="2" t="inlineStr">
        <is>
          <t>marker_670_378314.png</t>
        </is>
      </c>
      <c r="L3789" s="11">
        <f>HYPERLINK("4\1\" &amp; K3789, "Ver Imagen")</f>
        <v/>
      </c>
      <c r="M3789" t="inlineStr">
        <is>
          <t>Moda</t>
        </is>
      </c>
    </row>
    <row r="3790">
      <c r="A3790" t="n">
        <v>3789</v>
      </c>
      <c r="B3790" t="inlineStr">
        <is>
          <t>A-497__273</t>
        </is>
      </c>
      <c r="C3790" s="1" t="n">
        <v>37.2552460765</v>
      </c>
      <c r="D3790" s="1" t="n">
        <v>-7.01453548443</v>
      </c>
      <c r="E3790" s="3" t="n">
        <v>4</v>
      </c>
      <c r="F3790" s="2" t="n">
        <v>3</v>
      </c>
      <c r="G3790" s="4" t="n">
        <v>4</v>
      </c>
      <c r="H3790" s="13" t="n"/>
      <c r="I3790" s="15" t="n"/>
      <c r="J3790" s="19" t="n">
        <v>4</v>
      </c>
      <c r="K3790" s="2" t="inlineStr">
        <is>
          <t>marker_490_378549.png</t>
        </is>
      </c>
      <c r="L3790" s="11">
        <f>HYPERLINK("4\1\" &amp; K3790, "Ver Imagen")</f>
        <v/>
      </c>
      <c r="M3790" t="inlineStr">
        <is>
          <t>Moda</t>
        </is>
      </c>
    </row>
    <row r="3791">
      <c r="A3791" t="n">
        <v>3790</v>
      </c>
      <c r="B3791" t="inlineStr">
        <is>
          <t>A-497__270</t>
        </is>
      </c>
      <c r="C3791" s="1" t="n">
        <v>37.2557963503</v>
      </c>
      <c r="D3791" s="1" t="n">
        <v>-7.01419036311</v>
      </c>
      <c r="E3791" s="3" t="n">
        <v>4</v>
      </c>
      <c r="F3791" s="2" t="n">
        <v>3</v>
      </c>
      <c r="G3791" s="4" t="n">
        <v>4</v>
      </c>
      <c r="H3791" s="13" t="n"/>
      <c r="I3791" s="15" t="n"/>
      <c r="J3791" s="19" t="n">
        <v>4</v>
      </c>
      <c r="K3791" s="2" t="inlineStr">
        <is>
          <t>marker_613_378583.png</t>
        </is>
      </c>
      <c r="L3791" s="11">
        <f>HYPERLINK("4\1\" &amp; K3791, "Ver Imagen")</f>
        <v/>
      </c>
      <c r="M3791" t="inlineStr">
        <is>
          <t>Moda</t>
        </is>
      </c>
    </row>
    <row r="3792">
      <c r="A3792" t="n">
        <v>3791</v>
      </c>
      <c r="B3792" t="inlineStr">
        <is>
          <t>A-497__260</t>
        </is>
      </c>
      <c r="C3792" s="1" t="n">
        <v>37.2576482319</v>
      </c>
      <c r="D3792" s="1" t="n">
        <v>-7.01300677479</v>
      </c>
      <c r="E3792" s="3" t="n">
        <v>4</v>
      </c>
      <c r="F3792" s="2" t="n">
        <v>3</v>
      </c>
      <c r="G3792" s="4" t="n">
        <v>4</v>
      </c>
      <c r="H3792" s="13" t="n"/>
      <c r="I3792" s="15" t="n"/>
      <c r="J3792" s="19" t="n">
        <v>4</v>
      </c>
      <c r="K3792" s="2" t="inlineStr">
        <is>
          <t>marker_644_378677.png</t>
        </is>
      </c>
      <c r="L3792" s="11">
        <f>HYPERLINK("4\1\" &amp; K3792, "Ver Imagen")</f>
        <v/>
      </c>
      <c r="M3792" t="inlineStr">
        <is>
          <t>Moda</t>
        </is>
      </c>
    </row>
    <row r="3793">
      <c r="A3793" t="n">
        <v>3792</v>
      </c>
      <c r="B3793" t="inlineStr">
        <is>
          <t>A-497__259</t>
        </is>
      </c>
      <c r="C3793" s="1" t="n">
        <v>37.2577900478</v>
      </c>
      <c r="D3793" s="1" t="n">
        <v>-7.01291642659</v>
      </c>
      <c r="E3793" s="3" t="n">
        <v>4</v>
      </c>
      <c r="F3793" s="2" t="n">
        <v>3</v>
      </c>
      <c r="G3793" s="4" t="n">
        <v>4</v>
      </c>
      <c r="H3793" s="13" t="n"/>
      <c r="I3793" s="15" t="n"/>
      <c r="J3793" s="19" t="n">
        <v>4</v>
      </c>
      <c r="K3793" s="2" t="inlineStr">
        <is>
          <t>marker_837_378688.png</t>
        </is>
      </c>
      <c r="L3793" s="11">
        <f>HYPERLINK("4\1\" &amp; K3793, "Ver Imagen")</f>
        <v/>
      </c>
      <c r="M3793" t="inlineStr">
        <is>
          <t>Moda</t>
        </is>
      </c>
    </row>
    <row r="3794">
      <c r="A3794" t="n">
        <v>3793</v>
      </c>
      <c r="B3794" t="inlineStr">
        <is>
          <t>A-497__247</t>
        </is>
      </c>
      <c r="C3794" s="1" t="n">
        <v>37.2599957855</v>
      </c>
      <c r="D3794" s="1" t="n">
        <v>-7.01150907109</v>
      </c>
      <c r="E3794" s="3" t="n">
        <v>4</v>
      </c>
      <c r="F3794" s="2" t="n">
        <v>3</v>
      </c>
      <c r="G3794" s="4" t="n">
        <v>4</v>
      </c>
      <c r="H3794" s="13" t="n"/>
      <c r="I3794" s="15" t="n"/>
      <c r="J3794" s="19" t="n">
        <v>4</v>
      </c>
      <c r="K3794" s="2" t="inlineStr">
        <is>
          <t>marker_534_378812.png</t>
        </is>
      </c>
      <c r="L3794" s="11">
        <f>HYPERLINK("4\1\" &amp; K3794, "Ver Imagen")</f>
        <v/>
      </c>
      <c r="M3794" t="inlineStr">
        <is>
          <t>Moda</t>
        </is>
      </c>
    </row>
    <row r="3795">
      <c r="A3795" t="n">
        <v>3794</v>
      </c>
      <c r="B3795" t="inlineStr">
        <is>
          <t>A-497__227</t>
        </is>
      </c>
      <c r="C3795" s="1" t="n">
        <v>37.2630197448</v>
      </c>
      <c r="D3795" s="1" t="n">
        <v>-7.00842203856</v>
      </c>
      <c r="E3795" s="3" t="n">
        <v>4</v>
      </c>
      <c r="F3795" s="2" t="n">
        <v>3</v>
      </c>
      <c r="G3795" s="4" t="n">
        <v>4</v>
      </c>
      <c r="H3795" s="13" t="n"/>
      <c r="I3795" s="15" t="n"/>
      <c r="J3795" s="19" t="n">
        <v>4</v>
      </c>
      <c r="K3795" s="2" t="inlineStr">
        <is>
          <t>marker_174_379070.png</t>
        </is>
      </c>
      <c r="L3795" s="11">
        <f>HYPERLINK("4\1\" &amp; K3795, "Ver Imagen")</f>
        <v/>
      </c>
      <c r="M3795" t="inlineStr">
        <is>
          <t>Moda</t>
        </is>
      </c>
    </row>
    <row r="3796">
      <c r="A3796" t="n">
        <v>3795</v>
      </c>
      <c r="B3796" t="inlineStr">
        <is>
          <t>A-497__114</t>
        </is>
      </c>
      <c r="C3796" s="1" t="n">
        <v>37.2712822839</v>
      </c>
      <c r="D3796" s="1" t="n">
        <v>-6.9839323386</v>
      </c>
      <c r="E3796" s="3" t="n">
        <v>5</v>
      </c>
      <c r="F3796" s="2" t="n">
        <v>4</v>
      </c>
      <c r="G3796" s="4" t="n">
        <v>4</v>
      </c>
      <c r="H3796" s="13" t="n"/>
      <c r="I3796" s="15" t="n"/>
      <c r="J3796" s="19" t="n">
        <v>4</v>
      </c>
      <c r="K3796" s="2" t="inlineStr">
        <is>
          <t>marker_878_380677.png</t>
        </is>
      </c>
      <c r="L3796" s="11">
        <f>HYPERLINK("4\1\" &amp; K3796, "Ver Imagen")</f>
        <v/>
      </c>
      <c r="M3796" t="inlineStr">
        <is>
          <t>Moda</t>
        </is>
      </c>
    </row>
    <row r="3797">
      <c r="A3797" t="n">
        <v>3796</v>
      </c>
      <c r="B3797" t="inlineStr">
        <is>
          <t>A-497__111</t>
        </is>
      </c>
      <c r="C3797" s="1" t="n">
        <v>37.2710731592</v>
      </c>
      <c r="D3797" s="1" t="n">
        <v>-6.98321022986</v>
      </c>
      <c r="E3797" s="3" t="n">
        <v>4</v>
      </c>
      <c r="F3797" s="2" t="n">
        <v>3</v>
      </c>
      <c r="G3797" s="4" t="n">
        <v>4</v>
      </c>
      <c r="H3797" s="13" t="n"/>
      <c r="I3797" s="15" t="n"/>
      <c r="J3797" s="19" t="n">
        <v>4</v>
      </c>
      <c r="K3797" s="2" t="inlineStr">
        <is>
          <t>marker_970_380714.png</t>
        </is>
      </c>
      <c r="L3797" s="11">
        <f>HYPERLINK("4\1\" &amp; K3797, "Ver Imagen")</f>
        <v/>
      </c>
      <c r="M3797" t="inlineStr">
        <is>
          <t>Moda</t>
        </is>
      </c>
    </row>
    <row r="3798">
      <c r="A3798" t="n">
        <v>3797</v>
      </c>
      <c r="B3798" t="inlineStr">
        <is>
          <t>A-497__108</t>
        </is>
      </c>
      <c r="C3798" s="1" t="n">
        <v>37.2708671831</v>
      </c>
      <c r="D3798" s="1" t="n">
        <v>-6.98249115457</v>
      </c>
      <c r="E3798" s="3" t="n">
        <v>4</v>
      </c>
      <c r="F3798" s="2" t="n">
        <v>3</v>
      </c>
      <c r="G3798" s="4" t="n">
        <v>4</v>
      </c>
      <c r="H3798" s="13" t="n"/>
      <c r="I3798" s="15" t="n"/>
      <c r="J3798" s="19" t="n">
        <v>4</v>
      </c>
      <c r="K3798" s="2" t="inlineStr">
        <is>
          <t>marker_460_380747.png</t>
        </is>
      </c>
      <c r="L3798" s="11">
        <f>HYPERLINK("4\1\" &amp; K3798, "Ver Imagen")</f>
        <v/>
      </c>
      <c r="M3798" t="inlineStr">
        <is>
          <t>Moda</t>
        </is>
      </c>
    </row>
    <row r="3799">
      <c r="A3799" t="n">
        <v>3798</v>
      </c>
      <c r="B3799" t="inlineStr">
        <is>
          <t>A-497__94</t>
        </is>
      </c>
      <c r="C3799" s="1" t="n">
        <v>37.26989731</v>
      </c>
      <c r="D3799" s="1" t="n">
        <v>-6.97910546889</v>
      </c>
      <c r="E3799" s="3" t="n">
        <v>4</v>
      </c>
      <c r="F3799" s="2" t="n">
        <v>3</v>
      </c>
      <c r="G3799" s="4" t="n">
        <v>4</v>
      </c>
      <c r="H3799" s="13" t="n"/>
      <c r="I3799" s="15" t="n"/>
      <c r="J3799" s="19" t="n">
        <v>4</v>
      </c>
      <c r="K3799" s="2" t="inlineStr">
        <is>
          <t>marker_734_380898.png</t>
        </is>
      </c>
      <c r="L3799" s="11">
        <f>HYPERLINK("4\1\" &amp; K3799, "Ver Imagen")</f>
        <v/>
      </c>
      <c r="M3799" t="inlineStr">
        <is>
          <t>Moda</t>
        </is>
      </c>
    </row>
    <row r="3800">
      <c r="A3800" t="n">
        <v>3799</v>
      </c>
      <c r="B3800" t="inlineStr">
        <is>
          <t>A-490__79</t>
        </is>
      </c>
      <c r="C3800" s="1" t="n">
        <v>37.4486083589</v>
      </c>
      <c r="D3800" s="1" t="n">
        <v>-7.14546780626</v>
      </c>
      <c r="E3800" s="3" t="n">
        <v>4</v>
      </c>
      <c r="F3800" s="2" t="n">
        <v>4</v>
      </c>
      <c r="G3800" s="4" t="n">
        <v>5</v>
      </c>
      <c r="H3800" s="13" t="n"/>
      <c r="I3800" s="15" t="n"/>
      <c r="J3800" s="19" t="n">
        <v>4</v>
      </c>
      <c r="K3800" s="2" t="inlineStr">
        <is>
          <t>marker_856_738579.png</t>
        </is>
      </c>
      <c r="L3800" s="11">
        <f>HYPERLINK("4\1\" &amp; K3800, "Ver Imagen")</f>
        <v/>
      </c>
      <c r="M3800" t="inlineStr">
        <is>
          <t>Moda</t>
        </is>
      </c>
    </row>
    <row r="3801">
      <c r="A3801" t="n">
        <v>3800</v>
      </c>
      <c r="B3801" t="inlineStr">
        <is>
          <t>A-490__238</t>
        </is>
      </c>
      <c r="C3801" s="1" t="n">
        <v>37.4644937922</v>
      </c>
      <c r="D3801" s="1" t="n">
        <v>-7.17941913043</v>
      </c>
      <c r="E3801" s="3" t="n">
        <v>4</v>
      </c>
      <c r="F3801" s="2" t="n">
        <v>4</v>
      </c>
      <c r="G3801" s="4" t="n">
        <v>5</v>
      </c>
      <c r="H3801" s="13" t="n"/>
      <c r="I3801" s="15" t="n"/>
      <c r="J3801" s="19" t="n">
        <v>4</v>
      </c>
      <c r="K3801" s="2" t="inlineStr">
        <is>
          <t>marker_196_744109.png</t>
        </is>
      </c>
      <c r="L3801" s="11">
        <f>HYPERLINK("4\1\" &amp; K3801, "Ver Imagen")</f>
        <v/>
      </c>
      <c r="M3801" t="inlineStr">
        <is>
          <t>Moda</t>
        </is>
      </c>
    </row>
    <row r="3802">
      <c r="A3802" t="n">
        <v>3801</v>
      </c>
      <c r="B3802" t="inlineStr">
        <is>
          <t>A-490__258</t>
        </is>
      </c>
      <c r="C3802" s="1" t="n">
        <v>37.4667297685</v>
      </c>
      <c r="D3802" s="1" t="n">
        <v>-7.18354670103</v>
      </c>
      <c r="E3802" s="3" t="n">
        <v>4</v>
      </c>
      <c r="F3802" s="2" t="n">
        <v>4</v>
      </c>
      <c r="G3802" s="4" t="n">
        <v>5</v>
      </c>
      <c r="H3802" s="13" t="n"/>
      <c r="I3802" s="15" t="n"/>
      <c r="J3802" s="19" t="n">
        <v>4</v>
      </c>
      <c r="K3802" s="2" t="inlineStr">
        <is>
          <t>marker_577_749660.png</t>
        </is>
      </c>
      <c r="L3802" s="11">
        <f>HYPERLINK("4\1\" &amp; K3802, "Ver Imagen")</f>
        <v/>
      </c>
      <c r="M3802" t="inlineStr">
        <is>
          <t>Moda</t>
        </is>
      </c>
    </row>
    <row r="3803">
      <c r="A3803" t="n">
        <v>3802</v>
      </c>
      <c r="B3803" t="inlineStr">
        <is>
          <t>A-490__586</t>
        </is>
      </c>
      <c r="C3803" s="1" t="n">
        <v>37.4901030557</v>
      </c>
      <c r="D3803" s="1" t="n">
        <v>-7.2592219177</v>
      </c>
      <c r="E3803" s="3" t="n">
        <v>4</v>
      </c>
      <c r="F3803" s="2" t="n">
        <v>4</v>
      </c>
      <c r="G3803" s="4" t="n">
        <v>5</v>
      </c>
      <c r="H3803" s="13" t="n"/>
      <c r="I3803" s="15" t="n"/>
      <c r="J3803" s="19" t="n">
        <v>4</v>
      </c>
      <c r="K3803" s="2" t="inlineStr">
        <is>
          <t>marker_178_819564.png</t>
        </is>
      </c>
      <c r="L3803" s="11">
        <f>HYPERLINK("4\1\" &amp; K3803, "Ver Imagen")</f>
        <v/>
      </c>
      <c r="M3803" t="inlineStr">
        <is>
          <t>Moda</t>
        </is>
      </c>
    </row>
    <row r="3804">
      <c r="A3804" t="n">
        <v>3803</v>
      </c>
      <c r="B3804" t="inlineStr">
        <is>
          <t>A-492__11</t>
        </is>
      </c>
      <c r="C3804" s="1" t="n">
        <v>37.2735645812</v>
      </c>
      <c r="D3804" s="1" t="n">
        <v>-6.99126632705</v>
      </c>
      <c r="E3804" s="3" t="n">
        <v>4</v>
      </c>
      <c r="F3804" s="2" t="n">
        <v>4</v>
      </c>
      <c r="G3804" s="4" t="n">
        <v>5</v>
      </c>
      <c r="H3804" s="13" t="n"/>
      <c r="I3804" s="15" t="n"/>
      <c r="J3804" s="19" t="n">
        <v>4</v>
      </c>
      <c r="K3804" s="2" t="inlineStr">
        <is>
          <t>marker_311_821901.png</t>
        </is>
      </c>
      <c r="L3804" s="11">
        <f>HYPERLINK("4\1\" &amp; K3804, "Ver Imagen")</f>
        <v/>
      </c>
      <c r="M3804" t="inlineStr">
        <is>
          <t>Moda</t>
        </is>
      </c>
    </row>
    <row r="3805">
      <c r="A3805" t="n">
        <v>3804</v>
      </c>
      <c r="B3805" t="inlineStr">
        <is>
          <t>A-492__24</t>
        </is>
      </c>
      <c r="C3805" s="1" t="n">
        <v>37.2760551646</v>
      </c>
      <c r="D3805" s="1" t="n">
        <v>-6.99084671106</v>
      </c>
      <c r="E3805" s="3" t="n">
        <v>4</v>
      </c>
      <c r="F3805" s="2" t="n">
        <v>4</v>
      </c>
      <c r="G3805" s="4" t="n">
        <v>5</v>
      </c>
      <c r="H3805" s="13" t="n"/>
      <c r="I3805" s="15" t="n"/>
      <c r="J3805" s="19" t="n">
        <v>4</v>
      </c>
      <c r="K3805" s="2" t="inlineStr">
        <is>
          <t>marker_631_822082.png</t>
        </is>
      </c>
      <c r="L3805" s="11">
        <f>HYPERLINK("4\1\" &amp; K3805, "Ver Imagen")</f>
        <v/>
      </c>
      <c r="M3805" t="inlineStr">
        <is>
          <t>Moda</t>
        </is>
      </c>
    </row>
    <row r="3806">
      <c r="A3806" t="n">
        <v>3805</v>
      </c>
      <c r="B3806" t="inlineStr">
        <is>
          <t>A-492__66</t>
        </is>
      </c>
      <c r="C3806" s="1" t="n">
        <v>37.2800869984</v>
      </c>
      <c r="D3806" s="1" t="n">
        <v>-6.99947813654</v>
      </c>
      <c r="E3806" s="3" t="n">
        <v>5</v>
      </c>
      <c r="F3806" s="2" t="n">
        <v>4</v>
      </c>
      <c r="G3806" s="4" t="n">
        <v>4</v>
      </c>
      <c r="H3806" s="13" t="n"/>
      <c r="I3806" s="15" t="n"/>
      <c r="J3806" s="19" t="n">
        <v>4</v>
      </c>
      <c r="K3806" s="2" t="inlineStr">
        <is>
          <t>marker_769_823218.png</t>
        </is>
      </c>
      <c r="L3806" s="11">
        <f>HYPERLINK("4\1\" &amp; K3806, "Ver Imagen")</f>
        <v/>
      </c>
      <c r="M3806" t="inlineStr">
        <is>
          <t>Moda</t>
        </is>
      </c>
    </row>
    <row r="3807">
      <c r="A3807" t="n">
        <v>3806</v>
      </c>
      <c r="B3807" t="inlineStr">
        <is>
          <t>A-492__68</t>
        </is>
      </c>
      <c r="C3807" s="1" t="n">
        <v>37.2802182378</v>
      </c>
      <c r="D3807" s="1" t="n">
        <v>-6.99992570128</v>
      </c>
      <c r="E3807" s="3" t="n">
        <v>5</v>
      </c>
      <c r="F3807" s="2" t="n">
        <v>4</v>
      </c>
      <c r="G3807" s="4" t="n">
        <v>4</v>
      </c>
      <c r="H3807" s="13" t="n"/>
      <c r="I3807" s="15" t="n"/>
      <c r="J3807" s="19" t="n">
        <v>4</v>
      </c>
      <c r="K3807" s="2" t="inlineStr">
        <is>
          <t>marker_622_823261.png</t>
        </is>
      </c>
      <c r="L3807" s="11">
        <f>HYPERLINK("4\1\" &amp; K3807, "Ver Imagen")</f>
        <v/>
      </c>
      <c r="M3807" t="inlineStr">
        <is>
          <t>Moda</t>
        </is>
      </c>
    </row>
    <row r="3808">
      <c r="A3808" t="n">
        <v>3807</v>
      </c>
      <c r="B3808" t="inlineStr">
        <is>
          <t>A-495R__48</t>
        </is>
      </c>
      <c r="C3808" s="1" t="n">
        <v>37.4539103177</v>
      </c>
      <c r="D3808" s="1" t="n">
        <v>-7.11255780295</v>
      </c>
      <c r="E3808" s="3" t="n">
        <v>5</v>
      </c>
      <c r="F3808" s="2" t="n">
        <v>4</v>
      </c>
      <c r="G3808" s="4" t="n">
        <v>4</v>
      </c>
      <c r="H3808" s="13" t="n"/>
      <c r="I3808" s="15" t="n"/>
      <c r="J3808" s="19" t="n">
        <v>4</v>
      </c>
      <c r="K3808" s="2" t="inlineStr">
        <is>
          <t>marker_553_935683.png</t>
        </is>
      </c>
      <c r="L3808" s="11">
        <f>HYPERLINK("4\1\" &amp; K3808, "Ver Imagen")</f>
        <v/>
      </c>
      <c r="M3808" t="inlineStr">
        <is>
          <t>Moda</t>
        </is>
      </c>
    </row>
    <row r="3809">
      <c r="A3809" t="n">
        <v>3808</v>
      </c>
      <c r="B3809" t="inlineStr">
        <is>
          <t>A-495R__46</t>
        </is>
      </c>
      <c r="C3809" s="1" t="n">
        <v>37.453527905</v>
      </c>
      <c r="D3809" s="1" t="n">
        <v>-7.1123490304</v>
      </c>
      <c r="E3809" s="3" t="n">
        <v>4</v>
      </c>
      <c r="F3809" s="2" t="n">
        <v>4</v>
      </c>
      <c r="G3809" s="4" t="n">
        <v>5</v>
      </c>
      <c r="H3809" s="13" t="n"/>
      <c r="I3809" s="15" t="n"/>
      <c r="J3809" s="19" t="n">
        <v>4</v>
      </c>
      <c r="K3809" s="2" t="inlineStr">
        <is>
          <t>marker_710_935703.png</t>
        </is>
      </c>
      <c r="L3809" s="11">
        <f>HYPERLINK("4\1\" &amp; K3809, "Ver Imagen")</f>
        <v/>
      </c>
      <c r="M3809" t="inlineStr">
        <is>
          <t>Moda</t>
        </is>
      </c>
    </row>
    <row r="3810">
      <c r="A3810" t="n">
        <v>3809</v>
      </c>
      <c r="B3810" t="inlineStr">
        <is>
          <t>A-495R__27</t>
        </is>
      </c>
      <c r="C3810" s="1" t="n">
        <v>37.4500185539</v>
      </c>
      <c r="D3810" s="1" t="n">
        <v>-7.11038754454</v>
      </c>
      <c r="E3810" s="3" t="n">
        <v>4</v>
      </c>
      <c r="F3810" s="2" t="n">
        <v>4</v>
      </c>
      <c r="G3810" s="4" t="n">
        <v>5</v>
      </c>
      <c r="H3810" s="13" t="n"/>
      <c r="I3810" s="15" t="n"/>
      <c r="J3810" s="19" t="n">
        <v>4</v>
      </c>
      <c r="K3810" s="2" t="inlineStr">
        <is>
          <t>marker_662_936653.png</t>
        </is>
      </c>
      <c r="L3810" s="11">
        <f>HYPERLINK("4\1\" &amp; K3810, "Ver Imagen")</f>
        <v/>
      </c>
      <c r="M3810" t="inlineStr">
        <is>
          <t>Moda</t>
        </is>
      </c>
    </row>
    <row r="3811">
      <c r="A3811" t="n">
        <v>3810</v>
      </c>
      <c r="B3811" t="inlineStr">
        <is>
          <t>A-495R__26</t>
        </is>
      </c>
      <c r="C3811" s="1" t="n">
        <v>37.4498299835</v>
      </c>
      <c r="D3811" s="1" t="n">
        <v>-7.11031897976</v>
      </c>
      <c r="E3811" s="3" t="n">
        <v>4</v>
      </c>
      <c r="F3811" s="2" t="n">
        <v>4</v>
      </c>
      <c r="G3811" s="4" t="n">
        <v>5</v>
      </c>
      <c r="H3811" s="13" t="n"/>
      <c r="I3811" s="15" t="n"/>
      <c r="J3811" s="19" t="n">
        <v>4</v>
      </c>
      <c r="K3811" s="2" t="inlineStr">
        <is>
          <t>marker_716_936668.png</t>
        </is>
      </c>
      <c r="L3811" s="11">
        <f>HYPERLINK("4\1\" &amp; K3811, "Ver Imagen")</f>
        <v/>
      </c>
      <c r="M3811" t="inlineStr">
        <is>
          <t>Moda</t>
        </is>
      </c>
    </row>
    <row r="3812">
      <c r="A3812" t="n">
        <v>3811</v>
      </c>
      <c r="B3812" t="inlineStr">
        <is>
          <t>A-495R__25</t>
        </is>
      </c>
      <c r="C3812" s="1" t="n">
        <v>37.4496353845</v>
      </c>
      <c r="D3812" s="1" t="n">
        <v>-7.11022557972</v>
      </c>
      <c r="E3812" s="3" t="n">
        <v>4</v>
      </c>
      <c r="F3812" s="2" t="n">
        <v>4</v>
      </c>
      <c r="G3812" s="4" t="n">
        <v>5</v>
      </c>
      <c r="H3812" s="13" t="n"/>
      <c r="I3812" s="15" t="n"/>
      <c r="J3812" s="19" t="n">
        <v>4</v>
      </c>
      <c r="K3812" s="2" t="inlineStr">
        <is>
          <t>marker_770_936677.png</t>
        </is>
      </c>
      <c r="L3812" s="11">
        <f>HYPERLINK("4\1\" &amp; K3812, "Ver Imagen")</f>
        <v/>
      </c>
      <c r="M3812" t="inlineStr">
        <is>
          <t>Moda</t>
        </is>
      </c>
    </row>
    <row r="3813">
      <c r="A3813" t="n">
        <v>3812</v>
      </c>
      <c r="B3813" t="inlineStr">
        <is>
          <t>A-497__77</t>
        </is>
      </c>
      <c r="C3813" s="1" t="n">
        <v>37.2687896353</v>
      </c>
      <c r="D3813" s="1" t="n">
        <v>-6.97501187966</v>
      </c>
      <c r="E3813" s="3" t="n">
        <v>4</v>
      </c>
      <c r="F3813" s="2" t="n">
        <v>4</v>
      </c>
      <c r="G3813" s="4" t="n">
        <v>5</v>
      </c>
      <c r="H3813" s="13" t="n"/>
      <c r="I3813" s="15" t="n"/>
      <c r="J3813" s="19" t="n">
        <v>4</v>
      </c>
      <c r="K3813" s="2" t="inlineStr">
        <is>
          <t>marker_799_937970.png</t>
        </is>
      </c>
      <c r="L3813" s="11">
        <f>HYPERLINK("4\1\" &amp; K3813, "Ver Imagen")</f>
        <v/>
      </c>
      <c r="M3813" t="inlineStr">
        <is>
          <t>Moda</t>
        </is>
      </c>
    </row>
    <row r="3814">
      <c r="A3814" t="n">
        <v>3813</v>
      </c>
      <c r="B3814" t="inlineStr">
        <is>
          <t>A-497__69</t>
        </is>
      </c>
      <c r="C3814" s="1" t="n">
        <v>37.2683783591</v>
      </c>
      <c r="D3814" s="1" t="n">
        <v>-6.9730776348</v>
      </c>
      <c r="E3814" s="3" t="n">
        <v>4</v>
      </c>
      <c r="F3814" s="2" t="n">
        <v>4</v>
      </c>
      <c r="G3814" s="4" t="n">
        <v>5</v>
      </c>
      <c r="H3814" s="13" t="n"/>
      <c r="I3814" s="15" t="n"/>
      <c r="J3814" s="19" t="n">
        <v>4</v>
      </c>
      <c r="K3814" s="2" t="inlineStr">
        <is>
          <t>marker_449_938053.png</t>
        </is>
      </c>
      <c r="L3814" s="11">
        <f>HYPERLINK("4\1\" &amp; K3814, "Ver Imagen")</f>
        <v/>
      </c>
      <c r="M3814" t="inlineStr">
        <is>
          <t>Moda</t>
        </is>
      </c>
    </row>
    <row r="3815">
      <c r="A3815" t="n">
        <v>3814</v>
      </c>
      <c r="B3815" t="inlineStr">
        <is>
          <t>A-499__74</t>
        </is>
      </c>
      <c r="C3815" s="1" t="n">
        <v>37.4954627367</v>
      </c>
      <c r="D3815" s="1" t="n">
        <v>-7.26922765775</v>
      </c>
      <c r="E3815" s="3" t="n">
        <v>4</v>
      </c>
      <c r="F3815" s="2" t="n">
        <v>4</v>
      </c>
      <c r="G3815" s="4" t="n">
        <v>5</v>
      </c>
      <c r="H3815" s="13" t="n"/>
      <c r="I3815" s="15" t="n"/>
      <c r="J3815" s="19" t="n">
        <v>4</v>
      </c>
      <c r="K3815" s="2" t="inlineStr">
        <is>
          <t>marker_832_789085.png</t>
        </is>
      </c>
      <c r="L3815" s="11">
        <f>HYPERLINK("4\1\" &amp; K3815, "Ver Imagen")</f>
        <v/>
      </c>
      <c r="M3815" t="inlineStr">
        <is>
          <t>Moda</t>
        </is>
      </c>
    </row>
    <row r="3816">
      <c r="A3816" t="n">
        <v>3815</v>
      </c>
      <c r="B3816" t="inlineStr">
        <is>
          <t>A-490__7</t>
        </is>
      </c>
      <c r="C3816" s="1" t="n">
        <v>37.4471411265</v>
      </c>
      <c r="D3816" s="1" t="n">
        <v>-7.12800797893</v>
      </c>
      <c r="E3816" s="3" t="n">
        <v>4</v>
      </c>
      <c r="F3816" s="2" t="n">
        <v>4</v>
      </c>
      <c r="G3816" s="4" t="n">
        <v>3</v>
      </c>
      <c r="H3816" s="13" t="n"/>
      <c r="I3816" s="15" t="n"/>
      <c r="J3816" s="19" t="n">
        <v>4</v>
      </c>
      <c r="K3816" s="2" t="inlineStr">
        <is>
          <t>marker_474_724942.png</t>
        </is>
      </c>
      <c r="L3816" s="11">
        <f>HYPERLINK("4\1\" &amp; K3816, "Ver Imagen")</f>
        <v/>
      </c>
      <c r="M3816" t="inlineStr">
        <is>
          <t>Moda</t>
        </is>
      </c>
    </row>
    <row r="3817">
      <c r="A3817" t="n">
        <v>3816</v>
      </c>
      <c r="B3817" t="inlineStr">
        <is>
          <t>A-490__260</t>
        </is>
      </c>
      <c r="C3817" s="1" t="n">
        <v>37.4669439113</v>
      </c>
      <c r="D3817" s="1" t="n">
        <v>-7.18398060366</v>
      </c>
      <c r="E3817" s="3" t="n">
        <v>3</v>
      </c>
      <c r="F3817" s="2" t="n">
        <v>4</v>
      </c>
      <c r="G3817" s="4" t="n">
        <v>4</v>
      </c>
      <c r="H3817" s="13" t="n"/>
      <c r="I3817" s="15" t="n"/>
      <c r="J3817" s="19" t="n">
        <v>4</v>
      </c>
      <c r="K3817" s="2" t="inlineStr">
        <is>
          <t>marker_466_749698.png</t>
        </is>
      </c>
      <c r="L3817" s="11">
        <f>HYPERLINK("4\1\" &amp; K3817, "Ver Imagen")</f>
        <v/>
      </c>
      <c r="M3817" t="inlineStr">
        <is>
          <t>Moda</t>
        </is>
      </c>
    </row>
    <row r="3818">
      <c r="A3818" t="n">
        <v>3817</v>
      </c>
      <c r="B3818" t="inlineStr">
        <is>
          <t>A-492__10</t>
        </is>
      </c>
      <c r="C3818" s="1" t="n">
        <v>37.2734104405</v>
      </c>
      <c r="D3818" s="1" t="n">
        <v>-6.99135378517</v>
      </c>
      <c r="E3818" s="3" t="n">
        <v>3</v>
      </c>
      <c r="F3818" s="2" t="n">
        <v>4</v>
      </c>
      <c r="G3818" s="4" t="n">
        <v>4</v>
      </c>
      <c r="H3818" s="13" t="n"/>
      <c r="I3818" s="15" t="n"/>
      <c r="J3818" s="19" t="n">
        <v>4</v>
      </c>
      <c r="K3818" s="2" t="inlineStr">
        <is>
          <t>marker_861_821884.png</t>
        </is>
      </c>
      <c r="L3818" s="11">
        <f>HYPERLINK("4\1\" &amp; K3818, "Ver Imagen")</f>
        <v/>
      </c>
      <c r="M3818" t="inlineStr">
        <is>
          <t>Moda</t>
        </is>
      </c>
    </row>
    <row r="3819">
      <c r="A3819" t="n">
        <v>3818</v>
      </c>
      <c r="B3819" t="inlineStr">
        <is>
          <t>A-492__18</t>
        </is>
      </c>
      <c r="C3819" s="1" t="n">
        <v>37.2749636274</v>
      </c>
      <c r="D3819" s="1" t="n">
        <v>-6.99119850761</v>
      </c>
      <c r="E3819" s="3" t="n">
        <v>3</v>
      </c>
      <c r="F3819" s="2" t="n">
        <v>4</v>
      </c>
      <c r="G3819" s="4" t="n">
        <v>4</v>
      </c>
      <c r="H3819" s="13" t="n"/>
      <c r="I3819" s="15" t="n"/>
      <c r="J3819" s="19" t="n">
        <v>4</v>
      </c>
      <c r="K3819" s="2" t="inlineStr">
        <is>
          <t>marker_494_821998.png</t>
        </is>
      </c>
      <c r="L3819" s="11">
        <f>HYPERLINK("4\1\" &amp; K3819, "Ver Imagen")</f>
        <v/>
      </c>
      <c r="M3819" t="inlineStr">
        <is>
          <t>Moda</t>
        </is>
      </c>
    </row>
    <row r="3820">
      <c r="A3820" t="n">
        <v>3819</v>
      </c>
      <c r="B3820" t="inlineStr">
        <is>
          <t>A-492__21</t>
        </is>
      </c>
      <c r="C3820" s="1" t="n">
        <v>37.2755935563</v>
      </c>
      <c r="D3820" s="1" t="n">
        <v>-6.99112765106</v>
      </c>
      <c r="E3820" s="3" t="n">
        <v>3</v>
      </c>
      <c r="F3820" s="2" t="n">
        <v>4</v>
      </c>
      <c r="G3820" s="4" t="n">
        <v>4</v>
      </c>
      <c r="H3820" s="13" t="n"/>
      <c r="I3820" s="15" t="n"/>
      <c r="J3820" s="19" t="n">
        <v>4</v>
      </c>
      <c r="K3820" s="2" t="inlineStr">
        <is>
          <t>marker_424_822039.png</t>
        </is>
      </c>
      <c r="L3820" s="11">
        <f>HYPERLINK("4\1\" &amp; K3820, "Ver Imagen")</f>
        <v/>
      </c>
      <c r="M3820" t="inlineStr">
        <is>
          <t>Moda</t>
        </is>
      </c>
    </row>
    <row r="3821">
      <c r="A3821" t="n">
        <v>3820</v>
      </c>
      <c r="B3821" t="inlineStr">
        <is>
          <t>A-492__28</t>
        </is>
      </c>
      <c r="C3821" s="1" t="n">
        <v>37.2765366614</v>
      </c>
      <c r="D3821" s="1" t="n">
        <v>-6.99138595047</v>
      </c>
      <c r="E3821" s="3" t="n">
        <v>3</v>
      </c>
      <c r="F3821" s="2" t="n">
        <v>4</v>
      </c>
      <c r="G3821" s="4" t="n">
        <v>4</v>
      </c>
      <c r="H3821" s="13" t="n"/>
      <c r="I3821" s="15" t="n"/>
      <c r="J3821" s="19" t="n">
        <v>4</v>
      </c>
      <c r="K3821" s="2" t="inlineStr">
        <is>
          <t>marker_328_822262.png</t>
        </is>
      </c>
      <c r="L3821" s="11">
        <f>HYPERLINK("4\1\" &amp; K3821, "Ver Imagen")</f>
        <v/>
      </c>
      <c r="M3821" t="inlineStr">
        <is>
          <t>Moda</t>
        </is>
      </c>
    </row>
    <row r="3822">
      <c r="A3822" t="n">
        <v>3821</v>
      </c>
      <c r="B3822" t="inlineStr">
        <is>
          <t>A-492__30</t>
        </is>
      </c>
      <c r="C3822" s="1" t="n">
        <v>37.2769009565</v>
      </c>
      <c r="D3822" s="1" t="n">
        <v>-6.99167233082</v>
      </c>
      <c r="E3822" s="3" t="n">
        <v>3</v>
      </c>
      <c r="F3822" s="2" t="n">
        <v>4</v>
      </c>
      <c r="G3822" s="4" t="n">
        <v>4</v>
      </c>
      <c r="H3822" s="13" t="n"/>
      <c r="I3822" s="15" t="n"/>
      <c r="J3822" s="19" t="n">
        <v>4</v>
      </c>
      <c r="K3822" s="2" t="inlineStr">
        <is>
          <t>marker_630_822310.png</t>
        </is>
      </c>
      <c r="L3822" s="11">
        <f>HYPERLINK("4\1\" &amp; K3822, "Ver Imagen")</f>
        <v/>
      </c>
      <c r="M3822" t="inlineStr">
        <is>
          <t>Moda</t>
        </is>
      </c>
    </row>
    <row r="3823">
      <c r="A3823" t="n">
        <v>3822</v>
      </c>
      <c r="B3823" t="inlineStr">
        <is>
          <t>A-492__35</t>
        </is>
      </c>
      <c r="C3823" s="1" t="n">
        <v>37.2777309876</v>
      </c>
      <c r="D3823" s="1" t="n">
        <v>-6.99240258006</v>
      </c>
      <c r="E3823" s="3" t="n">
        <v>4</v>
      </c>
      <c r="F3823" s="2" t="n">
        <v>4</v>
      </c>
      <c r="G3823" s="4" t="n">
        <v>3</v>
      </c>
      <c r="H3823" s="13" t="n"/>
      <c r="I3823" s="15" t="n"/>
      <c r="J3823" s="19" t="n">
        <v>4</v>
      </c>
      <c r="K3823" s="2" t="inlineStr">
        <is>
          <t>marker_888_822655.png</t>
        </is>
      </c>
      <c r="L3823" s="11">
        <f>HYPERLINK("4\1\" &amp; K3823, "Ver Imagen")</f>
        <v/>
      </c>
      <c r="M3823" t="inlineStr">
        <is>
          <t>Moda</t>
        </is>
      </c>
    </row>
    <row r="3824">
      <c r="A3824" t="n">
        <v>3823</v>
      </c>
      <c r="B3824" t="inlineStr">
        <is>
          <t>A-492__90</t>
        </is>
      </c>
      <c r="C3824" s="1" t="n">
        <v>37.2803935102</v>
      </c>
      <c r="D3824" s="1" t="n">
        <v>-7.00499591228</v>
      </c>
      <c r="E3824" s="3" t="n">
        <v>3</v>
      </c>
      <c r="F3824" s="2" t="n">
        <v>4</v>
      </c>
      <c r="G3824" s="4" t="n">
        <v>4</v>
      </c>
      <c r="H3824" s="13" t="n"/>
      <c r="I3824" s="15" t="n"/>
      <c r="J3824" s="19" t="n">
        <v>4</v>
      </c>
      <c r="K3824" s="2" t="inlineStr">
        <is>
          <t>marker_503_823617.png</t>
        </is>
      </c>
      <c r="L3824" s="11">
        <f>HYPERLINK("4\1\" &amp; K3824, "Ver Imagen")</f>
        <v/>
      </c>
      <c r="M3824" t="inlineStr">
        <is>
          <t>Moda</t>
        </is>
      </c>
    </row>
    <row r="3825">
      <c r="A3825" t="n">
        <v>3824</v>
      </c>
      <c r="B3825" t="inlineStr">
        <is>
          <t>A-492__460</t>
        </is>
      </c>
      <c r="C3825" s="1" t="n">
        <v>37.3160920505</v>
      </c>
      <c r="D3825" s="1" t="n">
        <v>-7.06917468918</v>
      </c>
      <c r="E3825" s="3" t="n">
        <v>3</v>
      </c>
      <c r="F3825" s="2" t="n">
        <v>4</v>
      </c>
      <c r="G3825" s="4" t="n">
        <v>4</v>
      </c>
      <c r="H3825" s="13" t="n"/>
      <c r="I3825" s="15" t="n"/>
      <c r="J3825" s="19" t="n">
        <v>4</v>
      </c>
      <c r="K3825" s="2" t="inlineStr">
        <is>
          <t>marker_995_839929.png</t>
        </is>
      </c>
      <c r="L3825" s="11">
        <f>HYPERLINK("4\1\" &amp; K3825, "Ver Imagen")</f>
        <v/>
      </c>
      <c r="M3825" t="inlineStr">
        <is>
          <t>Moda</t>
        </is>
      </c>
    </row>
    <row r="3826">
      <c r="A3826" t="n">
        <v>3825</v>
      </c>
      <c r="B3826" t="inlineStr">
        <is>
          <t>A-495R__65</t>
        </is>
      </c>
      <c r="C3826" s="1" t="n">
        <v>37.457163583</v>
      </c>
      <c r="D3826" s="1" t="n">
        <v>-7.11396894629</v>
      </c>
      <c r="E3826" s="3" t="n">
        <v>3</v>
      </c>
      <c r="F3826" s="2" t="n">
        <v>4</v>
      </c>
      <c r="G3826" s="4" t="n">
        <v>4</v>
      </c>
      <c r="H3826" s="13" t="n"/>
      <c r="I3826" s="15" t="n"/>
      <c r="J3826" s="19" t="n">
        <v>4</v>
      </c>
      <c r="K3826" s="2" t="inlineStr">
        <is>
          <t>marker_414_935386.png</t>
        </is>
      </c>
      <c r="L3826" s="11">
        <f>HYPERLINK("4\1\" &amp; K3826, "Ver Imagen")</f>
        <v/>
      </c>
      <c r="M3826" t="inlineStr">
        <is>
          <t>Moda</t>
        </is>
      </c>
    </row>
    <row r="3827">
      <c r="A3827" t="n">
        <v>3826</v>
      </c>
      <c r="B3827" t="inlineStr">
        <is>
          <t>A-495R__64</t>
        </is>
      </c>
      <c r="C3827" s="1" t="n">
        <v>37.4569414453</v>
      </c>
      <c r="D3827" s="1" t="n">
        <v>-7.11388767003</v>
      </c>
      <c r="E3827" s="3" t="n">
        <v>3</v>
      </c>
      <c r="F3827" s="2" t="n">
        <v>4</v>
      </c>
      <c r="G3827" s="4" t="n">
        <v>4</v>
      </c>
      <c r="H3827" s="13" t="n"/>
      <c r="I3827" s="15" t="n"/>
      <c r="J3827" s="19" t="n">
        <v>4</v>
      </c>
      <c r="K3827" s="2" t="inlineStr">
        <is>
          <t>marker_576_935397.png</t>
        </is>
      </c>
      <c r="L3827" s="11">
        <f>HYPERLINK("4\1\" &amp; K3827, "Ver Imagen")</f>
        <v/>
      </c>
      <c r="M3827" t="inlineStr">
        <is>
          <t>Moda</t>
        </is>
      </c>
    </row>
    <row r="3828">
      <c r="A3828" t="n">
        <v>3827</v>
      </c>
      <c r="B3828" t="inlineStr">
        <is>
          <t>A-495R__61</t>
        </is>
      </c>
      <c r="C3828" s="1" t="n">
        <v>37.4563646879</v>
      </c>
      <c r="D3828" s="1" t="n">
        <v>-7.11367709812</v>
      </c>
      <c r="E3828" s="3" t="n">
        <v>4</v>
      </c>
      <c r="F3828" s="2" t="n">
        <v>4</v>
      </c>
      <c r="G3828" s="4" t="n">
        <v>3</v>
      </c>
      <c r="H3828" s="13" t="n"/>
      <c r="I3828" s="15" t="n"/>
      <c r="J3828" s="19" t="n">
        <v>4</v>
      </c>
      <c r="K3828" s="2" t="inlineStr">
        <is>
          <t>marker_725_935511.png</t>
        </is>
      </c>
      <c r="L3828" s="11">
        <f>HYPERLINK("4\1\" &amp; K3828, "Ver Imagen")</f>
        <v/>
      </c>
      <c r="M3828" t="inlineStr">
        <is>
          <t>Moda</t>
        </is>
      </c>
    </row>
    <row r="3829">
      <c r="A3829" t="n">
        <v>3828</v>
      </c>
      <c r="B3829" t="inlineStr">
        <is>
          <t>A-495R__59</t>
        </is>
      </c>
      <c r="C3829" s="1" t="n">
        <v>37.4559509523</v>
      </c>
      <c r="D3829" s="1" t="n">
        <v>-7.11352607637</v>
      </c>
      <c r="E3829" s="3" t="n">
        <v>4</v>
      </c>
      <c r="F3829" s="2" t="n">
        <v>4</v>
      </c>
      <c r="G3829" s="4" t="n">
        <v>3</v>
      </c>
      <c r="H3829" s="13" t="n"/>
      <c r="I3829" s="15" t="n"/>
      <c r="J3829" s="19" t="n">
        <v>4</v>
      </c>
      <c r="K3829" s="2" t="inlineStr">
        <is>
          <t>marker_778_935563.png</t>
        </is>
      </c>
      <c r="L3829" s="11">
        <f>HYPERLINK("4\1\" &amp; K3829, "Ver Imagen")</f>
        <v/>
      </c>
      <c r="M3829" t="inlineStr">
        <is>
          <t>Moda</t>
        </is>
      </c>
    </row>
    <row r="3830">
      <c r="A3830" t="n">
        <v>3829</v>
      </c>
      <c r="B3830" t="inlineStr">
        <is>
          <t>A-495R__45</t>
        </is>
      </c>
      <c r="C3830" s="1" t="n">
        <v>37.4533164702</v>
      </c>
      <c r="D3830" s="1" t="n">
        <v>-7.11223601262</v>
      </c>
      <c r="E3830" s="3" t="n">
        <v>3</v>
      </c>
      <c r="F3830" s="2" t="n">
        <v>4</v>
      </c>
      <c r="G3830" s="4" t="n">
        <v>4</v>
      </c>
      <c r="H3830" s="13" t="n"/>
      <c r="I3830" s="15" t="n"/>
      <c r="J3830" s="19" t="n">
        <v>4</v>
      </c>
      <c r="K3830" s="2" t="inlineStr">
        <is>
          <t>marker_611_935713.png</t>
        </is>
      </c>
      <c r="L3830" s="11">
        <f>HYPERLINK("4\1\" &amp; K3830, "Ver Imagen")</f>
        <v/>
      </c>
      <c r="M3830" t="inlineStr">
        <is>
          <t>Moda</t>
        </is>
      </c>
    </row>
    <row r="3831">
      <c r="A3831" t="n">
        <v>3830</v>
      </c>
      <c r="B3831" t="inlineStr">
        <is>
          <t>A-495R__43</t>
        </is>
      </c>
      <c r="C3831" s="1" t="n">
        <v>37.4529610856</v>
      </c>
      <c r="D3831" s="1" t="n">
        <v>-7.11204652218</v>
      </c>
      <c r="E3831" s="3" t="n">
        <v>3</v>
      </c>
      <c r="F3831" s="2" t="n">
        <v>4</v>
      </c>
      <c r="G3831" s="4" t="n">
        <v>4</v>
      </c>
      <c r="H3831" s="13" t="n"/>
      <c r="I3831" s="15" t="n"/>
      <c r="J3831" s="19" t="n">
        <v>4</v>
      </c>
      <c r="K3831" s="2" t="inlineStr">
        <is>
          <t>marker_117_935730.png</t>
        </is>
      </c>
      <c r="L3831" s="11">
        <f>HYPERLINK("4\1\" &amp; K3831, "Ver Imagen")</f>
        <v/>
      </c>
      <c r="M3831" t="inlineStr">
        <is>
          <t>Moda</t>
        </is>
      </c>
    </row>
    <row r="3832">
      <c r="A3832" t="n">
        <v>3831</v>
      </c>
      <c r="B3832" t="inlineStr">
        <is>
          <t>A-495R__39</t>
        </is>
      </c>
      <c r="C3832" s="1" t="n">
        <v>37.4522129715</v>
      </c>
      <c r="D3832" s="1" t="n">
        <v>-7.11163461714</v>
      </c>
      <c r="E3832" s="3" t="n">
        <v>3</v>
      </c>
      <c r="F3832" s="2" t="n">
        <v>4</v>
      </c>
      <c r="G3832" s="4" t="n">
        <v>4</v>
      </c>
      <c r="H3832" s="13" t="n"/>
      <c r="I3832" s="15" t="n"/>
      <c r="J3832" s="19" t="n">
        <v>4</v>
      </c>
      <c r="K3832" s="2" t="inlineStr">
        <is>
          <t>marker_931_936532.png</t>
        </is>
      </c>
      <c r="L3832" s="11">
        <f>HYPERLINK("4\1\" &amp; K3832, "Ver Imagen")</f>
        <v/>
      </c>
      <c r="M3832" t="inlineStr">
        <is>
          <t>Moda</t>
        </is>
      </c>
    </row>
    <row r="3833">
      <c r="A3833" t="n">
        <v>3832</v>
      </c>
      <c r="B3833" t="inlineStr">
        <is>
          <t>A-495R__22</t>
        </is>
      </c>
      <c r="C3833" s="1" t="n">
        <v>37.4490810563</v>
      </c>
      <c r="D3833" s="1" t="n">
        <v>-7.10991962383</v>
      </c>
      <c r="E3833" s="3" t="n">
        <v>3</v>
      </c>
      <c r="F3833" s="2" t="n">
        <v>4</v>
      </c>
      <c r="G3833" s="4" t="n">
        <v>4</v>
      </c>
      <c r="H3833" s="13" t="n"/>
      <c r="I3833" s="15" t="n"/>
      <c r="J3833" s="19" t="n">
        <v>4</v>
      </c>
      <c r="K3833" s="2" t="inlineStr">
        <is>
          <t>marker_940_936708.png</t>
        </is>
      </c>
      <c r="L3833" s="11">
        <f>HYPERLINK("4\1\" &amp; K3833, "Ver Imagen")</f>
        <v/>
      </c>
      <c r="M3833" t="inlineStr">
        <is>
          <t>Moda</t>
        </is>
      </c>
    </row>
    <row r="3834">
      <c r="A3834" t="n">
        <v>3833</v>
      </c>
      <c r="B3834" t="inlineStr">
        <is>
          <t>A-497__64</t>
        </is>
      </c>
      <c r="C3834" s="1" t="n">
        <v>37.2681638795</v>
      </c>
      <c r="D3834" s="1" t="n">
        <v>-6.9718693588</v>
      </c>
      <c r="E3834" s="3" t="n">
        <v>4</v>
      </c>
      <c r="F3834" s="2" t="n">
        <v>4</v>
      </c>
      <c r="G3834" s="4" t="n">
        <v>3</v>
      </c>
      <c r="H3834" s="13" t="n"/>
      <c r="I3834" s="15" t="n"/>
      <c r="J3834" s="19" t="n">
        <v>4</v>
      </c>
      <c r="K3834" s="2" t="inlineStr">
        <is>
          <t>marker_960_938215.png</t>
        </is>
      </c>
      <c r="L3834" s="11">
        <f>HYPERLINK("4\1\" &amp; K3834, "Ver Imagen")</f>
        <v/>
      </c>
      <c r="M3834" t="inlineStr">
        <is>
          <t>Moda</t>
        </is>
      </c>
    </row>
    <row r="3835">
      <c r="A3835" t="n">
        <v>3834</v>
      </c>
      <c r="B3835" t="inlineStr">
        <is>
          <t>A-497__6</t>
        </is>
      </c>
      <c r="C3835" s="1" t="n">
        <v>37.2666553983</v>
      </c>
      <c r="D3835" s="1" t="n">
        <v>-6.95746328455</v>
      </c>
      <c r="E3835" s="3" t="n">
        <v>3</v>
      </c>
      <c r="F3835" s="2" t="n">
        <v>4</v>
      </c>
      <c r="G3835" s="4" t="n">
        <v>4</v>
      </c>
      <c r="H3835" s="13" t="n"/>
      <c r="I3835" s="15" t="n"/>
      <c r="J3835" s="19" t="n">
        <v>4</v>
      </c>
      <c r="K3835" s="2" t="inlineStr">
        <is>
          <t>marker_854_944017.png</t>
        </is>
      </c>
      <c r="L3835" s="11">
        <f>HYPERLINK("4\1\" &amp; K3835, "Ver Imagen")</f>
        <v/>
      </c>
      <c r="M3835" t="inlineStr">
        <is>
          <t>Moda</t>
        </is>
      </c>
    </row>
    <row r="3836">
      <c r="A3836" t="n">
        <v>3835</v>
      </c>
      <c r="B3836" t="inlineStr">
        <is>
          <t>A-5052__402</t>
        </is>
      </c>
      <c r="C3836" s="1" t="n">
        <v>37.2045801263</v>
      </c>
      <c r="D3836" s="1" t="n">
        <v>-7.02800256004</v>
      </c>
      <c r="E3836" s="3" t="n">
        <v>5</v>
      </c>
      <c r="F3836" s="2" t="n">
        <v>4</v>
      </c>
      <c r="G3836" s="4" t="n">
        <v>4</v>
      </c>
      <c r="H3836" s="13" t="n"/>
      <c r="I3836" s="15" t="n"/>
      <c r="J3836" s="19" t="n">
        <v>4</v>
      </c>
      <c r="K3836" s="2" t="inlineStr">
        <is>
          <t>marker_683_962690.png</t>
        </is>
      </c>
      <c r="L3836" s="11">
        <f>HYPERLINK("4\1\" &amp; K3836, "Ver Imagen")</f>
        <v/>
      </c>
      <c r="M3836" t="inlineStr">
        <is>
          <t>Moda</t>
        </is>
      </c>
    </row>
    <row r="3837">
      <c r="A3837" t="n">
        <v>3836</v>
      </c>
      <c r="B3837" t="inlineStr">
        <is>
          <t>A-5053__263</t>
        </is>
      </c>
      <c r="C3837" s="1" t="n">
        <v>37.2685462403</v>
      </c>
      <c r="D3837" s="1" t="n">
        <v>-7.13695997312</v>
      </c>
      <c r="E3837" s="3" t="n">
        <v>5</v>
      </c>
      <c r="F3837" s="2" t="n">
        <v>4</v>
      </c>
      <c r="G3837" s="4" t="n">
        <v>4</v>
      </c>
      <c r="H3837" s="13" t="n"/>
      <c r="I3837" s="15" t="n"/>
      <c r="J3837" s="19" t="n">
        <v>4</v>
      </c>
      <c r="K3837" s="2" t="inlineStr">
        <is>
          <t>marker_142_965225.png</t>
        </is>
      </c>
      <c r="L3837" s="11">
        <f>HYPERLINK("4\1\" &amp; K3837, "Ver Imagen")</f>
        <v/>
      </c>
      <c r="M3837" t="inlineStr">
        <is>
          <t>Moda</t>
        </is>
      </c>
    </row>
    <row r="3838">
      <c r="A3838" t="n">
        <v>3837</v>
      </c>
      <c r="B3838" t="inlineStr">
        <is>
          <t>A-5053__259</t>
        </is>
      </c>
      <c r="C3838" s="1" t="n">
        <v>37.2683262556</v>
      </c>
      <c r="D3838" s="1" t="n">
        <v>-7.1359682189</v>
      </c>
      <c r="E3838" s="3" t="n">
        <v>5</v>
      </c>
      <c r="F3838" s="2" t="n">
        <v>4</v>
      </c>
      <c r="G3838" s="4" t="n">
        <v>4</v>
      </c>
      <c r="H3838" s="13" t="n"/>
      <c r="I3838" s="15" t="n"/>
      <c r="J3838" s="19" t="n">
        <v>4</v>
      </c>
      <c r="K3838" s="2" t="inlineStr">
        <is>
          <t>marker_461_965265.png</t>
        </is>
      </c>
      <c r="L3838" s="11">
        <f>HYPERLINK("4\1\" &amp; K3838, "Ver Imagen")</f>
        <v/>
      </c>
      <c r="M3838" t="inlineStr">
        <is>
          <t>Moda</t>
        </is>
      </c>
    </row>
    <row r="3839">
      <c r="A3839" t="n">
        <v>3838</v>
      </c>
      <c r="B3839" t="inlineStr">
        <is>
          <t>A-5053__255</t>
        </is>
      </c>
      <c r="C3839" s="1" t="n">
        <v>37.2680536866</v>
      </c>
      <c r="D3839" s="1" t="n">
        <v>-7.13502918714</v>
      </c>
      <c r="E3839" s="3" t="n">
        <v>5</v>
      </c>
      <c r="F3839" s="2" t="n">
        <v>4</v>
      </c>
      <c r="G3839" s="4" t="n">
        <v>4</v>
      </c>
      <c r="H3839" s="13" t="n"/>
      <c r="I3839" s="15" t="n"/>
      <c r="J3839" s="19" t="n">
        <v>4</v>
      </c>
      <c r="K3839" s="2" t="inlineStr">
        <is>
          <t>marker_986_965305.png</t>
        </is>
      </c>
      <c r="L3839" s="11">
        <f>HYPERLINK("4\1\" &amp; K3839, "Ver Imagen")</f>
        <v/>
      </c>
      <c r="M3839" t="inlineStr">
        <is>
          <t>Moda</t>
        </is>
      </c>
    </row>
    <row r="3840">
      <c r="A3840" t="n">
        <v>3839</v>
      </c>
      <c r="B3840" t="inlineStr">
        <is>
          <t>A-5053__234</t>
        </is>
      </c>
      <c r="C3840" s="1" t="n">
        <v>37.2646664241</v>
      </c>
      <c r="D3840" s="1" t="n">
        <v>-7.13200912549</v>
      </c>
      <c r="E3840" s="3" t="n">
        <v>5</v>
      </c>
      <c r="F3840" s="2" t="n">
        <v>4</v>
      </c>
      <c r="G3840" s="4" t="n">
        <v>4</v>
      </c>
      <c r="H3840" s="13" t="n"/>
      <c r="I3840" s="15" t="n"/>
      <c r="J3840" s="19" t="n">
        <v>4</v>
      </c>
      <c r="K3840" s="2" t="inlineStr">
        <is>
          <t>marker_831_965557.png</t>
        </is>
      </c>
      <c r="L3840" s="11">
        <f>HYPERLINK("4\1\" &amp; K3840, "Ver Imagen")</f>
        <v/>
      </c>
      <c r="M3840" t="inlineStr">
        <is>
          <t>Moda</t>
        </is>
      </c>
    </row>
    <row r="3841">
      <c r="A3841" t="n">
        <v>3840</v>
      </c>
      <c r="B3841" t="inlineStr">
        <is>
          <t>A-5059__82</t>
        </is>
      </c>
      <c r="C3841" s="1" t="n">
        <v>37.2212295051</v>
      </c>
      <c r="D3841" s="1" t="n">
        <v>-7.05390429255</v>
      </c>
      <c r="E3841" s="3" t="n">
        <v>4</v>
      </c>
      <c r="F3841" s="2" t="n">
        <v>4</v>
      </c>
      <c r="G3841" s="4" t="n">
        <v>3</v>
      </c>
      <c r="H3841" s="13" t="n"/>
      <c r="I3841" s="15" t="n"/>
      <c r="J3841" s="19" t="n">
        <v>4</v>
      </c>
      <c r="K3841" s="2" t="inlineStr">
        <is>
          <t>marker_387_378708.png</t>
        </is>
      </c>
      <c r="L3841" s="11">
        <f>HYPERLINK("4\1\" &amp; K3841, "Ver Imagen")</f>
        <v/>
      </c>
      <c r="M3841" t="inlineStr">
        <is>
          <t>Moda</t>
        </is>
      </c>
    </row>
    <row r="3842">
      <c r="A3842" t="n">
        <v>3841</v>
      </c>
      <c r="B3842" t="inlineStr">
        <is>
          <t>A-495__119</t>
        </is>
      </c>
      <c r="C3842" s="1" t="n">
        <v>37.4354266087</v>
      </c>
      <c r="D3842" s="1" t="n">
        <v>-7.0732497807</v>
      </c>
      <c r="E3842" s="3" t="n">
        <v>4</v>
      </c>
      <c r="F3842" s="2" t="n">
        <v>4</v>
      </c>
      <c r="G3842" s="4" t="n">
        <v>5</v>
      </c>
      <c r="H3842" s="13" t="n"/>
      <c r="I3842" s="15" t="n"/>
      <c r="J3842" s="19" t="n">
        <v>4</v>
      </c>
      <c r="K3842" s="2" t="inlineStr">
        <is>
          <t>marker_349_382358.png</t>
        </is>
      </c>
      <c r="L3842" s="11">
        <f>HYPERLINK("4\1\" &amp; K3842, "Ver Imagen")</f>
        <v/>
      </c>
      <c r="M3842" t="inlineStr">
        <is>
          <t>Moda</t>
        </is>
      </c>
    </row>
    <row r="3843">
      <c r="A3843" t="n">
        <v>3842</v>
      </c>
      <c r="B3843" t="inlineStr">
        <is>
          <t>A-495__124</t>
        </is>
      </c>
      <c r="C3843" s="1" t="n">
        <v>37.435318247</v>
      </c>
      <c r="D3843" s="1" t="n">
        <v>-7.07198944997</v>
      </c>
      <c r="E3843" s="3" t="n">
        <v>4</v>
      </c>
      <c r="F3843" s="2" t="n">
        <v>4</v>
      </c>
      <c r="G3843" s="4" t="n">
        <v>3</v>
      </c>
      <c r="H3843" s="13" t="n"/>
      <c r="I3843" s="15" t="n"/>
      <c r="J3843" s="19" t="n">
        <v>4</v>
      </c>
      <c r="K3843" s="2" t="inlineStr">
        <is>
          <t>marker_385_382412.png</t>
        </is>
      </c>
      <c r="L3843" s="11">
        <f>HYPERLINK("4\1\" &amp; K3843, "Ver Imagen")</f>
        <v/>
      </c>
      <c r="M3843" t="inlineStr">
        <is>
          <t>Moda</t>
        </is>
      </c>
    </row>
    <row r="3844">
      <c r="A3844" t="n">
        <v>3843</v>
      </c>
      <c r="B3844" t="inlineStr">
        <is>
          <t>A-495__126</t>
        </is>
      </c>
      <c r="C3844" s="1" t="n">
        <v>37.4352710353</v>
      </c>
      <c r="D3844" s="1" t="n">
        <v>-7.07149923028</v>
      </c>
      <c r="E3844" s="3" t="n">
        <v>5</v>
      </c>
      <c r="F3844" s="2" t="n">
        <v>4</v>
      </c>
      <c r="G3844" s="4" t="n">
        <v>4</v>
      </c>
      <c r="H3844" s="13" t="n"/>
      <c r="I3844" s="15" t="n"/>
      <c r="J3844" s="19" t="n">
        <v>4</v>
      </c>
      <c r="K3844" s="2" t="inlineStr">
        <is>
          <t>marker_487_382433.png</t>
        </is>
      </c>
      <c r="L3844" s="11">
        <f>HYPERLINK("4\1\" &amp; K3844, "Ver Imagen")</f>
        <v/>
      </c>
      <c r="M3844" t="inlineStr">
        <is>
          <t>Moda</t>
        </is>
      </c>
    </row>
    <row r="3845">
      <c r="A3845" t="n">
        <v>3844</v>
      </c>
      <c r="B3845" t="inlineStr">
        <is>
          <t>A-5058__279</t>
        </is>
      </c>
      <c r="C3845" s="1" t="n">
        <v>37.2439486782</v>
      </c>
      <c r="D3845" s="1" t="n">
        <v>-7.08986265266</v>
      </c>
      <c r="E3845" s="3" t="n">
        <v>3</v>
      </c>
      <c r="F3845" s="2" t="n">
        <v>4</v>
      </c>
      <c r="G3845" s="4" t="n">
        <v>4</v>
      </c>
      <c r="H3845" s="13" t="n"/>
      <c r="I3845" s="15" t="n"/>
      <c r="J3845" s="19" t="n">
        <v>4</v>
      </c>
      <c r="K3845" s="2" t="inlineStr">
        <is>
          <t>marker_656_384024.png</t>
        </is>
      </c>
      <c r="L3845" s="11">
        <f>HYPERLINK("4\1\" &amp; K3845, "Ver Imagen")</f>
        <v/>
      </c>
      <c r="M3845" t="inlineStr">
        <is>
          <t>Moda</t>
        </is>
      </c>
    </row>
    <row r="3846">
      <c r="A3846" t="n">
        <v>3845</v>
      </c>
      <c r="B3846" t="inlineStr">
        <is>
          <t>A-5058__297</t>
        </is>
      </c>
      <c r="C3846" s="1" t="n">
        <v>37.2454287709</v>
      </c>
      <c r="D3846" s="1" t="n">
        <v>-7.09396760725</v>
      </c>
      <c r="E3846" s="3" t="n">
        <v>5</v>
      </c>
      <c r="F3846" s="2" t="n">
        <v>4</v>
      </c>
      <c r="G3846" s="4" t="n">
        <v>4</v>
      </c>
      <c r="H3846" s="13" t="n"/>
      <c r="I3846" s="15" t="n"/>
      <c r="J3846" s="19" t="n">
        <v>4</v>
      </c>
      <c r="K3846" s="2" t="inlineStr">
        <is>
          <t>marker_508_384233.png</t>
        </is>
      </c>
      <c r="L3846" s="11">
        <f>HYPERLINK("4\1\" &amp; K3846, "Ver Imagen")</f>
        <v/>
      </c>
      <c r="M3846" t="inlineStr">
        <is>
          <t>Moda</t>
        </is>
      </c>
    </row>
    <row r="3847">
      <c r="A3847" t="n">
        <v>3846</v>
      </c>
      <c r="B3847" t="inlineStr">
        <is>
          <t>A-5058__338</t>
        </is>
      </c>
      <c r="C3847" s="1" t="n">
        <v>37.2493200073</v>
      </c>
      <c r="D3847" s="1" t="n">
        <v>-7.10243882414</v>
      </c>
      <c r="E3847" s="3" t="n">
        <v>3</v>
      </c>
      <c r="F3847" s="2" t="n">
        <v>4</v>
      </c>
      <c r="G3847" s="4" t="n">
        <v>4</v>
      </c>
      <c r="H3847" s="13" t="n"/>
      <c r="I3847" s="15" t="n"/>
      <c r="J3847" s="19" t="n">
        <v>4</v>
      </c>
      <c r="K3847" s="2" t="inlineStr">
        <is>
          <t>marker_735_384731.png</t>
        </is>
      </c>
      <c r="L3847" s="11">
        <f>HYPERLINK("4\1\" &amp; K3847, "Ver Imagen")</f>
        <v/>
      </c>
      <c r="M3847" t="inlineStr">
        <is>
          <t>Moda</t>
        </is>
      </c>
    </row>
    <row r="3848">
      <c r="A3848" t="n">
        <v>3847</v>
      </c>
      <c r="B3848" t="inlineStr">
        <is>
          <t>A-5058__395</t>
        </is>
      </c>
      <c r="C3848" s="1" t="n">
        <v>37.2549936497</v>
      </c>
      <c r="D3848" s="1" t="n">
        <v>-7.11315857748</v>
      </c>
      <c r="E3848" s="3" t="n">
        <v>3</v>
      </c>
      <c r="F3848" s="2" t="n">
        <v>4</v>
      </c>
      <c r="G3848" s="4" t="n">
        <v>4</v>
      </c>
      <c r="H3848" s="13" t="n"/>
      <c r="I3848" s="15" t="n"/>
      <c r="J3848" s="19" t="n">
        <v>4</v>
      </c>
      <c r="K3848" s="2" t="inlineStr">
        <is>
          <t>marker_719_385369.png</t>
        </is>
      </c>
      <c r="L3848" s="11">
        <f>HYPERLINK("4\1\" &amp; K3848, "Ver Imagen")</f>
        <v/>
      </c>
      <c r="M3848" t="inlineStr">
        <is>
          <t>Moda</t>
        </is>
      </c>
    </row>
    <row r="3849">
      <c r="A3849" t="n">
        <v>3848</v>
      </c>
      <c r="B3849" t="inlineStr">
        <is>
          <t>A-5058__449</t>
        </is>
      </c>
      <c r="C3849" s="1" t="n">
        <v>37.2589613378</v>
      </c>
      <c r="D3849" s="1" t="n">
        <v>-7.12431966954</v>
      </c>
      <c r="E3849" s="3" t="n">
        <v>4</v>
      </c>
      <c r="F3849" s="2" t="n">
        <v>4</v>
      </c>
      <c r="G3849" s="4" t="n">
        <v>5</v>
      </c>
      <c r="H3849" s="13" t="n"/>
      <c r="I3849" s="15" t="n"/>
      <c r="J3849" s="19" t="n">
        <v>4</v>
      </c>
      <c r="K3849" s="2" t="inlineStr">
        <is>
          <t>marker_529_389065.png</t>
        </is>
      </c>
      <c r="L3849" s="11">
        <f>HYPERLINK("4\1\" &amp; K3849, "Ver Imagen")</f>
        <v/>
      </c>
      <c r="M3849" t="inlineStr">
        <is>
          <t>Moda</t>
        </is>
      </c>
    </row>
    <row r="3850">
      <c r="A3850" t="n">
        <v>3849</v>
      </c>
      <c r="B3850" t="inlineStr">
        <is>
          <t>A-495__55</t>
        </is>
      </c>
      <c r="C3850" s="1" t="n">
        <v>37.4400377526</v>
      </c>
      <c r="D3850" s="1" t="n">
        <v>-7.08773395547</v>
      </c>
      <c r="E3850" s="3" t="n">
        <v>4</v>
      </c>
      <c r="F3850" s="2" t="n">
        <v>4</v>
      </c>
      <c r="G3850" s="4" t="n">
        <v>3</v>
      </c>
      <c r="H3850" s="13" t="n"/>
      <c r="I3850" s="15" t="n"/>
      <c r="J3850" s="19" t="n">
        <v>4</v>
      </c>
      <c r="K3850" s="2" t="inlineStr">
        <is>
          <t>marker_267_381661.png</t>
        </is>
      </c>
      <c r="L3850" s="11">
        <f>HYPERLINK("4\1\" &amp; K3850, "Ver Imagen")</f>
        <v/>
      </c>
      <c r="M3850" t="inlineStr">
        <is>
          <t>Moda</t>
        </is>
      </c>
    </row>
    <row r="3851">
      <c r="A3851" t="n">
        <v>3850</v>
      </c>
      <c r="B3851" t="inlineStr">
        <is>
          <t>A-495_1__162</t>
        </is>
      </c>
      <c r="C3851" s="1" t="n">
        <v>37.4787379415</v>
      </c>
      <c r="D3851" s="1" t="n">
        <v>-7.12788493148</v>
      </c>
      <c r="E3851" s="3" t="n">
        <v>4</v>
      </c>
      <c r="F3851" s="2" t="n">
        <v>4</v>
      </c>
      <c r="G3851" s="4" t="n">
        <v>3</v>
      </c>
      <c r="H3851" s="13" t="n"/>
      <c r="I3851" s="15" t="n"/>
      <c r="J3851" s="19" t="n">
        <v>4</v>
      </c>
      <c r="K3851" s="2" t="inlineStr">
        <is>
          <t>marker_235_384064.png</t>
        </is>
      </c>
      <c r="L3851" s="11">
        <f>HYPERLINK("4\1\" &amp; K3851, "Ver Imagen")</f>
        <v/>
      </c>
      <c r="M3851" t="inlineStr">
        <is>
          <t>Moda</t>
        </is>
      </c>
    </row>
    <row r="3852">
      <c r="A3852" t="n">
        <v>3851</v>
      </c>
      <c r="B3852" t="inlineStr">
        <is>
          <t>A-495_1__151</t>
        </is>
      </c>
      <c r="C3852" s="1" t="n">
        <v>37.4771065766</v>
      </c>
      <c r="D3852" s="1" t="n">
        <v>-7.12607088869</v>
      </c>
      <c r="E3852" s="3" t="n">
        <v>5</v>
      </c>
      <c r="F3852" s="2" t="n">
        <v>4</v>
      </c>
      <c r="G3852" s="4" t="n">
        <v>4</v>
      </c>
      <c r="H3852" s="13" t="n"/>
      <c r="I3852" s="15" t="n"/>
      <c r="J3852" s="19" t="n">
        <v>4</v>
      </c>
      <c r="K3852" s="2" t="inlineStr">
        <is>
          <t>marker_780_384231.png</t>
        </is>
      </c>
      <c r="L3852" s="11">
        <f>HYPERLINK("4\1\" &amp; K3852, "Ver Imagen")</f>
        <v/>
      </c>
      <c r="M3852" t="inlineStr">
        <is>
          <t>Moda</t>
        </is>
      </c>
    </row>
    <row r="3853">
      <c r="A3853" t="n">
        <v>3852</v>
      </c>
      <c r="B3853" t="inlineStr">
        <is>
          <t>A-495_1__150</t>
        </is>
      </c>
      <c r="C3853" s="1" t="n">
        <v>37.4769483503</v>
      </c>
      <c r="D3853" s="1" t="n">
        <v>-7.12593729707</v>
      </c>
      <c r="E3853" s="3" t="n">
        <v>4</v>
      </c>
      <c r="F3853" s="2" t="n">
        <v>4</v>
      </c>
      <c r="G3853" s="4" t="n">
        <v>5</v>
      </c>
      <c r="H3853" s="13" t="n"/>
      <c r="I3853" s="15" t="n"/>
      <c r="J3853" s="19" t="n">
        <v>4</v>
      </c>
      <c r="K3853" s="2" t="inlineStr">
        <is>
          <t>marker_148_384242.png</t>
        </is>
      </c>
      <c r="L3853" s="11">
        <f>HYPERLINK("4\1\" &amp; K3853, "Ver Imagen")</f>
        <v/>
      </c>
      <c r="M3853" t="inlineStr">
        <is>
          <t>Moda</t>
        </is>
      </c>
    </row>
    <row r="3854">
      <c r="A3854" t="n">
        <v>3853</v>
      </c>
      <c r="B3854" t="inlineStr">
        <is>
          <t>A-495_1__105</t>
        </is>
      </c>
      <c r="C3854" s="1" t="n">
        <v>37.4684876089</v>
      </c>
      <c r="D3854" s="1" t="n">
        <v>-7.12360349118</v>
      </c>
      <c r="E3854" s="3" t="n">
        <v>4</v>
      </c>
      <c r="F3854" s="2" t="n">
        <v>4</v>
      </c>
      <c r="G3854" s="4" t="n">
        <v>5</v>
      </c>
      <c r="H3854" s="13" t="n"/>
      <c r="I3854" s="15" t="n"/>
      <c r="J3854" s="19" t="n">
        <v>4</v>
      </c>
      <c r="K3854" s="2" t="inlineStr">
        <is>
          <t>marker_208_384950.png</t>
        </is>
      </c>
      <c r="L3854" s="11">
        <f>HYPERLINK("4\1\" &amp; K3854, "Ver Imagen")</f>
        <v/>
      </c>
      <c r="M3854" t="inlineStr">
        <is>
          <t>Moda</t>
        </is>
      </c>
    </row>
    <row r="3855">
      <c r="A3855" t="n">
        <v>3854</v>
      </c>
      <c r="B3855" t="inlineStr">
        <is>
          <t>A-499__66</t>
        </is>
      </c>
      <c r="C3855" s="1" t="n">
        <v>37.4953476361</v>
      </c>
      <c r="D3855" s="1" t="n">
        <v>-7.27119608156</v>
      </c>
      <c r="E3855" s="3" t="n">
        <v>5</v>
      </c>
      <c r="F3855" s="2" t="n">
        <v>4</v>
      </c>
      <c r="G3855" s="4" t="n">
        <v>4</v>
      </c>
      <c r="H3855" s="13" t="n"/>
      <c r="I3855" s="15" t="n"/>
      <c r="J3855" s="19" t="n">
        <v>4</v>
      </c>
      <c r="K3855" s="2" t="inlineStr">
        <is>
          <t>marker_122_535135.png</t>
        </is>
      </c>
      <c r="L3855" s="11">
        <f>HYPERLINK("4\1\" &amp; K3855, "Ver Imagen")</f>
        <v/>
      </c>
      <c r="M3855" t="inlineStr">
        <is>
          <t>Moda</t>
        </is>
      </c>
    </row>
    <row r="3856">
      <c r="A3856" t="n">
        <v>3855</v>
      </c>
      <c r="B3856" t="inlineStr">
        <is>
          <t>A-497__800</t>
        </is>
      </c>
      <c r="C3856" s="1" t="n">
        <v>37.1934198331</v>
      </c>
      <c r="D3856" s="1" t="n">
        <v>-6.97766425678</v>
      </c>
      <c r="E3856" s="3" t="n">
        <v>3</v>
      </c>
      <c r="F3856" s="2" t="n">
        <v>4</v>
      </c>
      <c r="G3856" s="4" t="n">
        <v>4</v>
      </c>
      <c r="H3856" s="13" t="n"/>
      <c r="I3856" s="15" t="n"/>
      <c r="J3856" s="19" t="n">
        <v>4</v>
      </c>
      <c r="K3856" s="2" t="inlineStr">
        <is>
          <t>marker_120_367949.png</t>
        </is>
      </c>
      <c r="L3856" s="11">
        <f>HYPERLINK("4\1\" &amp; K3856, "Ver Imagen")</f>
        <v/>
      </c>
      <c r="M3856" t="inlineStr">
        <is>
          <t>Moda</t>
        </is>
      </c>
    </row>
    <row r="3857">
      <c r="A3857" t="n">
        <v>3856</v>
      </c>
      <c r="B3857" t="inlineStr">
        <is>
          <t>A-497__754</t>
        </is>
      </c>
      <c r="C3857" s="1" t="n">
        <v>37.1866084647</v>
      </c>
      <c r="D3857" s="1" t="n">
        <v>-6.97960093742</v>
      </c>
      <c r="E3857" s="3" t="n">
        <v>4</v>
      </c>
      <c r="F3857" s="2" t="n">
        <v>4</v>
      </c>
      <c r="G3857" s="4" t="n">
        <v>5</v>
      </c>
      <c r="H3857" s="13" t="n"/>
      <c r="I3857" s="15" t="n"/>
      <c r="J3857" s="19" t="n">
        <v>4</v>
      </c>
      <c r="K3857" s="2" t="inlineStr">
        <is>
          <t>marker_563_368640.png</t>
        </is>
      </c>
      <c r="L3857" s="11">
        <f>HYPERLINK("4\1\" &amp; K3857, "Ver Imagen")</f>
        <v/>
      </c>
      <c r="M3857" t="inlineStr">
        <is>
          <t>Moda</t>
        </is>
      </c>
    </row>
    <row r="3858">
      <c r="A3858" t="n">
        <v>3857</v>
      </c>
      <c r="B3858" t="inlineStr">
        <is>
          <t>A-497_2C__5</t>
        </is>
      </c>
      <c r="C3858" s="1" t="n">
        <v>37.2673580338</v>
      </c>
      <c r="D3858" s="1" t="n">
        <v>-6.95823293324</v>
      </c>
      <c r="E3858" s="3" t="n">
        <v>4</v>
      </c>
      <c r="F3858" s="2" t="n">
        <v>4</v>
      </c>
      <c r="G3858" s="4" t="n">
        <v>3</v>
      </c>
      <c r="H3858" s="13" t="n"/>
      <c r="I3858" s="15" t="n"/>
      <c r="J3858" s="19" t="n">
        <v>4</v>
      </c>
      <c r="K3858" s="2" t="inlineStr">
        <is>
          <t>marker_965_653770.png</t>
        </is>
      </c>
      <c r="L3858" s="11">
        <f>HYPERLINK("4\1\" &amp; K3858, "Ver Imagen")</f>
        <v/>
      </c>
      <c r="M3858" t="inlineStr">
        <is>
          <t>Moda</t>
        </is>
      </c>
    </row>
    <row r="3859">
      <c r="A3859" t="n">
        <v>3858</v>
      </c>
      <c r="B3859" t="inlineStr">
        <is>
          <t>A-497_2C__80</t>
        </is>
      </c>
      <c r="C3859" s="1" t="n">
        <v>37.2694174667</v>
      </c>
      <c r="D3859" s="1" t="n">
        <v>-6.97699777016</v>
      </c>
      <c r="E3859" s="3" t="n">
        <v>4</v>
      </c>
      <c r="F3859" s="2" t="n">
        <v>4</v>
      </c>
      <c r="G3859" s="4" t="n">
        <v>3</v>
      </c>
      <c r="H3859" s="13" t="n"/>
      <c r="I3859" s="15" t="n"/>
      <c r="J3859" s="19" t="n">
        <v>4</v>
      </c>
      <c r="K3859" s="2" t="inlineStr">
        <is>
          <t>marker_772_655127.png</t>
        </is>
      </c>
      <c r="L3859" s="11">
        <f>HYPERLINK("4\1\" &amp; K3859, "Ver Imagen")</f>
        <v/>
      </c>
      <c r="M3859" t="inlineStr">
        <is>
          <t>Moda</t>
        </is>
      </c>
    </row>
    <row r="3860">
      <c r="A3860" t="n">
        <v>3859</v>
      </c>
      <c r="B3860" t="inlineStr">
        <is>
          <t>A-497_2C__92</t>
        </is>
      </c>
      <c r="C3860" s="1" t="n">
        <v>37.2702384876</v>
      </c>
      <c r="D3860" s="1" t="n">
        <v>-6.97987233802</v>
      </c>
      <c r="E3860" s="3" t="n">
        <v>5</v>
      </c>
      <c r="F3860" s="2" t="n">
        <v>4</v>
      </c>
      <c r="G3860" s="4" t="n">
        <v>4</v>
      </c>
      <c r="H3860" s="13" t="n"/>
      <c r="I3860" s="15" t="n"/>
      <c r="J3860" s="19" t="n">
        <v>4</v>
      </c>
      <c r="K3860" s="2" t="inlineStr">
        <is>
          <t>marker_254_655301.png</t>
        </is>
      </c>
      <c r="L3860" s="11">
        <f>HYPERLINK("4\1\" &amp; K3860, "Ver Imagen")</f>
        <v/>
      </c>
      <c r="M3860" t="inlineStr">
        <is>
          <t>Moda</t>
        </is>
      </c>
    </row>
    <row r="3861">
      <c r="A3861" t="n">
        <v>3860</v>
      </c>
      <c r="B3861" t="inlineStr">
        <is>
          <t>A-497_2C__93</t>
        </is>
      </c>
      <c r="C3861" s="1" t="n">
        <v>37.2703058868</v>
      </c>
      <c r="D3861" s="1" t="n">
        <v>-6.98010637156</v>
      </c>
      <c r="E3861" s="3" t="n">
        <v>3</v>
      </c>
      <c r="F3861" s="2" t="n">
        <v>4</v>
      </c>
      <c r="G3861" s="4" t="n">
        <v>4</v>
      </c>
      <c r="H3861" s="13" t="n"/>
      <c r="I3861" s="15" t="n"/>
      <c r="J3861" s="19" t="n">
        <v>4</v>
      </c>
      <c r="K3861" s="2" t="inlineStr">
        <is>
          <t>marker_498_655312.png</t>
        </is>
      </c>
      <c r="L3861" s="11">
        <f>HYPERLINK("4\1\" &amp; K3861, "Ver Imagen")</f>
        <v/>
      </c>
      <c r="M3861" t="inlineStr">
        <is>
          <t>Moda</t>
        </is>
      </c>
    </row>
    <row r="3862">
      <c r="A3862" t="n">
        <v>3861</v>
      </c>
      <c r="B3862" t="inlineStr">
        <is>
          <t>A-497_2C__107</t>
        </is>
      </c>
      <c r="C3862" s="1" t="n">
        <v>37.2712600561</v>
      </c>
      <c r="D3862" s="1" t="n">
        <v>-6.98341649019</v>
      </c>
      <c r="E3862" s="3" t="n">
        <v>4</v>
      </c>
      <c r="F3862" s="2" t="n">
        <v>4</v>
      </c>
      <c r="G3862" s="4" t="n">
        <v>3</v>
      </c>
      <c r="H3862" s="13" t="n"/>
      <c r="I3862" s="15" t="n"/>
      <c r="J3862" s="19" t="n">
        <v>4</v>
      </c>
      <c r="K3862" s="2" t="inlineStr">
        <is>
          <t>marker_826_655509.png</t>
        </is>
      </c>
      <c r="L3862" s="11">
        <f>HYPERLINK("4\1\" &amp; K3862, "Ver Imagen")</f>
        <v/>
      </c>
      <c r="M3862" t="inlineStr">
        <is>
          <t>Moda</t>
        </is>
      </c>
    </row>
    <row r="3863">
      <c r="A3863" t="n">
        <v>3862</v>
      </c>
      <c r="B3863" t="inlineStr">
        <is>
          <t>A-497_2C__155</t>
        </is>
      </c>
      <c r="C3863" s="1" t="n">
        <v>37.2667270689</v>
      </c>
      <c r="D3863" s="1" t="n">
        <v>-6.99225815459</v>
      </c>
      <c r="E3863" s="3" t="n">
        <v>4</v>
      </c>
      <c r="F3863" s="2" t="n">
        <v>4</v>
      </c>
      <c r="G3863" s="4" t="n">
        <v>3</v>
      </c>
      <c r="H3863" s="13" t="n"/>
      <c r="I3863" s="15" t="n"/>
      <c r="J3863" s="19" t="n">
        <v>4</v>
      </c>
      <c r="K3863" s="2" t="inlineStr">
        <is>
          <t>marker_369_656056.png</t>
        </is>
      </c>
      <c r="L3863" s="11">
        <f>HYPERLINK("4\1\" &amp; K3863, "Ver Imagen")</f>
        <v/>
      </c>
      <c r="M3863" t="inlineStr">
        <is>
          <t>Moda</t>
        </is>
      </c>
    </row>
    <row r="3864">
      <c r="A3864" t="n">
        <v>3863</v>
      </c>
      <c r="B3864" t="inlineStr">
        <is>
          <t>A-497_2C__168</t>
        </is>
      </c>
      <c r="C3864" s="1" t="n">
        <v>37.265655191</v>
      </c>
      <c r="D3864" s="1" t="n">
        <v>-6.99520561647</v>
      </c>
      <c r="E3864" s="3" t="n">
        <v>5</v>
      </c>
      <c r="F3864" s="2" t="n">
        <v>4</v>
      </c>
      <c r="G3864" s="4" t="n">
        <v>4</v>
      </c>
      <c r="H3864" s="13" t="n"/>
      <c r="I3864" s="15" t="n"/>
      <c r="J3864" s="19" t="n">
        <v>4</v>
      </c>
      <c r="K3864" s="2" t="inlineStr">
        <is>
          <t>marker_369_656179.png</t>
        </is>
      </c>
      <c r="L3864" s="11">
        <f>HYPERLINK("4\1\" &amp; K3864, "Ver Imagen")</f>
        <v/>
      </c>
      <c r="M3864" t="inlineStr">
        <is>
          <t>Moda</t>
        </is>
      </c>
    </row>
    <row r="3865">
      <c r="A3865" t="n">
        <v>3864</v>
      </c>
      <c r="B3865" t="inlineStr">
        <is>
          <t>A-497_2C__179</t>
        </is>
      </c>
      <c r="C3865" s="1" t="n">
        <v>37.2651416119</v>
      </c>
      <c r="D3865" s="1" t="n">
        <v>-6.99795070149</v>
      </c>
      <c r="E3865" s="3" t="n">
        <v>4</v>
      </c>
      <c r="F3865" s="2" t="n">
        <v>4</v>
      </c>
      <c r="G3865" s="4" t="n">
        <v>3</v>
      </c>
      <c r="H3865" s="13" t="n"/>
      <c r="I3865" s="15" t="n"/>
      <c r="J3865" s="19" t="n">
        <v>4</v>
      </c>
      <c r="K3865" s="2" t="inlineStr">
        <is>
          <t>marker_922_656320.png</t>
        </is>
      </c>
      <c r="L3865" s="11">
        <f>HYPERLINK("4\1\" &amp; K3865, "Ver Imagen")</f>
        <v/>
      </c>
      <c r="M3865" t="inlineStr">
        <is>
          <t>Moda</t>
        </is>
      </c>
    </row>
    <row r="3866">
      <c r="A3866" t="n">
        <v>3865</v>
      </c>
      <c r="B3866" t="inlineStr">
        <is>
          <t>A-497__714</t>
        </is>
      </c>
      <c r="C3866" s="1" t="n">
        <v>37.194192453</v>
      </c>
      <c r="D3866" s="1" t="n">
        <v>-6.97762783153</v>
      </c>
      <c r="E3866" s="3" t="n">
        <v>3</v>
      </c>
      <c r="F3866" s="2" t="n">
        <v>4</v>
      </c>
      <c r="G3866" s="4" t="n">
        <v>4</v>
      </c>
      <c r="H3866" s="13" t="n"/>
      <c r="I3866" s="15" t="n"/>
      <c r="J3866" s="19" t="n">
        <v>4</v>
      </c>
      <c r="K3866" s="2" t="inlineStr">
        <is>
          <t>marker_347_369124.png</t>
        </is>
      </c>
      <c r="L3866" s="11">
        <f>HYPERLINK("4\1\" &amp; K3866, "Ver Imagen")</f>
        <v/>
      </c>
      <c r="M3866" t="inlineStr">
        <is>
          <t>Moda</t>
        </is>
      </c>
    </row>
    <row r="3867">
      <c r="A3867" t="n">
        <v>3866</v>
      </c>
      <c r="B3867" t="inlineStr">
        <is>
          <t>A-497_2C__184</t>
        </is>
      </c>
      <c r="C3867" s="1" t="n">
        <v>37.2649514332</v>
      </c>
      <c r="D3867" s="1" t="n">
        <v>-6.99916067735</v>
      </c>
      <c r="E3867" s="3" t="n">
        <v>4</v>
      </c>
      <c r="F3867" s="2" t="n">
        <v>4</v>
      </c>
      <c r="G3867" s="4" t="n">
        <v>3</v>
      </c>
      <c r="H3867" s="13" t="n"/>
      <c r="I3867" s="15" t="n"/>
      <c r="J3867" s="19" t="n">
        <v>4</v>
      </c>
      <c r="K3867" s="2" t="inlineStr">
        <is>
          <t>marker_401_656364.png</t>
        </is>
      </c>
      <c r="L3867" s="11">
        <f>HYPERLINK("4\1\" &amp; K3867, "Ver Imagen")</f>
        <v/>
      </c>
      <c r="M3867" t="inlineStr">
        <is>
          <t>Moda</t>
        </is>
      </c>
    </row>
    <row r="3868">
      <c r="A3868" t="n">
        <v>3867</v>
      </c>
      <c r="B3868" t="inlineStr">
        <is>
          <t>A-497_2C__185</t>
        </is>
      </c>
      <c r="C3868" s="1" t="n">
        <v>37.2649103839</v>
      </c>
      <c r="D3868" s="1" t="n">
        <v>-6.99939971831</v>
      </c>
      <c r="E3868" s="3" t="n">
        <v>4</v>
      </c>
      <c r="F3868" s="2" t="n">
        <v>4</v>
      </c>
      <c r="G3868" s="4" t="n">
        <v>3</v>
      </c>
      <c r="H3868" s="13" t="n"/>
      <c r="I3868" s="15" t="n"/>
      <c r="J3868" s="19" t="n">
        <v>4</v>
      </c>
      <c r="K3868" s="2" t="inlineStr">
        <is>
          <t>marker_746_656373.png</t>
        </is>
      </c>
      <c r="L3868" s="11">
        <f>HYPERLINK("4\1\" &amp; K3868, "Ver Imagen")</f>
        <v/>
      </c>
      <c r="M3868" t="inlineStr">
        <is>
          <t>Moda</t>
        </is>
      </c>
    </row>
    <row r="3869">
      <c r="A3869" t="n">
        <v>3868</v>
      </c>
      <c r="B3869" t="inlineStr">
        <is>
          <t>A-497_2C__187</t>
        </is>
      </c>
      <c r="C3869" s="1" t="n">
        <v>37.2648188795</v>
      </c>
      <c r="D3869" s="1" t="n">
        <v>-6.99992357417</v>
      </c>
      <c r="E3869" s="3" t="n">
        <v>4</v>
      </c>
      <c r="F3869" s="2" t="n">
        <v>4</v>
      </c>
      <c r="G3869" s="4" t="n">
        <v>3</v>
      </c>
      <c r="H3869" s="13" t="n"/>
      <c r="I3869" s="15" t="n"/>
      <c r="J3869" s="19" t="n">
        <v>4</v>
      </c>
      <c r="K3869" s="2" t="inlineStr">
        <is>
          <t>marker_796_656391.png</t>
        </is>
      </c>
      <c r="L3869" s="11">
        <f>HYPERLINK("4\1\" &amp; K3869, "Ver Imagen")</f>
        <v/>
      </c>
      <c r="M3869" t="inlineStr">
        <is>
          <t>Moda</t>
        </is>
      </c>
    </row>
    <row r="3870">
      <c r="A3870" t="n">
        <v>3869</v>
      </c>
      <c r="B3870" t="inlineStr">
        <is>
          <t>A-497__705</t>
        </is>
      </c>
      <c r="C3870" s="1" t="n">
        <v>37.1958700494</v>
      </c>
      <c r="D3870" s="1" t="n">
        <v>-6.9783332737</v>
      </c>
      <c r="E3870" s="3" t="n">
        <v>3</v>
      </c>
      <c r="F3870" s="2" t="n">
        <v>4</v>
      </c>
      <c r="G3870" s="4" t="n">
        <v>4</v>
      </c>
      <c r="H3870" s="13" t="n"/>
      <c r="I3870" s="15" t="n"/>
      <c r="J3870" s="19" t="n">
        <v>4</v>
      </c>
      <c r="K3870" s="2" t="inlineStr">
        <is>
          <t>marker_269_370330.png</t>
        </is>
      </c>
      <c r="L3870" s="11">
        <f>HYPERLINK("4\1\" &amp; K3870, "Ver Imagen")</f>
        <v/>
      </c>
      <c r="M3870" t="inlineStr">
        <is>
          <t>Moda</t>
        </is>
      </c>
    </row>
    <row r="3871">
      <c r="A3871" t="n">
        <v>3870</v>
      </c>
      <c r="B3871" t="inlineStr">
        <is>
          <t>A-497__702</t>
        </is>
      </c>
      <c r="C3871" s="1" t="n">
        <v>37.1964770025</v>
      </c>
      <c r="D3871" s="1" t="n">
        <v>-6.97876180569</v>
      </c>
      <c r="E3871" s="3" t="n">
        <v>3</v>
      </c>
      <c r="F3871" s="2" t="n">
        <v>4</v>
      </c>
      <c r="G3871" s="4" t="n">
        <v>4</v>
      </c>
      <c r="H3871" s="13" t="n"/>
      <c r="I3871" s="15" t="n"/>
      <c r="J3871" s="19" t="n">
        <v>4</v>
      </c>
      <c r="K3871" s="2" t="inlineStr">
        <is>
          <t>marker_822_370360.png</t>
        </is>
      </c>
      <c r="L3871" s="11">
        <f>HYPERLINK("4\1\" &amp; K3871, "Ver Imagen")</f>
        <v/>
      </c>
      <c r="M3871" t="inlineStr">
        <is>
          <t>Moda</t>
        </is>
      </c>
    </row>
    <row r="3872">
      <c r="A3872" t="n">
        <v>3871</v>
      </c>
      <c r="B3872" t="inlineStr">
        <is>
          <t>A-497_2C__191</t>
        </is>
      </c>
      <c r="C3872" s="1" t="n">
        <v>37.264651823</v>
      </c>
      <c r="D3872" s="1" t="n">
        <v>-7.00087757449</v>
      </c>
      <c r="E3872" s="3" t="n">
        <v>4</v>
      </c>
      <c r="F3872" s="2" t="n">
        <v>4</v>
      </c>
      <c r="G3872" s="4" t="n">
        <v>3</v>
      </c>
      <c r="H3872" s="13" t="n"/>
      <c r="I3872" s="15" t="n"/>
      <c r="J3872" s="19" t="n">
        <v>4</v>
      </c>
      <c r="K3872" s="2" t="inlineStr">
        <is>
          <t>marker_947_656434.png</t>
        </is>
      </c>
      <c r="L3872" s="11">
        <f>HYPERLINK("4\1\" &amp; K3872, "Ver Imagen")</f>
        <v/>
      </c>
      <c r="M3872" t="inlineStr">
        <is>
          <t>Moda</t>
        </is>
      </c>
    </row>
    <row r="3873">
      <c r="A3873" t="n">
        <v>3872</v>
      </c>
      <c r="B3873" t="inlineStr">
        <is>
          <t>A-497__689</t>
        </is>
      </c>
      <c r="C3873" s="1" t="n">
        <v>37.1983364089</v>
      </c>
      <c r="D3873" s="1" t="n">
        <v>-6.98097567009</v>
      </c>
      <c r="E3873" s="3" t="n">
        <v>3</v>
      </c>
      <c r="F3873" s="2" t="n">
        <v>4</v>
      </c>
      <c r="G3873" s="4" t="n">
        <v>4</v>
      </c>
      <c r="H3873" s="13" t="n"/>
      <c r="I3873" s="15" t="n"/>
      <c r="J3873" s="19" t="n">
        <v>4</v>
      </c>
      <c r="K3873" s="2" t="inlineStr">
        <is>
          <t>marker_119_370484.png</t>
        </is>
      </c>
      <c r="L3873" s="11">
        <f>HYPERLINK("4\1\" &amp; K3873, "Ver Imagen")</f>
        <v/>
      </c>
      <c r="M3873" t="inlineStr">
        <is>
          <t>Moda</t>
        </is>
      </c>
    </row>
    <row r="3874">
      <c r="A3874" t="n">
        <v>3873</v>
      </c>
      <c r="B3874" t="inlineStr">
        <is>
          <t>A-497_2C__231</t>
        </is>
      </c>
      <c r="C3874" s="1" t="n">
        <v>37.2619925219</v>
      </c>
      <c r="D3874" s="1" t="n">
        <v>-7.01027357868</v>
      </c>
      <c r="E3874" s="3" t="n">
        <v>3</v>
      </c>
      <c r="F3874" s="2" t="n">
        <v>4</v>
      </c>
      <c r="G3874" s="4" t="n">
        <v>4</v>
      </c>
      <c r="H3874" s="13" t="n"/>
      <c r="I3874" s="15" t="n"/>
      <c r="J3874" s="19" t="n">
        <v>4</v>
      </c>
      <c r="K3874" s="2" t="inlineStr">
        <is>
          <t>marker_576_656891.png</t>
        </is>
      </c>
      <c r="L3874" s="11">
        <f>HYPERLINK("4\1\" &amp; K3874, "Ver Imagen")</f>
        <v/>
      </c>
      <c r="M3874" t="inlineStr">
        <is>
          <t>Moda</t>
        </is>
      </c>
    </row>
    <row r="3875">
      <c r="A3875" t="n">
        <v>3874</v>
      </c>
      <c r="B3875" t="inlineStr">
        <is>
          <t>A-497_2C__232</t>
        </is>
      </c>
      <c r="C3875" s="1" t="n">
        <v>37.2618171897</v>
      </c>
      <c r="D3875" s="1" t="n">
        <v>-7.01044333322</v>
      </c>
      <c r="E3875" s="3" t="n">
        <v>3</v>
      </c>
      <c r="F3875" s="2" t="n">
        <v>4</v>
      </c>
      <c r="G3875" s="4" t="n">
        <v>4</v>
      </c>
      <c r="H3875" s="13" t="n"/>
      <c r="I3875" s="15" t="n"/>
      <c r="J3875" s="19" t="n">
        <v>4</v>
      </c>
      <c r="K3875" s="2" t="inlineStr">
        <is>
          <t>marker_456_656899.png</t>
        </is>
      </c>
      <c r="L3875" s="11">
        <f>HYPERLINK("4\1\" &amp; K3875, "Ver Imagen")</f>
        <v/>
      </c>
      <c r="M3875" t="inlineStr">
        <is>
          <t>Moda</t>
        </is>
      </c>
    </row>
    <row r="3876">
      <c r="A3876" t="n">
        <v>3875</v>
      </c>
      <c r="B3876" t="inlineStr">
        <is>
          <t>A-497__656</t>
        </is>
      </c>
      <c r="C3876" s="1" t="n">
        <v>37.2006739469</v>
      </c>
      <c r="D3876" s="1" t="n">
        <v>-6.98871386162</v>
      </c>
      <c r="E3876" s="3" t="n">
        <v>5</v>
      </c>
      <c r="F3876" s="2" t="n">
        <v>4</v>
      </c>
      <c r="G3876" s="4" t="n">
        <v>4</v>
      </c>
      <c r="H3876" s="13" t="n"/>
      <c r="I3876" s="15" t="n"/>
      <c r="J3876" s="19" t="n">
        <v>4</v>
      </c>
      <c r="K3876" s="2" t="inlineStr">
        <is>
          <t>marker_462_371183.png</t>
        </is>
      </c>
      <c r="L3876" s="11">
        <f>HYPERLINK("4\1\" &amp; K3876, "Ver Imagen")</f>
        <v/>
      </c>
      <c r="M3876" t="inlineStr">
        <is>
          <t>Moda</t>
        </is>
      </c>
    </row>
    <row r="3877">
      <c r="A3877" t="n">
        <v>3876</v>
      </c>
      <c r="B3877" t="inlineStr">
        <is>
          <t>A-497__655</t>
        </is>
      </c>
      <c r="C3877" s="1" t="n">
        <v>37.2007364192</v>
      </c>
      <c r="D3877" s="1" t="n">
        <v>-6.98899303645</v>
      </c>
      <c r="E3877" s="3" t="n">
        <v>5</v>
      </c>
      <c r="F3877" s="2" t="n">
        <v>4</v>
      </c>
      <c r="G3877" s="4" t="n">
        <v>4</v>
      </c>
      <c r="H3877" s="13" t="n"/>
      <c r="I3877" s="15" t="n"/>
      <c r="J3877" s="19" t="n">
        <v>4</v>
      </c>
      <c r="K3877" s="2" t="inlineStr">
        <is>
          <t>marker_610_371193.png</t>
        </is>
      </c>
      <c r="L3877" s="11">
        <f>HYPERLINK("4\1\" &amp; K3877, "Ver Imagen")</f>
        <v/>
      </c>
      <c r="M3877" t="inlineStr">
        <is>
          <t>Moda</t>
        </is>
      </c>
    </row>
    <row r="3878">
      <c r="A3878" t="n">
        <v>3877</v>
      </c>
      <c r="B3878" t="inlineStr">
        <is>
          <t>A-497__622</t>
        </is>
      </c>
      <c r="C3878" s="1" t="n">
        <v>37.2022587128</v>
      </c>
      <c r="D3878" s="1" t="n">
        <v>-6.997128499</v>
      </c>
      <c r="E3878" s="3" t="n">
        <v>5</v>
      </c>
      <c r="F3878" s="2" t="n">
        <v>4</v>
      </c>
      <c r="G3878" s="4" t="n">
        <v>4</v>
      </c>
      <c r="H3878" s="13" t="n"/>
      <c r="I3878" s="15" t="n"/>
      <c r="J3878" s="19" t="n">
        <v>4</v>
      </c>
      <c r="K3878" s="2" t="inlineStr">
        <is>
          <t>marker_524_371508.png</t>
        </is>
      </c>
      <c r="L3878" s="11">
        <f>HYPERLINK("4\1\" &amp; K3878, "Ver Imagen")</f>
        <v/>
      </c>
      <c r="M3878" t="inlineStr">
        <is>
          <t>Moda</t>
        </is>
      </c>
    </row>
    <row r="3879">
      <c r="A3879" t="n">
        <v>3878</v>
      </c>
      <c r="B3879" t="inlineStr">
        <is>
          <t>A-497__620</t>
        </is>
      </c>
      <c r="C3879" s="1" t="n">
        <v>37.2023309453</v>
      </c>
      <c r="D3879" s="1" t="n">
        <v>-6.99764645152</v>
      </c>
      <c r="E3879" s="3" t="n">
        <v>5</v>
      </c>
      <c r="F3879" s="2" t="n">
        <v>4</v>
      </c>
      <c r="G3879" s="4" t="n">
        <v>4</v>
      </c>
      <c r="H3879" s="13" t="n"/>
      <c r="I3879" s="15" t="n"/>
      <c r="J3879" s="19" t="n">
        <v>4</v>
      </c>
      <c r="K3879" s="2" t="inlineStr">
        <is>
          <t>marker_641_371528.png</t>
        </is>
      </c>
      <c r="L3879" s="11">
        <f>HYPERLINK("4\1\" &amp; K3879, "Ver Imagen")</f>
        <v/>
      </c>
      <c r="M3879" t="inlineStr">
        <is>
          <t>Moda</t>
        </is>
      </c>
    </row>
    <row r="3880">
      <c r="A3880" t="n">
        <v>3879</v>
      </c>
      <c r="B3880" t="inlineStr">
        <is>
          <t>A-497__612</t>
        </is>
      </c>
      <c r="C3880" s="1" t="n">
        <v>37.2026168905</v>
      </c>
      <c r="D3880" s="1" t="n">
        <v>-6.99966788734</v>
      </c>
      <c r="E3880" s="3" t="n">
        <v>4</v>
      </c>
      <c r="F3880" s="2" t="n">
        <v>4</v>
      </c>
      <c r="G3880" s="4" t="n">
        <v>3</v>
      </c>
      <c r="H3880" s="13" t="n"/>
      <c r="I3880" s="15" t="n"/>
      <c r="J3880" s="19" t="n">
        <v>4</v>
      </c>
      <c r="K3880" s="2" t="inlineStr">
        <is>
          <t>marker_882_371603.png</t>
        </is>
      </c>
      <c r="L3880" s="11">
        <f>HYPERLINK("4\1\" &amp; K3880, "Ver Imagen")</f>
        <v/>
      </c>
      <c r="M3880" t="inlineStr">
        <is>
          <t>Moda</t>
        </is>
      </c>
    </row>
    <row r="3881">
      <c r="A3881" t="n">
        <v>3880</v>
      </c>
      <c r="B3881" t="inlineStr">
        <is>
          <t>A-497__593</t>
        </is>
      </c>
      <c r="C3881" s="1" t="n">
        <v>37.2031630887</v>
      </c>
      <c r="D3881" s="1" t="n">
        <v>-7.00438188692</v>
      </c>
      <c r="E3881" s="3" t="n">
        <v>5</v>
      </c>
      <c r="F3881" s="2" t="n">
        <v>4</v>
      </c>
      <c r="G3881" s="4" t="n">
        <v>4</v>
      </c>
      <c r="H3881" s="13" t="n"/>
      <c r="I3881" s="15" t="n"/>
      <c r="J3881" s="19" t="n">
        <v>4</v>
      </c>
      <c r="K3881" s="2" t="inlineStr">
        <is>
          <t>marker_700_371793.png</t>
        </is>
      </c>
      <c r="L3881" s="11">
        <f>HYPERLINK("4\1\" &amp; K3881, "Ver Imagen")</f>
        <v/>
      </c>
      <c r="M3881" t="inlineStr">
        <is>
          <t>Moda</t>
        </is>
      </c>
    </row>
    <row r="3882">
      <c r="A3882" t="n">
        <v>3881</v>
      </c>
      <c r="B3882" t="inlineStr">
        <is>
          <t>A-497__587</t>
        </is>
      </c>
      <c r="C3882" s="1" t="n">
        <v>37.2033518208</v>
      </c>
      <c r="D3882" s="1" t="n">
        <v>-7.00587293036</v>
      </c>
      <c r="E3882" s="3" t="n">
        <v>5</v>
      </c>
      <c r="F3882" s="2" t="n">
        <v>4</v>
      </c>
      <c r="G3882" s="4" t="n">
        <v>4</v>
      </c>
      <c r="H3882" s="13" t="n"/>
      <c r="I3882" s="15" t="n"/>
      <c r="J3882" s="19" t="n">
        <v>4</v>
      </c>
      <c r="K3882" s="2" t="inlineStr">
        <is>
          <t>marker_247_371861.png</t>
        </is>
      </c>
      <c r="L3882" s="11">
        <f>HYPERLINK("4\1\" &amp; K3882, "Ver Imagen")</f>
        <v/>
      </c>
      <c r="M3882" t="inlineStr">
        <is>
          <t>Moda</t>
        </is>
      </c>
    </row>
    <row r="3883">
      <c r="A3883" t="n">
        <v>3882</v>
      </c>
      <c r="B3883" t="inlineStr">
        <is>
          <t>A-497_2C__272</t>
        </is>
      </c>
      <c r="C3883" s="1" t="n">
        <v>37.2546491606</v>
      </c>
      <c r="D3883" s="1" t="n">
        <v>-7.01511905054</v>
      </c>
      <c r="E3883" s="3" t="n">
        <v>4</v>
      </c>
      <c r="F3883" s="2" t="n">
        <v>4</v>
      </c>
      <c r="G3883" s="4" t="n">
        <v>5</v>
      </c>
      <c r="H3883" s="13" t="n"/>
      <c r="I3883" s="15" t="n"/>
      <c r="J3883" s="19" t="n">
        <v>4</v>
      </c>
      <c r="K3883" s="2" t="inlineStr">
        <is>
          <t>marker_537_319763.png</t>
        </is>
      </c>
      <c r="L3883" s="11">
        <f>HYPERLINK("4\1\" &amp; K3883, "Ver Imagen")</f>
        <v/>
      </c>
      <c r="M3883" t="inlineStr">
        <is>
          <t>Moda</t>
        </is>
      </c>
    </row>
    <row r="3884">
      <c r="A3884" t="n">
        <v>3883</v>
      </c>
      <c r="B3884" t="inlineStr">
        <is>
          <t>A-497__586</t>
        </is>
      </c>
      <c r="C3884" s="1" t="n">
        <v>37.2033804899</v>
      </c>
      <c r="D3884" s="1" t="n">
        <v>-7.0060937805</v>
      </c>
      <c r="E3884" s="3" t="n">
        <v>5</v>
      </c>
      <c r="F3884" s="2" t="n">
        <v>4</v>
      </c>
      <c r="G3884" s="4" t="n">
        <v>4</v>
      </c>
      <c r="H3884" s="13" t="n"/>
      <c r="I3884" s="15" t="n"/>
      <c r="J3884" s="19" t="n">
        <v>4</v>
      </c>
      <c r="K3884" s="2" t="inlineStr">
        <is>
          <t>marker_701_371869.png</t>
        </is>
      </c>
      <c r="L3884" s="11">
        <f>HYPERLINK("4\1\" &amp; K3884, "Ver Imagen")</f>
        <v/>
      </c>
      <c r="M3884" t="inlineStr">
        <is>
          <t>Moda</t>
        </is>
      </c>
    </row>
    <row r="3885">
      <c r="A3885" t="n">
        <v>3884</v>
      </c>
      <c r="B3885" t="inlineStr">
        <is>
          <t>A-497__584</t>
        </is>
      </c>
      <c r="C3885" s="1" t="n">
        <v>37.2034478418</v>
      </c>
      <c r="D3885" s="1" t="n">
        <v>-7.00660567027</v>
      </c>
      <c r="E3885" s="3" t="n">
        <v>5</v>
      </c>
      <c r="F3885" s="2" t="n">
        <v>4</v>
      </c>
      <c r="G3885" s="4" t="n">
        <v>4</v>
      </c>
      <c r="H3885" s="13" t="n"/>
      <c r="I3885" s="15" t="n"/>
      <c r="J3885" s="19" t="n">
        <v>4</v>
      </c>
      <c r="K3885" s="2" t="inlineStr">
        <is>
          <t>marker_954_371888.png</t>
        </is>
      </c>
      <c r="L3885" s="11">
        <f>HYPERLINK("4\1\" &amp; K3885, "Ver Imagen")</f>
        <v/>
      </c>
      <c r="M3885" t="inlineStr">
        <is>
          <t>Moda</t>
        </is>
      </c>
    </row>
    <row r="3886">
      <c r="A3886" t="n">
        <v>3885</v>
      </c>
      <c r="B3886" t="inlineStr">
        <is>
          <t>A-497_2C__290</t>
        </is>
      </c>
      <c r="C3886" s="1" t="n">
        <v>37.2514005286</v>
      </c>
      <c r="D3886" s="1" t="n">
        <v>-7.01720120953</v>
      </c>
      <c r="E3886" s="3" t="n">
        <v>3</v>
      </c>
      <c r="F3886" s="2" t="n">
        <v>4</v>
      </c>
      <c r="G3886" s="4" t="n">
        <v>4</v>
      </c>
      <c r="H3886" s="13" t="n"/>
      <c r="I3886" s="15" t="n"/>
      <c r="J3886" s="19" t="n">
        <v>4</v>
      </c>
      <c r="K3886" s="2" t="inlineStr">
        <is>
          <t>marker_280_320073.png</t>
        </is>
      </c>
      <c r="L3886" s="11">
        <f>HYPERLINK("4\1\" &amp; K3886, "Ver Imagen")</f>
        <v/>
      </c>
      <c r="M3886" t="inlineStr">
        <is>
          <t>Moda</t>
        </is>
      </c>
    </row>
    <row r="3887">
      <c r="A3887" t="n">
        <v>3886</v>
      </c>
      <c r="B3887" t="inlineStr">
        <is>
          <t>A-497__572</t>
        </is>
      </c>
      <c r="C3887" s="1" t="n">
        <v>37.2039026878</v>
      </c>
      <c r="D3887" s="1" t="n">
        <v>-7.00964958046</v>
      </c>
      <c r="E3887" s="3" t="n">
        <v>3</v>
      </c>
      <c r="F3887" s="2" t="n">
        <v>4</v>
      </c>
      <c r="G3887" s="4" t="n">
        <v>4</v>
      </c>
      <c r="H3887" s="13" t="n"/>
      <c r="I3887" s="15" t="n"/>
      <c r="J3887" s="19" t="n">
        <v>4</v>
      </c>
      <c r="K3887" s="2" t="inlineStr">
        <is>
          <t>marker_138_372005.png</t>
        </is>
      </c>
      <c r="L3887" s="11">
        <f>HYPERLINK("4\1\" &amp; K3887, "Ver Imagen")</f>
        <v/>
      </c>
      <c r="M3887" t="inlineStr">
        <is>
          <t>Moda</t>
        </is>
      </c>
    </row>
    <row r="3888">
      <c r="A3888" t="n">
        <v>3887</v>
      </c>
      <c r="B3888" t="inlineStr">
        <is>
          <t>A-497_2C__294</t>
        </is>
      </c>
      <c r="C3888" s="1" t="n">
        <v>37.2506610056</v>
      </c>
      <c r="D3888" s="1" t="n">
        <v>-7.01766063636</v>
      </c>
      <c r="E3888" s="3" t="n">
        <v>5</v>
      </c>
      <c r="F3888" s="2" t="n">
        <v>4</v>
      </c>
      <c r="G3888" s="4" t="n">
        <v>4</v>
      </c>
      <c r="H3888" s="13" t="n"/>
      <c r="I3888" s="15" t="n"/>
      <c r="J3888" s="19" t="n">
        <v>4</v>
      </c>
      <c r="K3888" s="2" t="inlineStr">
        <is>
          <t>marker_924_320110.png</t>
        </is>
      </c>
      <c r="L3888" s="11">
        <f>HYPERLINK("4\1\" &amp; K3888, "Ver Imagen")</f>
        <v/>
      </c>
      <c r="M3888" t="inlineStr">
        <is>
          <t>Moda</t>
        </is>
      </c>
    </row>
    <row r="3889">
      <c r="A3889" t="n">
        <v>3888</v>
      </c>
      <c r="B3889" t="inlineStr">
        <is>
          <t>A-497_2C__305</t>
        </is>
      </c>
      <c r="C3889" s="1" t="n">
        <v>37.2485064146</v>
      </c>
      <c r="D3889" s="1" t="n">
        <v>-7.01835469695</v>
      </c>
      <c r="E3889" s="3" t="n">
        <v>5</v>
      </c>
      <c r="F3889" s="2" t="n">
        <v>4</v>
      </c>
      <c r="G3889" s="4" t="n">
        <v>4</v>
      </c>
      <c r="H3889" s="13" t="n"/>
      <c r="I3889" s="15" t="n"/>
      <c r="J3889" s="19" t="n">
        <v>4</v>
      </c>
      <c r="K3889" s="2" t="inlineStr">
        <is>
          <t>marker_425_320220.png</t>
        </is>
      </c>
      <c r="L3889" s="11">
        <f>HYPERLINK("4\1\" &amp; K3889, "Ver Imagen")</f>
        <v/>
      </c>
      <c r="M3889" t="inlineStr">
        <is>
          <t>Moda</t>
        </is>
      </c>
    </row>
    <row r="3890">
      <c r="A3890" t="n">
        <v>3889</v>
      </c>
      <c r="B3890" t="inlineStr">
        <is>
          <t>A-497_2C__306</t>
        </is>
      </c>
      <c r="C3890" s="1" t="n">
        <v>37.2482702196</v>
      </c>
      <c r="D3890" s="1" t="n">
        <v>-7.01836769614</v>
      </c>
      <c r="E3890" s="3" t="n">
        <v>5</v>
      </c>
      <c r="F3890" s="2" t="n">
        <v>4</v>
      </c>
      <c r="G3890" s="4" t="n">
        <v>4</v>
      </c>
      <c r="H3890" s="13" t="n"/>
      <c r="I3890" s="15" t="n"/>
      <c r="J3890" s="19" t="n">
        <v>4</v>
      </c>
      <c r="K3890" s="2" t="inlineStr">
        <is>
          <t>marker_827_361784.png</t>
        </is>
      </c>
      <c r="L3890" s="11">
        <f>HYPERLINK("4\1\" &amp; K3890, "Ver Imagen")</f>
        <v/>
      </c>
      <c r="M3890" t="inlineStr">
        <is>
          <t>Moda</t>
        </is>
      </c>
    </row>
    <row r="3891">
      <c r="A3891" t="n">
        <v>3890</v>
      </c>
      <c r="B3891" t="inlineStr">
        <is>
          <t>A-497_2C__313</t>
        </is>
      </c>
      <c r="C3891" s="1" t="n">
        <v>37.2468993783</v>
      </c>
      <c r="D3891" s="1" t="n">
        <v>-7.01841949338</v>
      </c>
      <c r="E3891" s="3" t="n">
        <v>4</v>
      </c>
      <c r="F3891" s="2" t="n">
        <v>4</v>
      </c>
      <c r="G3891" s="4" t="n">
        <v>5</v>
      </c>
      <c r="H3891" s="13" t="n"/>
      <c r="I3891" s="15" t="n"/>
      <c r="J3891" s="19" t="n">
        <v>4</v>
      </c>
      <c r="K3891" s="2" t="inlineStr">
        <is>
          <t>marker_835_361860.png</t>
        </is>
      </c>
      <c r="L3891" s="11">
        <f>HYPERLINK("4\1\" &amp; K3891, "Ver Imagen")</f>
        <v/>
      </c>
      <c r="M3891" t="inlineStr">
        <is>
          <t>Moda</t>
        </is>
      </c>
    </row>
    <row r="3892">
      <c r="A3892" t="n">
        <v>3891</v>
      </c>
      <c r="B3892" t="inlineStr">
        <is>
          <t>A-497__559</t>
        </is>
      </c>
      <c r="C3892" s="1" t="n">
        <v>37.2044608168</v>
      </c>
      <c r="D3892" s="1" t="n">
        <v>-7.01288810136</v>
      </c>
      <c r="E3892" s="3" t="n">
        <v>4</v>
      </c>
      <c r="F3892" s="2" t="n">
        <v>4</v>
      </c>
      <c r="G3892" s="4" t="n">
        <v>5</v>
      </c>
      <c r="H3892" s="13" t="n"/>
      <c r="I3892" s="15" t="n"/>
      <c r="J3892" s="19" t="n">
        <v>4</v>
      </c>
      <c r="K3892" s="2" t="inlineStr">
        <is>
          <t>marker_362_372153.png</t>
        </is>
      </c>
      <c r="L3892" s="11">
        <f>HYPERLINK("4\1\" &amp; K3892, "Ver Imagen")</f>
        <v/>
      </c>
      <c r="M3892" t="inlineStr">
        <is>
          <t>Moda</t>
        </is>
      </c>
    </row>
    <row r="3893">
      <c r="A3893" t="n">
        <v>3892</v>
      </c>
      <c r="B3893" t="inlineStr">
        <is>
          <t>A-497_2C__321</t>
        </is>
      </c>
      <c r="C3893" s="1" t="n">
        <v>37.2452947912</v>
      </c>
      <c r="D3893" s="1" t="n">
        <v>-7.01847500828</v>
      </c>
      <c r="E3893" s="3" t="n">
        <v>3</v>
      </c>
      <c r="F3893" s="2" t="n">
        <v>4</v>
      </c>
      <c r="G3893" s="4" t="n">
        <v>4</v>
      </c>
      <c r="H3893" s="13" t="n"/>
      <c r="I3893" s="15" t="n"/>
      <c r="J3893" s="19" t="n">
        <v>4</v>
      </c>
      <c r="K3893" s="2" t="inlineStr">
        <is>
          <t>marker_128_361940.png</t>
        </is>
      </c>
      <c r="L3893" s="11">
        <f>HYPERLINK("4\1\" &amp; K3893, "Ver Imagen")</f>
        <v/>
      </c>
      <c r="M3893" t="inlineStr">
        <is>
          <t>Moda</t>
        </is>
      </c>
    </row>
    <row r="3894">
      <c r="A3894" t="n">
        <v>3893</v>
      </c>
      <c r="B3894" t="inlineStr">
        <is>
          <t>A-497_2C__322</t>
        </is>
      </c>
      <c r="C3894" s="1" t="n">
        <v>37.2450581308</v>
      </c>
      <c r="D3894" s="1" t="n">
        <v>-7.0184824288</v>
      </c>
      <c r="E3894" s="3" t="n">
        <v>5</v>
      </c>
      <c r="F3894" s="2" t="n">
        <v>4</v>
      </c>
      <c r="G3894" s="4" t="n">
        <v>4</v>
      </c>
      <c r="H3894" s="13" t="n"/>
      <c r="I3894" s="15" t="n"/>
      <c r="J3894" s="19" t="n">
        <v>4</v>
      </c>
      <c r="K3894" s="2" t="inlineStr">
        <is>
          <t>marker_337_361949.png</t>
        </is>
      </c>
      <c r="L3894" s="11">
        <f>HYPERLINK("4\1\" &amp; K3894, "Ver Imagen")</f>
        <v/>
      </c>
      <c r="M3894" t="inlineStr">
        <is>
          <t>Moda</t>
        </is>
      </c>
    </row>
    <row r="3895">
      <c r="A3895" t="n">
        <v>3894</v>
      </c>
      <c r="B3895" t="inlineStr">
        <is>
          <t>A-497_2C__324</t>
        </is>
      </c>
      <c r="C3895" s="1" t="n">
        <v>37.2446478764</v>
      </c>
      <c r="D3895" s="1" t="n">
        <v>-7.01849803004</v>
      </c>
      <c r="E3895" s="3" t="n">
        <v>4</v>
      </c>
      <c r="F3895" s="2" t="n">
        <v>4</v>
      </c>
      <c r="G3895" s="4" t="n">
        <v>3</v>
      </c>
      <c r="H3895" s="13" t="n"/>
      <c r="I3895" s="15" t="n"/>
      <c r="J3895" s="19" t="n">
        <v>4</v>
      </c>
      <c r="K3895" s="2" t="inlineStr">
        <is>
          <t>marker_832_361966.png</t>
        </is>
      </c>
      <c r="L3895" s="11">
        <f>HYPERLINK("4\1\" &amp; K3895, "Ver Imagen")</f>
        <v/>
      </c>
      <c r="M3895" t="inlineStr">
        <is>
          <t>Moda</t>
        </is>
      </c>
    </row>
    <row r="3896">
      <c r="A3896" t="n">
        <v>3895</v>
      </c>
      <c r="B3896" t="inlineStr">
        <is>
          <t>A-497_2C__329</t>
        </is>
      </c>
      <c r="C3896" s="1" t="n">
        <v>37.2436812187</v>
      </c>
      <c r="D3896" s="1" t="n">
        <v>-7.01853947248</v>
      </c>
      <c r="E3896" s="3" t="n">
        <v>3</v>
      </c>
      <c r="F3896" s="2" t="n">
        <v>4</v>
      </c>
      <c r="G3896" s="4" t="n">
        <v>4</v>
      </c>
      <c r="H3896" s="13" t="n"/>
      <c r="I3896" s="15" t="n"/>
      <c r="J3896" s="19" t="n">
        <v>4</v>
      </c>
      <c r="K3896" s="2" t="inlineStr">
        <is>
          <t>marker_443_362009.png</t>
        </is>
      </c>
      <c r="L3896" s="11">
        <f>HYPERLINK("4\1\" &amp; K3896, "Ver Imagen")</f>
        <v/>
      </c>
      <c r="M3896" t="inlineStr">
        <is>
          <t>Moda</t>
        </is>
      </c>
    </row>
    <row r="3897">
      <c r="A3897" t="n">
        <v>3896</v>
      </c>
      <c r="B3897" t="inlineStr">
        <is>
          <t>A-497_2C__330</t>
        </is>
      </c>
      <c r="C3897" s="1" t="n">
        <v>37.2434466511</v>
      </c>
      <c r="D3897" s="1" t="n">
        <v>-7.01855032305</v>
      </c>
      <c r="E3897" s="3" t="n">
        <v>5</v>
      </c>
      <c r="F3897" s="2" t="n">
        <v>4</v>
      </c>
      <c r="G3897" s="4" t="n">
        <v>4</v>
      </c>
      <c r="H3897" s="13" t="n"/>
      <c r="I3897" s="15" t="n"/>
      <c r="J3897" s="19" t="n">
        <v>4</v>
      </c>
      <c r="K3897" s="2" t="inlineStr">
        <is>
          <t>marker_981_362021.png</t>
        </is>
      </c>
      <c r="L3897" s="11">
        <f>HYPERLINK("4\1\" &amp; K3897, "Ver Imagen")</f>
        <v/>
      </c>
      <c r="M3897" t="inlineStr">
        <is>
          <t>Moda</t>
        </is>
      </c>
    </row>
    <row r="3898">
      <c r="A3898" t="n">
        <v>3897</v>
      </c>
      <c r="B3898" t="inlineStr">
        <is>
          <t>A-497_2C__332</t>
        </is>
      </c>
      <c r="C3898" s="1" t="n">
        <v>37.2430381784</v>
      </c>
      <c r="D3898" s="1" t="n">
        <v>-7.01856546173</v>
      </c>
      <c r="E3898" s="3" t="n">
        <v>4</v>
      </c>
      <c r="F3898" s="2" t="n">
        <v>4</v>
      </c>
      <c r="G3898" s="4" t="n">
        <v>5</v>
      </c>
      <c r="H3898" s="13" t="n"/>
      <c r="I3898" s="15" t="n"/>
      <c r="J3898" s="19" t="n">
        <v>4</v>
      </c>
      <c r="K3898" s="2" t="inlineStr">
        <is>
          <t>marker_159_362037.png</t>
        </is>
      </c>
      <c r="L3898" s="11">
        <f>HYPERLINK("4\1\" &amp; K3898, "Ver Imagen")</f>
        <v/>
      </c>
      <c r="M3898" t="inlineStr">
        <is>
          <t>Moda</t>
        </is>
      </c>
    </row>
    <row r="3899">
      <c r="A3899" t="n">
        <v>3898</v>
      </c>
      <c r="B3899" t="inlineStr">
        <is>
          <t>A-497_2C__336</t>
        </is>
      </c>
      <c r="C3899" s="1" t="n">
        <v>37.2422195309</v>
      </c>
      <c r="D3899" s="1" t="n">
        <v>-7.01858804116</v>
      </c>
      <c r="E3899" s="3" t="n">
        <v>5</v>
      </c>
      <c r="F3899" s="2" t="n">
        <v>4</v>
      </c>
      <c r="G3899" s="4" t="n">
        <v>4</v>
      </c>
      <c r="H3899" s="13" t="n"/>
      <c r="I3899" s="15" t="n"/>
      <c r="J3899" s="19" t="n">
        <v>4</v>
      </c>
      <c r="K3899" s="2" t="inlineStr">
        <is>
          <t>marker_659_362080.png</t>
        </is>
      </c>
      <c r="L3899" s="11">
        <f>HYPERLINK("4\1\" &amp; K3899, "Ver Imagen")</f>
        <v/>
      </c>
      <c r="M3899" t="inlineStr">
        <is>
          <t>Moda</t>
        </is>
      </c>
    </row>
    <row r="3900">
      <c r="A3900" t="n">
        <v>3899</v>
      </c>
      <c r="B3900" t="inlineStr">
        <is>
          <t>A-497_2C__340</t>
        </is>
      </c>
      <c r="C3900" s="1" t="n">
        <v>37.241425613</v>
      </c>
      <c r="D3900" s="1" t="n">
        <v>-7.01861884965</v>
      </c>
      <c r="E3900" s="3" t="n">
        <v>4</v>
      </c>
      <c r="F3900" s="2" t="n">
        <v>4</v>
      </c>
      <c r="G3900" s="4" t="n">
        <v>3</v>
      </c>
      <c r="H3900" s="13" t="n"/>
      <c r="I3900" s="15" t="n"/>
      <c r="J3900" s="19" t="n">
        <v>4</v>
      </c>
      <c r="K3900" s="2" t="inlineStr">
        <is>
          <t>marker_267_362128.png</t>
        </is>
      </c>
      <c r="L3900" s="11">
        <f>HYPERLINK("4\1\" &amp; K3900, "Ver Imagen")</f>
        <v/>
      </c>
      <c r="M3900" t="inlineStr">
        <is>
          <t>Moda</t>
        </is>
      </c>
    </row>
    <row r="3901">
      <c r="A3901" t="n">
        <v>3900</v>
      </c>
      <c r="B3901" t="inlineStr">
        <is>
          <t>A-497_2C__343</t>
        </is>
      </c>
      <c r="C3901" s="1" t="n">
        <v>37.2408271656</v>
      </c>
      <c r="D3901" s="1" t="n">
        <v>-7.01864422326</v>
      </c>
      <c r="E3901" s="3" t="n">
        <v>4</v>
      </c>
      <c r="F3901" s="2" t="n">
        <v>4</v>
      </c>
      <c r="G3901" s="4" t="n">
        <v>3</v>
      </c>
      <c r="H3901" s="13" t="n"/>
      <c r="I3901" s="15" t="n"/>
      <c r="J3901" s="19" t="n">
        <v>4</v>
      </c>
      <c r="K3901" s="2" t="inlineStr">
        <is>
          <t>marker_188_362155.png</t>
        </is>
      </c>
      <c r="L3901" s="11">
        <f>HYPERLINK("4\1\" &amp; K3901, "Ver Imagen")</f>
        <v/>
      </c>
      <c r="M3901" t="inlineStr">
        <is>
          <t>Moda</t>
        </is>
      </c>
    </row>
    <row r="3902">
      <c r="A3902" t="n">
        <v>3901</v>
      </c>
      <c r="B3902" t="inlineStr">
        <is>
          <t>A-497_2C__365</t>
        </is>
      </c>
      <c r="C3902" s="1" t="n">
        <v>37.2364061554</v>
      </c>
      <c r="D3902" s="1" t="n">
        <v>-7.0186341511</v>
      </c>
      <c r="E3902" s="3" t="n">
        <v>5</v>
      </c>
      <c r="F3902" s="2" t="n">
        <v>4</v>
      </c>
      <c r="G3902" s="4" t="n">
        <v>4</v>
      </c>
      <c r="H3902" s="13" t="n"/>
      <c r="I3902" s="15" t="n"/>
      <c r="J3902" s="19" t="n">
        <v>4</v>
      </c>
      <c r="K3902" s="2" t="inlineStr">
        <is>
          <t>marker_102_362414.png</t>
        </is>
      </c>
      <c r="L3902" s="11">
        <f>HYPERLINK("4\1\" &amp; K3902, "Ver Imagen")</f>
        <v/>
      </c>
      <c r="M3902" t="inlineStr">
        <is>
          <t>Moda</t>
        </is>
      </c>
    </row>
    <row r="3903">
      <c r="A3903" t="n">
        <v>3902</v>
      </c>
      <c r="B3903" t="inlineStr">
        <is>
          <t>A-497_2C__366</t>
        </is>
      </c>
      <c r="C3903" s="1" t="n">
        <v>37.2361509877</v>
      </c>
      <c r="D3903" s="1" t="n">
        <v>-7.01857841223</v>
      </c>
      <c r="E3903" s="3" t="n">
        <v>5</v>
      </c>
      <c r="F3903" s="2" t="n">
        <v>4</v>
      </c>
      <c r="G3903" s="4" t="n">
        <v>4</v>
      </c>
      <c r="H3903" s="13" t="n"/>
      <c r="I3903" s="15" t="n"/>
      <c r="J3903" s="19" t="n">
        <v>4</v>
      </c>
      <c r="K3903" s="2" t="inlineStr">
        <is>
          <t>marker_629_362424.png</t>
        </is>
      </c>
      <c r="L3903" s="11">
        <f>HYPERLINK("4\1\" &amp; K3903, "Ver Imagen")</f>
        <v/>
      </c>
      <c r="M3903" t="inlineStr">
        <is>
          <t>Moda</t>
        </is>
      </c>
    </row>
    <row r="3904">
      <c r="A3904" t="n">
        <v>3903</v>
      </c>
      <c r="B3904" t="inlineStr">
        <is>
          <t>A-497_2C__392</t>
        </is>
      </c>
      <c r="C3904" s="1" t="n">
        <v>37.2311675343</v>
      </c>
      <c r="D3904" s="1" t="n">
        <v>-7.01957425097</v>
      </c>
      <c r="E3904" s="3" t="n">
        <v>5</v>
      </c>
      <c r="F3904" s="2" t="n">
        <v>4</v>
      </c>
      <c r="G3904" s="4" t="n">
        <v>4</v>
      </c>
      <c r="H3904" s="13" t="n"/>
      <c r="I3904" s="15" t="n"/>
      <c r="J3904" s="19" t="n">
        <v>4</v>
      </c>
      <c r="K3904" s="2" t="inlineStr">
        <is>
          <t>marker_377_362827.png</t>
        </is>
      </c>
      <c r="L3904" s="11">
        <f>HYPERLINK("4\1\" &amp; K3904, "Ver Imagen")</f>
        <v/>
      </c>
      <c r="M3904" t="inlineStr">
        <is>
          <t>Moda</t>
        </is>
      </c>
    </row>
    <row r="3905">
      <c r="A3905" t="n">
        <v>3904</v>
      </c>
      <c r="B3905" t="inlineStr">
        <is>
          <t>A-497_2C__444</t>
        </is>
      </c>
      <c r="C3905" s="1" t="n">
        <v>37.2214178002</v>
      </c>
      <c r="D3905" s="1" t="n">
        <v>-7.0230902978</v>
      </c>
      <c r="E3905" s="3" t="n">
        <v>4</v>
      </c>
      <c r="F3905" s="2" t="n">
        <v>4</v>
      </c>
      <c r="G3905" s="4" t="n">
        <v>5</v>
      </c>
      <c r="H3905" s="13" t="n"/>
      <c r="I3905" s="15" t="n"/>
      <c r="J3905" s="19" t="n">
        <v>4</v>
      </c>
      <c r="K3905" s="2" t="inlineStr">
        <is>
          <t>marker_127_363355.png</t>
        </is>
      </c>
      <c r="L3905" s="11">
        <f>HYPERLINK("4\1\" &amp; K3905, "Ver Imagen")</f>
        <v/>
      </c>
      <c r="M3905" t="inlineStr">
        <is>
          <t>Moda</t>
        </is>
      </c>
    </row>
    <row r="3906">
      <c r="A3906" t="n">
        <v>3905</v>
      </c>
      <c r="B3906" t="inlineStr">
        <is>
          <t>A-497_2C__447</t>
        </is>
      </c>
      <c r="C3906" s="1" t="n">
        <v>37.2208186965</v>
      </c>
      <c r="D3906" s="1" t="n">
        <v>-7.02303618688</v>
      </c>
      <c r="E3906" s="3" t="n">
        <v>4</v>
      </c>
      <c r="F3906" s="2" t="n">
        <v>4</v>
      </c>
      <c r="G3906" s="4" t="n">
        <v>5</v>
      </c>
      <c r="H3906" s="13" t="n"/>
      <c r="I3906" s="15" t="n"/>
      <c r="J3906" s="19" t="n">
        <v>4</v>
      </c>
      <c r="K3906" s="2" t="inlineStr">
        <is>
          <t>marker_534_363382.png</t>
        </is>
      </c>
      <c r="L3906" s="11">
        <f>HYPERLINK("4\1\" &amp; K3906, "Ver Imagen")</f>
        <v/>
      </c>
      <c r="M3906" t="inlineStr">
        <is>
          <t>Moda</t>
        </is>
      </c>
    </row>
    <row r="3907">
      <c r="A3907" t="n">
        <v>3906</v>
      </c>
      <c r="B3907" t="inlineStr">
        <is>
          <t>A-497_2C__463</t>
        </is>
      </c>
      <c r="C3907" s="1" t="n">
        <v>37.2176143825</v>
      </c>
      <c r="D3907" s="1" t="n">
        <v>-7.02313007094</v>
      </c>
      <c r="E3907" s="3" t="n">
        <v>4</v>
      </c>
      <c r="F3907" s="2" t="n">
        <v>4</v>
      </c>
      <c r="G3907" s="4" t="n">
        <v>3</v>
      </c>
      <c r="H3907" s="13" t="n"/>
      <c r="I3907" s="15" t="n"/>
      <c r="J3907" s="19" t="n">
        <v>4</v>
      </c>
      <c r="K3907" s="2" t="inlineStr">
        <is>
          <t>marker_330_363567.png</t>
        </is>
      </c>
      <c r="L3907" s="11">
        <f>HYPERLINK("4\1\" &amp; K3907, "Ver Imagen")</f>
        <v/>
      </c>
      <c r="M3907" t="inlineStr">
        <is>
          <t>Moda</t>
        </is>
      </c>
    </row>
    <row r="3908">
      <c r="A3908" t="n">
        <v>3907</v>
      </c>
      <c r="B3908" t="inlineStr">
        <is>
          <t>A-497_2C__464</t>
        </is>
      </c>
      <c r="C3908" s="1" t="n">
        <v>37.2173934795</v>
      </c>
      <c r="D3908" s="1" t="n">
        <v>-7.0231676533</v>
      </c>
      <c r="E3908" s="3" t="n">
        <v>3</v>
      </c>
      <c r="F3908" s="2" t="n">
        <v>4</v>
      </c>
      <c r="G3908" s="4" t="n">
        <v>4</v>
      </c>
      <c r="H3908" s="13" t="n"/>
      <c r="I3908" s="15" t="n"/>
      <c r="J3908" s="19" t="n">
        <v>4</v>
      </c>
      <c r="K3908" s="2" t="inlineStr">
        <is>
          <t>marker_775_363576.png</t>
        </is>
      </c>
      <c r="L3908" s="11">
        <f>HYPERLINK("4\1\" &amp; K3908, "Ver Imagen")</f>
        <v/>
      </c>
      <c r="M3908" t="inlineStr">
        <is>
          <t>Moda</t>
        </is>
      </c>
    </row>
    <row r="3909">
      <c r="A3909" t="n">
        <v>3908</v>
      </c>
      <c r="B3909" t="inlineStr">
        <is>
          <t>A-497_2C__467</t>
        </is>
      </c>
      <c r="C3909" s="1" t="n">
        <v>37.2168246019</v>
      </c>
      <c r="D3909" s="1" t="n">
        <v>-7.02327013019</v>
      </c>
      <c r="E3909" s="3" t="n">
        <v>3</v>
      </c>
      <c r="F3909" s="2" t="n">
        <v>4</v>
      </c>
      <c r="G3909" s="4" t="n">
        <v>4</v>
      </c>
      <c r="H3909" s="13" t="n"/>
      <c r="I3909" s="15" t="n"/>
      <c r="J3909" s="19" t="n">
        <v>4</v>
      </c>
      <c r="K3909" s="2" t="inlineStr">
        <is>
          <t>marker_100_363609.png</t>
        </is>
      </c>
      <c r="L3909" s="11">
        <f>HYPERLINK("4\1\" &amp; K3909, "Ver Imagen")</f>
        <v/>
      </c>
      <c r="M3909" t="inlineStr">
        <is>
          <t>Moda</t>
        </is>
      </c>
    </row>
    <row r="3910">
      <c r="A3910" t="n">
        <v>3909</v>
      </c>
      <c r="B3910" t="inlineStr">
        <is>
          <t>A-497_2C__474</t>
        </is>
      </c>
      <c r="C3910" s="1" t="n">
        <v>37.2153990825</v>
      </c>
      <c r="D3910" s="1" t="n">
        <v>-7.02351660609</v>
      </c>
      <c r="E3910" s="3" t="n">
        <v>4</v>
      </c>
      <c r="F3910" s="2" t="n">
        <v>4</v>
      </c>
      <c r="G3910" s="4" t="n">
        <v>3</v>
      </c>
      <c r="H3910" s="13" t="n"/>
      <c r="I3910" s="15" t="n"/>
      <c r="J3910" s="19" t="n">
        <v>4</v>
      </c>
      <c r="K3910" s="2" t="inlineStr">
        <is>
          <t>marker_267_363686.png</t>
        </is>
      </c>
      <c r="L3910" s="11">
        <f>HYPERLINK("4\1\" &amp; K3910, "Ver Imagen")</f>
        <v/>
      </c>
      <c r="M3910" t="inlineStr">
        <is>
          <t>Moda</t>
        </is>
      </c>
    </row>
    <row r="3911">
      <c r="A3911" t="n">
        <v>3910</v>
      </c>
      <c r="B3911" t="inlineStr">
        <is>
          <t>A-497_2C__553</t>
        </is>
      </c>
      <c r="C3911" s="1" t="n">
        <v>37.2044343071</v>
      </c>
      <c r="D3911" s="1" t="n">
        <v>-7.0135300114</v>
      </c>
      <c r="E3911" s="3" t="n">
        <v>3</v>
      </c>
      <c r="F3911" s="2" t="n">
        <v>4</v>
      </c>
      <c r="G3911" s="4" t="n">
        <v>4</v>
      </c>
      <c r="H3911" s="13" t="n"/>
      <c r="I3911" s="15" t="n"/>
      <c r="J3911" s="19" t="n">
        <v>4</v>
      </c>
      <c r="K3911" s="2" t="inlineStr">
        <is>
          <t>marker_652_364718.png</t>
        </is>
      </c>
      <c r="L3911" s="11">
        <f>HYPERLINK("4\1\" &amp; K3911, "Ver Imagen")</f>
        <v/>
      </c>
      <c r="M3911" t="inlineStr">
        <is>
          <t>Moda</t>
        </is>
      </c>
    </row>
    <row r="3912">
      <c r="A3912" t="n">
        <v>3911</v>
      </c>
      <c r="B3912" t="inlineStr">
        <is>
          <t>A-497_2C__554</t>
        </is>
      </c>
      <c r="C3912" s="1" t="n">
        <v>37.2043921865</v>
      </c>
      <c r="D3912" s="1" t="n">
        <v>-7.01330361938</v>
      </c>
      <c r="E3912" s="3" t="n">
        <v>3</v>
      </c>
      <c r="F3912" s="2" t="n">
        <v>4</v>
      </c>
      <c r="G3912" s="4" t="n">
        <v>4</v>
      </c>
      <c r="H3912" s="13" t="n"/>
      <c r="I3912" s="15" t="n"/>
      <c r="J3912" s="19" t="n">
        <v>4</v>
      </c>
      <c r="K3912" s="2" t="inlineStr">
        <is>
          <t>marker_737_366317.png</t>
        </is>
      </c>
      <c r="L3912" s="11">
        <f>HYPERLINK("4\1\" &amp; K3912, "Ver Imagen")</f>
        <v/>
      </c>
      <c r="M3912" t="inlineStr">
        <is>
          <t>Moda</t>
        </is>
      </c>
    </row>
    <row r="3913">
      <c r="A3913" t="n">
        <v>3912</v>
      </c>
      <c r="B3913" t="inlineStr">
        <is>
          <t>A-497_2C__555</t>
        </is>
      </c>
      <c r="C3913" s="1" t="n">
        <v>37.2043518257</v>
      </c>
      <c r="D3913" s="1" t="n">
        <v>-7.01308419638</v>
      </c>
      <c r="E3913" s="3" t="n">
        <v>3</v>
      </c>
      <c r="F3913" s="2" t="n">
        <v>4</v>
      </c>
      <c r="G3913" s="4" t="n">
        <v>4</v>
      </c>
      <c r="H3913" s="13" t="n"/>
      <c r="I3913" s="15" t="n"/>
      <c r="J3913" s="19" t="n">
        <v>4</v>
      </c>
      <c r="K3913" s="2" t="inlineStr">
        <is>
          <t>marker_556_366327.png</t>
        </is>
      </c>
      <c r="L3913" s="11">
        <f>HYPERLINK("4\1\" &amp; K3913, "Ver Imagen")</f>
        <v/>
      </c>
      <c r="M3913" t="inlineStr">
        <is>
          <t>Moda</t>
        </is>
      </c>
    </row>
    <row r="3914">
      <c r="A3914" t="n">
        <v>3913</v>
      </c>
      <c r="B3914" t="inlineStr">
        <is>
          <t>A-497_2C__565</t>
        </is>
      </c>
      <c r="C3914" s="1" t="n">
        <v>37.203905348</v>
      </c>
      <c r="D3914" s="1" t="n">
        <v>-7.0105494081</v>
      </c>
      <c r="E3914" s="3" t="n">
        <v>4</v>
      </c>
      <c r="F3914" s="2" t="n">
        <v>4</v>
      </c>
      <c r="G3914" s="4" t="n">
        <v>3</v>
      </c>
      <c r="H3914" s="13" t="n"/>
      <c r="I3914" s="15" t="n"/>
      <c r="J3914" s="19" t="n">
        <v>4</v>
      </c>
      <c r="K3914" s="2" t="inlineStr">
        <is>
          <t>marker_224_366432.png</t>
        </is>
      </c>
      <c r="L3914" s="11">
        <f>HYPERLINK("4\1\" &amp; K3914, "Ver Imagen")</f>
        <v/>
      </c>
      <c r="M3914" t="inlineStr">
        <is>
          <t>Moda</t>
        </is>
      </c>
    </row>
    <row r="3915">
      <c r="A3915" t="n">
        <v>3914</v>
      </c>
      <c r="B3915" t="inlineStr">
        <is>
          <t>A-497_2C__584</t>
        </is>
      </c>
      <c r="C3915" s="1" t="n">
        <v>37.2032004015</v>
      </c>
      <c r="D3915" s="1" t="n">
        <v>-7.00582198922</v>
      </c>
      <c r="E3915" s="3" t="n">
        <v>4</v>
      </c>
      <c r="F3915" s="2" t="n">
        <v>4</v>
      </c>
      <c r="G3915" s="4" t="n">
        <v>3</v>
      </c>
      <c r="H3915" s="13" t="n"/>
      <c r="I3915" s="15" t="n"/>
      <c r="J3915" s="19" t="n">
        <v>4</v>
      </c>
      <c r="K3915" s="2" t="inlineStr">
        <is>
          <t>marker_348_366609.png</t>
        </is>
      </c>
      <c r="L3915" s="11">
        <f>HYPERLINK("4\1\" &amp; K3915, "Ver Imagen")</f>
        <v/>
      </c>
      <c r="M3915" t="inlineStr">
        <is>
          <t>Moda</t>
        </is>
      </c>
    </row>
    <row r="3916">
      <c r="A3916" t="n">
        <v>3915</v>
      </c>
      <c r="B3916" t="inlineStr">
        <is>
          <t>A-497_2C__585</t>
        </is>
      </c>
      <c r="C3916" s="1" t="n">
        <v>37.2031694468</v>
      </c>
      <c r="D3916" s="1" t="n">
        <v>-7.00559488429</v>
      </c>
      <c r="E3916" s="3" t="n">
        <v>4</v>
      </c>
      <c r="F3916" s="2" t="n">
        <v>4</v>
      </c>
      <c r="G3916" s="4" t="n">
        <v>3</v>
      </c>
      <c r="H3916" s="13" t="n"/>
      <c r="I3916" s="15" t="n"/>
      <c r="J3916" s="19" t="n">
        <v>4</v>
      </c>
      <c r="K3916" s="2" t="inlineStr">
        <is>
          <t>marker_871_366616.png</t>
        </is>
      </c>
      <c r="L3916" s="11">
        <f>HYPERLINK("4\1\" &amp; K3916, "Ver Imagen")</f>
        <v/>
      </c>
      <c r="M3916" t="inlineStr">
        <is>
          <t>Moda</t>
        </is>
      </c>
    </row>
    <row r="3917">
      <c r="A3917" t="n">
        <v>3916</v>
      </c>
      <c r="B3917" t="inlineStr">
        <is>
          <t>A-497_2C__591</t>
        </is>
      </c>
      <c r="C3917" s="1" t="n">
        <v>37.2029826141</v>
      </c>
      <c r="D3917" s="1" t="n">
        <v>-7.00411234586</v>
      </c>
      <c r="E3917" s="3" t="n">
        <v>3</v>
      </c>
      <c r="F3917" s="2" t="n">
        <v>4</v>
      </c>
      <c r="G3917" s="4" t="n">
        <v>4</v>
      </c>
      <c r="H3917" s="13" t="n"/>
      <c r="I3917" s="15" t="n"/>
      <c r="J3917" s="19" t="n">
        <v>4</v>
      </c>
      <c r="K3917" s="2" t="inlineStr">
        <is>
          <t>marker_892_366680.png</t>
        </is>
      </c>
      <c r="L3917" s="11">
        <f>HYPERLINK("4\1\" &amp; K3917, "Ver Imagen")</f>
        <v/>
      </c>
      <c r="M3917" t="inlineStr">
        <is>
          <t>Moda</t>
        </is>
      </c>
    </row>
    <row r="3918">
      <c r="A3918" t="n">
        <v>3917</v>
      </c>
      <c r="B3918" t="inlineStr">
        <is>
          <t>A-497_2C__600</t>
        </is>
      </c>
      <c r="C3918" s="1" t="n">
        <v>37.2027357431</v>
      </c>
      <c r="D3918" s="1" t="n">
        <v>-7.00189216967</v>
      </c>
      <c r="E3918" s="3" t="n">
        <v>3</v>
      </c>
      <c r="F3918" s="2" t="n">
        <v>4</v>
      </c>
      <c r="G3918" s="4" t="n">
        <v>4</v>
      </c>
      <c r="H3918" s="13" t="n"/>
      <c r="I3918" s="15" t="n"/>
      <c r="J3918" s="19" t="n">
        <v>4</v>
      </c>
      <c r="K3918" s="2" t="inlineStr">
        <is>
          <t>marker_460_366763.png</t>
        </is>
      </c>
      <c r="L3918" s="11">
        <f>HYPERLINK("4\1\" &amp; K3918, "Ver Imagen")</f>
        <v/>
      </c>
      <c r="M3918" t="inlineStr">
        <is>
          <t>Moda</t>
        </is>
      </c>
    </row>
    <row r="3919">
      <c r="A3919" t="n">
        <v>3918</v>
      </c>
      <c r="B3919" t="inlineStr">
        <is>
          <t>A-497_2C__623</t>
        </is>
      </c>
      <c r="C3919" s="1" t="n">
        <v>37.201940321</v>
      </c>
      <c r="D3919" s="1" t="n">
        <v>-6.99608278553</v>
      </c>
      <c r="E3919" s="3" t="n">
        <v>4</v>
      </c>
      <c r="F3919" s="2" t="n">
        <v>4</v>
      </c>
      <c r="G3919" s="4" t="n">
        <v>3</v>
      </c>
      <c r="H3919" s="13" t="n"/>
      <c r="I3919" s="15" t="n"/>
      <c r="J3919" s="19" t="n">
        <v>4</v>
      </c>
      <c r="K3919" s="2" t="inlineStr">
        <is>
          <t>marker_417_367017.png</t>
        </is>
      </c>
      <c r="L3919" s="11">
        <f>HYPERLINK("4\1\" &amp; K3919, "Ver Imagen")</f>
        <v/>
      </c>
      <c r="M3919" t="inlineStr">
        <is>
          <t>Moda</t>
        </is>
      </c>
    </row>
    <row r="3920">
      <c r="A3920" t="n">
        <v>3919</v>
      </c>
      <c r="B3920" t="inlineStr">
        <is>
          <t>A-497__404</t>
        </is>
      </c>
      <c r="C3920" s="1" t="n">
        <v>37.2298792412</v>
      </c>
      <c r="D3920" s="1" t="n">
        <v>-7.02035050843</v>
      </c>
      <c r="E3920" s="3" t="n">
        <v>4</v>
      </c>
      <c r="F3920" s="2" t="n">
        <v>4</v>
      </c>
      <c r="G3920" s="4" t="n">
        <v>3</v>
      </c>
      <c r="H3920" s="13" t="n"/>
      <c r="I3920" s="15" t="n"/>
      <c r="J3920" s="19" t="n">
        <v>4</v>
      </c>
      <c r="K3920" s="2" t="inlineStr">
        <is>
          <t>marker_107_377155.png</t>
        </is>
      </c>
      <c r="L3920" s="11">
        <f>HYPERLINK("4\1\" &amp; K3920, "Ver Imagen")</f>
        <v/>
      </c>
      <c r="M3920" t="inlineStr">
        <is>
          <t>Moda</t>
        </is>
      </c>
    </row>
    <row r="3921">
      <c r="A3921" t="n">
        <v>3920</v>
      </c>
      <c r="B3921" t="inlineStr">
        <is>
          <t>A-497__403</t>
        </is>
      </c>
      <c r="C3921" s="1" t="n">
        <v>37.2300584112</v>
      </c>
      <c r="D3921" s="1" t="n">
        <v>-7.02021279608</v>
      </c>
      <c r="E3921" s="3" t="n">
        <v>4</v>
      </c>
      <c r="F3921" s="2" t="n">
        <v>4</v>
      </c>
      <c r="G3921" s="4" t="n">
        <v>3</v>
      </c>
      <c r="H3921" s="13" t="n"/>
      <c r="I3921" s="15" t="n"/>
      <c r="J3921" s="19" t="n">
        <v>4</v>
      </c>
      <c r="K3921" s="2" t="inlineStr">
        <is>
          <t>marker_899_377164.png</t>
        </is>
      </c>
      <c r="L3921" s="11">
        <f>HYPERLINK("4\1\" &amp; K3921, "Ver Imagen")</f>
        <v/>
      </c>
      <c r="M3921" t="inlineStr">
        <is>
          <t>Moda</t>
        </is>
      </c>
    </row>
    <row r="3922">
      <c r="A3922" t="n">
        <v>3921</v>
      </c>
      <c r="B3922" t="inlineStr">
        <is>
          <t>A-497__402</t>
        </is>
      </c>
      <c r="C3922" s="1" t="n">
        <v>37.2302791098</v>
      </c>
      <c r="D3922" s="1" t="n">
        <v>-7.02004244231</v>
      </c>
      <c r="E3922" s="3" t="n">
        <v>4</v>
      </c>
      <c r="F3922" s="2" t="n">
        <v>4</v>
      </c>
      <c r="G3922" s="4" t="n">
        <v>3</v>
      </c>
      <c r="H3922" s="13" t="n"/>
      <c r="I3922" s="15" t="n"/>
      <c r="J3922" s="19" t="n">
        <v>4</v>
      </c>
      <c r="K3922" s="2" t="inlineStr">
        <is>
          <t>marker_394_377176.png</t>
        </is>
      </c>
      <c r="L3922" s="11">
        <f>HYPERLINK("4\1\" &amp; K3922, "Ver Imagen")</f>
        <v/>
      </c>
      <c r="M3922" t="inlineStr">
        <is>
          <t>Moda</t>
        </is>
      </c>
    </row>
    <row r="3923">
      <c r="A3923" t="n">
        <v>3922</v>
      </c>
      <c r="B3923" t="inlineStr">
        <is>
          <t>A-497__400</t>
        </is>
      </c>
      <c r="C3923" s="1" t="n">
        <v>37.2306386635</v>
      </c>
      <c r="D3923" s="1" t="n">
        <v>-7.01976575165</v>
      </c>
      <c r="E3923" s="3" t="n">
        <v>4</v>
      </c>
      <c r="F3923" s="2" t="n">
        <v>4</v>
      </c>
      <c r="G3923" s="4" t="n">
        <v>3</v>
      </c>
      <c r="H3923" s="13" t="n"/>
      <c r="I3923" s="15" t="n"/>
      <c r="J3923" s="19" t="n">
        <v>4</v>
      </c>
      <c r="K3923" s="2" t="inlineStr">
        <is>
          <t>marker_263_377194.png</t>
        </is>
      </c>
      <c r="L3923" s="11">
        <f>HYPERLINK("4\1\" &amp; K3923, "Ver Imagen")</f>
        <v/>
      </c>
      <c r="M3923" t="inlineStr">
        <is>
          <t>Moda</t>
        </is>
      </c>
    </row>
    <row r="3924">
      <c r="A3924" t="n">
        <v>3923</v>
      </c>
      <c r="B3924" t="inlineStr">
        <is>
          <t>A-497__399</t>
        </is>
      </c>
      <c r="C3924" s="1" t="n">
        <v>37.2307795533</v>
      </c>
      <c r="D3924" s="1" t="n">
        <v>-7.01965744619</v>
      </c>
      <c r="E3924" s="3" t="n">
        <v>4</v>
      </c>
      <c r="F3924" s="2" t="n">
        <v>4</v>
      </c>
      <c r="G3924" s="4" t="n">
        <v>3</v>
      </c>
      <c r="H3924" s="13" t="n"/>
      <c r="I3924" s="15" t="n"/>
      <c r="J3924" s="19" t="n">
        <v>4</v>
      </c>
      <c r="K3924" s="2" t="inlineStr">
        <is>
          <t>marker_411_377202.png</t>
        </is>
      </c>
      <c r="L3924" s="11">
        <f>HYPERLINK("4\1\" &amp; K3924, "Ver Imagen")</f>
        <v/>
      </c>
      <c r="M3924" t="inlineStr">
        <is>
          <t>Moda</t>
        </is>
      </c>
    </row>
    <row r="3925">
      <c r="A3925" t="n">
        <v>3924</v>
      </c>
      <c r="B3925" t="inlineStr">
        <is>
          <t>A-497__398</t>
        </is>
      </c>
      <c r="C3925" s="1" t="n">
        <v>37.2309272163</v>
      </c>
      <c r="D3925" s="1" t="n">
        <v>-7.01954404792</v>
      </c>
      <c r="E3925" s="3" t="n">
        <v>4</v>
      </c>
      <c r="F3925" s="2" t="n">
        <v>4</v>
      </c>
      <c r="G3925" s="4" t="n">
        <v>3</v>
      </c>
      <c r="H3925" s="13" t="n"/>
      <c r="I3925" s="15" t="n"/>
      <c r="J3925" s="19" t="n">
        <v>4</v>
      </c>
      <c r="K3925" s="2" t="inlineStr">
        <is>
          <t>marker_112_377211.png</t>
        </is>
      </c>
      <c r="L3925" s="11">
        <f>HYPERLINK("4\1\" &amp; K3925, "Ver Imagen")</f>
        <v/>
      </c>
      <c r="M3925" t="inlineStr">
        <is>
          <t>Moda</t>
        </is>
      </c>
    </row>
    <row r="3926">
      <c r="A3926" t="n">
        <v>3925</v>
      </c>
      <c r="B3926" t="inlineStr">
        <is>
          <t>A-497__310</t>
        </is>
      </c>
      <c r="C3926" s="1" t="n">
        <v>37.2484489821</v>
      </c>
      <c r="D3926" s="1" t="n">
        <v>-7.01816099673</v>
      </c>
      <c r="E3926" s="3" t="n">
        <v>4</v>
      </c>
      <c r="F3926" s="2" t="n">
        <v>4</v>
      </c>
      <c r="G3926" s="4" t="n">
        <v>3</v>
      </c>
      <c r="H3926" s="13" t="n"/>
      <c r="I3926" s="15" t="n"/>
      <c r="J3926" s="19" t="n">
        <v>4</v>
      </c>
      <c r="K3926" s="2" t="inlineStr">
        <is>
          <t>marker_344_378099.png</t>
        </is>
      </c>
      <c r="L3926" s="11">
        <f>HYPERLINK("4\1\" &amp; K3926, "Ver Imagen")</f>
        <v/>
      </c>
      <c r="M3926" t="inlineStr">
        <is>
          <t>Moda</t>
        </is>
      </c>
    </row>
    <row r="3927">
      <c r="A3927" t="n">
        <v>3926</v>
      </c>
      <c r="B3927" t="inlineStr">
        <is>
          <t>A-497__304</t>
        </is>
      </c>
      <c r="C3927" s="1" t="n">
        <v>37.2496339506</v>
      </c>
      <c r="D3927" s="1" t="n">
        <v>-7.01796018659</v>
      </c>
      <c r="E3927" s="3" t="n">
        <v>3</v>
      </c>
      <c r="F3927" s="2" t="n">
        <v>4</v>
      </c>
      <c r="G3927" s="4" t="n">
        <v>4</v>
      </c>
      <c r="H3927" s="13" t="n"/>
      <c r="I3927" s="15" t="n"/>
      <c r="J3927" s="19" t="n">
        <v>4</v>
      </c>
      <c r="K3927" s="2" t="inlineStr">
        <is>
          <t>marker_726_378162.png</t>
        </is>
      </c>
      <c r="L3927" s="11">
        <f>HYPERLINK("4\1\" &amp; K3927, "Ver Imagen")</f>
        <v/>
      </c>
      <c r="M3927" t="inlineStr">
        <is>
          <t>Moda</t>
        </is>
      </c>
    </row>
    <row r="3928">
      <c r="A3928" t="n">
        <v>3927</v>
      </c>
      <c r="B3928" t="inlineStr">
        <is>
          <t>A-497__279</t>
        </is>
      </c>
      <c r="C3928" s="1" t="n">
        <v>37.2541926003</v>
      </c>
      <c r="D3928" s="1" t="n">
        <v>-7.01520826389</v>
      </c>
      <c r="E3928" s="3" t="n">
        <v>3</v>
      </c>
      <c r="F3928" s="2" t="n">
        <v>4</v>
      </c>
      <c r="G3928" s="4" t="n">
        <v>4</v>
      </c>
      <c r="H3928" s="13" t="n"/>
      <c r="I3928" s="15" t="n"/>
      <c r="J3928" s="19" t="n">
        <v>4</v>
      </c>
      <c r="K3928" s="2" t="inlineStr">
        <is>
          <t>marker_745_378487.png</t>
        </is>
      </c>
      <c r="L3928" s="11">
        <f>HYPERLINK("4\1\" &amp; K3928, "Ver Imagen")</f>
        <v/>
      </c>
      <c r="M3928" t="inlineStr">
        <is>
          <t>Moda</t>
        </is>
      </c>
    </row>
    <row r="3929">
      <c r="A3929" t="n">
        <v>3928</v>
      </c>
      <c r="B3929" t="inlineStr">
        <is>
          <t>A-497__277</t>
        </is>
      </c>
      <c r="C3929" s="1" t="n">
        <v>37.2545212772</v>
      </c>
      <c r="D3929" s="1" t="n">
        <v>-7.01499693507</v>
      </c>
      <c r="E3929" s="3" t="n">
        <v>4</v>
      </c>
      <c r="F3929" s="2" t="n">
        <v>4</v>
      </c>
      <c r="G3929" s="4" t="n">
        <v>3</v>
      </c>
      <c r="H3929" s="13" t="n"/>
      <c r="I3929" s="15" t="n"/>
      <c r="J3929" s="19" t="n">
        <v>4</v>
      </c>
      <c r="K3929" s="2" t="inlineStr">
        <is>
          <t>marker_670_378505.png</t>
        </is>
      </c>
      <c r="L3929" s="11">
        <f>HYPERLINK("4\1\" &amp; K3929, "Ver Imagen")</f>
        <v/>
      </c>
      <c r="M3929" t="inlineStr">
        <is>
          <t>Moda</t>
        </is>
      </c>
    </row>
    <row r="3930">
      <c r="A3930" t="n">
        <v>3929</v>
      </c>
      <c r="B3930" t="inlineStr">
        <is>
          <t>A-497__226</t>
        </is>
      </c>
      <c r="C3930" s="1" t="n">
        <v>37.2631178044</v>
      </c>
      <c r="D3930" s="1" t="n">
        <v>-7.00817947003</v>
      </c>
      <c r="E3930" s="3" t="n">
        <v>4</v>
      </c>
      <c r="F3930" s="2" t="n">
        <v>4</v>
      </c>
      <c r="G3930" s="4" t="n">
        <v>3</v>
      </c>
      <c r="H3930" s="13" t="n"/>
      <c r="I3930" s="15" t="n"/>
      <c r="J3930" s="19" t="n">
        <v>4</v>
      </c>
      <c r="K3930" s="2" t="inlineStr">
        <is>
          <t>marker_453_379079.png</t>
        </is>
      </c>
      <c r="L3930" s="11">
        <f>HYPERLINK("4\1\" &amp; K3930, "Ver Imagen")</f>
        <v/>
      </c>
      <c r="M3930" t="inlineStr">
        <is>
          <t>Moda</t>
        </is>
      </c>
    </row>
    <row r="3931">
      <c r="A3931" t="n">
        <v>3930</v>
      </c>
      <c r="B3931" t="inlineStr">
        <is>
          <t>A-497__220</t>
        </is>
      </c>
      <c r="C3931" s="1" t="n">
        <v>37.2634786059</v>
      </c>
      <c r="D3931" s="1" t="n">
        <v>-7.00679077171</v>
      </c>
      <c r="E3931" s="3" t="n">
        <v>4</v>
      </c>
      <c r="F3931" s="2" t="n">
        <v>4</v>
      </c>
      <c r="G3931" s="4" t="n">
        <v>3</v>
      </c>
      <c r="H3931" s="13" t="n"/>
      <c r="I3931" s="15" t="n"/>
      <c r="J3931" s="19" t="n">
        <v>4</v>
      </c>
      <c r="K3931" s="2" t="inlineStr">
        <is>
          <t>marker_639_379144.png</t>
        </is>
      </c>
      <c r="L3931" s="11">
        <f>HYPERLINK("4\1\" &amp; K3931, "Ver Imagen")</f>
        <v/>
      </c>
      <c r="M3931" t="inlineStr">
        <is>
          <t>Moda</t>
        </is>
      </c>
    </row>
    <row r="3932">
      <c r="A3932" t="n">
        <v>3931</v>
      </c>
      <c r="B3932" t="inlineStr">
        <is>
          <t>A-497__107</t>
        </is>
      </c>
      <c r="C3932" s="1" t="n">
        <v>37.2708002845</v>
      </c>
      <c r="D3932" s="1" t="n">
        <v>-6.98225503994</v>
      </c>
      <c r="E3932" s="3" t="n">
        <v>3</v>
      </c>
      <c r="F3932" s="2" t="n">
        <v>4</v>
      </c>
      <c r="G3932" s="4" t="n">
        <v>4</v>
      </c>
      <c r="H3932" s="13" t="n"/>
      <c r="I3932" s="15" t="n"/>
      <c r="J3932" s="19" t="n">
        <v>4</v>
      </c>
      <c r="K3932" s="2" t="inlineStr">
        <is>
          <t>marker_245_380758.png</t>
        </is>
      </c>
      <c r="L3932" s="11">
        <f>HYPERLINK("4\1\" &amp; K3932, "Ver Imagen")</f>
        <v/>
      </c>
      <c r="M3932" t="inlineStr">
        <is>
          <t>Moda</t>
        </is>
      </c>
    </row>
    <row r="3933">
      <c r="A3933" t="n">
        <v>3932</v>
      </c>
      <c r="B3933" t="inlineStr">
        <is>
          <t>A-495R__60</t>
        </is>
      </c>
      <c r="C3933" s="1" t="n">
        <v>37.4561766676</v>
      </c>
      <c r="D3933" s="1" t="n">
        <v>-7.11361057975</v>
      </c>
      <c r="E3933" s="3" t="n">
        <v>5</v>
      </c>
      <c r="F3933" s="2" t="n">
        <v>5</v>
      </c>
      <c r="G3933" s="4" t="n">
        <v>5</v>
      </c>
      <c r="H3933" s="13" t="n"/>
      <c r="I3933" s="15" t="n"/>
      <c r="J3933" s="19" t="n">
        <v>5</v>
      </c>
      <c r="K3933" s="2" t="inlineStr">
        <is>
          <t>marker_232_935520.png</t>
        </is>
      </c>
      <c r="L3933" s="11">
        <f>HYPERLINK("5\0\" &amp; K3933, "Ver Imagen")</f>
        <v/>
      </c>
      <c r="M3933" t="inlineStr">
        <is>
          <t>Moda</t>
        </is>
      </c>
    </row>
    <row r="3934">
      <c r="A3934" t="n">
        <v>3933</v>
      </c>
      <c r="B3934" t="inlineStr">
        <is>
          <t>A-495R__57</t>
        </is>
      </c>
      <c r="C3934" s="1" t="n">
        <v>37.4556044734</v>
      </c>
      <c r="D3934" s="1" t="n">
        <v>-7.11338785144</v>
      </c>
      <c r="E3934" s="3" t="n">
        <v>5</v>
      </c>
      <c r="F3934" s="2" t="n">
        <v>5</v>
      </c>
      <c r="G3934" s="4" t="n">
        <v>5</v>
      </c>
      <c r="H3934" s="13" t="n"/>
      <c r="I3934" s="15" t="n"/>
      <c r="J3934" s="19" t="n">
        <v>5</v>
      </c>
      <c r="K3934" s="2" t="inlineStr">
        <is>
          <t>marker_140_935590.png</t>
        </is>
      </c>
      <c r="L3934" s="11">
        <f>HYPERLINK("5\0\" &amp; K3934, "Ver Imagen")</f>
        <v/>
      </c>
      <c r="M3934" t="inlineStr">
        <is>
          <t>Moda</t>
        </is>
      </c>
    </row>
    <row r="3935">
      <c r="A3935" t="n">
        <v>3934</v>
      </c>
      <c r="B3935" t="inlineStr">
        <is>
          <t>A-495R__53</t>
        </is>
      </c>
      <c r="C3935" s="1" t="n">
        <v>37.4548087986</v>
      </c>
      <c r="D3935" s="1" t="n">
        <v>-7.11303736306</v>
      </c>
      <c r="E3935" s="3" t="n">
        <v>5</v>
      </c>
      <c r="F3935" s="2" t="n">
        <v>5</v>
      </c>
      <c r="G3935" s="4" t="n">
        <v>5</v>
      </c>
      <c r="H3935" s="13" t="n"/>
      <c r="I3935" s="15" t="n"/>
      <c r="J3935" s="19" t="n">
        <v>5</v>
      </c>
      <c r="K3935" s="2" t="inlineStr">
        <is>
          <t>marker_515_935632.png</t>
        </is>
      </c>
      <c r="L3935" s="11">
        <f>HYPERLINK("5\0\" &amp; K3935, "Ver Imagen")</f>
        <v/>
      </c>
      <c r="M3935" t="inlineStr">
        <is>
          <t>Moda</t>
        </is>
      </c>
    </row>
    <row r="3936">
      <c r="A3936" t="n">
        <v>3935</v>
      </c>
      <c r="B3936" t="inlineStr">
        <is>
          <t>A-495R__51</t>
        </is>
      </c>
      <c r="C3936" s="1" t="n">
        <v>37.454462034</v>
      </c>
      <c r="D3936" s="1" t="n">
        <v>-7.11286004727</v>
      </c>
      <c r="E3936" s="3" t="n">
        <v>5</v>
      </c>
      <c r="F3936" s="2" t="n">
        <v>5</v>
      </c>
      <c r="G3936" s="4" t="n">
        <v>5</v>
      </c>
      <c r="H3936" s="13" t="n"/>
      <c r="I3936" s="15" t="n"/>
      <c r="J3936" s="19" t="n">
        <v>5</v>
      </c>
      <c r="K3936" s="2" t="inlineStr">
        <is>
          <t>marker_750_935651.png</t>
        </is>
      </c>
      <c r="L3936" s="11">
        <f>HYPERLINK("5\0\" &amp; K3936, "Ver Imagen")</f>
        <v/>
      </c>
      <c r="M3936" t="inlineStr">
        <is>
          <t>Moda</t>
        </is>
      </c>
    </row>
    <row r="3937">
      <c r="A3937" t="n">
        <v>3936</v>
      </c>
      <c r="B3937" t="inlineStr">
        <is>
          <t>A-495R__50</t>
        </is>
      </c>
      <c r="C3937" s="1" t="n">
        <v>37.4542758234</v>
      </c>
      <c r="D3937" s="1" t="n">
        <v>-7.11275764423</v>
      </c>
      <c r="E3937" s="3" t="n">
        <v>5</v>
      </c>
      <c r="F3937" s="2" t="n">
        <v>5</v>
      </c>
      <c r="G3937" s="4" t="n">
        <v>5</v>
      </c>
      <c r="H3937" s="13" t="n"/>
      <c r="I3937" s="15" t="n"/>
      <c r="J3937" s="19" t="n">
        <v>5</v>
      </c>
      <c r="K3937" s="2" t="inlineStr">
        <is>
          <t>marker_597_935661.png</t>
        </is>
      </c>
      <c r="L3937" s="11">
        <f>HYPERLINK("5\0\" &amp; K3937, "Ver Imagen")</f>
        <v/>
      </c>
      <c r="M3937" t="inlineStr">
        <is>
          <t>Moda</t>
        </is>
      </c>
    </row>
    <row r="3938">
      <c r="A3938" t="n">
        <v>3937</v>
      </c>
      <c r="B3938" t="inlineStr">
        <is>
          <t>A-495R__30</t>
        </is>
      </c>
      <c r="C3938" s="1" t="n">
        <v>37.4506234657</v>
      </c>
      <c r="D3938" s="1" t="n">
        <v>-7.11059612729</v>
      </c>
      <c r="E3938" s="3" t="n">
        <v>5</v>
      </c>
      <c r="F3938" s="2" t="n">
        <v>5</v>
      </c>
      <c r="G3938" s="4" t="n">
        <v>5</v>
      </c>
      <c r="H3938" s="13" t="n"/>
      <c r="I3938" s="15" t="n"/>
      <c r="J3938" s="19" t="n">
        <v>5</v>
      </c>
      <c r="K3938" s="2" t="inlineStr">
        <is>
          <t>marker_994_936622.png</t>
        </is>
      </c>
      <c r="L3938" s="11">
        <f>HYPERLINK("5\0\" &amp; K3938, "Ver Imagen")</f>
        <v/>
      </c>
      <c r="M3938" t="inlineStr">
        <is>
          <t>Moda</t>
        </is>
      </c>
    </row>
    <row r="3939">
      <c r="A3939" t="n">
        <v>3938</v>
      </c>
      <c r="B3939" t="inlineStr">
        <is>
          <t>A-495R__28</t>
        </is>
      </c>
      <c r="C3939" s="1" t="n">
        <v>37.4502390912</v>
      </c>
      <c r="D3939" s="1" t="n">
        <v>-7.11045798668</v>
      </c>
      <c r="E3939" s="3" t="n">
        <v>5</v>
      </c>
      <c r="F3939" s="2" t="n">
        <v>5</v>
      </c>
      <c r="G3939" s="4" t="n">
        <v>5</v>
      </c>
      <c r="H3939" s="13" t="n"/>
      <c r="I3939" s="15" t="n"/>
      <c r="J3939" s="19" t="n">
        <v>5</v>
      </c>
      <c r="K3939" s="2" t="inlineStr">
        <is>
          <t>marker_276_936642.png</t>
        </is>
      </c>
      <c r="L3939" s="11">
        <f>HYPERLINK("5\0\" &amp; K3939, "Ver Imagen")</f>
        <v/>
      </c>
      <c r="M3939" t="inlineStr">
        <is>
          <t>Moda</t>
        </is>
      </c>
    </row>
    <row r="3940">
      <c r="A3940" t="n">
        <v>3939</v>
      </c>
      <c r="B3940" t="inlineStr">
        <is>
          <t>A-5052__245</t>
        </is>
      </c>
      <c r="C3940" s="1" t="n">
        <v>37.2132512865</v>
      </c>
      <c r="D3940" s="1" t="n">
        <v>-7.06483376518</v>
      </c>
      <c r="E3940" s="3" t="n">
        <v>5</v>
      </c>
      <c r="F3940" s="2" t="n">
        <v>5</v>
      </c>
      <c r="G3940" s="4" t="n">
        <v>5</v>
      </c>
      <c r="H3940" s="13" t="n"/>
      <c r="I3940" s="15" t="n"/>
      <c r="J3940" s="19" t="n">
        <v>5</v>
      </c>
      <c r="K3940" s="2" t="inlineStr">
        <is>
          <t>marker_778_960018.png</t>
        </is>
      </c>
      <c r="L3940" s="11">
        <f>HYPERLINK("5\0\" &amp; K3940, "Ver Imagen")</f>
        <v/>
      </c>
      <c r="M3940" t="inlineStr">
        <is>
          <t>Moda</t>
        </is>
      </c>
    </row>
    <row r="3941">
      <c r="A3941" t="n">
        <v>3940</v>
      </c>
      <c r="B3941" t="inlineStr">
        <is>
          <t>A-5052__246</t>
        </is>
      </c>
      <c r="C3941" s="1" t="n">
        <v>37.213161532</v>
      </c>
      <c r="D3941" s="1" t="n">
        <v>-7.06464761865</v>
      </c>
      <c r="E3941" s="3" t="n">
        <v>5</v>
      </c>
      <c r="F3941" s="2" t="n">
        <v>5</v>
      </c>
      <c r="G3941" s="4" t="n">
        <v>5</v>
      </c>
      <c r="H3941" s="13" t="n"/>
      <c r="I3941" s="15" t="n"/>
      <c r="J3941" s="19" t="n">
        <v>5</v>
      </c>
      <c r="K3941" s="2" t="inlineStr">
        <is>
          <t>marker_772_960041.png</t>
        </is>
      </c>
      <c r="L3941" s="11">
        <f>HYPERLINK("5\0\" &amp; K3941, "Ver Imagen")</f>
        <v/>
      </c>
      <c r="M3941" t="inlineStr">
        <is>
          <t>Moda</t>
        </is>
      </c>
    </row>
    <row r="3942">
      <c r="A3942" t="n">
        <v>3941</v>
      </c>
      <c r="B3942" t="inlineStr">
        <is>
          <t>A-495_1__107</t>
        </is>
      </c>
      <c r="C3942" s="1" t="n">
        <v>37.4688526374</v>
      </c>
      <c r="D3942" s="1" t="n">
        <v>-7.12384619063</v>
      </c>
      <c r="E3942" s="3" t="n">
        <v>5</v>
      </c>
      <c r="F3942" s="2" t="n">
        <v>5</v>
      </c>
      <c r="G3942" s="4" t="n">
        <v>5</v>
      </c>
      <c r="H3942" s="13" t="n"/>
      <c r="I3942" s="15" t="n"/>
      <c r="J3942" s="19" t="n">
        <v>5</v>
      </c>
      <c r="K3942" s="2" t="inlineStr">
        <is>
          <t>marker_252_384926.png</t>
        </is>
      </c>
      <c r="L3942" s="11">
        <f>HYPERLINK("5\0\" &amp; K3942, "Ver Imagen")</f>
        <v/>
      </c>
      <c r="M3942" t="inlineStr">
        <is>
          <t>Moda</t>
        </is>
      </c>
    </row>
    <row r="3943">
      <c r="A3943" t="n">
        <v>3942</v>
      </c>
      <c r="B3943" t="inlineStr">
        <is>
          <t>A-497__767</t>
        </is>
      </c>
      <c r="C3943" s="1" t="n">
        <v>37.1870366616</v>
      </c>
      <c r="D3943" s="1" t="n">
        <v>-6.97946428297</v>
      </c>
      <c r="E3943" s="3" t="n">
        <v>5</v>
      </c>
      <c r="F3943" s="2" t="n">
        <v>5</v>
      </c>
      <c r="G3943" s="4" t="n">
        <v>5</v>
      </c>
      <c r="H3943" s="13" t="n"/>
      <c r="I3943" s="15" t="n"/>
      <c r="J3943" s="19" t="n">
        <v>5</v>
      </c>
      <c r="K3943" s="2" t="inlineStr">
        <is>
          <t>marker_277_368480.png</t>
        </is>
      </c>
      <c r="L3943" s="11">
        <f>HYPERLINK("5\0\" &amp; K3943, "Ver Imagen")</f>
        <v/>
      </c>
      <c r="M3943" t="inlineStr">
        <is>
          <t>Moda</t>
        </is>
      </c>
    </row>
    <row r="3944">
      <c r="A3944" t="n">
        <v>3943</v>
      </c>
      <c r="B3944" t="inlineStr">
        <is>
          <t>A-497__566</t>
        </is>
      </c>
      <c r="C3944" s="1" t="n">
        <v>37.2041482346</v>
      </c>
      <c r="D3944" s="1" t="n">
        <v>-7.01111974447</v>
      </c>
      <c r="E3944" s="3" t="n">
        <v>5</v>
      </c>
      <c r="F3944" s="2" t="n">
        <v>5</v>
      </c>
      <c r="G3944" s="4" t="n">
        <v>5</v>
      </c>
      <c r="H3944" s="13" t="n"/>
      <c r="I3944" s="15" t="n"/>
      <c r="J3944" s="19" t="n">
        <v>5</v>
      </c>
      <c r="K3944" s="2" t="inlineStr">
        <is>
          <t>marker_120_372080.png</t>
        </is>
      </c>
      <c r="L3944" s="11">
        <f>HYPERLINK("5\0\" &amp; K3944, "Ver Imagen")</f>
        <v/>
      </c>
      <c r="M3944" t="inlineStr">
        <is>
          <t>Moda</t>
        </is>
      </c>
    </row>
    <row r="3945">
      <c r="A3945" t="n">
        <v>3944</v>
      </c>
      <c r="B3945" t="inlineStr">
        <is>
          <t>A-497_2C__337</t>
        </is>
      </c>
      <c r="C3945" s="1" t="n">
        <v>37.2420370047</v>
      </c>
      <c r="D3945" s="1" t="n">
        <v>-7.01859406358</v>
      </c>
      <c r="E3945" s="3" t="n">
        <v>5</v>
      </c>
      <c r="F3945" s="2" t="n">
        <v>5</v>
      </c>
      <c r="G3945" s="4" t="n">
        <v>5</v>
      </c>
      <c r="H3945" s="13" t="n"/>
      <c r="I3945" s="15" t="n"/>
      <c r="J3945" s="19" t="n">
        <v>5</v>
      </c>
      <c r="K3945" s="2" t="inlineStr">
        <is>
          <t>marker_838_362098.png</t>
        </is>
      </c>
      <c r="L3945" s="11">
        <f>HYPERLINK("5\0\" &amp; K3945, "Ver Imagen")</f>
        <v/>
      </c>
      <c r="M3945" t="inlineStr">
        <is>
          <t>Moda</t>
        </is>
      </c>
    </row>
    <row r="3946">
      <c r="A3946" t="n">
        <v>3945</v>
      </c>
      <c r="B3946" t="inlineStr">
        <is>
          <t>A-497__280</t>
        </is>
      </c>
      <c r="C3946" s="1" t="n">
        <v>37.2539758185</v>
      </c>
      <c r="D3946" s="1" t="n">
        <v>-7.01534660371</v>
      </c>
      <c r="E3946" s="3" t="n">
        <v>5</v>
      </c>
      <c r="F3946" s="2" t="n">
        <v>5</v>
      </c>
      <c r="G3946" s="4" t="n">
        <v>5</v>
      </c>
      <c r="H3946" s="13" t="n"/>
      <c r="I3946" s="15" t="n"/>
      <c r="J3946" s="19" t="n">
        <v>5</v>
      </c>
      <c r="K3946" s="2" t="inlineStr">
        <is>
          <t>marker_349_378467.png</t>
        </is>
      </c>
      <c r="L3946" s="11">
        <f>HYPERLINK("5\0\" &amp; K3946, "Ver Imagen")</f>
        <v/>
      </c>
      <c r="M3946" t="inlineStr">
        <is>
          <t>Moda</t>
        </is>
      </c>
    </row>
    <row r="3947">
      <c r="A3947" t="n">
        <v>3946</v>
      </c>
      <c r="B3947" t="inlineStr">
        <is>
          <t>A-490__117</t>
        </is>
      </c>
      <c r="C3947" s="1" t="n">
        <v>37.4511161873</v>
      </c>
      <c r="D3947" s="1" t="n">
        <v>-7.15422705687</v>
      </c>
      <c r="E3947" s="3" t="n">
        <v>4</v>
      </c>
      <c r="F3947" s="2" t="n">
        <v>5</v>
      </c>
      <c r="G3947" s="4" t="n">
        <v>5</v>
      </c>
      <c r="H3947" s="13" t="n"/>
      <c r="I3947" s="15" t="n"/>
      <c r="J3947" s="19" t="n">
        <v>5</v>
      </c>
      <c r="K3947" s="2" t="inlineStr">
        <is>
          <t>marker_505_739928.png</t>
        </is>
      </c>
      <c r="L3947" s="11">
        <f>HYPERLINK("5\1\" &amp; K3947, "Ver Imagen")</f>
        <v/>
      </c>
      <c r="M3947" t="inlineStr">
        <is>
          <t>Moda</t>
        </is>
      </c>
    </row>
    <row r="3948">
      <c r="A3948" t="n">
        <v>3947</v>
      </c>
      <c r="B3948" t="inlineStr">
        <is>
          <t>A-490__248</t>
        </is>
      </c>
      <c r="C3948" s="1" t="n">
        <v>37.4656401736</v>
      </c>
      <c r="D3948" s="1" t="n">
        <v>-7.18150942565</v>
      </c>
      <c r="E3948" s="3" t="n">
        <v>4</v>
      </c>
      <c r="F3948" s="2" t="n">
        <v>5</v>
      </c>
      <c r="G3948" s="4" t="n">
        <v>5</v>
      </c>
      <c r="H3948" s="13" t="n"/>
      <c r="I3948" s="15" t="n"/>
      <c r="J3948" s="19" t="n">
        <v>5</v>
      </c>
      <c r="K3948" s="2" t="inlineStr">
        <is>
          <t>marker_353_749460.png</t>
        </is>
      </c>
      <c r="L3948" s="11">
        <f>HYPERLINK("5\1\" &amp; K3948, "Ver Imagen")</f>
        <v/>
      </c>
      <c r="M3948" t="inlineStr">
        <is>
          <t>Moda</t>
        </is>
      </c>
    </row>
    <row r="3949">
      <c r="A3949" t="n">
        <v>3948</v>
      </c>
      <c r="B3949" t="inlineStr">
        <is>
          <t>A-495R__70</t>
        </is>
      </c>
      <c r="C3949" s="1" t="n">
        <v>37.4581166464</v>
      </c>
      <c r="D3949" s="1" t="n">
        <v>-7.11434482668</v>
      </c>
      <c r="E3949" s="3" t="n">
        <v>5</v>
      </c>
      <c r="F3949" s="2" t="n">
        <v>5</v>
      </c>
      <c r="G3949" s="4" t="n">
        <v>4</v>
      </c>
      <c r="H3949" s="13" t="n"/>
      <c r="I3949" s="15" t="n"/>
      <c r="J3949" s="19" t="n">
        <v>5</v>
      </c>
      <c r="K3949" s="2" t="inlineStr">
        <is>
          <t>marker_114_935234.png</t>
        </is>
      </c>
      <c r="L3949" s="11">
        <f>HYPERLINK("5\1\" &amp; K3949, "Ver Imagen")</f>
        <v/>
      </c>
      <c r="M3949" t="inlineStr">
        <is>
          <t>Moda</t>
        </is>
      </c>
    </row>
    <row r="3950">
      <c r="A3950" t="n">
        <v>3949</v>
      </c>
      <c r="B3950" t="inlineStr">
        <is>
          <t>A-497_2C__156</t>
        </is>
      </c>
      <c r="C3950" s="1" t="n">
        <v>37.2666018326</v>
      </c>
      <c r="D3950" s="1" t="n">
        <v>-6.99243714496</v>
      </c>
      <c r="E3950" s="3" t="n">
        <v>5</v>
      </c>
      <c r="F3950" s="2" t="n">
        <v>5</v>
      </c>
      <c r="G3950" s="4" t="n">
        <v>4</v>
      </c>
      <c r="H3950" s="13" t="n"/>
      <c r="I3950" s="15" t="n"/>
      <c r="J3950" s="19" t="n">
        <v>5</v>
      </c>
      <c r="K3950" s="2" t="inlineStr">
        <is>
          <t>marker_164_656065.png</t>
        </is>
      </c>
      <c r="L3950" s="11">
        <f>HYPERLINK("5\1\" &amp; K3950, "Ver Imagen")</f>
        <v/>
      </c>
      <c r="M3950" t="inlineStr">
        <is>
          <t>Moda</t>
        </is>
      </c>
    </row>
    <row r="3951">
      <c r="A3951" t="n">
        <v>3950</v>
      </c>
      <c r="B3951" t="inlineStr">
        <is>
          <t>A-490__96</t>
        </is>
      </c>
      <c r="C3951" s="1" t="n">
        <v>37.4489341427</v>
      </c>
      <c r="D3951" s="1" t="n">
        <v>-7.14969086288</v>
      </c>
      <c r="E3951" s="3" t="n">
        <v>4</v>
      </c>
      <c r="F3951" s="2" t="n">
        <v>5</v>
      </c>
      <c r="G3951" s="4" t="n">
        <v>5</v>
      </c>
      <c r="H3951" s="13" t="n"/>
      <c r="I3951" s="15" t="n"/>
      <c r="J3951" s="19" t="n">
        <v>5</v>
      </c>
      <c r="K3951" s="2" t="inlineStr">
        <is>
          <t>marker_343_739088.png</t>
        </is>
      </c>
      <c r="L3951" s="11">
        <f>HYPERLINK("5\1\" &amp; K3951, "Ver Imagen")</f>
        <v/>
      </c>
      <c r="M3951" t="inlineStr">
        <is>
          <t>Moda</t>
        </is>
      </c>
    </row>
    <row r="3952">
      <c r="A3952" t="n">
        <v>3951</v>
      </c>
      <c r="B3952" t="inlineStr">
        <is>
          <t>A-490__628</t>
        </is>
      </c>
      <c r="C3952" s="1" t="n">
        <v>37.4950890833</v>
      </c>
      <c r="D3952" s="1" t="n">
        <v>-7.26752364622</v>
      </c>
      <c r="E3952" s="3" t="n">
        <v>4</v>
      </c>
      <c r="F3952" s="2" t="n">
        <v>5</v>
      </c>
      <c r="G3952" s="4" t="n">
        <v>5</v>
      </c>
      <c r="H3952" s="13" t="n"/>
      <c r="I3952" s="15" t="n"/>
      <c r="J3952" s="19" t="n">
        <v>5</v>
      </c>
      <c r="K3952" s="2" t="inlineStr">
        <is>
          <t>marker_873_820402.png</t>
        </is>
      </c>
      <c r="L3952" s="11">
        <f>HYPERLINK("5\1\" &amp; K3952, "Ver Imagen")</f>
        <v/>
      </c>
      <c r="M3952" t="inlineStr">
        <is>
          <t>Moda</t>
        </is>
      </c>
    </row>
    <row r="3953">
      <c r="A3953" t="n">
        <v>3952</v>
      </c>
      <c r="B3953" t="inlineStr">
        <is>
          <t>A-495R__58</t>
        </is>
      </c>
      <c r="C3953" s="1" t="n">
        <v>37.4557771523</v>
      </c>
      <c r="D3953" s="1" t="n">
        <v>-7.11345746509</v>
      </c>
      <c r="E3953" s="3" t="n">
        <v>5</v>
      </c>
      <c r="F3953" s="2" t="n">
        <v>5</v>
      </c>
      <c r="G3953" s="4" t="n">
        <v>4</v>
      </c>
      <c r="H3953" s="13" t="n"/>
      <c r="I3953" s="15" t="n"/>
      <c r="J3953" s="19" t="n">
        <v>5</v>
      </c>
      <c r="K3953" s="2" t="inlineStr">
        <is>
          <t>marker_807_935573.png</t>
        </is>
      </c>
      <c r="L3953" s="11">
        <f>HYPERLINK("5\1\" &amp; K3953, "Ver Imagen")</f>
        <v/>
      </c>
      <c r="M3953" t="inlineStr">
        <is>
          <t>Moda</t>
        </is>
      </c>
    </row>
    <row r="3954">
      <c r="A3954" t="n">
        <v>3953</v>
      </c>
      <c r="B3954" t="inlineStr">
        <is>
          <t>A-495R__56</t>
        </is>
      </c>
      <c r="C3954" s="1" t="n">
        <v>37.4554134794</v>
      </c>
      <c r="D3954" s="1" t="n">
        <v>-7.11330988791</v>
      </c>
      <c r="E3954" s="3" t="n">
        <v>5</v>
      </c>
      <c r="F3954" s="2" t="n">
        <v>4</v>
      </c>
      <c r="G3954" s="4" t="n">
        <v>5</v>
      </c>
      <c r="H3954" s="13" t="n"/>
      <c r="I3954" s="15" t="n"/>
      <c r="J3954" s="19" t="n">
        <v>5</v>
      </c>
      <c r="K3954" s="2" t="inlineStr">
        <is>
          <t>marker_948_935601.png</t>
        </is>
      </c>
      <c r="L3954" s="11">
        <f>HYPERLINK("5\1\" &amp; K3954, "Ver Imagen")</f>
        <v/>
      </c>
      <c r="M3954" t="inlineStr">
        <is>
          <t>Moda</t>
        </is>
      </c>
    </row>
    <row r="3955">
      <c r="A3955" t="n">
        <v>3954</v>
      </c>
      <c r="B3955" t="inlineStr">
        <is>
          <t>A-495R__49</t>
        </is>
      </c>
      <c r="C3955" s="1" t="n">
        <v>37.4540721138</v>
      </c>
      <c r="D3955" s="1" t="n">
        <v>-7.11264594571</v>
      </c>
      <c r="E3955" s="3" t="n">
        <v>5</v>
      </c>
      <c r="F3955" s="2" t="n">
        <v>4</v>
      </c>
      <c r="G3955" s="4" t="n">
        <v>5</v>
      </c>
      <c r="H3955" s="13" t="n"/>
      <c r="I3955" s="15" t="n"/>
      <c r="J3955" s="19" t="n">
        <v>5</v>
      </c>
      <c r="K3955" s="2" t="inlineStr">
        <is>
          <t>marker_542_935673.png</t>
        </is>
      </c>
      <c r="L3955" s="11">
        <f>HYPERLINK("5\1\" &amp; K3955, "Ver Imagen")</f>
        <v/>
      </c>
      <c r="M3955" t="inlineStr">
        <is>
          <t>Moda</t>
        </is>
      </c>
    </row>
    <row r="3956">
      <c r="A3956" t="n">
        <v>3955</v>
      </c>
      <c r="B3956" t="inlineStr">
        <is>
          <t>A-495R__42</t>
        </is>
      </c>
      <c r="C3956" s="1" t="n">
        <v>37.452772306</v>
      </c>
      <c r="D3956" s="1" t="n">
        <v>-7.111942699</v>
      </c>
      <c r="E3956" s="3" t="n">
        <v>4</v>
      </c>
      <c r="F3956" s="2" t="n">
        <v>5</v>
      </c>
      <c r="G3956" s="4" t="n">
        <v>5</v>
      </c>
      <c r="H3956" s="13" t="n"/>
      <c r="I3956" s="15" t="n"/>
      <c r="J3956" s="19" t="n">
        <v>5</v>
      </c>
      <c r="K3956" s="2" t="inlineStr">
        <is>
          <t>marker_109_935739.png</t>
        </is>
      </c>
      <c r="L3956" s="11">
        <f>HYPERLINK("5\1\" &amp; K3956, "Ver Imagen")</f>
        <v/>
      </c>
      <c r="M3956" t="inlineStr">
        <is>
          <t>Moda</t>
        </is>
      </c>
    </row>
    <row r="3957">
      <c r="A3957" t="n">
        <v>3956</v>
      </c>
      <c r="B3957" t="inlineStr">
        <is>
          <t>A-495R__38</t>
        </is>
      </c>
      <c r="C3957" s="1" t="n">
        <v>37.4520316656</v>
      </c>
      <c r="D3957" s="1" t="n">
        <v>-7.11153660802</v>
      </c>
      <c r="E3957" s="3" t="n">
        <v>5</v>
      </c>
      <c r="F3957" s="2" t="n">
        <v>4</v>
      </c>
      <c r="G3957" s="4" t="n">
        <v>5</v>
      </c>
      <c r="H3957" s="13" t="n"/>
      <c r="I3957" s="15" t="n"/>
      <c r="J3957" s="19" t="n">
        <v>5</v>
      </c>
      <c r="K3957" s="2" t="inlineStr">
        <is>
          <t>marker_620_936541.png</t>
        </is>
      </c>
      <c r="L3957" s="11">
        <f>HYPERLINK("5\1\" &amp; K3957, "Ver Imagen")</f>
        <v/>
      </c>
      <c r="M3957" t="inlineStr">
        <is>
          <t>Moda</t>
        </is>
      </c>
    </row>
    <row r="3958">
      <c r="A3958" t="n">
        <v>3957</v>
      </c>
      <c r="B3958" t="inlineStr">
        <is>
          <t>A-495R__34</t>
        </is>
      </c>
      <c r="C3958" s="1" t="n">
        <v>37.4513203614</v>
      </c>
      <c r="D3958" s="1" t="n">
        <v>-7.11107371124</v>
      </c>
      <c r="E3958" s="3" t="n">
        <v>5</v>
      </c>
      <c r="F3958" s="2" t="n">
        <v>4</v>
      </c>
      <c r="G3958" s="4" t="n">
        <v>5</v>
      </c>
      <c r="H3958" s="13" t="n"/>
      <c r="I3958" s="15" t="n"/>
      <c r="J3958" s="19" t="n">
        <v>5</v>
      </c>
      <c r="K3958" s="2" t="inlineStr">
        <is>
          <t>marker_481_936582.png</t>
        </is>
      </c>
      <c r="L3958" s="11">
        <f>HYPERLINK("5\1\" &amp; K3958, "Ver Imagen")</f>
        <v/>
      </c>
      <c r="M3958" t="inlineStr">
        <is>
          <t>Moda</t>
        </is>
      </c>
    </row>
    <row r="3959">
      <c r="A3959" t="n">
        <v>3958</v>
      </c>
      <c r="B3959" t="inlineStr">
        <is>
          <t>A-5052__247</t>
        </is>
      </c>
      <c r="C3959" s="1" t="n">
        <v>37.2130622059</v>
      </c>
      <c r="D3959" s="1" t="n">
        <v>-7.06438116209</v>
      </c>
      <c r="E3959" s="3" t="n">
        <v>5</v>
      </c>
      <c r="F3959" s="2" t="n">
        <v>4</v>
      </c>
      <c r="G3959" s="4" t="n">
        <v>5</v>
      </c>
      <c r="H3959" s="13" t="n"/>
      <c r="I3959" s="15" t="n"/>
      <c r="J3959" s="19" t="n">
        <v>5</v>
      </c>
      <c r="K3959" s="2" t="inlineStr">
        <is>
          <t>marker_124_960057.png</t>
        </is>
      </c>
      <c r="L3959" s="11">
        <f>HYPERLINK("5\1\" &amp; K3959, "Ver Imagen")</f>
        <v/>
      </c>
      <c r="M3959" t="inlineStr">
        <is>
          <t>Moda</t>
        </is>
      </c>
    </row>
    <row r="3960">
      <c r="A3960" t="n">
        <v>3959</v>
      </c>
      <c r="B3960" t="inlineStr">
        <is>
          <t>A-5052__248</t>
        </is>
      </c>
      <c r="C3960" s="1" t="n">
        <v>37.2131247389</v>
      </c>
      <c r="D3960" s="1" t="n">
        <v>-7.06414315069</v>
      </c>
      <c r="E3960" s="3" t="n">
        <v>5</v>
      </c>
      <c r="F3960" s="2" t="n">
        <v>4</v>
      </c>
      <c r="G3960" s="4" t="n">
        <v>5</v>
      </c>
      <c r="H3960" s="13" t="n"/>
      <c r="I3960" s="15" t="n"/>
      <c r="J3960" s="19" t="n">
        <v>5</v>
      </c>
      <c r="K3960" s="2" t="inlineStr">
        <is>
          <t>marker_491_960069.png</t>
        </is>
      </c>
      <c r="L3960" s="11">
        <f>HYPERLINK("5\1\" &amp; K3960, "Ver Imagen")</f>
        <v/>
      </c>
      <c r="M3960" t="inlineStr">
        <is>
          <t>Moda</t>
        </is>
      </c>
    </row>
    <row r="3961">
      <c r="A3961" t="n">
        <v>3960</v>
      </c>
      <c r="B3961" t="inlineStr">
        <is>
          <t>A-5052__250</t>
        </is>
      </c>
      <c r="C3961" s="1" t="n">
        <v>37.213224074</v>
      </c>
      <c r="D3961" s="1" t="n">
        <v>-7.06366603785</v>
      </c>
      <c r="E3961" s="3" t="n">
        <v>5</v>
      </c>
      <c r="F3961" s="2" t="n">
        <v>4</v>
      </c>
      <c r="G3961" s="4" t="n">
        <v>5</v>
      </c>
      <c r="H3961" s="13" t="n"/>
      <c r="I3961" s="15" t="n"/>
      <c r="J3961" s="19" t="n">
        <v>5</v>
      </c>
      <c r="K3961" s="2" t="inlineStr">
        <is>
          <t>marker_583_960093.png</t>
        </is>
      </c>
      <c r="L3961" s="11">
        <f>HYPERLINK("5\1\" &amp; K3961, "Ver Imagen")</f>
        <v/>
      </c>
      <c r="M3961" t="inlineStr">
        <is>
          <t>Moda</t>
        </is>
      </c>
    </row>
    <row r="3962">
      <c r="A3962" t="n">
        <v>3961</v>
      </c>
      <c r="B3962" t="inlineStr">
        <is>
          <t>A-5053__44</t>
        </is>
      </c>
      <c r="C3962" s="1" t="n">
        <v>37.2274707703</v>
      </c>
      <c r="D3962" s="1" t="n">
        <v>-7.12652285918</v>
      </c>
      <c r="E3962" s="3" t="n">
        <v>5</v>
      </c>
      <c r="F3962" s="2" t="n">
        <v>4</v>
      </c>
      <c r="G3962" s="4" t="n">
        <v>5</v>
      </c>
      <c r="H3962" s="13" t="n"/>
      <c r="I3962" s="15" t="n"/>
      <c r="J3962" s="19" t="n">
        <v>5</v>
      </c>
      <c r="K3962" s="2" t="inlineStr">
        <is>
          <t>marker_798_021670.png</t>
        </is>
      </c>
      <c r="L3962" s="11">
        <f>HYPERLINK("5\1\" &amp; K3962, "Ver Imagen")</f>
        <v/>
      </c>
      <c r="M3962" t="inlineStr">
        <is>
          <t>Moda</t>
        </is>
      </c>
    </row>
    <row r="3963">
      <c r="A3963" t="n">
        <v>3962</v>
      </c>
      <c r="B3963" t="inlineStr">
        <is>
          <t>A-5053__43</t>
        </is>
      </c>
      <c r="C3963" s="1" t="n">
        <v>37.2272731773</v>
      </c>
      <c r="D3963" s="1" t="n">
        <v>-7.12646463955</v>
      </c>
      <c r="E3963" s="3" t="n">
        <v>5</v>
      </c>
      <c r="F3963" s="2" t="n">
        <v>4</v>
      </c>
      <c r="G3963" s="4" t="n">
        <v>5</v>
      </c>
      <c r="H3963" s="13" t="n"/>
      <c r="I3963" s="15" t="n"/>
      <c r="J3963" s="19" t="n">
        <v>5</v>
      </c>
      <c r="K3963" s="2" t="inlineStr">
        <is>
          <t>marker_605_021684.png</t>
        </is>
      </c>
      <c r="L3963" s="11">
        <f>HYPERLINK("5\1\" &amp; K3963, "Ver Imagen")</f>
        <v/>
      </c>
      <c r="M3963" t="inlineStr">
        <is>
          <t>Moda</t>
        </is>
      </c>
    </row>
    <row r="3964">
      <c r="A3964" t="n">
        <v>3963</v>
      </c>
      <c r="B3964" t="inlineStr">
        <is>
          <t>A-495__112</t>
        </is>
      </c>
      <c r="C3964" s="1" t="n">
        <v>37.4355517003</v>
      </c>
      <c r="D3964" s="1" t="n">
        <v>-7.07505461838</v>
      </c>
      <c r="E3964" s="3" t="n">
        <v>5</v>
      </c>
      <c r="F3964" s="2" t="n">
        <v>4</v>
      </c>
      <c r="G3964" s="4" t="n">
        <v>5</v>
      </c>
      <c r="H3964" s="13" t="n"/>
      <c r="I3964" s="15" t="n"/>
      <c r="J3964" s="19" t="n">
        <v>5</v>
      </c>
      <c r="K3964" s="2" t="inlineStr">
        <is>
          <t>marker_487_382293.png</t>
        </is>
      </c>
      <c r="L3964" s="11">
        <f>HYPERLINK("5\1\" &amp; K3964, "Ver Imagen")</f>
        <v/>
      </c>
      <c r="M3964" t="inlineStr">
        <is>
          <t>Moda</t>
        </is>
      </c>
    </row>
    <row r="3965">
      <c r="A3965" t="n">
        <v>3964</v>
      </c>
      <c r="B3965" t="inlineStr">
        <is>
          <t>A-495__117</t>
        </is>
      </c>
      <c r="C3965" s="1" t="n">
        <v>37.4354710024</v>
      </c>
      <c r="D3965" s="1" t="n">
        <v>-7.073773565</v>
      </c>
      <c r="E3965" s="3" t="n">
        <v>5</v>
      </c>
      <c r="F3965" s="2" t="n">
        <v>4</v>
      </c>
      <c r="G3965" s="4" t="n">
        <v>5</v>
      </c>
      <c r="H3965" s="13" t="n"/>
      <c r="I3965" s="15" t="n"/>
      <c r="J3965" s="19" t="n">
        <v>5</v>
      </c>
      <c r="K3965" s="2" t="inlineStr">
        <is>
          <t>marker_554_382339.png</t>
        </is>
      </c>
      <c r="L3965" s="11">
        <f>HYPERLINK("5\1\" &amp; K3965, "Ver Imagen")</f>
        <v/>
      </c>
      <c r="M3965" t="inlineStr">
        <is>
          <t>Moda</t>
        </is>
      </c>
    </row>
    <row r="3966">
      <c r="A3966" t="n">
        <v>3965</v>
      </c>
      <c r="B3966" t="inlineStr">
        <is>
          <t>A-495__118</t>
        </is>
      </c>
      <c r="C3966" s="1" t="n">
        <v>37.4354473682</v>
      </c>
      <c r="D3966" s="1" t="n">
        <v>-7.0734994035</v>
      </c>
      <c r="E3966" s="3" t="n">
        <v>5</v>
      </c>
      <c r="F3966" s="2" t="n">
        <v>4</v>
      </c>
      <c r="G3966" s="4" t="n">
        <v>5</v>
      </c>
      <c r="H3966" s="13" t="n"/>
      <c r="I3966" s="15" t="n"/>
      <c r="J3966" s="19" t="n">
        <v>5</v>
      </c>
      <c r="K3966" s="2" t="inlineStr">
        <is>
          <t>marker_722_382348.png</t>
        </is>
      </c>
      <c r="L3966" s="11">
        <f>HYPERLINK("5\1\" &amp; K3966, "Ver Imagen")</f>
        <v/>
      </c>
      <c r="M3966" t="inlineStr">
        <is>
          <t>Moda</t>
        </is>
      </c>
    </row>
    <row r="3967">
      <c r="A3967" t="n">
        <v>3966</v>
      </c>
      <c r="B3967" t="inlineStr">
        <is>
          <t>A-495__122</t>
        </is>
      </c>
      <c r="C3967" s="1" t="n">
        <v>37.4353660848</v>
      </c>
      <c r="D3967" s="1" t="n">
        <v>-7.07251959766</v>
      </c>
      <c r="E3967" s="3" t="n">
        <v>5</v>
      </c>
      <c r="F3967" s="2" t="n">
        <v>4</v>
      </c>
      <c r="G3967" s="4" t="n">
        <v>5</v>
      </c>
      <c r="H3967" s="13" t="n"/>
      <c r="I3967" s="15" t="n"/>
      <c r="J3967" s="19" t="n">
        <v>5</v>
      </c>
      <c r="K3967" s="2" t="inlineStr">
        <is>
          <t>marker_410_382390.png</t>
        </is>
      </c>
      <c r="L3967" s="11">
        <f>HYPERLINK("5\1\" &amp; K3967, "Ver Imagen")</f>
        <v/>
      </c>
      <c r="M3967" t="inlineStr">
        <is>
          <t>Moda</t>
        </is>
      </c>
    </row>
    <row r="3968">
      <c r="A3968" t="n">
        <v>3967</v>
      </c>
      <c r="B3968" t="inlineStr">
        <is>
          <t>A-5058__284</t>
        </is>
      </c>
      <c r="C3968" s="1" t="n">
        <v>37.2444932145</v>
      </c>
      <c r="D3968" s="1" t="n">
        <v>-7.0909456555</v>
      </c>
      <c r="E3968" s="3" t="n">
        <v>5</v>
      </c>
      <c r="F3968" s="2" t="n">
        <v>4</v>
      </c>
      <c r="G3968" s="4" t="n">
        <v>5</v>
      </c>
      <c r="H3968" s="13" t="n"/>
      <c r="I3968" s="15" t="n"/>
      <c r="J3968" s="19" t="n">
        <v>5</v>
      </c>
      <c r="K3968" s="2" t="inlineStr">
        <is>
          <t>marker_235_384070.png</t>
        </is>
      </c>
      <c r="L3968" s="11">
        <f>HYPERLINK("5\1\" &amp; K3968, "Ver Imagen")</f>
        <v/>
      </c>
      <c r="M3968" t="inlineStr">
        <is>
          <t>Moda</t>
        </is>
      </c>
    </row>
    <row r="3969">
      <c r="A3969" t="n">
        <v>3968</v>
      </c>
      <c r="B3969" t="inlineStr">
        <is>
          <t>A-5058__285</t>
        </is>
      </c>
      <c r="C3969" s="1" t="n">
        <v>37.2445909587</v>
      </c>
      <c r="D3969" s="1" t="n">
        <v>-7.09113909939</v>
      </c>
      <c r="E3969" s="3" t="n">
        <v>5</v>
      </c>
      <c r="F3969" s="2" t="n">
        <v>4</v>
      </c>
      <c r="G3969" s="4" t="n">
        <v>5</v>
      </c>
      <c r="H3969" s="13" t="n"/>
      <c r="I3969" s="15" t="n"/>
      <c r="J3969" s="19" t="n">
        <v>5</v>
      </c>
      <c r="K3969" s="2" t="inlineStr">
        <is>
          <t>marker_551_384084.png</t>
        </is>
      </c>
      <c r="L3969" s="11">
        <f>HYPERLINK("5\1\" &amp; K3969, "Ver Imagen")</f>
        <v/>
      </c>
      <c r="M3969" t="inlineStr">
        <is>
          <t>Moda</t>
        </is>
      </c>
    </row>
    <row r="3970">
      <c r="A3970" t="n">
        <v>3969</v>
      </c>
      <c r="B3970" t="inlineStr">
        <is>
          <t>A-495_1__109</t>
        </is>
      </c>
      <c r="C3970" s="1" t="n">
        <v>37.4692039809</v>
      </c>
      <c r="D3970" s="1" t="n">
        <v>-7.12408284347</v>
      </c>
      <c r="E3970" s="3" t="n">
        <v>5</v>
      </c>
      <c r="F3970" s="2" t="n">
        <v>4</v>
      </c>
      <c r="G3970" s="4" t="n">
        <v>5</v>
      </c>
      <c r="H3970" s="13" t="n"/>
      <c r="I3970" s="15" t="n"/>
      <c r="J3970" s="19" t="n">
        <v>5</v>
      </c>
      <c r="K3970" s="2" t="inlineStr">
        <is>
          <t>marker_580_384735.png</t>
        </is>
      </c>
      <c r="L3970" s="11">
        <f>HYPERLINK("5\1\" &amp; K3970, "Ver Imagen")</f>
        <v/>
      </c>
      <c r="M3970" t="inlineStr">
        <is>
          <t>Moda</t>
        </is>
      </c>
    </row>
    <row r="3971">
      <c r="A3971" t="n">
        <v>3970</v>
      </c>
      <c r="B3971" t="inlineStr">
        <is>
          <t>A-495_1__108</t>
        </is>
      </c>
      <c r="C3971" s="1" t="n">
        <v>37.4690202311</v>
      </c>
      <c r="D3971" s="1" t="n">
        <v>-7.12395899319</v>
      </c>
      <c r="E3971" s="3" t="n">
        <v>5</v>
      </c>
      <c r="F3971" s="2" t="n">
        <v>4</v>
      </c>
      <c r="G3971" s="4" t="n">
        <v>5</v>
      </c>
      <c r="H3971" s="13" t="n"/>
      <c r="I3971" s="15" t="n"/>
      <c r="J3971" s="19" t="n">
        <v>5</v>
      </c>
      <c r="K3971" s="2" t="inlineStr">
        <is>
          <t>marker_376_384755.png</t>
        </is>
      </c>
      <c r="L3971" s="11">
        <f>HYPERLINK("5\1\" &amp; K3971, "Ver Imagen")</f>
        <v/>
      </c>
      <c r="M3971" t="inlineStr">
        <is>
          <t>Moda</t>
        </is>
      </c>
    </row>
    <row r="3972">
      <c r="A3972" t="n">
        <v>3971</v>
      </c>
      <c r="B3972" t="inlineStr">
        <is>
          <t>A-495_1__106</t>
        </is>
      </c>
      <c r="C3972" s="1" t="n">
        <v>37.4686576836</v>
      </c>
      <c r="D3972" s="1" t="n">
        <v>-7.12371555394</v>
      </c>
      <c r="E3972" s="3" t="n">
        <v>5</v>
      </c>
      <c r="F3972" s="2" t="n">
        <v>4</v>
      </c>
      <c r="G3972" s="4" t="n">
        <v>5</v>
      </c>
      <c r="H3972" s="13" t="n"/>
      <c r="I3972" s="15" t="n"/>
      <c r="J3972" s="19" t="n">
        <v>5</v>
      </c>
      <c r="K3972" s="2" t="inlineStr">
        <is>
          <t>marker_586_384941.png</t>
        </is>
      </c>
      <c r="L3972" s="11">
        <f>HYPERLINK("5\1\" &amp; K3972, "Ver Imagen")</f>
        <v/>
      </c>
      <c r="M3972" t="inlineStr">
        <is>
          <t>Moda</t>
        </is>
      </c>
    </row>
    <row r="3973">
      <c r="A3973" t="n">
        <v>3972</v>
      </c>
      <c r="B3973" t="inlineStr">
        <is>
          <t>A-499__79</t>
        </is>
      </c>
      <c r="C3973" s="1" t="n">
        <v>37.4951935253</v>
      </c>
      <c r="D3973" s="1" t="n">
        <v>-7.2680698097</v>
      </c>
      <c r="E3973" s="3" t="n">
        <v>5</v>
      </c>
      <c r="F3973" s="2" t="n">
        <v>4</v>
      </c>
      <c r="G3973" s="4" t="n">
        <v>5</v>
      </c>
      <c r="H3973" s="13" t="n"/>
      <c r="I3973" s="15" t="n"/>
      <c r="J3973" s="19" t="n">
        <v>5</v>
      </c>
      <c r="K3973" s="2" t="inlineStr">
        <is>
          <t>marker_329_789245.png</t>
        </is>
      </c>
      <c r="L3973" s="11">
        <f>HYPERLINK("5\1\" &amp; K3973, "Ver Imagen")</f>
        <v/>
      </c>
      <c r="M3973" t="inlineStr">
        <is>
          <t>Moda</t>
        </is>
      </c>
    </row>
    <row r="3974">
      <c r="A3974" t="n">
        <v>3973</v>
      </c>
      <c r="B3974" t="inlineStr">
        <is>
          <t>A-499__80</t>
        </is>
      </c>
      <c r="C3974" s="1" t="n">
        <v>37.4951088692</v>
      </c>
      <c r="D3974" s="1" t="n">
        <v>-7.26782247347</v>
      </c>
      <c r="E3974" s="3" t="n">
        <v>5</v>
      </c>
      <c r="F3974" s="2" t="n">
        <v>4</v>
      </c>
      <c r="G3974" s="4" t="n">
        <v>5</v>
      </c>
      <c r="H3974" s="13" t="n"/>
      <c r="I3974" s="15" t="n"/>
      <c r="J3974" s="19" t="n">
        <v>5</v>
      </c>
      <c r="K3974" s="2" t="inlineStr">
        <is>
          <t>marker_924_789270.png</t>
        </is>
      </c>
      <c r="L3974" s="11">
        <f>HYPERLINK("5\1\" &amp; K3974, "Ver Imagen")</f>
        <v/>
      </c>
      <c r="M3974" t="inlineStr">
        <is>
          <t>Moda</t>
        </is>
      </c>
    </row>
    <row r="3975">
      <c r="A3975" t="n">
        <v>3974</v>
      </c>
      <c r="B3975" t="inlineStr">
        <is>
          <t>A-499__83</t>
        </is>
      </c>
      <c r="C3975" s="1" t="n">
        <v>37.4955189336</v>
      </c>
      <c r="D3975" s="1" t="n">
        <v>-7.26790009598</v>
      </c>
      <c r="E3975" s="3" t="n">
        <v>5</v>
      </c>
      <c r="F3975" s="2" t="n">
        <v>4</v>
      </c>
      <c r="G3975" s="4" t="n">
        <v>5</v>
      </c>
      <c r="H3975" s="13" t="n"/>
      <c r="I3975" s="15" t="n"/>
      <c r="J3975" s="19" t="n">
        <v>5</v>
      </c>
      <c r="K3975" s="2" t="inlineStr">
        <is>
          <t>marker_975_789355.png</t>
        </is>
      </c>
      <c r="L3975" s="11">
        <f>HYPERLINK("5\1\" &amp; K3975, "Ver Imagen")</f>
        <v/>
      </c>
      <c r="M3975" t="inlineStr">
        <is>
          <t>Moda</t>
        </is>
      </c>
    </row>
    <row r="3976">
      <c r="A3976" t="n">
        <v>3975</v>
      </c>
      <c r="B3976" t="inlineStr">
        <is>
          <t>A-497__766</t>
        </is>
      </c>
      <c r="C3976" s="1" t="n">
        <v>37.1868779123</v>
      </c>
      <c r="D3976" s="1" t="n">
        <v>-6.97960595105</v>
      </c>
      <c r="E3976" s="3" t="n">
        <v>5</v>
      </c>
      <c r="F3976" s="2" t="n">
        <v>4</v>
      </c>
      <c r="G3976" s="4" t="n">
        <v>5</v>
      </c>
      <c r="H3976" s="13" t="n"/>
      <c r="I3976" s="15" t="n"/>
      <c r="J3976" s="19" t="n">
        <v>5</v>
      </c>
      <c r="K3976" s="2" t="inlineStr">
        <is>
          <t>marker_952_368491.png</t>
        </is>
      </c>
      <c r="L3976" s="11">
        <f>HYPERLINK("5\1\" &amp; K3976, "Ver Imagen")</f>
        <v/>
      </c>
      <c r="M3976" t="inlineStr">
        <is>
          <t>Moda</t>
        </is>
      </c>
    </row>
    <row r="3977">
      <c r="A3977" t="n">
        <v>3976</v>
      </c>
      <c r="B3977" t="inlineStr">
        <is>
          <t>A-497__765</t>
        </is>
      </c>
      <c r="C3977" s="1" t="n">
        <v>37.1867365645</v>
      </c>
      <c r="D3977" s="1" t="n">
        <v>-6.97975153524</v>
      </c>
      <c r="E3977" s="3" t="n">
        <v>5</v>
      </c>
      <c r="F3977" s="2" t="n">
        <v>4</v>
      </c>
      <c r="G3977" s="4" t="n">
        <v>5</v>
      </c>
      <c r="H3977" s="13" t="n"/>
      <c r="I3977" s="15" t="n"/>
      <c r="J3977" s="19" t="n">
        <v>5</v>
      </c>
      <c r="K3977" s="2" t="inlineStr">
        <is>
          <t>marker_620_368503.png</t>
        </is>
      </c>
      <c r="L3977" s="11">
        <f>HYPERLINK("5\1\" &amp; K3977, "Ver Imagen")</f>
        <v/>
      </c>
      <c r="M3977" t="inlineStr">
        <is>
          <t>Moda</t>
        </is>
      </c>
    </row>
    <row r="3978">
      <c r="A3978" t="n">
        <v>3977</v>
      </c>
      <c r="B3978" t="inlineStr">
        <is>
          <t>A-497__760</t>
        </is>
      </c>
      <c r="C3978" s="1" t="n">
        <v>37.1859954945</v>
      </c>
      <c r="D3978" s="1" t="n">
        <v>-6.98045211276</v>
      </c>
      <c r="E3978" s="3" t="n">
        <v>5</v>
      </c>
      <c r="F3978" s="2" t="n">
        <v>4</v>
      </c>
      <c r="G3978" s="4" t="n">
        <v>5</v>
      </c>
      <c r="H3978" s="13" t="n"/>
      <c r="I3978" s="15" t="n"/>
      <c r="J3978" s="19" t="n">
        <v>5</v>
      </c>
      <c r="K3978" s="2" t="inlineStr">
        <is>
          <t>marker_368_368568.png</t>
        </is>
      </c>
      <c r="L3978" s="11">
        <f>HYPERLINK("5\1\" &amp; K3978, "Ver Imagen")</f>
        <v/>
      </c>
      <c r="M3978" t="inlineStr">
        <is>
          <t>Moda</t>
        </is>
      </c>
    </row>
    <row r="3979">
      <c r="A3979" t="n">
        <v>3978</v>
      </c>
      <c r="B3979" t="inlineStr">
        <is>
          <t>A-497_2C__109</t>
        </is>
      </c>
      <c r="C3979" s="1" t="n">
        <v>37.2714017634</v>
      </c>
      <c r="D3979" s="1" t="n">
        <v>-6.98391294032</v>
      </c>
      <c r="E3979" s="3" t="n">
        <v>5</v>
      </c>
      <c r="F3979" s="2" t="n">
        <v>4</v>
      </c>
      <c r="G3979" s="4" t="n">
        <v>5</v>
      </c>
      <c r="H3979" s="13" t="n"/>
      <c r="I3979" s="15" t="n"/>
      <c r="J3979" s="19" t="n">
        <v>5</v>
      </c>
      <c r="K3979" s="2" t="inlineStr">
        <is>
          <t>marker_975_655526.png</t>
        </is>
      </c>
      <c r="L3979" s="11">
        <f>HYPERLINK("5\1\" &amp; K3979, "Ver Imagen")</f>
        <v/>
      </c>
      <c r="M3979" t="inlineStr">
        <is>
          <t>Moda</t>
        </is>
      </c>
    </row>
    <row r="3980">
      <c r="A3980" t="n">
        <v>3979</v>
      </c>
      <c r="B3980" t="inlineStr">
        <is>
          <t>A-497__752</t>
        </is>
      </c>
      <c r="C3980" s="1" t="n">
        <v>37.186930418</v>
      </c>
      <c r="D3980" s="1" t="n">
        <v>-6.97936056147</v>
      </c>
      <c r="E3980" s="3" t="n">
        <v>5</v>
      </c>
      <c r="F3980" s="2" t="n">
        <v>4</v>
      </c>
      <c r="G3980" s="4" t="n">
        <v>5</v>
      </c>
      <c r="H3980" s="13" t="n"/>
      <c r="I3980" s="15" t="n"/>
      <c r="J3980" s="19" t="n">
        <v>5</v>
      </c>
      <c r="K3980" s="2" t="inlineStr">
        <is>
          <t>marker_915_368662.png</t>
        </is>
      </c>
      <c r="L3980" s="11">
        <f>HYPERLINK("5\1\" &amp; K3980, "Ver Imagen")</f>
        <v/>
      </c>
      <c r="M3980" t="inlineStr">
        <is>
          <t>Moda</t>
        </is>
      </c>
    </row>
    <row r="3981">
      <c r="A3981" t="n">
        <v>3980</v>
      </c>
      <c r="B3981" t="inlineStr">
        <is>
          <t>A-497__751</t>
        </is>
      </c>
      <c r="C3981" s="1" t="n">
        <v>37.1870717731</v>
      </c>
      <c r="D3981" s="1" t="n">
        <v>-6.97923386231</v>
      </c>
      <c r="E3981" s="3" t="n">
        <v>5</v>
      </c>
      <c r="F3981" s="2" t="n">
        <v>4</v>
      </c>
      <c r="G3981" s="4" t="n">
        <v>5</v>
      </c>
      <c r="H3981" s="13" t="n"/>
      <c r="I3981" s="15" t="n"/>
      <c r="J3981" s="19" t="n">
        <v>5</v>
      </c>
      <c r="K3981" s="2" t="inlineStr">
        <is>
          <t>marker_142_368676.png</t>
        </is>
      </c>
      <c r="L3981" s="11">
        <f>HYPERLINK("5\1\" &amp; K3981, "Ver Imagen")</f>
        <v/>
      </c>
      <c r="M3981" t="inlineStr">
        <is>
          <t>Moda</t>
        </is>
      </c>
    </row>
    <row r="3982">
      <c r="A3982" t="n">
        <v>3981</v>
      </c>
      <c r="B3982" t="inlineStr">
        <is>
          <t>A-497__638</t>
        </is>
      </c>
      <c r="C3982" s="1" t="n">
        <v>37.2015916894</v>
      </c>
      <c r="D3982" s="1" t="n">
        <v>-6.99320601267</v>
      </c>
      <c r="E3982" s="3" t="n">
        <v>5</v>
      </c>
      <c r="F3982" s="2" t="n">
        <v>4</v>
      </c>
      <c r="G3982" s="4" t="n">
        <v>5</v>
      </c>
      <c r="H3982" s="13" t="n"/>
      <c r="I3982" s="15" t="n"/>
      <c r="J3982" s="19" t="n">
        <v>5</v>
      </c>
      <c r="K3982" s="2" t="inlineStr">
        <is>
          <t>marker_438_371349.png</t>
        </is>
      </c>
      <c r="L3982" s="11">
        <f>HYPERLINK("5\1\" &amp; K3982, "Ver Imagen")</f>
        <v/>
      </c>
      <c r="M3982" t="inlineStr">
        <is>
          <t>Moda</t>
        </is>
      </c>
    </row>
    <row r="3983">
      <c r="A3983" t="n">
        <v>3982</v>
      </c>
      <c r="B3983" t="inlineStr">
        <is>
          <t>A-497__621</t>
        </is>
      </c>
      <c r="C3983" s="1" t="n">
        <v>37.2023002557</v>
      </c>
      <c r="D3983" s="1" t="n">
        <v>-6.99742741103</v>
      </c>
      <c r="E3983" s="3" t="n">
        <v>5</v>
      </c>
      <c r="F3983" s="2" t="n">
        <v>4</v>
      </c>
      <c r="G3983" s="4" t="n">
        <v>5</v>
      </c>
      <c r="H3983" s="13" t="n"/>
      <c r="I3983" s="15" t="n"/>
      <c r="J3983" s="19" t="n">
        <v>5</v>
      </c>
      <c r="K3983" s="2" t="inlineStr">
        <is>
          <t>marker_338_371517.png</t>
        </is>
      </c>
      <c r="L3983" s="11">
        <f>HYPERLINK("5\1\" &amp; K3983, "Ver Imagen")</f>
        <v/>
      </c>
      <c r="M3983" t="inlineStr">
        <is>
          <t>Moda</t>
        </is>
      </c>
    </row>
    <row r="3984">
      <c r="A3984" t="n">
        <v>3983</v>
      </c>
      <c r="B3984" t="inlineStr">
        <is>
          <t>A-497__607</t>
        </is>
      </c>
      <c r="C3984" s="1" t="n">
        <v>37.2027676977</v>
      </c>
      <c r="D3984" s="1" t="n">
        <v>-7.00089095041</v>
      </c>
      <c r="E3984" s="3" t="n">
        <v>5</v>
      </c>
      <c r="F3984" s="2" t="n">
        <v>4</v>
      </c>
      <c r="G3984" s="4" t="n">
        <v>5</v>
      </c>
      <c r="H3984" s="13" t="n"/>
      <c r="I3984" s="15" t="n"/>
      <c r="J3984" s="19" t="n">
        <v>5</v>
      </c>
      <c r="K3984" s="2" t="inlineStr">
        <is>
          <t>marker_942_371650.png</t>
        </is>
      </c>
      <c r="L3984" s="11">
        <f>HYPERLINK("5\1\" &amp; K3984, "Ver Imagen")</f>
        <v/>
      </c>
      <c r="M3984" t="inlineStr">
        <is>
          <t>Moda</t>
        </is>
      </c>
    </row>
    <row r="3985">
      <c r="A3985" t="n">
        <v>3984</v>
      </c>
      <c r="B3985" t="inlineStr">
        <is>
          <t>A-497__594</t>
        </is>
      </c>
      <c r="C3985" s="1" t="n">
        <v>37.2031346481</v>
      </c>
      <c r="D3985" s="1" t="n">
        <v>-7.00414435638</v>
      </c>
      <c r="E3985" s="3" t="n">
        <v>5</v>
      </c>
      <c r="F3985" s="2" t="n">
        <v>4</v>
      </c>
      <c r="G3985" s="4" t="n">
        <v>5</v>
      </c>
      <c r="H3985" s="13" t="n"/>
      <c r="I3985" s="15" t="n"/>
      <c r="J3985" s="19" t="n">
        <v>5</v>
      </c>
      <c r="K3985" s="2" t="inlineStr">
        <is>
          <t>marker_556_371768.png</t>
        </is>
      </c>
      <c r="L3985" s="11">
        <f>HYPERLINK("5\1\" &amp; K3985, "Ver Imagen")</f>
        <v/>
      </c>
      <c r="M3985" t="inlineStr">
        <is>
          <t>Moda</t>
        </is>
      </c>
    </row>
    <row r="3986">
      <c r="A3986" t="n">
        <v>3985</v>
      </c>
      <c r="B3986" t="inlineStr">
        <is>
          <t>A-497_2C__284</t>
        </is>
      </c>
      <c r="C3986" s="1" t="n">
        <v>37.2524841244</v>
      </c>
      <c r="D3986" s="1" t="n">
        <v>-7.01650618047</v>
      </c>
      <c r="E3986" s="3" t="n">
        <v>5</v>
      </c>
      <c r="F3986" s="2" t="n">
        <v>4</v>
      </c>
      <c r="G3986" s="4" t="n">
        <v>5</v>
      </c>
      <c r="H3986" s="13" t="n"/>
      <c r="I3986" s="15" t="n"/>
      <c r="J3986" s="19" t="n">
        <v>5</v>
      </c>
      <c r="K3986" s="2" t="inlineStr">
        <is>
          <t>marker_763_319925.png</t>
        </is>
      </c>
      <c r="L3986" s="11">
        <f>HYPERLINK("5\1\" &amp; K3986, "Ver Imagen")</f>
        <v/>
      </c>
      <c r="M3986" t="inlineStr">
        <is>
          <t>Moda</t>
        </is>
      </c>
    </row>
    <row r="3987">
      <c r="A3987" t="n">
        <v>3986</v>
      </c>
      <c r="B3987" t="inlineStr">
        <is>
          <t>A-497_2C__286</t>
        </is>
      </c>
      <c r="C3987" s="1" t="n">
        <v>37.2521142363</v>
      </c>
      <c r="D3987" s="1" t="n">
        <v>-7.01674220439</v>
      </c>
      <c r="E3987" s="3" t="n">
        <v>5</v>
      </c>
      <c r="F3987" s="2" t="n">
        <v>4</v>
      </c>
      <c r="G3987" s="4" t="n">
        <v>5</v>
      </c>
      <c r="H3987" s="13" t="n"/>
      <c r="I3987" s="15" t="n"/>
      <c r="J3987" s="19" t="n">
        <v>5</v>
      </c>
      <c r="K3987" s="2" t="inlineStr">
        <is>
          <t>marker_423_320016.png</t>
        </is>
      </c>
      <c r="L3987" s="11">
        <f>HYPERLINK("5\1\" &amp; K3987, "Ver Imagen")</f>
        <v/>
      </c>
      <c r="M3987" t="inlineStr">
        <is>
          <t>Moda</t>
        </is>
      </c>
    </row>
    <row r="3988">
      <c r="A3988" t="n">
        <v>3987</v>
      </c>
      <c r="B3988" t="inlineStr">
        <is>
          <t>A-497__562</t>
        </is>
      </c>
      <c r="C3988" s="1" t="n">
        <v>37.204318274</v>
      </c>
      <c r="D3988" s="1" t="n">
        <v>-7.01209915062</v>
      </c>
      <c r="E3988" s="3" t="n">
        <v>5</v>
      </c>
      <c r="F3988" s="2" t="n">
        <v>4</v>
      </c>
      <c r="G3988" s="4" t="n">
        <v>5</v>
      </c>
      <c r="H3988" s="13" t="n"/>
      <c r="I3988" s="15" t="n"/>
      <c r="J3988" s="19" t="n">
        <v>5</v>
      </c>
      <c r="K3988" s="2" t="inlineStr">
        <is>
          <t>marker_704_372126.png</t>
        </is>
      </c>
      <c r="L3988" s="11">
        <f>HYPERLINK("5\1\" &amp; K3988, "Ver Imagen")</f>
        <v/>
      </c>
      <c r="M3988" t="inlineStr">
        <is>
          <t>Moda</t>
        </is>
      </c>
    </row>
    <row r="3989">
      <c r="A3989" t="n">
        <v>3988</v>
      </c>
      <c r="B3989" t="inlineStr">
        <is>
          <t>A-497_2C__312</t>
        </is>
      </c>
      <c r="C3989" s="1" t="n">
        <v>37.2470794041</v>
      </c>
      <c r="D3989" s="1" t="n">
        <v>-7.01841326557</v>
      </c>
      <c r="E3989" s="3" t="n">
        <v>5</v>
      </c>
      <c r="F3989" s="2" t="n">
        <v>4</v>
      </c>
      <c r="G3989" s="4" t="n">
        <v>5</v>
      </c>
      <c r="H3989" s="13" t="n"/>
      <c r="I3989" s="15" t="n"/>
      <c r="J3989" s="19" t="n">
        <v>5</v>
      </c>
      <c r="K3989" s="2" t="inlineStr">
        <is>
          <t>marker_962_361850.png</t>
        </is>
      </c>
      <c r="L3989" s="11">
        <f>HYPERLINK("5\1\" &amp; K3989, "Ver Imagen")</f>
        <v/>
      </c>
      <c r="M3989" t="inlineStr">
        <is>
          <t>Moda</t>
        </is>
      </c>
    </row>
    <row r="3990">
      <c r="A3990" t="n">
        <v>3989</v>
      </c>
      <c r="B3990" t="inlineStr">
        <is>
          <t>A-497_2C__350</t>
        </is>
      </c>
      <c r="C3990" s="1" t="n">
        <v>37.2394274153</v>
      </c>
      <c r="D3990" s="1" t="n">
        <v>-7.01870019996</v>
      </c>
      <c r="E3990" s="3" t="n">
        <v>5</v>
      </c>
      <c r="F3990" s="2" t="n">
        <v>4</v>
      </c>
      <c r="G3990" s="4" t="n">
        <v>5</v>
      </c>
      <c r="H3990" s="13" t="n"/>
      <c r="I3990" s="15" t="n"/>
      <c r="J3990" s="19" t="n">
        <v>5</v>
      </c>
      <c r="K3990" s="2" t="inlineStr">
        <is>
          <t>marker_497_362231.png</t>
        </is>
      </c>
      <c r="L3990" s="11">
        <f>HYPERLINK("5\1\" &amp; K3990, "Ver Imagen")</f>
        <v/>
      </c>
      <c r="M3990" t="inlineStr">
        <is>
          <t>Moda</t>
        </is>
      </c>
    </row>
    <row r="3991">
      <c r="A3991" t="n">
        <v>3990</v>
      </c>
      <c r="B3991" t="inlineStr">
        <is>
          <t>A-497_2C__395</t>
        </is>
      </c>
      <c r="C3991" s="1" t="n">
        <v>37.2306998346</v>
      </c>
      <c r="D3991" s="1" t="n">
        <v>-7.01993366873</v>
      </c>
      <c r="E3991" s="3" t="n">
        <v>5</v>
      </c>
      <c r="F3991" s="2" t="n">
        <v>4</v>
      </c>
      <c r="G3991" s="4" t="n">
        <v>5</v>
      </c>
      <c r="H3991" s="13" t="n"/>
      <c r="I3991" s="15" t="n"/>
      <c r="J3991" s="19" t="n">
        <v>5</v>
      </c>
      <c r="K3991" s="2" t="inlineStr">
        <is>
          <t>marker_378_362857.png</t>
        </is>
      </c>
      <c r="L3991" s="11">
        <f>HYPERLINK("5\1\" &amp; K3991, "Ver Imagen")</f>
        <v/>
      </c>
      <c r="M3991" t="inlineStr">
        <is>
          <t>Moda</t>
        </is>
      </c>
    </row>
    <row r="3992">
      <c r="A3992" t="n">
        <v>3991</v>
      </c>
      <c r="B3992" t="inlineStr">
        <is>
          <t>A-497__302</t>
        </is>
      </c>
      <c r="C3992" s="1" t="n">
        <v>37.2500446216</v>
      </c>
      <c r="D3992" s="1" t="n">
        <v>-7.0177958552</v>
      </c>
      <c r="E3992" s="3" t="n">
        <v>5</v>
      </c>
      <c r="F3992" s="2" t="n">
        <v>4</v>
      </c>
      <c r="G3992" s="4" t="n">
        <v>5</v>
      </c>
      <c r="H3992" s="13" t="n"/>
      <c r="I3992" s="15" t="n"/>
      <c r="J3992" s="19" t="n">
        <v>5</v>
      </c>
      <c r="K3992" s="2" t="inlineStr">
        <is>
          <t>marker_609_378195.png</t>
        </is>
      </c>
      <c r="L3992" s="11">
        <f>HYPERLINK("5\1\" &amp; K3992, "Ver Imagen")</f>
        <v/>
      </c>
      <c r="M3992" t="inlineStr">
        <is>
          <t>Moda</t>
        </is>
      </c>
    </row>
    <row r="3993">
      <c r="A3993" t="n">
        <v>3992</v>
      </c>
      <c r="B3993" t="inlineStr">
        <is>
          <t>A-497__281</t>
        </is>
      </c>
      <c r="C3993" s="1" t="n">
        <v>37.2537942191</v>
      </c>
      <c r="D3993" s="1" t="n">
        <v>-7.01546273504</v>
      </c>
      <c r="E3993" s="3" t="n">
        <v>5</v>
      </c>
      <c r="F3993" s="2" t="n">
        <v>4</v>
      </c>
      <c r="G3993" s="4" t="n">
        <v>5</v>
      </c>
      <c r="H3993" s="13" t="n"/>
      <c r="I3993" s="15" t="n"/>
      <c r="J3993" s="19" t="n">
        <v>5</v>
      </c>
      <c r="K3993" s="2" t="inlineStr">
        <is>
          <t>marker_454_378457.png</t>
        </is>
      </c>
      <c r="L3993" s="11">
        <f>HYPERLINK("5\1\" &amp; K3993, "Ver Imagen")</f>
        <v/>
      </c>
      <c r="M3993" t="inlineStr">
        <is>
          <t>Moda</t>
        </is>
      </c>
    </row>
    <row r="3994">
      <c r="A3994" t="n">
        <v>3993</v>
      </c>
      <c r="B3994" t="inlineStr">
        <is>
          <t>A-497__236</t>
        </is>
      </c>
      <c r="C3994" s="1" t="n">
        <v>37.2618505128</v>
      </c>
      <c r="D3994" s="1" t="n">
        <v>-7.01019172892</v>
      </c>
      <c r="E3994" s="3" t="n">
        <v>5</v>
      </c>
      <c r="F3994" s="2" t="n">
        <v>4</v>
      </c>
      <c r="G3994" s="4" t="n">
        <v>5</v>
      </c>
      <c r="H3994" s="13" t="n"/>
      <c r="I3994" s="15" t="n"/>
      <c r="J3994" s="19" t="n">
        <v>5</v>
      </c>
      <c r="K3994" s="2" t="inlineStr">
        <is>
          <t>marker_907_378956.png</t>
        </is>
      </c>
      <c r="L3994" s="11">
        <f>HYPERLINK("5\1\" &amp; K3994, "Ver Imagen")</f>
        <v/>
      </c>
      <c r="M3994" t="inlineStr">
        <is>
          <t>Moda</t>
        </is>
      </c>
    </row>
    <row r="3995">
      <c r="A3995" t="n">
        <v>3994</v>
      </c>
      <c r="B3995" t="inlineStr">
        <is>
          <t>A-497__769</t>
        </is>
      </c>
      <c r="C3995" s="1" t="n">
        <v>37.1873817395</v>
      </c>
      <c r="D3995" s="1" t="n">
        <v>-6.97920491697</v>
      </c>
      <c r="E3995" s="3" t="n">
        <v>4</v>
      </c>
      <c r="F3995" s="2" t="n">
        <v>5</v>
      </c>
      <c r="G3995" s="4" t="n">
        <v>5</v>
      </c>
      <c r="H3995" s="13" t="n"/>
      <c r="I3995" s="15" t="n"/>
      <c r="J3995" s="19" t="n">
        <v>5</v>
      </c>
      <c r="K3995" s="2" t="inlineStr">
        <is>
          <t>marker_797_368320.png</t>
        </is>
      </c>
      <c r="L3995" s="11">
        <f>HYPERLINK("5\1\" &amp; K3995, "Ver Imagen")</f>
        <v/>
      </c>
      <c r="M3995" t="inlineStr">
        <is>
          <t>Moda</t>
        </is>
      </c>
    </row>
    <row r="3996">
      <c r="A3996" t="n">
        <v>3995</v>
      </c>
      <c r="B3996" t="inlineStr">
        <is>
          <t>A-497_2C__167</t>
        </is>
      </c>
      <c r="C3996" s="1" t="n">
        <v>37.2657005951</v>
      </c>
      <c r="D3996" s="1" t="n">
        <v>-6.99495312472</v>
      </c>
      <c r="E3996" s="3" t="n">
        <v>5</v>
      </c>
      <c r="F3996" s="2" t="n">
        <v>5</v>
      </c>
      <c r="G3996" s="4" t="n">
        <v>4</v>
      </c>
      <c r="H3996" s="13" t="n"/>
      <c r="I3996" s="15" t="n"/>
      <c r="J3996" s="19" t="n">
        <v>5</v>
      </c>
      <c r="K3996" s="2" t="inlineStr">
        <is>
          <t>marker_418_656170.png</t>
        </is>
      </c>
      <c r="L3996" s="11">
        <f>HYPERLINK("5\1\" &amp; K3996, "Ver Imagen")</f>
        <v/>
      </c>
      <c r="M3996" t="inlineStr">
        <is>
          <t>Moda</t>
        </is>
      </c>
    </row>
    <row r="3997" ht="15.75" customHeight="1" thickBot="1">
      <c r="A3997" t="n">
        <v>3996</v>
      </c>
      <c r="B3997" t="inlineStr">
        <is>
          <t>A-497_2C__394</t>
        </is>
      </c>
      <c r="C3997" s="1" t="n">
        <v>37.230860533</v>
      </c>
      <c r="D3997" s="1" t="n">
        <v>-7.01981149596</v>
      </c>
      <c r="E3997" s="3" t="n">
        <v>5</v>
      </c>
      <c r="F3997" s="2" t="n">
        <v>5</v>
      </c>
      <c r="G3997" s="4" t="n">
        <v>4</v>
      </c>
      <c r="H3997" s="13" t="n"/>
      <c r="I3997" s="15" t="n"/>
      <c r="J3997" s="19" t="n">
        <v>5</v>
      </c>
      <c r="K3997" s="2" t="inlineStr">
        <is>
          <t>marker_416_362846.png</t>
        </is>
      </c>
      <c r="L3997" s="11">
        <f>HYPERLINK("5\1\" &amp; K3997, "Ver Imagen")</f>
        <v/>
      </c>
      <c r="M3997" t="inlineStr">
        <is>
          <t>Moda</t>
        </is>
      </c>
    </row>
    <row r="3998">
      <c r="A3998" s="23" t="n">
        <v>3997</v>
      </c>
      <c r="B3998" s="24" t="inlineStr">
        <is>
          <t>A-490__423</t>
        </is>
      </c>
      <c r="C3998" s="25" t="n">
        <v>37.4829433326</v>
      </c>
      <c r="D3998" s="25" t="n">
        <v>-7.21989853498</v>
      </c>
      <c r="E3998" s="26" t="n">
        <v>1</v>
      </c>
      <c r="F3998" s="27" t="n">
        <v>3</v>
      </c>
      <c r="G3998" s="28" t="n">
        <v>1</v>
      </c>
      <c r="H3998" s="29" t="n">
        <v>2</v>
      </c>
      <c r="I3998" s="30" t="n">
        <v>2</v>
      </c>
      <c r="J3998" s="31" t="n">
        <v>2</v>
      </c>
      <c r="K3998" s="27" t="inlineStr">
        <is>
          <t>marker_539_754345.png</t>
        </is>
      </c>
      <c r="L3998" s="32">
        <f>HYPERLINK("NoConsenso\" &amp; K3998, "Ver Imagen")</f>
        <v/>
      </c>
      <c r="M3998" t="inlineStr">
        <is>
          <t>Mediana</t>
        </is>
      </c>
    </row>
    <row r="3999">
      <c r="A3999" s="33" t="n">
        <v>3998</v>
      </c>
      <c r="B3999" t="inlineStr">
        <is>
          <t>A-490__426</t>
        </is>
      </c>
      <c r="C3999" s="1" t="n">
        <v>37.4831108117</v>
      </c>
      <c r="D3999" s="1" t="n">
        <v>-7.22074436463</v>
      </c>
      <c r="E3999" s="3" t="n">
        <v>1</v>
      </c>
      <c r="F3999" s="2" t="n">
        <v>3</v>
      </c>
      <c r="G3999" s="4" t="n">
        <v>1</v>
      </c>
      <c r="H3999" s="13" t="n">
        <v>2</v>
      </c>
      <c r="I3999" s="34" t="n">
        <v>2</v>
      </c>
      <c r="J3999" s="35" t="n">
        <v>2</v>
      </c>
      <c r="K3999" s="2" t="inlineStr">
        <is>
          <t>marker_436_754397.png</t>
        </is>
      </c>
      <c r="L3999" s="36">
        <f>HYPERLINK("NoConsenso\" &amp; K3999, "Ver Imagen")</f>
        <v/>
      </c>
      <c r="M3999" t="inlineStr">
        <is>
          <t>Mediana</t>
        </is>
      </c>
    </row>
    <row r="4000">
      <c r="A4000" s="33" t="n">
        <v>3999</v>
      </c>
      <c r="B4000" t="inlineStr">
        <is>
          <t>A-490__435</t>
        </is>
      </c>
      <c r="C4000" s="1" t="n">
        <v>37.4835373335</v>
      </c>
      <c r="D4000" s="1" t="n">
        <v>-7.22290859607</v>
      </c>
      <c r="E4000" s="3" t="n">
        <v>1</v>
      </c>
      <c r="F4000" s="2" t="n">
        <v>3</v>
      </c>
      <c r="G4000" s="4" t="n">
        <v>1</v>
      </c>
      <c r="H4000" s="13" t="n">
        <v>1</v>
      </c>
      <c r="I4000" s="34" t="n">
        <v>2</v>
      </c>
      <c r="J4000" s="35" t="n">
        <v>1</v>
      </c>
      <c r="K4000" s="2" t="inlineStr">
        <is>
          <t>marker_737_754574.png</t>
        </is>
      </c>
      <c r="L4000" s="36">
        <f>HYPERLINK("NoConsenso\" &amp; K4000, "Ver Imagen")</f>
        <v/>
      </c>
      <c r="M4000" t="inlineStr">
        <is>
          <t>Mediana</t>
        </is>
      </c>
    </row>
    <row r="4001">
      <c r="A4001" s="33" t="n">
        <v>4000</v>
      </c>
      <c r="B4001" t="inlineStr">
        <is>
          <t>A-490__466</t>
        </is>
      </c>
      <c r="C4001" s="1" t="n">
        <v>37.4850222112</v>
      </c>
      <c r="D4001" s="1" t="n">
        <v>-7.23056489623</v>
      </c>
      <c r="E4001" s="3" t="n">
        <v>1</v>
      </c>
      <c r="F4001" s="2" t="n">
        <v>3</v>
      </c>
      <c r="G4001" s="4" t="n">
        <v>1</v>
      </c>
      <c r="H4001" s="13" t="n">
        <v>2</v>
      </c>
      <c r="I4001" s="34" t="n">
        <v>3</v>
      </c>
      <c r="J4001" s="35" t="n">
        <v>2</v>
      </c>
      <c r="K4001" s="2" t="inlineStr">
        <is>
          <t>marker_781_755321.png</t>
        </is>
      </c>
      <c r="L4001" s="36">
        <f>HYPERLINK("NoConsenso\" &amp; K4001, "Ver Imagen")</f>
        <v/>
      </c>
      <c r="M4001" t="inlineStr">
        <is>
          <t>Mediana</t>
        </is>
      </c>
    </row>
    <row r="4002">
      <c r="A4002" s="33" t="n">
        <v>4001</v>
      </c>
      <c r="B4002" t="inlineStr">
        <is>
          <t>A-490__479</t>
        </is>
      </c>
      <c r="C4002" s="1" t="n">
        <v>37.4856379921</v>
      </c>
      <c r="D4002" s="1" t="n">
        <v>-7.23379292194</v>
      </c>
      <c r="E4002" s="3" t="n">
        <v>1</v>
      </c>
      <c r="F4002" s="2" t="n">
        <v>3</v>
      </c>
      <c r="G4002" s="4" t="n">
        <v>1</v>
      </c>
      <c r="H4002" s="13" t="n">
        <v>2</v>
      </c>
      <c r="I4002" s="34" t="n">
        <v>2</v>
      </c>
      <c r="J4002" s="35" t="n">
        <v>2</v>
      </c>
      <c r="K4002" s="2" t="inlineStr">
        <is>
          <t>marker_677_755566.png</t>
        </is>
      </c>
      <c r="L4002" s="36">
        <f>HYPERLINK("NoConsenso\" &amp; K4002, "Ver Imagen")</f>
        <v/>
      </c>
      <c r="M4002" t="inlineStr">
        <is>
          <t>Mediana</t>
        </is>
      </c>
    </row>
    <row r="4003">
      <c r="A4003" s="33" t="n">
        <v>4002</v>
      </c>
      <c r="B4003" t="inlineStr">
        <is>
          <t>A-490__509</t>
        </is>
      </c>
      <c r="C4003" s="1" t="n">
        <v>37.4870108807</v>
      </c>
      <c r="D4003" s="1" t="n">
        <v>-7.24118307763</v>
      </c>
      <c r="E4003" s="3" t="n">
        <v>1</v>
      </c>
      <c r="F4003" s="2" t="n">
        <v>3</v>
      </c>
      <c r="G4003" s="4" t="n">
        <v>1</v>
      </c>
      <c r="H4003" s="13" t="n">
        <v>2</v>
      </c>
      <c r="I4003" s="34" t="n">
        <v>2</v>
      </c>
      <c r="J4003" s="35" t="n">
        <v>2</v>
      </c>
      <c r="K4003" s="2" t="inlineStr">
        <is>
          <t>marker_233_817756.png</t>
        </is>
      </c>
      <c r="L4003" s="36">
        <f>HYPERLINK("NoConsenso\" &amp; K4003, "Ver Imagen")</f>
        <v/>
      </c>
      <c r="M4003" t="inlineStr">
        <is>
          <t>Mediana</t>
        </is>
      </c>
    </row>
    <row r="4004">
      <c r="A4004" s="33" t="n">
        <v>4003</v>
      </c>
      <c r="B4004" t="inlineStr">
        <is>
          <t>A-490__516</t>
        </is>
      </c>
      <c r="C4004" s="1" t="n">
        <v>37.4871743328</v>
      </c>
      <c r="D4004" s="1" t="n">
        <v>-7.24296249462</v>
      </c>
      <c r="E4004" s="3" t="n">
        <v>1</v>
      </c>
      <c r="F4004" s="2" t="n">
        <v>3</v>
      </c>
      <c r="G4004" s="4" t="n">
        <v>1</v>
      </c>
      <c r="H4004" s="13" t="n">
        <v>2</v>
      </c>
      <c r="I4004" s="34" t="n">
        <v>2</v>
      </c>
      <c r="J4004" s="35" t="n">
        <v>2</v>
      </c>
      <c r="K4004" s="2" t="inlineStr">
        <is>
          <t>marker_213_817917.png</t>
        </is>
      </c>
      <c r="L4004" s="36">
        <f>HYPERLINK("NoConsenso\" &amp; K4004, "Ver Imagen")</f>
        <v/>
      </c>
      <c r="M4004" t="inlineStr">
        <is>
          <t>Mediana</t>
        </is>
      </c>
    </row>
    <row r="4005">
      <c r="A4005" s="33" t="n">
        <v>4004</v>
      </c>
      <c r="B4005" t="inlineStr">
        <is>
          <t>A-492__57</t>
        </is>
      </c>
      <c r="C4005" s="1" t="n">
        <v>37.2796695829</v>
      </c>
      <c r="D4005" s="1" t="n">
        <v>-6.9972994238</v>
      </c>
      <c r="E4005" s="3" t="n">
        <v>1</v>
      </c>
      <c r="F4005" s="2" t="n">
        <v>1</v>
      </c>
      <c r="G4005" s="4" t="n">
        <v>3</v>
      </c>
      <c r="H4005" s="13" t="n">
        <v>2</v>
      </c>
      <c r="I4005" s="34" t="n">
        <v>1</v>
      </c>
      <c r="J4005" s="35" t="n">
        <v>1</v>
      </c>
      <c r="K4005" s="2" t="inlineStr">
        <is>
          <t>marker_906_823095.png</t>
        </is>
      </c>
      <c r="L4005" s="36">
        <f>HYPERLINK("NoConsenso\" &amp; K4005, "Ver Imagen")</f>
        <v/>
      </c>
      <c r="M4005" t="inlineStr">
        <is>
          <t>Mediana</t>
        </is>
      </c>
    </row>
    <row r="4006">
      <c r="A4006" s="33" t="n">
        <v>4005</v>
      </c>
      <c r="B4006" t="inlineStr">
        <is>
          <t>A-497__19</t>
        </is>
      </c>
      <c r="C4006" s="1" t="n">
        <v>37.2673694265</v>
      </c>
      <c r="D4006" s="1" t="n">
        <v>-6.9604849482</v>
      </c>
      <c r="E4006" s="3" t="n">
        <v>1</v>
      </c>
      <c r="F4006" s="2" t="n">
        <v>3</v>
      </c>
      <c r="G4006" s="4" t="n">
        <v>1</v>
      </c>
      <c r="H4006" s="13" t="n">
        <v>2</v>
      </c>
      <c r="I4006" s="34" t="n">
        <v>2</v>
      </c>
      <c r="J4006" s="35" t="n">
        <v>2</v>
      </c>
      <c r="K4006" s="2" t="inlineStr">
        <is>
          <t>marker_891_943786.png</t>
        </is>
      </c>
      <c r="L4006" s="36">
        <f>HYPERLINK("NoConsenso\" &amp; K4006, "Ver Imagen")</f>
        <v/>
      </c>
      <c r="M4006" t="inlineStr">
        <is>
          <t>Mediana</t>
        </is>
      </c>
    </row>
    <row r="4007">
      <c r="A4007" s="33" t="n">
        <v>4006</v>
      </c>
      <c r="B4007" t="inlineStr">
        <is>
          <t>A-5050__184</t>
        </is>
      </c>
      <c r="C4007" s="1" t="n">
        <v>37.1896719951</v>
      </c>
      <c r="D4007" s="1" t="n">
        <v>-6.98808154766</v>
      </c>
      <c r="E4007" s="3" t="n">
        <v>1</v>
      </c>
      <c r="F4007" s="2" t="n">
        <v>3</v>
      </c>
      <c r="G4007" s="4" t="n">
        <v>3</v>
      </c>
      <c r="H4007" s="13" t="n">
        <v>2</v>
      </c>
      <c r="I4007" s="34" t="n">
        <v>1</v>
      </c>
      <c r="J4007" s="35" t="n">
        <v>2</v>
      </c>
      <c r="K4007" s="2" t="inlineStr">
        <is>
          <t>marker_440_944116.png</t>
        </is>
      </c>
      <c r="L4007" s="36">
        <f>HYPERLINK("NoConsenso\" &amp; K4007, "Ver Imagen")</f>
        <v/>
      </c>
      <c r="M4007" t="inlineStr">
        <is>
          <t>Mediana</t>
        </is>
      </c>
    </row>
    <row r="4008">
      <c r="A4008" s="33" t="n">
        <v>4007</v>
      </c>
      <c r="B4008" t="inlineStr">
        <is>
          <t>A-5050__168</t>
        </is>
      </c>
      <c r="C4008" s="1" t="n">
        <v>37.191302991</v>
      </c>
      <c r="D4008" s="1" t="n">
        <v>-6.991618101</v>
      </c>
      <c r="E4008" s="3" t="n">
        <v>1</v>
      </c>
      <c r="F4008" s="2" t="n">
        <v>2</v>
      </c>
      <c r="G4008" s="4" t="n">
        <v>3</v>
      </c>
      <c r="H4008" s="13" t="n">
        <v>1</v>
      </c>
      <c r="I4008" s="34" t="n">
        <v>2</v>
      </c>
      <c r="J4008" s="35" t="n">
        <v>2</v>
      </c>
      <c r="K4008" s="2" t="inlineStr">
        <is>
          <t>marker_973_944309.png</t>
        </is>
      </c>
      <c r="L4008" s="36">
        <f>HYPERLINK("NoConsenso\" &amp; K4008, "Ver Imagen")</f>
        <v/>
      </c>
      <c r="M4008" t="inlineStr">
        <is>
          <t>Mediana</t>
        </is>
      </c>
    </row>
    <row r="4009">
      <c r="A4009" s="33" t="n">
        <v>4008</v>
      </c>
      <c r="B4009" t="inlineStr">
        <is>
          <t>A-5050__138</t>
        </is>
      </c>
      <c r="C4009" s="1" t="n">
        <v>37.1942164398</v>
      </c>
      <c r="D4009" s="1" t="n">
        <v>-6.99823143089</v>
      </c>
      <c r="E4009" s="3" t="n">
        <v>1</v>
      </c>
      <c r="F4009" s="2" t="n">
        <v>3</v>
      </c>
      <c r="G4009" s="4" t="n">
        <v>2</v>
      </c>
      <c r="H4009" s="13" t="n">
        <v>2</v>
      </c>
      <c r="I4009" s="34" t="n">
        <v>2</v>
      </c>
      <c r="J4009" s="35" t="n">
        <v>2</v>
      </c>
      <c r="K4009" s="2" t="inlineStr">
        <is>
          <t>marker_342_945862.png</t>
        </is>
      </c>
      <c r="L4009" s="36">
        <f>HYPERLINK("NoConsenso\" &amp; K4009, "Ver Imagen")</f>
        <v/>
      </c>
      <c r="M4009" t="inlineStr">
        <is>
          <t>Mediana</t>
        </is>
      </c>
    </row>
    <row r="4010">
      <c r="A4010" s="33" t="n">
        <v>4009</v>
      </c>
      <c r="B4010" t="inlineStr">
        <is>
          <t>A-5052__12</t>
        </is>
      </c>
      <c r="C4010" s="1" t="n">
        <v>37.2182086114</v>
      </c>
      <c r="D4010" s="1" t="n">
        <v>-7.12298624689</v>
      </c>
      <c r="E4010" s="3" t="n">
        <v>1</v>
      </c>
      <c r="F4010" s="2" t="n">
        <v>2</v>
      </c>
      <c r="G4010" s="4" t="n">
        <v>3</v>
      </c>
      <c r="H4010" s="13" t="n">
        <v>1</v>
      </c>
      <c r="I4010" s="34" t="n">
        <v>1</v>
      </c>
      <c r="J4010" s="35" t="n">
        <v>1</v>
      </c>
      <c r="K4010" s="2" t="inlineStr">
        <is>
          <t>marker_604_950124.png</t>
        </is>
      </c>
      <c r="L4010" s="36">
        <f>HYPERLINK("NoConsenso\" &amp; K4010, "Ver Imagen")</f>
        <v/>
      </c>
      <c r="M4010" t="inlineStr">
        <is>
          <t>Mediana</t>
        </is>
      </c>
    </row>
    <row r="4011">
      <c r="A4011" s="33" t="n">
        <v>4010</v>
      </c>
      <c r="B4011" t="inlineStr">
        <is>
          <t>A-5052__29</t>
        </is>
      </c>
      <c r="C4011" s="1" t="n">
        <v>37.218126983</v>
      </c>
      <c r="D4011" s="1" t="n">
        <v>-7.11875052399</v>
      </c>
      <c r="E4011" s="3" t="n">
        <v>1</v>
      </c>
      <c r="F4011" s="2" t="n">
        <v>3</v>
      </c>
      <c r="G4011" s="4" t="n">
        <v>3</v>
      </c>
      <c r="H4011" s="13" t="n">
        <v>2</v>
      </c>
      <c r="I4011" s="34" t="n">
        <v>2</v>
      </c>
      <c r="J4011" s="35" t="n">
        <v>2</v>
      </c>
      <c r="K4011" s="2" t="inlineStr">
        <is>
          <t>marker_656_951586.png</t>
        </is>
      </c>
      <c r="L4011" s="36">
        <f>HYPERLINK("NoConsenso\" &amp; K4011, "Ver Imagen")</f>
        <v/>
      </c>
      <c r="M4011" t="inlineStr">
        <is>
          <t>Mediana</t>
        </is>
      </c>
    </row>
    <row r="4012">
      <c r="A4012" s="33" t="n">
        <v>4011</v>
      </c>
      <c r="B4012" t="inlineStr">
        <is>
          <t>A-5052__67</t>
        </is>
      </c>
      <c r="C4012" s="1" t="n">
        <v>37.2176260676</v>
      </c>
      <c r="D4012" s="1" t="n">
        <v>-7.1092040251</v>
      </c>
      <c r="E4012" s="3" t="n">
        <v>1</v>
      </c>
      <c r="F4012" s="2" t="n">
        <v>1</v>
      </c>
      <c r="G4012" s="4" t="n">
        <v>3</v>
      </c>
      <c r="H4012" s="13" t="n">
        <v>1</v>
      </c>
      <c r="I4012" s="34" t="n">
        <v>1</v>
      </c>
      <c r="J4012" s="35" t="n">
        <v>1</v>
      </c>
      <c r="K4012" s="2" t="inlineStr">
        <is>
          <t>marker_838_957138.png</t>
        </is>
      </c>
      <c r="L4012" s="36">
        <f>HYPERLINK("NoConsenso\" &amp; K4012, "Ver Imagen")</f>
        <v/>
      </c>
      <c r="M4012" t="inlineStr">
        <is>
          <t>Mediana</t>
        </is>
      </c>
    </row>
    <row r="4013">
      <c r="A4013" s="33" t="n">
        <v>4012</v>
      </c>
      <c r="B4013" t="inlineStr">
        <is>
          <t>A-5052__71</t>
        </is>
      </c>
      <c r="C4013" s="1" t="n">
        <v>37.2174913772</v>
      </c>
      <c r="D4013" s="1" t="n">
        <v>-7.10821089914</v>
      </c>
      <c r="E4013" s="3" t="n">
        <v>1</v>
      </c>
      <c r="F4013" s="2" t="n">
        <v>2</v>
      </c>
      <c r="G4013" s="4" t="n">
        <v>3</v>
      </c>
      <c r="H4013" s="13" t="n">
        <v>2</v>
      </c>
      <c r="I4013" s="34" t="n">
        <v>2</v>
      </c>
      <c r="J4013" s="35" t="n">
        <v>2</v>
      </c>
      <c r="K4013" s="2" t="inlineStr">
        <is>
          <t>marker_901_957188.png</t>
        </is>
      </c>
      <c r="L4013" s="36">
        <f>HYPERLINK("NoConsenso\" &amp; K4013, "Ver Imagen")</f>
        <v/>
      </c>
      <c r="M4013" t="inlineStr">
        <is>
          <t>Mediana</t>
        </is>
      </c>
    </row>
    <row r="4014">
      <c r="A4014" s="33" t="n">
        <v>4013</v>
      </c>
      <c r="B4014" t="inlineStr">
        <is>
          <t>A-5052__108</t>
        </is>
      </c>
      <c r="C4014" s="1" t="n">
        <v>37.216979223</v>
      </c>
      <c r="D4014" s="1" t="n">
        <v>-7.09889918638</v>
      </c>
      <c r="E4014" s="3" t="n">
        <v>1</v>
      </c>
      <c r="F4014" s="2" t="n">
        <v>1</v>
      </c>
      <c r="G4014" s="4" t="n">
        <v>3</v>
      </c>
      <c r="H4014" s="13" t="n">
        <v>1</v>
      </c>
      <c r="I4014" s="34" t="n">
        <v>1</v>
      </c>
      <c r="J4014" s="35" t="n">
        <v>1</v>
      </c>
      <c r="K4014" s="2" t="inlineStr">
        <is>
          <t>marker_856_957765.png</t>
        </is>
      </c>
      <c r="L4014" s="36">
        <f>HYPERLINK("NoConsenso\" &amp; K4014, "Ver Imagen")</f>
        <v/>
      </c>
      <c r="M4014" t="inlineStr">
        <is>
          <t>Mediana</t>
        </is>
      </c>
    </row>
    <row r="4015">
      <c r="A4015" s="33" t="n">
        <v>4014</v>
      </c>
      <c r="B4015" t="inlineStr">
        <is>
          <t>A-5052__158</t>
        </is>
      </c>
      <c r="C4015" s="1" t="n">
        <v>37.2160334253</v>
      </c>
      <c r="D4015" s="1" t="n">
        <v>-7.08637142532</v>
      </c>
      <c r="E4015" s="3" t="n">
        <v>1</v>
      </c>
      <c r="F4015" s="2" t="n">
        <v>2</v>
      </c>
      <c r="G4015" s="4" t="n">
        <v>3</v>
      </c>
      <c r="H4015" s="13" t="n">
        <v>1</v>
      </c>
      <c r="I4015" s="34" t="n">
        <v>1</v>
      </c>
      <c r="J4015" s="35" t="n">
        <v>1</v>
      </c>
      <c r="K4015" s="2" t="inlineStr">
        <is>
          <t>marker_226_958647.png</t>
        </is>
      </c>
      <c r="L4015" s="36">
        <f>HYPERLINK("NoConsenso\" &amp; K4015, "Ver Imagen")</f>
        <v/>
      </c>
      <c r="M4015" t="inlineStr">
        <is>
          <t>Mediana</t>
        </is>
      </c>
    </row>
    <row r="4016">
      <c r="A4016" s="33" t="n">
        <v>4015</v>
      </c>
      <c r="B4016" t="inlineStr">
        <is>
          <t>A-5052__179</t>
        </is>
      </c>
      <c r="C4016" s="1" t="n">
        <v>37.2154544654</v>
      </c>
      <c r="D4016" s="1" t="n">
        <v>-7.08124272801</v>
      </c>
      <c r="E4016" s="3" t="n">
        <v>1</v>
      </c>
      <c r="F4016" s="2" t="n">
        <v>2</v>
      </c>
      <c r="G4016" s="4" t="n">
        <v>3</v>
      </c>
      <c r="H4016" s="13" t="n">
        <v>2</v>
      </c>
      <c r="I4016" s="34" t="n">
        <v>2</v>
      </c>
      <c r="J4016" s="35" t="n">
        <v>2</v>
      </c>
      <c r="K4016" s="2" t="inlineStr">
        <is>
          <t>marker_597_959071.png</t>
        </is>
      </c>
      <c r="L4016" s="36">
        <f>HYPERLINK("NoConsenso\" &amp; K4016, "Ver Imagen")</f>
        <v/>
      </c>
      <c r="M4016" t="inlineStr">
        <is>
          <t>Mediana</t>
        </is>
      </c>
    </row>
    <row r="4017">
      <c r="A4017" s="33" t="n">
        <v>4016</v>
      </c>
      <c r="B4017" t="inlineStr">
        <is>
          <t>A-5052__180</t>
        </is>
      </c>
      <c r="C4017" s="1" t="n">
        <v>37.2153834325</v>
      </c>
      <c r="D4017" s="1" t="n">
        <v>-7.08100035181</v>
      </c>
      <c r="E4017" s="3" t="n">
        <v>1</v>
      </c>
      <c r="F4017" s="2" t="n">
        <v>2</v>
      </c>
      <c r="G4017" s="4" t="n">
        <v>3</v>
      </c>
      <c r="H4017" s="13" t="n">
        <v>1</v>
      </c>
      <c r="I4017" s="34" t="n">
        <v>2</v>
      </c>
      <c r="J4017" s="35" t="n">
        <v>2</v>
      </c>
      <c r="K4017" s="2" t="inlineStr">
        <is>
          <t>marker_821_959081.png</t>
        </is>
      </c>
      <c r="L4017" s="36">
        <f>HYPERLINK("NoConsenso\" &amp; K4017, "Ver Imagen")</f>
        <v/>
      </c>
      <c r="M4017" t="inlineStr">
        <is>
          <t>Mediana</t>
        </is>
      </c>
    </row>
    <row r="4018">
      <c r="A4018" s="33" t="n">
        <v>4017</v>
      </c>
      <c r="B4018" t="inlineStr">
        <is>
          <t>A-5052__181</t>
        </is>
      </c>
      <c r="C4018" s="1" t="n">
        <v>37.2153049625</v>
      </c>
      <c r="D4018" s="1" t="n">
        <v>-7.08073415139</v>
      </c>
      <c r="E4018" s="3" t="n">
        <v>1</v>
      </c>
      <c r="F4018" s="2" t="n">
        <v>2</v>
      </c>
      <c r="G4018" s="4" t="n">
        <v>3</v>
      </c>
      <c r="H4018" s="13" t="n">
        <v>1</v>
      </c>
      <c r="I4018" s="34" t="n">
        <v>1</v>
      </c>
      <c r="J4018" s="35" t="n">
        <v>1</v>
      </c>
      <c r="K4018" s="2" t="inlineStr">
        <is>
          <t>marker_905_959094.png</t>
        </is>
      </c>
      <c r="L4018" s="36">
        <f>HYPERLINK("NoConsenso\" &amp; K4018, "Ver Imagen")</f>
        <v/>
      </c>
      <c r="M4018" t="inlineStr">
        <is>
          <t>Mediana</t>
        </is>
      </c>
    </row>
    <row r="4019">
      <c r="A4019" s="33" t="n">
        <v>4018</v>
      </c>
      <c r="B4019" t="inlineStr">
        <is>
          <t>A-5052__196</t>
        </is>
      </c>
      <c r="C4019" s="1" t="n">
        <v>37.2145141631</v>
      </c>
      <c r="D4019" s="1" t="n">
        <v>-7.07711094751</v>
      </c>
      <c r="E4019" s="3" t="n">
        <v>1</v>
      </c>
      <c r="F4019" s="2" t="n">
        <v>1</v>
      </c>
      <c r="G4019" s="4" t="n">
        <v>3</v>
      </c>
      <c r="H4019" s="13" t="n">
        <v>1</v>
      </c>
      <c r="I4019" s="34" t="n">
        <v>1</v>
      </c>
      <c r="J4019" s="35" t="n">
        <v>1</v>
      </c>
      <c r="K4019" s="2" t="inlineStr">
        <is>
          <t>marker_681_959411.png</t>
        </is>
      </c>
      <c r="L4019" s="36">
        <f>HYPERLINK("NoConsenso\" &amp; K4019, "Ver Imagen")</f>
        <v/>
      </c>
      <c r="M4019" t="inlineStr">
        <is>
          <t>Mediana</t>
        </is>
      </c>
    </row>
    <row r="4020">
      <c r="A4020" s="33" t="n">
        <v>4019</v>
      </c>
      <c r="B4020" t="inlineStr">
        <is>
          <t>A-5052__214</t>
        </is>
      </c>
      <c r="C4020" s="1" t="n">
        <v>37.213782198</v>
      </c>
      <c r="D4020" s="1" t="n">
        <v>-7.07266645893</v>
      </c>
      <c r="E4020" s="3" t="n">
        <v>1</v>
      </c>
      <c r="F4020" s="2" t="n">
        <v>2</v>
      </c>
      <c r="G4020" s="4" t="n">
        <v>3</v>
      </c>
      <c r="H4020" s="13" t="n">
        <v>2</v>
      </c>
      <c r="I4020" s="34" t="n">
        <v>2</v>
      </c>
      <c r="J4020" s="35" t="n">
        <v>2</v>
      </c>
      <c r="K4020" s="2" t="inlineStr">
        <is>
          <t>marker_586_959632.png</t>
        </is>
      </c>
      <c r="L4020" s="36">
        <f>HYPERLINK("NoConsenso\" &amp; K4020, "Ver Imagen")</f>
        <v/>
      </c>
      <c r="M4020" t="inlineStr">
        <is>
          <t>Mediana</t>
        </is>
      </c>
    </row>
    <row r="4021">
      <c r="A4021" s="33" t="n">
        <v>4020</v>
      </c>
      <c r="B4021" t="inlineStr">
        <is>
          <t>A-5052__257</t>
        </is>
      </c>
      <c r="C4021" s="1" t="n">
        <v>37.2130330677</v>
      </c>
      <c r="D4021" s="1" t="n">
        <v>-7.06193158915</v>
      </c>
      <c r="E4021" s="3" t="n">
        <v>1</v>
      </c>
      <c r="F4021" s="2" t="n">
        <v>2</v>
      </c>
      <c r="G4021" s="4" t="n">
        <v>3</v>
      </c>
      <c r="H4021" s="13" t="n">
        <v>2</v>
      </c>
      <c r="I4021" s="34" t="n">
        <v>3</v>
      </c>
      <c r="J4021" s="37" t="n">
        <v>3</v>
      </c>
      <c r="K4021" s="2" t="inlineStr">
        <is>
          <t>marker_336_960166.png</t>
        </is>
      </c>
      <c r="L4021" s="36">
        <f>HYPERLINK("NoConsenso\" &amp; K4021, "Ver Imagen")</f>
        <v/>
      </c>
      <c r="M4021" s="37" t="inlineStr">
        <is>
          <t>Modificada</t>
        </is>
      </c>
    </row>
    <row r="4022">
      <c r="A4022" s="33" t="n">
        <v>4021</v>
      </c>
      <c r="B4022" t="inlineStr">
        <is>
          <t>A-5052__438</t>
        </is>
      </c>
      <c r="C4022" s="1" t="n">
        <v>37.2015397707</v>
      </c>
      <c r="D4022" s="1" t="n">
        <v>-7.01970437567</v>
      </c>
      <c r="E4022" s="3" t="n">
        <v>1</v>
      </c>
      <c r="F4022" s="2" t="n">
        <v>2</v>
      </c>
      <c r="G4022" s="4" t="n">
        <v>3</v>
      </c>
      <c r="H4022" s="13" t="n">
        <v>2</v>
      </c>
      <c r="I4022" s="34" t="n">
        <v>2</v>
      </c>
      <c r="J4022" s="35" t="n">
        <v>2</v>
      </c>
      <c r="K4022" s="2" t="inlineStr">
        <is>
          <t>marker_475_963057.png</t>
        </is>
      </c>
      <c r="L4022" s="36">
        <f>HYPERLINK("NoConsenso\" &amp; K4022, "Ver Imagen")</f>
        <v/>
      </c>
      <c r="M4022" t="inlineStr">
        <is>
          <t>Mediana</t>
        </is>
      </c>
    </row>
    <row r="4023">
      <c r="A4023" s="33" t="n">
        <v>4022</v>
      </c>
      <c r="B4023" t="inlineStr">
        <is>
          <t>A-5053__376</t>
        </is>
      </c>
      <c r="C4023" s="1" t="n">
        <v>37.2876639037</v>
      </c>
      <c r="D4023" s="1" t="n">
        <v>-7.14124621731</v>
      </c>
      <c r="E4023" s="3" t="n">
        <v>1</v>
      </c>
      <c r="F4023" s="2" t="n">
        <v>2</v>
      </c>
      <c r="G4023" s="4" t="n">
        <v>3</v>
      </c>
      <c r="H4023" s="13" t="n">
        <v>2</v>
      </c>
      <c r="I4023" s="34" t="n">
        <v>2</v>
      </c>
      <c r="J4023" s="35" t="n">
        <v>2</v>
      </c>
      <c r="K4023" s="2" t="inlineStr">
        <is>
          <t>marker_644_963898.png</t>
        </is>
      </c>
      <c r="L4023" s="36">
        <f>HYPERLINK("NoConsenso\" &amp; K4023, "Ver Imagen")</f>
        <v/>
      </c>
      <c r="M4023" t="inlineStr">
        <is>
          <t>Mediana</t>
        </is>
      </c>
    </row>
    <row r="4024">
      <c r="A4024" s="33" t="n">
        <v>4023</v>
      </c>
      <c r="B4024" t="inlineStr">
        <is>
          <t>A-5053__364</t>
        </is>
      </c>
      <c r="C4024" s="1" t="n">
        <v>37.2854720663</v>
      </c>
      <c r="D4024" s="1" t="n">
        <v>-7.14233774282</v>
      </c>
      <c r="E4024" s="3" t="n">
        <v>1</v>
      </c>
      <c r="F4024" s="2" t="n">
        <v>2</v>
      </c>
      <c r="G4024" s="4" t="n">
        <v>3</v>
      </c>
      <c r="H4024" s="13" t="n">
        <v>2</v>
      </c>
      <c r="I4024" s="34" t="n">
        <v>2</v>
      </c>
      <c r="J4024" s="35" t="n">
        <v>2</v>
      </c>
      <c r="K4024" s="2" t="inlineStr">
        <is>
          <t>marker_993_964018.png</t>
        </is>
      </c>
      <c r="L4024" s="36">
        <f>HYPERLINK("NoConsenso\" &amp; K4024, "Ver Imagen")</f>
        <v/>
      </c>
      <c r="M4024" t="inlineStr">
        <is>
          <t>Mediana</t>
        </is>
      </c>
    </row>
    <row r="4025">
      <c r="A4025" s="33" t="n">
        <v>4024</v>
      </c>
      <c r="B4025" t="inlineStr">
        <is>
          <t>A-5053__332</t>
        </is>
      </c>
      <c r="C4025" s="1" t="n">
        <v>37.2799097948</v>
      </c>
      <c r="D4025" s="1" t="n">
        <v>-7.14584596925</v>
      </c>
      <c r="E4025" s="3" t="n">
        <v>1</v>
      </c>
      <c r="F4025" s="2" t="n">
        <v>3</v>
      </c>
      <c r="G4025" s="4" t="n">
        <v>3</v>
      </c>
      <c r="H4025" s="13" t="n">
        <v>2</v>
      </c>
      <c r="I4025" s="34" t="n">
        <v>2</v>
      </c>
      <c r="J4025" s="35" t="n">
        <v>2</v>
      </c>
      <c r="K4025" s="2" t="inlineStr">
        <is>
          <t>marker_496_964437.png</t>
        </is>
      </c>
      <c r="L4025" s="36">
        <f>HYPERLINK("NoConsenso\" &amp; K4025, "Ver Imagen")</f>
        <v/>
      </c>
      <c r="M4025" t="inlineStr">
        <is>
          <t>Mediana</t>
        </is>
      </c>
    </row>
    <row r="4026">
      <c r="A4026" s="33" t="n">
        <v>4025</v>
      </c>
      <c r="B4026" t="inlineStr">
        <is>
          <t>A-5053__65</t>
        </is>
      </c>
      <c r="C4026" s="1" t="n">
        <v>37.2316676353</v>
      </c>
      <c r="D4026" s="1" t="n">
        <v>-7.12711182125</v>
      </c>
      <c r="E4026" s="3" t="n">
        <v>1</v>
      </c>
      <c r="F4026" s="2" t="n">
        <v>2</v>
      </c>
      <c r="G4026" s="4" t="n">
        <v>3</v>
      </c>
      <c r="H4026" s="13" t="n">
        <v>1</v>
      </c>
      <c r="I4026" s="34" t="n">
        <v>2</v>
      </c>
      <c r="J4026" s="35" t="n">
        <v>2</v>
      </c>
      <c r="K4026" s="2" t="inlineStr">
        <is>
          <t>marker_982_020755.png</t>
        </is>
      </c>
      <c r="L4026" s="36">
        <f>HYPERLINK("NoConsenso\" &amp; K4026, "Ver Imagen")</f>
        <v/>
      </c>
      <c r="M4026" t="inlineStr">
        <is>
          <t>Mediana</t>
        </is>
      </c>
    </row>
    <row r="4027">
      <c r="A4027" s="33" t="n">
        <v>4026</v>
      </c>
      <c r="B4027" t="inlineStr">
        <is>
          <t>A-495__62</t>
        </is>
      </c>
      <c r="C4027" s="1" t="n">
        <v>37.4393024031</v>
      </c>
      <c r="D4027" s="1" t="n">
        <v>-7.08618152307</v>
      </c>
      <c r="E4027" s="3" t="n">
        <v>3</v>
      </c>
      <c r="F4027" s="2" t="n">
        <v>2</v>
      </c>
      <c r="G4027" s="4" t="n">
        <v>1</v>
      </c>
      <c r="H4027" s="13" t="n">
        <v>2</v>
      </c>
      <c r="I4027" s="34" t="n">
        <v>2</v>
      </c>
      <c r="J4027" s="35" t="n">
        <v>2</v>
      </c>
      <c r="K4027" s="2" t="inlineStr">
        <is>
          <t>marker_321_381730.png</t>
        </is>
      </c>
      <c r="L4027" s="36">
        <f>HYPERLINK("NoConsenso\" &amp; K4027, "Ver Imagen")</f>
        <v/>
      </c>
      <c r="M4027" t="inlineStr">
        <is>
          <t>Mediana</t>
        </is>
      </c>
    </row>
    <row r="4028">
      <c r="A4028" s="33" t="n">
        <v>4027</v>
      </c>
      <c r="B4028" t="inlineStr">
        <is>
          <t>A-495__111</t>
        </is>
      </c>
      <c r="C4028" s="1" t="n">
        <v>37.4355430817</v>
      </c>
      <c r="D4028" s="1" t="n">
        <v>-7.07530421706</v>
      </c>
      <c r="E4028" s="3" t="n">
        <v>3</v>
      </c>
      <c r="F4028" s="2" t="n">
        <v>3</v>
      </c>
      <c r="G4028" s="4" t="n">
        <v>1</v>
      </c>
      <c r="H4028" s="13" t="n">
        <v>2</v>
      </c>
      <c r="I4028" s="34" t="n">
        <v>3</v>
      </c>
      <c r="J4028" s="35" t="n">
        <v>3</v>
      </c>
      <c r="K4028" s="2" t="inlineStr">
        <is>
          <t>marker_336_382284.png</t>
        </is>
      </c>
      <c r="L4028" s="36">
        <f>HYPERLINK("NoConsenso\" &amp; K4028, "Ver Imagen")</f>
        <v/>
      </c>
      <c r="M4028" t="inlineStr">
        <is>
          <t>Mediana</t>
        </is>
      </c>
    </row>
    <row r="4029">
      <c r="A4029" s="33" t="n">
        <v>4028</v>
      </c>
      <c r="B4029" t="inlineStr">
        <is>
          <t>A-5059__79</t>
        </is>
      </c>
      <c r="C4029" s="1" t="n">
        <v>37.2215401282</v>
      </c>
      <c r="D4029" s="1" t="n">
        <v>-7.05456802011</v>
      </c>
      <c r="E4029" s="3" t="n">
        <v>3</v>
      </c>
      <c r="F4029" s="2" t="n">
        <v>2</v>
      </c>
      <c r="G4029" s="4" t="n">
        <v>1</v>
      </c>
      <c r="H4029" s="13" t="n">
        <v>2</v>
      </c>
      <c r="I4029" s="34" t="n">
        <v>2</v>
      </c>
      <c r="J4029" s="35" t="n">
        <v>2</v>
      </c>
      <c r="K4029" s="2" t="inlineStr">
        <is>
          <t>marker_995_378750.png</t>
        </is>
      </c>
      <c r="L4029" s="36">
        <f>HYPERLINK("NoConsenso\" &amp; K4029, "Ver Imagen")</f>
        <v/>
      </c>
      <c r="M4029" t="inlineStr">
        <is>
          <t>Mediana</t>
        </is>
      </c>
    </row>
    <row r="4030">
      <c r="A4030" s="33" t="n">
        <v>4029</v>
      </c>
      <c r="B4030" t="inlineStr">
        <is>
          <t>A-495__128</t>
        </is>
      </c>
      <c r="C4030" s="1" t="n">
        <v>37.4352097004</v>
      </c>
      <c r="D4030" s="1" t="n">
        <v>-7.07098271716</v>
      </c>
      <c r="E4030" s="3" t="n">
        <v>3</v>
      </c>
      <c r="F4030" s="2" t="n">
        <v>2</v>
      </c>
      <c r="G4030" s="4" t="n">
        <v>1</v>
      </c>
      <c r="H4030" s="13" t="n">
        <v>2</v>
      </c>
      <c r="I4030" s="34" t="n">
        <v>1</v>
      </c>
      <c r="J4030" s="35" t="n">
        <v>2</v>
      </c>
      <c r="K4030" s="2" t="inlineStr">
        <is>
          <t>marker_881_382454.png</t>
        </is>
      </c>
      <c r="L4030" s="36">
        <f>HYPERLINK("NoConsenso\" &amp; K4030, "Ver Imagen")</f>
        <v/>
      </c>
      <c r="M4030" t="inlineStr">
        <is>
          <t>Mediana</t>
        </is>
      </c>
    </row>
    <row r="4031">
      <c r="A4031" s="33" t="n">
        <v>4030</v>
      </c>
      <c r="B4031" t="inlineStr">
        <is>
          <t>A-495__151</t>
        </is>
      </c>
      <c r="C4031" s="1" t="n">
        <v>37.4333164193</v>
      </c>
      <c r="D4031" s="1" t="n">
        <v>-7.06570817326</v>
      </c>
      <c r="E4031" s="3" t="n">
        <v>3</v>
      </c>
      <c r="F4031" s="2" t="n">
        <v>3</v>
      </c>
      <c r="G4031" s="4" t="n">
        <v>1</v>
      </c>
      <c r="H4031" s="13" t="n">
        <v>1</v>
      </c>
      <c r="I4031" s="34" t="n">
        <v>1</v>
      </c>
      <c r="J4031" s="37" t="n">
        <v>2</v>
      </c>
      <c r="K4031" s="2" t="inlineStr">
        <is>
          <t>marker_579_382696.png</t>
        </is>
      </c>
      <c r="L4031" s="36">
        <f>HYPERLINK("NoConsenso\" &amp; K4031, "Ver Imagen")</f>
        <v/>
      </c>
      <c r="M4031" s="37" t="inlineStr">
        <is>
          <t>Modificada</t>
        </is>
      </c>
    </row>
    <row r="4032">
      <c r="A4032" s="33" t="n">
        <v>4031</v>
      </c>
      <c r="B4032" t="inlineStr">
        <is>
          <t>A-495__153</t>
        </is>
      </c>
      <c r="C4032" s="1" t="n">
        <v>37.4331258747</v>
      </c>
      <c r="D4032" s="1" t="n">
        <v>-7.06529395992</v>
      </c>
      <c r="E4032" s="3" t="n">
        <v>2</v>
      </c>
      <c r="F4032" s="2" t="n">
        <v>3</v>
      </c>
      <c r="G4032" s="4" t="n">
        <v>1</v>
      </c>
      <c r="H4032" s="13" t="n">
        <v>3</v>
      </c>
      <c r="I4032" s="34" t="n">
        <v>2</v>
      </c>
      <c r="J4032" s="35" t="n">
        <v>2</v>
      </c>
      <c r="K4032" s="2" t="inlineStr">
        <is>
          <t>marker_795_382714.png</t>
        </is>
      </c>
      <c r="L4032" s="36">
        <f>HYPERLINK("NoConsenso\" &amp; K4032, "Ver Imagen")</f>
        <v/>
      </c>
      <c r="M4032" t="inlineStr">
        <is>
          <t>Mediana</t>
        </is>
      </c>
    </row>
    <row r="4033">
      <c r="A4033" s="33" t="n">
        <v>4032</v>
      </c>
      <c r="B4033" t="inlineStr">
        <is>
          <t>A-497_2C__135</t>
        </is>
      </c>
      <c r="C4033" s="1" t="n">
        <v>37.2701342705</v>
      </c>
      <c r="D4033" s="1" t="n">
        <v>-6.98955356037</v>
      </c>
      <c r="E4033" s="3" t="n">
        <v>1</v>
      </c>
      <c r="F4033" s="2" t="n">
        <v>2</v>
      </c>
      <c r="G4033" s="4" t="n">
        <v>3</v>
      </c>
      <c r="H4033" s="13" t="n">
        <v>2</v>
      </c>
      <c r="I4033" s="34" t="n">
        <v>1</v>
      </c>
      <c r="J4033" s="35" t="n">
        <v>2</v>
      </c>
      <c r="K4033" s="2" t="inlineStr">
        <is>
          <t>marker_642_655817.png</t>
        </is>
      </c>
      <c r="L4033" s="36">
        <f>HYPERLINK("NoConsenso\" &amp; K4033, "Ver Imagen")</f>
        <v/>
      </c>
      <c r="M4033" t="inlineStr">
        <is>
          <t>Mediana</t>
        </is>
      </c>
    </row>
    <row r="4034">
      <c r="A4034" s="33" t="n">
        <v>4033</v>
      </c>
      <c r="B4034" t="inlineStr">
        <is>
          <t>A-497_2C__219</t>
        </is>
      </c>
      <c r="C4034" s="1" t="n">
        <v>37.2633517626</v>
      </c>
      <c r="D4034" s="1" t="n">
        <v>-7.00784774486</v>
      </c>
      <c r="E4034" s="3" t="n">
        <v>1</v>
      </c>
      <c r="F4034" s="2" t="n">
        <v>2</v>
      </c>
      <c r="G4034" s="4" t="n">
        <v>3</v>
      </c>
      <c r="H4034" s="13" t="n">
        <v>1</v>
      </c>
      <c r="I4034" s="34" t="n">
        <v>3</v>
      </c>
      <c r="J4034" s="37" t="n">
        <v>3</v>
      </c>
      <c r="K4034" s="2" t="inlineStr">
        <is>
          <t>marker_526_656757.png</t>
        </is>
      </c>
      <c r="L4034" s="36">
        <f>HYPERLINK("NoConsenso\" &amp; K4034, "Ver Imagen")</f>
        <v/>
      </c>
      <c r="M4034" s="37" t="inlineStr">
        <is>
          <t>Modificada</t>
        </is>
      </c>
    </row>
    <row r="4035">
      <c r="A4035" s="33" t="n">
        <v>4034</v>
      </c>
      <c r="B4035" t="inlineStr">
        <is>
          <t>A-497_2C__220</t>
        </is>
      </c>
      <c r="C4035" s="1" t="n">
        <v>37.2632936953</v>
      </c>
      <c r="D4035" s="1" t="n">
        <v>-7.00803584559</v>
      </c>
      <c r="E4035" s="3" t="n">
        <v>1</v>
      </c>
      <c r="F4035" s="2" t="n">
        <v>2</v>
      </c>
      <c r="G4035" s="4" t="n">
        <v>3</v>
      </c>
      <c r="H4035" s="13" t="n">
        <v>2</v>
      </c>
      <c r="I4035" s="34" t="n">
        <v>1</v>
      </c>
      <c r="J4035" s="35" t="n">
        <v>2</v>
      </c>
      <c r="K4035" s="2" t="inlineStr">
        <is>
          <t>marker_251_656766.png</t>
        </is>
      </c>
      <c r="L4035" s="36">
        <f>HYPERLINK("NoConsenso\" &amp; K4035, "Ver Imagen")</f>
        <v/>
      </c>
      <c r="M4035" t="inlineStr">
        <is>
          <t>Mediana</t>
        </is>
      </c>
    </row>
    <row r="4036">
      <c r="A4036" s="33" t="n">
        <v>4035</v>
      </c>
      <c r="B4036" t="inlineStr">
        <is>
          <t>A-497_2C__221</t>
        </is>
      </c>
      <c r="C4036" s="1" t="n">
        <v>37.2632086226</v>
      </c>
      <c r="D4036" s="1" t="n">
        <v>-7.00828428954</v>
      </c>
      <c r="E4036" s="3" t="n">
        <v>1</v>
      </c>
      <c r="F4036" s="2" t="n">
        <v>2</v>
      </c>
      <c r="G4036" s="4" t="n">
        <v>3</v>
      </c>
      <c r="H4036" s="13" t="n">
        <v>2</v>
      </c>
      <c r="I4036" s="34" t="n">
        <v>2</v>
      </c>
      <c r="J4036" s="35" t="n">
        <v>2</v>
      </c>
      <c r="K4036" s="2" t="inlineStr">
        <is>
          <t>marker_162_656775.png</t>
        </is>
      </c>
      <c r="L4036" s="36">
        <f>HYPERLINK("NoConsenso\" &amp; K4036, "Ver Imagen")</f>
        <v/>
      </c>
      <c r="M4036" t="inlineStr">
        <is>
          <t>Mediana</t>
        </is>
      </c>
    </row>
    <row r="4037">
      <c r="A4037" s="33" t="n">
        <v>4036</v>
      </c>
      <c r="B4037" t="inlineStr">
        <is>
          <t>A-497_2C__223</t>
        </is>
      </c>
      <c r="C4037" s="1" t="n">
        <v>37.263022368</v>
      </c>
      <c r="D4037" s="1" t="n">
        <v>-7.0087419856</v>
      </c>
      <c r="E4037" s="3" t="n">
        <v>1</v>
      </c>
      <c r="F4037" s="2" t="n">
        <v>2</v>
      </c>
      <c r="G4037" s="4" t="n">
        <v>3</v>
      </c>
      <c r="H4037" s="13" t="n">
        <v>2</v>
      </c>
      <c r="I4037" s="34" t="n">
        <v>2</v>
      </c>
      <c r="J4037" s="35" t="n">
        <v>2</v>
      </c>
      <c r="K4037" s="2" t="inlineStr">
        <is>
          <t>marker_989_656793.png</t>
        </is>
      </c>
      <c r="L4037" s="36">
        <f>HYPERLINK("NoConsenso\" &amp; K4037, "Ver Imagen")</f>
        <v/>
      </c>
      <c r="M4037" t="inlineStr">
        <is>
          <t>Mediana</t>
        </is>
      </c>
    </row>
    <row r="4038">
      <c r="A4038" s="33" t="n">
        <v>4037</v>
      </c>
      <c r="B4038" t="inlineStr">
        <is>
          <t>A-497__628</t>
        </is>
      </c>
      <c r="C4038" s="1" t="n">
        <v>37.2020165346</v>
      </c>
      <c r="D4038" s="1" t="n">
        <v>-6.99559220415</v>
      </c>
      <c r="E4038" s="3" t="n">
        <v>1</v>
      </c>
      <c r="F4038" s="2" t="n">
        <v>2</v>
      </c>
      <c r="G4038" s="4" t="n">
        <v>3</v>
      </c>
      <c r="H4038" s="13" t="n">
        <v>2</v>
      </c>
      <c r="I4038" s="34" t="n">
        <v>2</v>
      </c>
      <c r="J4038" s="35" t="n">
        <v>2</v>
      </c>
      <c r="K4038" s="2" t="inlineStr">
        <is>
          <t>marker_953_371449.png</t>
        </is>
      </c>
      <c r="L4038" s="36">
        <f>HYPERLINK("NoConsenso\" &amp; K4038, "Ver Imagen")</f>
        <v/>
      </c>
      <c r="M4038" t="inlineStr">
        <is>
          <t>Mediana</t>
        </is>
      </c>
    </row>
    <row r="4039">
      <c r="A4039" s="33" t="n">
        <v>4038</v>
      </c>
      <c r="B4039" t="inlineStr">
        <is>
          <t>A-497__627</t>
        </is>
      </c>
      <c r="C4039" s="1" t="n">
        <v>37.2020703752</v>
      </c>
      <c r="D4039" s="1" t="n">
        <v>-6.99592415545</v>
      </c>
      <c r="E4039" s="3" t="n">
        <v>1</v>
      </c>
      <c r="F4039" s="2" t="n">
        <v>2</v>
      </c>
      <c r="G4039" s="4" t="n">
        <v>3</v>
      </c>
      <c r="H4039" s="13" t="n">
        <v>2</v>
      </c>
      <c r="I4039" s="34" t="n">
        <v>2</v>
      </c>
      <c r="J4039" s="35" t="n">
        <v>2</v>
      </c>
      <c r="K4039" s="2" t="inlineStr">
        <is>
          <t>marker_268_371459.png</t>
        </is>
      </c>
      <c r="L4039" s="36">
        <f>HYPERLINK("NoConsenso\" &amp; K4039, "Ver Imagen")</f>
        <v/>
      </c>
      <c r="M4039" t="inlineStr">
        <is>
          <t>Mediana</t>
        </is>
      </c>
    </row>
    <row r="4040">
      <c r="A4040" s="33" t="n">
        <v>4039</v>
      </c>
      <c r="B4040" t="inlineStr">
        <is>
          <t>A-497__552</t>
        </is>
      </c>
      <c r="C4040" s="1" t="n">
        <v>37.2047901697</v>
      </c>
      <c r="D4040" s="1" t="n">
        <v>-7.01456583926</v>
      </c>
      <c r="E4040" s="3" t="n">
        <v>1</v>
      </c>
      <c r="F4040" s="2" t="n">
        <v>2</v>
      </c>
      <c r="G4040" s="4" t="n">
        <v>3</v>
      </c>
      <c r="H4040" s="13" t="n">
        <v>2</v>
      </c>
      <c r="I4040" s="34" t="n">
        <v>1</v>
      </c>
      <c r="J4040" s="35" t="n">
        <v>2</v>
      </c>
      <c r="K4040" s="2" t="inlineStr">
        <is>
          <t>marker_763_372242.png</t>
        </is>
      </c>
      <c r="L4040" s="36">
        <f>HYPERLINK("NoConsenso\" &amp; K4040, "Ver Imagen")</f>
        <v/>
      </c>
      <c r="M4040" t="inlineStr">
        <is>
          <t>Mediana</t>
        </is>
      </c>
    </row>
    <row r="4041">
      <c r="A4041" s="33" t="n">
        <v>4040</v>
      </c>
      <c r="B4041" t="inlineStr">
        <is>
          <t>A-497__550</t>
        </is>
      </c>
      <c r="C4041" s="1" t="n">
        <v>37.2048840052</v>
      </c>
      <c r="D4041" s="1" t="n">
        <v>-7.01504154567</v>
      </c>
      <c r="E4041" s="3" t="n">
        <v>1</v>
      </c>
      <c r="F4041" s="2" t="n">
        <v>2</v>
      </c>
      <c r="G4041" s="4" t="n">
        <v>3</v>
      </c>
      <c r="H4041" s="13" t="n">
        <v>2</v>
      </c>
      <c r="I4041" s="34" t="n">
        <v>1</v>
      </c>
      <c r="J4041" s="35" t="n">
        <v>2</v>
      </c>
      <c r="K4041" s="2" t="inlineStr">
        <is>
          <t>marker_415_372264.png</t>
        </is>
      </c>
      <c r="L4041" s="36">
        <f>HYPERLINK("NoConsenso\" &amp; K4041, "Ver Imagen")</f>
        <v/>
      </c>
      <c r="M4041" t="inlineStr">
        <is>
          <t>Mediana</t>
        </is>
      </c>
    </row>
    <row r="4042">
      <c r="A4042" s="33" t="n">
        <v>4041</v>
      </c>
      <c r="B4042" t="inlineStr">
        <is>
          <t>A-497__547</t>
        </is>
      </c>
      <c r="C4042" s="1" t="n">
        <v>37.205027984</v>
      </c>
      <c r="D4042" s="1" t="n">
        <v>-7.01577203718</v>
      </c>
      <c r="E4042" s="3" t="n">
        <v>1</v>
      </c>
      <c r="F4042" s="2" t="n">
        <v>2</v>
      </c>
      <c r="G4042" s="4" t="n">
        <v>3</v>
      </c>
      <c r="H4042" s="13" t="n">
        <v>2</v>
      </c>
      <c r="I4042" s="34" t="n">
        <v>1</v>
      </c>
      <c r="J4042" s="35" t="n">
        <v>2</v>
      </c>
      <c r="K4042" s="2" t="inlineStr">
        <is>
          <t>marker_994_372308.png</t>
        </is>
      </c>
      <c r="L4042" s="36">
        <f>HYPERLINK("NoConsenso\" &amp; K4042, "Ver Imagen")</f>
        <v/>
      </c>
      <c r="M4042" t="inlineStr">
        <is>
          <t>Mediana</t>
        </is>
      </c>
    </row>
    <row r="4043">
      <c r="A4043" s="33" t="n">
        <v>4042</v>
      </c>
      <c r="B4043" t="inlineStr">
        <is>
          <t>A-497__539</t>
        </is>
      </c>
      <c r="C4043" s="1" t="n">
        <v>37.2054792709</v>
      </c>
      <c r="D4043" s="1" t="n">
        <v>-7.01769761582</v>
      </c>
      <c r="E4043" s="3" t="n">
        <v>1</v>
      </c>
      <c r="F4043" s="2" t="n">
        <v>2</v>
      </c>
      <c r="G4043" s="4" t="n">
        <v>3</v>
      </c>
      <c r="H4043" s="13" t="n">
        <v>2</v>
      </c>
      <c r="I4043" s="34" t="n">
        <v>2</v>
      </c>
      <c r="J4043" s="35" t="n">
        <v>2</v>
      </c>
      <c r="K4043" s="2" t="inlineStr">
        <is>
          <t>marker_923_372386.png</t>
        </is>
      </c>
      <c r="L4043" s="36">
        <f>HYPERLINK("NoConsenso\" &amp; K4043, "Ver Imagen")</f>
        <v/>
      </c>
      <c r="M4043" t="inlineStr">
        <is>
          <t>Mediana</t>
        </is>
      </c>
    </row>
    <row r="4044">
      <c r="A4044" s="33" t="n">
        <v>4043</v>
      </c>
      <c r="B4044" t="inlineStr">
        <is>
          <t>A-497_2C__405</t>
        </is>
      </c>
      <c r="C4044" s="1" t="n">
        <v>37.2289104846</v>
      </c>
      <c r="D4044" s="1" t="n">
        <v>-7.0212888107</v>
      </c>
      <c r="E4044" s="3" t="n">
        <v>3</v>
      </c>
      <c r="F4044" s="2" t="n">
        <v>2</v>
      </c>
      <c r="G4044" s="4" t="n">
        <v>1</v>
      </c>
      <c r="H4044" s="13" t="n">
        <v>1</v>
      </c>
      <c r="I4044" s="34" t="n">
        <v>2</v>
      </c>
      <c r="J4044" s="35" t="n">
        <v>2</v>
      </c>
      <c r="K4044" s="2" t="inlineStr">
        <is>
          <t>marker_846_362961.png</t>
        </is>
      </c>
      <c r="L4044" s="36">
        <f>HYPERLINK("NoConsenso\" &amp; K4044, "Ver Imagen")</f>
        <v/>
      </c>
      <c r="M4044" t="inlineStr">
        <is>
          <t>Mediana</t>
        </is>
      </c>
    </row>
    <row r="4045">
      <c r="A4045" s="33" t="n">
        <v>4044</v>
      </c>
      <c r="B4045" t="inlineStr">
        <is>
          <t>A-497_2C__406</t>
        </is>
      </c>
      <c r="C4045" s="1" t="n">
        <v>37.228779005</v>
      </c>
      <c r="D4045" s="1" t="n">
        <v>-7.02138790094</v>
      </c>
      <c r="E4045" s="3" t="n">
        <v>3</v>
      </c>
      <c r="F4045" s="2" t="n">
        <v>2</v>
      </c>
      <c r="G4045" s="4" t="n">
        <v>1</v>
      </c>
      <c r="H4045" s="13" t="n">
        <v>1</v>
      </c>
      <c r="I4045" s="34" t="n">
        <v>2</v>
      </c>
      <c r="J4045" s="35" t="n">
        <v>2</v>
      </c>
      <c r="K4045" s="2" t="inlineStr">
        <is>
          <t>marker_636_362972.png</t>
        </is>
      </c>
      <c r="L4045" s="36">
        <f>HYPERLINK("NoConsenso\" &amp; K4045, "Ver Imagen")</f>
        <v/>
      </c>
      <c r="M4045" t="inlineStr">
        <is>
          <t>Mediana</t>
        </is>
      </c>
    </row>
    <row r="4046">
      <c r="A4046" s="33" t="n">
        <v>4045</v>
      </c>
      <c r="B4046" t="inlineStr">
        <is>
          <t>A-497_2C__438</t>
        </is>
      </c>
      <c r="C4046" s="1" t="n">
        <v>37.2226698235</v>
      </c>
      <c r="D4046" s="1" t="n">
        <v>-7.02321636774</v>
      </c>
      <c r="E4046" s="3" t="n">
        <v>1</v>
      </c>
      <c r="F4046" s="2" t="n">
        <v>2</v>
      </c>
      <c r="G4046" s="4" t="n">
        <v>3</v>
      </c>
      <c r="H4046" s="13" t="n">
        <v>2</v>
      </c>
      <c r="I4046" s="34" t="n">
        <v>2</v>
      </c>
      <c r="J4046" s="35" t="n">
        <v>2</v>
      </c>
      <c r="K4046" s="2" t="inlineStr">
        <is>
          <t>marker_649_363290.png</t>
        </is>
      </c>
      <c r="L4046" s="36">
        <f>HYPERLINK("NoConsenso\" &amp; K4046, "Ver Imagen")</f>
        <v/>
      </c>
      <c r="M4046" t="inlineStr">
        <is>
          <t>Mediana</t>
        </is>
      </c>
    </row>
    <row r="4047">
      <c r="A4047" s="33" t="n">
        <v>4046</v>
      </c>
      <c r="B4047" t="inlineStr">
        <is>
          <t>A-497__456</t>
        </is>
      </c>
      <c r="C4047" s="1" t="n">
        <v>37.2199968786</v>
      </c>
      <c r="D4047" s="1" t="n">
        <v>-7.02278878551</v>
      </c>
      <c r="E4047" s="3" t="n">
        <v>1</v>
      </c>
      <c r="F4047" s="2" t="n">
        <v>2</v>
      </c>
      <c r="G4047" s="4" t="n">
        <v>3</v>
      </c>
      <c r="H4047" s="13" t="n">
        <v>2</v>
      </c>
      <c r="I4047" s="34" t="n">
        <v>1</v>
      </c>
      <c r="J4047" s="35" t="n">
        <v>2</v>
      </c>
      <c r="K4047" s="2" t="inlineStr">
        <is>
          <t>marker_222_376622.png</t>
        </is>
      </c>
      <c r="L4047" s="36">
        <f>HYPERLINK("NoConsenso\" &amp; K4047, "Ver Imagen")</f>
        <v/>
      </c>
      <c r="M4047" t="inlineStr">
        <is>
          <t>Mediana</t>
        </is>
      </c>
    </row>
    <row r="4048">
      <c r="A4048" s="33" t="n">
        <v>4047</v>
      </c>
      <c r="B4048" t="inlineStr">
        <is>
          <t>A-497__451</t>
        </is>
      </c>
      <c r="C4048" s="1" t="n">
        <v>37.2209777846</v>
      </c>
      <c r="D4048" s="1" t="n">
        <v>-7.02286531123</v>
      </c>
      <c r="E4048" s="3" t="n">
        <v>1</v>
      </c>
      <c r="F4048" s="2" t="n">
        <v>2</v>
      </c>
      <c r="G4048" s="4" t="n">
        <v>3</v>
      </c>
      <c r="H4048" s="13" t="n">
        <v>2</v>
      </c>
      <c r="I4048" s="34" t="n">
        <v>1</v>
      </c>
      <c r="J4048" s="35" t="n">
        <v>2</v>
      </c>
      <c r="K4048" s="2" t="inlineStr">
        <is>
          <t>marker_297_376675.png</t>
        </is>
      </c>
      <c r="L4048" s="36">
        <f>HYPERLINK("NoConsenso\" &amp; K4048, "Ver Imagen")</f>
        <v/>
      </c>
      <c r="M4048" t="inlineStr">
        <is>
          <t>Mediana</t>
        </is>
      </c>
    </row>
    <row r="4049">
      <c r="A4049" s="33" t="n">
        <v>4048</v>
      </c>
      <c r="B4049" t="inlineStr">
        <is>
          <t>A-497__450</t>
        </is>
      </c>
      <c r="C4049" s="1" t="n">
        <v>37.2212129971</v>
      </c>
      <c r="D4049" s="1" t="n">
        <v>-7.02288804932</v>
      </c>
      <c r="E4049" s="3" t="n">
        <v>1</v>
      </c>
      <c r="F4049" s="2" t="n">
        <v>2</v>
      </c>
      <c r="G4049" s="4" t="n">
        <v>3</v>
      </c>
      <c r="H4049" s="13" t="n">
        <v>2</v>
      </c>
      <c r="I4049" s="34" t="n">
        <v>1</v>
      </c>
      <c r="J4049" s="35" t="n">
        <v>2</v>
      </c>
      <c r="K4049" s="2" t="inlineStr">
        <is>
          <t>marker_848_376685.png</t>
        </is>
      </c>
      <c r="L4049" s="36">
        <f>HYPERLINK("NoConsenso\" &amp; K4049, "Ver Imagen")</f>
        <v/>
      </c>
      <c r="M4049" t="inlineStr">
        <is>
          <t>Mediana</t>
        </is>
      </c>
    </row>
    <row r="4050">
      <c r="A4050" s="33" t="n">
        <v>4049</v>
      </c>
      <c r="B4050" t="inlineStr">
        <is>
          <t>A-490__28</t>
        </is>
      </c>
      <c r="C4050" s="1" t="n">
        <v>37.4464261925</v>
      </c>
      <c r="D4050" s="1" t="n">
        <v>-7.13323441585</v>
      </c>
      <c r="E4050" s="3" t="n">
        <v>1</v>
      </c>
      <c r="F4050" s="2" t="n">
        <v>3</v>
      </c>
      <c r="G4050" s="4" t="n">
        <v>2</v>
      </c>
      <c r="H4050" s="13" t="n">
        <v>3</v>
      </c>
      <c r="I4050" s="34" t="n">
        <v>2</v>
      </c>
      <c r="J4050" s="37" t="n">
        <v>3</v>
      </c>
      <c r="K4050" s="2" t="inlineStr">
        <is>
          <t>marker_108_730881.png</t>
        </is>
      </c>
      <c r="L4050" s="36">
        <f>HYPERLINK("NoConsenso\" &amp; K4050, "Ver Imagen")</f>
        <v/>
      </c>
      <c r="M4050" s="37" t="inlineStr">
        <is>
          <t>Modificada</t>
        </is>
      </c>
    </row>
    <row r="4051">
      <c r="A4051" s="33" t="n">
        <v>4050</v>
      </c>
      <c r="B4051" t="inlineStr">
        <is>
          <t>A-490__29</t>
        </is>
      </c>
      <c r="C4051" s="1" t="n">
        <v>37.4463886266</v>
      </c>
      <c r="D4051" s="1" t="n">
        <v>-7.13348442413</v>
      </c>
      <c r="E4051" s="3" t="n">
        <v>1</v>
      </c>
      <c r="F4051" s="2" t="n">
        <v>3</v>
      </c>
      <c r="G4051" s="4" t="n">
        <v>2</v>
      </c>
      <c r="H4051" s="13" t="n">
        <v>2</v>
      </c>
      <c r="I4051" s="34" t="n">
        <v>2</v>
      </c>
      <c r="J4051" s="35" t="n">
        <v>2</v>
      </c>
      <c r="K4051" s="2" t="inlineStr">
        <is>
          <t>marker_681_730902.png</t>
        </is>
      </c>
      <c r="L4051" s="36">
        <f>HYPERLINK("NoConsenso\" &amp; K4051, "Ver Imagen")</f>
        <v/>
      </c>
      <c r="M4051" t="inlineStr">
        <is>
          <t>Mediana</t>
        </is>
      </c>
    </row>
    <row r="4052">
      <c r="A4052" s="33" t="n">
        <v>4051</v>
      </c>
      <c r="B4052" t="inlineStr">
        <is>
          <t>A-490__89</t>
        </is>
      </c>
      <c r="C4052" s="1" t="n">
        <v>37.4487252724</v>
      </c>
      <c r="D4052" s="1" t="n">
        <v>-7.14798074678</v>
      </c>
      <c r="E4052" s="3" t="n">
        <v>1</v>
      </c>
      <c r="F4052" s="2" t="n">
        <v>3</v>
      </c>
      <c r="G4052" s="4" t="n">
        <v>2</v>
      </c>
      <c r="H4052" s="13" t="n">
        <v>2</v>
      </c>
      <c r="I4052" s="34" t="n">
        <v>2</v>
      </c>
      <c r="J4052" s="35" t="n">
        <v>2</v>
      </c>
      <c r="K4052" s="2" t="inlineStr">
        <is>
          <t>marker_220_738952.png</t>
        </is>
      </c>
      <c r="L4052" s="36">
        <f>HYPERLINK("NoConsenso\" &amp; K4052, "Ver Imagen")</f>
        <v/>
      </c>
      <c r="M4052" t="inlineStr">
        <is>
          <t>Mediana</t>
        </is>
      </c>
    </row>
    <row r="4053">
      <c r="A4053" s="33" t="n">
        <v>4052</v>
      </c>
      <c r="B4053" t="inlineStr">
        <is>
          <t>A-490__126</t>
        </is>
      </c>
      <c r="C4053" s="1" t="n">
        <v>37.4516119064</v>
      </c>
      <c r="D4053" s="1" t="n">
        <v>-7.15643701792</v>
      </c>
      <c r="E4053" s="3" t="n">
        <v>2</v>
      </c>
      <c r="F4053" s="2" t="n">
        <v>3</v>
      </c>
      <c r="G4053" s="4" t="n">
        <v>4</v>
      </c>
      <c r="H4053" s="13" t="n">
        <v>2</v>
      </c>
      <c r="I4053" s="34" t="n">
        <v>3</v>
      </c>
      <c r="J4053" s="35" t="n">
        <v>3</v>
      </c>
      <c r="K4053" s="2" t="inlineStr">
        <is>
          <t>marker_791_740156.png</t>
        </is>
      </c>
      <c r="L4053" s="36">
        <f>HYPERLINK("NoConsenso\" &amp; K4053, "Ver Imagen")</f>
        <v/>
      </c>
      <c r="M4053" t="inlineStr">
        <is>
          <t>Mediana</t>
        </is>
      </c>
    </row>
    <row r="4054">
      <c r="A4054" s="33" t="n">
        <v>4053</v>
      </c>
      <c r="B4054" t="inlineStr">
        <is>
          <t>A-490__264</t>
        </is>
      </c>
      <c r="C4054" s="1" t="n">
        <v>37.467422612</v>
      </c>
      <c r="D4054" s="1" t="n">
        <v>-7.1848963072</v>
      </c>
      <c r="E4054" s="3" t="n">
        <v>1</v>
      </c>
      <c r="F4054" s="2" t="n">
        <v>3</v>
      </c>
      <c r="G4054" s="4" t="n">
        <v>2</v>
      </c>
      <c r="H4054" s="13" t="n">
        <v>2</v>
      </c>
      <c r="I4054" s="34" t="n">
        <v>2</v>
      </c>
      <c r="J4054" s="35" t="n">
        <v>2</v>
      </c>
      <c r="K4054" s="2" t="inlineStr">
        <is>
          <t>marker_103_749788.png</t>
        </is>
      </c>
      <c r="L4054" s="36">
        <f>HYPERLINK("NoConsenso\" &amp; K4054, "Ver Imagen")</f>
        <v/>
      </c>
      <c r="M4054" t="inlineStr">
        <is>
          <t>Mediana</t>
        </is>
      </c>
    </row>
    <row r="4055">
      <c r="A4055" s="33" t="n">
        <v>4054</v>
      </c>
      <c r="B4055" t="inlineStr">
        <is>
          <t>A-490__452</t>
        </is>
      </c>
      <c r="C4055" s="1" t="n">
        <v>37.4843545798</v>
      </c>
      <c r="D4055" s="1" t="n">
        <v>-7.22714698348</v>
      </c>
      <c r="E4055" s="3" t="n">
        <v>2</v>
      </c>
      <c r="F4055" s="2" t="n">
        <v>1</v>
      </c>
      <c r="G4055" s="4" t="n">
        <v>3</v>
      </c>
      <c r="H4055" s="13" t="n">
        <v>1</v>
      </c>
      <c r="I4055" s="34" t="n">
        <v>1</v>
      </c>
      <c r="J4055" s="35" t="n">
        <v>1</v>
      </c>
      <c r="K4055" s="2" t="inlineStr">
        <is>
          <t>marker_778_755082.png</t>
        </is>
      </c>
      <c r="L4055" s="36">
        <f>HYPERLINK("NoConsenso\" &amp; K4055, "Ver Imagen")</f>
        <v/>
      </c>
      <c r="M4055" t="inlineStr">
        <is>
          <t>Mediana</t>
        </is>
      </c>
    </row>
    <row r="4056">
      <c r="A4056" s="33" t="n">
        <v>4055</v>
      </c>
      <c r="B4056" t="inlineStr">
        <is>
          <t>A-490__604</t>
        </is>
      </c>
      <c r="C4056" s="1" t="n">
        <v>37.4927025023</v>
      </c>
      <c r="D4056" s="1" t="n">
        <v>-7.26233834893</v>
      </c>
      <c r="E4056" s="3" t="n">
        <v>2</v>
      </c>
      <c r="F4056" s="2" t="n">
        <v>3</v>
      </c>
      <c r="G4056" s="4" t="n">
        <v>4</v>
      </c>
      <c r="H4056" s="13" t="n">
        <v>2</v>
      </c>
      <c r="I4056" s="34" t="n">
        <v>3</v>
      </c>
      <c r="J4056" s="35" t="n">
        <v>3</v>
      </c>
      <c r="K4056" s="2" t="inlineStr">
        <is>
          <t>marker_564_820140.png</t>
        </is>
      </c>
      <c r="L4056" s="36">
        <f>HYPERLINK("NoConsenso\" &amp; K4056, "Ver Imagen")</f>
        <v/>
      </c>
      <c r="M4056" t="inlineStr">
        <is>
          <t>Mediana</t>
        </is>
      </c>
    </row>
    <row r="4057">
      <c r="A4057" s="33" t="n">
        <v>4056</v>
      </c>
      <c r="B4057" t="inlineStr">
        <is>
          <t>A-490__623</t>
        </is>
      </c>
      <c r="C4057" s="1" t="n">
        <v>37.4946774872</v>
      </c>
      <c r="D4057" s="1" t="n">
        <v>-7.26644469675</v>
      </c>
      <c r="E4057" s="3" t="n">
        <v>2</v>
      </c>
      <c r="F4057" s="2" t="n">
        <v>4</v>
      </c>
      <c r="G4057" s="4" t="n">
        <v>3</v>
      </c>
      <c r="H4057" s="13" t="n">
        <v>3</v>
      </c>
      <c r="I4057" s="34" t="n">
        <v>2</v>
      </c>
      <c r="J4057" s="35" t="n">
        <v>3</v>
      </c>
      <c r="K4057" s="2" t="inlineStr">
        <is>
          <t>marker_404_820343.png</t>
        </is>
      </c>
      <c r="L4057" s="36">
        <f>HYPERLINK("NoConsenso\" &amp; K4057, "Ver Imagen")</f>
        <v/>
      </c>
      <c r="M4057" t="inlineStr">
        <is>
          <t>Mediana</t>
        </is>
      </c>
    </row>
    <row r="4058">
      <c r="A4058" s="33" t="n">
        <v>4057</v>
      </c>
      <c r="B4058" t="inlineStr">
        <is>
          <t>A-492__93</t>
        </is>
      </c>
      <c r="C4058" s="1" t="n">
        <v>37.2801264032</v>
      </c>
      <c r="D4058" s="1" t="n">
        <v>-7.0056825665</v>
      </c>
      <c r="E4058" s="3" t="n">
        <v>2</v>
      </c>
      <c r="F4058" s="2" t="n">
        <v>2</v>
      </c>
      <c r="G4058" s="4" t="n">
        <v>4</v>
      </c>
      <c r="H4058" s="13" t="n">
        <v>2</v>
      </c>
      <c r="I4058" s="34" t="n">
        <v>2</v>
      </c>
      <c r="J4058" s="35" t="n">
        <v>2</v>
      </c>
      <c r="K4058" s="2" t="inlineStr">
        <is>
          <t>marker_986_823683.png</t>
        </is>
      </c>
      <c r="L4058" s="36">
        <f>HYPERLINK("NoConsenso\" &amp; K4058, "Ver Imagen")</f>
        <v/>
      </c>
      <c r="M4058" t="inlineStr">
        <is>
          <t>Mediana</t>
        </is>
      </c>
    </row>
    <row r="4059">
      <c r="A4059" s="33" t="n">
        <v>4058</v>
      </c>
      <c r="B4059" t="inlineStr">
        <is>
          <t>A-492__111</t>
        </is>
      </c>
      <c r="C4059" s="1" t="n">
        <v>37.2785151109</v>
      </c>
      <c r="D4059" s="1" t="n">
        <v>-7.00973696459</v>
      </c>
      <c r="E4059" s="3" t="n">
        <v>2</v>
      </c>
      <c r="F4059" s="2" t="n">
        <v>3</v>
      </c>
      <c r="G4059" s="4" t="n">
        <v>4</v>
      </c>
      <c r="H4059" s="13" t="n">
        <v>3</v>
      </c>
      <c r="I4059" s="34" t="n">
        <v>3</v>
      </c>
      <c r="J4059" s="35" t="n">
        <v>3</v>
      </c>
      <c r="K4059" s="2" t="inlineStr">
        <is>
          <t>marker_881_824300.png</t>
        </is>
      </c>
      <c r="L4059" s="36">
        <f>HYPERLINK("NoConsenso\" &amp; K4059, "Ver Imagen")</f>
        <v/>
      </c>
      <c r="M4059" t="inlineStr">
        <is>
          <t>Mediana</t>
        </is>
      </c>
    </row>
    <row r="4060">
      <c r="A4060" s="33" t="n">
        <v>4059</v>
      </c>
      <c r="B4060" t="inlineStr">
        <is>
          <t>A-492__129</t>
        </is>
      </c>
      <c r="C4060" s="1" t="n">
        <v>37.2764863053</v>
      </c>
      <c r="D4060" s="1" t="n">
        <v>-7.01353299308</v>
      </c>
      <c r="E4060" s="3" t="n">
        <v>2</v>
      </c>
      <c r="F4060" s="2" t="n">
        <v>3</v>
      </c>
      <c r="G4060" s="4" t="n">
        <v>4</v>
      </c>
      <c r="H4060" s="13" t="n">
        <v>2</v>
      </c>
      <c r="I4060" s="34" t="n">
        <v>3</v>
      </c>
      <c r="J4060" s="35" t="n">
        <v>3</v>
      </c>
      <c r="K4060" s="2" t="inlineStr">
        <is>
          <t>marker_830_824527.png</t>
        </is>
      </c>
      <c r="L4060" s="36">
        <f>HYPERLINK("NoConsenso\" &amp; K4060, "Ver Imagen")</f>
        <v/>
      </c>
      <c r="M4060" t="inlineStr">
        <is>
          <t>Mediana</t>
        </is>
      </c>
    </row>
    <row r="4061">
      <c r="A4061" s="33" t="n">
        <v>4060</v>
      </c>
      <c r="B4061" t="inlineStr">
        <is>
          <t>A-492__130</t>
        </is>
      </c>
      <c r="C4061" s="1" t="n">
        <v>37.2763890826</v>
      </c>
      <c r="D4061" s="1" t="n">
        <v>-7.01373841655</v>
      </c>
      <c r="E4061" s="3" t="n">
        <v>2</v>
      </c>
      <c r="F4061" s="2" t="n">
        <v>3</v>
      </c>
      <c r="G4061" s="4" t="n">
        <v>4</v>
      </c>
      <c r="H4061" s="13" t="n">
        <v>2</v>
      </c>
      <c r="I4061" s="34" t="n">
        <v>3</v>
      </c>
      <c r="J4061" s="35" t="n">
        <v>3</v>
      </c>
      <c r="K4061" s="2" t="inlineStr">
        <is>
          <t>marker_670_824542.png</t>
        </is>
      </c>
      <c r="L4061" s="36">
        <f>HYPERLINK("NoConsenso\" &amp; K4061, "Ver Imagen")</f>
        <v/>
      </c>
      <c r="M4061" t="inlineStr">
        <is>
          <t>Mediana</t>
        </is>
      </c>
    </row>
    <row r="4062">
      <c r="A4062" s="33" t="n">
        <v>4061</v>
      </c>
      <c r="B4062" t="inlineStr">
        <is>
          <t>A-492__174</t>
        </is>
      </c>
      <c r="C4062" s="1" t="n">
        <v>37.2763663539</v>
      </c>
      <c r="D4062" s="1" t="n">
        <v>-7.02423720007</v>
      </c>
      <c r="E4062" s="3" t="n">
        <v>2</v>
      </c>
      <c r="F4062" s="2" t="n">
        <v>3</v>
      </c>
      <c r="G4062" s="4" t="n">
        <v>4</v>
      </c>
      <c r="H4062" s="13" t="n">
        <v>2</v>
      </c>
      <c r="I4062" s="34" t="n">
        <v>2</v>
      </c>
      <c r="J4062" s="35" t="n">
        <v>2</v>
      </c>
      <c r="K4062" s="2" t="inlineStr">
        <is>
          <t>marker_335_831517.png</t>
        </is>
      </c>
      <c r="L4062" s="36">
        <f>HYPERLINK("NoConsenso\" &amp; K4062, "Ver Imagen")</f>
        <v/>
      </c>
      <c r="M4062" t="inlineStr">
        <is>
          <t>Mediana</t>
        </is>
      </c>
    </row>
    <row r="4063">
      <c r="A4063" s="33" t="n">
        <v>4062</v>
      </c>
      <c r="B4063" t="inlineStr">
        <is>
          <t>A-492__180</t>
        </is>
      </c>
      <c r="C4063" s="1" t="n">
        <v>37.2765806325</v>
      </c>
      <c r="D4063" s="1" t="n">
        <v>-7.02572755135</v>
      </c>
      <c r="E4063" s="3" t="n">
        <v>2</v>
      </c>
      <c r="F4063" s="2" t="n">
        <v>3</v>
      </c>
      <c r="G4063" s="4" t="n">
        <v>4</v>
      </c>
      <c r="H4063" s="13" t="n">
        <v>2</v>
      </c>
      <c r="I4063" s="34" t="n">
        <v>2</v>
      </c>
      <c r="J4063" s="35" t="n">
        <v>2</v>
      </c>
      <c r="K4063" s="2" t="inlineStr">
        <is>
          <t>marker_833_831609.png</t>
        </is>
      </c>
      <c r="L4063" s="36">
        <f>HYPERLINK("NoConsenso\" &amp; K4063, "Ver Imagen")</f>
        <v/>
      </c>
      <c r="M4063" t="inlineStr">
        <is>
          <t>Mediana</t>
        </is>
      </c>
    </row>
    <row r="4064">
      <c r="A4064" s="33" t="n">
        <v>4063</v>
      </c>
      <c r="B4064" t="inlineStr">
        <is>
          <t>A-492__181</t>
        </is>
      </c>
      <c r="C4064" s="1" t="n">
        <v>37.2766133045</v>
      </c>
      <c r="D4064" s="1" t="n">
        <v>-7.02596818843</v>
      </c>
      <c r="E4064" s="3" t="n">
        <v>2</v>
      </c>
      <c r="F4064" s="2" t="n">
        <v>3</v>
      </c>
      <c r="G4064" s="4" t="n">
        <v>4</v>
      </c>
      <c r="H4064" s="13" t="n">
        <v>2</v>
      </c>
      <c r="I4064" s="34" t="n">
        <v>3</v>
      </c>
      <c r="J4064" s="35" t="n">
        <v>3</v>
      </c>
      <c r="K4064" s="2" t="inlineStr">
        <is>
          <t>marker_745_831646.png</t>
        </is>
      </c>
      <c r="L4064" s="36">
        <f>HYPERLINK("NoConsenso\" &amp; K4064, "Ver Imagen")</f>
        <v/>
      </c>
      <c r="M4064" t="inlineStr">
        <is>
          <t>Mediana</t>
        </is>
      </c>
    </row>
    <row r="4065">
      <c r="A4065" s="33" t="n">
        <v>4064</v>
      </c>
      <c r="B4065" t="inlineStr">
        <is>
          <t>A-492__255</t>
        </is>
      </c>
      <c r="C4065" s="1" t="n">
        <v>37.2849009613</v>
      </c>
      <c r="D4065" s="1" t="n">
        <v>-7.03995924857</v>
      </c>
      <c r="E4065" s="3" t="n">
        <v>2</v>
      </c>
      <c r="F4065" s="2" t="n">
        <v>3</v>
      </c>
      <c r="G4065" s="4" t="n">
        <v>4</v>
      </c>
      <c r="H4065" s="13" t="n">
        <v>3</v>
      </c>
      <c r="I4065" s="34" t="n">
        <v>3</v>
      </c>
      <c r="J4065" s="35" t="n">
        <v>3</v>
      </c>
      <c r="K4065" s="2" t="inlineStr">
        <is>
          <t>marker_595_836174.png</t>
        </is>
      </c>
      <c r="L4065" s="36">
        <f>HYPERLINK("NoConsenso\" &amp; K4065, "Ver Imagen")</f>
        <v/>
      </c>
      <c r="M4065" t="inlineStr">
        <is>
          <t>Mediana</t>
        </is>
      </c>
    </row>
    <row r="4066">
      <c r="A4066" s="33" t="n">
        <v>4065</v>
      </c>
      <c r="B4066" t="inlineStr">
        <is>
          <t>A-492__266</t>
        </is>
      </c>
      <c r="C4066" s="1" t="n">
        <v>37.2865331859</v>
      </c>
      <c r="D4066" s="1" t="n">
        <v>-7.04173890691</v>
      </c>
      <c r="E4066" s="3" t="n">
        <v>2</v>
      </c>
      <c r="F4066" s="2" t="n">
        <v>2</v>
      </c>
      <c r="G4066" s="4" t="n">
        <v>4</v>
      </c>
      <c r="H4066" s="13" t="n">
        <v>2</v>
      </c>
      <c r="I4066" s="34" t="n">
        <v>2</v>
      </c>
      <c r="J4066" s="35" t="n">
        <v>2</v>
      </c>
      <c r="K4066" s="2" t="inlineStr">
        <is>
          <t>marker_236_836701.png</t>
        </is>
      </c>
      <c r="L4066" s="36">
        <f>HYPERLINK("NoConsenso\" &amp; K4066, "Ver Imagen")</f>
        <v/>
      </c>
      <c r="M4066" t="inlineStr">
        <is>
          <t>Mediana</t>
        </is>
      </c>
    </row>
    <row r="4067">
      <c r="A4067" s="33" t="n">
        <v>4066</v>
      </c>
      <c r="B4067" t="inlineStr">
        <is>
          <t>A-492__267</t>
        </is>
      </c>
      <c r="C4067" s="1" t="n">
        <v>37.2867157616</v>
      </c>
      <c r="D4067" s="1" t="n">
        <v>-7.04183019499</v>
      </c>
      <c r="E4067" s="3" t="n">
        <v>2</v>
      </c>
      <c r="F4067" s="2" t="n">
        <v>2</v>
      </c>
      <c r="G4067" s="4" t="n">
        <v>4</v>
      </c>
      <c r="H4067" s="13" t="n">
        <v>2</v>
      </c>
      <c r="I4067" s="34" t="n">
        <v>1</v>
      </c>
      <c r="J4067" s="35" t="n">
        <v>2</v>
      </c>
      <c r="K4067" s="2" t="inlineStr">
        <is>
          <t>marker_889_836713.png</t>
        </is>
      </c>
      <c r="L4067" s="36">
        <f>HYPERLINK("NoConsenso\" &amp; K4067, "Ver Imagen")</f>
        <v/>
      </c>
      <c r="M4067" t="inlineStr">
        <is>
          <t>Mediana</t>
        </is>
      </c>
    </row>
    <row r="4068">
      <c r="A4068" s="33" t="n">
        <v>4067</v>
      </c>
      <c r="B4068" t="inlineStr">
        <is>
          <t>A-492__282</t>
        </is>
      </c>
      <c r="C4068" s="1" t="n">
        <v>37.2892512427</v>
      </c>
      <c r="D4068" s="1" t="n">
        <v>-7.043839949</v>
      </c>
      <c r="E4068" s="3" t="n">
        <v>2</v>
      </c>
      <c r="F4068" s="2" t="n">
        <v>1</v>
      </c>
      <c r="G4068" s="4" t="n">
        <v>3</v>
      </c>
      <c r="H4068" s="13" t="n">
        <v>2</v>
      </c>
      <c r="I4068" s="34" t="n">
        <v>1</v>
      </c>
      <c r="J4068" s="35" t="n">
        <v>2</v>
      </c>
      <c r="K4068" s="2" t="inlineStr">
        <is>
          <t>marker_453_837329.png</t>
        </is>
      </c>
      <c r="L4068" s="36">
        <f>HYPERLINK("NoConsenso\" &amp; K4068, "Ver Imagen")</f>
        <v/>
      </c>
      <c r="M4068" t="inlineStr">
        <is>
          <t>Mediana</t>
        </is>
      </c>
    </row>
    <row r="4069">
      <c r="A4069" s="33" t="n">
        <v>4068</v>
      </c>
      <c r="B4069" t="inlineStr">
        <is>
          <t>A-492__289</t>
        </is>
      </c>
      <c r="C4069" s="1" t="n">
        <v>37.2902597344</v>
      </c>
      <c r="D4069" s="1" t="n">
        <v>-7.04505791363</v>
      </c>
      <c r="E4069" s="3" t="n">
        <v>2</v>
      </c>
      <c r="F4069" s="2" t="n">
        <v>2</v>
      </c>
      <c r="G4069" s="4" t="n">
        <v>4</v>
      </c>
      <c r="H4069" s="13" t="n">
        <v>2</v>
      </c>
      <c r="I4069" s="34" t="n">
        <v>2</v>
      </c>
      <c r="J4069" s="35" t="n">
        <v>2</v>
      </c>
      <c r="K4069" s="2" t="inlineStr">
        <is>
          <t>marker_423_837407.png</t>
        </is>
      </c>
      <c r="L4069" s="36">
        <f>HYPERLINK("NoConsenso\" &amp; K4069, "Ver Imagen")</f>
        <v/>
      </c>
      <c r="M4069" t="inlineStr">
        <is>
          <t>Mediana</t>
        </is>
      </c>
    </row>
    <row r="4070">
      <c r="A4070" s="33" t="n">
        <v>4069</v>
      </c>
      <c r="B4070" t="inlineStr">
        <is>
          <t>A-492__329</t>
        </is>
      </c>
      <c r="C4070" s="1" t="n">
        <v>37.29666637</v>
      </c>
      <c r="D4070" s="1" t="n">
        <v>-7.05063933633</v>
      </c>
      <c r="E4070" s="3" t="n">
        <v>2</v>
      </c>
      <c r="F4070" s="2" t="n">
        <v>2</v>
      </c>
      <c r="G4070" s="4" t="n">
        <v>4</v>
      </c>
      <c r="H4070" s="13" t="n">
        <v>2</v>
      </c>
      <c r="I4070" s="34" t="n">
        <v>1</v>
      </c>
      <c r="J4070" s="35" t="n">
        <v>2</v>
      </c>
      <c r="K4070" s="2" t="inlineStr">
        <is>
          <t>marker_659_838068.png</t>
        </is>
      </c>
      <c r="L4070" s="36">
        <f>HYPERLINK("NoConsenso\" &amp; K4070, "Ver Imagen")</f>
        <v/>
      </c>
      <c r="M4070" t="inlineStr">
        <is>
          <t>Mediana</t>
        </is>
      </c>
    </row>
    <row r="4071">
      <c r="A4071" s="33" t="n">
        <v>4070</v>
      </c>
      <c r="B4071" t="inlineStr">
        <is>
          <t>A-492__359</t>
        </is>
      </c>
      <c r="C4071" s="1" t="n">
        <v>37.3007105313</v>
      </c>
      <c r="D4071" s="1" t="n">
        <v>-7.05596135321</v>
      </c>
      <c r="E4071" s="3" t="n">
        <v>2</v>
      </c>
      <c r="F4071" s="2" t="n">
        <v>3</v>
      </c>
      <c r="G4071" s="4" t="n">
        <v>4</v>
      </c>
      <c r="H4071" s="13" t="n">
        <v>3</v>
      </c>
      <c r="I4071" s="34" t="n">
        <v>2</v>
      </c>
      <c r="J4071" s="35" t="n">
        <v>3</v>
      </c>
      <c r="K4071" s="2" t="inlineStr">
        <is>
          <t>marker_304_838618.png</t>
        </is>
      </c>
      <c r="L4071" s="36">
        <f>HYPERLINK("NoConsenso\" &amp; K4071, "Ver Imagen")</f>
        <v/>
      </c>
      <c r="M4071" t="inlineStr">
        <is>
          <t>Mediana</t>
        </is>
      </c>
    </row>
    <row r="4072">
      <c r="A4072" s="33" t="n">
        <v>4071</v>
      </c>
      <c r="B4072" t="inlineStr">
        <is>
          <t>A-492__361</t>
        </is>
      </c>
      <c r="C4072" s="1" t="n">
        <v>37.3011079479</v>
      </c>
      <c r="D4072" s="1" t="n">
        <v>-7.05620393248</v>
      </c>
      <c r="E4072" s="3" t="n">
        <v>2</v>
      </c>
      <c r="F4072" s="2" t="n">
        <v>3</v>
      </c>
      <c r="G4072" s="4" t="n">
        <v>4</v>
      </c>
      <c r="H4072" s="13" t="n">
        <v>2</v>
      </c>
      <c r="I4072" s="34" t="n">
        <v>2</v>
      </c>
      <c r="J4072" s="37" t="n">
        <v>3</v>
      </c>
      <c r="K4072" s="2" t="inlineStr">
        <is>
          <t>marker_911_838638.png</t>
        </is>
      </c>
      <c r="L4072" s="36">
        <f>HYPERLINK("NoConsenso\" &amp; K4072, "Ver Imagen")</f>
        <v/>
      </c>
      <c r="M4072" s="37" t="inlineStr">
        <is>
          <t>Modificada</t>
        </is>
      </c>
    </row>
    <row r="4073">
      <c r="A4073" s="33" t="n">
        <v>4072</v>
      </c>
      <c r="B4073" t="inlineStr">
        <is>
          <t>A-492__369</t>
        </is>
      </c>
      <c r="C4073" s="1" t="n">
        <v>37.302661056</v>
      </c>
      <c r="D4073" s="1" t="n">
        <v>-7.05658149962</v>
      </c>
      <c r="E4073" s="3" t="n">
        <v>2</v>
      </c>
      <c r="F4073" s="2" t="n">
        <v>1</v>
      </c>
      <c r="G4073" s="4" t="n">
        <v>3</v>
      </c>
      <c r="H4073" s="13" t="n">
        <v>1</v>
      </c>
      <c r="I4073" s="34" t="n">
        <v>1</v>
      </c>
      <c r="J4073" s="35" t="n">
        <v>1</v>
      </c>
      <c r="K4073" s="2" t="inlineStr">
        <is>
          <t>marker_555_838745.png</t>
        </is>
      </c>
      <c r="L4073" s="36">
        <f>HYPERLINK("NoConsenso\" &amp; K4073, "Ver Imagen")</f>
        <v/>
      </c>
      <c r="M4073" t="inlineStr">
        <is>
          <t>Mediana</t>
        </is>
      </c>
    </row>
    <row r="4074">
      <c r="A4074" s="33" t="n">
        <v>4073</v>
      </c>
      <c r="B4074" t="inlineStr">
        <is>
          <t>A-492__383</t>
        </is>
      </c>
      <c r="C4074" s="1" t="n">
        <v>37.3055094975</v>
      </c>
      <c r="D4074" s="1" t="n">
        <v>-7.05673476698</v>
      </c>
      <c r="E4074" s="3" t="n">
        <v>1</v>
      </c>
      <c r="F4074" s="2" t="n">
        <v>3</v>
      </c>
      <c r="G4074" s="4" t="n">
        <v>2</v>
      </c>
      <c r="H4074" s="13" t="n">
        <v>2</v>
      </c>
      <c r="I4074" s="34" t="n">
        <v>2</v>
      </c>
      <c r="J4074" s="35" t="n">
        <v>2</v>
      </c>
      <c r="K4074" s="2" t="inlineStr">
        <is>
          <t>marker_338_838924.png</t>
        </is>
      </c>
      <c r="L4074" s="36">
        <f>HYPERLINK("NoConsenso\" &amp; K4074, "Ver Imagen")</f>
        <v/>
      </c>
      <c r="M4074" t="inlineStr">
        <is>
          <t>Mediana</t>
        </is>
      </c>
    </row>
    <row r="4075">
      <c r="A4075" s="33" t="n">
        <v>4074</v>
      </c>
      <c r="B4075" t="inlineStr">
        <is>
          <t>A-492__384</t>
        </is>
      </c>
      <c r="C4075" s="1" t="n">
        <v>37.3057140185</v>
      </c>
      <c r="D4075" s="1" t="n">
        <v>-7.0567393988</v>
      </c>
      <c r="E4075" s="3" t="n">
        <v>2</v>
      </c>
      <c r="F4075" s="2" t="n">
        <v>3</v>
      </c>
      <c r="G4075" s="4" t="n">
        <v>4</v>
      </c>
      <c r="H4075" s="13" t="n">
        <v>2</v>
      </c>
      <c r="I4075" s="34" t="n">
        <v>2</v>
      </c>
      <c r="J4075" s="35" t="n">
        <v>2</v>
      </c>
      <c r="K4075" s="2" t="inlineStr">
        <is>
          <t>marker_614_838957.png</t>
        </is>
      </c>
      <c r="L4075" s="36">
        <f>HYPERLINK("NoConsenso\" &amp; K4075, "Ver Imagen")</f>
        <v/>
      </c>
      <c r="M4075" t="inlineStr">
        <is>
          <t>Mediana</t>
        </is>
      </c>
    </row>
    <row r="4076">
      <c r="A4076" s="33" t="n">
        <v>4075</v>
      </c>
      <c r="B4076" t="inlineStr">
        <is>
          <t>A-492__385</t>
        </is>
      </c>
      <c r="C4076" s="1" t="n">
        <v>37.3058822464</v>
      </c>
      <c r="D4076" s="1" t="n">
        <v>-7.05674754605</v>
      </c>
      <c r="E4076" s="3" t="n">
        <v>2</v>
      </c>
      <c r="F4076" s="2" t="n">
        <v>3</v>
      </c>
      <c r="G4076" s="4" t="n">
        <v>4</v>
      </c>
      <c r="H4076" s="13" t="n">
        <v>2</v>
      </c>
      <c r="I4076" s="34" t="n">
        <v>2</v>
      </c>
      <c r="J4076" s="35" t="n">
        <v>2</v>
      </c>
      <c r="K4076" s="2" t="inlineStr">
        <is>
          <t>marker_907_838972.png</t>
        </is>
      </c>
      <c r="L4076" s="36">
        <f>HYPERLINK("NoConsenso\" &amp; K4076, "Ver Imagen")</f>
        <v/>
      </c>
      <c r="M4076" t="inlineStr">
        <is>
          <t>Mediana</t>
        </is>
      </c>
    </row>
    <row r="4077">
      <c r="A4077" s="33" t="n">
        <v>4076</v>
      </c>
      <c r="B4077" t="inlineStr">
        <is>
          <t>A-492__386</t>
        </is>
      </c>
      <c r="C4077" s="1" t="n">
        <v>37.3061011825</v>
      </c>
      <c r="D4077" s="1" t="n">
        <v>-7.05676557353</v>
      </c>
      <c r="E4077" s="3" t="n">
        <v>2</v>
      </c>
      <c r="F4077" s="2" t="n">
        <v>2</v>
      </c>
      <c r="G4077" s="4" t="n">
        <v>4</v>
      </c>
      <c r="H4077" s="13" t="n">
        <v>2</v>
      </c>
      <c r="I4077" s="34" t="n">
        <v>1</v>
      </c>
      <c r="J4077" s="35" t="n">
        <v>2</v>
      </c>
      <c r="K4077" s="2" t="inlineStr">
        <is>
          <t>marker_578_838981.png</t>
        </is>
      </c>
      <c r="L4077" s="36">
        <f>HYPERLINK("NoConsenso\" &amp; K4077, "Ver Imagen")</f>
        <v/>
      </c>
      <c r="M4077" t="inlineStr">
        <is>
          <t>Mediana</t>
        </is>
      </c>
    </row>
    <row r="4078">
      <c r="A4078" s="33" t="n">
        <v>4077</v>
      </c>
      <c r="B4078" t="inlineStr">
        <is>
          <t>A-492__391</t>
        </is>
      </c>
      <c r="C4078" s="1" t="n">
        <v>37.307119094</v>
      </c>
      <c r="D4078" s="1" t="n">
        <v>-7.05689542312</v>
      </c>
      <c r="E4078" s="3" t="n">
        <v>2</v>
      </c>
      <c r="F4078" s="2" t="n">
        <v>2</v>
      </c>
      <c r="G4078" s="4" t="n">
        <v>4</v>
      </c>
      <c r="H4078" s="13" t="n">
        <v>2</v>
      </c>
      <c r="I4078" s="34" t="n">
        <v>2</v>
      </c>
      <c r="J4078" s="35" t="n">
        <v>2</v>
      </c>
      <c r="K4078" s="2" t="inlineStr">
        <is>
          <t>marker_636_839039.png</t>
        </is>
      </c>
      <c r="L4078" s="36">
        <f>HYPERLINK("NoConsenso\" &amp; K4078, "Ver Imagen")</f>
        <v/>
      </c>
      <c r="M4078" t="inlineStr">
        <is>
          <t>Mediana</t>
        </is>
      </c>
    </row>
    <row r="4079">
      <c r="A4079" s="33" t="n">
        <v>4078</v>
      </c>
      <c r="B4079" t="inlineStr">
        <is>
          <t>A-492__396</t>
        </is>
      </c>
      <c r="C4079" s="1" t="n">
        <v>37.3081086613</v>
      </c>
      <c r="D4079" s="1" t="n">
        <v>-7.05712328967</v>
      </c>
      <c r="E4079" s="3" t="n">
        <v>2</v>
      </c>
      <c r="F4079" s="2" t="n">
        <v>2</v>
      </c>
      <c r="G4079" s="4" t="n">
        <v>4</v>
      </c>
      <c r="H4079" s="13" t="n">
        <v>1</v>
      </c>
      <c r="I4079" s="34" t="n">
        <v>1</v>
      </c>
      <c r="J4079" s="37" t="n">
        <v>1</v>
      </c>
      <c r="K4079" s="2" t="inlineStr">
        <is>
          <t>marker_947_839103.png</t>
        </is>
      </c>
      <c r="L4079" s="36">
        <f>HYPERLINK("NoConsenso\" &amp; K4079, "Ver Imagen")</f>
        <v/>
      </c>
      <c r="M4079" s="37" t="inlineStr">
        <is>
          <t>Modificada</t>
        </is>
      </c>
    </row>
    <row r="4080">
      <c r="A4080" s="33" t="n">
        <v>4079</v>
      </c>
      <c r="B4080" t="inlineStr">
        <is>
          <t>A-492__397</t>
        </is>
      </c>
      <c r="C4080" s="1" t="n">
        <v>37.3082986492</v>
      </c>
      <c r="D4080" s="1" t="n">
        <v>-7.05719071372</v>
      </c>
      <c r="E4080" s="3" t="n">
        <v>2</v>
      </c>
      <c r="F4080" s="2" t="n">
        <v>3</v>
      </c>
      <c r="G4080" s="4" t="n">
        <v>4</v>
      </c>
      <c r="H4080" s="13" t="n">
        <v>2</v>
      </c>
      <c r="I4080" s="34" t="n">
        <v>2</v>
      </c>
      <c r="J4080" s="35" t="n">
        <v>2</v>
      </c>
      <c r="K4080" s="2" t="inlineStr">
        <is>
          <t>marker_366_839114.png</t>
        </is>
      </c>
      <c r="L4080" s="36">
        <f>HYPERLINK("NoConsenso\" &amp; K4080, "Ver Imagen")</f>
        <v/>
      </c>
      <c r="M4080" t="inlineStr">
        <is>
          <t>Mediana</t>
        </is>
      </c>
    </row>
    <row r="4081">
      <c r="A4081" s="33" t="n">
        <v>4080</v>
      </c>
      <c r="B4081" t="inlineStr">
        <is>
          <t>A-492__406</t>
        </is>
      </c>
      <c r="C4081" s="1" t="n">
        <v>37.3099271448</v>
      </c>
      <c r="D4081" s="1" t="n">
        <v>-7.05817638463</v>
      </c>
      <c r="E4081" s="3" t="n">
        <v>3</v>
      </c>
      <c r="F4081" s="2" t="n">
        <v>1</v>
      </c>
      <c r="G4081" s="4" t="n">
        <v>2</v>
      </c>
      <c r="H4081" s="13" t="n">
        <v>1</v>
      </c>
      <c r="I4081" s="34" t="n">
        <v>1</v>
      </c>
      <c r="J4081" s="35" t="n">
        <v>1</v>
      </c>
      <c r="K4081" s="2" t="inlineStr">
        <is>
          <t>marker_844_839248.png</t>
        </is>
      </c>
      <c r="L4081" s="36">
        <f>HYPERLINK("NoConsenso\" &amp; K4081, "Ver Imagen")</f>
        <v/>
      </c>
      <c r="M4081" t="inlineStr">
        <is>
          <t>Mediana</t>
        </is>
      </c>
    </row>
    <row r="4082">
      <c r="A4082" s="33" t="n">
        <v>4081</v>
      </c>
      <c r="B4082" t="inlineStr">
        <is>
          <t>A-492__416</t>
        </is>
      </c>
      <c r="C4082" s="1" t="n">
        <v>37.3115985021</v>
      </c>
      <c r="D4082" s="1" t="n">
        <v>-7.05966275789</v>
      </c>
      <c r="E4082" s="3" t="n">
        <v>2</v>
      </c>
      <c r="F4082" s="2" t="n">
        <v>1</v>
      </c>
      <c r="G4082" s="4" t="n">
        <v>3</v>
      </c>
      <c r="H4082" s="13" t="n">
        <v>1</v>
      </c>
      <c r="I4082" s="34" t="n">
        <v>1</v>
      </c>
      <c r="J4082" s="35" t="n">
        <v>1</v>
      </c>
      <c r="K4082" s="2" t="inlineStr">
        <is>
          <t>marker_543_839353.png</t>
        </is>
      </c>
      <c r="L4082" s="36">
        <f>HYPERLINK("NoConsenso\" &amp; K4082, "Ver Imagen")</f>
        <v/>
      </c>
      <c r="M4082" t="inlineStr">
        <is>
          <t>Mediana</t>
        </is>
      </c>
    </row>
    <row r="4083">
      <c r="A4083" s="33" t="n">
        <v>4082</v>
      </c>
      <c r="B4083" t="inlineStr">
        <is>
          <t>A-492__452</t>
        </is>
      </c>
      <c r="C4083" s="1" t="n">
        <v>37.3154744926</v>
      </c>
      <c r="D4083" s="1" t="n">
        <v>-7.06726114723</v>
      </c>
      <c r="E4083" s="3" t="n">
        <v>2</v>
      </c>
      <c r="F4083" s="2" t="n">
        <v>3</v>
      </c>
      <c r="G4083" s="4" t="n">
        <v>4</v>
      </c>
      <c r="H4083" s="13" t="n">
        <v>2</v>
      </c>
      <c r="I4083" s="34" t="n">
        <v>3</v>
      </c>
      <c r="J4083" s="35" t="n">
        <v>3</v>
      </c>
      <c r="K4083" s="2" t="inlineStr">
        <is>
          <t>marker_147_839838.png</t>
        </is>
      </c>
      <c r="L4083" s="36">
        <f>HYPERLINK("NoConsenso\" &amp; K4083, "Ver Imagen")</f>
        <v/>
      </c>
      <c r="M4083" t="inlineStr">
        <is>
          <t>Mediana</t>
        </is>
      </c>
    </row>
    <row r="4084">
      <c r="A4084" s="33" t="n">
        <v>4083</v>
      </c>
      <c r="B4084" t="inlineStr">
        <is>
          <t>A-492__453</t>
        </is>
      </c>
      <c r="C4084" s="1" t="n">
        <v>37.3155380723</v>
      </c>
      <c r="D4084" s="1" t="n">
        <v>-7.06755453299</v>
      </c>
      <c r="E4084" s="3" t="n">
        <v>2</v>
      </c>
      <c r="F4084" s="2" t="n">
        <v>2</v>
      </c>
      <c r="G4084" s="4" t="n">
        <v>4</v>
      </c>
      <c r="H4084" s="13" t="n">
        <v>2</v>
      </c>
      <c r="I4084" s="34" t="n">
        <v>1</v>
      </c>
      <c r="J4084" s="35" t="n">
        <v>2</v>
      </c>
      <c r="K4084" s="2" t="inlineStr">
        <is>
          <t>marker_906_839848.png</t>
        </is>
      </c>
      <c r="L4084" s="36">
        <f>HYPERLINK("NoConsenso\" &amp; K4084, "Ver Imagen")</f>
        <v/>
      </c>
      <c r="M4084" t="inlineStr">
        <is>
          <t>Mediana</t>
        </is>
      </c>
    </row>
    <row r="4085">
      <c r="A4085" s="33" t="n">
        <v>4084</v>
      </c>
      <c r="B4085" t="inlineStr">
        <is>
          <t>A-492__459</t>
        </is>
      </c>
      <c r="C4085" s="1" t="n">
        <v>37.31598556</v>
      </c>
      <c r="D4085" s="1" t="n">
        <v>-7.06893774789</v>
      </c>
      <c r="E4085" s="3" t="n">
        <v>2</v>
      </c>
      <c r="F4085" s="2" t="n">
        <v>3</v>
      </c>
      <c r="G4085" s="4" t="n">
        <v>4</v>
      </c>
      <c r="H4085" s="13" t="n">
        <v>3</v>
      </c>
      <c r="I4085" s="34" t="n">
        <v>3</v>
      </c>
      <c r="J4085" s="35" t="n">
        <v>3</v>
      </c>
      <c r="K4085" s="2" t="inlineStr">
        <is>
          <t>marker_829_839918.png</t>
        </is>
      </c>
      <c r="L4085" s="36">
        <f>HYPERLINK("NoConsenso\" &amp; K4085, "Ver Imagen")</f>
        <v/>
      </c>
      <c r="M4085" t="inlineStr">
        <is>
          <t>Mediana</t>
        </is>
      </c>
    </row>
    <row r="4086">
      <c r="A4086" s="33" t="n">
        <v>4085</v>
      </c>
      <c r="B4086" t="inlineStr">
        <is>
          <t>A-492__462</t>
        </is>
      </c>
      <c r="C4086" s="1" t="n">
        <v>37.3162970344</v>
      </c>
      <c r="D4086" s="1" t="n">
        <v>-7.06960532252</v>
      </c>
      <c r="E4086" s="3" t="n">
        <v>2</v>
      </c>
      <c r="F4086" s="2" t="n">
        <v>3</v>
      </c>
      <c r="G4086" s="4" t="n">
        <v>4</v>
      </c>
      <c r="H4086" s="13" t="n">
        <v>3</v>
      </c>
      <c r="I4086" s="34" t="n">
        <v>3</v>
      </c>
      <c r="J4086" s="35" t="n">
        <v>3</v>
      </c>
      <c r="K4086" s="2" t="inlineStr">
        <is>
          <t>marker_320_839951.png</t>
        </is>
      </c>
      <c r="L4086" s="36">
        <f>HYPERLINK("NoConsenso\" &amp; K4086, "Ver Imagen")</f>
        <v/>
      </c>
      <c r="M4086" t="inlineStr">
        <is>
          <t>Mediana</t>
        </is>
      </c>
    </row>
    <row r="4087">
      <c r="A4087" s="33" t="n">
        <v>4086</v>
      </c>
      <c r="B4087" t="inlineStr">
        <is>
          <t>A-492__463</t>
        </is>
      </c>
      <c r="C4087" s="1" t="n">
        <v>37.3163981512</v>
      </c>
      <c r="D4087" s="1" t="n">
        <v>-7.06980526824</v>
      </c>
      <c r="E4087" s="3" t="n">
        <v>2</v>
      </c>
      <c r="F4087" s="2" t="n">
        <v>3</v>
      </c>
      <c r="G4087" s="4" t="n">
        <v>4</v>
      </c>
      <c r="H4087" s="13" t="n">
        <v>3</v>
      </c>
      <c r="I4087" s="34" t="n">
        <v>3</v>
      </c>
      <c r="J4087" s="35" t="n">
        <v>3</v>
      </c>
      <c r="K4087" s="2" t="inlineStr">
        <is>
          <t>marker_760_839960.png</t>
        </is>
      </c>
      <c r="L4087" s="36">
        <f>HYPERLINK("NoConsenso\" &amp; K4087, "Ver Imagen")</f>
        <v/>
      </c>
      <c r="M4087" t="inlineStr">
        <is>
          <t>Mediana</t>
        </is>
      </c>
    </row>
    <row r="4088">
      <c r="A4088" s="33" t="n">
        <v>4087</v>
      </c>
      <c r="B4088" t="inlineStr">
        <is>
          <t>A-492__467</t>
        </is>
      </c>
      <c r="C4088" s="1" t="n">
        <v>37.3169071355</v>
      </c>
      <c r="D4088" s="1" t="n">
        <v>-7.07057756966</v>
      </c>
      <c r="E4088" s="3" t="n">
        <v>2</v>
      </c>
      <c r="F4088" s="2" t="n">
        <v>2</v>
      </c>
      <c r="G4088" s="4" t="n">
        <v>4</v>
      </c>
      <c r="H4088" s="13" t="n">
        <v>2</v>
      </c>
      <c r="I4088" s="34" t="n">
        <v>2</v>
      </c>
      <c r="J4088" s="35" t="n">
        <v>2</v>
      </c>
      <c r="K4088" s="2" t="inlineStr">
        <is>
          <t>marker_170_840016.png</t>
        </is>
      </c>
      <c r="L4088" s="36">
        <f>HYPERLINK("NoConsenso\" &amp; K4088, "Ver Imagen")</f>
        <v/>
      </c>
      <c r="M4088" t="inlineStr">
        <is>
          <t>Mediana</t>
        </is>
      </c>
    </row>
    <row r="4089">
      <c r="A4089" s="33" t="n">
        <v>4088</v>
      </c>
      <c r="B4089" t="inlineStr">
        <is>
          <t>A-492__468</t>
        </is>
      </c>
      <c r="C4089" s="1" t="n">
        <v>37.3170459732</v>
      </c>
      <c r="D4089" s="1" t="n">
        <v>-7.0707184741</v>
      </c>
      <c r="E4089" s="3" t="n">
        <v>2</v>
      </c>
      <c r="F4089" s="2" t="n">
        <v>3</v>
      </c>
      <c r="G4089" s="4" t="n">
        <v>4</v>
      </c>
      <c r="H4089" s="13" t="n">
        <v>3</v>
      </c>
      <c r="I4089" s="34" t="n">
        <v>3</v>
      </c>
      <c r="J4089" s="35" t="n">
        <v>3</v>
      </c>
      <c r="K4089" s="2" t="inlineStr">
        <is>
          <t>marker_985_840026.png</t>
        </is>
      </c>
      <c r="L4089" s="36">
        <f>HYPERLINK("NoConsenso\" &amp; K4089, "Ver Imagen")</f>
        <v/>
      </c>
      <c r="M4089" t="inlineStr">
        <is>
          <t>Mediana</t>
        </is>
      </c>
    </row>
    <row r="4090">
      <c r="A4090" s="33" t="n">
        <v>4089</v>
      </c>
      <c r="B4090" t="inlineStr">
        <is>
          <t>A-495R__106</t>
        </is>
      </c>
      <c r="C4090" s="1" t="n">
        <v>37.4642338217</v>
      </c>
      <c r="D4090" s="1" t="n">
        <v>-7.1189614474</v>
      </c>
      <c r="E4090" s="3" t="n">
        <v>1</v>
      </c>
      <c r="F4090" s="2" t="n">
        <v>3</v>
      </c>
      <c r="G4090" s="4" t="n">
        <v>2</v>
      </c>
      <c r="H4090" s="13" t="n">
        <v>2</v>
      </c>
      <c r="I4090" s="34" t="n">
        <v>2</v>
      </c>
      <c r="J4090" s="35" t="n">
        <v>2</v>
      </c>
      <c r="K4090" s="2" t="inlineStr">
        <is>
          <t>marker_509_895797.png</t>
        </is>
      </c>
      <c r="L4090" s="36">
        <f>HYPERLINK("NoConsenso\" &amp; K4090, "Ver Imagen")</f>
        <v/>
      </c>
      <c r="M4090" t="inlineStr">
        <is>
          <t>Mediana</t>
        </is>
      </c>
    </row>
    <row r="4091">
      <c r="A4091" s="33" t="n">
        <v>4090</v>
      </c>
      <c r="B4091" t="inlineStr">
        <is>
          <t>A-497__70</t>
        </is>
      </c>
      <c r="C4091" s="1" t="n">
        <v>37.2684257446</v>
      </c>
      <c r="D4091" s="1" t="n">
        <v>-6.97332083241</v>
      </c>
      <c r="E4091" s="3" t="n">
        <v>2</v>
      </c>
      <c r="F4091" s="2" t="n">
        <v>4</v>
      </c>
      <c r="G4091" s="4" t="n">
        <v>2</v>
      </c>
      <c r="H4091" s="13" t="n">
        <v>3</v>
      </c>
      <c r="I4091" s="34" t="n">
        <v>4</v>
      </c>
      <c r="J4091" s="37" t="n">
        <v>4</v>
      </c>
      <c r="K4091" s="2" t="inlineStr">
        <is>
          <t>marker_980_938045.png</t>
        </is>
      </c>
      <c r="L4091" s="36">
        <f>HYPERLINK("NoConsenso\" &amp; K4091, "Ver Imagen")</f>
        <v/>
      </c>
      <c r="M4091" s="37" t="inlineStr">
        <is>
          <t>Modificada</t>
        </is>
      </c>
    </row>
    <row r="4092">
      <c r="A4092" s="33" t="n">
        <v>4091</v>
      </c>
      <c r="B4092" t="inlineStr">
        <is>
          <t>A-497__52</t>
        </is>
      </c>
      <c r="C4092" s="1" t="n">
        <v>37.2677610677</v>
      </c>
      <c r="D4092" s="1" t="n">
        <v>-6.96881587883</v>
      </c>
      <c r="E4092" s="3" t="n">
        <v>2</v>
      </c>
      <c r="F4092" s="2" t="n">
        <v>4</v>
      </c>
      <c r="G4092" s="4" t="n">
        <v>2</v>
      </c>
      <c r="H4092" s="13" t="n">
        <v>3</v>
      </c>
      <c r="I4092" s="34" t="n">
        <v>4</v>
      </c>
      <c r="J4092" s="37" t="n">
        <v>4</v>
      </c>
      <c r="K4092" s="2" t="inlineStr">
        <is>
          <t>marker_840_938366.png</t>
        </is>
      </c>
      <c r="L4092" s="36">
        <f>HYPERLINK("NoConsenso\" &amp; K4092, "Ver Imagen")</f>
        <v/>
      </c>
      <c r="M4092" s="37" t="inlineStr">
        <is>
          <t>Modificada</t>
        </is>
      </c>
    </row>
    <row r="4093">
      <c r="A4093" s="33" t="n">
        <v>4092</v>
      </c>
      <c r="B4093" t="inlineStr">
        <is>
          <t>A-497__47</t>
        </is>
      </c>
      <c r="C4093" s="1" t="n">
        <v>37.2676515756</v>
      </c>
      <c r="D4093" s="1" t="n">
        <v>-6.96755324625</v>
      </c>
      <c r="E4093" s="3" t="n">
        <v>2</v>
      </c>
      <c r="F4093" s="2" t="n">
        <v>4</v>
      </c>
      <c r="G4093" s="4" t="n">
        <v>2</v>
      </c>
      <c r="H4093" s="13" t="n">
        <v>3</v>
      </c>
      <c r="I4093" s="34" t="n">
        <v>3</v>
      </c>
      <c r="J4093" s="37" t="n">
        <v>4</v>
      </c>
      <c r="K4093" s="2" t="inlineStr">
        <is>
          <t>marker_718_938426.png</t>
        </is>
      </c>
      <c r="L4093" s="36">
        <f>HYPERLINK("NoConsenso\" &amp; K4093, "Ver Imagen")</f>
        <v/>
      </c>
      <c r="M4093" s="37" t="inlineStr">
        <is>
          <t>Modificada</t>
        </is>
      </c>
    </row>
    <row r="4094">
      <c r="A4094" s="33" t="n">
        <v>4093</v>
      </c>
      <c r="B4094" t="inlineStr">
        <is>
          <t>A-497__44</t>
        </is>
      </c>
      <c r="C4094" s="1" t="n">
        <v>37.2676047609</v>
      </c>
      <c r="D4094" s="1" t="n">
        <v>-6.96680122779</v>
      </c>
      <c r="E4094" s="3" t="n">
        <v>2</v>
      </c>
      <c r="F4094" s="2" t="n">
        <v>4</v>
      </c>
      <c r="G4094" s="4" t="n">
        <v>2</v>
      </c>
      <c r="H4094" s="13" t="n">
        <v>3</v>
      </c>
      <c r="I4094" s="34" t="n">
        <v>3</v>
      </c>
      <c r="J4094" s="37" t="n">
        <v>4</v>
      </c>
      <c r="K4094" s="2" t="inlineStr">
        <is>
          <t>marker_786_938459.png</t>
        </is>
      </c>
      <c r="L4094" s="36">
        <f>HYPERLINK("NoConsenso\" &amp; K4094, "Ver Imagen")</f>
        <v/>
      </c>
      <c r="M4094" s="37" t="inlineStr">
        <is>
          <t>Modificada</t>
        </is>
      </c>
    </row>
    <row r="4095">
      <c r="A4095" s="33" t="n">
        <v>4094</v>
      </c>
      <c r="B4095" t="inlineStr">
        <is>
          <t>A-497__40</t>
        </is>
      </c>
      <c r="C4095" s="1" t="n">
        <v>37.2675608688</v>
      </c>
      <c r="D4095" s="1" t="n">
        <v>-6.9657946726</v>
      </c>
      <c r="E4095" s="3" t="n">
        <v>2</v>
      </c>
      <c r="F4095" s="2" t="n">
        <v>4</v>
      </c>
      <c r="G4095" s="4" t="n">
        <v>2</v>
      </c>
      <c r="H4095" s="13" t="n">
        <v>3</v>
      </c>
      <c r="I4095" s="34" t="n">
        <v>4</v>
      </c>
      <c r="J4095" s="37" t="n">
        <v>4</v>
      </c>
      <c r="K4095" s="2" t="inlineStr">
        <is>
          <t>marker_813_940280.png</t>
        </is>
      </c>
      <c r="L4095" s="36">
        <f>HYPERLINK("NoConsenso\" &amp; K4095, "Ver Imagen")</f>
        <v/>
      </c>
      <c r="M4095" s="37" t="inlineStr">
        <is>
          <t>Modificada</t>
        </is>
      </c>
    </row>
    <row r="4096">
      <c r="A4096" s="33" t="n">
        <v>4095</v>
      </c>
      <c r="B4096" t="inlineStr">
        <is>
          <t>A-497__36</t>
        </is>
      </c>
      <c r="C4096" s="1" t="n">
        <v>37.2675354141</v>
      </c>
      <c r="D4096" s="1" t="n">
        <v>-6.96477474887</v>
      </c>
      <c r="E4096" s="3" t="n">
        <v>2</v>
      </c>
      <c r="F4096" s="2" t="n">
        <v>4</v>
      </c>
      <c r="G4096" s="4" t="n">
        <v>2</v>
      </c>
      <c r="H4096" s="13" t="n">
        <v>3</v>
      </c>
      <c r="I4096" s="34" t="n">
        <v>3</v>
      </c>
      <c r="J4096" s="35" t="n">
        <v>3</v>
      </c>
      <c r="K4096" s="2" t="inlineStr">
        <is>
          <t>marker_181_940322.png</t>
        </is>
      </c>
      <c r="L4096" s="36">
        <f>HYPERLINK("NoConsenso\" &amp; K4096, "Ver Imagen")</f>
        <v/>
      </c>
      <c r="M4096" t="inlineStr">
        <is>
          <t>Mediana</t>
        </is>
      </c>
    </row>
    <row r="4097">
      <c r="A4097" s="33" t="n">
        <v>4096</v>
      </c>
      <c r="B4097" t="inlineStr">
        <is>
          <t>A-497__21</t>
        </is>
      </c>
      <c r="C4097" s="1" t="n">
        <v>37.2674357363</v>
      </c>
      <c r="D4097" s="1" t="n">
        <v>-6.9609774125</v>
      </c>
      <c r="E4097" s="3" t="n">
        <v>1</v>
      </c>
      <c r="F4097" s="2" t="n">
        <v>3</v>
      </c>
      <c r="G4097" s="4" t="n">
        <v>2</v>
      </c>
      <c r="H4097" s="13" t="n">
        <v>2</v>
      </c>
      <c r="I4097" s="34" t="n">
        <v>2</v>
      </c>
      <c r="J4097" s="35" t="n">
        <v>2</v>
      </c>
      <c r="K4097" s="2" t="inlineStr">
        <is>
          <t>marker_934_943767.png</t>
        </is>
      </c>
      <c r="L4097" s="36">
        <f>HYPERLINK("NoConsenso\" &amp; K4097, "Ver Imagen")</f>
        <v/>
      </c>
      <c r="M4097" t="inlineStr">
        <is>
          <t>Mediana</t>
        </is>
      </c>
    </row>
    <row r="4098">
      <c r="A4098" s="33" t="n">
        <v>4097</v>
      </c>
      <c r="B4098" t="inlineStr">
        <is>
          <t>A-497__4</t>
        </is>
      </c>
      <c r="C4098" s="1" t="n">
        <v>37.2670411948</v>
      </c>
      <c r="D4098" s="1" t="n">
        <v>-6.95723291208</v>
      </c>
      <c r="E4098" s="3" t="n">
        <v>2</v>
      </c>
      <c r="F4098" s="2" t="n">
        <v>2</v>
      </c>
      <c r="G4098" s="4" t="n">
        <v>4</v>
      </c>
      <c r="H4098" s="13" t="n">
        <v>1</v>
      </c>
      <c r="I4098" s="34" t="n">
        <v>1</v>
      </c>
      <c r="J4098" s="35" t="n">
        <v>2</v>
      </c>
      <c r="K4098" s="2" t="inlineStr">
        <is>
          <t>marker_886_944040.png</t>
        </is>
      </c>
      <c r="L4098" s="36">
        <f>HYPERLINK("NoConsenso\" &amp; K4098, "Ver Imagen")</f>
        <v/>
      </c>
      <c r="M4098" t="inlineStr">
        <is>
          <t>Mediana</t>
        </is>
      </c>
    </row>
    <row r="4099">
      <c r="A4099" s="33" t="n">
        <v>4098</v>
      </c>
      <c r="B4099" t="inlineStr">
        <is>
          <t>A-5050__165</t>
        </is>
      </c>
      <c r="C4099" s="1" t="n">
        <v>37.1916270062</v>
      </c>
      <c r="D4099" s="1" t="n">
        <v>-6.99228406273</v>
      </c>
      <c r="E4099" s="3" t="n">
        <v>2</v>
      </c>
      <c r="F4099" s="2" t="n">
        <v>3</v>
      </c>
      <c r="G4099" s="4" t="n">
        <v>4</v>
      </c>
      <c r="H4099" s="13" t="n">
        <v>2</v>
      </c>
      <c r="I4099" s="34" t="n">
        <v>2</v>
      </c>
      <c r="J4099" s="35" t="n">
        <v>2</v>
      </c>
      <c r="K4099" s="2" t="inlineStr">
        <is>
          <t>marker_115_944341.png</t>
        </is>
      </c>
      <c r="L4099" s="36">
        <f>HYPERLINK("NoConsenso\" &amp; K4099, "Ver Imagen")</f>
        <v/>
      </c>
      <c r="M4099" t="inlineStr">
        <is>
          <t>Mediana</t>
        </is>
      </c>
    </row>
    <row r="4100">
      <c r="A4100" s="33" t="n">
        <v>4099</v>
      </c>
      <c r="B4100" t="inlineStr">
        <is>
          <t>A-5050__164</t>
        </is>
      </c>
      <c r="C4100" s="1" t="n">
        <v>37.1917155408</v>
      </c>
      <c r="D4100" s="1" t="n">
        <v>-6.99246925669</v>
      </c>
      <c r="E4100" s="3" t="n">
        <v>2</v>
      </c>
      <c r="F4100" s="2" t="n">
        <v>3</v>
      </c>
      <c r="G4100" s="4" t="n">
        <v>4</v>
      </c>
      <c r="H4100" s="13" t="n">
        <v>2</v>
      </c>
      <c r="I4100" s="34" t="n">
        <v>1</v>
      </c>
      <c r="J4100" s="35" t="n">
        <v>2</v>
      </c>
      <c r="K4100" s="2" t="inlineStr">
        <is>
          <t>marker_175_944349.png</t>
        </is>
      </c>
      <c r="L4100" s="36">
        <f>HYPERLINK("NoConsenso\" &amp; K4100, "Ver Imagen")</f>
        <v/>
      </c>
      <c r="M4100" t="inlineStr">
        <is>
          <t>Mediana</t>
        </is>
      </c>
    </row>
    <row r="4101">
      <c r="A4101" s="33" t="n">
        <v>4100</v>
      </c>
      <c r="B4101" t="inlineStr">
        <is>
          <t>A-5050__160</t>
        </is>
      </c>
      <c r="C4101" s="1" t="n">
        <v>37.1921465161</v>
      </c>
      <c r="D4101" s="1" t="n">
        <v>-6.9933660973</v>
      </c>
      <c r="E4101" s="3" t="n">
        <v>2</v>
      </c>
      <c r="F4101" s="2" t="n">
        <v>3</v>
      </c>
      <c r="G4101" s="4" t="n">
        <v>4</v>
      </c>
      <c r="H4101" s="13" t="n">
        <v>2</v>
      </c>
      <c r="I4101" s="34" t="n">
        <v>1</v>
      </c>
      <c r="J4101" s="35" t="n">
        <v>2</v>
      </c>
      <c r="K4101" s="2" t="inlineStr">
        <is>
          <t>marker_762_944692.png</t>
        </is>
      </c>
      <c r="L4101" s="36">
        <f>HYPERLINK("NoConsenso\" &amp; K4101, "Ver Imagen")</f>
        <v/>
      </c>
      <c r="M4101" t="inlineStr">
        <is>
          <t>Mediana</t>
        </is>
      </c>
    </row>
    <row r="4102">
      <c r="A4102" s="33" t="n">
        <v>4101</v>
      </c>
      <c r="B4102" t="inlineStr">
        <is>
          <t>A-5050__158</t>
        </is>
      </c>
      <c r="C4102" s="1" t="n">
        <v>37.1923441664</v>
      </c>
      <c r="D4102" s="1" t="n">
        <v>-6.99378211061</v>
      </c>
      <c r="E4102" s="3" t="n">
        <v>2</v>
      </c>
      <c r="F4102" s="2" t="n">
        <v>3</v>
      </c>
      <c r="G4102" s="4" t="n">
        <v>4</v>
      </c>
      <c r="H4102" s="13" t="n">
        <v>3</v>
      </c>
      <c r="I4102" s="34" t="n">
        <v>3</v>
      </c>
      <c r="J4102" s="35" t="n">
        <v>3</v>
      </c>
      <c r="K4102" s="2" t="inlineStr">
        <is>
          <t>marker_341_944952.png</t>
        </is>
      </c>
      <c r="L4102" s="36">
        <f>HYPERLINK("NoConsenso\" &amp; K4102, "Ver Imagen")</f>
        <v/>
      </c>
      <c r="M4102" t="inlineStr">
        <is>
          <t>Mediana</t>
        </is>
      </c>
    </row>
    <row r="4103">
      <c r="A4103" s="33" t="n">
        <v>4102</v>
      </c>
      <c r="B4103" t="inlineStr">
        <is>
          <t>A-5050__102</t>
        </is>
      </c>
      <c r="C4103" s="1" t="n">
        <v>37.1975939065</v>
      </c>
      <c r="D4103" s="1" t="n">
        <v>-7.00632487291</v>
      </c>
      <c r="E4103" s="3" t="n">
        <v>2</v>
      </c>
      <c r="F4103" s="2" t="n">
        <v>3</v>
      </c>
      <c r="G4103" s="4" t="n">
        <v>4</v>
      </c>
      <c r="H4103" s="13" t="n">
        <v>2</v>
      </c>
      <c r="I4103" s="34" t="n">
        <v>2</v>
      </c>
      <c r="J4103" s="35" t="n">
        <v>2</v>
      </c>
      <c r="K4103" s="2" t="inlineStr">
        <is>
          <t>marker_537_946781.png</t>
        </is>
      </c>
      <c r="L4103" s="36">
        <f>HYPERLINK("NoConsenso\" &amp; K4103, "Ver Imagen")</f>
        <v/>
      </c>
      <c r="M4103" t="inlineStr">
        <is>
          <t>Mediana</t>
        </is>
      </c>
    </row>
    <row r="4104">
      <c r="A4104" s="33" t="n">
        <v>4103</v>
      </c>
      <c r="B4104" t="inlineStr">
        <is>
          <t>A-5050__54</t>
        </is>
      </c>
      <c r="C4104" s="1" t="n">
        <v>37.2034329715</v>
      </c>
      <c r="D4104" s="1" t="n">
        <v>-7.0160130132</v>
      </c>
      <c r="E4104" s="3" t="n">
        <v>2</v>
      </c>
      <c r="F4104" s="2" t="n">
        <v>3</v>
      </c>
      <c r="G4104" s="4" t="n">
        <v>4</v>
      </c>
      <c r="H4104" s="13" t="n">
        <v>3</v>
      </c>
      <c r="I4104" s="34" t="n">
        <v>4</v>
      </c>
      <c r="J4104" s="37" t="n">
        <v>4</v>
      </c>
      <c r="K4104" s="2" t="inlineStr">
        <is>
          <t>marker_880_949118.png</t>
        </is>
      </c>
      <c r="L4104" s="36">
        <f>HYPERLINK("NoConsenso\" &amp; K4104, "Ver Imagen")</f>
        <v/>
      </c>
      <c r="M4104" s="37" t="inlineStr">
        <is>
          <t>Modificada</t>
        </is>
      </c>
    </row>
    <row r="4105">
      <c r="A4105" s="33" t="n">
        <v>4104</v>
      </c>
      <c r="B4105" t="inlineStr">
        <is>
          <t>A-5050__51</t>
        </is>
      </c>
      <c r="C4105" s="1" t="n">
        <v>37.2038393068</v>
      </c>
      <c r="D4105" s="1" t="n">
        <v>-7.0166422463</v>
      </c>
      <c r="E4105" s="3" t="n">
        <v>2</v>
      </c>
      <c r="F4105" s="2" t="n">
        <v>3</v>
      </c>
      <c r="G4105" s="4" t="n">
        <v>4</v>
      </c>
      <c r="H4105" s="13" t="n">
        <v>3</v>
      </c>
      <c r="I4105" s="34" t="n">
        <v>4</v>
      </c>
      <c r="J4105" s="37" t="n">
        <v>4</v>
      </c>
      <c r="K4105" s="2" t="inlineStr">
        <is>
          <t>marker_219_949147.png</t>
        </is>
      </c>
      <c r="L4105" s="36">
        <f>HYPERLINK("NoConsenso\" &amp; K4105, "Ver Imagen")</f>
        <v/>
      </c>
      <c r="M4105" s="37" t="inlineStr">
        <is>
          <t>Modificada</t>
        </is>
      </c>
    </row>
    <row r="4106">
      <c r="A4106" s="33" t="n">
        <v>4105</v>
      </c>
      <c r="B4106" t="inlineStr">
        <is>
          <t>A-5050__17</t>
        </is>
      </c>
      <c r="C4106" s="1" t="n">
        <v>37.2082001721</v>
      </c>
      <c r="D4106" s="1" t="n">
        <v>-7.0232265818</v>
      </c>
      <c r="E4106" s="3" t="n">
        <v>2</v>
      </c>
      <c r="F4106" s="2" t="n">
        <v>2</v>
      </c>
      <c r="G4106" s="4" t="n">
        <v>4</v>
      </c>
      <c r="H4106" s="13" t="n">
        <v>2</v>
      </c>
      <c r="I4106" s="34" t="n">
        <v>2</v>
      </c>
      <c r="J4106" s="35" t="n">
        <v>2</v>
      </c>
      <c r="K4106" s="2" t="inlineStr">
        <is>
          <t>marker_765_949525.png</t>
        </is>
      </c>
      <c r="L4106" s="36">
        <f>HYPERLINK("NoConsenso\" &amp; K4106, "Ver Imagen")</f>
        <v/>
      </c>
      <c r="M4106" t="inlineStr">
        <is>
          <t>Mediana</t>
        </is>
      </c>
    </row>
    <row r="4107">
      <c r="A4107" s="33" t="n">
        <v>4106</v>
      </c>
      <c r="B4107" t="inlineStr">
        <is>
          <t>A-5052__36</t>
        </is>
      </c>
      <c r="C4107" s="1" t="n">
        <v>37.2178998498</v>
      </c>
      <c r="D4107" s="1" t="n">
        <v>-7.11698312119</v>
      </c>
      <c r="E4107" s="3" t="n">
        <v>3</v>
      </c>
      <c r="F4107" s="2" t="n">
        <v>1</v>
      </c>
      <c r="G4107" s="4" t="n">
        <v>2</v>
      </c>
      <c r="H4107" s="13" t="n">
        <v>2</v>
      </c>
      <c r="I4107" s="34" t="n">
        <v>1</v>
      </c>
      <c r="J4107" s="35" t="n">
        <v>2</v>
      </c>
      <c r="K4107" s="2" t="inlineStr">
        <is>
          <t>marker_506_956756.png</t>
        </is>
      </c>
      <c r="L4107" s="36">
        <f>HYPERLINK("NoConsenso\" &amp; K4107, "Ver Imagen")</f>
        <v/>
      </c>
      <c r="M4107" t="inlineStr">
        <is>
          <t>Mediana</t>
        </is>
      </c>
    </row>
    <row r="4108">
      <c r="A4108" s="33" t="n">
        <v>4107</v>
      </c>
      <c r="B4108" t="inlineStr">
        <is>
          <t>A-5052__272</t>
        </is>
      </c>
      <c r="C4108" s="1" t="n">
        <v>37.2117770102</v>
      </c>
      <c r="D4108" s="1" t="n">
        <v>-7.05845038952</v>
      </c>
      <c r="E4108" s="3" t="n">
        <v>2</v>
      </c>
      <c r="F4108" s="2" t="n">
        <v>4</v>
      </c>
      <c r="G4108" s="4" t="n">
        <v>3</v>
      </c>
      <c r="H4108" s="13" t="n">
        <v>3</v>
      </c>
      <c r="I4108" s="34" t="n">
        <v>4</v>
      </c>
      <c r="J4108" s="35" t="n">
        <v>3</v>
      </c>
      <c r="K4108" s="2" t="inlineStr">
        <is>
          <t>marker_917_960349.png</t>
        </is>
      </c>
      <c r="L4108" s="36">
        <f>HYPERLINK("NoConsenso\" &amp; K4108, "Ver Imagen")</f>
        <v/>
      </c>
      <c r="M4108" t="inlineStr">
        <is>
          <t>Mediana</t>
        </is>
      </c>
    </row>
    <row r="4109">
      <c r="A4109" s="33" t="n">
        <v>4108</v>
      </c>
      <c r="B4109" t="inlineStr">
        <is>
          <t>A-5052__292</t>
        </is>
      </c>
      <c r="C4109" s="1" t="n">
        <v>37.2108546744</v>
      </c>
      <c r="D4109" s="1" t="n">
        <v>-7.05356630981</v>
      </c>
      <c r="E4109" s="3" t="n">
        <v>2</v>
      </c>
      <c r="F4109" s="2" t="n">
        <v>3</v>
      </c>
      <c r="G4109" s="4" t="n">
        <v>4</v>
      </c>
      <c r="H4109" s="13" t="n">
        <v>3</v>
      </c>
      <c r="I4109" s="34" t="n">
        <v>3</v>
      </c>
      <c r="J4109" s="35" t="n">
        <v>3</v>
      </c>
      <c r="K4109" s="2" t="inlineStr">
        <is>
          <t>marker_618_960728.png</t>
        </is>
      </c>
      <c r="L4109" s="36">
        <f>HYPERLINK("NoConsenso\" &amp; K4109, "Ver Imagen")</f>
        <v/>
      </c>
      <c r="M4109" t="inlineStr">
        <is>
          <t>Mediana</t>
        </is>
      </c>
    </row>
    <row r="4110">
      <c r="A4110" s="33" t="n">
        <v>4109</v>
      </c>
      <c r="B4110" t="inlineStr">
        <is>
          <t>A-5052__306</t>
        </is>
      </c>
      <c r="C4110" s="1" t="n">
        <v>37.2112942151</v>
      </c>
      <c r="D4110" s="1" t="n">
        <v>-7.05017618011</v>
      </c>
      <c r="E4110" s="3" t="n">
        <v>2</v>
      </c>
      <c r="F4110" s="2" t="n">
        <v>4</v>
      </c>
      <c r="G4110" s="4" t="n">
        <v>3</v>
      </c>
      <c r="H4110" s="13" t="n">
        <v>3</v>
      </c>
      <c r="I4110" s="34" t="n">
        <v>3</v>
      </c>
      <c r="J4110" s="35" t="n">
        <v>3</v>
      </c>
      <c r="K4110" s="2" t="inlineStr">
        <is>
          <t>marker_792_961038.png</t>
        </is>
      </c>
      <c r="L4110" s="36">
        <f>HYPERLINK("NoConsenso\" &amp; K4110, "Ver Imagen")</f>
        <v/>
      </c>
      <c r="M4110" t="inlineStr">
        <is>
          <t>Mediana</t>
        </is>
      </c>
    </row>
    <row r="4111">
      <c r="A4111" s="33" t="n">
        <v>4110</v>
      </c>
      <c r="B4111" t="inlineStr">
        <is>
          <t>A-5052__313</t>
        </is>
      </c>
      <c r="C4111" s="1" t="n">
        <v>37.2117610015</v>
      </c>
      <c r="D4111" s="1" t="n">
        <v>-7.04848987923</v>
      </c>
      <c r="E4111" s="3" t="n">
        <v>2</v>
      </c>
      <c r="F4111" s="2" t="n">
        <v>2</v>
      </c>
      <c r="G4111" s="4" t="n">
        <v>4</v>
      </c>
      <c r="H4111" s="13" t="n">
        <v>2</v>
      </c>
      <c r="I4111" s="34" t="n">
        <v>2</v>
      </c>
      <c r="J4111" s="35" t="n">
        <v>2</v>
      </c>
      <c r="K4111" s="2" t="inlineStr">
        <is>
          <t>marker_739_961156.png</t>
        </is>
      </c>
      <c r="L4111" s="36">
        <f>HYPERLINK("NoConsenso\" &amp; K4111, "Ver Imagen")</f>
        <v/>
      </c>
      <c r="M4111" t="inlineStr">
        <is>
          <t>Mediana</t>
        </is>
      </c>
    </row>
    <row r="4112">
      <c r="A4112" s="33" t="n">
        <v>4111</v>
      </c>
      <c r="B4112" t="inlineStr">
        <is>
          <t>A-5052__386</t>
        </is>
      </c>
      <c r="C4112" s="1" t="n">
        <v>37.2060678097</v>
      </c>
      <c r="D4112" s="1" t="n">
        <v>-7.03152586362</v>
      </c>
      <c r="E4112" s="3" t="n">
        <v>2</v>
      </c>
      <c r="F4112" s="2" t="n">
        <v>3</v>
      </c>
      <c r="G4112" s="4" t="n">
        <v>4</v>
      </c>
      <c r="H4112" s="13" t="n">
        <v>2</v>
      </c>
      <c r="I4112" s="34" t="n">
        <v>3</v>
      </c>
      <c r="J4112" s="35" t="n">
        <v>3</v>
      </c>
      <c r="K4112" s="2" t="inlineStr">
        <is>
          <t>marker_149_962537.png</t>
        </is>
      </c>
      <c r="L4112" s="36">
        <f>HYPERLINK("NoConsenso\" &amp; K4112, "Ver Imagen")</f>
        <v/>
      </c>
      <c r="M4112" t="inlineStr">
        <is>
          <t>Mediana</t>
        </is>
      </c>
    </row>
    <row r="4113">
      <c r="A4113" s="33" t="n">
        <v>4112</v>
      </c>
      <c r="B4113" t="inlineStr">
        <is>
          <t>A-5052__401</t>
        </is>
      </c>
      <c r="C4113" s="1" t="n">
        <v>37.2047080083</v>
      </c>
      <c r="D4113" s="1" t="n">
        <v>-7.02820765062</v>
      </c>
      <c r="E4113" s="3" t="n">
        <v>2</v>
      </c>
      <c r="F4113" s="2" t="n">
        <v>3</v>
      </c>
      <c r="G4113" s="4" t="n">
        <v>4</v>
      </c>
      <c r="H4113" s="13" t="n">
        <v>3</v>
      </c>
      <c r="I4113" s="34" t="n">
        <v>3</v>
      </c>
      <c r="J4113" s="35" t="n">
        <v>3</v>
      </c>
      <c r="K4113" s="2" t="inlineStr">
        <is>
          <t>marker_849_962677.png</t>
        </is>
      </c>
      <c r="L4113" s="36">
        <f>HYPERLINK("NoConsenso\" &amp; K4113, "Ver Imagen")</f>
        <v/>
      </c>
      <c r="M4113" t="inlineStr">
        <is>
          <t>Mediana</t>
        </is>
      </c>
    </row>
    <row r="4114">
      <c r="A4114" s="33" t="n">
        <v>4113</v>
      </c>
      <c r="B4114" t="inlineStr">
        <is>
          <t>A-5052__447</t>
        </is>
      </c>
      <c r="C4114" s="1" t="n">
        <v>37.2007476903</v>
      </c>
      <c r="D4114" s="1" t="n">
        <v>-7.01764312312</v>
      </c>
      <c r="E4114" s="3" t="n">
        <v>1</v>
      </c>
      <c r="F4114" s="2" t="n">
        <v>3</v>
      </c>
      <c r="G4114" s="4" t="n">
        <v>2</v>
      </c>
      <c r="H4114" s="13" t="n">
        <v>2</v>
      </c>
      <c r="I4114" s="34" t="n">
        <v>1</v>
      </c>
      <c r="J4114" s="35" t="n">
        <v>2</v>
      </c>
      <c r="K4114" s="2" t="inlineStr">
        <is>
          <t>marker_414_963147.png</t>
        </is>
      </c>
      <c r="L4114" s="36">
        <f>HYPERLINK("NoConsenso\" &amp; K4114, "Ver Imagen")</f>
        <v/>
      </c>
      <c r="M4114" t="inlineStr">
        <is>
          <t>Mediana</t>
        </is>
      </c>
    </row>
    <row r="4115">
      <c r="A4115" s="33" t="n">
        <v>4114</v>
      </c>
      <c r="B4115" t="inlineStr">
        <is>
          <t>A-5053__381</t>
        </is>
      </c>
      <c r="C4115" s="1" t="n">
        <v>37.2884389569</v>
      </c>
      <c r="D4115" s="1" t="n">
        <v>-7.14147154412</v>
      </c>
      <c r="E4115" s="3" t="n">
        <v>2</v>
      </c>
      <c r="F4115" s="2" t="n">
        <v>4</v>
      </c>
      <c r="G4115" s="4" t="n">
        <v>3</v>
      </c>
      <c r="H4115" s="13" t="n">
        <v>3</v>
      </c>
      <c r="I4115" s="34" t="n">
        <v>4</v>
      </c>
      <c r="J4115" s="35" t="n">
        <v>3</v>
      </c>
      <c r="K4115" s="2" t="inlineStr">
        <is>
          <t>marker_163_963839.png</t>
        </is>
      </c>
      <c r="L4115" s="36">
        <f>HYPERLINK("NoConsenso\" &amp; K4115, "Ver Imagen")</f>
        <v/>
      </c>
      <c r="M4115" t="inlineStr">
        <is>
          <t>Mediana</t>
        </is>
      </c>
    </row>
    <row r="4116">
      <c r="A4116" s="33" t="n">
        <v>4115</v>
      </c>
      <c r="B4116" t="inlineStr">
        <is>
          <t>A-5053__380</t>
        </is>
      </c>
      <c r="C4116" s="1" t="n">
        <v>37.2882996341</v>
      </c>
      <c r="D4116" s="1" t="n">
        <v>-7.14167918192</v>
      </c>
      <c r="E4116" s="3" t="n">
        <v>2</v>
      </c>
      <c r="F4116" s="2" t="n">
        <v>4</v>
      </c>
      <c r="G4116" s="4" t="n">
        <v>3</v>
      </c>
      <c r="H4116" s="13" t="n">
        <v>3</v>
      </c>
      <c r="I4116" s="34" t="n">
        <v>4</v>
      </c>
      <c r="J4116" s="35" t="n">
        <v>3</v>
      </c>
      <c r="K4116" s="2" t="inlineStr">
        <is>
          <t>marker_867_963850.png</t>
        </is>
      </c>
      <c r="L4116" s="36">
        <f>HYPERLINK("NoConsenso\" &amp; K4116, "Ver Imagen")</f>
        <v/>
      </c>
      <c r="M4116" t="inlineStr">
        <is>
          <t>Mediana</t>
        </is>
      </c>
    </row>
    <row r="4117">
      <c r="A4117" s="33" t="n">
        <v>4116</v>
      </c>
      <c r="B4117" t="inlineStr">
        <is>
          <t>A-5053__379</t>
        </is>
      </c>
      <c r="C4117" s="1" t="n">
        <v>37.2881220667</v>
      </c>
      <c r="D4117" s="1" t="n">
        <v>-7.14173698724</v>
      </c>
      <c r="E4117" s="3" t="n">
        <v>2</v>
      </c>
      <c r="F4117" s="2" t="n">
        <v>4</v>
      </c>
      <c r="G4117" s="4" t="n">
        <v>3</v>
      </c>
      <c r="H4117" s="13" t="n">
        <v>3</v>
      </c>
      <c r="I4117" s="34" t="n">
        <v>3</v>
      </c>
      <c r="J4117" s="35" t="n">
        <v>3</v>
      </c>
      <c r="K4117" s="2" t="inlineStr">
        <is>
          <t>marker_556_963863.png</t>
        </is>
      </c>
      <c r="L4117" s="36">
        <f>HYPERLINK("NoConsenso\" &amp; K4117, "Ver Imagen")</f>
        <v/>
      </c>
      <c r="M4117" t="inlineStr">
        <is>
          <t>Mediana</t>
        </is>
      </c>
    </row>
    <row r="4118">
      <c r="A4118" s="33" t="n">
        <v>4117</v>
      </c>
      <c r="B4118" t="inlineStr">
        <is>
          <t>A-5053__361</t>
        </is>
      </c>
      <c r="C4118" s="1" t="n">
        <v>37.2851298169</v>
      </c>
      <c r="D4118" s="1" t="n">
        <v>-7.14292231496</v>
      </c>
      <c r="E4118" s="3" t="n">
        <v>2</v>
      </c>
      <c r="F4118" s="2" t="n">
        <v>4</v>
      </c>
      <c r="G4118" s="4" t="n">
        <v>3</v>
      </c>
      <c r="H4118" s="13" t="n">
        <v>2</v>
      </c>
      <c r="I4118" s="34" t="n">
        <v>3</v>
      </c>
      <c r="J4118" s="35" t="n">
        <v>3</v>
      </c>
      <c r="K4118" s="2" t="inlineStr">
        <is>
          <t>marker_101_964051.png</t>
        </is>
      </c>
      <c r="L4118" s="36">
        <f>HYPERLINK("NoConsenso\" &amp; K4118, "Ver Imagen")</f>
        <v/>
      </c>
      <c r="M4118" t="inlineStr">
        <is>
          <t>Mediana</t>
        </is>
      </c>
    </row>
    <row r="4119">
      <c r="A4119" s="33" t="n">
        <v>4118</v>
      </c>
      <c r="B4119" t="inlineStr">
        <is>
          <t>A-5053__359</t>
        </is>
      </c>
      <c r="C4119" s="1" t="n">
        <v>37.2847787008</v>
      </c>
      <c r="D4119" s="1" t="n">
        <v>-7.14308285773</v>
      </c>
      <c r="E4119" s="3" t="n">
        <v>2</v>
      </c>
      <c r="F4119" s="2" t="n">
        <v>4</v>
      </c>
      <c r="G4119" s="4" t="n">
        <v>2</v>
      </c>
      <c r="H4119" s="13" t="n">
        <v>2</v>
      </c>
      <c r="I4119" s="34" t="n">
        <v>3</v>
      </c>
      <c r="J4119" s="35" t="n">
        <v>2</v>
      </c>
      <c r="K4119" s="2" t="inlineStr">
        <is>
          <t>marker_631_964077.png</t>
        </is>
      </c>
      <c r="L4119" s="36">
        <f>HYPERLINK("NoConsenso\" &amp; K4119, "Ver Imagen")</f>
        <v/>
      </c>
      <c r="M4119" t="inlineStr">
        <is>
          <t>Mediana</t>
        </is>
      </c>
    </row>
    <row r="4120">
      <c r="A4120" s="33" t="n">
        <v>4119</v>
      </c>
      <c r="B4120" t="inlineStr">
        <is>
          <t>A-5053__298</t>
        </is>
      </c>
      <c r="C4120" s="1" t="n">
        <v>37.2738713235</v>
      </c>
      <c r="D4120" s="1" t="n">
        <v>-7.14216858807</v>
      </c>
      <c r="E4120" s="3" t="n">
        <v>3</v>
      </c>
      <c r="F4120" s="2" t="n">
        <v>4</v>
      </c>
      <c r="G4120" s="4" t="n">
        <v>2</v>
      </c>
      <c r="H4120" s="13" t="n">
        <v>3</v>
      </c>
      <c r="I4120" s="34" t="n">
        <v>3</v>
      </c>
      <c r="J4120" s="35" t="n">
        <v>3</v>
      </c>
      <c r="K4120" s="2" t="inlineStr">
        <is>
          <t>marker_347_964884.png</t>
        </is>
      </c>
      <c r="L4120" s="36">
        <f>HYPERLINK("NoConsenso\" &amp; K4120, "Ver Imagen")</f>
        <v/>
      </c>
      <c r="M4120" t="inlineStr">
        <is>
          <t>Mediana</t>
        </is>
      </c>
    </row>
    <row r="4121">
      <c r="A4121" s="33" t="n">
        <v>4120</v>
      </c>
      <c r="B4121" t="inlineStr">
        <is>
          <t>A-5053__271</t>
        </is>
      </c>
      <c r="C4121" s="1" t="n">
        <v>37.2691980879</v>
      </c>
      <c r="D4121" s="1" t="n">
        <v>-7.13876805038</v>
      </c>
      <c r="E4121" s="3" t="n">
        <v>2</v>
      </c>
      <c r="F4121" s="2" t="n">
        <v>2</v>
      </c>
      <c r="G4121" s="4" t="n">
        <v>4</v>
      </c>
      <c r="H4121" s="13" t="n">
        <v>2</v>
      </c>
      <c r="I4121" s="34" t="n">
        <v>2</v>
      </c>
      <c r="J4121" s="35" t="n">
        <v>2</v>
      </c>
      <c r="K4121" s="2" t="inlineStr">
        <is>
          <t>marker_680_965139.png</t>
        </is>
      </c>
      <c r="L4121" s="36">
        <f>HYPERLINK("NoConsenso\" &amp; K4121, "Ver Imagen")</f>
        <v/>
      </c>
      <c r="M4121" t="inlineStr">
        <is>
          <t>Mediana</t>
        </is>
      </c>
    </row>
    <row r="4122">
      <c r="A4122" s="33" t="n">
        <v>4121</v>
      </c>
      <c r="B4122" t="inlineStr">
        <is>
          <t>A-5053__245</t>
        </is>
      </c>
      <c r="C4122" s="1" t="n">
        <v>37.2666732106</v>
      </c>
      <c r="D4122" s="1" t="n">
        <v>-7.13328695205</v>
      </c>
      <c r="E4122" s="3" t="n">
        <v>4</v>
      </c>
      <c r="F4122" s="2" t="n">
        <v>2</v>
      </c>
      <c r="G4122" s="4" t="n">
        <v>2</v>
      </c>
      <c r="H4122" s="13" t="n">
        <v>2</v>
      </c>
      <c r="I4122" s="34" t="n">
        <v>2</v>
      </c>
      <c r="J4122" s="35" t="n">
        <v>2</v>
      </c>
      <c r="K4122" s="2" t="inlineStr">
        <is>
          <t>marker_307_965455.png</t>
        </is>
      </c>
      <c r="L4122" s="36">
        <f>HYPERLINK("NoConsenso\" &amp; K4122, "Ver Imagen")</f>
        <v/>
      </c>
      <c r="M4122" t="inlineStr">
        <is>
          <t>Mediana</t>
        </is>
      </c>
    </row>
    <row r="4123">
      <c r="A4123" s="33" t="n">
        <v>4122</v>
      </c>
      <c r="B4123" t="inlineStr">
        <is>
          <t>A-5053__203</t>
        </is>
      </c>
      <c r="C4123" s="1" t="n">
        <v>37.2590618754</v>
      </c>
      <c r="D4123" s="1" t="n">
        <v>-7.12849630517</v>
      </c>
      <c r="E4123" s="3" t="n">
        <v>4</v>
      </c>
      <c r="F4123" s="2" t="n">
        <v>3</v>
      </c>
      <c r="G4123" s="4" t="n">
        <v>2</v>
      </c>
      <c r="H4123" s="13" t="n">
        <v>2</v>
      </c>
      <c r="I4123" s="34" t="n">
        <v>2</v>
      </c>
      <c r="J4123" s="35" t="n">
        <v>2</v>
      </c>
      <c r="K4123" s="2" t="inlineStr">
        <is>
          <t>marker_548_965860.png</t>
        </is>
      </c>
      <c r="L4123" s="36">
        <f>HYPERLINK("NoConsenso\" &amp; K4123, "Ver Imagen")</f>
        <v/>
      </c>
      <c r="M4123" t="inlineStr">
        <is>
          <t>Mediana</t>
        </is>
      </c>
    </row>
    <row r="4124">
      <c r="A4124" s="33" t="n">
        <v>4123</v>
      </c>
      <c r="B4124" t="inlineStr">
        <is>
          <t>A-495__51</t>
        </is>
      </c>
      <c r="C4124" s="1" t="n">
        <v>37.4404530679</v>
      </c>
      <c r="D4124" s="1" t="n">
        <v>-7.08859268385</v>
      </c>
      <c r="E4124" s="3" t="n">
        <v>4</v>
      </c>
      <c r="F4124" s="2" t="n">
        <v>4</v>
      </c>
      <c r="G4124" s="4" t="n">
        <v>2</v>
      </c>
      <c r="H4124" s="13" t="n">
        <v>3</v>
      </c>
      <c r="I4124" s="34" t="n">
        <v>3</v>
      </c>
      <c r="J4124" s="35" t="n">
        <v>3</v>
      </c>
      <c r="K4124" s="2" t="inlineStr">
        <is>
          <t>marker_853_381625.png</t>
        </is>
      </c>
      <c r="L4124" s="36">
        <f>HYPERLINK("NoConsenso\" &amp; K4124, "Ver Imagen")</f>
        <v/>
      </c>
      <c r="M4124" t="inlineStr">
        <is>
          <t>Mediana</t>
        </is>
      </c>
    </row>
    <row r="4125">
      <c r="A4125" s="33" t="n">
        <v>4124</v>
      </c>
      <c r="B4125" t="inlineStr">
        <is>
          <t>A-495__61</t>
        </is>
      </c>
      <c r="C4125" s="1" t="n">
        <v>37.4394066588</v>
      </c>
      <c r="D4125" s="1" t="n">
        <v>-7.08640329216</v>
      </c>
      <c r="E4125" s="3" t="n">
        <v>4</v>
      </c>
      <c r="F4125" s="2" t="n">
        <v>3</v>
      </c>
      <c r="G4125" s="4" t="n">
        <v>2</v>
      </c>
      <c r="H4125" s="13" t="n">
        <v>3</v>
      </c>
      <c r="I4125" s="34" t="n">
        <v>3</v>
      </c>
      <c r="J4125" s="35" t="n">
        <v>3</v>
      </c>
      <c r="K4125" s="2" t="inlineStr">
        <is>
          <t>marker_109_381719.png</t>
        </is>
      </c>
      <c r="L4125" s="36">
        <f>HYPERLINK("NoConsenso\" &amp; K4125, "Ver Imagen")</f>
        <v/>
      </c>
      <c r="M4125" t="inlineStr">
        <is>
          <t>Mediana</t>
        </is>
      </c>
    </row>
    <row r="4126">
      <c r="A4126" s="33" t="n">
        <v>4125</v>
      </c>
      <c r="B4126" t="inlineStr">
        <is>
          <t>A-495__84</t>
        </is>
      </c>
      <c r="C4126" s="1" t="n">
        <v>37.4374609787</v>
      </c>
      <c r="D4126" s="1" t="n">
        <v>-7.08116429735</v>
      </c>
      <c r="E4126" s="3" t="n">
        <v>2</v>
      </c>
      <c r="F4126" s="2" t="n">
        <v>3</v>
      </c>
      <c r="G4126" s="4" t="n">
        <v>4</v>
      </c>
      <c r="H4126" s="13" t="n">
        <v>2</v>
      </c>
      <c r="I4126" s="34" t="n">
        <v>3</v>
      </c>
      <c r="J4126" s="35" t="n">
        <v>3</v>
      </c>
      <c r="K4126" s="2" t="inlineStr">
        <is>
          <t>marker_227_381977.png</t>
        </is>
      </c>
      <c r="L4126" s="36">
        <f>HYPERLINK("NoConsenso\" &amp; K4126, "Ver Imagen")</f>
        <v/>
      </c>
      <c r="M4126" t="inlineStr">
        <is>
          <t>Mediana</t>
        </is>
      </c>
    </row>
    <row r="4127">
      <c r="A4127" s="33" t="n">
        <v>4126</v>
      </c>
      <c r="B4127" t="inlineStr">
        <is>
          <t>A-495__107</t>
        </is>
      </c>
      <c r="C4127" s="1" t="n">
        <v>37.4353961756</v>
      </c>
      <c r="D4127" s="1" t="n">
        <v>-7.07635035625</v>
      </c>
      <c r="E4127" s="3" t="n">
        <v>2</v>
      </c>
      <c r="F4127" s="2" t="n">
        <v>3</v>
      </c>
      <c r="G4127" s="4" t="n">
        <v>1</v>
      </c>
      <c r="H4127" s="13" t="n">
        <v>2</v>
      </c>
      <c r="I4127" s="34" t="n">
        <v>2</v>
      </c>
      <c r="J4127" s="35" t="n">
        <v>2</v>
      </c>
      <c r="K4127" s="2" t="inlineStr">
        <is>
          <t>marker_368_382240.png</t>
        </is>
      </c>
      <c r="L4127" s="36">
        <f>HYPERLINK("NoConsenso\" &amp; K4127, "Ver Imagen")</f>
        <v/>
      </c>
      <c r="M4127" t="inlineStr">
        <is>
          <t>Mediana</t>
        </is>
      </c>
    </row>
    <row r="4128">
      <c r="A4128" s="33" t="n">
        <v>4127</v>
      </c>
      <c r="B4128" t="inlineStr">
        <is>
          <t>A-495__147</t>
        </is>
      </c>
      <c r="C4128" s="1" t="n">
        <v>37.433716659</v>
      </c>
      <c r="D4128" s="1" t="n">
        <v>-7.06658755776</v>
      </c>
      <c r="E4128" s="3" t="n">
        <v>2</v>
      </c>
      <c r="F4128" s="2" t="n">
        <v>3</v>
      </c>
      <c r="G4128" s="4" t="n">
        <v>1</v>
      </c>
      <c r="H4128" s="13" t="n">
        <v>2</v>
      </c>
      <c r="I4128" s="34" t="n">
        <v>2</v>
      </c>
      <c r="J4128" s="35" t="n">
        <v>2</v>
      </c>
      <c r="K4128" s="2" t="inlineStr">
        <is>
          <t>marker_987_382654.png</t>
        </is>
      </c>
      <c r="L4128" s="36">
        <f>HYPERLINK("NoConsenso\" &amp; K4128, "Ver Imagen")</f>
        <v/>
      </c>
      <c r="M4128" t="inlineStr">
        <is>
          <t>Mediana</t>
        </is>
      </c>
    </row>
    <row r="4129">
      <c r="A4129" s="33" t="n">
        <v>4128</v>
      </c>
      <c r="B4129" t="inlineStr">
        <is>
          <t>A-495__160</t>
        </is>
      </c>
      <c r="C4129" s="1" t="n">
        <v>37.4324004344</v>
      </c>
      <c r="D4129" s="1" t="n">
        <v>-7.06372319226</v>
      </c>
      <c r="E4129" s="3" t="n">
        <v>2</v>
      </c>
      <c r="F4129" s="2" t="n">
        <v>3</v>
      </c>
      <c r="G4129" s="4" t="n">
        <v>1</v>
      </c>
      <c r="H4129" s="13" t="n">
        <v>2</v>
      </c>
      <c r="I4129" s="34" t="n">
        <v>2</v>
      </c>
      <c r="J4129" s="35" t="n">
        <v>2</v>
      </c>
      <c r="K4129" s="2" t="inlineStr">
        <is>
          <t>marker_565_382803.png</t>
        </is>
      </c>
      <c r="L4129" s="36">
        <f>HYPERLINK("NoConsenso\" &amp; K4129, "Ver Imagen")</f>
        <v/>
      </c>
      <c r="M4129" t="inlineStr">
        <is>
          <t>Mediana</t>
        </is>
      </c>
    </row>
    <row r="4130">
      <c r="A4130" s="33" t="n">
        <v>4129</v>
      </c>
      <c r="B4130" t="inlineStr">
        <is>
          <t>A-495_1__136</t>
        </is>
      </c>
      <c r="C4130" s="1" t="n">
        <v>37.4741448546</v>
      </c>
      <c r="D4130" s="1" t="n">
        <v>-7.12619107499</v>
      </c>
      <c r="E4130" s="3" t="n">
        <v>4</v>
      </c>
      <c r="F4130" s="2" t="n">
        <v>3</v>
      </c>
      <c r="G4130" s="4" t="n">
        <v>2</v>
      </c>
      <c r="H4130" s="13" t="n">
        <v>2</v>
      </c>
      <c r="I4130" s="34" t="n">
        <v>2</v>
      </c>
      <c r="J4130" s="35" t="n">
        <v>2</v>
      </c>
      <c r="K4130" s="2" t="inlineStr">
        <is>
          <t>marker_321_384413.png</t>
        </is>
      </c>
      <c r="L4130" s="36">
        <f>HYPERLINK("NoConsenso\" &amp; K4130, "Ver Imagen")</f>
        <v/>
      </c>
      <c r="M4130" t="inlineStr">
        <is>
          <t>Mediana</t>
        </is>
      </c>
    </row>
    <row r="4131">
      <c r="A4131" s="33" t="n">
        <v>4130</v>
      </c>
      <c r="B4131" t="inlineStr">
        <is>
          <t>A-495_1__3</t>
        </is>
      </c>
      <c r="C4131" s="1" t="n">
        <v>37.4486140361</v>
      </c>
      <c r="D4131" s="1" t="n">
        <v>-7.12679257117</v>
      </c>
      <c r="E4131" s="3" t="n">
        <v>2</v>
      </c>
      <c r="F4131" s="2" t="n">
        <v>3</v>
      </c>
      <c r="G4131" s="4" t="n">
        <v>4</v>
      </c>
      <c r="H4131" s="13" t="n">
        <v>3</v>
      </c>
      <c r="I4131" s="34" t="n">
        <v>3</v>
      </c>
      <c r="J4131" s="35" t="n">
        <v>3</v>
      </c>
      <c r="K4131" s="2" t="inlineStr">
        <is>
          <t>marker_340_386296.png</t>
        </is>
      </c>
      <c r="L4131" s="36">
        <f>HYPERLINK("NoConsenso\" &amp; K4131, "Ver Imagen")</f>
        <v/>
      </c>
      <c r="M4131" t="inlineStr">
        <is>
          <t>Mediana</t>
        </is>
      </c>
    </row>
    <row r="4132">
      <c r="A4132" s="33" t="n">
        <v>4131</v>
      </c>
      <c r="B4132" t="inlineStr">
        <is>
          <t>A-499__45</t>
        </is>
      </c>
      <c r="C4132" s="1" t="n">
        <v>37.4952757885</v>
      </c>
      <c r="D4132" s="1" t="n">
        <v>-7.27644438321</v>
      </c>
      <c r="E4132" s="3" t="n">
        <v>4</v>
      </c>
      <c r="F4132" s="2" t="n">
        <v>2</v>
      </c>
      <c r="G4132" s="4" t="n">
        <v>2</v>
      </c>
      <c r="H4132" s="13" t="n">
        <v>2</v>
      </c>
      <c r="I4132" s="34" t="n">
        <v>2</v>
      </c>
      <c r="J4132" s="35" t="n">
        <v>2</v>
      </c>
      <c r="K4132" s="2" t="inlineStr">
        <is>
          <t>marker_303_534812.png</t>
        </is>
      </c>
      <c r="L4132" s="36">
        <f>HYPERLINK("NoConsenso\" &amp; K4132, "Ver Imagen")</f>
        <v/>
      </c>
      <c r="M4132" t="inlineStr">
        <is>
          <t>Mediana</t>
        </is>
      </c>
    </row>
    <row r="4133">
      <c r="A4133" s="33" t="n">
        <v>4132</v>
      </c>
      <c r="B4133" t="inlineStr">
        <is>
          <t>A-499__111</t>
        </is>
      </c>
      <c r="C4133" s="1" t="n">
        <v>37.5009716544</v>
      </c>
      <c r="D4133" s="1" t="n">
        <v>-7.2667677661</v>
      </c>
      <c r="E4133" s="3" t="n">
        <v>3</v>
      </c>
      <c r="F4133" s="2" t="n">
        <v>1</v>
      </c>
      <c r="G4133" s="4" t="n">
        <v>2</v>
      </c>
      <c r="H4133" s="13" t="n">
        <v>1</v>
      </c>
      <c r="I4133" s="34" t="n">
        <v>1</v>
      </c>
      <c r="J4133" s="35" t="n">
        <v>1</v>
      </c>
      <c r="K4133" s="2" t="inlineStr">
        <is>
          <t>marker_548_793416.png</t>
        </is>
      </c>
      <c r="L4133" s="36">
        <f>HYPERLINK("NoConsenso\" &amp; K4133, "Ver Imagen")</f>
        <v/>
      </c>
      <c r="M4133" t="inlineStr">
        <is>
          <t>Mediana</t>
        </is>
      </c>
    </row>
    <row r="4134">
      <c r="A4134" s="33" t="n">
        <v>4133</v>
      </c>
      <c r="B4134" t="inlineStr">
        <is>
          <t>A-499__165</t>
        </is>
      </c>
      <c r="C4134" s="1" t="n">
        <v>37.5111839326</v>
      </c>
      <c r="D4134" s="1" t="n">
        <v>-7.26802653509</v>
      </c>
      <c r="E4134" s="3" t="n">
        <v>2</v>
      </c>
      <c r="F4134" s="2" t="n">
        <v>1</v>
      </c>
      <c r="G4134" s="4" t="n">
        <v>3</v>
      </c>
      <c r="H4134" s="13" t="n">
        <v>1</v>
      </c>
      <c r="I4134" s="34" t="n">
        <v>1</v>
      </c>
      <c r="J4134" s="35" t="n">
        <v>1</v>
      </c>
      <c r="K4134" s="2" t="inlineStr">
        <is>
          <t>marker_637_794689.png</t>
        </is>
      </c>
      <c r="L4134" s="36">
        <f>HYPERLINK("NoConsenso\" &amp; K4134, "Ver Imagen")</f>
        <v/>
      </c>
      <c r="M4134" t="inlineStr">
        <is>
          <t>Mediana</t>
        </is>
      </c>
    </row>
    <row r="4135">
      <c r="A4135" s="33" t="n">
        <v>4134</v>
      </c>
      <c r="B4135" t="inlineStr">
        <is>
          <t>A-499__166</t>
        </is>
      </c>
      <c r="C4135" s="1" t="n">
        <v>37.5114096858</v>
      </c>
      <c r="D4135" s="1" t="n">
        <v>-7.26812424395</v>
      </c>
      <c r="E4135" s="3" t="n">
        <v>2</v>
      </c>
      <c r="F4135" s="2" t="n">
        <v>1</v>
      </c>
      <c r="G4135" s="4" t="n">
        <v>3</v>
      </c>
      <c r="H4135" s="13" t="n">
        <v>1</v>
      </c>
      <c r="I4135" s="34" t="n">
        <v>1</v>
      </c>
      <c r="J4135" s="35" t="n">
        <v>1</v>
      </c>
      <c r="K4135" s="2" t="inlineStr">
        <is>
          <t>marker_271_794702.png</t>
        </is>
      </c>
      <c r="L4135" s="36">
        <f>HYPERLINK("NoConsenso\" &amp; K4135, "Ver Imagen")</f>
        <v/>
      </c>
      <c r="M4135" t="inlineStr">
        <is>
          <t>Mediana</t>
        </is>
      </c>
    </row>
    <row r="4136">
      <c r="A4136" s="33" t="n">
        <v>4135</v>
      </c>
      <c r="B4136" t="inlineStr">
        <is>
          <t>A-499__188</t>
        </is>
      </c>
      <c r="C4136" s="1" t="n">
        <v>37.5156046122</v>
      </c>
      <c r="D4136" s="1" t="n">
        <v>-7.26824560795</v>
      </c>
      <c r="E4136" s="3" t="n">
        <v>2</v>
      </c>
      <c r="F4136" s="2" t="n">
        <v>1</v>
      </c>
      <c r="G4136" s="4" t="n">
        <v>3</v>
      </c>
      <c r="H4136" s="13" t="n">
        <v>2</v>
      </c>
      <c r="I4136" s="34" t="n">
        <v>1</v>
      </c>
      <c r="J4136" s="37" t="n">
        <v>1</v>
      </c>
      <c r="K4136" s="2" t="inlineStr">
        <is>
          <t>marker_198_795779.png</t>
        </is>
      </c>
      <c r="L4136" s="36">
        <f>HYPERLINK("NoConsenso\" &amp; K4136, "Ver Imagen")</f>
        <v/>
      </c>
      <c r="M4136" s="37" t="inlineStr">
        <is>
          <t>Modificada</t>
        </is>
      </c>
    </row>
    <row r="4137">
      <c r="A4137" s="33" t="n">
        <v>4136</v>
      </c>
      <c r="B4137" t="inlineStr">
        <is>
          <t>A-499__196</t>
        </is>
      </c>
      <c r="C4137" s="1" t="n">
        <v>37.5166264947</v>
      </c>
      <c r="D4137" s="1" t="n">
        <v>-7.26659176607</v>
      </c>
      <c r="E4137" s="3" t="n">
        <v>2</v>
      </c>
      <c r="F4137" s="2" t="n">
        <v>1</v>
      </c>
      <c r="G4137" s="4" t="n">
        <v>3</v>
      </c>
      <c r="H4137" s="13" t="n">
        <v>1</v>
      </c>
      <c r="I4137" s="34" t="n">
        <v>1</v>
      </c>
      <c r="J4137" s="35" t="n">
        <v>1</v>
      </c>
      <c r="K4137" s="2" t="inlineStr">
        <is>
          <t>marker_366_795913.png</t>
        </is>
      </c>
      <c r="L4137" s="36">
        <f>HYPERLINK("NoConsenso\" &amp; K4137, "Ver Imagen")</f>
        <v/>
      </c>
      <c r="M4137" t="inlineStr">
        <is>
          <t>Mediana</t>
        </is>
      </c>
    </row>
    <row r="4138">
      <c r="A4138" s="33" t="n">
        <v>4137</v>
      </c>
      <c r="B4138" t="inlineStr">
        <is>
          <t>A-499__232</t>
        </is>
      </c>
      <c r="C4138" s="1" t="n">
        <v>37.5214024548</v>
      </c>
      <c r="D4138" s="1" t="n">
        <v>-7.25995736544</v>
      </c>
      <c r="E4138" s="3" t="n">
        <v>2</v>
      </c>
      <c r="F4138" s="2" t="n">
        <v>1</v>
      </c>
      <c r="G4138" s="4" t="n">
        <v>3</v>
      </c>
      <c r="H4138" s="13" t="n">
        <v>1</v>
      </c>
      <c r="I4138" s="34" t="n">
        <v>1</v>
      </c>
      <c r="J4138" s="35" t="n">
        <v>1</v>
      </c>
      <c r="K4138" s="2" t="inlineStr">
        <is>
          <t>marker_585_796669.png</t>
        </is>
      </c>
      <c r="L4138" s="36">
        <f>HYPERLINK("NoConsenso\" &amp; K4138, "Ver Imagen")</f>
        <v/>
      </c>
      <c r="M4138" t="inlineStr">
        <is>
          <t>Mediana</t>
        </is>
      </c>
    </row>
    <row r="4139">
      <c r="A4139" s="33" t="n">
        <v>4138</v>
      </c>
      <c r="B4139" t="inlineStr">
        <is>
          <t>A-499__235</t>
        </is>
      </c>
      <c r="C4139" s="1" t="n">
        <v>37.5219339301</v>
      </c>
      <c r="D4139" s="1" t="n">
        <v>-7.25959687495</v>
      </c>
      <c r="E4139" s="3" t="n">
        <v>2</v>
      </c>
      <c r="F4139" s="2" t="n">
        <v>1</v>
      </c>
      <c r="G4139" s="4" t="n">
        <v>3</v>
      </c>
      <c r="H4139" s="13" t="n">
        <v>2</v>
      </c>
      <c r="I4139" s="34" t="n">
        <v>1</v>
      </c>
      <c r="J4139" s="37" t="n">
        <v>1</v>
      </c>
      <c r="K4139" s="2" t="inlineStr">
        <is>
          <t>marker_142_796711.png</t>
        </is>
      </c>
      <c r="L4139" s="36">
        <f>HYPERLINK("NoConsenso\" &amp; K4139, "Ver Imagen")</f>
        <v/>
      </c>
      <c r="M4139" s="37" t="inlineStr">
        <is>
          <t>Modificada</t>
        </is>
      </c>
    </row>
    <row r="4140">
      <c r="A4140" s="33" t="n">
        <v>4139</v>
      </c>
      <c r="B4140" t="inlineStr">
        <is>
          <t>A-499__240</t>
        </is>
      </c>
      <c r="C4140" s="1" t="n">
        <v>37.5228959709</v>
      </c>
      <c r="D4140" s="1" t="n">
        <v>-7.25919965467</v>
      </c>
      <c r="E4140" s="3" t="n">
        <v>2</v>
      </c>
      <c r="F4140" s="2" t="n">
        <v>1</v>
      </c>
      <c r="G4140" s="4" t="n">
        <v>3</v>
      </c>
      <c r="H4140" s="13" t="n">
        <v>1</v>
      </c>
      <c r="I4140" s="34" t="n">
        <v>2</v>
      </c>
      <c r="J4140" s="35" t="n">
        <v>2</v>
      </c>
      <c r="K4140" s="2" t="inlineStr">
        <is>
          <t>marker_711_796871.png</t>
        </is>
      </c>
      <c r="L4140" s="36">
        <f>HYPERLINK("NoConsenso\" &amp; K4140, "Ver Imagen")</f>
        <v/>
      </c>
      <c r="M4140" t="inlineStr">
        <is>
          <t>Mediana</t>
        </is>
      </c>
    </row>
    <row r="4141">
      <c r="A4141" s="33" t="n">
        <v>4140</v>
      </c>
      <c r="B4141" t="inlineStr">
        <is>
          <t>A-499__266</t>
        </is>
      </c>
      <c r="C4141" s="1" t="n">
        <v>37.5268523561</v>
      </c>
      <c r="D4141" s="1" t="n">
        <v>-7.25505453511</v>
      </c>
      <c r="E4141" s="3" t="n">
        <v>2</v>
      </c>
      <c r="F4141" s="2" t="n">
        <v>1</v>
      </c>
      <c r="G4141" s="4" t="n">
        <v>3</v>
      </c>
      <c r="H4141" s="13" t="n">
        <v>1</v>
      </c>
      <c r="I4141" s="34" t="n">
        <v>1</v>
      </c>
      <c r="J4141" s="35" t="n">
        <v>1</v>
      </c>
      <c r="K4141" s="2" t="inlineStr">
        <is>
          <t>marker_556_797341.png</t>
        </is>
      </c>
      <c r="L4141" s="36">
        <f>HYPERLINK("NoConsenso\" &amp; K4141, "Ver Imagen")</f>
        <v/>
      </c>
      <c r="M4141" t="inlineStr">
        <is>
          <t>Mediana</t>
        </is>
      </c>
    </row>
    <row r="4142">
      <c r="A4142" s="33" t="n">
        <v>4141</v>
      </c>
      <c r="B4142" t="inlineStr">
        <is>
          <t>A-497__670</t>
        </is>
      </c>
      <c r="C4142" s="1" t="n">
        <v>37.1998794016</v>
      </c>
      <c r="D4142" s="1" t="n">
        <v>-6.9853686468</v>
      </c>
      <c r="E4142" s="3" t="n">
        <v>2</v>
      </c>
      <c r="F4142" s="2" t="n">
        <v>3</v>
      </c>
      <c r="G4142" s="4" t="n">
        <v>4</v>
      </c>
      <c r="H4142" s="13" t="n">
        <v>2</v>
      </c>
      <c r="I4142" s="34" t="n">
        <v>3</v>
      </c>
      <c r="J4142" s="35" t="n">
        <v>3</v>
      </c>
      <c r="K4142" s="2" t="inlineStr">
        <is>
          <t>marker_957_371025.png</t>
        </is>
      </c>
      <c r="L4142" s="36">
        <f>HYPERLINK("NoConsenso\" &amp; K4142, "Ver Imagen")</f>
        <v/>
      </c>
      <c r="M4142" t="inlineStr">
        <is>
          <t>Mediana</t>
        </is>
      </c>
    </row>
    <row r="4143">
      <c r="A4143" s="33" t="n">
        <v>4142</v>
      </c>
      <c r="B4143" t="inlineStr">
        <is>
          <t>A-497_2C__273</t>
        </is>
      </c>
      <c r="C4143" s="1" t="n">
        <v>37.2544758003</v>
      </c>
      <c r="D4143" s="1" t="n">
        <v>-7.01522936411</v>
      </c>
      <c r="E4143" s="3" t="n">
        <v>2</v>
      </c>
      <c r="F4143" s="2" t="n">
        <v>3</v>
      </c>
      <c r="G4143" s="4" t="n">
        <v>4</v>
      </c>
      <c r="H4143" s="13" t="n">
        <v>2</v>
      </c>
      <c r="I4143" s="34" t="n">
        <v>2</v>
      </c>
      <c r="J4143" s="35" t="n">
        <v>2</v>
      </c>
      <c r="K4143" s="2" t="inlineStr">
        <is>
          <t>marker_114_319772.png</t>
        </is>
      </c>
      <c r="L4143" s="36">
        <f>HYPERLINK("NoConsenso\" &amp; K4143, "Ver Imagen")</f>
        <v/>
      </c>
      <c r="M4143" t="inlineStr">
        <is>
          <t>Mediana</t>
        </is>
      </c>
    </row>
    <row r="4144">
      <c r="A4144" s="33" t="n">
        <v>4143</v>
      </c>
      <c r="B4144" t="inlineStr">
        <is>
          <t>A-497__563</t>
        </is>
      </c>
      <c r="C4144" s="1" t="n">
        <v>37.2042771314</v>
      </c>
      <c r="D4144" s="1" t="n">
        <v>-7.01186446553</v>
      </c>
      <c r="E4144" s="3" t="n">
        <v>2</v>
      </c>
      <c r="F4144" s="2" t="n">
        <v>4</v>
      </c>
      <c r="G4144" s="4" t="n">
        <v>4</v>
      </c>
      <c r="H4144" s="13" t="n">
        <v>3</v>
      </c>
      <c r="I4144" s="34" t="n">
        <v>4</v>
      </c>
      <c r="J4144" s="35" t="n">
        <v>4</v>
      </c>
      <c r="K4144" s="2" t="inlineStr">
        <is>
          <t>marker_835_372116.png</t>
        </is>
      </c>
      <c r="L4144" s="36">
        <f>HYPERLINK("NoConsenso\" &amp; K4144, "Ver Imagen")</f>
        <v/>
      </c>
      <c r="M4144" t="inlineStr">
        <is>
          <t>Mediana</t>
        </is>
      </c>
    </row>
    <row r="4145">
      <c r="A4145" s="33" t="n">
        <v>4144</v>
      </c>
      <c r="B4145" t="inlineStr">
        <is>
          <t>A-497__342</t>
        </is>
      </c>
      <c r="C4145" s="1" t="n">
        <v>37.2419537781</v>
      </c>
      <c r="D4145" s="1" t="n">
        <v>-7.01841279537</v>
      </c>
      <c r="E4145" s="3" t="n">
        <v>4</v>
      </c>
      <c r="F4145" s="2" t="n">
        <v>3</v>
      </c>
      <c r="G4145" s="4" t="n">
        <v>2</v>
      </c>
      <c r="H4145" s="13" t="n">
        <v>2</v>
      </c>
      <c r="I4145" s="34" t="n">
        <v>2</v>
      </c>
      <c r="J4145" s="35" t="n">
        <v>2</v>
      </c>
      <c r="K4145" s="2" t="inlineStr">
        <is>
          <t>marker_609_377750.png</t>
        </is>
      </c>
      <c r="L4145" s="36">
        <f>HYPERLINK("NoConsenso\" &amp; K4145, "Ver Imagen")</f>
        <v/>
      </c>
      <c r="M4145" t="inlineStr">
        <is>
          <t>Mediana</t>
        </is>
      </c>
    </row>
    <row r="4146">
      <c r="A4146" s="33" t="n">
        <v>4145</v>
      </c>
      <c r="B4146" t="inlineStr">
        <is>
          <t>A-497__177</t>
        </is>
      </c>
      <c r="C4146" s="1" t="n">
        <v>37.2653782949</v>
      </c>
      <c r="D4146" s="1" t="n">
        <v>-6.99613198015</v>
      </c>
      <c r="E4146" s="3" t="n">
        <v>2</v>
      </c>
      <c r="F4146" s="2" t="n">
        <v>3</v>
      </c>
      <c r="G4146" s="4" t="n">
        <v>1</v>
      </c>
      <c r="H4146" s="13" t="n">
        <v>2</v>
      </c>
      <c r="I4146" s="34" t="n">
        <v>1</v>
      </c>
      <c r="J4146" s="35" t="n">
        <v>2</v>
      </c>
      <c r="K4146" s="2" t="inlineStr">
        <is>
          <t>marker_912_379675.png</t>
        </is>
      </c>
      <c r="L4146" s="36">
        <f>HYPERLINK("NoConsenso\" &amp; K4146, "Ver Imagen")</f>
        <v/>
      </c>
      <c r="M4146" t="inlineStr">
        <is>
          <t>Mediana</t>
        </is>
      </c>
    </row>
    <row r="4147">
      <c r="A4147" s="33" t="n">
        <v>4146</v>
      </c>
      <c r="B4147" t="inlineStr">
        <is>
          <t>A-497__175</t>
        </is>
      </c>
      <c r="C4147" s="1" t="n">
        <v>37.2654682877</v>
      </c>
      <c r="D4147" s="1" t="n">
        <v>-6.99560992789</v>
      </c>
      <c r="E4147" s="3" t="n">
        <v>2</v>
      </c>
      <c r="F4147" s="2" t="n">
        <v>3</v>
      </c>
      <c r="G4147" s="4" t="n">
        <v>1</v>
      </c>
      <c r="H4147" s="13" t="n">
        <v>2</v>
      </c>
      <c r="I4147" s="34" t="n">
        <v>2</v>
      </c>
      <c r="J4147" s="35" t="n">
        <v>2</v>
      </c>
      <c r="K4147" s="2" t="inlineStr">
        <is>
          <t>marker_893_379698.png</t>
        </is>
      </c>
      <c r="L4147" s="36">
        <f>HYPERLINK("NoConsenso\" &amp; K4147, "Ver Imagen")</f>
        <v/>
      </c>
      <c r="M4147" t="inlineStr">
        <is>
          <t>Mediana</t>
        </is>
      </c>
    </row>
    <row r="4148">
      <c r="A4148" s="33" t="n">
        <v>4147</v>
      </c>
      <c r="B4148" t="inlineStr">
        <is>
          <t>A-490__17</t>
        </is>
      </c>
      <c r="C4148" s="1" t="n">
        <v>37.4469101342</v>
      </c>
      <c r="D4148" s="1" t="n">
        <v>-7.13049698055</v>
      </c>
      <c r="E4148" s="3" t="n">
        <v>2</v>
      </c>
      <c r="F4148" s="2" t="n">
        <v>4</v>
      </c>
      <c r="G4148" s="4" t="n">
        <v>3</v>
      </c>
      <c r="H4148" s="13" t="n">
        <v>3</v>
      </c>
      <c r="I4148" s="34" t="n">
        <v>3</v>
      </c>
      <c r="J4148" s="35" t="n">
        <v>3</v>
      </c>
      <c r="K4148" s="2" t="inlineStr">
        <is>
          <t>marker_949_730502.png</t>
        </is>
      </c>
      <c r="L4148" s="36">
        <f>HYPERLINK("NoConsenso\" &amp; K4148, "Ver Imagen")</f>
        <v/>
      </c>
      <c r="M4148" t="inlineStr">
        <is>
          <t>Mediana</t>
        </is>
      </c>
    </row>
    <row r="4149">
      <c r="A4149" s="33" t="n">
        <v>4148</v>
      </c>
      <c r="B4149" t="inlineStr">
        <is>
          <t>A-490__21</t>
        </is>
      </c>
      <c r="C4149" s="1" t="n">
        <v>37.4466928366</v>
      </c>
      <c r="D4149" s="1" t="n">
        <v>-7.13149375018</v>
      </c>
      <c r="E4149" s="3" t="n">
        <v>2</v>
      </c>
      <c r="F4149" s="2" t="n">
        <v>4</v>
      </c>
      <c r="G4149" s="4" t="n">
        <v>3</v>
      </c>
      <c r="H4149" s="13" t="n">
        <v>3</v>
      </c>
      <c r="I4149" s="34" t="n">
        <v>3</v>
      </c>
      <c r="J4149" s="35" t="n">
        <v>3</v>
      </c>
      <c r="K4149" s="2" t="inlineStr">
        <is>
          <t>marker_527_730685.png</t>
        </is>
      </c>
      <c r="L4149" s="36">
        <f>HYPERLINK("NoConsenso\" &amp; K4149, "Ver Imagen")</f>
        <v/>
      </c>
      <c r="M4149" t="inlineStr">
        <is>
          <t>Mediana</t>
        </is>
      </c>
    </row>
    <row r="4150">
      <c r="A4150" s="33" t="n">
        <v>4149</v>
      </c>
      <c r="B4150" t="inlineStr">
        <is>
          <t>A-490__32</t>
        </is>
      </c>
      <c r="C4150" s="1" t="n">
        <v>37.4462860037</v>
      </c>
      <c r="D4150" s="1" t="n">
        <v>-7.13425114353</v>
      </c>
      <c r="E4150" s="3" t="n">
        <v>2</v>
      </c>
      <c r="F4150" s="2" t="n">
        <v>4</v>
      </c>
      <c r="G4150" s="4" t="n">
        <v>3</v>
      </c>
      <c r="H4150" s="13" t="n">
        <v>3</v>
      </c>
      <c r="I4150" s="34" t="n">
        <v>3</v>
      </c>
      <c r="J4150" s="35" t="n">
        <v>3</v>
      </c>
      <c r="K4150" s="2" t="inlineStr">
        <is>
          <t>marker_517_730986.png</t>
        </is>
      </c>
      <c r="L4150" s="36">
        <f>HYPERLINK("NoConsenso\" &amp; K4150, "Ver Imagen")</f>
        <v/>
      </c>
      <c r="M4150" t="inlineStr">
        <is>
          <t>Mediana</t>
        </is>
      </c>
    </row>
    <row r="4151">
      <c r="A4151" s="33" t="n">
        <v>4150</v>
      </c>
      <c r="B4151" t="inlineStr">
        <is>
          <t>A-490__35</t>
        </is>
      </c>
      <c r="C4151" s="1" t="n">
        <v>37.4462140922</v>
      </c>
      <c r="D4151" s="1" t="n">
        <v>-7.13496879759</v>
      </c>
      <c r="E4151" s="3" t="n">
        <v>2</v>
      </c>
      <c r="F4151" s="2" t="n">
        <v>4</v>
      </c>
      <c r="G4151" s="4" t="n">
        <v>3</v>
      </c>
      <c r="H4151" s="13" t="n">
        <v>3</v>
      </c>
      <c r="I4151" s="34" t="n">
        <v>3</v>
      </c>
      <c r="J4151" s="35" t="n">
        <v>3</v>
      </c>
      <c r="K4151" s="2" t="inlineStr">
        <is>
          <t>marker_681_731056.png</t>
        </is>
      </c>
      <c r="L4151" s="36">
        <f>HYPERLINK("NoConsenso\" &amp; K4151, "Ver Imagen")</f>
        <v/>
      </c>
      <c r="M4151" t="inlineStr">
        <is>
          <t>Mediana</t>
        </is>
      </c>
    </row>
    <row r="4152">
      <c r="A4152" s="33" t="n">
        <v>4151</v>
      </c>
      <c r="B4152" t="inlineStr">
        <is>
          <t>A-490__38</t>
        </is>
      </c>
      <c r="C4152" s="1" t="n">
        <v>37.4461568406</v>
      </c>
      <c r="D4152" s="1" t="n">
        <v>-7.13570271563</v>
      </c>
      <c r="E4152" s="3" t="n">
        <v>2</v>
      </c>
      <c r="F4152" s="2" t="n">
        <v>4</v>
      </c>
      <c r="G4152" s="4" t="n">
        <v>3</v>
      </c>
      <c r="H4152" s="13" t="n">
        <v>3</v>
      </c>
      <c r="I4152" s="34" t="n">
        <v>3</v>
      </c>
      <c r="J4152" s="35" t="n">
        <v>3</v>
      </c>
      <c r="K4152" s="2" t="inlineStr">
        <is>
          <t>marker_562_731121.png</t>
        </is>
      </c>
      <c r="L4152" s="36">
        <f>HYPERLINK("NoConsenso\" &amp; K4152, "Ver Imagen")</f>
        <v/>
      </c>
      <c r="M4152" t="inlineStr">
        <is>
          <t>Mediana</t>
        </is>
      </c>
    </row>
    <row r="4153">
      <c r="A4153" s="33" t="n">
        <v>4152</v>
      </c>
      <c r="B4153" t="inlineStr">
        <is>
          <t>A-490__50</t>
        </is>
      </c>
      <c r="C4153" s="1" t="n">
        <v>37.4467937662</v>
      </c>
      <c r="D4153" s="1" t="n">
        <v>-7.13861265071</v>
      </c>
      <c r="E4153" s="3" t="n">
        <v>2</v>
      </c>
      <c r="F4153" s="2" t="n">
        <v>4</v>
      </c>
      <c r="G4153" s="4" t="n">
        <v>3</v>
      </c>
      <c r="H4153" s="13" t="n">
        <v>3</v>
      </c>
      <c r="I4153" s="34" t="n">
        <v>3</v>
      </c>
      <c r="J4153" s="35" t="n">
        <v>3</v>
      </c>
      <c r="K4153" s="2" t="inlineStr">
        <is>
          <t>marker_693_732289.png</t>
        </is>
      </c>
      <c r="L4153" s="36">
        <f>HYPERLINK("NoConsenso\" &amp; K4153, "Ver Imagen")</f>
        <v/>
      </c>
      <c r="M4153" t="inlineStr">
        <is>
          <t>Mediana</t>
        </is>
      </c>
    </row>
    <row r="4154">
      <c r="A4154" s="33" t="n">
        <v>4153</v>
      </c>
      <c r="B4154" t="inlineStr">
        <is>
          <t>A-490__58</t>
        </is>
      </c>
      <c r="C4154" s="1" t="n">
        <v>37.4474628616</v>
      </c>
      <c r="D4154" s="1" t="n">
        <v>-7.1404376163</v>
      </c>
      <c r="E4154" s="3" t="n">
        <v>2</v>
      </c>
      <c r="F4154" s="2" t="n">
        <v>4</v>
      </c>
      <c r="G4154" s="4" t="n">
        <v>3</v>
      </c>
      <c r="H4154" s="13" t="n">
        <v>3</v>
      </c>
      <c r="I4154" s="34" t="n">
        <v>3</v>
      </c>
      <c r="J4154" s="35" t="n">
        <v>3</v>
      </c>
      <c r="K4154" s="2" t="inlineStr">
        <is>
          <t>marker_762_737851.png</t>
        </is>
      </c>
      <c r="L4154" s="36">
        <f>HYPERLINK("NoConsenso\" &amp; K4154, "Ver Imagen")</f>
        <v/>
      </c>
      <c r="M4154" t="inlineStr">
        <is>
          <t>Mediana</t>
        </is>
      </c>
    </row>
    <row r="4155">
      <c r="A4155" s="33" t="n">
        <v>4154</v>
      </c>
      <c r="B4155" t="inlineStr">
        <is>
          <t>A-490__65</t>
        </is>
      </c>
      <c r="C4155" s="1" t="n">
        <v>37.4481983624</v>
      </c>
      <c r="D4155" s="1" t="n">
        <v>-7.14201586725</v>
      </c>
      <c r="E4155" s="3" t="n">
        <v>1</v>
      </c>
      <c r="F4155" s="2" t="n">
        <v>3</v>
      </c>
      <c r="G4155" s="4" t="n">
        <v>3</v>
      </c>
      <c r="H4155" s="13" t="n">
        <v>2</v>
      </c>
      <c r="I4155" s="34" t="n">
        <v>2</v>
      </c>
      <c r="J4155" s="35" t="n">
        <v>2</v>
      </c>
      <c r="K4155" s="2" t="inlineStr">
        <is>
          <t>marker_793_738024.png</t>
        </is>
      </c>
      <c r="L4155" s="36">
        <f>HYPERLINK("NoConsenso\" &amp; K4155, "Ver Imagen")</f>
        <v/>
      </c>
      <c r="M4155" t="inlineStr">
        <is>
          <t>Mediana</t>
        </is>
      </c>
    </row>
    <row r="4156">
      <c r="A4156" s="33" t="n">
        <v>4155</v>
      </c>
      <c r="B4156" t="inlineStr">
        <is>
          <t>A-490__81</t>
        </is>
      </c>
      <c r="C4156" s="1" t="n">
        <v>37.4486290896</v>
      </c>
      <c r="D4156" s="1" t="n">
        <v>-7.14595383318</v>
      </c>
      <c r="E4156" s="3" t="n">
        <v>3</v>
      </c>
      <c r="F4156" s="2" t="n">
        <v>4</v>
      </c>
      <c r="G4156" s="4" t="n">
        <v>5</v>
      </c>
      <c r="H4156" s="13" t="n">
        <v>3</v>
      </c>
      <c r="I4156" s="34" t="n">
        <v>3</v>
      </c>
      <c r="J4156" s="35" t="n">
        <v>3</v>
      </c>
      <c r="K4156" s="2" t="inlineStr">
        <is>
          <t>marker_719_738677.png</t>
        </is>
      </c>
      <c r="L4156" s="36">
        <f>HYPERLINK("NoConsenso\" &amp; K4156, "Ver Imagen")</f>
        <v/>
      </c>
      <c r="M4156" t="inlineStr">
        <is>
          <t>Mediana</t>
        </is>
      </c>
    </row>
    <row r="4157">
      <c r="A4157" s="33" t="n">
        <v>4156</v>
      </c>
      <c r="B4157" t="inlineStr">
        <is>
          <t>A-490__86</t>
        </is>
      </c>
      <c r="C4157" s="1" t="n">
        <v>37.4486986966</v>
      </c>
      <c r="D4157" s="1" t="n">
        <v>-7.14745074331</v>
      </c>
      <c r="E4157" s="3" t="n">
        <v>1</v>
      </c>
      <c r="F4157" s="2" t="n">
        <v>3</v>
      </c>
      <c r="G4157" s="4" t="n">
        <v>3</v>
      </c>
      <c r="H4157" s="13" t="n">
        <v>3</v>
      </c>
      <c r="I4157" s="34" t="n">
        <v>2</v>
      </c>
      <c r="J4157" s="35" t="n">
        <v>3</v>
      </c>
      <c r="K4157" s="2" t="inlineStr">
        <is>
          <t>marker_916_738820.png</t>
        </is>
      </c>
      <c r="L4157" s="36">
        <f>HYPERLINK("NoConsenso\" &amp; K4157, "Ver Imagen")</f>
        <v/>
      </c>
      <c r="M4157" t="inlineStr">
        <is>
          <t>Mediana</t>
        </is>
      </c>
    </row>
    <row r="4158">
      <c r="A4158" s="33" t="n">
        <v>4157</v>
      </c>
      <c r="B4158" t="inlineStr">
        <is>
          <t>A-490__88</t>
        </is>
      </c>
      <c r="C4158" s="1" t="n">
        <v>37.4487141888</v>
      </c>
      <c r="D4158" s="1" t="n">
        <v>-7.14774036323</v>
      </c>
      <c r="E4158" s="3" t="n">
        <v>2</v>
      </c>
      <c r="F4158" s="2" t="n">
        <v>4</v>
      </c>
      <c r="G4158" s="4" t="n">
        <v>3</v>
      </c>
      <c r="H4158" s="13" t="n">
        <v>3</v>
      </c>
      <c r="I4158" s="34" t="n">
        <v>3</v>
      </c>
      <c r="J4158" s="35" t="n">
        <v>3</v>
      </c>
      <c r="K4158" s="2" t="inlineStr">
        <is>
          <t>marker_536_738935.png</t>
        </is>
      </c>
      <c r="L4158" s="36">
        <f>HYPERLINK("NoConsenso\" &amp; K4158, "Ver Imagen")</f>
        <v/>
      </c>
      <c r="M4158" t="inlineStr">
        <is>
          <t>Mediana</t>
        </is>
      </c>
    </row>
    <row r="4159">
      <c r="A4159" s="33" t="n">
        <v>4158</v>
      </c>
      <c r="B4159" t="inlineStr">
        <is>
          <t>A-490__99</t>
        </is>
      </c>
      <c r="C4159" s="1" t="n">
        <v>37.4491360978</v>
      </c>
      <c r="D4159" s="1" t="n">
        <v>-7.15046214545</v>
      </c>
      <c r="E4159" s="3" t="n">
        <v>1</v>
      </c>
      <c r="F4159" s="2" t="n">
        <v>3</v>
      </c>
      <c r="G4159" s="4" t="n">
        <v>3</v>
      </c>
      <c r="H4159" s="13" t="n">
        <v>2</v>
      </c>
      <c r="I4159" s="34" t="n">
        <v>2</v>
      </c>
      <c r="J4159" s="35" t="n">
        <v>2</v>
      </c>
      <c r="K4159" s="2" t="inlineStr">
        <is>
          <t>marker_350_739146.png</t>
        </is>
      </c>
      <c r="L4159" s="36">
        <f>HYPERLINK("NoConsenso\" &amp; K4159, "Ver Imagen")</f>
        <v/>
      </c>
      <c r="M4159" t="inlineStr">
        <is>
          <t>Mediana</t>
        </is>
      </c>
    </row>
    <row r="4160">
      <c r="A4160" s="33" t="n">
        <v>4159</v>
      </c>
      <c r="B4160" t="inlineStr">
        <is>
          <t>A-490__110</t>
        </is>
      </c>
      <c r="C4160" s="1" t="n">
        <v>37.4503379079</v>
      </c>
      <c r="D4160" s="1" t="n">
        <v>-7.15281040668</v>
      </c>
      <c r="E4160" s="3" t="n">
        <v>2</v>
      </c>
      <c r="F4160" s="2" t="n">
        <v>4</v>
      </c>
      <c r="G4160" s="4" t="n">
        <v>3</v>
      </c>
      <c r="H4160" s="13" t="n">
        <v>3</v>
      </c>
      <c r="I4160" s="34" t="n">
        <v>3</v>
      </c>
      <c r="J4160" s="35" t="n">
        <v>3</v>
      </c>
      <c r="K4160" s="2" t="inlineStr">
        <is>
          <t>marker_630_739762.png</t>
        </is>
      </c>
      <c r="L4160" s="36">
        <f>HYPERLINK("NoConsenso\" &amp; K4160, "Ver Imagen")</f>
        <v/>
      </c>
      <c r="M4160" t="inlineStr">
        <is>
          <t>Mediana</t>
        </is>
      </c>
    </row>
    <row r="4161">
      <c r="A4161" s="33" t="n">
        <v>4160</v>
      </c>
      <c r="B4161" t="inlineStr">
        <is>
          <t>A-490__147</t>
        </is>
      </c>
      <c r="C4161" s="1" t="n">
        <v>37.4528740032</v>
      </c>
      <c r="D4161" s="1" t="n">
        <v>-7.16154819668</v>
      </c>
      <c r="E4161" s="3" t="n">
        <v>1</v>
      </c>
      <c r="F4161" s="2" t="n">
        <v>3</v>
      </c>
      <c r="G4161" s="4" t="n">
        <v>3</v>
      </c>
      <c r="H4161" s="13" t="n">
        <v>3</v>
      </c>
      <c r="I4161" s="34" t="n">
        <v>3</v>
      </c>
      <c r="J4161" s="35" t="n">
        <v>3</v>
      </c>
      <c r="K4161" s="2" t="inlineStr">
        <is>
          <t>marker_821_740698.png</t>
        </is>
      </c>
      <c r="L4161" s="36">
        <f>HYPERLINK("NoConsenso\" &amp; K4161, "Ver Imagen")</f>
        <v/>
      </c>
      <c r="M4161" t="inlineStr">
        <is>
          <t>Mediana</t>
        </is>
      </c>
    </row>
    <row r="4162">
      <c r="A4162" s="33" t="n">
        <v>4161</v>
      </c>
      <c r="B4162" t="inlineStr">
        <is>
          <t>A-490__150</t>
        </is>
      </c>
      <c r="C4162" s="1" t="n">
        <v>37.4531782231</v>
      </c>
      <c r="D4162" s="1" t="n">
        <v>-7.16214286032</v>
      </c>
      <c r="E4162" s="3" t="n">
        <v>2</v>
      </c>
      <c r="F4162" s="2" t="n">
        <v>4</v>
      </c>
      <c r="G4162" s="4" t="n">
        <v>3</v>
      </c>
      <c r="H4162" s="13" t="n">
        <v>3</v>
      </c>
      <c r="I4162" s="34" t="n">
        <v>3</v>
      </c>
      <c r="J4162" s="35" t="n">
        <v>3</v>
      </c>
      <c r="K4162" s="2" t="inlineStr">
        <is>
          <t>marker_638_740755.png</t>
        </is>
      </c>
      <c r="L4162" s="36">
        <f>HYPERLINK("NoConsenso\" &amp; K4162, "Ver Imagen")</f>
        <v/>
      </c>
      <c r="M4162" t="inlineStr">
        <is>
          <t>Mediana</t>
        </is>
      </c>
    </row>
    <row r="4163">
      <c r="A4163" s="33" t="n">
        <v>4162</v>
      </c>
      <c r="B4163" t="inlineStr">
        <is>
          <t>A-490__153</t>
        </is>
      </c>
      <c r="C4163" s="1" t="n">
        <v>37.4535113882</v>
      </c>
      <c r="D4163" s="1" t="n">
        <v>-7.16280797464</v>
      </c>
      <c r="E4163" s="3" t="n">
        <v>2</v>
      </c>
      <c r="F4163" s="2" t="n">
        <v>4</v>
      </c>
      <c r="G4163" s="4" t="n">
        <v>3</v>
      </c>
      <c r="H4163" s="13" t="n">
        <v>3</v>
      </c>
      <c r="I4163" s="34" t="n">
        <v>3</v>
      </c>
      <c r="J4163" s="35" t="n">
        <v>3</v>
      </c>
      <c r="K4163" s="2" t="inlineStr">
        <is>
          <t>marker_567_740841.png</t>
        </is>
      </c>
      <c r="L4163" s="36">
        <f>HYPERLINK("NoConsenso\" &amp; K4163, "Ver Imagen")</f>
        <v/>
      </c>
      <c r="M4163" t="inlineStr">
        <is>
          <t>Mediana</t>
        </is>
      </c>
    </row>
    <row r="4164">
      <c r="A4164" s="33" t="n">
        <v>4163</v>
      </c>
      <c r="B4164" t="inlineStr">
        <is>
          <t>A-490__156</t>
        </is>
      </c>
      <c r="C4164" s="1" t="n">
        <v>37.453853381</v>
      </c>
      <c r="D4164" s="1" t="n">
        <v>-7.16347369157</v>
      </c>
      <c r="E4164" s="3" t="n">
        <v>2</v>
      </c>
      <c r="F4164" s="2" t="n">
        <v>4</v>
      </c>
      <c r="G4164" s="4" t="n">
        <v>3</v>
      </c>
      <c r="H4164" s="13" t="n">
        <v>2</v>
      </c>
      <c r="I4164" s="34" t="n">
        <v>2</v>
      </c>
      <c r="J4164" s="35" t="n">
        <v>2</v>
      </c>
      <c r="K4164" s="2" t="inlineStr">
        <is>
          <t>marker_774_740894.png</t>
        </is>
      </c>
      <c r="L4164" s="36">
        <f>HYPERLINK("NoConsenso\" &amp; K4164, "Ver Imagen")</f>
        <v/>
      </c>
      <c r="M4164" t="inlineStr">
        <is>
          <t>Mediana</t>
        </is>
      </c>
    </row>
    <row r="4165">
      <c r="A4165" s="33" t="n">
        <v>4164</v>
      </c>
      <c r="B4165" t="inlineStr">
        <is>
          <t>A-490__158</t>
        </is>
      </c>
      <c r="C4165" s="1" t="n">
        <v>37.4540471836</v>
      </c>
      <c r="D4165" s="1" t="n">
        <v>-7.1638608332</v>
      </c>
      <c r="E4165" s="3" t="n">
        <v>2</v>
      </c>
      <c r="F4165" s="2" t="n">
        <v>4</v>
      </c>
      <c r="G4165" s="4" t="n">
        <v>3</v>
      </c>
      <c r="H4165" s="13" t="n">
        <v>3</v>
      </c>
      <c r="I4165" s="34" t="n">
        <v>2</v>
      </c>
      <c r="J4165" s="35" t="n">
        <v>3</v>
      </c>
      <c r="K4165" s="2" t="inlineStr">
        <is>
          <t>marker_370_741171.png</t>
        </is>
      </c>
      <c r="L4165" s="36">
        <f>HYPERLINK("NoConsenso\" &amp; K4165, "Ver Imagen")</f>
        <v/>
      </c>
      <c r="M4165" t="inlineStr">
        <is>
          <t>Mediana</t>
        </is>
      </c>
    </row>
    <row r="4166">
      <c r="A4166" s="33" t="n">
        <v>4165</v>
      </c>
      <c r="B4166" t="inlineStr">
        <is>
          <t>A-490__165</t>
        </is>
      </c>
      <c r="C4166" s="1" t="n">
        <v>37.4548390575</v>
      </c>
      <c r="D4166" s="1" t="n">
        <v>-7.16534634287</v>
      </c>
      <c r="E4166" s="3" t="n">
        <v>1</v>
      </c>
      <c r="F4166" s="2" t="n">
        <v>3</v>
      </c>
      <c r="G4166" s="4" t="n">
        <v>3</v>
      </c>
      <c r="H4166" s="13" t="n">
        <v>2</v>
      </c>
      <c r="I4166" s="34" t="n">
        <v>2</v>
      </c>
      <c r="J4166" s="35" t="n">
        <v>2</v>
      </c>
      <c r="K4166" s="2" t="inlineStr">
        <is>
          <t>marker_754_741353.png</t>
        </is>
      </c>
      <c r="L4166" s="36">
        <f>HYPERLINK("NoConsenso\" &amp; K4166, "Ver Imagen")</f>
        <v/>
      </c>
      <c r="M4166" t="inlineStr">
        <is>
          <t>Mediana</t>
        </is>
      </c>
    </row>
    <row r="4167">
      <c r="A4167" s="33" t="n">
        <v>4166</v>
      </c>
      <c r="B4167" t="inlineStr">
        <is>
          <t>A-490__169</t>
        </is>
      </c>
      <c r="C4167" s="1" t="n">
        <v>37.4554176892</v>
      </c>
      <c r="D4167" s="1" t="n">
        <v>-7.16608629489</v>
      </c>
      <c r="E4167" s="3" t="n">
        <v>1</v>
      </c>
      <c r="F4167" s="2" t="n">
        <v>3</v>
      </c>
      <c r="G4167" s="4" t="n">
        <v>3</v>
      </c>
      <c r="H4167" s="13" t="n">
        <v>3</v>
      </c>
      <c r="I4167" s="34" t="n">
        <v>2</v>
      </c>
      <c r="J4167" s="37" t="n">
        <v>2</v>
      </c>
      <c r="K4167" s="2" t="inlineStr">
        <is>
          <t>marker_338_741459.png</t>
        </is>
      </c>
      <c r="L4167" s="36">
        <f>HYPERLINK("NoConsenso\" &amp; K4167, "Ver Imagen")</f>
        <v/>
      </c>
      <c r="M4167" s="37" t="inlineStr">
        <is>
          <t>Modificada</t>
        </is>
      </c>
    </row>
    <row r="4168">
      <c r="A4168" s="33" t="n">
        <v>4167</v>
      </c>
      <c r="B4168" t="inlineStr">
        <is>
          <t>A-490__184</t>
        </is>
      </c>
      <c r="C4168" s="1" t="n">
        <v>37.4575546104</v>
      </c>
      <c r="D4168" s="1" t="n">
        <v>-7.16871864739</v>
      </c>
      <c r="E4168" s="3" t="n">
        <v>2</v>
      </c>
      <c r="F4168" s="2" t="n">
        <v>1</v>
      </c>
      <c r="G4168" s="4" t="n">
        <v>3</v>
      </c>
      <c r="H4168" s="13" t="n">
        <v>3</v>
      </c>
      <c r="I4168" s="34" t="n">
        <v>2</v>
      </c>
      <c r="J4168" s="35" t="n">
        <v>2</v>
      </c>
      <c r="K4168" s="2" t="inlineStr">
        <is>
          <t>marker_102_741894.png</t>
        </is>
      </c>
      <c r="L4168" s="36">
        <f>HYPERLINK("NoConsenso\" &amp; K4168, "Ver Imagen")</f>
        <v/>
      </c>
      <c r="M4168" t="inlineStr">
        <is>
          <t>Mediana</t>
        </is>
      </c>
    </row>
    <row r="4169">
      <c r="A4169" s="33" t="n">
        <v>4168</v>
      </c>
      <c r="B4169" t="inlineStr">
        <is>
          <t>A-490__187</t>
        </is>
      </c>
      <c r="C4169" s="1" t="n">
        <v>37.457999748</v>
      </c>
      <c r="D4169" s="1" t="n">
        <v>-7.16926526896</v>
      </c>
      <c r="E4169" s="3" t="n">
        <v>2</v>
      </c>
      <c r="F4169" s="2" t="n">
        <v>4</v>
      </c>
      <c r="G4169" s="4" t="n">
        <v>3</v>
      </c>
      <c r="H4169" s="13" t="n">
        <v>3</v>
      </c>
      <c r="I4169" s="34" t="n">
        <v>2</v>
      </c>
      <c r="J4169" s="35" t="n">
        <v>3</v>
      </c>
      <c r="K4169" s="2" t="inlineStr">
        <is>
          <t>marker_844_741980.png</t>
        </is>
      </c>
      <c r="L4169" s="36">
        <f>HYPERLINK("NoConsenso\" &amp; K4169, "Ver Imagen")</f>
        <v/>
      </c>
      <c r="M4169" t="inlineStr">
        <is>
          <t>Mediana</t>
        </is>
      </c>
    </row>
    <row r="4170">
      <c r="A4170" s="33" t="n">
        <v>4169</v>
      </c>
      <c r="B4170" t="inlineStr">
        <is>
          <t>A-490__203</t>
        </is>
      </c>
      <c r="C4170" s="1" t="n">
        <v>37.4602175778</v>
      </c>
      <c r="D4170" s="1" t="n">
        <v>-7.17219582723</v>
      </c>
      <c r="E4170" s="3" t="n">
        <v>1</v>
      </c>
      <c r="F4170" s="2" t="n">
        <v>2</v>
      </c>
      <c r="G4170" s="4" t="n">
        <v>3</v>
      </c>
      <c r="H4170" s="13" t="n">
        <v>2</v>
      </c>
      <c r="I4170" s="34" t="n">
        <v>2</v>
      </c>
      <c r="J4170" s="35" t="n">
        <v>2</v>
      </c>
      <c r="K4170" s="2" t="inlineStr">
        <is>
          <t>marker_112_742441.png</t>
        </is>
      </c>
      <c r="L4170" s="36">
        <f>HYPERLINK("NoConsenso\" &amp; K4170, "Ver Imagen")</f>
        <v/>
      </c>
      <c r="M4170" t="inlineStr">
        <is>
          <t>Mediana</t>
        </is>
      </c>
    </row>
    <row r="4171">
      <c r="A4171" s="33" t="n">
        <v>4170</v>
      </c>
      <c r="B4171" t="inlineStr">
        <is>
          <t>A-490__208</t>
        </is>
      </c>
      <c r="C4171" s="1" t="n">
        <v>37.4608440027</v>
      </c>
      <c r="D4171" s="1" t="n">
        <v>-7.17322332256</v>
      </c>
      <c r="E4171" s="3" t="n">
        <v>1</v>
      </c>
      <c r="F4171" s="2" t="n">
        <v>3</v>
      </c>
      <c r="G4171" s="4" t="n">
        <v>3</v>
      </c>
      <c r="H4171" s="13" t="n">
        <v>2</v>
      </c>
      <c r="I4171" s="34" t="n">
        <v>2</v>
      </c>
      <c r="J4171" s="35" t="n">
        <v>2</v>
      </c>
      <c r="K4171" s="2" t="inlineStr">
        <is>
          <t>marker_402_742625.png</t>
        </is>
      </c>
      <c r="L4171" s="36">
        <f>HYPERLINK("NoConsenso\" &amp; K4171, "Ver Imagen")</f>
        <v/>
      </c>
      <c r="M4171" t="inlineStr">
        <is>
          <t>Mediana</t>
        </is>
      </c>
    </row>
    <row r="4172">
      <c r="A4172" s="33" t="n">
        <v>4171</v>
      </c>
      <c r="B4172" t="inlineStr">
        <is>
          <t>A-490__235</t>
        </is>
      </c>
      <c r="C4172" s="1" t="n">
        <v>37.4641052377</v>
      </c>
      <c r="D4172" s="1" t="n">
        <v>-7.17871342501</v>
      </c>
      <c r="E4172" s="3" t="n">
        <v>2</v>
      </c>
      <c r="F4172" s="2" t="n">
        <v>4</v>
      </c>
      <c r="G4172" s="4" t="n">
        <v>3</v>
      </c>
      <c r="H4172" s="13" t="n">
        <v>3</v>
      </c>
      <c r="I4172" s="34" t="n">
        <v>3</v>
      </c>
      <c r="J4172" s="35" t="n">
        <v>3</v>
      </c>
      <c r="K4172" s="2" t="inlineStr">
        <is>
          <t>marker_840_743985.png</t>
        </is>
      </c>
      <c r="L4172" s="36">
        <f>HYPERLINK("NoConsenso\" &amp; K4172, "Ver Imagen")</f>
        <v/>
      </c>
      <c r="M4172" t="inlineStr">
        <is>
          <t>Mediana</t>
        </is>
      </c>
    </row>
    <row r="4173">
      <c r="A4173" s="33" t="n">
        <v>4172</v>
      </c>
      <c r="B4173" t="inlineStr">
        <is>
          <t>A-490__263</t>
        </is>
      </c>
      <c r="C4173" s="1" t="n">
        <v>37.4672974381</v>
      </c>
      <c r="D4173" s="1" t="n">
        <v>-7.18466287265</v>
      </c>
      <c r="E4173" s="3" t="n">
        <v>1</v>
      </c>
      <c r="F4173" s="2" t="n">
        <v>2</v>
      </c>
      <c r="G4173" s="4" t="n">
        <v>3</v>
      </c>
      <c r="H4173" s="13" t="n">
        <v>2</v>
      </c>
      <c r="I4173" s="34" t="n">
        <v>1</v>
      </c>
      <c r="J4173" s="35" t="n">
        <v>2</v>
      </c>
      <c r="K4173" s="2" t="inlineStr">
        <is>
          <t>marker_738_749769.png</t>
        </is>
      </c>
      <c r="L4173" s="36">
        <f>HYPERLINK("NoConsenso\" &amp; K4173, "Ver Imagen")</f>
        <v/>
      </c>
      <c r="M4173" t="inlineStr">
        <is>
          <t>Mediana</t>
        </is>
      </c>
    </row>
    <row r="4174">
      <c r="A4174" s="33" t="n">
        <v>4173</v>
      </c>
      <c r="B4174" t="inlineStr">
        <is>
          <t>A-490__105</t>
        </is>
      </c>
      <c r="C4174" s="1" t="n">
        <v>37.449703218</v>
      </c>
      <c r="D4174" s="1" t="n">
        <v>-7.15177574362</v>
      </c>
      <c r="E4174" s="3" t="n">
        <v>3</v>
      </c>
      <c r="F4174" s="2" t="n">
        <v>3</v>
      </c>
      <c r="G4174" s="4" t="n">
        <v>5</v>
      </c>
      <c r="H4174" s="13" t="n">
        <v>3</v>
      </c>
      <c r="I4174" s="34" t="n">
        <v>3</v>
      </c>
      <c r="J4174" s="35" t="n">
        <v>3</v>
      </c>
      <c r="K4174" s="2" t="inlineStr">
        <is>
          <t>marker_720_739654.png</t>
        </is>
      </c>
      <c r="L4174" s="36">
        <f>HYPERLINK("NoConsenso\" &amp; K4174, "Ver Imagen")</f>
        <v/>
      </c>
      <c r="M4174" t="inlineStr">
        <is>
          <t>Mediana</t>
        </is>
      </c>
    </row>
    <row r="4175">
      <c r="A4175" s="33" t="n">
        <v>4174</v>
      </c>
      <c r="B4175" t="inlineStr">
        <is>
          <t>A-490__346</t>
        </is>
      </c>
      <c r="C4175" s="1" t="n">
        <v>37.4765022551</v>
      </c>
      <c r="D4175" s="1" t="n">
        <v>-7.20223048773</v>
      </c>
      <c r="E4175" s="3" t="n">
        <v>1</v>
      </c>
      <c r="F4175" s="2" t="n">
        <v>3</v>
      </c>
      <c r="G4175" s="4" t="n">
        <v>3</v>
      </c>
      <c r="H4175" s="13" t="n">
        <v>2</v>
      </c>
      <c r="I4175" s="34" t="n">
        <v>1</v>
      </c>
      <c r="J4175" s="35" t="n">
        <v>2</v>
      </c>
      <c r="K4175" s="2" t="inlineStr">
        <is>
          <t>marker_777_751614.png</t>
        </is>
      </c>
      <c r="L4175" s="36">
        <f>HYPERLINK("NoConsenso\" &amp; K4175, "Ver Imagen")</f>
        <v/>
      </c>
      <c r="M4175" t="inlineStr">
        <is>
          <t>Mediana</t>
        </is>
      </c>
    </row>
    <row r="4176">
      <c r="A4176" s="33" t="n">
        <v>4175</v>
      </c>
      <c r="B4176" t="inlineStr">
        <is>
          <t>A-490__355</t>
        </is>
      </c>
      <c r="C4176" s="1" t="n">
        <v>37.4773933772</v>
      </c>
      <c r="D4176" s="1" t="n">
        <v>-7.20430459655</v>
      </c>
      <c r="E4176" s="3" t="n">
        <v>1</v>
      </c>
      <c r="F4176" s="2" t="n">
        <v>2</v>
      </c>
      <c r="G4176" s="4" t="n">
        <v>3</v>
      </c>
      <c r="H4176" s="13" t="n">
        <v>2</v>
      </c>
      <c r="I4176" s="34" t="n">
        <v>1</v>
      </c>
      <c r="J4176" s="35" t="n">
        <v>2</v>
      </c>
      <c r="K4176" s="2" t="inlineStr">
        <is>
          <t>marker_190_751773.png</t>
        </is>
      </c>
      <c r="L4176" s="36">
        <f>HYPERLINK("NoConsenso\" &amp; K4176, "Ver Imagen")</f>
        <v/>
      </c>
      <c r="M4176" t="inlineStr">
        <is>
          <t>Mediana</t>
        </is>
      </c>
    </row>
    <row r="4177">
      <c r="A4177" s="33" t="n">
        <v>4176</v>
      </c>
      <c r="B4177" t="inlineStr">
        <is>
          <t>A-490__356</t>
        </is>
      </c>
      <c r="C4177" s="1" t="n">
        <v>37.4774692399</v>
      </c>
      <c r="D4177" s="1" t="n">
        <v>-7.20447831661</v>
      </c>
      <c r="E4177" s="3" t="n">
        <v>1</v>
      </c>
      <c r="F4177" s="2" t="n">
        <v>3</v>
      </c>
      <c r="G4177" s="4" t="n">
        <v>3</v>
      </c>
      <c r="H4177" s="13" t="n">
        <v>2</v>
      </c>
      <c r="I4177" s="34" t="n">
        <v>2</v>
      </c>
      <c r="J4177" s="35" t="n">
        <v>2</v>
      </c>
      <c r="K4177" s="2" t="inlineStr">
        <is>
          <t>marker_158_751789.png</t>
        </is>
      </c>
      <c r="L4177" s="36">
        <f>HYPERLINK("NoConsenso\" &amp; K4177, "Ver Imagen")</f>
        <v/>
      </c>
      <c r="M4177" t="inlineStr">
        <is>
          <t>Mediana</t>
        </is>
      </c>
    </row>
    <row r="4178">
      <c r="A4178" s="33" t="n">
        <v>4177</v>
      </c>
      <c r="B4178" t="inlineStr">
        <is>
          <t>A-490__357</t>
        </is>
      </c>
      <c r="C4178" s="1" t="n">
        <v>37.4775653863</v>
      </c>
      <c r="D4178" s="1" t="n">
        <v>-7.20469763154</v>
      </c>
      <c r="E4178" s="3" t="n">
        <v>1</v>
      </c>
      <c r="F4178" s="2" t="n">
        <v>3</v>
      </c>
      <c r="G4178" s="4" t="n">
        <v>3</v>
      </c>
      <c r="H4178" s="13" t="n">
        <v>2</v>
      </c>
      <c r="I4178" s="34" t="n">
        <v>1</v>
      </c>
      <c r="J4178" s="35" t="n">
        <v>2</v>
      </c>
      <c r="K4178" s="2" t="inlineStr">
        <is>
          <t>marker_355_751809.png</t>
        </is>
      </c>
      <c r="L4178" s="36">
        <f>HYPERLINK("NoConsenso\" &amp; K4178, "Ver Imagen")</f>
        <v/>
      </c>
      <c r="M4178" t="inlineStr">
        <is>
          <t>Mediana</t>
        </is>
      </c>
    </row>
    <row r="4179">
      <c r="A4179" s="33" t="n">
        <v>4178</v>
      </c>
      <c r="B4179" t="inlineStr">
        <is>
          <t>A-490__365</t>
        </is>
      </c>
      <c r="C4179" s="1" t="n">
        <v>37.4783296233</v>
      </c>
      <c r="D4179" s="1" t="n">
        <v>-7.20647456673</v>
      </c>
      <c r="E4179" s="3" t="n">
        <v>1</v>
      </c>
      <c r="F4179" s="2" t="n">
        <v>3</v>
      </c>
      <c r="G4179" s="4" t="n">
        <v>3</v>
      </c>
      <c r="H4179" s="13" t="n">
        <v>2</v>
      </c>
      <c r="I4179" s="34" t="n">
        <v>2</v>
      </c>
      <c r="J4179" s="35" t="n">
        <v>2</v>
      </c>
      <c r="K4179" s="2" t="inlineStr">
        <is>
          <t>marker_939_751997.png</t>
        </is>
      </c>
      <c r="L4179" s="36">
        <f>HYPERLINK("NoConsenso\" &amp; K4179, "Ver Imagen")</f>
        <v/>
      </c>
      <c r="M4179" t="inlineStr">
        <is>
          <t>Mediana</t>
        </is>
      </c>
    </row>
    <row r="4180">
      <c r="A4180" s="33" t="n">
        <v>4179</v>
      </c>
      <c r="B4180" t="inlineStr">
        <is>
          <t>A-490__372</t>
        </is>
      </c>
      <c r="C4180" s="1" t="n">
        <v>37.4790074386</v>
      </c>
      <c r="D4180" s="1" t="n">
        <v>-7.20804441331</v>
      </c>
      <c r="E4180" s="3" t="n">
        <v>1</v>
      </c>
      <c r="F4180" s="2" t="n">
        <v>3</v>
      </c>
      <c r="G4180" s="4" t="n">
        <v>3</v>
      </c>
      <c r="H4180" s="13" t="n">
        <v>2</v>
      </c>
      <c r="I4180" s="34" t="n">
        <v>2</v>
      </c>
      <c r="J4180" s="35" t="n">
        <v>2</v>
      </c>
      <c r="K4180" s="2" t="inlineStr">
        <is>
          <t>marker_842_752141.png</t>
        </is>
      </c>
      <c r="L4180" s="36">
        <f>HYPERLINK("NoConsenso\" &amp; K4180, "Ver Imagen")</f>
        <v/>
      </c>
      <c r="M4180" t="inlineStr">
        <is>
          <t>Mediana</t>
        </is>
      </c>
    </row>
    <row r="4181">
      <c r="A4181" s="33" t="n">
        <v>4180</v>
      </c>
      <c r="B4181" t="inlineStr">
        <is>
          <t>A-490__375</t>
        </is>
      </c>
      <c r="C4181" s="1" t="n">
        <v>37.4792968396</v>
      </c>
      <c r="D4181" s="1" t="n">
        <v>-7.20875237993</v>
      </c>
      <c r="E4181" s="3" t="n">
        <v>1</v>
      </c>
      <c r="F4181" s="2" t="n">
        <v>3</v>
      </c>
      <c r="G4181" s="4" t="n">
        <v>3</v>
      </c>
      <c r="H4181" s="13" t="n">
        <v>2</v>
      </c>
      <c r="I4181" s="34" t="n">
        <v>2</v>
      </c>
      <c r="J4181" s="35" t="n">
        <v>2</v>
      </c>
      <c r="K4181" s="2" t="inlineStr">
        <is>
          <t>marker_389_752208.png</t>
        </is>
      </c>
      <c r="L4181" s="36">
        <f>HYPERLINK("NoConsenso\" &amp; K4181, "Ver Imagen")</f>
        <v/>
      </c>
      <c r="M4181" t="inlineStr">
        <is>
          <t>Mediana</t>
        </is>
      </c>
    </row>
    <row r="4182">
      <c r="A4182" s="33" t="n">
        <v>4181</v>
      </c>
      <c r="B4182" t="inlineStr">
        <is>
          <t>A-490__395</t>
        </is>
      </c>
      <c r="C4182" s="1" t="n">
        <v>37.4811390634</v>
      </c>
      <c r="D4182" s="1" t="n">
        <v>-7.21322992376</v>
      </c>
      <c r="E4182" s="3" t="n">
        <v>1</v>
      </c>
      <c r="F4182" s="2" t="n">
        <v>3</v>
      </c>
      <c r="G4182" s="4" t="n">
        <v>3</v>
      </c>
      <c r="H4182" s="13" t="n">
        <v>1</v>
      </c>
      <c r="I4182" s="34" t="n">
        <v>2</v>
      </c>
      <c r="J4182" s="35" t="n">
        <v>2</v>
      </c>
      <c r="K4182" s="2" t="inlineStr">
        <is>
          <t>marker_290_752909.png</t>
        </is>
      </c>
      <c r="L4182" s="36">
        <f>HYPERLINK("NoConsenso\" &amp; K4182, "Ver Imagen")</f>
        <v/>
      </c>
      <c r="M4182" t="inlineStr">
        <is>
          <t>Mediana</t>
        </is>
      </c>
    </row>
    <row r="4183">
      <c r="A4183" s="33" t="n">
        <v>4182</v>
      </c>
      <c r="B4183" t="inlineStr">
        <is>
          <t>A-490__397</t>
        </is>
      </c>
      <c r="C4183" s="1" t="n">
        <v>37.4812955634</v>
      </c>
      <c r="D4183" s="1" t="n">
        <v>-7.21366010865</v>
      </c>
      <c r="E4183" s="3" t="n">
        <v>1</v>
      </c>
      <c r="F4183" s="2" t="n">
        <v>2</v>
      </c>
      <c r="G4183" s="4" t="n">
        <v>3</v>
      </c>
      <c r="H4183" s="13" t="n">
        <v>2</v>
      </c>
      <c r="I4183" s="34" t="n">
        <v>2</v>
      </c>
      <c r="J4183" s="35" t="n">
        <v>2</v>
      </c>
      <c r="K4183" s="2" t="inlineStr">
        <is>
          <t>marker_732_752962.png</t>
        </is>
      </c>
      <c r="L4183" s="36">
        <f>HYPERLINK("NoConsenso\" &amp; K4183, "Ver Imagen")</f>
        <v/>
      </c>
      <c r="M4183" t="inlineStr">
        <is>
          <t>Mediana</t>
        </is>
      </c>
    </row>
    <row r="4184">
      <c r="A4184" s="33" t="n">
        <v>4183</v>
      </c>
      <c r="B4184" t="inlineStr">
        <is>
          <t>A-490__399</t>
        </is>
      </c>
      <c r="C4184" s="1" t="n">
        <v>37.4814856757</v>
      </c>
      <c r="D4184" s="1" t="n">
        <v>-7.21417335388</v>
      </c>
      <c r="E4184" s="3" t="n">
        <v>1</v>
      </c>
      <c r="F4184" s="2" t="n">
        <v>3</v>
      </c>
      <c r="G4184" s="4" t="n">
        <v>3</v>
      </c>
      <c r="H4184" s="13" t="n">
        <v>2</v>
      </c>
      <c r="I4184" s="34" t="n">
        <v>2</v>
      </c>
      <c r="J4184" s="35" t="n">
        <v>2</v>
      </c>
      <c r="K4184" s="2" t="inlineStr">
        <is>
          <t>marker_514_753000.png</t>
        </is>
      </c>
      <c r="L4184" s="36">
        <f>HYPERLINK("NoConsenso\" &amp; K4184, "Ver Imagen")</f>
        <v/>
      </c>
      <c r="M4184" t="inlineStr">
        <is>
          <t>Mediana</t>
        </is>
      </c>
    </row>
    <row r="4185">
      <c r="A4185" s="33" t="n">
        <v>4184</v>
      </c>
      <c r="B4185" t="inlineStr">
        <is>
          <t>A-490__411</t>
        </is>
      </c>
      <c r="C4185" s="1" t="n">
        <v>37.4823637115</v>
      </c>
      <c r="D4185" s="1" t="n">
        <v>-7.2169523132</v>
      </c>
      <c r="E4185" s="3" t="n">
        <v>1</v>
      </c>
      <c r="F4185" s="2" t="n">
        <v>2</v>
      </c>
      <c r="G4185" s="4" t="n">
        <v>3</v>
      </c>
      <c r="H4185" s="13" t="n">
        <v>1</v>
      </c>
      <c r="I4185" s="34" t="n">
        <v>2</v>
      </c>
      <c r="J4185" s="35" t="n">
        <v>2</v>
      </c>
      <c r="K4185" s="2" t="inlineStr">
        <is>
          <t>marker_975_754140.png</t>
        </is>
      </c>
      <c r="L4185" s="36">
        <f>HYPERLINK("NoConsenso\" &amp; K4185, "Ver Imagen")</f>
        <v/>
      </c>
      <c r="M4185" t="inlineStr">
        <is>
          <t>Mediana</t>
        </is>
      </c>
    </row>
    <row r="4186">
      <c r="A4186" s="33" t="n">
        <v>4185</v>
      </c>
      <c r="B4186" t="inlineStr">
        <is>
          <t>A-490__413</t>
        </is>
      </c>
      <c r="C4186" s="1" t="n">
        <v>37.4824632656</v>
      </c>
      <c r="D4186" s="1" t="n">
        <v>-7.21744801446</v>
      </c>
      <c r="E4186" s="3" t="n">
        <v>1</v>
      </c>
      <c r="F4186" s="2" t="n">
        <v>2</v>
      </c>
      <c r="G4186" s="4" t="n">
        <v>3</v>
      </c>
      <c r="H4186" s="13" t="n">
        <v>1</v>
      </c>
      <c r="I4186" s="34" t="n">
        <v>1</v>
      </c>
      <c r="J4186" s="35" t="n">
        <v>1</v>
      </c>
      <c r="K4186" s="2" t="inlineStr">
        <is>
          <t>marker_369_754176.png</t>
        </is>
      </c>
      <c r="L4186" s="36">
        <f>HYPERLINK("NoConsenso\" &amp; K4186, "Ver Imagen")</f>
        <v/>
      </c>
      <c r="M4186" t="inlineStr">
        <is>
          <t>Mediana</t>
        </is>
      </c>
    </row>
    <row r="4187">
      <c r="A4187" s="33" t="n">
        <v>4186</v>
      </c>
      <c r="B4187" t="inlineStr">
        <is>
          <t>A-490__427</t>
        </is>
      </c>
      <c r="C4187" s="1" t="n">
        <v>37.4831586417</v>
      </c>
      <c r="D4187" s="1" t="n">
        <v>-7.22097998652</v>
      </c>
      <c r="E4187" s="3" t="n">
        <v>1</v>
      </c>
      <c r="F4187" s="2" t="n">
        <v>2</v>
      </c>
      <c r="G4187" s="4" t="n">
        <v>3</v>
      </c>
      <c r="H4187" s="13" t="n">
        <v>2</v>
      </c>
      <c r="I4187" s="34" t="n">
        <v>2</v>
      </c>
      <c r="J4187" s="35" t="n">
        <v>2</v>
      </c>
      <c r="K4187" s="2" t="inlineStr">
        <is>
          <t>marker_932_754411.png</t>
        </is>
      </c>
      <c r="L4187" s="36">
        <f>HYPERLINK("NoConsenso\" &amp; K4187, "Ver Imagen")</f>
        <v/>
      </c>
      <c r="M4187" t="inlineStr">
        <is>
          <t>Mediana</t>
        </is>
      </c>
    </row>
    <row r="4188">
      <c r="A4188" s="33" t="n">
        <v>4187</v>
      </c>
      <c r="B4188" t="inlineStr">
        <is>
          <t>A-490__518</t>
        </is>
      </c>
      <c r="C4188" s="1" t="n">
        <v>37.4872618997</v>
      </c>
      <c r="D4188" s="1" t="n">
        <v>-7.24344998226</v>
      </c>
      <c r="E4188" s="3" t="n">
        <v>1</v>
      </c>
      <c r="F4188" s="2" t="n">
        <v>3</v>
      </c>
      <c r="G4188" s="4" t="n">
        <v>3</v>
      </c>
      <c r="H4188" s="13" t="n">
        <v>3</v>
      </c>
      <c r="I4188" s="34" t="n">
        <v>3</v>
      </c>
      <c r="J4188" s="35" t="n">
        <v>3</v>
      </c>
      <c r="K4188" s="2" t="inlineStr">
        <is>
          <t>marker_337_817944.png</t>
        </is>
      </c>
      <c r="L4188" s="36">
        <f>HYPERLINK("NoConsenso\" &amp; K4188, "Ver Imagen")</f>
        <v/>
      </c>
      <c r="M4188" t="inlineStr">
        <is>
          <t>Mediana</t>
        </is>
      </c>
    </row>
    <row r="4189">
      <c r="A4189" s="33" t="n">
        <v>4188</v>
      </c>
      <c r="B4189" t="inlineStr">
        <is>
          <t>A-490__520</t>
        </is>
      </c>
      <c r="C4189" s="1" t="n">
        <v>37.4874120252</v>
      </c>
      <c r="D4189" s="1" t="n">
        <v>-7.24391299313</v>
      </c>
      <c r="E4189" s="3" t="n">
        <v>1</v>
      </c>
      <c r="F4189" s="2" t="n">
        <v>3</v>
      </c>
      <c r="G4189" s="4" t="n">
        <v>3</v>
      </c>
      <c r="H4189" s="13" t="n">
        <v>3</v>
      </c>
      <c r="I4189" s="34" t="n">
        <v>2</v>
      </c>
      <c r="J4189" s="35" t="n">
        <v>3</v>
      </c>
      <c r="K4189" s="2" t="inlineStr">
        <is>
          <t>marker_109_818057.png</t>
        </is>
      </c>
      <c r="L4189" s="36">
        <f>HYPERLINK("NoConsenso\" &amp; K4189, "Ver Imagen")</f>
        <v/>
      </c>
      <c r="M4189" t="inlineStr">
        <is>
          <t>Mediana</t>
        </is>
      </c>
    </row>
    <row r="4190">
      <c r="A4190" s="33" t="n">
        <v>4189</v>
      </c>
      <c r="B4190" t="inlineStr">
        <is>
          <t>A-490__546</t>
        </is>
      </c>
      <c r="C4190" s="1" t="n">
        <v>37.4904093253</v>
      </c>
      <c r="D4190" s="1" t="n">
        <v>-7.24926535212</v>
      </c>
      <c r="E4190" s="3" t="n">
        <v>1</v>
      </c>
      <c r="F4190" s="2" t="n">
        <v>2</v>
      </c>
      <c r="G4190" s="4" t="n">
        <v>3</v>
      </c>
      <c r="H4190" s="13" t="n">
        <v>2</v>
      </c>
      <c r="I4190" s="34" t="n">
        <v>2</v>
      </c>
      <c r="J4190" s="35" t="n">
        <v>2</v>
      </c>
      <c r="K4190" s="2" t="inlineStr">
        <is>
          <t>marker_794_818465.png</t>
        </is>
      </c>
      <c r="L4190" s="36">
        <f>HYPERLINK("NoConsenso\" &amp; K4190, "Ver Imagen")</f>
        <v/>
      </c>
      <c r="M4190" t="inlineStr">
        <is>
          <t>Mediana</t>
        </is>
      </c>
    </row>
    <row r="4191">
      <c r="A4191" s="33" t="n">
        <v>4190</v>
      </c>
      <c r="B4191" t="inlineStr">
        <is>
          <t>A-490__550</t>
        </is>
      </c>
      <c r="C4191" s="1" t="n">
        <v>37.4907191073</v>
      </c>
      <c r="D4191" s="1" t="n">
        <v>-7.2501749411</v>
      </c>
      <c r="E4191" s="3" t="n">
        <v>1</v>
      </c>
      <c r="F4191" s="2" t="n">
        <v>3</v>
      </c>
      <c r="G4191" s="4" t="n">
        <v>3</v>
      </c>
      <c r="H4191" s="13" t="n">
        <v>2</v>
      </c>
      <c r="I4191" s="34" t="n">
        <v>2</v>
      </c>
      <c r="J4191" s="35" t="n">
        <v>2</v>
      </c>
      <c r="K4191" s="2" t="inlineStr">
        <is>
          <t>marker_349_818583.png</t>
        </is>
      </c>
      <c r="L4191" s="36">
        <f>HYPERLINK("NoConsenso\" &amp; K4191, "Ver Imagen")</f>
        <v/>
      </c>
      <c r="M4191" t="inlineStr">
        <is>
          <t>Mediana</t>
        </is>
      </c>
    </row>
    <row r="4192">
      <c r="A4192" s="33" t="n">
        <v>4191</v>
      </c>
      <c r="B4192" t="inlineStr">
        <is>
          <t>A-490__551</t>
        </is>
      </c>
      <c r="C4192" s="1" t="n">
        <v>37.4907265643</v>
      </c>
      <c r="D4192" s="1" t="n">
        <v>-7.2503986873</v>
      </c>
      <c r="E4192" s="3" t="n">
        <v>1</v>
      </c>
      <c r="F4192" s="2" t="n">
        <v>3</v>
      </c>
      <c r="G4192" s="4" t="n">
        <v>3</v>
      </c>
      <c r="H4192" s="13" t="n">
        <v>2</v>
      </c>
      <c r="I4192" s="34" t="n">
        <v>2</v>
      </c>
      <c r="J4192" s="35" t="n">
        <v>2</v>
      </c>
      <c r="K4192" s="2" t="inlineStr">
        <is>
          <t>marker_517_818620.png</t>
        </is>
      </c>
      <c r="L4192" s="36">
        <f>HYPERLINK("NoConsenso\" &amp; K4192, "Ver Imagen")</f>
        <v/>
      </c>
      <c r="M4192" t="inlineStr">
        <is>
          <t>Mediana</t>
        </is>
      </c>
    </row>
    <row r="4193">
      <c r="A4193" s="33" t="n">
        <v>4192</v>
      </c>
      <c r="B4193" t="inlineStr">
        <is>
          <t>A-490__552</t>
        </is>
      </c>
      <c r="C4193" s="1" t="n">
        <v>37.490723829</v>
      </c>
      <c r="D4193" s="1" t="n">
        <v>-7.25070210136</v>
      </c>
      <c r="E4193" s="3" t="n">
        <v>1</v>
      </c>
      <c r="F4193" s="2" t="n">
        <v>3</v>
      </c>
      <c r="G4193" s="4" t="n">
        <v>3</v>
      </c>
      <c r="H4193" s="13" t="n">
        <v>3</v>
      </c>
      <c r="I4193" s="34" t="n">
        <v>2</v>
      </c>
      <c r="J4193" s="35" t="n">
        <v>3</v>
      </c>
      <c r="K4193" s="2" t="inlineStr">
        <is>
          <t>marker_941_818633.png</t>
        </is>
      </c>
      <c r="L4193" s="36">
        <f>HYPERLINK("NoConsenso\" &amp; K4193, "Ver Imagen")</f>
        <v/>
      </c>
      <c r="M4193" t="inlineStr">
        <is>
          <t>Mediana</t>
        </is>
      </c>
    </row>
    <row r="4194">
      <c r="A4194" s="33" t="n">
        <v>4193</v>
      </c>
      <c r="B4194" t="inlineStr">
        <is>
          <t>A-490__588</t>
        </is>
      </c>
      <c r="C4194" s="1" t="n">
        <v>37.4902634263</v>
      </c>
      <c r="D4194" s="1" t="n">
        <v>-7.25966374009</v>
      </c>
      <c r="E4194" s="3" t="n">
        <v>1</v>
      </c>
      <c r="F4194" s="2" t="n">
        <v>3</v>
      </c>
      <c r="G4194" s="4" t="n">
        <v>3</v>
      </c>
      <c r="H4194" s="13" t="n">
        <v>2</v>
      </c>
      <c r="I4194" s="34" t="n">
        <v>2</v>
      </c>
      <c r="J4194" s="35" t="n">
        <v>2</v>
      </c>
      <c r="K4194" s="2" t="inlineStr">
        <is>
          <t>marker_957_819600.png</t>
        </is>
      </c>
      <c r="L4194" s="36">
        <f>HYPERLINK("NoConsenso\" &amp; K4194, "Ver Imagen")</f>
        <v/>
      </c>
      <c r="M4194" t="inlineStr">
        <is>
          <t>Mediana</t>
        </is>
      </c>
    </row>
    <row r="4195">
      <c r="A4195" s="33" t="n">
        <v>4194</v>
      </c>
      <c r="B4195" t="inlineStr">
        <is>
          <t>A-490__595</t>
        </is>
      </c>
      <c r="C4195" s="1" t="n">
        <v>37.4913352977</v>
      </c>
      <c r="D4195" s="1" t="n">
        <v>-7.26085115518</v>
      </c>
      <c r="E4195" s="3" t="n">
        <v>1</v>
      </c>
      <c r="F4195" s="2" t="n">
        <v>3</v>
      </c>
      <c r="G4195" s="4" t="n">
        <v>3</v>
      </c>
      <c r="H4195" s="13" t="n">
        <v>3</v>
      </c>
      <c r="I4195" s="34" t="n">
        <v>2</v>
      </c>
      <c r="J4195" s="35" t="n">
        <v>3</v>
      </c>
      <c r="K4195" s="2" t="inlineStr">
        <is>
          <t>marker_988_819694.png</t>
        </is>
      </c>
      <c r="L4195" s="36">
        <f>HYPERLINK("NoConsenso\" &amp; K4195, "Ver Imagen")</f>
        <v/>
      </c>
      <c r="M4195" t="inlineStr">
        <is>
          <t>Mediana</t>
        </is>
      </c>
    </row>
    <row r="4196">
      <c r="A4196" s="33" t="n">
        <v>4195</v>
      </c>
      <c r="B4196" t="inlineStr">
        <is>
          <t>A-490__601</t>
        </is>
      </c>
      <c r="C4196" s="1" t="n">
        <v>37.4922821455</v>
      </c>
      <c r="D4196" s="1" t="n">
        <v>-7.26178364191</v>
      </c>
      <c r="E4196" s="3" t="n">
        <v>1</v>
      </c>
      <c r="F4196" s="2" t="n">
        <v>2</v>
      </c>
      <c r="G4196" s="4" t="n">
        <v>3</v>
      </c>
      <c r="H4196" s="13" t="n">
        <v>2</v>
      </c>
      <c r="I4196" s="34" t="n">
        <v>2</v>
      </c>
      <c r="J4196" s="35" t="n">
        <v>2</v>
      </c>
      <c r="K4196" s="2" t="inlineStr">
        <is>
          <t>marker_186_819883.png</t>
        </is>
      </c>
      <c r="L4196" s="36">
        <f>HYPERLINK("NoConsenso\" &amp; K4196, "Ver Imagen")</f>
        <v/>
      </c>
      <c r="M4196" t="inlineStr">
        <is>
          <t>Mediana</t>
        </is>
      </c>
    </row>
    <row r="4197">
      <c r="A4197" s="33" t="n">
        <v>4196</v>
      </c>
      <c r="B4197" t="inlineStr">
        <is>
          <t>A-490__602</t>
        </is>
      </c>
      <c r="C4197" s="1" t="n">
        <v>37.4924183122</v>
      </c>
      <c r="D4197" s="1" t="n">
        <v>-7.26193183171</v>
      </c>
      <c r="E4197" s="3" t="n">
        <v>1</v>
      </c>
      <c r="F4197" s="2" t="n">
        <v>2</v>
      </c>
      <c r="G4197" s="4" t="n">
        <v>3</v>
      </c>
      <c r="H4197" s="13" t="n">
        <v>2</v>
      </c>
      <c r="I4197" s="34" t="n">
        <v>2</v>
      </c>
      <c r="J4197" s="35" t="n">
        <v>2</v>
      </c>
      <c r="K4197" s="2" t="inlineStr">
        <is>
          <t>marker_727_820116.png</t>
        </is>
      </c>
      <c r="L4197" s="36">
        <f>HYPERLINK("NoConsenso\" &amp; K4197, "Ver Imagen")</f>
        <v/>
      </c>
      <c r="M4197" t="inlineStr">
        <is>
          <t>Mediana</t>
        </is>
      </c>
    </row>
    <row r="4198">
      <c r="A4198" s="33" t="n">
        <v>4197</v>
      </c>
      <c r="B4198" t="inlineStr">
        <is>
          <t>A-490__615</t>
        </is>
      </c>
      <c r="C4198" s="1" t="n">
        <v>37.4936792264</v>
      </c>
      <c r="D4198" s="1" t="n">
        <v>-7.26483256528</v>
      </c>
      <c r="E4198" s="3" t="n">
        <v>1</v>
      </c>
      <c r="F4198" s="2" t="n">
        <v>3</v>
      </c>
      <c r="G4198" s="4" t="n">
        <v>3</v>
      </c>
      <c r="H4198" s="13" t="n">
        <v>3</v>
      </c>
      <c r="I4198" s="34" t="n">
        <v>2</v>
      </c>
      <c r="J4198" s="35" t="n">
        <v>3</v>
      </c>
      <c r="K4198" s="2" t="inlineStr">
        <is>
          <t>marker_354_820254.png</t>
        </is>
      </c>
      <c r="L4198" s="36">
        <f>HYPERLINK("NoConsenso\" &amp; K4198, "Ver Imagen")</f>
        <v/>
      </c>
      <c r="M4198" t="inlineStr">
        <is>
          <t>Mediana</t>
        </is>
      </c>
    </row>
    <row r="4199">
      <c r="A4199" s="33" t="n">
        <v>4198</v>
      </c>
      <c r="B4199" t="inlineStr">
        <is>
          <t>A-490__616</t>
        </is>
      </c>
      <c r="C4199" s="1" t="n">
        <v>37.4937909384</v>
      </c>
      <c r="D4199" s="1" t="n">
        <v>-7.26504942717</v>
      </c>
      <c r="E4199" s="3" t="n">
        <v>1</v>
      </c>
      <c r="F4199" s="2" t="n">
        <v>3</v>
      </c>
      <c r="G4199" s="4" t="n">
        <v>3</v>
      </c>
      <c r="H4199" s="13" t="n">
        <v>3</v>
      </c>
      <c r="I4199" s="34" t="n">
        <v>3</v>
      </c>
      <c r="J4199" s="35" t="n">
        <v>3</v>
      </c>
      <c r="K4199" s="2" t="inlineStr">
        <is>
          <t>marker_694_820265.png</t>
        </is>
      </c>
      <c r="L4199" s="36">
        <f>HYPERLINK("NoConsenso\" &amp; K4199, "Ver Imagen")</f>
        <v/>
      </c>
      <c r="M4199" t="inlineStr">
        <is>
          <t>Mediana</t>
        </is>
      </c>
    </row>
    <row r="4200">
      <c r="A4200" s="33" t="n">
        <v>4199</v>
      </c>
      <c r="B4200" t="inlineStr">
        <is>
          <t>A-490__619</t>
        </is>
      </c>
      <c r="C4200" s="1" t="n">
        <v>37.4941662336</v>
      </c>
      <c r="D4200" s="1" t="n">
        <v>-7.26564329185</v>
      </c>
      <c r="E4200" s="3" t="n">
        <v>1</v>
      </c>
      <c r="F4200" s="2" t="n">
        <v>3</v>
      </c>
      <c r="G4200" s="4" t="n">
        <v>3</v>
      </c>
      <c r="H4200" s="13" t="n">
        <v>3</v>
      </c>
      <c r="I4200" s="34" t="n">
        <v>2</v>
      </c>
      <c r="J4200" s="35" t="n">
        <v>3</v>
      </c>
      <c r="K4200" s="2" t="inlineStr">
        <is>
          <t>marker_206_820296.png</t>
        </is>
      </c>
      <c r="L4200" s="36">
        <f>HYPERLINK("NoConsenso\" &amp; K4200, "Ver Imagen")</f>
        <v/>
      </c>
      <c r="M4200" t="inlineStr">
        <is>
          <t>Mediana</t>
        </is>
      </c>
    </row>
    <row r="4201">
      <c r="A4201" s="33" t="n">
        <v>4200</v>
      </c>
      <c r="B4201" t="inlineStr">
        <is>
          <t>A-490__622</t>
        </is>
      </c>
      <c r="C4201" s="1" t="n">
        <v>37.4945537552</v>
      </c>
      <c r="D4201" s="1" t="n">
        <v>-7.2662345513</v>
      </c>
      <c r="E4201" s="3" t="n">
        <v>1</v>
      </c>
      <c r="F4201" s="2" t="n">
        <v>3</v>
      </c>
      <c r="G4201" s="4" t="n">
        <v>3</v>
      </c>
      <c r="H4201" s="13" t="n">
        <v>3</v>
      </c>
      <c r="I4201" s="34" t="n">
        <v>2</v>
      </c>
      <c r="J4201" s="35" t="n">
        <v>3</v>
      </c>
      <c r="K4201" s="2" t="inlineStr">
        <is>
          <t>marker_779_820331.png</t>
        </is>
      </c>
      <c r="L4201" s="36">
        <f>HYPERLINK("NoConsenso\" &amp; K4201, "Ver Imagen")</f>
        <v/>
      </c>
      <c r="M4201" t="inlineStr">
        <is>
          <t>Mediana</t>
        </is>
      </c>
    </row>
    <row r="4202">
      <c r="A4202" s="33" t="n">
        <v>4201</v>
      </c>
      <c r="B4202" t="inlineStr">
        <is>
          <t>A-492__98</t>
        </is>
      </c>
      <c r="C4202" s="1" t="n">
        <v>37.2796831867</v>
      </c>
      <c r="D4202" s="1" t="n">
        <v>-7.00681331947</v>
      </c>
      <c r="E4202" s="3" t="n">
        <v>1</v>
      </c>
      <c r="F4202" s="2" t="n">
        <v>3</v>
      </c>
      <c r="G4202" s="4" t="n">
        <v>3</v>
      </c>
      <c r="H4202" s="13" t="n">
        <v>2</v>
      </c>
      <c r="I4202" s="34" t="n">
        <v>2</v>
      </c>
      <c r="J4202" s="35" t="n">
        <v>2</v>
      </c>
      <c r="K4202" s="2" t="inlineStr">
        <is>
          <t>marker_650_823736.png</t>
        </is>
      </c>
      <c r="L4202" s="36">
        <f>HYPERLINK("NoConsenso\" &amp; K4202, "Ver Imagen")</f>
        <v/>
      </c>
      <c r="M4202" t="inlineStr">
        <is>
          <t>Mediana</t>
        </is>
      </c>
    </row>
    <row r="4203">
      <c r="A4203" s="33" t="n">
        <v>4202</v>
      </c>
      <c r="B4203" t="inlineStr">
        <is>
          <t>A-492__99</t>
        </is>
      </c>
      <c r="C4203" s="1" t="n">
        <v>37.279596014</v>
      </c>
      <c r="D4203" s="1" t="n">
        <v>-7.00703726148</v>
      </c>
      <c r="E4203" s="3" t="n">
        <v>1</v>
      </c>
      <c r="F4203" s="2" t="n">
        <v>1</v>
      </c>
      <c r="G4203" s="4" t="n">
        <v>3</v>
      </c>
      <c r="H4203" s="13" t="n">
        <v>3</v>
      </c>
      <c r="I4203" s="34" t="n">
        <v>2</v>
      </c>
      <c r="J4203" s="35" t="n">
        <v>2</v>
      </c>
      <c r="K4203" s="2" t="inlineStr">
        <is>
          <t>marker_578_823746.png</t>
        </is>
      </c>
      <c r="L4203" s="36">
        <f>HYPERLINK("NoConsenso\" &amp; K4203, "Ver Imagen")</f>
        <v/>
      </c>
      <c r="M4203" t="inlineStr">
        <is>
          <t>Mediana</t>
        </is>
      </c>
    </row>
    <row r="4204">
      <c r="A4204" s="33" t="n">
        <v>4203</v>
      </c>
      <c r="B4204" t="inlineStr">
        <is>
          <t>A-492__100</t>
        </is>
      </c>
      <c r="C4204" s="1" t="n">
        <v>37.2795040542</v>
      </c>
      <c r="D4204" s="1" t="n">
        <v>-7.00727374153</v>
      </c>
      <c r="E4204" s="3" t="n">
        <v>1</v>
      </c>
      <c r="F4204" s="2" t="n">
        <v>2</v>
      </c>
      <c r="G4204" s="4" t="n">
        <v>3</v>
      </c>
      <c r="H4204" s="13" t="n">
        <v>2</v>
      </c>
      <c r="I4204" s="34" t="n">
        <v>2</v>
      </c>
      <c r="J4204" s="35" t="n">
        <v>2</v>
      </c>
      <c r="K4204" s="2" t="inlineStr">
        <is>
          <t>marker_319_823762.png</t>
        </is>
      </c>
      <c r="L4204" s="36">
        <f>HYPERLINK("NoConsenso\" &amp; K4204, "Ver Imagen")</f>
        <v/>
      </c>
      <c r="M4204" t="inlineStr">
        <is>
          <t>Mediana</t>
        </is>
      </c>
    </row>
    <row r="4205">
      <c r="A4205" s="33" t="n">
        <v>4204</v>
      </c>
      <c r="B4205" t="inlineStr">
        <is>
          <t>A-492__102</t>
        </is>
      </c>
      <c r="C4205" s="1" t="n">
        <v>37.2793175806</v>
      </c>
      <c r="D4205" s="1" t="n">
        <v>-7.00775130675</v>
      </c>
      <c r="E4205" s="3" t="n">
        <v>1</v>
      </c>
      <c r="F4205" s="2" t="n">
        <v>3</v>
      </c>
      <c r="G4205" s="4" t="n">
        <v>3</v>
      </c>
      <c r="H4205" s="13" t="n">
        <v>3</v>
      </c>
      <c r="I4205" s="34" t="n">
        <v>2</v>
      </c>
      <c r="J4205" s="37" t="n">
        <v>2</v>
      </c>
      <c r="K4205" s="2" t="inlineStr">
        <is>
          <t>marker_822_823784.png</t>
        </is>
      </c>
      <c r="L4205" s="36">
        <f>HYPERLINK("NoConsenso\" &amp; K4205, "Ver Imagen")</f>
        <v/>
      </c>
      <c r="M4205" s="37" t="inlineStr">
        <is>
          <t>Modificada</t>
        </is>
      </c>
    </row>
    <row r="4206">
      <c r="A4206" s="33" t="n">
        <v>4205</v>
      </c>
      <c r="B4206" t="inlineStr">
        <is>
          <t>A-492__103</t>
        </is>
      </c>
      <c r="C4206" s="1" t="n">
        <v>37.2792495324</v>
      </c>
      <c r="D4206" s="1" t="n">
        <v>-7.0079239662</v>
      </c>
      <c r="E4206" s="3" t="n">
        <v>1</v>
      </c>
      <c r="F4206" s="2" t="n">
        <v>2</v>
      </c>
      <c r="G4206" s="4" t="n">
        <v>3</v>
      </c>
      <c r="H4206" s="13" t="n">
        <v>2</v>
      </c>
      <c r="I4206" s="34" t="n">
        <v>2</v>
      </c>
      <c r="J4206" s="35" t="n">
        <v>2</v>
      </c>
      <c r="K4206" s="2" t="inlineStr">
        <is>
          <t>marker_222_823795.png</t>
        </is>
      </c>
      <c r="L4206" s="36">
        <f>HYPERLINK("NoConsenso\" &amp; K4206, "Ver Imagen")</f>
        <v/>
      </c>
      <c r="M4206" t="inlineStr">
        <is>
          <t>Mediana</t>
        </is>
      </c>
    </row>
    <row r="4207">
      <c r="A4207" s="33" t="n">
        <v>4206</v>
      </c>
      <c r="B4207" t="inlineStr">
        <is>
          <t>A-492__112</t>
        </is>
      </c>
      <c r="C4207" s="1" t="n">
        <v>37.2784074826</v>
      </c>
      <c r="D4207" s="1" t="n">
        <v>-7.00996167541</v>
      </c>
      <c r="E4207" s="3" t="n">
        <v>2</v>
      </c>
      <c r="F4207" s="2" t="n">
        <v>4</v>
      </c>
      <c r="G4207" s="4" t="n">
        <v>3</v>
      </c>
      <c r="H4207" s="13" t="n">
        <v>3</v>
      </c>
      <c r="I4207" s="34" t="n">
        <v>3</v>
      </c>
      <c r="J4207" s="35" t="n">
        <v>3</v>
      </c>
      <c r="K4207" s="2" t="inlineStr">
        <is>
          <t>marker_419_824313.png</t>
        </is>
      </c>
      <c r="L4207" s="36">
        <f>HYPERLINK("NoConsenso\" &amp; K4207, "Ver Imagen")</f>
        <v/>
      </c>
      <c r="M4207" t="inlineStr">
        <is>
          <t>Mediana</t>
        </is>
      </c>
    </row>
    <row r="4208">
      <c r="A4208" s="33" t="n">
        <v>4207</v>
      </c>
      <c r="B4208" t="inlineStr">
        <is>
          <t>A-492__132</t>
        </is>
      </c>
      <c r="C4208" s="1" t="n">
        <v>37.2761965827</v>
      </c>
      <c r="D4208" s="1" t="n">
        <v>-7.01417126114</v>
      </c>
      <c r="E4208" s="3" t="n">
        <v>3</v>
      </c>
      <c r="F4208" s="2" t="n">
        <v>2</v>
      </c>
      <c r="G4208" s="4" t="n">
        <v>4</v>
      </c>
      <c r="H4208" s="13" t="n">
        <v>3</v>
      </c>
      <c r="I4208" s="34" t="n">
        <v>3</v>
      </c>
      <c r="J4208" s="35" t="n">
        <v>3</v>
      </c>
      <c r="K4208" s="2" t="inlineStr">
        <is>
          <t>marker_271_824565.png</t>
        </is>
      </c>
      <c r="L4208" s="36">
        <f>HYPERLINK("NoConsenso\" &amp; K4208, "Ver Imagen")</f>
        <v/>
      </c>
      <c r="M4208" t="inlineStr">
        <is>
          <t>Mediana</t>
        </is>
      </c>
    </row>
    <row r="4209">
      <c r="A4209" s="33" t="n">
        <v>4208</v>
      </c>
      <c r="B4209" t="inlineStr">
        <is>
          <t>A-492__139</t>
        </is>
      </c>
      <c r="C4209" s="1" t="n">
        <v>37.2756161601</v>
      </c>
      <c r="D4209" s="1" t="n">
        <v>-7.01561164286</v>
      </c>
      <c r="E4209" s="3" t="n">
        <v>3</v>
      </c>
      <c r="F4209" s="2" t="n">
        <v>2</v>
      </c>
      <c r="G4209" s="4" t="n">
        <v>4</v>
      </c>
      <c r="H4209" s="13" t="n">
        <v>2</v>
      </c>
      <c r="I4209" s="34" t="n">
        <v>3</v>
      </c>
      <c r="J4209" s="37" t="n">
        <v>2</v>
      </c>
      <c r="K4209" s="2" t="inlineStr">
        <is>
          <t>marker_746_824661.png</t>
        </is>
      </c>
      <c r="L4209" s="36">
        <f>HYPERLINK("NoConsenso\" &amp; K4209, "Ver Imagen")</f>
        <v/>
      </c>
      <c r="M4209" s="37" t="inlineStr">
        <is>
          <t>Modificada</t>
        </is>
      </c>
    </row>
    <row r="4210">
      <c r="A4210" s="33" t="n">
        <v>4209</v>
      </c>
      <c r="B4210" t="inlineStr">
        <is>
          <t>A-492__158</t>
        </is>
      </c>
      <c r="C4210" s="1" t="n">
        <v>37.2758184153</v>
      </c>
      <c r="D4210" s="1" t="n">
        <v>-7.02025871643</v>
      </c>
      <c r="E4210" s="3" t="n">
        <v>1</v>
      </c>
      <c r="F4210" s="2" t="n">
        <v>2</v>
      </c>
      <c r="G4210" s="4" t="n">
        <v>3</v>
      </c>
      <c r="H4210" s="13" t="n">
        <v>2</v>
      </c>
      <c r="I4210" s="34" t="n">
        <v>1</v>
      </c>
      <c r="J4210" s="35" t="n">
        <v>2</v>
      </c>
      <c r="K4210" s="2" t="inlineStr">
        <is>
          <t>marker_494_824929.png</t>
        </is>
      </c>
      <c r="L4210" s="36">
        <f>HYPERLINK("NoConsenso\" &amp; K4210, "Ver Imagen")</f>
        <v/>
      </c>
      <c r="M4210" t="inlineStr">
        <is>
          <t>Mediana</t>
        </is>
      </c>
    </row>
    <row r="4211">
      <c r="A4211" s="33" t="n">
        <v>4210</v>
      </c>
      <c r="B4211" t="inlineStr">
        <is>
          <t>A-492__165</t>
        </is>
      </c>
      <c r="C4211" s="1" t="n">
        <v>37.2760512738</v>
      </c>
      <c r="D4211" s="1" t="n">
        <v>-7.02200994889</v>
      </c>
      <c r="E4211" s="3" t="n">
        <v>1</v>
      </c>
      <c r="F4211" s="2" t="n">
        <v>3</v>
      </c>
      <c r="G4211" s="4" t="n">
        <v>3</v>
      </c>
      <c r="H4211" s="13" t="n">
        <v>3</v>
      </c>
      <c r="I4211" s="34" t="n">
        <v>3</v>
      </c>
      <c r="J4211" s="35" t="n">
        <v>3</v>
      </c>
      <c r="K4211" s="2" t="inlineStr">
        <is>
          <t>marker_968_831380.png</t>
        </is>
      </c>
      <c r="L4211" s="36">
        <f>HYPERLINK("NoConsenso\" &amp; K4211, "Ver Imagen")</f>
        <v/>
      </c>
      <c r="M4211" t="inlineStr">
        <is>
          <t>Mediana</t>
        </is>
      </c>
    </row>
    <row r="4212">
      <c r="A4212" s="33" t="n">
        <v>4211</v>
      </c>
      <c r="B4212" t="inlineStr">
        <is>
          <t>A-492__168</t>
        </is>
      </c>
      <c r="C4212" s="1" t="n">
        <v>37.2761613926</v>
      </c>
      <c r="D4212" s="1" t="n">
        <v>-7.02277515416</v>
      </c>
      <c r="E4212" s="3" t="n">
        <v>3</v>
      </c>
      <c r="F4212" s="2" t="n">
        <v>1</v>
      </c>
      <c r="G4212" s="4" t="n">
        <v>3</v>
      </c>
      <c r="H4212" s="13" t="n">
        <v>2</v>
      </c>
      <c r="I4212" s="34" t="n">
        <v>1</v>
      </c>
      <c r="J4212" s="37" t="n">
        <v>1</v>
      </c>
      <c r="K4212" s="2" t="inlineStr">
        <is>
          <t>marker_533_831425.png</t>
        </is>
      </c>
      <c r="L4212" s="36">
        <f>HYPERLINK("NoConsenso\" &amp; K4212, "Ver Imagen")</f>
        <v/>
      </c>
      <c r="M4212" s="37" t="inlineStr">
        <is>
          <t>Modificada</t>
        </is>
      </c>
    </row>
    <row r="4213">
      <c r="A4213" s="33" t="n">
        <v>4212</v>
      </c>
      <c r="B4213" t="inlineStr">
        <is>
          <t>A-492__189</t>
        </is>
      </c>
      <c r="C4213" s="1" t="n">
        <v>37.2770514012</v>
      </c>
      <c r="D4213" s="1" t="n">
        <v>-7.02794018428</v>
      </c>
      <c r="E4213" s="3" t="n">
        <v>1</v>
      </c>
      <c r="F4213" s="2" t="n">
        <v>3</v>
      </c>
      <c r="G4213" s="4" t="n">
        <v>3</v>
      </c>
      <c r="H4213" s="13" t="n">
        <v>3</v>
      </c>
      <c r="I4213" s="34" t="n">
        <v>2</v>
      </c>
      <c r="J4213" s="35" t="n">
        <v>3</v>
      </c>
      <c r="K4213" s="2" t="inlineStr">
        <is>
          <t>marker_139_831790.png</t>
        </is>
      </c>
      <c r="L4213" s="36">
        <f>HYPERLINK("NoConsenso\" &amp; K4213, "Ver Imagen")</f>
        <v/>
      </c>
      <c r="M4213" t="inlineStr">
        <is>
          <t>Mediana</t>
        </is>
      </c>
    </row>
    <row r="4214">
      <c r="A4214" s="33" t="n">
        <v>4213</v>
      </c>
      <c r="B4214" t="inlineStr">
        <is>
          <t>A-492__218</t>
        </is>
      </c>
      <c r="C4214" s="1" t="n">
        <v>37.2816588588</v>
      </c>
      <c r="D4214" s="1" t="n">
        <v>-7.03221795849</v>
      </c>
      <c r="E4214" s="3" t="n">
        <v>1</v>
      </c>
      <c r="F4214" s="2" t="n">
        <v>3</v>
      </c>
      <c r="G4214" s="4" t="n">
        <v>3</v>
      </c>
      <c r="H4214" s="13" t="n">
        <v>2</v>
      </c>
      <c r="I4214" s="34" t="n">
        <v>2</v>
      </c>
      <c r="J4214" s="35" t="n">
        <v>2</v>
      </c>
      <c r="K4214" s="2" t="inlineStr">
        <is>
          <t>marker_360_832790.png</t>
        </is>
      </c>
      <c r="L4214" s="36">
        <f>HYPERLINK("NoConsenso\" &amp; K4214, "Ver Imagen")</f>
        <v/>
      </c>
      <c r="M4214" t="inlineStr">
        <is>
          <t>Mediana</t>
        </is>
      </c>
    </row>
    <row r="4215">
      <c r="A4215" s="33" t="n">
        <v>4214</v>
      </c>
      <c r="B4215" t="inlineStr">
        <is>
          <t>A-492__231</t>
        </is>
      </c>
      <c r="C4215" s="1" t="n">
        <v>37.2837302185</v>
      </c>
      <c r="D4215" s="1" t="n">
        <v>-7.03414425341</v>
      </c>
      <c r="E4215" s="3" t="n">
        <v>1</v>
      </c>
      <c r="F4215" s="2" t="n">
        <v>3</v>
      </c>
      <c r="G4215" s="4" t="n">
        <v>3</v>
      </c>
      <c r="H4215" s="13" t="n">
        <v>2</v>
      </c>
      <c r="I4215" s="34" t="n">
        <v>1</v>
      </c>
      <c r="J4215" s="35" t="n">
        <v>2</v>
      </c>
      <c r="K4215" s="2" t="inlineStr">
        <is>
          <t>marker_654_835828.png</t>
        </is>
      </c>
      <c r="L4215" s="36">
        <f>HYPERLINK("NoConsenso\" &amp; K4215, "Ver Imagen")</f>
        <v/>
      </c>
      <c r="M4215" t="inlineStr">
        <is>
          <t>Mediana</t>
        </is>
      </c>
    </row>
    <row r="4216">
      <c r="A4216" s="33" t="n">
        <v>4215</v>
      </c>
      <c r="B4216" t="inlineStr">
        <is>
          <t>A-492__269</t>
        </is>
      </c>
      <c r="C4216" s="1" t="n">
        <v>37.2871388577</v>
      </c>
      <c r="D4216" s="1" t="n">
        <v>-7.04202278312</v>
      </c>
      <c r="E4216" s="3" t="n">
        <v>1</v>
      </c>
      <c r="F4216" s="2" t="n">
        <v>2</v>
      </c>
      <c r="G4216" s="4" t="n">
        <v>3</v>
      </c>
      <c r="H4216" s="13" t="n">
        <v>2</v>
      </c>
      <c r="I4216" s="34" t="n">
        <v>2</v>
      </c>
      <c r="J4216" s="35" t="n">
        <v>2</v>
      </c>
      <c r="K4216" s="2" t="inlineStr">
        <is>
          <t>marker_617_836739.png</t>
        </is>
      </c>
      <c r="L4216" s="36">
        <f>HYPERLINK("NoConsenso\" &amp; K4216, "Ver Imagen")</f>
        <v/>
      </c>
      <c r="M4216" t="inlineStr">
        <is>
          <t>Mediana</t>
        </is>
      </c>
    </row>
    <row r="4217">
      <c r="A4217" s="33" t="n">
        <v>4216</v>
      </c>
      <c r="B4217" t="inlineStr">
        <is>
          <t>A-492__271</t>
        </is>
      </c>
      <c r="C4217" s="1" t="n">
        <v>37.2874597839</v>
      </c>
      <c r="D4217" s="1" t="n">
        <v>-7.04216881736</v>
      </c>
      <c r="E4217" s="3" t="n">
        <v>1</v>
      </c>
      <c r="F4217" s="2" t="n">
        <v>2</v>
      </c>
      <c r="G4217" s="4" t="n">
        <v>3</v>
      </c>
      <c r="H4217" s="13" t="n">
        <v>2</v>
      </c>
      <c r="I4217" s="34" t="n">
        <v>2</v>
      </c>
      <c r="J4217" s="35" t="n">
        <v>2</v>
      </c>
      <c r="K4217" s="2" t="inlineStr">
        <is>
          <t>marker_297_836795.png</t>
        </is>
      </c>
      <c r="L4217" s="36">
        <f>HYPERLINK("NoConsenso\" &amp; K4217, "Ver Imagen")</f>
        <v/>
      </c>
      <c r="M4217" t="inlineStr">
        <is>
          <t>Mediana</t>
        </is>
      </c>
    </row>
    <row r="4218">
      <c r="A4218" s="33" t="n">
        <v>4217</v>
      </c>
      <c r="B4218" t="inlineStr">
        <is>
          <t>A-492__275</t>
        </is>
      </c>
      <c r="C4218" s="1" t="n">
        <v>37.2882232109</v>
      </c>
      <c r="D4218" s="1" t="n">
        <v>-7.04258399885</v>
      </c>
      <c r="E4218" s="3" t="n">
        <v>1</v>
      </c>
      <c r="F4218" s="2" t="n">
        <v>2</v>
      </c>
      <c r="G4218" s="4" t="n">
        <v>3</v>
      </c>
      <c r="H4218" s="13" t="n">
        <v>2</v>
      </c>
      <c r="I4218" s="34" t="n">
        <v>2</v>
      </c>
      <c r="J4218" s="35" t="n">
        <v>2</v>
      </c>
      <c r="K4218" s="2" t="inlineStr">
        <is>
          <t>marker_547_836855.png</t>
        </is>
      </c>
      <c r="L4218" s="36">
        <f>HYPERLINK("NoConsenso\" &amp; K4218, "Ver Imagen")</f>
        <v/>
      </c>
      <c r="M4218" t="inlineStr">
        <is>
          <t>Mediana</t>
        </is>
      </c>
    </row>
    <row r="4219">
      <c r="A4219" s="33" t="n">
        <v>4218</v>
      </c>
      <c r="B4219" t="inlineStr">
        <is>
          <t>A-492__276</t>
        </is>
      </c>
      <c r="C4219" s="1" t="n">
        <v>37.2883960812</v>
      </c>
      <c r="D4219" s="1" t="n">
        <v>-7.04272226298</v>
      </c>
      <c r="E4219" s="3" t="n">
        <v>1</v>
      </c>
      <c r="F4219" s="2" t="n">
        <v>2</v>
      </c>
      <c r="G4219" s="4" t="n">
        <v>3</v>
      </c>
      <c r="H4219" s="13" t="n">
        <v>2</v>
      </c>
      <c r="I4219" s="34" t="n">
        <v>1</v>
      </c>
      <c r="J4219" s="35" t="n">
        <v>2</v>
      </c>
      <c r="K4219" s="2" t="inlineStr">
        <is>
          <t>marker_782_836865.png</t>
        </is>
      </c>
      <c r="L4219" s="36">
        <f>HYPERLINK("NoConsenso\" &amp; K4219, "Ver Imagen")</f>
        <v/>
      </c>
      <c r="M4219" t="inlineStr">
        <is>
          <t>Mediana</t>
        </is>
      </c>
    </row>
    <row r="4220">
      <c r="A4220" s="33" t="n">
        <v>4219</v>
      </c>
      <c r="B4220" t="inlineStr">
        <is>
          <t>A-492__287</t>
        </is>
      </c>
      <c r="C4220" s="1" t="n">
        <v>37.2899326883</v>
      </c>
      <c r="D4220" s="1" t="n">
        <v>-7.04477131076</v>
      </c>
      <c r="E4220" s="3" t="n">
        <v>1</v>
      </c>
      <c r="F4220" s="2" t="n">
        <v>2</v>
      </c>
      <c r="G4220" s="4" t="n">
        <v>3</v>
      </c>
      <c r="H4220" s="13" t="n">
        <v>2</v>
      </c>
      <c r="I4220" s="34" t="n">
        <v>1</v>
      </c>
      <c r="J4220" s="35" t="n">
        <v>2</v>
      </c>
      <c r="K4220" s="2" t="inlineStr">
        <is>
          <t>marker_213_837381.png</t>
        </is>
      </c>
      <c r="L4220" s="36">
        <f>HYPERLINK("NoConsenso\" &amp; K4220, "Ver Imagen")</f>
        <v/>
      </c>
      <c r="M4220" t="inlineStr">
        <is>
          <t>Mediana</t>
        </is>
      </c>
    </row>
    <row r="4221">
      <c r="A4221" s="33" t="n">
        <v>4220</v>
      </c>
      <c r="B4221" t="inlineStr">
        <is>
          <t>A-492__360</t>
        </is>
      </c>
      <c r="C4221" s="1" t="n">
        <v>37.3008802251</v>
      </c>
      <c r="D4221" s="1" t="n">
        <v>-7.05607795337</v>
      </c>
      <c r="E4221" s="3" t="n">
        <v>3</v>
      </c>
      <c r="F4221" s="2" t="n">
        <v>2</v>
      </c>
      <c r="G4221" s="4" t="n">
        <v>4</v>
      </c>
      <c r="H4221" s="13" t="n">
        <v>3</v>
      </c>
      <c r="I4221" s="34" t="n">
        <v>3</v>
      </c>
      <c r="J4221" s="35" t="n">
        <v>3</v>
      </c>
      <c r="K4221" s="2" t="inlineStr">
        <is>
          <t>marker_125_838628.png</t>
        </is>
      </c>
      <c r="L4221" s="36">
        <f>HYPERLINK("NoConsenso\" &amp; K4221, "Ver Imagen")</f>
        <v/>
      </c>
      <c r="M4221" t="inlineStr">
        <is>
          <t>Mediana</t>
        </is>
      </c>
    </row>
    <row r="4222">
      <c r="A4222" s="33" t="n">
        <v>4221</v>
      </c>
      <c r="B4222" t="inlineStr">
        <is>
          <t>A-492__421</t>
        </is>
      </c>
      <c r="C4222" s="1" t="n">
        <v>37.3122825968</v>
      </c>
      <c r="D4222" s="1" t="n">
        <v>-7.06061671691</v>
      </c>
      <c r="E4222" s="3" t="n">
        <v>1</v>
      </c>
      <c r="F4222" s="2" t="n">
        <v>3</v>
      </c>
      <c r="G4222" s="4" t="n">
        <v>3</v>
      </c>
      <c r="H4222" s="13" t="n">
        <v>2</v>
      </c>
      <c r="I4222" s="34" t="n">
        <v>2</v>
      </c>
      <c r="J4222" s="35" t="n">
        <v>2</v>
      </c>
      <c r="K4222" s="2" t="inlineStr">
        <is>
          <t>marker_798_839426.png</t>
        </is>
      </c>
      <c r="L4222" s="36">
        <f>HYPERLINK("NoConsenso\" &amp; K4222, "Ver Imagen")</f>
        <v/>
      </c>
      <c r="M4222" t="inlineStr">
        <is>
          <t>Mediana</t>
        </is>
      </c>
    </row>
    <row r="4223">
      <c r="A4223" s="33" t="n">
        <v>4222</v>
      </c>
      <c r="B4223" t="inlineStr">
        <is>
          <t>A-492__431</t>
        </is>
      </c>
      <c r="C4223" s="1" t="n">
        <v>37.313469113</v>
      </c>
      <c r="D4223" s="1" t="n">
        <v>-7.06259714696</v>
      </c>
      <c r="E4223" s="3" t="n">
        <v>1</v>
      </c>
      <c r="F4223" s="2" t="n">
        <v>2</v>
      </c>
      <c r="G4223" s="4" t="n">
        <v>3</v>
      </c>
      <c r="H4223" s="13" t="n">
        <v>2</v>
      </c>
      <c r="I4223" s="34" t="n">
        <v>1</v>
      </c>
      <c r="J4223" s="35" t="n">
        <v>2</v>
      </c>
      <c r="K4223" s="2" t="inlineStr">
        <is>
          <t>marker_969_839538.png</t>
        </is>
      </c>
      <c r="L4223" s="36">
        <f>HYPERLINK("NoConsenso\" &amp; K4223, "Ver Imagen")</f>
        <v/>
      </c>
      <c r="M4223" t="inlineStr">
        <is>
          <t>Mediana</t>
        </is>
      </c>
    </row>
    <row r="4224">
      <c r="A4224" s="39" t="n">
        <v>4223</v>
      </c>
      <c r="B4224" s="16" t="inlineStr">
        <is>
          <t>A-495R__6</t>
        </is>
      </c>
      <c r="C4224" s="16" t="n">
        <v>37.4468807972</v>
      </c>
      <c r="D4224" s="16" t="n">
        <v>-7.10742636751</v>
      </c>
      <c r="E4224" s="16" t="n">
        <v>2</v>
      </c>
      <c r="F4224" s="16" t="n">
        <v>4</v>
      </c>
      <c r="G4224" s="16" t="n">
        <v>3</v>
      </c>
      <c r="H4224" s="16" t="n">
        <v>5</v>
      </c>
      <c r="I4224" s="40" t="n">
        <v>2</v>
      </c>
      <c r="J4224" s="38" t="n">
        <v>2</v>
      </c>
      <c r="K4224" s="16" t="inlineStr">
        <is>
          <t>marker_936_937052.png</t>
        </is>
      </c>
      <c r="L4224" s="41">
        <f>HYPERLINK("NoConsenso\" &amp; K4224, "Ver Imagen")</f>
        <v/>
      </c>
      <c r="M4224" s="16" t="inlineStr">
        <is>
          <t>X_ Tramo desbrozado</t>
        </is>
      </c>
    </row>
    <row r="4225">
      <c r="A4225" s="33" t="n">
        <v>4224</v>
      </c>
      <c r="B4225" t="inlineStr">
        <is>
          <t>A-497__29</t>
        </is>
      </c>
      <c r="C4225" s="1" t="n">
        <v>37.2674988355</v>
      </c>
      <c r="D4225" s="1" t="n">
        <v>-6.96300693076</v>
      </c>
      <c r="E4225" s="3" t="n">
        <v>2</v>
      </c>
      <c r="F4225" s="2" t="n">
        <v>4</v>
      </c>
      <c r="G4225" s="4" t="n">
        <v>3</v>
      </c>
      <c r="H4225" s="13" t="n">
        <v>3</v>
      </c>
      <c r="I4225" s="34" t="n">
        <v>4</v>
      </c>
      <c r="J4225" s="35" t="n">
        <v>3</v>
      </c>
      <c r="K4225" s="2" t="inlineStr">
        <is>
          <t>marker_793_940881.png</t>
        </is>
      </c>
      <c r="L4225" s="36">
        <f>HYPERLINK("NoConsenso\" &amp; K4225, "Ver Imagen")</f>
        <v/>
      </c>
      <c r="M4225" t="inlineStr">
        <is>
          <t>Mediana</t>
        </is>
      </c>
    </row>
    <row r="4226">
      <c r="A4226" s="33" t="n">
        <v>4225</v>
      </c>
      <c r="B4226" t="inlineStr">
        <is>
          <t>A-497__28</t>
        </is>
      </c>
      <c r="C4226" s="1" t="n">
        <v>37.2674934602</v>
      </c>
      <c r="D4226" s="1" t="n">
        <v>-6.96276168285</v>
      </c>
      <c r="E4226" s="3" t="n">
        <v>2</v>
      </c>
      <c r="F4226" s="2" t="n">
        <v>4</v>
      </c>
      <c r="G4226" s="4" t="n">
        <v>3</v>
      </c>
      <c r="H4226" s="13" t="n">
        <v>4</v>
      </c>
      <c r="I4226" s="34" t="n">
        <v>4</v>
      </c>
      <c r="J4226" s="35" t="n">
        <v>4</v>
      </c>
      <c r="K4226" s="2" t="inlineStr">
        <is>
          <t>marker_401_940890.png</t>
        </is>
      </c>
      <c r="L4226" s="36">
        <f>HYPERLINK("NoConsenso\" &amp; K4226, "Ver Imagen")</f>
        <v/>
      </c>
      <c r="M4226" t="inlineStr">
        <is>
          <t>Mediana</t>
        </is>
      </c>
    </row>
    <row r="4227">
      <c r="A4227" s="33" t="n">
        <v>4226</v>
      </c>
      <c r="B4227" t="inlineStr">
        <is>
          <t>A-5050__172</t>
        </is>
      </c>
      <c r="C4227" s="1" t="n">
        <v>37.1908928269</v>
      </c>
      <c r="D4227" s="1" t="n">
        <v>-6.99077082497</v>
      </c>
      <c r="E4227" s="3" t="n">
        <v>1</v>
      </c>
      <c r="F4227" s="2" t="n">
        <v>3</v>
      </c>
      <c r="G4227" s="4" t="n">
        <v>3</v>
      </c>
      <c r="H4227" s="13" t="n">
        <v>2</v>
      </c>
      <c r="I4227" s="34" t="n">
        <v>2</v>
      </c>
      <c r="J4227" s="35" t="n">
        <v>2</v>
      </c>
      <c r="K4227" s="2" t="inlineStr">
        <is>
          <t>marker_878_944262.png</t>
        </is>
      </c>
      <c r="L4227" s="36">
        <f>HYPERLINK("NoConsenso\" &amp; K4227, "Ver Imagen")</f>
        <v/>
      </c>
      <c r="M4227" t="inlineStr">
        <is>
          <t>Mediana</t>
        </is>
      </c>
    </row>
    <row r="4228">
      <c r="A4228" s="33" t="n">
        <v>4227</v>
      </c>
      <c r="B4228" t="inlineStr">
        <is>
          <t>A-5050__157</t>
        </is>
      </c>
      <c r="C4228" s="1" t="n">
        <v>37.1924475628</v>
      </c>
      <c r="D4228" s="1" t="n">
        <v>-6.99400389229</v>
      </c>
      <c r="E4228" s="3" t="n">
        <v>2</v>
      </c>
      <c r="F4228" s="2" t="n">
        <v>4</v>
      </c>
      <c r="G4228" s="4" t="n">
        <v>3</v>
      </c>
      <c r="H4228" s="13" t="n">
        <v>3</v>
      </c>
      <c r="I4228" s="34" t="n">
        <v>4</v>
      </c>
      <c r="J4228" s="35" t="n">
        <v>3</v>
      </c>
      <c r="K4228" s="2" t="inlineStr">
        <is>
          <t>marker_264_945291.png</t>
        </is>
      </c>
      <c r="L4228" s="36">
        <f>HYPERLINK("NoConsenso\" &amp; K4228, "Ver Imagen")</f>
        <v/>
      </c>
      <c r="M4228" t="inlineStr">
        <is>
          <t>Mediana</t>
        </is>
      </c>
    </row>
    <row r="4229">
      <c r="A4229" s="33" t="n">
        <v>4228</v>
      </c>
      <c r="B4229" t="inlineStr">
        <is>
          <t>A-5052__139</t>
        </is>
      </c>
      <c r="C4229" s="1" t="n">
        <v>37.2162632909</v>
      </c>
      <c r="D4229" s="1" t="n">
        <v>-7.09118486984</v>
      </c>
      <c r="E4229" s="3" t="n">
        <v>2</v>
      </c>
      <c r="F4229" s="2" t="n">
        <v>4</v>
      </c>
      <c r="G4229" s="4" t="n">
        <v>3</v>
      </c>
      <c r="H4229" s="13" t="n">
        <v>3</v>
      </c>
      <c r="I4229" s="34" t="n">
        <v>3</v>
      </c>
      <c r="J4229" s="35" t="n">
        <v>3</v>
      </c>
      <c r="K4229" s="2" t="inlineStr">
        <is>
          <t>marker_241_958219.png</t>
        </is>
      </c>
      <c r="L4229" s="36">
        <f>HYPERLINK("NoConsenso\" &amp; K4229, "Ver Imagen")</f>
        <v/>
      </c>
      <c r="M4229" t="inlineStr">
        <is>
          <t>Mediana</t>
        </is>
      </c>
    </row>
    <row r="4230">
      <c r="A4230" s="33" t="n">
        <v>4229</v>
      </c>
      <c r="B4230" t="inlineStr">
        <is>
          <t>A-5052__279</t>
        </is>
      </c>
      <c r="C4230" s="1" t="n">
        <v>37.2113174485</v>
      </c>
      <c r="D4230" s="1" t="n">
        <v>-7.05677582557</v>
      </c>
      <c r="E4230" s="3" t="n">
        <v>2</v>
      </c>
      <c r="F4230" s="2" t="n">
        <v>4</v>
      </c>
      <c r="G4230" s="4" t="n">
        <v>3</v>
      </c>
      <c r="H4230" s="13" t="n">
        <v>3</v>
      </c>
      <c r="I4230" s="34" t="n">
        <v>3</v>
      </c>
      <c r="J4230" s="35" t="n">
        <v>3</v>
      </c>
      <c r="K4230" s="2" t="inlineStr">
        <is>
          <t>marker_614_960507.png</t>
        </is>
      </c>
      <c r="L4230" s="36">
        <f>HYPERLINK("NoConsenso\" &amp; K4230, "Ver Imagen")</f>
        <v/>
      </c>
      <c r="M4230" t="inlineStr">
        <is>
          <t>Mediana</t>
        </is>
      </c>
    </row>
    <row r="4231">
      <c r="A4231" s="33" t="n">
        <v>4230</v>
      </c>
      <c r="B4231" t="inlineStr">
        <is>
          <t>A-5052__296</t>
        </is>
      </c>
      <c r="C4231" s="1" t="n">
        <v>37.2107889284</v>
      </c>
      <c r="D4231" s="1" t="n">
        <v>-7.05254965021</v>
      </c>
      <c r="E4231" s="3" t="n">
        <v>2</v>
      </c>
      <c r="F4231" s="2" t="n">
        <v>4</v>
      </c>
      <c r="G4231" s="4" t="n">
        <v>3</v>
      </c>
      <c r="H4231" s="13" t="n">
        <v>3</v>
      </c>
      <c r="I4231" s="34" t="n">
        <v>3</v>
      </c>
      <c r="J4231" s="35" t="n">
        <v>3</v>
      </c>
      <c r="K4231" s="2" t="inlineStr">
        <is>
          <t>marker_990_960779.png</t>
        </is>
      </c>
      <c r="L4231" s="36">
        <f>HYPERLINK("NoConsenso\" &amp; K4231, "Ver Imagen")</f>
        <v/>
      </c>
      <c r="M4231" t="inlineStr">
        <is>
          <t>Mediana</t>
        </is>
      </c>
    </row>
    <row r="4232">
      <c r="A4232" s="33" t="n">
        <v>4231</v>
      </c>
      <c r="B4232" t="inlineStr">
        <is>
          <t>A-5052__299</t>
        </is>
      </c>
      <c r="C4232" s="1" t="n">
        <v>37.2108140904</v>
      </c>
      <c r="D4232" s="1" t="n">
        <v>-7.05180267578</v>
      </c>
      <c r="E4232" s="3" t="n">
        <v>2</v>
      </c>
      <c r="F4232" s="2" t="n">
        <v>4</v>
      </c>
      <c r="G4232" s="4" t="n">
        <v>3</v>
      </c>
      <c r="H4232" s="13" t="n">
        <v>3</v>
      </c>
      <c r="I4232" s="34" t="n">
        <v>4</v>
      </c>
      <c r="J4232" s="37" t="n">
        <v>4</v>
      </c>
      <c r="K4232" s="2" t="inlineStr">
        <is>
          <t>marker_156_960898.png</t>
        </is>
      </c>
      <c r="L4232" s="36">
        <f>HYPERLINK("NoConsenso\" &amp; K4232, "Ver Imagen")</f>
        <v/>
      </c>
      <c r="M4232" s="37" t="inlineStr">
        <is>
          <t>Modificada</t>
        </is>
      </c>
    </row>
    <row r="4233">
      <c r="A4233" s="33" t="n">
        <v>4232</v>
      </c>
      <c r="B4233" t="inlineStr">
        <is>
          <t>A-5052__300</t>
        </is>
      </c>
      <c r="C4233" s="1" t="n">
        <v>37.2108399171</v>
      </c>
      <c r="D4233" s="1" t="n">
        <v>-7.0515339725</v>
      </c>
      <c r="E4233" s="3" t="n">
        <v>2</v>
      </c>
      <c r="F4233" s="2" t="n">
        <v>4</v>
      </c>
      <c r="G4233" s="4" t="n">
        <v>3</v>
      </c>
      <c r="H4233" s="13" t="n">
        <v>3</v>
      </c>
      <c r="I4233" s="34" t="n">
        <v>3</v>
      </c>
      <c r="J4233" s="35" t="n">
        <v>3</v>
      </c>
      <c r="K4233" s="2" t="inlineStr">
        <is>
          <t>marker_259_960909.png</t>
        </is>
      </c>
      <c r="L4233" s="36">
        <f>HYPERLINK("NoConsenso\" &amp; K4233, "Ver Imagen")</f>
        <v/>
      </c>
      <c r="M4233" t="inlineStr">
        <is>
          <t>Mediana</t>
        </is>
      </c>
    </row>
    <row r="4234">
      <c r="A4234" s="33" t="n">
        <v>4233</v>
      </c>
      <c r="B4234" t="inlineStr">
        <is>
          <t>A-5052__408</t>
        </is>
      </c>
      <c r="C4234" s="1" t="n">
        <v>37.2041468612</v>
      </c>
      <c r="D4234" s="1" t="n">
        <v>-7.02656262825</v>
      </c>
      <c r="E4234" s="3" t="n">
        <v>5</v>
      </c>
      <c r="F4234" s="2" t="n">
        <v>4</v>
      </c>
      <c r="G4234" s="4" t="n">
        <v>3</v>
      </c>
      <c r="H4234" s="13" t="n">
        <v>3</v>
      </c>
      <c r="I4234" s="34" t="n">
        <v>3</v>
      </c>
      <c r="J4234" s="35" t="n">
        <v>3</v>
      </c>
      <c r="K4234" s="2" t="inlineStr">
        <is>
          <t>marker_340_962755.png</t>
        </is>
      </c>
      <c r="L4234" s="36">
        <f>HYPERLINK("NoConsenso\" &amp; K4234, "Ver Imagen")</f>
        <v/>
      </c>
      <c r="M4234" t="inlineStr">
        <is>
          <t>Mediana</t>
        </is>
      </c>
    </row>
    <row r="4235">
      <c r="A4235" s="33" t="n">
        <v>4234</v>
      </c>
      <c r="B4235" t="inlineStr">
        <is>
          <t>A-5053__251</t>
        </is>
      </c>
      <c r="C4235" s="1" t="n">
        <v>37.2675996782</v>
      </c>
      <c r="D4235" s="1" t="n">
        <v>-7.13418204295</v>
      </c>
      <c r="E4235" s="3" t="n">
        <v>5</v>
      </c>
      <c r="F4235" s="2" t="n">
        <v>4</v>
      </c>
      <c r="G4235" s="4" t="n">
        <v>3</v>
      </c>
      <c r="H4235" s="13" t="n">
        <v>4</v>
      </c>
      <c r="I4235" s="34" t="n">
        <v>4</v>
      </c>
      <c r="J4235" s="35" t="n">
        <v>4</v>
      </c>
      <c r="K4235" s="2" t="inlineStr">
        <is>
          <t>marker_472_965341.png</t>
        </is>
      </c>
      <c r="L4235" s="36">
        <f>HYPERLINK("NoConsenso\" &amp; K4235, "Ver Imagen")</f>
        <v/>
      </c>
      <c r="M4235" t="inlineStr">
        <is>
          <t>Mediana</t>
        </is>
      </c>
    </row>
    <row r="4236">
      <c r="A4236" s="33" t="n">
        <v>4235</v>
      </c>
      <c r="B4236" t="inlineStr">
        <is>
          <t>A-495__77</t>
        </is>
      </c>
      <c r="C4236" s="1" t="n">
        <v>37.4379935426</v>
      </c>
      <c r="D4236" s="1" t="n">
        <v>-7.08269907644</v>
      </c>
      <c r="E4236" s="3" t="n">
        <v>3</v>
      </c>
      <c r="F4236" s="2" t="n">
        <v>3</v>
      </c>
      <c r="G4236" s="4" t="n">
        <v>5</v>
      </c>
      <c r="H4236" s="13" t="n">
        <v>3</v>
      </c>
      <c r="I4236" s="34" t="n">
        <v>4</v>
      </c>
      <c r="J4236" s="35" t="n">
        <v>3</v>
      </c>
      <c r="K4236" s="2" t="inlineStr">
        <is>
          <t>marker_516_381900.png</t>
        </is>
      </c>
      <c r="L4236" s="36">
        <f>HYPERLINK("NoConsenso\" &amp; K4236, "Ver Imagen")</f>
        <v/>
      </c>
      <c r="M4236" t="inlineStr">
        <is>
          <t>Mediana</t>
        </is>
      </c>
    </row>
    <row r="4237">
      <c r="A4237" s="33" t="n">
        <v>4236</v>
      </c>
      <c r="B4237" t="inlineStr">
        <is>
          <t>A-5058__48</t>
        </is>
      </c>
      <c r="C4237" s="1" t="n">
        <v>37.2247535008</v>
      </c>
      <c r="D4237" s="1" t="n">
        <v>-7.03900807395</v>
      </c>
      <c r="E4237" s="3" t="n">
        <v>3</v>
      </c>
      <c r="F4237" s="2" t="n">
        <v>1</v>
      </c>
      <c r="G4237" s="4" t="n">
        <v>3</v>
      </c>
      <c r="H4237" s="13" t="n">
        <v>2</v>
      </c>
      <c r="I4237" s="34" t="n">
        <v>2</v>
      </c>
      <c r="J4237" s="35" t="n">
        <v>2</v>
      </c>
      <c r="K4237" s="2" t="inlineStr">
        <is>
          <t>marker_100_380512.png</t>
        </is>
      </c>
      <c r="L4237" s="36">
        <f>HYPERLINK("NoConsenso\" &amp; K4237, "Ver Imagen")</f>
        <v/>
      </c>
      <c r="M4237" t="inlineStr">
        <is>
          <t>Mediana</t>
        </is>
      </c>
    </row>
    <row r="4238">
      <c r="A4238" s="33" t="n">
        <v>4237</v>
      </c>
      <c r="B4238" t="inlineStr">
        <is>
          <t>A-5058__106</t>
        </is>
      </c>
      <c r="C4238" s="1" t="n">
        <v>37.2312785491</v>
      </c>
      <c r="D4238" s="1" t="n">
        <v>-7.05094470035</v>
      </c>
      <c r="E4238" s="3" t="n">
        <v>3</v>
      </c>
      <c r="F4238" s="2" t="n">
        <v>1</v>
      </c>
      <c r="G4238" s="4" t="n">
        <v>3</v>
      </c>
      <c r="H4238" s="13" t="n">
        <v>2</v>
      </c>
      <c r="I4238" s="34" t="n">
        <v>2</v>
      </c>
      <c r="J4238" s="35" t="n">
        <v>2</v>
      </c>
      <c r="K4238" s="2" t="inlineStr">
        <is>
          <t>marker_547_381200.png</t>
        </is>
      </c>
      <c r="L4238" s="36">
        <f>HYPERLINK("NoConsenso\" &amp; K4238, "Ver Imagen")</f>
        <v/>
      </c>
      <c r="M4238" t="inlineStr">
        <is>
          <t>Mediana</t>
        </is>
      </c>
    </row>
    <row r="4239">
      <c r="A4239" s="33" t="n">
        <v>4238</v>
      </c>
      <c r="B4239" t="inlineStr">
        <is>
          <t>A-5058__144</t>
        </is>
      </c>
      <c r="C4239" s="1" t="n">
        <v>37.2341375328</v>
      </c>
      <c r="D4239" s="1" t="n">
        <v>-7.05974339607</v>
      </c>
      <c r="E4239" s="3" t="n">
        <v>3</v>
      </c>
      <c r="F4239" s="2" t="n">
        <v>1</v>
      </c>
      <c r="G4239" s="4" t="n">
        <v>3</v>
      </c>
      <c r="H4239" s="13" t="n">
        <v>2</v>
      </c>
      <c r="I4239" s="34" t="n">
        <v>1</v>
      </c>
      <c r="J4239" s="35" t="n">
        <v>2</v>
      </c>
      <c r="K4239" s="2" t="inlineStr">
        <is>
          <t>marker_164_381631.png</t>
        </is>
      </c>
      <c r="L4239" s="36">
        <f>HYPERLINK("NoConsenso\" &amp; K4239, "Ver Imagen")</f>
        <v/>
      </c>
      <c r="M4239" t="inlineStr">
        <is>
          <t>Mediana</t>
        </is>
      </c>
    </row>
    <row r="4240">
      <c r="A4240" s="33" t="n">
        <v>4239</v>
      </c>
      <c r="B4240" t="inlineStr">
        <is>
          <t>A-5058__331</t>
        </is>
      </c>
      <c r="C4240" s="1" t="n">
        <v>37.2481019737</v>
      </c>
      <c r="D4240" s="1" t="n">
        <v>-7.10156740511</v>
      </c>
      <c r="E4240" s="3" t="n">
        <v>3</v>
      </c>
      <c r="F4240" s="2" t="n">
        <v>1</v>
      </c>
      <c r="G4240" s="4" t="n">
        <v>3</v>
      </c>
      <c r="H4240" s="13" t="n">
        <v>2</v>
      </c>
      <c r="I4240" s="34" t="n">
        <v>2</v>
      </c>
      <c r="J4240" s="35" t="n">
        <v>2</v>
      </c>
      <c r="K4240" s="2" t="inlineStr">
        <is>
          <t>marker_526_384645.png</t>
        </is>
      </c>
      <c r="L4240" s="36">
        <f>HYPERLINK("NoConsenso\" &amp; K4240, "Ver Imagen")</f>
        <v/>
      </c>
      <c r="M4240" t="inlineStr">
        <is>
          <t>Mediana</t>
        </is>
      </c>
    </row>
    <row r="4241">
      <c r="A4241" s="33" t="n">
        <v>4240</v>
      </c>
      <c r="B4241" t="inlineStr">
        <is>
          <t>A-5058__341</t>
        </is>
      </c>
      <c r="C4241" s="1" t="n">
        <v>37.2498528155</v>
      </c>
      <c r="D4241" s="1" t="n">
        <v>-7.10274843141</v>
      </c>
      <c r="E4241" s="3" t="n">
        <v>3</v>
      </c>
      <c r="F4241" s="2" t="n">
        <v>1</v>
      </c>
      <c r="G4241" s="4" t="n">
        <v>3</v>
      </c>
      <c r="H4241" s="13" t="n">
        <v>2</v>
      </c>
      <c r="I4241" s="34" t="n">
        <v>1</v>
      </c>
      <c r="J4241" s="35" t="n">
        <v>2</v>
      </c>
      <c r="K4241" s="2" t="inlineStr">
        <is>
          <t>marker_314_384775.png</t>
        </is>
      </c>
      <c r="L4241" s="36">
        <f>HYPERLINK("NoConsenso\" &amp; K4241, "Ver Imagen")</f>
        <v/>
      </c>
      <c r="M4241" t="inlineStr">
        <is>
          <t>Mediana</t>
        </is>
      </c>
    </row>
    <row r="4242">
      <c r="A4242" s="33" t="n">
        <v>4241</v>
      </c>
      <c r="B4242" t="inlineStr">
        <is>
          <t>A-5058__358</t>
        </is>
      </c>
      <c r="C4242" s="1" t="n">
        <v>37.2526786751</v>
      </c>
      <c r="D4242" s="1" t="n">
        <v>-7.10509057539</v>
      </c>
      <c r="E4242" s="3" t="n">
        <v>3</v>
      </c>
      <c r="F4242" s="2" t="n">
        <v>1</v>
      </c>
      <c r="G4242" s="4" t="n">
        <v>3</v>
      </c>
      <c r="H4242" s="13" t="n">
        <v>2</v>
      </c>
      <c r="I4242" s="34" t="n">
        <v>2</v>
      </c>
      <c r="J4242" s="35" t="n">
        <v>2</v>
      </c>
      <c r="K4242" s="2" t="inlineStr">
        <is>
          <t>marker_681_384946.png</t>
        </is>
      </c>
      <c r="L4242" s="36">
        <f>HYPERLINK("NoConsenso\" &amp; K4242, "Ver Imagen")</f>
        <v/>
      </c>
      <c r="M4242" t="inlineStr">
        <is>
          <t>Mediana</t>
        </is>
      </c>
    </row>
    <row r="4243">
      <c r="A4243" s="33" t="n">
        <v>4242</v>
      </c>
      <c r="B4243" t="inlineStr">
        <is>
          <t>A-5058__366</t>
        </is>
      </c>
      <c r="C4243" s="1" t="n">
        <v>37.2534456376</v>
      </c>
      <c r="D4243" s="1" t="n">
        <v>-7.10687757457</v>
      </c>
      <c r="E4243" s="3" t="n">
        <v>3</v>
      </c>
      <c r="F4243" s="2" t="n">
        <v>1</v>
      </c>
      <c r="G4243" s="4" t="n">
        <v>3</v>
      </c>
      <c r="H4243" s="13" t="n">
        <v>2</v>
      </c>
      <c r="I4243" s="34" t="n">
        <v>1</v>
      </c>
      <c r="J4243" s="37" t="n">
        <v>1</v>
      </c>
      <c r="K4243" s="2" t="inlineStr">
        <is>
          <t>marker_448_385035.png</t>
        </is>
      </c>
      <c r="L4243" s="36">
        <f>HYPERLINK("NoConsenso\" &amp; K4243, "Ver Imagen")</f>
        <v/>
      </c>
      <c r="M4243" s="37" t="inlineStr">
        <is>
          <t>Modificada</t>
        </is>
      </c>
    </row>
    <row r="4244">
      <c r="A4244" s="33" t="n">
        <v>4243</v>
      </c>
      <c r="B4244" t="inlineStr">
        <is>
          <t>A-5058__367</t>
        </is>
      </c>
      <c r="C4244" s="1" t="n">
        <v>37.2535572184</v>
      </c>
      <c r="D4244" s="1" t="n">
        <v>-7.10706753444</v>
      </c>
      <c r="E4244" s="3" t="n">
        <v>3</v>
      </c>
      <c r="F4244" s="2" t="n">
        <v>1</v>
      </c>
      <c r="G4244" s="4" t="n">
        <v>3</v>
      </c>
      <c r="H4244" s="13" t="n">
        <v>2</v>
      </c>
      <c r="I4244" s="34" t="n">
        <v>1</v>
      </c>
      <c r="J4244" s="37" t="n">
        <v>1</v>
      </c>
      <c r="K4244" s="2" t="inlineStr">
        <is>
          <t>marker_232_385044.png</t>
        </is>
      </c>
      <c r="L4244" s="36">
        <f>HYPERLINK("NoConsenso\" &amp; K4244, "Ver Imagen")</f>
        <v/>
      </c>
      <c r="M4244" s="37" t="inlineStr">
        <is>
          <t>Modificada</t>
        </is>
      </c>
    </row>
    <row r="4245">
      <c r="A4245" s="33" t="n">
        <v>4244</v>
      </c>
      <c r="B4245" t="inlineStr">
        <is>
          <t>A-5058__377</t>
        </is>
      </c>
      <c r="C4245" s="1" t="n">
        <v>37.2549618647</v>
      </c>
      <c r="D4245" s="1" t="n">
        <v>-7.10877665718</v>
      </c>
      <c r="E4245" s="3" t="n">
        <v>3</v>
      </c>
      <c r="F4245" s="2" t="n">
        <v>1</v>
      </c>
      <c r="G4245" s="4" t="n">
        <v>3</v>
      </c>
      <c r="H4245" s="13" t="n">
        <v>1</v>
      </c>
      <c r="I4245" s="34" t="n">
        <v>1</v>
      </c>
      <c r="J4245" s="35" t="n">
        <v>1</v>
      </c>
      <c r="K4245" s="2" t="inlineStr">
        <is>
          <t>marker_802_385156.png</t>
        </is>
      </c>
      <c r="L4245" s="36">
        <f>HYPERLINK("NoConsenso\" &amp; K4245, "Ver Imagen")</f>
        <v/>
      </c>
      <c r="M4245" t="inlineStr">
        <is>
          <t>Mediana</t>
        </is>
      </c>
    </row>
    <row r="4246">
      <c r="A4246" s="33" t="n">
        <v>4245</v>
      </c>
      <c r="B4246" t="inlineStr">
        <is>
          <t>A-5058__379</t>
        </is>
      </c>
      <c r="C4246" s="1" t="n">
        <v>37.2550567832</v>
      </c>
      <c r="D4246" s="1" t="n">
        <v>-7.10925967448</v>
      </c>
      <c r="E4246" s="3" t="n">
        <v>3</v>
      </c>
      <c r="F4246" s="2" t="n">
        <v>1</v>
      </c>
      <c r="G4246" s="4" t="n">
        <v>3</v>
      </c>
      <c r="H4246" s="13" t="n">
        <v>2</v>
      </c>
      <c r="I4246" s="34" t="n">
        <v>2</v>
      </c>
      <c r="J4246" s="35" t="n">
        <v>2</v>
      </c>
      <c r="K4246" s="2" t="inlineStr">
        <is>
          <t>marker_840_385185.png</t>
        </is>
      </c>
      <c r="L4246" s="36">
        <f>HYPERLINK("NoConsenso\" &amp; K4246, "Ver Imagen")</f>
        <v/>
      </c>
      <c r="M4246" t="inlineStr">
        <is>
          <t>Mediana</t>
        </is>
      </c>
    </row>
    <row r="4247">
      <c r="A4247" s="33" t="n">
        <v>4246</v>
      </c>
      <c r="B4247" t="inlineStr">
        <is>
          <t>A-5058__415</t>
        </is>
      </c>
      <c r="C4247" s="1" t="n">
        <v>37.2553786832</v>
      </c>
      <c r="D4247" s="1" t="n">
        <v>-7.11781814538</v>
      </c>
      <c r="E4247" s="3" t="n">
        <v>3</v>
      </c>
      <c r="F4247" s="2" t="n">
        <v>1</v>
      </c>
      <c r="G4247" s="4" t="n">
        <v>3</v>
      </c>
      <c r="H4247" s="13" t="n">
        <v>2</v>
      </c>
      <c r="I4247" s="34" t="n">
        <v>2</v>
      </c>
      <c r="J4247" s="35" t="n">
        <v>2</v>
      </c>
      <c r="K4247" s="2" t="inlineStr">
        <is>
          <t>marker_147_388697.png</t>
        </is>
      </c>
      <c r="L4247" s="36">
        <f>HYPERLINK("NoConsenso\" &amp; K4247, "Ver Imagen")</f>
        <v/>
      </c>
      <c r="M4247" t="inlineStr">
        <is>
          <t>Mediana</t>
        </is>
      </c>
    </row>
    <row r="4248">
      <c r="A4248" s="33" t="n">
        <v>4247</v>
      </c>
      <c r="B4248" t="inlineStr">
        <is>
          <t>A-495__1</t>
        </is>
      </c>
      <c r="C4248" s="1" t="n">
        <v>37.4441055761</v>
      </c>
      <c r="D4248" s="1" t="n">
        <v>-7.10019786222</v>
      </c>
      <c r="E4248" s="3" t="n">
        <v>3</v>
      </c>
      <c r="F4248" s="2" t="n">
        <v>1</v>
      </c>
      <c r="G4248" s="4" t="n">
        <v>3</v>
      </c>
      <c r="H4248" s="13" t="n">
        <v>3</v>
      </c>
      <c r="I4248" s="34" t="n">
        <v>2</v>
      </c>
      <c r="J4248" s="38" t="n">
        <v>3</v>
      </c>
      <c r="K4248" s="2" t="inlineStr">
        <is>
          <t>marker_723_380965.png</t>
        </is>
      </c>
      <c r="L4248" s="36">
        <f>HYPERLINK("NoConsenso\" &amp; K4248, "Ver Imagen")</f>
        <v/>
      </c>
      <c r="M4248" t="inlineStr">
        <is>
          <t>Mediana</t>
        </is>
      </c>
    </row>
    <row r="4249">
      <c r="A4249" s="33" t="n">
        <v>4248</v>
      </c>
      <c r="B4249" t="inlineStr">
        <is>
          <t>A-499__43</t>
        </is>
      </c>
      <c r="C4249" s="1" t="n">
        <v>37.4949649942</v>
      </c>
      <c r="D4249" s="1" t="n">
        <v>-7.27666860145</v>
      </c>
      <c r="E4249" s="3" t="n">
        <v>3</v>
      </c>
      <c r="F4249" s="2" t="n">
        <v>1</v>
      </c>
      <c r="G4249" s="4" t="n">
        <v>3</v>
      </c>
      <c r="H4249" s="13" t="n">
        <v>2</v>
      </c>
      <c r="I4249" s="34" t="n">
        <v>2</v>
      </c>
      <c r="J4249" s="35" t="n">
        <v>2</v>
      </c>
      <c r="K4249" s="2" t="inlineStr">
        <is>
          <t>marker_542_534614.png</t>
        </is>
      </c>
      <c r="L4249" s="36">
        <f>HYPERLINK("NoConsenso\" &amp; K4249, "Ver Imagen")</f>
        <v/>
      </c>
      <c r="M4249" t="inlineStr">
        <is>
          <t>Mediana</t>
        </is>
      </c>
    </row>
    <row r="4250">
      <c r="A4250" s="33" t="n">
        <v>4249</v>
      </c>
      <c r="B4250" t="inlineStr">
        <is>
          <t>A-499__94</t>
        </is>
      </c>
      <c r="C4250" s="1" t="n">
        <v>37.4976382379</v>
      </c>
      <c r="D4250" s="1" t="n">
        <v>-7.2679107884</v>
      </c>
      <c r="E4250" s="3" t="n">
        <v>3</v>
      </c>
      <c r="F4250" s="2" t="n">
        <v>4</v>
      </c>
      <c r="G4250" s="4" t="n">
        <v>2</v>
      </c>
      <c r="H4250" s="13" t="n">
        <v>4</v>
      </c>
      <c r="I4250" s="34" t="n">
        <v>1</v>
      </c>
      <c r="J4250" s="37" t="n">
        <v>2</v>
      </c>
      <c r="K4250" s="2" t="inlineStr">
        <is>
          <t>marker_950_793121.png</t>
        </is>
      </c>
      <c r="L4250" s="36">
        <f>HYPERLINK("NoConsenso\" &amp; K4250, "Ver Imagen")</f>
        <v/>
      </c>
      <c r="M4250" s="37" t="inlineStr">
        <is>
          <t>Modificada</t>
        </is>
      </c>
    </row>
    <row r="4251">
      <c r="A4251" s="33" t="n">
        <v>4250</v>
      </c>
      <c r="B4251" t="inlineStr">
        <is>
          <t>A-497_2C__1</t>
        </is>
      </c>
      <c r="C4251" s="1" t="n">
        <v>37.2676533788</v>
      </c>
      <c r="D4251" s="1" t="n">
        <v>-6.95728339968</v>
      </c>
      <c r="E4251" s="3" t="n">
        <v>2</v>
      </c>
      <c r="F4251" s="2" t="n">
        <v>4</v>
      </c>
      <c r="G4251" s="4" t="n">
        <v>3</v>
      </c>
      <c r="H4251" s="13" t="n">
        <v>3</v>
      </c>
      <c r="I4251" s="34" t="n">
        <v>4</v>
      </c>
      <c r="J4251" s="35" t="n">
        <v>3</v>
      </c>
      <c r="K4251" s="2" t="inlineStr">
        <is>
          <t>marker_500_653725.png</t>
        </is>
      </c>
      <c r="L4251" s="36">
        <f>HYPERLINK("NoConsenso\" &amp; K4251, "Ver Imagen")</f>
        <v/>
      </c>
      <c r="M4251" t="inlineStr">
        <is>
          <t>Mediana</t>
        </is>
      </c>
    </row>
    <row r="4252">
      <c r="A4252" s="33" t="n">
        <v>4251</v>
      </c>
      <c r="B4252" t="inlineStr">
        <is>
          <t>A-499__198</t>
        </is>
      </c>
      <c r="C4252" s="1" t="n">
        <v>37.5168084288</v>
      </c>
      <c r="D4252" s="1" t="n">
        <v>-7.26623906682</v>
      </c>
      <c r="E4252" s="3" t="n">
        <v>2</v>
      </c>
      <c r="F4252" s="2" t="n">
        <v>1</v>
      </c>
      <c r="G4252" s="4" t="n">
        <v>3</v>
      </c>
      <c r="H4252" s="13" t="n">
        <v>2</v>
      </c>
      <c r="I4252" s="34" t="n">
        <v>1</v>
      </c>
      <c r="J4252" s="35" t="n">
        <v>2</v>
      </c>
      <c r="K4252" s="2" t="inlineStr">
        <is>
          <t>marker_522_796059.png</t>
        </is>
      </c>
      <c r="L4252" s="36">
        <f>HYPERLINK("NoConsenso\" &amp; K4252, "Ver Imagen")</f>
        <v/>
      </c>
      <c r="M4252" t="inlineStr">
        <is>
          <t>Mediana</t>
        </is>
      </c>
    </row>
    <row r="4253">
      <c r="A4253" s="33" t="n">
        <v>4252</v>
      </c>
      <c r="B4253" t="inlineStr">
        <is>
          <t>A-497_2C__116</t>
        </is>
      </c>
      <c r="C4253" s="1" t="n">
        <v>37.27179477</v>
      </c>
      <c r="D4253" s="1" t="n">
        <v>-6.98560046351</v>
      </c>
      <c r="E4253" s="3" t="n">
        <v>3</v>
      </c>
      <c r="F4253" s="2" t="n">
        <v>1</v>
      </c>
      <c r="G4253" s="4" t="n">
        <v>3</v>
      </c>
      <c r="H4253" s="13" t="n">
        <v>2</v>
      </c>
      <c r="I4253" s="34" t="n">
        <v>2</v>
      </c>
      <c r="J4253" s="35" t="n">
        <v>2</v>
      </c>
      <c r="K4253" s="2" t="inlineStr">
        <is>
          <t>marker_603_655646.png</t>
        </is>
      </c>
      <c r="L4253" s="36">
        <f>HYPERLINK("NoConsenso\" &amp; K4253, "Ver Imagen")</f>
        <v/>
      </c>
      <c r="M4253" t="inlineStr">
        <is>
          <t>Mediana</t>
        </is>
      </c>
    </row>
    <row r="4254">
      <c r="A4254" s="33" t="n">
        <v>4253</v>
      </c>
      <c r="B4254" t="inlineStr">
        <is>
          <t>A-497__529</t>
        </is>
      </c>
      <c r="C4254" s="1" t="n">
        <v>37.2063644429</v>
      </c>
      <c r="D4254" s="1" t="n">
        <v>-7.02006543344</v>
      </c>
      <c r="E4254" s="3" t="n">
        <v>3</v>
      </c>
      <c r="F4254" s="2" t="n">
        <v>1</v>
      </c>
      <c r="G4254" s="4" t="n">
        <v>3</v>
      </c>
      <c r="H4254" s="13" t="n">
        <v>1</v>
      </c>
      <c r="I4254" s="34" t="n">
        <v>1</v>
      </c>
      <c r="J4254" s="35" t="n">
        <v>1</v>
      </c>
      <c r="K4254" s="2" t="inlineStr">
        <is>
          <t>marker_548_372511.png</t>
        </is>
      </c>
      <c r="L4254" s="36">
        <f>HYPERLINK("NoConsenso\" &amp; K4254, "Ver Imagen")</f>
        <v/>
      </c>
      <c r="M4254" t="inlineStr">
        <is>
          <t>Mediana</t>
        </is>
      </c>
    </row>
    <row r="4255">
      <c r="A4255" s="33" t="n">
        <v>4254</v>
      </c>
      <c r="B4255" t="inlineStr">
        <is>
          <t>A-497__521</t>
        </is>
      </c>
      <c r="C4255" s="1" t="n">
        <v>37.207348985</v>
      </c>
      <c r="D4255" s="1" t="n">
        <v>-7.02157464857</v>
      </c>
      <c r="E4255" s="3" t="n">
        <v>3</v>
      </c>
      <c r="F4255" s="2" t="n">
        <v>1</v>
      </c>
      <c r="G4255" s="4" t="n">
        <v>3</v>
      </c>
      <c r="H4255" s="13" t="n">
        <v>2</v>
      </c>
      <c r="I4255" s="34" t="n">
        <v>2</v>
      </c>
      <c r="J4255" s="35" t="n">
        <v>2</v>
      </c>
      <c r="K4255" s="2" t="inlineStr">
        <is>
          <t>marker_579_372584.png</t>
        </is>
      </c>
      <c r="L4255" s="36">
        <f>HYPERLINK("NoConsenso\" &amp; K4255, "Ver Imagen")</f>
        <v/>
      </c>
      <c r="M4255" t="inlineStr">
        <is>
          <t>Mediana</t>
        </is>
      </c>
    </row>
    <row r="4256">
      <c r="A4256" s="33" t="n">
        <v>4255</v>
      </c>
      <c r="B4256" t="inlineStr">
        <is>
          <t>A-497_2C__378</t>
        </is>
      </c>
      <c r="C4256" s="1" t="n">
        <v>37.2337808787</v>
      </c>
      <c r="D4256" s="1" t="n">
        <v>-7.01818606614</v>
      </c>
      <c r="E4256" s="3" t="n">
        <v>3</v>
      </c>
      <c r="F4256" s="2" t="n">
        <v>1</v>
      </c>
      <c r="G4256" s="4" t="n">
        <v>3</v>
      </c>
      <c r="H4256" s="13" t="n">
        <v>2</v>
      </c>
      <c r="I4256" s="34" t="n">
        <v>1</v>
      </c>
      <c r="J4256" s="37" t="n">
        <v>1</v>
      </c>
      <c r="K4256" s="2" t="inlineStr">
        <is>
          <t>marker_704_362605.png</t>
        </is>
      </c>
      <c r="L4256" s="36">
        <f>HYPERLINK("NoConsenso\" &amp; K4256, "Ver Imagen")</f>
        <v/>
      </c>
      <c r="M4256" s="37" t="inlineStr">
        <is>
          <t>Modificada</t>
        </is>
      </c>
    </row>
    <row r="4257">
      <c r="A4257" s="33" t="n">
        <v>4256</v>
      </c>
      <c r="B4257" t="inlineStr">
        <is>
          <t>A-497__500</t>
        </is>
      </c>
      <c r="C4257" s="1" t="n">
        <v>37.2111560707</v>
      </c>
      <c r="D4257" s="1" t="n">
        <v>-7.0238089637</v>
      </c>
      <c r="E4257" s="3" t="n">
        <v>3</v>
      </c>
      <c r="F4257" s="2" t="n">
        <v>1</v>
      </c>
      <c r="G4257" s="4" t="n">
        <v>3</v>
      </c>
      <c r="H4257" s="13" t="n">
        <v>2</v>
      </c>
      <c r="I4257" s="34" t="n">
        <v>3</v>
      </c>
      <c r="J4257" s="37" t="n">
        <v>2</v>
      </c>
      <c r="K4257" s="2" t="inlineStr">
        <is>
          <t>marker_534_376098.png</t>
        </is>
      </c>
      <c r="L4257" s="36">
        <f>HYPERLINK("NoConsenso\" &amp; K4257, "Ver Imagen")</f>
        <v/>
      </c>
      <c r="M4257" s="37" t="inlineStr">
        <is>
          <t>Modificada</t>
        </is>
      </c>
    </row>
    <row r="4258">
      <c r="A4258" s="33" t="n">
        <v>4257</v>
      </c>
      <c r="B4258" t="inlineStr">
        <is>
          <t>A-497__249</t>
        </is>
      </c>
      <c r="C4258" s="1" t="n">
        <v>37.2595676116</v>
      </c>
      <c r="D4258" s="1" t="n">
        <v>-7.01178140935</v>
      </c>
      <c r="E4258" s="3" t="n">
        <v>3</v>
      </c>
      <c r="F4258" s="2" t="n">
        <v>1</v>
      </c>
      <c r="G4258" s="4" t="n">
        <v>3</v>
      </c>
      <c r="H4258" s="13" t="n">
        <v>1</v>
      </c>
      <c r="I4258" s="34" t="n">
        <v>2</v>
      </c>
      <c r="J4258" s="35" t="n">
        <v>2</v>
      </c>
      <c r="K4258" s="2" t="inlineStr">
        <is>
          <t>marker_192_378791.png</t>
        </is>
      </c>
      <c r="L4258" s="36">
        <f>HYPERLINK("NoConsenso\" &amp; K4258, "Ver Imagen")</f>
        <v/>
      </c>
      <c r="M4258" t="inlineStr">
        <is>
          <t>Mediana</t>
        </is>
      </c>
    </row>
    <row r="4259">
      <c r="A4259" s="33" t="n">
        <v>4258</v>
      </c>
      <c r="B4259" t="inlineStr">
        <is>
          <t>A-490__20</t>
        </is>
      </c>
      <c r="C4259" s="1" t="n">
        <v>37.4467321157</v>
      </c>
      <c r="D4259" s="1" t="n">
        <v>-7.13126886902</v>
      </c>
      <c r="E4259" s="3" t="n">
        <v>2</v>
      </c>
      <c r="F4259" s="2" t="n">
        <v>4</v>
      </c>
      <c r="G4259" s="4" t="n">
        <v>4</v>
      </c>
      <c r="H4259" s="13" t="n">
        <v>4</v>
      </c>
      <c r="I4259" s="34" t="n">
        <v>4</v>
      </c>
      <c r="J4259" s="35" t="n">
        <v>4</v>
      </c>
      <c r="K4259" s="2" t="inlineStr">
        <is>
          <t>marker_812_730666.png</t>
        </is>
      </c>
      <c r="L4259" s="36">
        <f>HYPERLINK("NoConsenso\" &amp; K4259, "Ver Imagen")</f>
        <v/>
      </c>
      <c r="M4259" t="inlineStr">
        <is>
          <t>Mediana</t>
        </is>
      </c>
    </row>
    <row r="4260">
      <c r="A4260" s="33" t="n">
        <v>4259</v>
      </c>
      <c r="B4260" t="inlineStr">
        <is>
          <t>A-490__33</t>
        </is>
      </c>
      <c r="C4260" s="1" t="n">
        <v>37.4462610945</v>
      </c>
      <c r="D4260" s="1" t="n">
        <v>-7.13447958234</v>
      </c>
      <c r="E4260" s="3" t="n">
        <v>2</v>
      </c>
      <c r="F4260" s="2" t="n">
        <v>4</v>
      </c>
      <c r="G4260" s="4" t="n">
        <v>4</v>
      </c>
      <c r="H4260" s="13" t="n">
        <v>4</v>
      </c>
      <c r="I4260" s="34" t="n">
        <v>4</v>
      </c>
      <c r="J4260" s="35" t="n">
        <v>4</v>
      </c>
      <c r="K4260" s="2" t="inlineStr">
        <is>
          <t>marker_703_731013.png</t>
        </is>
      </c>
      <c r="L4260" s="36">
        <f>HYPERLINK("NoConsenso\" &amp; K4260, "Ver Imagen")</f>
        <v/>
      </c>
      <c r="M4260" t="inlineStr">
        <is>
          <t>Mediana</t>
        </is>
      </c>
    </row>
    <row r="4261">
      <c r="A4261" s="33" t="n">
        <v>4260</v>
      </c>
      <c r="B4261" t="inlineStr">
        <is>
          <t>A-490__48</t>
        </is>
      </c>
      <c r="C4261" s="1" t="n">
        <v>37.4466478556</v>
      </c>
      <c r="D4261" s="1" t="n">
        <v>-7.1381317957</v>
      </c>
      <c r="E4261" s="3" t="n">
        <v>2</v>
      </c>
      <c r="F4261" s="2" t="n">
        <v>4</v>
      </c>
      <c r="G4261" s="4" t="n">
        <v>4</v>
      </c>
      <c r="H4261" s="13" t="n">
        <v>4</v>
      </c>
      <c r="I4261" s="34" t="n">
        <v>5</v>
      </c>
      <c r="J4261" s="35" t="n">
        <v>4</v>
      </c>
      <c r="K4261" s="2" t="inlineStr">
        <is>
          <t>marker_138_731408.png</t>
        </is>
      </c>
      <c r="L4261" s="36">
        <f>HYPERLINK("NoConsenso\" &amp; K4261, "Ver Imagen")</f>
        <v/>
      </c>
      <c r="M4261" t="inlineStr">
        <is>
          <t>Mediana</t>
        </is>
      </c>
    </row>
    <row r="4262">
      <c r="A4262" s="33" t="n">
        <v>4261</v>
      </c>
      <c r="B4262" t="inlineStr">
        <is>
          <t>A-490__53</t>
        </is>
      </c>
      <c r="C4262" s="1" t="n">
        <v>37.4469984994</v>
      </c>
      <c r="D4262" s="1" t="n">
        <v>-7.13928850498</v>
      </c>
      <c r="E4262" s="3" t="n">
        <v>2</v>
      </c>
      <c r="F4262" s="2" t="n">
        <v>3</v>
      </c>
      <c r="G4262" s="4" t="n">
        <v>4</v>
      </c>
      <c r="H4262" s="13" t="n">
        <v>4</v>
      </c>
      <c r="I4262" s="34" t="n">
        <v>4</v>
      </c>
      <c r="J4262" s="35" t="n">
        <v>4</v>
      </c>
      <c r="K4262" s="2" t="inlineStr">
        <is>
          <t>marker_865_732363.png</t>
        </is>
      </c>
      <c r="L4262" s="36">
        <f>HYPERLINK("NoConsenso\" &amp; K4262, "Ver Imagen")</f>
        <v/>
      </c>
      <c r="M4262" t="inlineStr">
        <is>
          <t>Mediana</t>
        </is>
      </c>
    </row>
    <row r="4263">
      <c r="A4263" s="33" t="n">
        <v>4262</v>
      </c>
      <c r="B4263" t="inlineStr">
        <is>
          <t>A-490__61</t>
        </is>
      </c>
      <c r="C4263" s="1" t="n">
        <v>37.4477772112</v>
      </c>
      <c r="D4263" s="1" t="n">
        <v>-7.14111973869</v>
      </c>
      <c r="E4263" s="3" t="n">
        <v>2</v>
      </c>
      <c r="F4263" s="2" t="n">
        <v>3</v>
      </c>
      <c r="G4263" s="4" t="n">
        <v>4</v>
      </c>
      <c r="H4263" s="13" t="n">
        <v>4</v>
      </c>
      <c r="I4263" s="34" t="n">
        <v>4</v>
      </c>
      <c r="J4263" s="35" t="n">
        <v>4</v>
      </c>
      <c r="K4263" s="2" t="inlineStr">
        <is>
          <t>marker_117_737930.png</t>
        </is>
      </c>
      <c r="L4263" s="36">
        <f>HYPERLINK("NoConsenso\" &amp; K4263, "Ver Imagen")</f>
        <v/>
      </c>
      <c r="M4263" t="inlineStr">
        <is>
          <t>Mediana</t>
        </is>
      </c>
    </row>
    <row r="4264">
      <c r="A4264" s="33" t="n">
        <v>4263</v>
      </c>
      <c r="B4264" t="inlineStr">
        <is>
          <t>A-490__62</t>
        </is>
      </c>
      <c r="C4264" s="1" t="n">
        <v>37.4478746438</v>
      </c>
      <c r="D4264" s="1" t="n">
        <v>-7.14132947062</v>
      </c>
      <c r="E4264" s="3" t="n">
        <v>2</v>
      </c>
      <c r="F4264" s="2" t="n">
        <v>3</v>
      </c>
      <c r="G4264" s="4" t="n">
        <v>4</v>
      </c>
      <c r="H4264" s="13" t="n">
        <v>4</v>
      </c>
      <c r="I4264" s="34" t="n">
        <v>4</v>
      </c>
      <c r="J4264" s="35" t="n">
        <v>4</v>
      </c>
      <c r="K4264" s="2" t="inlineStr">
        <is>
          <t>marker_655_737950.png</t>
        </is>
      </c>
      <c r="L4264" s="36">
        <f>HYPERLINK("NoConsenso\" &amp; K4264, "Ver Imagen")</f>
        <v/>
      </c>
      <c r="M4264" t="inlineStr">
        <is>
          <t>Mediana</t>
        </is>
      </c>
    </row>
    <row r="4265">
      <c r="A4265" s="33" t="n">
        <v>4264</v>
      </c>
      <c r="B4265" t="inlineStr">
        <is>
          <t>A-490__64</t>
        </is>
      </c>
      <c r="C4265" s="1" t="n">
        <v>37.4480969235</v>
      </c>
      <c r="D4265" s="1" t="n">
        <v>-7.14180151892</v>
      </c>
      <c r="E4265" s="3" t="n">
        <v>2</v>
      </c>
      <c r="F4265" s="2" t="n">
        <v>4</v>
      </c>
      <c r="G4265" s="4" t="n">
        <v>4</v>
      </c>
      <c r="H4265" s="13" t="n">
        <v>4</v>
      </c>
      <c r="I4265" s="34" t="n">
        <v>3</v>
      </c>
      <c r="J4265" s="35" t="n">
        <v>4</v>
      </c>
      <c r="K4265" s="2" t="inlineStr">
        <is>
          <t>marker_585_738000.png</t>
        </is>
      </c>
      <c r="L4265" s="36">
        <f>HYPERLINK("NoConsenso\" &amp; K4265, "Ver Imagen")</f>
        <v/>
      </c>
      <c r="M4265" t="inlineStr">
        <is>
          <t>Mediana</t>
        </is>
      </c>
    </row>
    <row r="4266">
      <c r="A4266" s="33" t="n">
        <v>4265</v>
      </c>
      <c r="B4266" t="inlineStr">
        <is>
          <t>A-490__98</t>
        </is>
      </c>
      <c r="C4266" s="1" t="n">
        <v>37.4490721472</v>
      </c>
      <c r="D4266" s="1" t="n">
        <v>-7.15021552077</v>
      </c>
      <c r="E4266" s="3" t="n">
        <v>2</v>
      </c>
      <c r="F4266" s="2" t="n">
        <v>3</v>
      </c>
      <c r="G4266" s="4" t="n">
        <v>4</v>
      </c>
      <c r="H4266" s="13" t="n">
        <v>3</v>
      </c>
      <c r="I4266" s="34" t="n">
        <v>3</v>
      </c>
      <c r="J4266" s="35" t="n">
        <v>3</v>
      </c>
      <c r="K4266" s="2" t="inlineStr">
        <is>
          <t>marker_340_739129.png</t>
        </is>
      </c>
      <c r="L4266" s="36">
        <f>HYPERLINK("NoConsenso\" &amp; K4266, "Ver Imagen")</f>
        <v/>
      </c>
      <c r="M4266" t="inlineStr">
        <is>
          <t>Mediana</t>
        </is>
      </c>
    </row>
    <row r="4267">
      <c r="A4267" s="33" t="n">
        <v>4266</v>
      </c>
      <c r="B4267" t="inlineStr">
        <is>
          <t>A-490__100</t>
        </is>
      </c>
      <c r="C4267" s="1" t="n">
        <v>37.4491930554</v>
      </c>
      <c r="D4267" s="1" t="n">
        <v>-7.15067141587</v>
      </c>
      <c r="E4267" s="3" t="n">
        <v>2</v>
      </c>
      <c r="F4267" s="2" t="n">
        <v>4</v>
      </c>
      <c r="G4267" s="4" t="n">
        <v>4</v>
      </c>
      <c r="H4267" s="13" t="n">
        <v>3</v>
      </c>
      <c r="I4267" s="34" t="n">
        <v>4</v>
      </c>
      <c r="J4267" s="37" t="n">
        <v>3</v>
      </c>
      <c r="K4267" s="2" t="inlineStr">
        <is>
          <t>marker_401_739162.png</t>
        </is>
      </c>
      <c r="L4267" s="36">
        <f>HYPERLINK("NoConsenso\" &amp; K4267, "Ver Imagen")</f>
        <v/>
      </c>
      <c r="M4267" s="37" t="inlineStr">
        <is>
          <t>Modificada</t>
        </is>
      </c>
    </row>
    <row r="4268">
      <c r="A4268" s="33" t="n">
        <v>4267</v>
      </c>
      <c r="B4268" t="inlineStr">
        <is>
          <t>A-490__113</t>
        </is>
      </c>
      <c r="C4268" s="1" t="n">
        <v>37.4506940003</v>
      </c>
      <c r="D4268" s="1" t="n">
        <v>-7.15338723849</v>
      </c>
      <c r="E4268" s="3" t="n">
        <v>2</v>
      </c>
      <c r="F4268" s="2" t="n">
        <v>3</v>
      </c>
      <c r="G4268" s="4" t="n">
        <v>4</v>
      </c>
      <c r="H4268" s="13" t="n">
        <v>3</v>
      </c>
      <c r="I4268" s="34" t="n">
        <v>3</v>
      </c>
      <c r="J4268" s="35" t="n">
        <v>3</v>
      </c>
      <c r="K4268" s="2" t="inlineStr">
        <is>
          <t>marker_207_739826.png</t>
        </is>
      </c>
      <c r="L4268" s="36">
        <f>HYPERLINK("NoConsenso\" &amp; K4268, "Ver Imagen")</f>
        <v/>
      </c>
      <c r="M4268" t="inlineStr">
        <is>
          <t>Mediana</t>
        </is>
      </c>
    </row>
    <row r="4269">
      <c r="A4269" s="33" t="n">
        <v>4268</v>
      </c>
      <c r="B4269" t="inlineStr">
        <is>
          <t>A-490__143</t>
        </is>
      </c>
      <c r="C4269" s="1" t="n">
        <v>37.4524942529</v>
      </c>
      <c r="D4269" s="1" t="n">
        <v>-7.16057975818</v>
      </c>
      <c r="E4269" s="3" t="n">
        <v>2</v>
      </c>
      <c r="F4269" s="2" t="n">
        <v>4</v>
      </c>
      <c r="G4269" s="4" t="n">
        <v>4</v>
      </c>
      <c r="H4269" s="13" t="n">
        <v>4</v>
      </c>
      <c r="I4269" s="34" t="n">
        <v>4</v>
      </c>
      <c r="J4269" s="35" t="n">
        <v>4</v>
      </c>
      <c r="K4269" s="2" t="inlineStr">
        <is>
          <t>marker_431_740593.png</t>
        </is>
      </c>
      <c r="L4269" s="36">
        <f>HYPERLINK("NoConsenso\" &amp; K4269, "Ver Imagen")</f>
        <v/>
      </c>
      <c r="M4269" t="inlineStr">
        <is>
          <t>Mediana</t>
        </is>
      </c>
    </row>
    <row r="4270">
      <c r="A4270" s="33" t="n">
        <v>4269</v>
      </c>
      <c r="B4270" t="inlineStr">
        <is>
          <t>A-490__144</t>
        </is>
      </c>
      <c r="C4270" s="1" t="n">
        <v>37.452568619</v>
      </c>
      <c r="D4270" s="1" t="n">
        <v>-7.16082954612</v>
      </c>
      <c r="E4270" s="3" t="n">
        <v>2</v>
      </c>
      <c r="F4270" s="2" t="n">
        <v>4</v>
      </c>
      <c r="G4270" s="4" t="n">
        <v>4</v>
      </c>
      <c r="H4270" s="13" t="n">
        <v>4</v>
      </c>
      <c r="I4270" s="34" t="n">
        <v>4</v>
      </c>
      <c r="J4270" s="35" t="n">
        <v>4</v>
      </c>
      <c r="K4270" s="2" t="inlineStr">
        <is>
          <t>marker_163_740611.png</t>
        </is>
      </c>
      <c r="L4270" s="36">
        <f>HYPERLINK("NoConsenso\" &amp; K4270, "Ver Imagen")</f>
        <v/>
      </c>
      <c r="M4270" t="inlineStr">
        <is>
          <t>Mediana</t>
        </is>
      </c>
    </row>
    <row r="4271">
      <c r="A4271" s="33" t="n">
        <v>4270</v>
      </c>
      <c r="B4271" t="inlineStr">
        <is>
          <t>A-490__173</t>
        </is>
      </c>
      <c r="C4271" s="1" t="n">
        <v>37.4559715439</v>
      </c>
      <c r="D4271" s="1" t="n">
        <v>-7.16676302319</v>
      </c>
      <c r="E4271" s="3" t="n">
        <v>2</v>
      </c>
      <c r="F4271" s="2" t="n">
        <v>4</v>
      </c>
      <c r="G4271" s="4" t="n">
        <v>4</v>
      </c>
      <c r="H4271" s="13" t="n">
        <v>3</v>
      </c>
      <c r="I4271" s="34" t="n">
        <v>3</v>
      </c>
      <c r="J4271" s="35" t="n">
        <v>3</v>
      </c>
      <c r="K4271" s="2" t="inlineStr">
        <is>
          <t>marker_602_741551.png</t>
        </is>
      </c>
      <c r="L4271" s="36">
        <f>HYPERLINK("NoConsenso\" &amp; K4271, "Ver Imagen")</f>
        <v/>
      </c>
      <c r="M4271" t="inlineStr">
        <is>
          <t>Mediana</t>
        </is>
      </c>
    </row>
    <row r="4272">
      <c r="A4272" s="33" t="n">
        <v>4271</v>
      </c>
      <c r="B4272" t="inlineStr">
        <is>
          <t>A-490__175</t>
        </is>
      </c>
      <c r="C4272" s="1" t="n">
        <v>37.45628314</v>
      </c>
      <c r="D4272" s="1" t="n">
        <v>-7.16714607513</v>
      </c>
      <c r="E4272" s="3" t="n">
        <v>2</v>
      </c>
      <c r="F4272" s="2" t="n">
        <v>4</v>
      </c>
      <c r="G4272" s="4" t="n">
        <v>4</v>
      </c>
      <c r="H4272" s="13" t="n">
        <v>4</v>
      </c>
      <c r="I4272" s="34" t="n">
        <v>4</v>
      </c>
      <c r="J4272" s="35" t="n">
        <v>4</v>
      </c>
      <c r="K4272" s="2" t="inlineStr">
        <is>
          <t>marker_360_741609.png</t>
        </is>
      </c>
      <c r="L4272" s="36">
        <f>HYPERLINK("NoConsenso\" &amp; K4272, "Ver Imagen")</f>
        <v/>
      </c>
      <c r="M4272" t="inlineStr">
        <is>
          <t>Mediana</t>
        </is>
      </c>
    </row>
    <row r="4273">
      <c r="A4273" s="33" t="n">
        <v>4272</v>
      </c>
      <c r="B4273" t="inlineStr">
        <is>
          <t>A-490__186</t>
        </is>
      </c>
      <c r="C4273" s="1" t="n">
        <v>37.4578516695</v>
      </c>
      <c r="D4273" s="1" t="n">
        <v>-7.16908299217</v>
      </c>
      <c r="E4273" s="3" t="n">
        <v>2</v>
      </c>
      <c r="F4273" s="2" t="n">
        <v>4</v>
      </c>
      <c r="G4273" s="4" t="n">
        <v>4</v>
      </c>
      <c r="H4273" s="13" t="n">
        <v>4</v>
      </c>
      <c r="I4273" s="34" t="n">
        <v>4</v>
      </c>
      <c r="J4273" s="35" t="n">
        <v>4</v>
      </c>
      <c r="K4273" s="2" t="inlineStr">
        <is>
          <t>marker_825_741952.png</t>
        </is>
      </c>
      <c r="L4273" s="36">
        <f>HYPERLINK("NoConsenso\" &amp; K4273, "Ver Imagen")</f>
        <v/>
      </c>
      <c r="M4273" t="inlineStr">
        <is>
          <t>Mediana</t>
        </is>
      </c>
    </row>
    <row r="4274">
      <c r="A4274" s="33" t="n">
        <v>4273</v>
      </c>
      <c r="B4274" t="inlineStr">
        <is>
          <t>A-490__190</t>
        </is>
      </c>
      <c r="C4274" s="1" t="n">
        <v>37.4584382252</v>
      </c>
      <c r="D4274" s="1" t="n">
        <v>-7.16980185305</v>
      </c>
      <c r="E4274" s="3" t="n">
        <v>2</v>
      </c>
      <c r="F4274" s="2" t="n">
        <v>4</v>
      </c>
      <c r="G4274" s="4" t="n">
        <v>4</v>
      </c>
      <c r="H4274" s="13" t="n">
        <v>4</v>
      </c>
      <c r="I4274" s="34" t="n">
        <v>4</v>
      </c>
      <c r="J4274" s="35" t="n">
        <v>4</v>
      </c>
      <c r="K4274" s="2" t="inlineStr">
        <is>
          <t>marker_942_742047.png</t>
        </is>
      </c>
      <c r="L4274" s="36">
        <f>HYPERLINK("NoConsenso\" &amp; K4274, "Ver Imagen")</f>
        <v/>
      </c>
      <c r="M4274" t="inlineStr">
        <is>
          <t>Mediana</t>
        </is>
      </c>
    </row>
    <row r="4275">
      <c r="A4275" s="33" t="n">
        <v>4274</v>
      </c>
      <c r="B4275" t="inlineStr">
        <is>
          <t>A-490__191</t>
        </is>
      </c>
      <c r="C4275" s="1" t="n">
        <v>37.4585738479</v>
      </c>
      <c r="D4275" s="1" t="n">
        <v>-7.1699683627</v>
      </c>
      <c r="E4275" s="3" t="n">
        <v>2</v>
      </c>
      <c r="F4275" s="2" t="n">
        <v>4</v>
      </c>
      <c r="G4275" s="4" t="n">
        <v>4</v>
      </c>
      <c r="H4275" s="13" t="n">
        <v>4</v>
      </c>
      <c r="I4275" s="34" t="n">
        <v>4</v>
      </c>
      <c r="J4275" s="35" t="n">
        <v>4</v>
      </c>
      <c r="K4275" s="2" t="inlineStr">
        <is>
          <t>marker_108_742082.png</t>
        </is>
      </c>
      <c r="L4275" s="36">
        <f>HYPERLINK("NoConsenso\" &amp; K4275, "Ver Imagen")</f>
        <v/>
      </c>
      <c r="M4275" t="inlineStr">
        <is>
          <t>Mediana</t>
        </is>
      </c>
    </row>
    <row r="4276">
      <c r="A4276" s="33" t="n">
        <v>4275</v>
      </c>
      <c r="B4276" t="inlineStr">
        <is>
          <t>A-490__192</t>
        </is>
      </c>
      <c r="C4276" s="1" t="n">
        <v>37.4587276846</v>
      </c>
      <c r="D4276" s="1" t="n">
        <v>-7.17015708934</v>
      </c>
      <c r="E4276" s="3" t="n">
        <v>2</v>
      </c>
      <c r="F4276" s="2" t="n">
        <v>4</v>
      </c>
      <c r="G4276" s="4" t="n">
        <v>4</v>
      </c>
      <c r="H4276" s="13" t="n">
        <v>4</v>
      </c>
      <c r="I4276" s="34" t="n">
        <v>4</v>
      </c>
      <c r="J4276" s="35" t="n">
        <v>4</v>
      </c>
      <c r="K4276" s="2" t="inlineStr">
        <is>
          <t>marker_139_742103.png</t>
        </is>
      </c>
      <c r="L4276" s="36">
        <f>HYPERLINK("NoConsenso\" &amp; K4276, "Ver Imagen")</f>
        <v/>
      </c>
      <c r="M4276" t="inlineStr">
        <is>
          <t>Mediana</t>
        </is>
      </c>
    </row>
    <row r="4277">
      <c r="A4277" s="33" t="n">
        <v>4276</v>
      </c>
      <c r="B4277" t="inlineStr">
        <is>
          <t>A-490__193</t>
        </is>
      </c>
      <c r="C4277" s="1" t="n">
        <v>37.4588641875</v>
      </c>
      <c r="D4277" s="1" t="n">
        <v>-7.17032407784</v>
      </c>
      <c r="E4277" s="3" t="n">
        <v>2</v>
      </c>
      <c r="F4277" s="2" t="n">
        <v>3</v>
      </c>
      <c r="G4277" s="4" t="n">
        <v>4</v>
      </c>
      <c r="H4277" s="13" t="n">
        <v>4</v>
      </c>
      <c r="I4277" s="34" t="n">
        <v>4</v>
      </c>
      <c r="J4277" s="35" t="n">
        <v>4</v>
      </c>
      <c r="K4277" s="2" t="inlineStr">
        <is>
          <t>marker_116_742118.png</t>
        </is>
      </c>
      <c r="L4277" s="36">
        <f>HYPERLINK("NoConsenso\" &amp; K4277, "Ver Imagen")</f>
        <v/>
      </c>
      <c r="M4277" t="inlineStr">
        <is>
          <t>Mediana</t>
        </is>
      </c>
    </row>
    <row r="4278">
      <c r="A4278" s="33" t="n">
        <v>4277</v>
      </c>
      <c r="B4278" t="inlineStr">
        <is>
          <t>A-490__194</t>
        </is>
      </c>
      <c r="C4278" s="1" t="n">
        <v>37.4590122105</v>
      </c>
      <c r="D4278" s="1" t="n">
        <v>-7.17050355554</v>
      </c>
      <c r="E4278" s="3" t="n">
        <v>2</v>
      </c>
      <c r="F4278" s="2" t="n">
        <v>4</v>
      </c>
      <c r="G4278" s="4" t="n">
        <v>4</v>
      </c>
      <c r="H4278" s="13" t="n">
        <v>4</v>
      </c>
      <c r="I4278" s="34" t="n">
        <v>4</v>
      </c>
      <c r="J4278" s="35" t="n">
        <v>4</v>
      </c>
      <c r="K4278" s="2" t="inlineStr">
        <is>
          <t>marker_679_742139.png</t>
        </is>
      </c>
      <c r="L4278" s="36">
        <f>HYPERLINK("NoConsenso\" &amp; K4278, "Ver Imagen")</f>
        <v/>
      </c>
      <c r="M4278" t="inlineStr">
        <is>
          <t>Mediana</t>
        </is>
      </c>
    </row>
    <row r="4279">
      <c r="A4279" s="33" t="n">
        <v>4278</v>
      </c>
      <c r="B4279" t="inlineStr">
        <is>
          <t>A-490__195</t>
        </is>
      </c>
      <c r="C4279" s="1" t="n">
        <v>37.4591635166</v>
      </c>
      <c r="D4279" s="1" t="n">
        <v>-7.17068697759</v>
      </c>
      <c r="E4279" s="3" t="n">
        <v>2</v>
      </c>
      <c r="F4279" s="2" t="n">
        <v>4</v>
      </c>
      <c r="G4279" s="4" t="n">
        <v>4</v>
      </c>
      <c r="H4279" s="13" t="n">
        <v>4</v>
      </c>
      <c r="I4279" s="34" t="n">
        <v>4</v>
      </c>
      <c r="J4279" s="35" t="n">
        <v>4</v>
      </c>
      <c r="K4279" s="2" t="inlineStr">
        <is>
          <t>marker_710_742167.png</t>
        </is>
      </c>
      <c r="L4279" s="36">
        <f>HYPERLINK("NoConsenso\" &amp; K4279, "Ver Imagen")</f>
        <v/>
      </c>
      <c r="M4279" t="inlineStr">
        <is>
          <t>Mediana</t>
        </is>
      </c>
    </row>
    <row r="4280">
      <c r="A4280" s="33" t="n">
        <v>4279</v>
      </c>
      <c r="B4280" t="inlineStr">
        <is>
          <t>A-490__196</t>
        </is>
      </c>
      <c r="C4280" s="1" t="n">
        <v>37.4593490963</v>
      </c>
      <c r="D4280" s="1" t="n">
        <v>-7.17091608826</v>
      </c>
      <c r="E4280" s="3" t="n">
        <v>2</v>
      </c>
      <c r="F4280" s="2" t="n">
        <v>3</v>
      </c>
      <c r="G4280" s="4" t="n">
        <v>4</v>
      </c>
      <c r="H4280" s="13" t="n">
        <v>3</v>
      </c>
      <c r="I4280" s="34" t="n">
        <v>4</v>
      </c>
      <c r="J4280" s="37" t="n">
        <v>4</v>
      </c>
      <c r="K4280" s="2" t="inlineStr">
        <is>
          <t>marker_686_742189.png</t>
        </is>
      </c>
      <c r="L4280" s="36">
        <f>HYPERLINK("NoConsenso\" &amp; K4280, "Ver Imagen")</f>
        <v/>
      </c>
      <c r="M4280" s="37" t="inlineStr">
        <is>
          <t>Modificada</t>
        </is>
      </c>
    </row>
    <row r="4281">
      <c r="A4281" s="33" t="n">
        <v>4280</v>
      </c>
      <c r="B4281" t="inlineStr">
        <is>
          <t>A-490__199</t>
        </is>
      </c>
      <c r="C4281" s="1" t="n">
        <v>37.459708779</v>
      </c>
      <c r="D4281" s="1" t="n">
        <v>-7.17139827166</v>
      </c>
      <c r="E4281" s="3" t="n">
        <v>2</v>
      </c>
      <c r="F4281" s="2" t="n">
        <v>4</v>
      </c>
      <c r="G4281" s="4" t="n">
        <v>4</v>
      </c>
      <c r="H4281" s="13" t="n">
        <v>4</v>
      </c>
      <c r="I4281" s="34" t="n">
        <v>4</v>
      </c>
      <c r="J4281" s="35" t="n">
        <v>4</v>
      </c>
      <c r="K4281" s="2" t="inlineStr">
        <is>
          <t>marker_470_742325.png</t>
        </is>
      </c>
      <c r="L4281" s="36">
        <f>HYPERLINK("NoConsenso\" &amp; K4281, "Ver Imagen")</f>
        <v/>
      </c>
      <c r="M4281" t="inlineStr">
        <is>
          <t>Mediana</t>
        </is>
      </c>
    </row>
    <row r="4282">
      <c r="A4282" s="33" t="n">
        <v>4281</v>
      </c>
      <c r="B4282" t="inlineStr">
        <is>
          <t>A-490__209</t>
        </is>
      </c>
      <c r="C4282" s="1" t="n">
        <v>37.4609580392</v>
      </c>
      <c r="D4282" s="1" t="n">
        <v>-7.1734112662</v>
      </c>
      <c r="E4282" s="3" t="n">
        <v>2</v>
      </c>
      <c r="F4282" s="2" t="n">
        <v>4</v>
      </c>
      <c r="G4282" s="4" t="n">
        <v>4</v>
      </c>
      <c r="H4282" s="13" t="n">
        <v>4</v>
      </c>
      <c r="I4282" s="34" t="n">
        <v>3</v>
      </c>
      <c r="J4282" s="35" t="n">
        <v>4</v>
      </c>
      <c r="K4282" s="2" t="inlineStr">
        <is>
          <t>marker_301_742643.png</t>
        </is>
      </c>
      <c r="L4282" s="36">
        <f>HYPERLINK("NoConsenso\" &amp; K4282, "Ver Imagen")</f>
        <v/>
      </c>
      <c r="M4282" t="inlineStr">
        <is>
          <t>Mediana</t>
        </is>
      </c>
    </row>
    <row r="4283">
      <c r="A4283" s="33" t="n">
        <v>4282</v>
      </c>
      <c r="B4283" t="inlineStr">
        <is>
          <t>A-490__251</t>
        </is>
      </c>
      <c r="C4283" s="1" t="n">
        <v>37.465960205</v>
      </c>
      <c r="D4283" s="1" t="n">
        <v>-7.18210224676</v>
      </c>
      <c r="E4283" s="3" t="n">
        <v>3</v>
      </c>
      <c r="F4283" s="2" t="n">
        <v>5</v>
      </c>
      <c r="G4283" s="4" t="n">
        <v>4</v>
      </c>
      <c r="H4283" s="13" t="n">
        <v>4</v>
      </c>
      <c r="I4283" s="34" t="n">
        <v>4</v>
      </c>
      <c r="J4283" s="35" t="n">
        <v>4</v>
      </c>
      <c r="K4283" s="2" t="inlineStr">
        <is>
          <t>marker_124_749514.png</t>
        </is>
      </c>
      <c r="L4283" s="36">
        <f>HYPERLINK("NoConsenso\" &amp; K4283, "Ver Imagen")</f>
        <v/>
      </c>
      <c r="M4283" t="inlineStr">
        <is>
          <t>Mediana</t>
        </is>
      </c>
    </row>
    <row r="4284">
      <c r="A4284" s="33" t="n">
        <v>4283</v>
      </c>
      <c r="B4284" t="inlineStr">
        <is>
          <t>A-490__256</t>
        </is>
      </c>
      <c r="C4284" s="1" t="n">
        <v>37.4665176902</v>
      </c>
      <c r="D4284" s="1" t="n">
        <v>-7.18313911321</v>
      </c>
      <c r="E4284" s="3" t="n">
        <v>2</v>
      </c>
      <c r="F4284" s="2" t="n">
        <v>3</v>
      </c>
      <c r="G4284" s="4" t="n">
        <v>4</v>
      </c>
      <c r="H4284" s="13" t="n">
        <v>3</v>
      </c>
      <c r="I4284" s="34" t="n">
        <v>3</v>
      </c>
      <c r="J4284" s="35" t="n">
        <v>3</v>
      </c>
      <c r="K4284" s="2" t="inlineStr">
        <is>
          <t>marker_319_749629.png</t>
        </is>
      </c>
      <c r="L4284" s="36">
        <f>HYPERLINK("NoConsenso\" &amp; K4284, "Ver Imagen")</f>
        <v/>
      </c>
      <c r="M4284" t="inlineStr">
        <is>
          <t>Mediana</t>
        </is>
      </c>
    </row>
    <row r="4285">
      <c r="A4285" s="33" t="n">
        <v>4284</v>
      </c>
      <c r="B4285" t="inlineStr">
        <is>
          <t>A-490__349</t>
        </is>
      </c>
      <c r="C4285" s="1" t="n">
        <v>37.476808483</v>
      </c>
      <c r="D4285" s="1" t="n">
        <v>-7.20294609998</v>
      </c>
      <c r="E4285" s="3" t="n">
        <v>2</v>
      </c>
      <c r="F4285" s="2" t="n">
        <v>4</v>
      </c>
      <c r="G4285" s="4" t="n">
        <v>4</v>
      </c>
      <c r="H4285" s="13" t="n">
        <v>3</v>
      </c>
      <c r="I4285" s="34" t="n">
        <v>3</v>
      </c>
      <c r="J4285" s="35" t="n">
        <v>3</v>
      </c>
      <c r="K4285" s="2" t="inlineStr">
        <is>
          <t>marker_428_751662.png</t>
        </is>
      </c>
      <c r="L4285" s="36">
        <f>HYPERLINK("NoConsenso\" &amp; K4285, "Ver Imagen")</f>
        <v/>
      </c>
      <c r="M4285" t="inlineStr">
        <is>
          <t>Mediana</t>
        </is>
      </c>
    </row>
    <row r="4286">
      <c r="A4286" s="33" t="n">
        <v>4285</v>
      </c>
      <c r="B4286" t="inlineStr">
        <is>
          <t>A-490__351</t>
        </is>
      </c>
      <c r="C4286" s="1" t="n">
        <v>37.476974776</v>
      </c>
      <c r="D4286" s="1" t="n">
        <v>-7.20333145295</v>
      </c>
      <c r="E4286" s="3" t="n">
        <v>2</v>
      </c>
      <c r="F4286" s="2" t="n">
        <v>3</v>
      </c>
      <c r="G4286" s="4" t="n">
        <v>4</v>
      </c>
      <c r="H4286" s="13" t="n">
        <v>3</v>
      </c>
      <c r="I4286" s="34" t="n">
        <v>3</v>
      </c>
      <c r="J4286" s="35" t="n">
        <v>3</v>
      </c>
      <c r="K4286" s="2" t="inlineStr">
        <is>
          <t>marker_266_751693.png</t>
        </is>
      </c>
      <c r="L4286" s="36">
        <f>HYPERLINK("NoConsenso\" &amp; K4286, "Ver Imagen")</f>
        <v/>
      </c>
      <c r="M4286" t="inlineStr">
        <is>
          <t>Mediana</t>
        </is>
      </c>
    </row>
    <row r="4287">
      <c r="A4287" s="33" t="n">
        <v>4286</v>
      </c>
      <c r="B4287" t="inlineStr">
        <is>
          <t>A-490__380</t>
        </is>
      </c>
      <c r="C4287" s="1" t="n">
        <v>37.4797668716</v>
      </c>
      <c r="D4287" s="1" t="n">
        <v>-7.20981104793</v>
      </c>
      <c r="E4287" s="3" t="n">
        <v>2</v>
      </c>
      <c r="F4287" s="2" t="n">
        <v>3</v>
      </c>
      <c r="G4287" s="4" t="n">
        <v>4</v>
      </c>
      <c r="H4287" s="13" t="n">
        <v>3</v>
      </c>
      <c r="I4287" s="34" t="n">
        <v>3</v>
      </c>
      <c r="J4287" s="35" t="n">
        <v>3</v>
      </c>
      <c r="K4287" s="2" t="inlineStr">
        <is>
          <t>marker_169_752333.png</t>
        </is>
      </c>
      <c r="L4287" s="36">
        <f>HYPERLINK("NoConsenso\" &amp; K4287, "Ver Imagen")</f>
        <v/>
      </c>
      <c r="M4287" t="inlineStr">
        <is>
          <t>Mediana</t>
        </is>
      </c>
    </row>
    <row r="4288">
      <c r="A4288" s="33" t="n">
        <v>4287</v>
      </c>
      <c r="B4288" t="inlineStr">
        <is>
          <t>A-490__548</t>
        </is>
      </c>
      <c r="C4288" s="1" t="n">
        <v>37.4906176055</v>
      </c>
      <c r="D4288" s="1" t="n">
        <v>-7.24966322604</v>
      </c>
      <c r="E4288" s="3" t="n">
        <v>2</v>
      </c>
      <c r="F4288" s="2" t="n">
        <v>3</v>
      </c>
      <c r="G4288" s="4" t="n">
        <v>4</v>
      </c>
      <c r="H4288" s="13" t="n">
        <v>3</v>
      </c>
      <c r="I4288" s="34" t="n">
        <v>3</v>
      </c>
      <c r="J4288" s="35" t="n">
        <v>3</v>
      </c>
      <c r="K4288" s="2" t="inlineStr">
        <is>
          <t>marker_125_818497.png</t>
        </is>
      </c>
      <c r="L4288" s="36">
        <f>HYPERLINK("NoConsenso\" &amp; K4288, "Ver Imagen")</f>
        <v/>
      </c>
      <c r="M4288" t="inlineStr">
        <is>
          <t>Mediana</t>
        </is>
      </c>
    </row>
    <row r="4289">
      <c r="A4289" s="33" t="n">
        <v>4288</v>
      </c>
      <c r="B4289" t="inlineStr">
        <is>
          <t>A-490__598</t>
        </is>
      </c>
      <c r="C4289" s="1" t="n">
        <v>37.4917591405</v>
      </c>
      <c r="D4289" s="1" t="n">
        <v>-7.26126842694</v>
      </c>
      <c r="E4289" s="3" t="n">
        <v>2</v>
      </c>
      <c r="F4289" s="2" t="n">
        <v>4</v>
      </c>
      <c r="G4289" s="4" t="n">
        <v>4</v>
      </c>
      <c r="H4289" s="13" t="n">
        <v>3</v>
      </c>
      <c r="I4289" s="34" t="n">
        <v>4</v>
      </c>
      <c r="J4289" s="35" t="n">
        <v>4</v>
      </c>
      <c r="K4289" s="2" t="inlineStr">
        <is>
          <t>marker_928_819737.png</t>
        </is>
      </c>
      <c r="L4289" s="36">
        <f>HYPERLINK("NoConsenso\" &amp; K4289, "Ver Imagen")</f>
        <v/>
      </c>
      <c r="M4289" t="inlineStr">
        <is>
          <t>Mediana</t>
        </is>
      </c>
    </row>
    <row r="4290">
      <c r="A4290" s="33" t="n">
        <v>4289</v>
      </c>
      <c r="B4290" t="inlineStr">
        <is>
          <t>A-490__627</t>
        </is>
      </c>
      <c r="C4290" s="1" t="n">
        <v>37.4949984504</v>
      </c>
      <c r="D4290" s="1" t="n">
        <v>-7.26733666174</v>
      </c>
      <c r="E4290" s="3" t="n">
        <v>2</v>
      </c>
      <c r="F4290" s="2" t="n">
        <v>3</v>
      </c>
      <c r="G4290" s="4" t="n">
        <v>4</v>
      </c>
      <c r="H4290" s="13" t="n">
        <v>2</v>
      </c>
      <c r="I4290" s="34" t="n">
        <v>3</v>
      </c>
      <c r="J4290" s="35" t="n">
        <v>3</v>
      </c>
      <c r="K4290" s="2" t="inlineStr">
        <is>
          <t>marker_613_820389.png</t>
        </is>
      </c>
      <c r="L4290" s="36">
        <f>HYPERLINK("NoConsenso\" &amp; K4290, "Ver Imagen")</f>
        <v/>
      </c>
      <c r="M4290" t="inlineStr">
        <is>
          <t>Mediana</t>
        </is>
      </c>
    </row>
    <row r="4291">
      <c r="A4291" s="33" t="n">
        <v>4290</v>
      </c>
      <c r="B4291" t="inlineStr">
        <is>
          <t>A-492__6</t>
        </is>
      </c>
      <c r="C4291" s="1" t="n">
        <v>37.2725971646</v>
      </c>
      <c r="D4291" s="1" t="n">
        <v>-6.99110387591</v>
      </c>
      <c r="E4291" s="3" t="n">
        <v>2</v>
      </c>
      <c r="F4291" s="2" t="n">
        <v>3</v>
      </c>
      <c r="G4291" s="4" t="n">
        <v>4</v>
      </c>
      <c r="H4291" s="13" t="n">
        <v>3</v>
      </c>
      <c r="I4291" s="34" t="n">
        <v>4</v>
      </c>
      <c r="J4291" s="35" t="n">
        <v>3</v>
      </c>
      <c r="K4291" s="2" t="inlineStr">
        <is>
          <t>marker_501_821562.png</t>
        </is>
      </c>
      <c r="L4291" s="36">
        <f>HYPERLINK("NoConsenso\" &amp; K4291, "Ver Imagen")</f>
        <v/>
      </c>
      <c r="M4291" t="inlineStr">
        <is>
          <t>Mediana</t>
        </is>
      </c>
    </row>
    <row r="4292">
      <c r="A4292" s="33" t="n">
        <v>4291</v>
      </c>
      <c r="B4292" t="inlineStr">
        <is>
          <t>A-492__7</t>
        </is>
      </c>
      <c r="C4292" s="1" t="n">
        <v>37.2728202554</v>
      </c>
      <c r="D4292" s="1" t="n">
        <v>-6.99121747029</v>
      </c>
      <c r="E4292" s="3" t="n">
        <v>2</v>
      </c>
      <c r="F4292" s="2" t="n">
        <v>3</v>
      </c>
      <c r="G4292" s="4" t="n">
        <v>4</v>
      </c>
      <c r="H4292" s="13" t="n">
        <v>3</v>
      </c>
      <c r="I4292" s="34" t="n">
        <v>4</v>
      </c>
      <c r="J4292" s="35" t="n">
        <v>3</v>
      </c>
      <c r="K4292" s="2" t="inlineStr">
        <is>
          <t>marker_265_821575.png</t>
        </is>
      </c>
      <c r="L4292" s="36">
        <f>HYPERLINK("NoConsenso\" &amp; K4292, "Ver Imagen")</f>
        <v/>
      </c>
      <c r="M4292" t="inlineStr">
        <is>
          <t>Mediana</t>
        </is>
      </c>
    </row>
    <row r="4293">
      <c r="A4293" s="33" t="n">
        <v>4292</v>
      </c>
      <c r="B4293" t="inlineStr">
        <is>
          <t>A-492__16</t>
        </is>
      </c>
      <c r="C4293" s="1" t="n">
        <v>37.2745687026</v>
      </c>
      <c r="D4293" s="1" t="n">
        <v>-6.99125307453</v>
      </c>
      <c r="E4293" s="3" t="n">
        <v>2</v>
      </c>
      <c r="F4293" s="2" t="n">
        <v>4</v>
      </c>
      <c r="G4293" s="4" t="n">
        <v>4</v>
      </c>
      <c r="H4293" s="13" t="n">
        <v>3</v>
      </c>
      <c r="I4293" s="34" t="n">
        <v>4</v>
      </c>
      <c r="J4293" s="35" t="n">
        <v>4</v>
      </c>
      <c r="K4293" s="2" t="inlineStr">
        <is>
          <t>marker_114_821971.png</t>
        </is>
      </c>
      <c r="L4293" s="36">
        <f>HYPERLINK("NoConsenso\" &amp; K4293, "Ver Imagen")</f>
        <v/>
      </c>
      <c r="M4293" t="inlineStr">
        <is>
          <t>Mediana</t>
        </is>
      </c>
    </row>
    <row r="4294">
      <c r="A4294" s="33" t="n">
        <v>4293</v>
      </c>
      <c r="B4294" t="inlineStr">
        <is>
          <t>A-492__29</t>
        </is>
      </c>
      <c r="C4294" s="1" t="n">
        <v>37.2767608199</v>
      </c>
      <c r="D4294" s="1" t="n">
        <v>-6.99155434357</v>
      </c>
      <c r="E4294" s="3" t="n">
        <v>2</v>
      </c>
      <c r="F4294" s="2" t="n">
        <v>3</v>
      </c>
      <c r="G4294" s="4" t="n">
        <v>4</v>
      </c>
      <c r="H4294" s="13" t="n">
        <v>3</v>
      </c>
      <c r="I4294" s="34" t="n">
        <v>4</v>
      </c>
      <c r="J4294" s="37" t="n">
        <v>4</v>
      </c>
      <c r="K4294" s="2" t="inlineStr">
        <is>
          <t>marker_401_822297.png</t>
        </is>
      </c>
      <c r="L4294" s="36">
        <f>HYPERLINK("NoConsenso\" &amp; K4294, "Ver Imagen")</f>
        <v/>
      </c>
      <c r="M4294" s="37" t="inlineStr">
        <is>
          <t>Modificada</t>
        </is>
      </c>
    </row>
    <row r="4295">
      <c r="A4295" s="33" t="n">
        <v>4294</v>
      </c>
      <c r="B4295" t="inlineStr">
        <is>
          <t>A-492__84</t>
        </is>
      </c>
      <c r="C4295" s="1" t="n">
        <v>37.280702718</v>
      </c>
      <c r="D4295" s="1" t="n">
        <v>-7.00351023706</v>
      </c>
      <c r="E4295" s="3" t="n">
        <v>4</v>
      </c>
      <c r="F4295" s="2" t="n">
        <v>2</v>
      </c>
      <c r="G4295" s="4" t="n">
        <v>4</v>
      </c>
      <c r="H4295" s="13" t="n">
        <v>2</v>
      </c>
      <c r="I4295" s="34" t="n">
        <v>1</v>
      </c>
      <c r="J4295" s="35" t="n">
        <v>2</v>
      </c>
      <c r="K4295" s="2" t="inlineStr">
        <is>
          <t>marker_739_823543.png</t>
        </is>
      </c>
      <c r="L4295" s="36">
        <f>HYPERLINK("NoConsenso\" &amp; K4295, "Ver Imagen")</f>
        <v/>
      </c>
      <c r="M4295" t="inlineStr">
        <is>
          <t>Mediana</t>
        </is>
      </c>
    </row>
    <row r="4296">
      <c r="A4296" s="33" t="n">
        <v>4295</v>
      </c>
      <c r="B4296" t="inlineStr">
        <is>
          <t>A-492__138</t>
        </is>
      </c>
      <c r="C4296" s="1" t="n">
        <v>37.2757974875</v>
      </c>
      <c r="D4296" s="1" t="n">
        <v>-7.01545150247</v>
      </c>
      <c r="E4296" s="3" t="n">
        <v>2</v>
      </c>
      <c r="F4296" s="2" t="n">
        <v>4</v>
      </c>
      <c r="G4296" s="4" t="n">
        <v>4</v>
      </c>
      <c r="H4296" s="13" t="n">
        <v>3</v>
      </c>
      <c r="I4296" s="34" t="n">
        <v>2</v>
      </c>
      <c r="J4296" s="35" t="n">
        <v>3</v>
      </c>
      <c r="K4296" s="2" t="inlineStr">
        <is>
          <t>marker_840_824643.png</t>
        </is>
      </c>
      <c r="L4296" s="36">
        <f>HYPERLINK("NoConsenso\" &amp; K4296, "Ver Imagen")</f>
        <v/>
      </c>
      <c r="M4296" t="inlineStr">
        <is>
          <t>Mediana</t>
        </is>
      </c>
    </row>
    <row r="4297">
      <c r="A4297" s="33" t="n">
        <v>4296</v>
      </c>
      <c r="B4297" t="inlineStr">
        <is>
          <t>A-492__414</t>
        </is>
      </c>
      <c r="C4297" s="1" t="n">
        <v>37.3112675325</v>
      </c>
      <c r="D4297" s="1" t="n">
        <v>-7.05932149383</v>
      </c>
      <c r="E4297" s="3" t="n">
        <v>2</v>
      </c>
      <c r="F4297" s="2" t="n">
        <v>3</v>
      </c>
      <c r="G4297" s="4" t="n">
        <v>4</v>
      </c>
      <c r="H4297" s="13" t="n">
        <v>3</v>
      </c>
      <c r="I4297" s="34" t="n">
        <v>3</v>
      </c>
      <c r="J4297" s="35" t="n">
        <v>3</v>
      </c>
      <c r="K4297" s="2" t="inlineStr">
        <is>
          <t>marker_787_839331.png</t>
        </is>
      </c>
      <c r="L4297" s="36">
        <f>HYPERLINK("NoConsenso\" &amp; K4297, "Ver Imagen")</f>
        <v/>
      </c>
      <c r="M4297" t="inlineStr">
        <is>
          <t>Mediana</t>
        </is>
      </c>
    </row>
    <row r="4298">
      <c r="A4298" s="33" t="n">
        <v>4297</v>
      </c>
      <c r="B4298" t="inlineStr">
        <is>
          <t>A-492__456</t>
        </is>
      </c>
      <c r="C4298" s="1" t="n">
        <v>37.3157216183</v>
      </c>
      <c r="D4298" s="1" t="n">
        <v>-7.06825555239</v>
      </c>
      <c r="E4298" s="3" t="n">
        <v>2</v>
      </c>
      <c r="F4298" s="2" t="n">
        <v>3</v>
      </c>
      <c r="G4298" s="4" t="n">
        <v>4</v>
      </c>
      <c r="H4298" s="13" t="n">
        <v>3</v>
      </c>
      <c r="I4298" s="34" t="n">
        <v>4</v>
      </c>
      <c r="J4298" s="35" t="n">
        <v>3</v>
      </c>
      <c r="K4298" s="2" t="inlineStr">
        <is>
          <t>marker_353_839879.png</t>
        </is>
      </c>
      <c r="L4298" s="36">
        <f>HYPERLINK("NoConsenso\" &amp; K4298, "Ver Imagen")</f>
        <v/>
      </c>
      <c r="M4298" t="inlineStr">
        <is>
          <t>Mediana</t>
        </is>
      </c>
    </row>
    <row r="4299">
      <c r="A4299" s="33" t="n">
        <v>4298</v>
      </c>
      <c r="B4299" t="inlineStr">
        <is>
          <t>A-492__474</t>
        </is>
      </c>
      <c r="C4299" s="1" t="n">
        <v>37.3181879276</v>
      </c>
      <c r="D4299" s="1" t="n">
        <v>-7.07128492463</v>
      </c>
      <c r="E4299" s="3" t="n">
        <v>4</v>
      </c>
      <c r="F4299" s="2" t="n">
        <v>2</v>
      </c>
      <c r="G4299" s="4" t="n">
        <v>4</v>
      </c>
      <c r="H4299" s="13" t="n">
        <v>2</v>
      </c>
      <c r="I4299" s="34" t="n">
        <v>1</v>
      </c>
      <c r="J4299" s="35" t="n">
        <v>2</v>
      </c>
      <c r="K4299" s="2" t="inlineStr">
        <is>
          <t>marker_216_840092.png</t>
        </is>
      </c>
      <c r="L4299" s="36">
        <f>HYPERLINK("NoConsenso\" &amp; K4299, "Ver Imagen")</f>
        <v/>
      </c>
      <c r="M4299" t="inlineStr">
        <is>
          <t>Mediana</t>
        </is>
      </c>
    </row>
    <row r="4300">
      <c r="A4300" s="33" t="n">
        <v>4299</v>
      </c>
      <c r="B4300" t="inlineStr">
        <is>
          <t>A-495R__67</t>
        </is>
      </c>
      <c r="C4300" s="1" t="n">
        <v>37.457519638</v>
      </c>
      <c r="D4300" s="1" t="n">
        <v>-7.11409879255</v>
      </c>
      <c r="E4300" s="3" t="n">
        <v>3</v>
      </c>
      <c r="F4300" s="2" t="n">
        <v>5</v>
      </c>
      <c r="G4300" s="4" t="n">
        <v>4</v>
      </c>
      <c r="H4300" s="13" t="n">
        <v>3</v>
      </c>
      <c r="I4300" s="34" t="n">
        <v>4</v>
      </c>
      <c r="J4300" s="35" t="n">
        <v>4</v>
      </c>
      <c r="K4300" s="2" t="inlineStr">
        <is>
          <t>marker_252_935280.png</t>
        </is>
      </c>
      <c r="L4300" s="36">
        <f>HYPERLINK("NoConsenso\" &amp; K4300, "Ver Imagen")</f>
        <v/>
      </c>
      <c r="M4300" t="inlineStr">
        <is>
          <t>Mediana</t>
        </is>
      </c>
    </row>
    <row r="4301">
      <c r="A4301" s="33" t="n">
        <v>4300</v>
      </c>
      <c r="B4301" t="inlineStr">
        <is>
          <t>A-497__87</t>
        </is>
      </c>
      <c r="C4301" s="1" t="n">
        <v>37.2694194334</v>
      </c>
      <c r="D4301" s="1" t="n">
        <v>-6.97743778854</v>
      </c>
      <c r="E4301" s="3" t="n">
        <v>2</v>
      </c>
      <c r="F4301" s="2" t="n">
        <v>4</v>
      </c>
      <c r="G4301" s="4" t="n">
        <v>4</v>
      </c>
      <c r="H4301" s="13" t="n">
        <v>3</v>
      </c>
      <c r="I4301" s="34" t="n">
        <v>4</v>
      </c>
      <c r="J4301" s="35" t="n">
        <v>4</v>
      </c>
      <c r="K4301" s="2" t="inlineStr">
        <is>
          <t>marker_460_937382.png</t>
        </is>
      </c>
      <c r="L4301" s="36">
        <f>HYPERLINK("NoConsenso\" &amp; K4301, "Ver Imagen")</f>
        <v/>
      </c>
      <c r="M4301" t="inlineStr">
        <is>
          <t>Mediana</t>
        </is>
      </c>
    </row>
    <row r="4302">
      <c r="A4302" s="33" t="n">
        <v>4301</v>
      </c>
      <c r="B4302" t="inlineStr">
        <is>
          <t>A-497__2</t>
        </is>
      </c>
      <c r="C4302" s="1" t="n">
        <v>37.2673092948</v>
      </c>
      <c r="D4302" s="1" t="n">
        <v>-6.95749509357</v>
      </c>
      <c r="E4302" s="3" t="n">
        <v>2</v>
      </c>
      <c r="F4302" s="2" t="n">
        <v>4</v>
      </c>
      <c r="G4302" s="4" t="n">
        <v>4</v>
      </c>
      <c r="H4302" s="13" t="n">
        <v>3</v>
      </c>
      <c r="I4302" s="34" t="n">
        <v>3</v>
      </c>
      <c r="J4302" s="35" t="n">
        <v>3</v>
      </c>
      <c r="K4302" s="2" t="inlineStr">
        <is>
          <t>marker_643_944060.png</t>
        </is>
      </c>
      <c r="L4302" s="36">
        <f>HYPERLINK("NoConsenso\" &amp; K4302, "Ver Imagen")</f>
        <v/>
      </c>
      <c r="M4302" t="inlineStr">
        <is>
          <t>Mediana</t>
        </is>
      </c>
    </row>
    <row r="4303">
      <c r="A4303" s="33" t="n">
        <v>4302</v>
      </c>
      <c r="B4303" t="inlineStr">
        <is>
          <t>A-5050__171</t>
        </is>
      </c>
      <c r="C4303" s="1" t="n">
        <v>37.1909948555</v>
      </c>
      <c r="D4303" s="1" t="n">
        <v>-6.99098168087</v>
      </c>
      <c r="E4303" s="3" t="n">
        <v>2</v>
      </c>
      <c r="F4303" s="2" t="n">
        <v>3</v>
      </c>
      <c r="G4303" s="4" t="n">
        <v>4</v>
      </c>
      <c r="H4303" s="13" t="n">
        <v>3</v>
      </c>
      <c r="I4303" s="34" t="n">
        <v>4</v>
      </c>
      <c r="J4303" s="35" t="n">
        <v>3</v>
      </c>
      <c r="K4303" s="2" t="inlineStr">
        <is>
          <t>marker_117_944273.png</t>
        </is>
      </c>
      <c r="L4303" s="36">
        <f>HYPERLINK("NoConsenso\" &amp; K4303, "Ver Imagen")</f>
        <v/>
      </c>
      <c r="M4303" t="inlineStr">
        <is>
          <t>Mediana</t>
        </is>
      </c>
    </row>
    <row r="4304">
      <c r="A4304" s="33" t="n">
        <v>4303</v>
      </c>
      <c r="B4304" t="inlineStr">
        <is>
          <t>A-5050__170</t>
        </is>
      </c>
      <c r="C4304" s="1" t="n">
        <v>37.191097422</v>
      </c>
      <c r="D4304" s="1" t="n">
        <v>-6.99119152039</v>
      </c>
      <c r="E4304" s="3" t="n">
        <v>2</v>
      </c>
      <c r="F4304" s="2" t="n">
        <v>3</v>
      </c>
      <c r="G4304" s="4" t="n">
        <v>4</v>
      </c>
      <c r="H4304" s="13" t="n">
        <v>3</v>
      </c>
      <c r="I4304" s="34" t="n">
        <v>4</v>
      </c>
      <c r="J4304" s="35" t="n">
        <v>3</v>
      </c>
      <c r="K4304" s="2" t="inlineStr">
        <is>
          <t>marker_693_944287.png</t>
        </is>
      </c>
      <c r="L4304" s="36">
        <f>HYPERLINK("NoConsenso\" &amp; K4304, "Ver Imagen")</f>
        <v/>
      </c>
      <c r="M4304" t="inlineStr">
        <is>
          <t>Mediana</t>
        </is>
      </c>
    </row>
    <row r="4305">
      <c r="A4305" s="33" t="n">
        <v>4304</v>
      </c>
      <c r="B4305" t="inlineStr">
        <is>
          <t>A-5052__19</t>
        </is>
      </c>
      <c r="C4305" s="1" t="n">
        <v>37.2179662255</v>
      </c>
      <c r="D4305" s="1" t="n">
        <v>-7.12128775492</v>
      </c>
      <c r="E4305" s="3" t="n">
        <v>5</v>
      </c>
      <c r="F4305" s="2" t="n">
        <v>3</v>
      </c>
      <c r="G4305" s="4" t="n">
        <v>4</v>
      </c>
      <c r="H4305" s="13" t="n">
        <v>4</v>
      </c>
      <c r="I4305" s="34" t="n">
        <v>4</v>
      </c>
      <c r="J4305" s="35" t="n">
        <v>4</v>
      </c>
      <c r="K4305" s="2" t="inlineStr">
        <is>
          <t>marker_254_950289.png</t>
        </is>
      </c>
      <c r="L4305" s="36">
        <f>HYPERLINK("NoConsenso\" &amp; K4305, "Ver Imagen")</f>
        <v/>
      </c>
      <c r="M4305" t="inlineStr">
        <is>
          <t>Mediana</t>
        </is>
      </c>
    </row>
    <row r="4306">
      <c r="A4306" s="33" t="n">
        <v>4305</v>
      </c>
      <c r="B4306" t="inlineStr">
        <is>
          <t>A-5058__207</t>
        </is>
      </c>
      <c r="C4306" s="1" t="n">
        <v>37.2359923304</v>
      </c>
      <c r="D4306" s="1" t="n">
        <v>-7.07479097954</v>
      </c>
      <c r="E4306" s="3" t="n">
        <v>4</v>
      </c>
      <c r="F4306" s="2" t="n">
        <v>2</v>
      </c>
      <c r="G4306" s="4" t="n">
        <v>4</v>
      </c>
      <c r="H4306" s="13" t="n">
        <v>2</v>
      </c>
      <c r="I4306" s="34" t="n">
        <v>3</v>
      </c>
      <c r="J4306" s="35" t="n">
        <v>3</v>
      </c>
      <c r="K4306" s="2" t="inlineStr">
        <is>
          <t>marker_395_382979.png</t>
        </is>
      </c>
      <c r="L4306" s="36">
        <f>HYPERLINK("NoConsenso\" &amp; K4306, "Ver Imagen")</f>
        <v/>
      </c>
      <c r="M4306" t="inlineStr">
        <is>
          <t>Mediana</t>
        </is>
      </c>
    </row>
    <row r="4307">
      <c r="A4307" s="33" t="n">
        <v>4306</v>
      </c>
      <c r="B4307" t="inlineStr">
        <is>
          <t>A-5058__292</t>
        </is>
      </c>
      <c r="C4307" s="1" t="n">
        <v>37.2452487614</v>
      </c>
      <c r="D4307" s="1" t="n">
        <v>-7.09270327231</v>
      </c>
      <c r="E4307" s="3" t="n">
        <v>4</v>
      </c>
      <c r="F4307" s="2" t="n">
        <v>2</v>
      </c>
      <c r="G4307" s="4" t="n">
        <v>4</v>
      </c>
      <c r="H4307" s="13" t="n">
        <v>3</v>
      </c>
      <c r="I4307" s="34" t="n">
        <v>3</v>
      </c>
      <c r="J4307" s="35" t="n">
        <v>3</v>
      </c>
      <c r="K4307" s="2" t="inlineStr">
        <is>
          <t>marker_197_384170.png</t>
        </is>
      </c>
      <c r="L4307" s="36">
        <f>HYPERLINK("NoConsenso\" &amp; K4307, "Ver Imagen")</f>
        <v/>
      </c>
      <c r="M4307" t="inlineStr">
        <is>
          <t>Mediana</t>
        </is>
      </c>
    </row>
    <row r="4308">
      <c r="A4308" s="33" t="n">
        <v>4307</v>
      </c>
      <c r="B4308" t="inlineStr">
        <is>
          <t>A-5058__303</t>
        </is>
      </c>
      <c r="C4308" s="1" t="n">
        <v>37.2455477796</v>
      </c>
      <c r="D4308" s="1" t="n">
        <v>-7.09547145897</v>
      </c>
      <c r="E4308" s="3" t="n">
        <v>4</v>
      </c>
      <c r="F4308" s="2" t="n">
        <v>2</v>
      </c>
      <c r="G4308" s="4" t="n">
        <v>4</v>
      </c>
      <c r="H4308" s="13" t="n">
        <v>2</v>
      </c>
      <c r="I4308" s="34" t="n">
        <v>3</v>
      </c>
      <c r="J4308" s="35" t="n">
        <v>3</v>
      </c>
      <c r="K4308" s="2" t="inlineStr">
        <is>
          <t>marker_335_384312.png</t>
        </is>
      </c>
      <c r="L4308" s="36">
        <f>HYPERLINK("NoConsenso\" &amp; K4308, "Ver Imagen")</f>
        <v/>
      </c>
      <c r="M4308" t="inlineStr">
        <is>
          <t>Mediana</t>
        </is>
      </c>
    </row>
    <row r="4309">
      <c r="A4309" s="33" t="n">
        <v>4308</v>
      </c>
      <c r="B4309" t="inlineStr">
        <is>
          <t>A-5058__441</t>
        </is>
      </c>
      <c r="C4309" s="1" t="n">
        <v>37.2587932558</v>
      </c>
      <c r="D4309" s="1" t="n">
        <v>-7.122306901</v>
      </c>
      <c r="E4309" s="3" t="n">
        <v>4</v>
      </c>
      <c r="F4309" s="2" t="n">
        <v>2</v>
      </c>
      <c r="G4309" s="4" t="n">
        <v>4</v>
      </c>
      <c r="H4309" s="13" t="n">
        <v>3</v>
      </c>
      <c r="I4309" s="34" t="n">
        <v>3</v>
      </c>
      <c r="J4309" s="35" t="n">
        <v>3</v>
      </c>
      <c r="K4309" s="2" t="inlineStr">
        <is>
          <t>marker_763_388984.png</t>
        </is>
      </c>
      <c r="L4309" s="36">
        <f>HYPERLINK("NoConsenso\" &amp; K4309, "Ver Imagen")</f>
        <v/>
      </c>
      <c r="M4309" t="inlineStr">
        <is>
          <t>Mediana</t>
        </is>
      </c>
    </row>
    <row r="4310">
      <c r="A4310" s="33" t="n">
        <v>4309</v>
      </c>
      <c r="B4310" t="inlineStr">
        <is>
          <t>A-495_1__158</t>
        </is>
      </c>
      <c r="C4310" s="1" t="n">
        <v>37.4780921745</v>
      </c>
      <c r="D4310" s="1" t="n">
        <v>-7.12739463089</v>
      </c>
      <c r="E4310" s="3" t="n">
        <v>4</v>
      </c>
      <c r="F4310" s="2" t="n">
        <v>2</v>
      </c>
      <c r="G4310" s="4" t="n">
        <v>4</v>
      </c>
      <c r="H4310" s="13" t="n">
        <v>3</v>
      </c>
      <c r="I4310" s="34" t="n">
        <v>3</v>
      </c>
      <c r="J4310" s="35" t="n">
        <v>3</v>
      </c>
      <c r="K4310" s="2" t="inlineStr">
        <is>
          <t>marker_336_384111.png</t>
        </is>
      </c>
      <c r="L4310" s="36">
        <f>HYPERLINK("NoConsenso\" &amp; K4310, "Ver Imagen")</f>
        <v/>
      </c>
      <c r="M4310" t="inlineStr">
        <is>
          <t>Mediana</t>
        </is>
      </c>
    </row>
    <row r="4311">
      <c r="A4311" s="33" t="n">
        <v>4310</v>
      </c>
      <c r="B4311" t="inlineStr">
        <is>
          <t>A-495_1__131</t>
        </is>
      </c>
      <c r="C4311" s="1" t="n">
        <v>37.4731595006</v>
      </c>
      <c r="D4311" s="1" t="n">
        <v>-7.12638660446</v>
      </c>
      <c r="E4311" s="3" t="n">
        <v>4</v>
      </c>
      <c r="F4311" s="2" t="n">
        <v>2</v>
      </c>
      <c r="G4311" s="4" t="n">
        <v>4</v>
      </c>
      <c r="H4311" s="13" t="n">
        <v>3</v>
      </c>
      <c r="I4311" s="34" t="n">
        <v>3</v>
      </c>
      <c r="J4311" s="35" t="n">
        <v>3</v>
      </c>
      <c r="K4311" s="2" t="inlineStr">
        <is>
          <t>marker_943_384467.png</t>
        </is>
      </c>
      <c r="L4311" s="36">
        <f>HYPERLINK("NoConsenso\" &amp; K4311, "Ver Imagen")</f>
        <v/>
      </c>
      <c r="M4311" t="inlineStr">
        <is>
          <t>Mediana</t>
        </is>
      </c>
    </row>
    <row r="4312">
      <c r="A4312" s="33" t="n">
        <v>4311</v>
      </c>
      <c r="B4312" t="inlineStr">
        <is>
          <t>A-495_1__129</t>
        </is>
      </c>
      <c r="C4312" s="1" t="n">
        <v>37.472764194</v>
      </c>
      <c r="D4312" s="1" t="n">
        <v>-7.12641339481</v>
      </c>
      <c r="E4312" s="3" t="n">
        <v>4</v>
      </c>
      <c r="F4312" s="2" t="n">
        <v>2</v>
      </c>
      <c r="G4312" s="4" t="n">
        <v>4</v>
      </c>
      <c r="H4312" s="13" t="n">
        <v>3</v>
      </c>
      <c r="I4312" s="34" t="n">
        <v>3</v>
      </c>
      <c r="J4312" s="35" t="n">
        <v>3</v>
      </c>
      <c r="K4312" s="2" t="inlineStr">
        <is>
          <t>marker_565_384484.png</t>
        </is>
      </c>
      <c r="L4312" s="36">
        <f>HYPERLINK("NoConsenso\" &amp; K4312, "Ver Imagen")</f>
        <v/>
      </c>
      <c r="M4312" t="inlineStr">
        <is>
          <t>Mediana</t>
        </is>
      </c>
    </row>
    <row r="4313">
      <c r="A4313" s="33" t="n">
        <v>4312</v>
      </c>
      <c r="B4313" t="inlineStr">
        <is>
          <t>A-495_1__124</t>
        </is>
      </c>
      <c r="C4313" s="1" t="n">
        <v>37.4718145799</v>
      </c>
      <c r="D4313" s="1" t="n">
        <v>-7.12606449124</v>
      </c>
      <c r="E4313" s="3" t="n">
        <v>4</v>
      </c>
      <c r="F4313" s="2" t="n">
        <v>2</v>
      </c>
      <c r="G4313" s="4" t="n">
        <v>4</v>
      </c>
      <c r="H4313" s="13" t="n">
        <v>3</v>
      </c>
      <c r="I4313" s="34" t="n">
        <v>3</v>
      </c>
      <c r="J4313" s="35" t="n">
        <v>3</v>
      </c>
      <c r="K4313" s="2" t="inlineStr">
        <is>
          <t>marker_383_384530.png</t>
        </is>
      </c>
      <c r="L4313" s="36">
        <f>HYPERLINK("NoConsenso\" &amp; K4313, "Ver Imagen")</f>
        <v/>
      </c>
      <c r="M4313" t="inlineStr">
        <is>
          <t>Mediana</t>
        </is>
      </c>
    </row>
    <row r="4314">
      <c r="A4314" s="33" t="n">
        <v>4313</v>
      </c>
      <c r="B4314" t="inlineStr">
        <is>
          <t>A-499__68</t>
        </is>
      </c>
      <c r="C4314" s="1" t="n">
        <v>37.4953877031</v>
      </c>
      <c r="D4314" s="1" t="n">
        <v>-7.27079252214</v>
      </c>
      <c r="E4314" s="3" t="n">
        <v>4</v>
      </c>
      <c r="F4314" s="2" t="n">
        <v>2</v>
      </c>
      <c r="G4314" s="4" t="n">
        <v>4</v>
      </c>
      <c r="H4314" s="13" t="n">
        <v>2</v>
      </c>
      <c r="I4314" s="34" t="n">
        <v>2</v>
      </c>
      <c r="J4314" s="35" t="n">
        <v>2</v>
      </c>
      <c r="K4314" s="2" t="inlineStr">
        <is>
          <t>marker_182_535153.png</t>
        </is>
      </c>
      <c r="L4314" s="36">
        <f>HYPERLINK("NoConsenso\" &amp; K4314, "Ver Imagen")</f>
        <v/>
      </c>
      <c r="M4314" t="inlineStr">
        <is>
          <t>Mediana</t>
        </is>
      </c>
    </row>
    <row r="4315">
      <c r="A4315" s="33" t="n">
        <v>4314</v>
      </c>
      <c r="B4315" t="inlineStr">
        <is>
          <t>A-499__69</t>
        </is>
      </c>
      <c r="C4315" s="1" t="n">
        <v>37.4954168096</v>
      </c>
      <c r="D4315" s="1" t="n">
        <v>-7.27051888667</v>
      </c>
      <c r="E4315" s="3" t="n">
        <v>4</v>
      </c>
      <c r="F4315" s="2" t="n">
        <v>2</v>
      </c>
      <c r="G4315" s="4" t="n">
        <v>4</v>
      </c>
      <c r="H4315" s="13" t="n">
        <v>2</v>
      </c>
      <c r="I4315" s="34" t="n">
        <v>3</v>
      </c>
      <c r="J4315" s="35" t="n">
        <v>3</v>
      </c>
      <c r="K4315" s="2" t="inlineStr">
        <is>
          <t>marker_244_535167.png</t>
        </is>
      </c>
      <c r="L4315" s="36">
        <f>HYPERLINK("NoConsenso\" &amp; K4315, "Ver Imagen")</f>
        <v/>
      </c>
      <c r="M4315" t="inlineStr">
        <is>
          <t>Mediana</t>
        </is>
      </c>
    </row>
    <row r="4316">
      <c r="A4316" s="33" t="n">
        <v>4315</v>
      </c>
      <c r="B4316" t="inlineStr">
        <is>
          <t>A-499__84</t>
        </is>
      </c>
      <c r="C4316" s="1" t="n">
        <v>37.4956381153</v>
      </c>
      <c r="D4316" s="1" t="n">
        <v>-7.2680389755</v>
      </c>
      <c r="E4316" s="3" t="n">
        <v>4</v>
      </c>
      <c r="F4316" s="2" t="n">
        <v>3</v>
      </c>
      <c r="G4316" s="4" t="n">
        <v>5</v>
      </c>
      <c r="H4316" s="13" t="n">
        <v>3</v>
      </c>
      <c r="I4316" s="34" t="n">
        <v>4</v>
      </c>
      <c r="J4316" s="35" t="n">
        <v>4</v>
      </c>
      <c r="K4316" s="2" t="inlineStr">
        <is>
          <t>marker_815_789375.png</t>
        </is>
      </c>
      <c r="L4316" s="36">
        <f>HYPERLINK("NoConsenso\" &amp; K4316, "Ver Imagen")</f>
        <v/>
      </c>
      <c r="M4316" t="inlineStr">
        <is>
          <t>Mediana</t>
        </is>
      </c>
    </row>
    <row r="4317">
      <c r="A4317" s="33" t="n">
        <v>4316</v>
      </c>
      <c r="B4317" t="inlineStr">
        <is>
          <t>A-497__709</t>
        </is>
      </c>
      <c r="C4317" s="1" t="n">
        <v>37.1951487636</v>
      </c>
      <c r="D4317" s="1" t="n">
        <v>-6.97795630043</v>
      </c>
      <c r="E4317" s="3" t="n">
        <v>4</v>
      </c>
      <c r="F4317" s="2" t="n">
        <v>2</v>
      </c>
      <c r="G4317" s="4" t="n">
        <v>4</v>
      </c>
      <c r="H4317" s="13" t="n">
        <v>3</v>
      </c>
      <c r="I4317" s="34" t="n">
        <v>3</v>
      </c>
      <c r="J4317" s="35" t="n">
        <v>3</v>
      </c>
      <c r="K4317" s="2" t="inlineStr">
        <is>
          <t>marker_399_370288.png</t>
        </is>
      </c>
      <c r="L4317" s="36">
        <f>HYPERLINK("NoConsenso\" &amp; K4317, "Ver Imagen")</f>
        <v/>
      </c>
      <c r="M4317" t="inlineStr">
        <is>
          <t>Mediana</t>
        </is>
      </c>
    </row>
    <row r="4318">
      <c r="A4318" s="33" t="n">
        <v>4317</v>
      </c>
      <c r="B4318" t="inlineStr">
        <is>
          <t>A-497__669</t>
        </is>
      </c>
      <c r="C4318" s="1" t="n">
        <v>37.1999319458</v>
      </c>
      <c r="D4318" s="1" t="n">
        <v>-6.98557370737</v>
      </c>
      <c r="E4318" s="3" t="n">
        <v>4</v>
      </c>
      <c r="F4318" s="2" t="n">
        <v>2</v>
      </c>
      <c r="G4318" s="4" t="n">
        <v>4</v>
      </c>
      <c r="H4318" s="13" t="n">
        <v>2</v>
      </c>
      <c r="I4318" s="34" t="n">
        <v>2</v>
      </c>
      <c r="J4318" s="35" t="n">
        <v>2</v>
      </c>
      <c r="K4318" s="2" t="inlineStr">
        <is>
          <t>marker_111_371034.png</t>
        </is>
      </c>
      <c r="L4318" s="36">
        <f>HYPERLINK("NoConsenso\" &amp; K4318, "Ver Imagen")</f>
        <v/>
      </c>
      <c r="M4318" t="inlineStr">
        <is>
          <t>Mediana</t>
        </is>
      </c>
    </row>
    <row r="4319">
      <c r="A4319" s="33" t="n">
        <v>4318</v>
      </c>
      <c r="B4319" t="inlineStr">
        <is>
          <t>A-497__659</t>
        </is>
      </c>
      <c r="C4319" s="1" t="n">
        <v>37.2005253429</v>
      </c>
      <c r="D4319" s="1" t="n">
        <v>-6.9880467531</v>
      </c>
      <c r="E4319" s="3" t="n">
        <v>4</v>
      </c>
      <c r="F4319" s="2" t="n">
        <v>2</v>
      </c>
      <c r="G4319" s="4" t="n">
        <v>4</v>
      </c>
      <c r="H4319" s="13" t="n">
        <v>2</v>
      </c>
      <c r="I4319" s="34" t="n">
        <v>1</v>
      </c>
      <c r="J4319" s="35" t="n">
        <v>2</v>
      </c>
      <c r="K4319" s="2" t="inlineStr">
        <is>
          <t>marker_529_371156.png</t>
        </is>
      </c>
      <c r="L4319" s="36">
        <f>HYPERLINK("NoConsenso\" &amp; K4319, "Ver Imagen")</f>
        <v/>
      </c>
      <c r="M4319" t="inlineStr">
        <is>
          <t>Mediana</t>
        </is>
      </c>
    </row>
    <row r="4320">
      <c r="A4320" s="33" t="n">
        <v>4319</v>
      </c>
      <c r="B4320" t="inlineStr">
        <is>
          <t>A-497__651</t>
        </is>
      </c>
      <c r="C4320" s="1" t="n">
        <v>37.2009630074</v>
      </c>
      <c r="D4320" s="1" t="n">
        <v>-6.98998699498</v>
      </c>
      <c r="E4320" s="3" t="n">
        <v>4</v>
      </c>
      <c r="F4320" s="2" t="n">
        <v>2</v>
      </c>
      <c r="G4320" s="4" t="n">
        <v>4</v>
      </c>
      <c r="H4320" s="13" t="n">
        <v>2</v>
      </c>
      <c r="I4320" s="34" t="n">
        <v>1</v>
      </c>
      <c r="J4320" s="35" t="n">
        <v>2</v>
      </c>
      <c r="K4320" s="2" t="inlineStr">
        <is>
          <t>marker_664_371226.png</t>
        </is>
      </c>
      <c r="L4320" s="36">
        <f>HYPERLINK("NoConsenso\" &amp; K4320, "Ver Imagen")</f>
        <v/>
      </c>
      <c r="M4320" t="inlineStr">
        <is>
          <t>Mediana</t>
        </is>
      </c>
    </row>
    <row r="4321">
      <c r="A4321" s="33" t="n">
        <v>4320</v>
      </c>
      <c r="B4321" t="inlineStr">
        <is>
          <t>A-497__602</t>
        </is>
      </c>
      <c r="C4321" s="1" t="n">
        <v>37.2029150381</v>
      </c>
      <c r="D4321" s="1" t="n">
        <v>-7.00214693618</v>
      </c>
      <c r="E4321" s="3" t="n">
        <v>4</v>
      </c>
      <c r="F4321" s="2" t="n">
        <v>2</v>
      </c>
      <c r="G4321" s="4" t="n">
        <v>4</v>
      </c>
      <c r="H4321" s="13" t="n">
        <v>2</v>
      </c>
      <c r="I4321" s="34" t="n">
        <v>2</v>
      </c>
      <c r="J4321" s="35" t="n">
        <v>2</v>
      </c>
      <c r="K4321" s="2" t="inlineStr">
        <is>
          <t>marker_182_371696.png</t>
        </is>
      </c>
      <c r="L4321" s="36">
        <f>HYPERLINK("NoConsenso\" &amp; K4321, "Ver Imagen")</f>
        <v/>
      </c>
      <c r="M4321" t="inlineStr">
        <is>
          <t>Mediana</t>
        </is>
      </c>
    </row>
    <row r="4322">
      <c r="A4322" s="33" t="n">
        <v>4321</v>
      </c>
      <c r="B4322" t="inlineStr">
        <is>
          <t>A-497__536</t>
        </is>
      </c>
      <c r="C4322" s="1" t="n">
        <v>37.2056973029</v>
      </c>
      <c r="D4322" s="1" t="n">
        <v>-7.0184244718</v>
      </c>
      <c r="E4322" s="3" t="n">
        <v>4</v>
      </c>
      <c r="F4322" s="2" t="n">
        <v>2</v>
      </c>
      <c r="G4322" s="4" t="n">
        <v>4</v>
      </c>
      <c r="H4322" s="13" t="n">
        <v>1</v>
      </c>
      <c r="I4322" s="34" t="n">
        <v>2</v>
      </c>
      <c r="J4322" s="35" t="n">
        <v>2</v>
      </c>
      <c r="K4322" s="2" t="inlineStr">
        <is>
          <t>marker_539_372431.png</t>
        </is>
      </c>
      <c r="L4322" s="36">
        <f>HYPERLINK("NoConsenso\" &amp; K4322, "Ver Imagen")</f>
        <v/>
      </c>
      <c r="M4322" t="inlineStr">
        <is>
          <t>Mediana</t>
        </is>
      </c>
    </row>
    <row r="4323">
      <c r="A4323" s="33" t="n">
        <v>4322</v>
      </c>
      <c r="B4323" t="inlineStr">
        <is>
          <t>A-497__525</t>
        </is>
      </c>
      <c r="C4323" s="1" t="n">
        <v>37.2067984984</v>
      </c>
      <c r="D4323" s="1" t="n">
        <v>-7.0208330473</v>
      </c>
      <c r="E4323" s="3" t="n">
        <v>4</v>
      </c>
      <c r="F4323" s="2" t="n">
        <v>2</v>
      </c>
      <c r="G4323" s="4" t="n">
        <v>4</v>
      </c>
      <c r="H4323" s="13" t="n">
        <v>2</v>
      </c>
      <c r="I4323" s="34" t="n">
        <v>2</v>
      </c>
      <c r="J4323" s="35" t="n">
        <v>2</v>
      </c>
      <c r="K4323" s="2" t="inlineStr">
        <is>
          <t>marker_750_372548.png</t>
        </is>
      </c>
      <c r="L4323" s="36">
        <f>HYPERLINK("NoConsenso\" &amp; K4323, "Ver Imagen")</f>
        <v/>
      </c>
      <c r="M4323" t="inlineStr">
        <is>
          <t>Mediana</t>
        </is>
      </c>
    </row>
    <row r="4324">
      <c r="A4324" s="33" t="n">
        <v>4323</v>
      </c>
      <c r="B4324" t="inlineStr">
        <is>
          <t>A-497_2C__579</t>
        </is>
      </c>
      <c r="C4324" s="1" t="n">
        <v>37.2033658465</v>
      </c>
      <c r="D4324" s="1" t="n">
        <v>-7.00704948733</v>
      </c>
      <c r="E4324" s="3" t="n">
        <v>4</v>
      </c>
      <c r="F4324" s="2" t="n">
        <v>2</v>
      </c>
      <c r="G4324" s="4" t="n">
        <v>4</v>
      </c>
      <c r="H4324" s="13" t="n">
        <v>2</v>
      </c>
      <c r="I4324" s="34" t="n">
        <v>3</v>
      </c>
      <c r="J4324" s="37" t="n">
        <v>2</v>
      </c>
      <c r="K4324" s="2" t="inlineStr">
        <is>
          <t>marker_157_366562.png</t>
        </is>
      </c>
      <c r="L4324" s="36">
        <f>HYPERLINK("NoConsenso\" &amp; K4324, "Ver Imagen")</f>
        <v/>
      </c>
      <c r="M4324" s="37" t="inlineStr">
        <is>
          <t>Modificada</t>
        </is>
      </c>
    </row>
    <row r="4325">
      <c r="A4325" s="33" t="n">
        <v>4324</v>
      </c>
      <c r="B4325" t="inlineStr">
        <is>
          <t>A-497__331</t>
        </is>
      </c>
      <c r="C4325" s="1" t="n">
        <v>37.2441885503</v>
      </c>
      <c r="D4325" s="1" t="n">
        <v>-7.01832637551</v>
      </c>
      <c r="E4325" s="3" t="n">
        <v>4</v>
      </c>
      <c r="F4325" s="2" t="n">
        <v>2</v>
      </c>
      <c r="G4325" s="4" t="n">
        <v>4</v>
      </c>
      <c r="H4325" s="13" t="n">
        <v>2</v>
      </c>
      <c r="I4325" s="34" t="n">
        <v>3</v>
      </c>
      <c r="J4325" s="35" t="n">
        <v>3</v>
      </c>
      <c r="K4325" s="2" t="inlineStr">
        <is>
          <t>marker_115_377862.png</t>
        </is>
      </c>
      <c r="L4325" s="36">
        <f>HYPERLINK("NoConsenso\" &amp; K4325, "Ver Imagen")</f>
        <v/>
      </c>
      <c r="M4325" t="inlineStr">
        <is>
          <t>Mediana</t>
        </is>
      </c>
    </row>
    <row r="4326">
      <c r="A4326" s="33" t="n">
        <v>4325</v>
      </c>
      <c r="B4326" t="inlineStr">
        <is>
          <t>A-497__329</t>
        </is>
      </c>
      <c r="C4326" s="1" t="n">
        <v>37.2445895653</v>
      </c>
      <c r="D4326" s="1" t="n">
        <v>-7.01831521792</v>
      </c>
      <c r="E4326" s="3" t="n">
        <v>4</v>
      </c>
      <c r="F4326" s="2" t="n">
        <v>2</v>
      </c>
      <c r="G4326" s="4" t="n">
        <v>4</v>
      </c>
      <c r="H4326" s="13" t="n">
        <v>2</v>
      </c>
      <c r="I4326" s="34" t="n">
        <v>3</v>
      </c>
      <c r="J4326" s="35" t="n">
        <v>3</v>
      </c>
      <c r="K4326" s="2" t="inlineStr">
        <is>
          <t>marker_708_377881.png</t>
        </is>
      </c>
      <c r="L4326" s="36">
        <f>HYPERLINK("NoConsenso\" &amp; K4326, "Ver Imagen")</f>
        <v/>
      </c>
      <c r="M4326" t="inlineStr">
        <is>
          <t>Mediana</t>
        </is>
      </c>
    </row>
    <row r="4327">
      <c r="A4327" s="33" t="n">
        <v>4326</v>
      </c>
      <c r="B4327" t="inlineStr">
        <is>
          <t>A-490__55</t>
        </is>
      </c>
      <c r="C4327" s="1" t="n">
        <v>37.4471556087</v>
      </c>
      <c r="D4327" s="1" t="n">
        <v>-7.13975225371</v>
      </c>
      <c r="E4327" s="3" t="n">
        <v>3</v>
      </c>
      <c r="F4327" s="2" t="n">
        <v>5</v>
      </c>
      <c r="G4327" s="4" t="n">
        <v>5</v>
      </c>
      <c r="H4327" s="13" t="n">
        <v>4</v>
      </c>
      <c r="I4327" s="34" t="n">
        <v>5</v>
      </c>
      <c r="J4327" s="35" t="n">
        <v>5</v>
      </c>
      <c r="K4327" s="2" t="inlineStr">
        <is>
          <t>marker_877_732399.png</t>
        </is>
      </c>
      <c r="L4327" s="36">
        <f>HYPERLINK("NoConsenso\" &amp; K4327, "Ver Imagen")</f>
        <v/>
      </c>
      <c r="M4327" t="inlineStr">
        <is>
          <t>Mediana</t>
        </is>
      </c>
    </row>
    <row r="4328">
      <c r="A4328" s="33" t="n">
        <v>4327</v>
      </c>
      <c r="B4328" t="inlineStr">
        <is>
          <t>A-490__73</t>
        </is>
      </c>
      <c r="C4328" s="1" t="n">
        <v>37.4485191701</v>
      </c>
      <c r="D4328" s="1" t="n">
        <v>-7.1439212494</v>
      </c>
      <c r="E4328" s="3" t="n">
        <v>3</v>
      </c>
      <c r="F4328" s="2" t="n">
        <v>5</v>
      </c>
      <c r="G4328" s="4" t="n">
        <v>5</v>
      </c>
      <c r="H4328" s="13" t="n">
        <v>5</v>
      </c>
      <c r="I4328" s="34" t="n">
        <v>4</v>
      </c>
      <c r="J4328" s="35" t="n">
        <v>5</v>
      </c>
      <c r="K4328" s="2" t="inlineStr">
        <is>
          <t>marker_200_738234.png</t>
        </is>
      </c>
      <c r="L4328" s="36">
        <f>HYPERLINK("NoConsenso\" &amp; K4328, "Ver Imagen")</f>
        <v/>
      </c>
      <c r="M4328" t="inlineStr">
        <is>
          <t>Mediana</t>
        </is>
      </c>
    </row>
    <row r="4329">
      <c r="A4329" s="33" t="n">
        <v>4328</v>
      </c>
      <c r="B4329" t="inlineStr">
        <is>
          <t>A-490__74</t>
        </is>
      </c>
      <c r="C4329" s="1" t="n">
        <v>37.4485358277</v>
      </c>
      <c r="D4329" s="1" t="n">
        <v>-7.1442132694</v>
      </c>
      <c r="E4329" s="3" t="n">
        <v>3</v>
      </c>
      <c r="F4329" s="2" t="n">
        <v>5</v>
      </c>
      <c r="G4329" s="4" t="n">
        <v>5</v>
      </c>
      <c r="H4329" s="13" t="n">
        <v>5</v>
      </c>
      <c r="I4329" s="34" t="n">
        <v>5</v>
      </c>
      <c r="J4329" s="35" t="n">
        <v>5</v>
      </c>
      <c r="K4329" s="2" t="inlineStr">
        <is>
          <t>marker_833_738417.png</t>
        </is>
      </c>
      <c r="L4329" s="36">
        <f>HYPERLINK("NoConsenso\" &amp; K4329, "Ver Imagen")</f>
        <v/>
      </c>
      <c r="M4329" t="inlineStr">
        <is>
          <t>Mediana</t>
        </is>
      </c>
    </row>
    <row r="4330">
      <c r="A4330" s="33" t="n">
        <v>4329</v>
      </c>
      <c r="B4330" t="inlineStr">
        <is>
          <t>A-492__12</t>
        </is>
      </c>
      <c r="C4330" s="1" t="n">
        <v>37.2737900796</v>
      </c>
      <c r="D4330" s="1" t="n">
        <v>-6.99123157434</v>
      </c>
      <c r="E4330" s="3" t="n">
        <v>4</v>
      </c>
      <c r="F4330" s="2" t="n">
        <v>3</v>
      </c>
      <c r="G4330" s="4" t="n">
        <v>5</v>
      </c>
      <c r="H4330" s="13" t="n">
        <v>3</v>
      </c>
      <c r="I4330" s="34" t="n">
        <v>4</v>
      </c>
      <c r="J4330" s="35" t="n">
        <v>4</v>
      </c>
      <c r="K4330" s="2" t="inlineStr">
        <is>
          <t>marker_349_821916.png</t>
        </is>
      </c>
      <c r="L4330" s="36">
        <f>HYPERLINK("NoConsenso\" &amp; K4330, "Ver Imagen")</f>
        <v/>
      </c>
      <c r="M4330" t="inlineStr">
        <is>
          <t>Mediana</t>
        </is>
      </c>
    </row>
    <row r="4331">
      <c r="A4331" s="33" t="n">
        <v>4330</v>
      </c>
      <c r="B4331" t="inlineStr">
        <is>
          <t>A-495R__71</t>
        </is>
      </c>
      <c r="C4331" s="1" t="n">
        <v>37.4583192989</v>
      </c>
      <c r="D4331" s="1" t="n">
        <v>-7.11445895212</v>
      </c>
      <c r="E4331" s="3" t="n">
        <v>3</v>
      </c>
      <c r="F4331" s="2" t="n">
        <v>4</v>
      </c>
      <c r="G4331" s="4" t="n">
        <v>5</v>
      </c>
      <c r="H4331" s="13" t="n">
        <v>5</v>
      </c>
      <c r="I4331" s="34" t="n">
        <v>5</v>
      </c>
      <c r="J4331" s="35" t="n">
        <v>5</v>
      </c>
      <c r="K4331" s="2" t="inlineStr">
        <is>
          <t>marker_680_935211.png</t>
        </is>
      </c>
      <c r="L4331" s="36">
        <f>HYPERLINK("NoConsenso\" &amp; K4331, "Ver Imagen")</f>
        <v/>
      </c>
      <c r="M4331" t="inlineStr">
        <is>
          <t>Mediana</t>
        </is>
      </c>
    </row>
    <row r="4332">
      <c r="A4332" s="33" t="n">
        <v>4331</v>
      </c>
      <c r="B4332" t="inlineStr">
        <is>
          <t>A-495R__54</t>
        </is>
      </c>
      <c r="C4332" s="1" t="n">
        <v>37.4549981027</v>
      </c>
      <c r="D4332" s="1" t="n">
        <v>-7.11312718979</v>
      </c>
      <c r="E4332" s="3" t="n">
        <v>5</v>
      </c>
      <c r="F4332" s="2" t="n">
        <v>3</v>
      </c>
      <c r="G4332" s="4" t="n">
        <v>5</v>
      </c>
      <c r="H4332" s="13" t="n">
        <v>4</v>
      </c>
      <c r="I4332" s="34" t="n">
        <v>4</v>
      </c>
      <c r="J4332" s="35" t="n">
        <v>4</v>
      </c>
      <c r="K4332" s="2" t="inlineStr">
        <is>
          <t>marker_652_935620.png</t>
        </is>
      </c>
      <c r="L4332" s="36">
        <f>HYPERLINK("NoConsenso\" &amp; K4332, "Ver Imagen")</f>
        <v/>
      </c>
      <c r="M4332" t="inlineStr">
        <is>
          <t>Mediana</t>
        </is>
      </c>
    </row>
    <row r="4333">
      <c r="A4333" s="33" t="n">
        <v>4332</v>
      </c>
      <c r="B4333" t="inlineStr">
        <is>
          <t>A-495R__35</t>
        </is>
      </c>
      <c r="C4333" s="1" t="n">
        <v>37.4514993268</v>
      </c>
      <c r="D4333" s="1" t="n">
        <v>-7.11121133451</v>
      </c>
      <c r="E4333" s="3" t="n">
        <v>3</v>
      </c>
      <c r="F4333" s="2" t="n">
        <v>4</v>
      </c>
      <c r="G4333" s="4" t="n">
        <v>5</v>
      </c>
      <c r="H4333" s="13" t="n">
        <v>4</v>
      </c>
      <c r="I4333" s="34" t="n">
        <v>5</v>
      </c>
      <c r="J4333" s="37" t="n">
        <v>5</v>
      </c>
      <c r="K4333" s="2" t="inlineStr">
        <is>
          <t>marker_935_936572.png</t>
        </is>
      </c>
      <c r="L4333" s="36">
        <f>HYPERLINK("NoConsenso\" &amp; K4333, "Ver Imagen")</f>
        <v/>
      </c>
      <c r="M4333" s="37" t="inlineStr">
        <is>
          <t>Modificada</t>
        </is>
      </c>
    </row>
    <row r="4334">
      <c r="A4334" s="33" t="n">
        <v>4333</v>
      </c>
      <c r="B4334" t="inlineStr">
        <is>
          <t>A-495R__24</t>
        </is>
      </c>
      <c r="C4334" s="1" t="n">
        <v>37.4494597167</v>
      </c>
      <c r="D4334" s="1" t="n">
        <v>-7.11013082356</v>
      </c>
      <c r="E4334" s="3" t="n">
        <v>3</v>
      </c>
      <c r="F4334" s="2" t="n">
        <v>4</v>
      </c>
      <c r="G4334" s="4" t="n">
        <v>5</v>
      </c>
      <c r="H4334" s="13" t="n">
        <v>4</v>
      </c>
      <c r="I4334" s="34" t="n">
        <v>5</v>
      </c>
      <c r="J4334" s="37" t="n">
        <v>5</v>
      </c>
      <c r="K4334" s="2" t="inlineStr">
        <is>
          <t>marker_985_936688.png</t>
        </is>
      </c>
      <c r="L4334" s="36">
        <f>HYPERLINK("NoConsenso\" &amp; K4334, "Ver Imagen")</f>
        <v/>
      </c>
      <c r="M4334" s="37" t="inlineStr">
        <is>
          <t>Modificada</t>
        </is>
      </c>
    </row>
    <row r="4335">
      <c r="A4335" s="39" t="n">
        <v>4334</v>
      </c>
      <c r="B4335" s="16" t="inlineStr">
        <is>
          <t>A-495R__8</t>
        </is>
      </c>
      <c r="C4335" s="16" t="n">
        <v>37.446941048</v>
      </c>
      <c r="D4335" s="16" t="n">
        <v>-7.10792837127</v>
      </c>
      <c r="E4335" s="16" t="n">
        <v>4</v>
      </c>
      <c r="F4335" s="16" t="n">
        <v>3</v>
      </c>
      <c r="G4335" s="16" t="n">
        <v>5</v>
      </c>
      <c r="H4335" s="16" t="n">
        <v>5</v>
      </c>
      <c r="I4335" s="40" t="n">
        <v>3</v>
      </c>
      <c r="J4335" s="38" t="n">
        <v>4</v>
      </c>
      <c r="K4335" s="16" t="inlineStr">
        <is>
          <t>marker_723_937029.png</t>
        </is>
      </c>
      <c r="L4335" s="41">
        <f>HYPERLINK("NoConsenso\" &amp; K4335, "Ver Imagen")</f>
        <v/>
      </c>
      <c r="M4335" s="16" t="inlineStr">
        <is>
          <t>X_Tramo_desbrozado</t>
        </is>
      </c>
      <c r="N4335" s="16" t="n"/>
    </row>
    <row r="4336">
      <c r="A4336" s="33" t="n">
        <v>4335</v>
      </c>
      <c r="B4336" t="inlineStr">
        <is>
          <t>A-497__82</t>
        </is>
      </c>
      <c r="C4336" s="1" t="n">
        <v>37.2690995848</v>
      </c>
      <c r="D4336" s="1" t="n">
        <v>-6.97627510693</v>
      </c>
      <c r="E4336" s="3" t="n">
        <v>3</v>
      </c>
      <c r="F4336" s="2" t="n">
        <v>4</v>
      </c>
      <c r="G4336" s="4" t="n">
        <v>5</v>
      </c>
      <c r="H4336" s="13" t="n">
        <v>4</v>
      </c>
      <c r="I4336" s="34" t="n">
        <v>4</v>
      </c>
      <c r="J4336" s="35" t="n">
        <v>4</v>
      </c>
      <c r="K4336" s="2" t="inlineStr">
        <is>
          <t>marker_122_937440.png</t>
        </is>
      </c>
      <c r="L4336" s="36">
        <f>HYPERLINK("NoConsenso\" &amp; K4336, "Ver Imagen")</f>
        <v/>
      </c>
      <c r="M4336" t="inlineStr">
        <is>
          <t>Mediana</t>
        </is>
      </c>
    </row>
    <row r="4337">
      <c r="A4337" s="33" t="n">
        <v>4336</v>
      </c>
      <c r="B4337" t="inlineStr">
        <is>
          <t>A-497__81</t>
        </is>
      </c>
      <c r="C4337" s="1" t="n">
        <v>37.2690234047</v>
      </c>
      <c r="D4337" s="1" t="n">
        <v>-6.97598184973</v>
      </c>
      <c r="E4337" s="3" t="n">
        <v>3</v>
      </c>
      <c r="F4337" s="2" t="n">
        <v>4</v>
      </c>
      <c r="G4337" s="4" t="n">
        <v>5</v>
      </c>
      <c r="H4337" s="13" t="n">
        <v>3</v>
      </c>
      <c r="I4337" s="34" t="n">
        <v>4</v>
      </c>
      <c r="J4337" s="35" t="n">
        <v>4</v>
      </c>
      <c r="K4337" s="2" t="inlineStr">
        <is>
          <t>marker_706_937449.png</t>
        </is>
      </c>
      <c r="L4337" s="36">
        <f>HYPERLINK("NoConsenso\" &amp; K4337, "Ver Imagen")</f>
        <v/>
      </c>
      <c r="M4337" t="inlineStr">
        <is>
          <t>Mediana</t>
        </is>
      </c>
    </row>
    <row r="4338">
      <c r="A4338" s="33" t="n">
        <v>4337</v>
      </c>
      <c r="B4338" t="inlineStr">
        <is>
          <t>A-497__75</t>
        </is>
      </c>
      <c r="C4338" s="1" t="n">
        <v>37.2686797757</v>
      </c>
      <c r="D4338" s="1" t="n">
        <v>-6.97452664457</v>
      </c>
      <c r="E4338" s="3" t="n">
        <v>3</v>
      </c>
      <c r="F4338" s="2" t="n">
        <v>3</v>
      </c>
      <c r="G4338" s="4" t="n">
        <v>5</v>
      </c>
      <c r="H4338" s="13" t="n">
        <v>3</v>
      </c>
      <c r="I4338" s="34" t="n">
        <v>4</v>
      </c>
      <c r="J4338" s="35" t="n">
        <v>3</v>
      </c>
      <c r="K4338" s="2" t="inlineStr">
        <is>
          <t>marker_733_937988.png</t>
        </is>
      </c>
      <c r="L4338" s="36">
        <f>HYPERLINK("NoConsenso\" &amp; K4338, "Ver Imagen")</f>
        <v/>
      </c>
      <c r="M4338" t="inlineStr">
        <is>
          <t>Mediana</t>
        </is>
      </c>
    </row>
    <row r="4339">
      <c r="A4339" s="33" t="n">
        <v>4338</v>
      </c>
      <c r="B4339" t="inlineStr">
        <is>
          <t>A-495__113</t>
        </is>
      </c>
      <c r="C4339" s="1" t="n">
        <v>37.43555014</v>
      </c>
      <c r="D4339" s="1" t="n">
        <v>-7.07476292182</v>
      </c>
      <c r="E4339" s="3" t="n">
        <v>5</v>
      </c>
      <c r="F4339" s="2" t="n">
        <v>3</v>
      </c>
      <c r="G4339" s="4" t="n">
        <v>5</v>
      </c>
      <c r="H4339" s="13" t="n">
        <v>4</v>
      </c>
      <c r="I4339" s="34" t="n">
        <v>3</v>
      </c>
      <c r="J4339" s="35" t="n">
        <v>4</v>
      </c>
      <c r="K4339" s="2" t="inlineStr">
        <is>
          <t>marker_747_382303.png</t>
        </is>
      </c>
      <c r="L4339" s="36">
        <f>HYPERLINK("NoConsenso\" &amp; K4339, "Ver Imagen")</f>
        <v/>
      </c>
      <c r="M4339" t="inlineStr">
        <is>
          <t>Mediana</t>
        </is>
      </c>
    </row>
    <row r="4340">
      <c r="A4340" s="33" t="n">
        <v>4339</v>
      </c>
      <c r="B4340" t="inlineStr">
        <is>
          <t>A-497__761</t>
        </is>
      </c>
      <c r="C4340" s="1" t="n">
        <v>37.1862073352</v>
      </c>
      <c r="D4340" s="1" t="n">
        <v>-6.98050689665</v>
      </c>
      <c r="E4340" s="3" t="n">
        <v>5</v>
      </c>
      <c r="F4340" s="2" t="n">
        <v>3</v>
      </c>
      <c r="G4340" s="4" t="n">
        <v>5</v>
      </c>
      <c r="H4340" s="13" t="n">
        <v>3</v>
      </c>
      <c r="I4340" s="34" t="n">
        <v>4</v>
      </c>
      <c r="J4340" s="35" t="n">
        <v>4</v>
      </c>
      <c r="K4340" s="2" t="inlineStr">
        <is>
          <t>marker_716_368557.png</t>
        </is>
      </c>
      <c r="L4340" s="36">
        <f>HYPERLINK("NoConsenso\" &amp; K4340, "Ver Imagen")</f>
        <v/>
      </c>
      <c r="M4340" t="inlineStr">
        <is>
          <t>Mediana</t>
        </is>
      </c>
    </row>
    <row r="4341">
      <c r="A4341" s="33" t="n">
        <v>4340</v>
      </c>
      <c r="B4341" t="inlineStr">
        <is>
          <t>A-497__759</t>
        </is>
      </c>
      <c r="C4341" s="1" t="n">
        <v>37.1858638767</v>
      </c>
      <c r="D4341" s="1" t="n">
        <v>-6.98024621981</v>
      </c>
      <c r="E4341" s="3" t="n">
        <v>5</v>
      </c>
      <c r="F4341" s="2" t="n">
        <v>3</v>
      </c>
      <c r="G4341" s="4" t="n">
        <v>5</v>
      </c>
      <c r="H4341" s="13" t="n">
        <v>3</v>
      </c>
      <c r="I4341" s="34" t="n">
        <v>3</v>
      </c>
      <c r="J4341" s="35" t="n">
        <v>3</v>
      </c>
      <c r="K4341" s="2" t="inlineStr">
        <is>
          <t>marker_331_368580.png</t>
        </is>
      </c>
      <c r="L4341" s="36">
        <f>HYPERLINK("NoConsenso\" &amp; K4341, "Ver Imagen")</f>
        <v/>
      </c>
      <c r="M4341" t="inlineStr">
        <is>
          <t>Mediana</t>
        </is>
      </c>
    </row>
    <row r="4342">
      <c r="A4342" s="33" t="n">
        <v>4341</v>
      </c>
      <c r="B4342" t="inlineStr">
        <is>
          <t>A-497__753</t>
        </is>
      </c>
      <c r="C4342" s="1" t="n">
        <v>37.1867368681</v>
      </c>
      <c r="D4342" s="1" t="n">
        <v>-6.97951327358</v>
      </c>
      <c r="E4342" s="3" t="n">
        <v>5</v>
      </c>
      <c r="F4342" s="2" t="n">
        <v>3</v>
      </c>
      <c r="G4342" s="4" t="n">
        <v>5</v>
      </c>
      <c r="H4342" s="13" t="n">
        <v>3</v>
      </c>
      <c r="I4342" s="34" t="n">
        <v>4</v>
      </c>
      <c r="J4342" s="35" t="n">
        <v>4</v>
      </c>
      <c r="K4342" s="2" t="inlineStr">
        <is>
          <t>marker_576_368650.png</t>
        </is>
      </c>
      <c r="L4342" s="36">
        <f>HYPERLINK("NoConsenso\" &amp; K4342, "Ver Imagen")</f>
        <v/>
      </c>
      <c r="M4342" t="inlineStr">
        <is>
          <t>Mediana</t>
        </is>
      </c>
    </row>
    <row r="4343">
      <c r="A4343" s="33" t="n">
        <v>4342</v>
      </c>
      <c r="B4343" t="inlineStr">
        <is>
          <t>A-497_2C__19</t>
        </is>
      </c>
      <c r="C4343" s="1" t="n">
        <v>37.267588447</v>
      </c>
      <c r="D4343" s="1" t="n">
        <v>-6.9618002267</v>
      </c>
      <c r="E4343" s="3" t="n">
        <v>5</v>
      </c>
      <c r="F4343" s="2" t="n">
        <v>3</v>
      </c>
      <c r="G4343" s="4" t="n">
        <v>5</v>
      </c>
      <c r="H4343" s="13" t="n">
        <v>3</v>
      </c>
      <c r="I4343" s="34" t="n">
        <v>4</v>
      </c>
      <c r="J4343" s="35" t="n">
        <v>4</v>
      </c>
      <c r="K4343" s="2" t="inlineStr">
        <is>
          <t>marker_792_654378.png</t>
        </is>
      </c>
      <c r="L4343" s="36">
        <f>HYPERLINK("NoConsenso\" &amp; K4343, "Ver Imagen")</f>
        <v/>
      </c>
      <c r="M4343" t="inlineStr">
        <is>
          <t>Mediana</t>
        </is>
      </c>
    </row>
    <row r="4344">
      <c r="A4344" s="33" t="n">
        <v>4343</v>
      </c>
      <c r="B4344" t="inlineStr">
        <is>
          <t>A-497__595</t>
        </is>
      </c>
      <c r="C4344" s="1" t="n">
        <v>37.2031091966</v>
      </c>
      <c r="D4344" s="1" t="n">
        <v>-7.00392028411</v>
      </c>
      <c r="E4344" s="3" t="n">
        <v>5</v>
      </c>
      <c r="F4344" s="2" t="n">
        <v>3</v>
      </c>
      <c r="G4344" s="4" t="n">
        <v>5</v>
      </c>
      <c r="H4344" s="13" t="n">
        <v>3</v>
      </c>
      <c r="I4344" s="34" t="n">
        <v>4</v>
      </c>
      <c r="J4344" s="37" t="n">
        <v>3</v>
      </c>
      <c r="K4344" s="2" t="inlineStr">
        <is>
          <t>marker_310_371761.png</t>
        </is>
      </c>
      <c r="L4344" s="36">
        <f>HYPERLINK("NoConsenso\" &amp; K4344, "Ver Imagen")</f>
        <v/>
      </c>
      <c r="M4344" s="37" t="inlineStr">
        <is>
          <t>Modificada</t>
        </is>
      </c>
    </row>
    <row r="4345">
      <c r="A4345" s="33" t="n">
        <v>4344</v>
      </c>
      <c r="B4345" t="inlineStr">
        <is>
          <t>A-497__571</t>
        </is>
      </c>
      <c r="C4345" s="1" t="n">
        <v>37.203939104</v>
      </c>
      <c r="D4345" s="1" t="n">
        <v>-7.00987795945</v>
      </c>
      <c r="E4345" s="3" t="n">
        <v>5</v>
      </c>
      <c r="F4345" s="2" t="n">
        <v>3</v>
      </c>
      <c r="G4345" s="4" t="n">
        <v>5</v>
      </c>
      <c r="H4345" s="13" t="n">
        <v>4</v>
      </c>
      <c r="I4345" s="34" t="n">
        <v>4</v>
      </c>
      <c r="J4345" s="35" t="n">
        <v>4</v>
      </c>
      <c r="K4345" s="2" t="inlineStr">
        <is>
          <t>marker_239_372016.png</t>
        </is>
      </c>
      <c r="L4345" s="36">
        <f>HYPERLINK("NoConsenso\" &amp; K4345, "Ver Imagen")</f>
        <v/>
      </c>
      <c r="M4345" t="inlineStr">
        <is>
          <t>Mediana</t>
        </is>
      </c>
    </row>
    <row r="4346">
      <c r="A4346" s="33" t="n">
        <v>4345</v>
      </c>
      <c r="B4346" t="inlineStr">
        <is>
          <t>A-497__568</t>
        </is>
      </c>
      <c r="C4346" s="1" t="n">
        <v>37.2040580135</v>
      </c>
      <c r="D4346" s="1" t="n">
        <v>-7.0105954238</v>
      </c>
      <c r="E4346" s="3" t="n">
        <v>5</v>
      </c>
      <c r="F4346" s="2" t="n">
        <v>3</v>
      </c>
      <c r="G4346" s="4" t="n">
        <v>5</v>
      </c>
      <c r="H4346" s="13" t="n">
        <v>4</v>
      </c>
      <c r="I4346" s="34" t="n">
        <v>4</v>
      </c>
      <c r="J4346" s="35" t="n">
        <v>4</v>
      </c>
      <c r="K4346" s="2" t="inlineStr">
        <is>
          <t>marker_360_372059.png</t>
        </is>
      </c>
      <c r="L4346" s="36">
        <f>HYPERLINK("NoConsenso\" &amp; K4346, "Ver Imagen")</f>
        <v/>
      </c>
      <c r="M4346" t="inlineStr">
        <is>
          <t>Mediana</t>
        </is>
      </c>
    </row>
    <row r="4347">
      <c r="A4347" s="33" t="n">
        <v>4346</v>
      </c>
      <c r="B4347" t="inlineStr">
        <is>
          <t>A-497__229</t>
        </is>
      </c>
      <c r="C4347" s="1" t="n">
        <v>37.2628035172</v>
      </c>
      <c r="D4347" s="1" t="n">
        <v>-7.00888097709</v>
      </c>
      <c r="E4347" s="3" t="n">
        <v>5</v>
      </c>
      <c r="F4347" s="2" t="n">
        <v>3</v>
      </c>
      <c r="G4347" s="4" t="n">
        <v>5</v>
      </c>
      <c r="H4347" s="13" t="n">
        <v>2</v>
      </c>
      <c r="I4347" s="34" t="n">
        <v>3</v>
      </c>
      <c r="J4347" s="35" t="n">
        <v>3</v>
      </c>
      <c r="K4347" s="2" t="inlineStr">
        <is>
          <t>marker_497_379048.png</t>
        </is>
      </c>
      <c r="L4347" s="36">
        <f>HYPERLINK("NoConsenso\" &amp; K4347, "Ver Imagen")</f>
        <v/>
      </c>
      <c r="M4347" t="inlineStr">
        <is>
          <t>Mediana</t>
        </is>
      </c>
    </row>
    <row r="4348">
      <c r="A4348" s="33" t="n">
        <v>4347</v>
      </c>
      <c r="B4348" t="inlineStr">
        <is>
          <t>A-490__19</t>
        </is>
      </c>
      <c r="C4348" s="1" t="n">
        <v>37.4467830994</v>
      </c>
      <c r="D4348" s="1" t="n">
        <v>-7.13100858202</v>
      </c>
      <c r="E4348" s="3" t="n">
        <v>2</v>
      </c>
      <c r="F4348" s="2" t="n">
        <v>4</v>
      </c>
      <c r="G4348" s="4" t="n">
        <v>3</v>
      </c>
      <c r="H4348" s="13" t="n">
        <v>3</v>
      </c>
      <c r="I4348" s="34" t="n">
        <v>4</v>
      </c>
      <c r="J4348" s="35" t="n">
        <v>3</v>
      </c>
      <c r="K4348" s="2" t="inlineStr">
        <is>
          <t>marker_830_730626.png</t>
        </is>
      </c>
      <c r="L4348" s="36">
        <f>HYPERLINK("NoConsenso\" &amp; K4348, "Ver Imagen")</f>
        <v/>
      </c>
      <c r="M4348" t="inlineStr">
        <is>
          <t>Mediana</t>
        </is>
      </c>
    </row>
    <row r="4349">
      <c r="A4349" s="33" t="n">
        <v>4348</v>
      </c>
      <c r="B4349" t="inlineStr">
        <is>
          <t>A-490__26</t>
        </is>
      </c>
      <c r="C4349" s="1" t="n">
        <v>37.4465074472</v>
      </c>
      <c r="D4349" s="1" t="n">
        <v>-7.13268403363</v>
      </c>
      <c r="E4349" s="3" t="n">
        <v>3</v>
      </c>
      <c r="F4349" s="2" t="n">
        <v>4</v>
      </c>
      <c r="G4349" s="4" t="n">
        <v>5</v>
      </c>
      <c r="H4349" s="13" t="n">
        <v>4</v>
      </c>
      <c r="I4349" s="34" t="n">
        <v>4</v>
      </c>
      <c r="J4349" s="35" t="n">
        <v>4</v>
      </c>
      <c r="K4349" s="2" t="inlineStr">
        <is>
          <t>marker_240_730823.png</t>
        </is>
      </c>
      <c r="L4349" s="36">
        <f>HYPERLINK("NoConsenso\" &amp; K4349, "Ver Imagen")</f>
        <v/>
      </c>
      <c r="M4349" t="inlineStr">
        <is>
          <t>Mediana</t>
        </is>
      </c>
    </row>
    <row r="4350">
      <c r="A4350" s="33" t="n">
        <v>4349</v>
      </c>
      <c r="B4350" t="inlineStr">
        <is>
          <t>A-490__30</t>
        </is>
      </c>
      <c r="C4350" s="1" t="n">
        <v>37.4463473932</v>
      </c>
      <c r="D4350" s="1" t="n">
        <v>-7.1337630319</v>
      </c>
      <c r="E4350" s="3" t="n">
        <v>2</v>
      </c>
      <c r="F4350" s="2" t="n">
        <v>4</v>
      </c>
      <c r="G4350" s="4" t="n">
        <v>3</v>
      </c>
      <c r="H4350" s="13" t="n">
        <v>4</v>
      </c>
      <c r="I4350" s="34" t="n">
        <v>4</v>
      </c>
      <c r="J4350" s="35" t="n">
        <v>4</v>
      </c>
      <c r="K4350" s="2" t="inlineStr">
        <is>
          <t>marker_928_730925.png</t>
        </is>
      </c>
      <c r="L4350" s="36">
        <f>HYPERLINK("NoConsenso\" &amp; K4350, "Ver Imagen")</f>
        <v/>
      </c>
      <c r="M4350" t="inlineStr">
        <is>
          <t>Mediana</t>
        </is>
      </c>
    </row>
    <row r="4351">
      <c r="A4351" s="33" t="n">
        <v>4350</v>
      </c>
      <c r="B4351" t="inlineStr">
        <is>
          <t>A-490__36</t>
        </is>
      </c>
      <c r="C4351" s="1" t="n">
        <v>37.4461915125</v>
      </c>
      <c r="D4351" s="1" t="n">
        <v>-7.13523063442</v>
      </c>
      <c r="E4351" s="3" t="n">
        <v>2</v>
      </c>
      <c r="F4351" s="2" t="n">
        <v>3</v>
      </c>
      <c r="G4351" s="4" t="n">
        <v>4</v>
      </c>
      <c r="H4351" s="13" t="n">
        <v>3</v>
      </c>
      <c r="I4351" s="34" t="n">
        <v>3</v>
      </c>
      <c r="J4351" s="35" t="n">
        <v>3</v>
      </c>
      <c r="K4351" s="2" t="inlineStr">
        <is>
          <t>marker_869_731078.png</t>
        </is>
      </c>
      <c r="L4351" s="36">
        <f>HYPERLINK("NoConsenso\" &amp; K4351, "Ver Imagen")</f>
        <v/>
      </c>
      <c r="M4351" t="inlineStr">
        <is>
          <t>Mediana</t>
        </is>
      </c>
    </row>
    <row r="4352">
      <c r="A4352" s="33" t="n">
        <v>4351</v>
      </c>
      <c r="B4352" t="inlineStr">
        <is>
          <t>A-490__40</t>
        </is>
      </c>
      <c r="C4352" s="1" t="n">
        <v>37.4461513749</v>
      </c>
      <c r="D4352" s="1" t="n">
        <v>-7.13622232819</v>
      </c>
      <c r="E4352" s="3" t="n">
        <v>2</v>
      </c>
      <c r="F4352" s="2" t="n">
        <v>4</v>
      </c>
      <c r="G4352" s="4" t="n">
        <v>4</v>
      </c>
      <c r="H4352" s="13" t="n">
        <v>4</v>
      </c>
      <c r="I4352" s="34" t="n">
        <v>4</v>
      </c>
      <c r="J4352" s="35" t="n">
        <v>4</v>
      </c>
      <c r="K4352" s="2" t="inlineStr">
        <is>
          <t>marker_921_731166.png</t>
        </is>
      </c>
      <c r="L4352" s="36">
        <f>HYPERLINK("NoConsenso\" &amp; K4352, "Ver Imagen")</f>
        <v/>
      </c>
      <c r="M4352" t="inlineStr">
        <is>
          <t>Mediana</t>
        </is>
      </c>
    </row>
    <row r="4353">
      <c r="A4353" s="33" t="n">
        <v>4352</v>
      </c>
      <c r="B4353" t="inlineStr">
        <is>
          <t>A-490__42</t>
        </is>
      </c>
      <c r="C4353" s="1" t="n">
        <v>37.4462379281</v>
      </c>
      <c r="D4353" s="1" t="n">
        <v>-7.13670655037</v>
      </c>
      <c r="E4353" s="3" t="n">
        <v>2</v>
      </c>
      <c r="F4353" s="2" t="n">
        <v>4</v>
      </c>
      <c r="G4353" s="4" t="n">
        <v>4</v>
      </c>
      <c r="H4353" s="13" t="n">
        <v>4</v>
      </c>
      <c r="I4353" s="34" t="n">
        <v>3</v>
      </c>
      <c r="J4353" s="35" t="n">
        <v>4</v>
      </c>
      <c r="K4353" s="2" t="inlineStr">
        <is>
          <t>marker_997_731241.png</t>
        </is>
      </c>
      <c r="L4353" s="36">
        <f>HYPERLINK("NoConsenso\" &amp; K4353, "Ver Imagen")</f>
        <v/>
      </c>
      <c r="M4353" t="inlineStr">
        <is>
          <t>Mediana</t>
        </is>
      </c>
    </row>
    <row r="4354">
      <c r="A4354" s="33" t="n">
        <v>4353</v>
      </c>
      <c r="B4354" t="inlineStr">
        <is>
          <t>A-490__51</t>
        </is>
      </c>
      <c r="C4354" s="1" t="n">
        <v>37.4468632702</v>
      </c>
      <c r="D4354" s="1" t="n">
        <v>-7.13884157222</v>
      </c>
      <c r="E4354" s="3" t="n">
        <v>2</v>
      </c>
      <c r="F4354" s="2" t="n">
        <v>4</v>
      </c>
      <c r="G4354" s="4" t="n">
        <v>3</v>
      </c>
      <c r="H4354" s="13" t="n">
        <v>4</v>
      </c>
      <c r="I4354" s="34" t="n">
        <v>3</v>
      </c>
      <c r="J4354" s="35" t="n">
        <v>3</v>
      </c>
      <c r="K4354" s="2" t="inlineStr">
        <is>
          <t>marker_426_732318.png</t>
        </is>
      </c>
      <c r="L4354" s="36">
        <f>HYPERLINK("NoConsenso\" &amp; K4354, "Ver Imagen")</f>
        <v/>
      </c>
      <c r="M4354" t="inlineStr">
        <is>
          <t>Mediana</t>
        </is>
      </c>
    </row>
    <row r="4355">
      <c r="A4355" s="33" t="n">
        <v>4354</v>
      </c>
      <c r="B4355" t="inlineStr">
        <is>
          <t>A-490__56</t>
        </is>
      </c>
      <c r="C4355" s="1" t="n">
        <v>37.4472605564</v>
      </c>
      <c r="D4355" s="1" t="n">
        <v>-7.13999728038</v>
      </c>
      <c r="E4355" s="3" t="n">
        <v>2</v>
      </c>
      <c r="F4355" s="2" t="n">
        <v>3</v>
      </c>
      <c r="G4355" s="4" t="n">
        <v>4</v>
      </c>
      <c r="H4355" s="13" t="n">
        <v>4</v>
      </c>
      <c r="I4355" s="34" t="n">
        <v>4</v>
      </c>
      <c r="J4355" s="35" t="n">
        <v>4</v>
      </c>
      <c r="K4355" s="2" t="inlineStr">
        <is>
          <t>marker_113_737798.png</t>
        </is>
      </c>
      <c r="L4355" s="36">
        <f>HYPERLINK("NoConsenso\" &amp; K4355, "Ver Imagen")</f>
        <v/>
      </c>
      <c r="M4355" t="inlineStr">
        <is>
          <t>Mediana</t>
        </is>
      </c>
    </row>
    <row r="4356">
      <c r="A4356" s="33" t="n">
        <v>4355</v>
      </c>
      <c r="B4356" t="inlineStr">
        <is>
          <t>A-490__59</t>
        </is>
      </c>
      <c r="C4356" s="1" t="n">
        <v>37.4476413978</v>
      </c>
      <c r="D4356" s="1" t="n">
        <v>-7.1408249214</v>
      </c>
      <c r="E4356" s="3" t="n">
        <v>2</v>
      </c>
      <c r="F4356" s="2" t="n">
        <v>4</v>
      </c>
      <c r="G4356" s="4" t="n">
        <v>3</v>
      </c>
      <c r="H4356" s="13" t="n">
        <v>4</v>
      </c>
      <c r="I4356" s="34" t="n">
        <v>4</v>
      </c>
      <c r="J4356" s="35" t="n">
        <v>4</v>
      </c>
      <c r="K4356" s="2" t="inlineStr">
        <is>
          <t>marker_468_737902.png</t>
        </is>
      </c>
      <c r="L4356" s="36">
        <f>HYPERLINK("NoConsenso\" &amp; K4356, "Ver Imagen")</f>
        <v/>
      </c>
      <c r="M4356" t="inlineStr">
        <is>
          <t>Mediana</t>
        </is>
      </c>
    </row>
    <row r="4357">
      <c r="A4357" s="33" t="n">
        <v>4356</v>
      </c>
      <c r="B4357" t="inlineStr">
        <is>
          <t>A-490__71</t>
        </is>
      </c>
      <c r="C4357" s="1" t="n">
        <v>37.4484942571</v>
      </c>
      <c r="D4357" s="1" t="n">
        <v>-7.14342111573</v>
      </c>
      <c r="E4357" s="3" t="n">
        <v>2</v>
      </c>
      <c r="F4357" s="2" t="n">
        <v>4</v>
      </c>
      <c r="G4357" s="4" t="n">
        <v>4</v>
      </c>
      <c r="H4357" s="13" t="n">
        <v>4</v>
      </c>
      <c r="I4357" s="34" t="n">
        <v>4</v>
      </c>
      <c r="J4357" s="35" t="n">
        <v>4</v>
      </c>
      <c r="K4357" s="2" t="inlineStr">
        <is>
          <t>marker_833_738189.png</t>
        </is>
      </c>
      <c r="L4357" s="36">
        <f>HYPERLINK("NoConsenso\" &amp; K4357, "Ver Imagen")</f>
        <v/>
      </c>
      <c r="M4357" t="inlineStr">
        <is>
          <t>Mediana</t>
        </is>
      </c>
    </row>
    <row r="4358">
      <c r="A4358" s="33" t="n">
        <v>4357</v>
      </c>
      <c r="B4358" t="inlineStr">
        <is>
          <t>A-490__80</t>
        </is>
      </c>
      <c r="C4358" s="1" t="n">
        <v>37.4486191563</v>
      </c>
      <c r="D4358" s="1" t="n">
        <v>-7.14573899088</v>
      </c>
      <c r="E4358" s="3" t="n">
        <v>3</v>
      </c>
      <c r="F4358" s="2" t="n">
        <v>4</v>
      </c>
      <c r="G4358" s="4" t="n">
        <v>5</v>
      </c>
      <c r="H4358" s="13" t="n">
        <v>4</v>
      </c>
      <c r="I4358" s="34" t="n">
        <v>4</v>
      </c>
      <c r="J4358" s="35" t="n">
        <v>4</v>
      </c>
      <c r="K4358" s="2" t="inlineStr">
        <is>
          <t>marker_789_738603.png</t>
        </is>
      </c>
      <c r="L4358" s="36">
        <f>HYPERLINK("NoConsenso\" &amp; K4358, "Ver Imagen")</f>
        <v/>
      </c>
      <c r="M4358" t="inlineStr">
        <is>
          <t>Mediana</t>
        </is>
      </c>
    </row>
    <row r="4359">
      <c r="A4359" s="33" t="n">
        <v>4358</v>
      </c>
      <c r="B4359" t="inlineStr">
        <is>
          <t>A-490__82</t>
        </is>
      </c>
      <c r="C4359" s="1" t="n">
        <v>37.4486397866</v>
      </c>
      <c r="D4359" s="1" t="n">
        <v>-7.14622096527</v>
      </c>
      <c r="E4359" s="3" t="n">
        <v>3</v>
      </c>
      <c r="F4359" s="2" t="n">
        <v>5</v>
      </c>
      <c r="G4359" s="4" t="n">
        <v>5</v>
      </c>
      <c r="H4359" s="13" t="n">
        <v>5</v>
      </c>
      <c r="I4359" s="34" t="n">
        <v>5</v>
      </c>
      <c r="J4359" s="35" t="n">
        <v>5</v>
      </c>
      <c r="K4359" s="2" t="inlineStr">
        <is>
          <t>marker_164_738698.png</t>
        </is>
      </c>
      <c r="L4359" s="36">
        <f>HYPERLINK("NoConsenso\" &amp; K4359, "Ver Imagen")</f>
        <v/>
      </c>
      <c r="M4359" t="inlineStr">
        <is>
          <t>Mediana</t>
        </is>
      </c>
    </row>
    <row r="4360">
      <c r="A4360" s="33" t="n">
        <v>4359</v>
      </c>
      <c r="B4360" t="inlineStr">
        <is>
          <t>A-490__83</t>
        </is>
      </c>
      <c r="C4360" s="1" t="n">
        <v>37.4486491211</v>
      </c>
      <c r="D4360" s="1" t="n">
        <v>-7.14644664032</v>
      </c>
      <c r="E4360" s="3" t="n">
        <v>2</v>
      </c>
      <c r="F4360" s="2" t="n">
        <v>2</v>
      </c>
      <c r="G4360" s="4" t="n">
        <v>4</v>
      </c>
      <c r="H4360" s="13" t="n">
        <v>3</v>
      </c>
      <c r="I4360" s="34" t="n">
        <v>3</v>
      </c>
      <c r="J4360" s="35" t="n">
        <v>3</v>
      </c>
      <c r="K4360" s="2" t="inlineStr">
        <is>
          <t>marker_165_738734.png</t>
        </is>
      </c>
      <c r="L4360" s="36">
        <f>HYPERLINK("NoConsenso\" &amp; K4360, "Ver Imagen")</f>
        <v/>
      </c>
      <c r="M4360" t="inlineStr">
        <is>
          <t>Mediana</t>
        </is>
      </c>
    </row>
    <row r="4361">
      <c r="A4361" s="33" t="n">
        <v>4360</v>
      </c>
      <c r="B4361" t="inlineStr">
        <is>
          <t>A-490__93</t>
        </is>
      </c>
      <c r="C4361" s="1" t="n">
        <v>37.4487967227</v>
      </c>
      <c r="D4361" s="1" t="n">
        <v>-7.14902038827</v>
      </c>
      <c r="E4361" s="3" t="n">
        <v>2</v>
      </c>
      <c r="F4361" s="2" t="n">
        <v>4</v>
      </c>
      <c r="G4361" s="4" t="n">
        <v>4</v>
      </c>
      <c r="H4361" s="13" t="n">
        <v>4</v>
      </c>
      <c r="I4361" s="34" t="n">
        <v>3</v>
      </c>
      <c r="J4361" s="35" t="n">
        <v>4</v>
      </c>
      <c r="K4361" s="2" t="inlineStr">
        <is>
          <t>marker_444_739032.png</t>
        </is>
      </c>
      <c r="L4361" s="36">
        <f>HYPERLINK("NoConsenso\" &amp; K4361, "Ver Imagen")</f>
        <v/>
      </c>
      <c r="M4361" t="inlineStr">
        <is>
          <t>Mediana</t>
        </is>
      </c>
    </row>
    <row r="4362">
      <c r="A4362" s="33" t="n">
        <v>4361</v>
      </c>
      <c r="B4362" t="inlineStr">
        <is>
          <t>A-490__128</t>
        </is>
      </c>
      <c r="C4362" s="1" t="n">
        <v>37.4517235199</v>
      </c>
      <c r="D4362" s="1" t="n">
        <v>-7.15697614618</v>
      </c>
      <c r="E4362" s="3" t="n">
        <v>2</v>
      </c>
      <c r="F4362" s="2" t="n">
        <v>4</v>
      </c>
      <c r="G4362" s="4" t="n">
        <v>4</v>
      </c>
      <c r="H4362" s="13" t="n">
        <v>3</v>
      </c>
      <c r="I4362" s="34" t="n">
        <v>3</v>
      </c>
      <c r="J4362" s="35" t="n">
        <v>3</v>
      </c>
      <c r="K4362" s="2" t="inlineStr">
        <is>
          <t>marker_771_740188.png</t>
        </is>
      </c>
      <c r="L4362" s="36">
        <f>HYPERLINK("NoConsenso\" &amp; K4362, "Ver Imagen")</f>
        <v/>
      </c>
      <c r="M4362" t="inlineStr">
        <is>
          <t>Mediana</t>
        </is>
      </c>
    </row>
    <row r="4363">
      <c r="A4363" s="33" t="n">
        <v>4362</v>
      </c>
      <c r="B4363" t="inlineStr">
        <is>
          <t>A-490__106</t>
        </is>
      </c>
      <c r="C4363" s="1" t="n">
        <v>37.4498258137</v>
      </c>
      <c r="D4363" s="1" t="n">
        <v>-7.1519762085</v>
      </c>
      <c r="E4363" s="3" t="n">
        <v>1</v>
      </c>
      <c r="F4363" s="2" t="n">
        <v>3</v>
      </c>
      <c r="G4363" s="4" t="n">
        <v>2</v>
      </c>
      <c r="H4363" s="13" t="n">
        <v>2</v>
      </c>
      <c r="I4363" s="34" t="n">
        <v>2</v>
      </c>
      <c r="J4363" s="35" t="n">
        <v>2</v>
      </c>
      <c r="K4363" s="2" t="inlineStr">
        <is>
          <t>marker_189_739673.png</t>
        </is>
      </c>
      <c r="L4363" s="36">
        <f>HYPERLINK("NoConsenso\" &amp; K4363, "Ver Imagen")</f>
        <v/>
      </c>
      <c r="M4363" t="inlineStr">
        <is>
          <t>Mediana</t>
        </is>
      </c>
    </row>
    <row r="4364">
      <c r="A4364" s="33" t="n">
        <v>4363</v>
      </c>
      <c r="B4364" t="inlineStr">
        <is>
          <t>A-490__109</t>
        </is>
      </c>
      <c r="C4364" s="1" t="n">
        <v>37.4501934767</v>
      </c>
      <c r="D4364" s="1" t="n">
        <v>-7.15257492999</v>
      </c>
      <c r="E4364" s="3" t="n">
        <v>1</v>
      </c>
      <c r="F4364" s="2" t="n">
        <v>3</v>
      </c>
      <c r="G4364" s="4" t="n">
        <v>3</v>
      </c>
      <c r="H4364" s="13" t="n">
        <v>2</v>
      </c>
      <c r="I4364" s="34" t="n">
        <v>2</v>
      </c>
      <c r="J4364" s="35" t="n">
        <v>2</v>
      </c>
      <c r="K4364" s="2" t="inlineStr">
        <is>
          <t>marker_291_739744.png</t>
        </is>
      </c>
      <c r="L4364" s="36">
        <f>HYPERLINK("NoConsenso\" &amp; K4364, "Ver Imagen")</f>
        <v/>
      </c>
      <c r="M4364" t="inlineStr">
        <is>
          <t>Mediana</t>
        </is>
      </c>
    </row>
    <row r="4365">
      <c r="A4365" s="33" t="n">
        <v>4364</v>
      </c>
      <c r="B4365" t="inlineStr">
        <is>
          <t>A-490__111</t>
        </is>
      </c>
      <c r="C4365" s="1" t="n">
        <v>37.4504376382</v>
      </c>
      <c r="D4365" s="1" t="n">
        <v>-7.15297265188</v>
      </c>
      <c r="E4365" s="3" t="n">
        <v>2</v>
      </c>
      <c r="F4365" s="2" t="n">
        <v>3</v>
      </c>
      <c r="G4365" s="4" t="n">
        <v>4</v>
      </c>
      <c r="H4365" s="13" t="n">
        <v>3</v>
      </c>
      <c r="I4365" s="34" t="n">
        <v>3</v>
      </c>
      <c r="J4365" s="35" t="n">
        <v>3</v>
      </c>
      <c r="K4365" s="2" t="inlineStr">
        <is>
          <t>marker_932_739783.png</t>
        </is>
      </c>
      <c r="L4365" s="36">
        <f>HYPERLINK("NoConsenso\" &amp; K4365, "Ver Imagen")</f>
        <v/>
      </c>
      <c r="M4365" t="inlineStr">
        <is>
          <t>Mediana</t>
        </is>
      </c>
    </row>
    <row r="4366">
      <c r="A4366" s="33" t="n">
        <v>4365</v>
      </c>
      <c r="B4366" t="inlineStr">
        <is>
          <t>A-490__112</t>
        </is>
      </c>
      <c r="C4366" s="1" t="n">
        <v>37.4505677745</v>
      </c>
      <c r="D4366" s="1" t="n">
        <v>-7.15318360493</v>
      </c>
      <c r="E4366" s="3" t="n">
        <v>2</v>
      </c>
      <c r="F4366" s="2" t="n">
        <v>3</v>
      </c>
      <c r="G4366" s="4" t="n">
        <v>4</v>
      </c>
      <c r="H4366" s="13" t="n">
        <v>3</v>
      </c>
      <c r="I4366" s="34" t="n">
        <v>2</v>
      </c>
      <c r="J4366" s="35" t="n">
        <v>3</v>
      </c>
      <c r="K4366" s="2" t="inlineStr">
        <is>
          <t>marker_160_739800.png</t>
        </is>
      </c>
      <c r="L4366" s="36">
        <f>HYPERLINK("NoConsenso\" &amp; K4366, "Ver Imagen")</f>
        <v/>
      </c>
      <c r="M4366" t="inlineStr">
        <is>
          <t>Mediana</t>
        </is>
      </c>
    </row>
    <row r="4367">
      <c r="A4367" s="33" t="n">
        <v>4366</v>
      </c>
      <c r="B4367" t="inlineStr">
        <is>
          <t>A-490__115</t>
        </is>
      </c>
      <c r="C4367" s="1" t="n">
        <v>37.4509713557</v>
      </c>
      <c r="D4367" s="1" t="n">
        <v>-7.15386627781</v>
      </c>
      <c r="E4367" s="3" t="n">
        <v>2</v>
      </c>
      <c r="F4367" s="2" t="n">
        <v>3</v>
      </c>
      <c r="G4367" s="4" t="n">
        <v>4</v>
      </c>
      <c r="H4367" s="13" t="n">
        <v>3</v>
      </c>
      <c r="I4367" s="34" t="n">
        <v>3</v>
      </c>
      <c r="J4367" s="35" t="n">
        <v>3</v>
      </c>
      <c r="K4367" s="2" t="inlineStr">
        <is>
          <t>marker_371_739880.png</t>
        </is>
      </c>
      <c r="L4367" s="36">
        <f>HYPERLINK("NoConsenso\" &amp; K4367, "Ver Imagen")</f>
        <v/>
      </c>
      <c r="M4367" t="inlineStr">
        <is>
          <t>Mediana</t>
        </is>
      </c>
    </row>
    <row r="4368">
      <c r="A4368" s="33" t="n">
        <v>4367</v>
      </c>
      <c r="B4368" t="inlineStr">
        <is>
          <t>A-490__121</t>
        </is>
      </c>
      <c r="C4368" s="1" t="n">
        <v>37.4513549669</v>
      </c>
      <c r="D4368" s="1" t="n">
        <v>-7.15523651392</v>
      </c>
      <c r="E4368" s="3" t="n">
        <v>2</v>
      </c>
      <c r="F4368" s="2" t="n">
        <v>4</v>
      </c>
      <c r="G4368" s="4" t="n">
        <v>4</v>
      </c>
      <c r="H4368" s="13" t="n">
        <v>3</v>
      </c>
      <c r="I4368" s="34" t="n">
        <v>3</v>
      </c>
      <c r="J4368" s="35" t="n">
        <v>3</v>
      </c>
      <c r="K4368" s="2" t="inlineStr">
        <is>
          <t>marker_857_740038.png</t>
        </is>
      </c>
      <c r="L4368" s="36">
        <f>HYPERLINK("NoConsenso\" &amp; K4368, "Ver Imagen")</f>
        <v/>
      </c>
      <c r="M4368" t="inlineStr">
        <is>
          <t>Mediana</t>
        </is>
      </c>
    </row>
    <row r="4369">
      <c r="A4369" s="33" t="n">
        <v>4368</v>
      </c>
      <c r="B4369" t="inlineStr">
        <is>
          <t>A-490__122</t>
        </is>
      </c>
      <c r="C4369" s="1" t="n">
        <v>37.4514482334</v>
      </c>
      <c r="D4369" s="1" t="n">
        <v>-7.15567107061</v>
      </c>
      <c r="E4369" s="3" t="n">
        <v>3</v>
      </c>
      <c r="F4369" s="2" t="n">
        <v>4</v>
      </c>
      <c r="G4369" s="4" t="n">
        <v>5</v>
      </c>
      <c r="H4369" s="13" t="n">
        <v>5</v>
      </c>
      <c r="I4369" s="34" t="n">
        <v>4</v>
      </c>
      <c r="J4369" s="35" t="n">
        <v>4</v>
      </c>
      <c r="K4369" s="2" t="inlineStr">
        <is>
          <t>marker_411_740073.png</t>
        </is>
      </c>
      <c r="L4369" s="36">
        <f>HYPERLINK("NoConsenso\" &amp; K4369, "Ver Imagen")</f>
        <v/>
      </c>
      <c r="M4369" t="inlineStr">
        <is>
          <t>Mediana</t>
        </is>
      </c>
    </row>
    <row r="4370">
      <c r="A4370" s="33" t="n">
        <v>4369</v>
      </c>
      <c r="B4370" t="inlineStr">
        <is>
          <t>A-490__124</t>
        </is>
      </c>
      <c r="C4370" s="1" t="n">
        <v>37.4515032991</v>
      </c>
      <c r="D4370" s="1" t="n">
        <v>-7.15593909632</v>
      </c>
      <c r="E4370" s="3" t="n">
        <v>2</v>
      </c>
      <c r="F4370" s="2" t="n">
        <v>4</v>
      </c>
      <c r="G4370" s="4" t="n">
        <v>4</v>
      </c>
      <c r="H4370" s="13" t="n">
        <v>4</v>
      </c>
      <c r="I4370" s="34" t="n">
        <v>4</v>
      </c>
      <c r="J4370" s="35" t="n">
        <v>4</v>
      </c>
      <c r="K4370" s="2" t="inlineStr">
        <is>
          <t>marker_225_740097.png</t>
        </is>
      </c>
      <c r="L4370" s="36">
        <f>HYPERLINK("NoConsenso\" &amp; K4370, "Ver Imagen")</f>
        <v/>
      </c>
      <c r="M4370" t="inlineStr">
        <is>
          <t>Mediana</t>
        </is>
      </c>
    </row>
    <row r="4371">
      <c r="A4371" s="33" t="n">
        <v>4370</v>
      </c>
      <c r="B4371" t="inlineStr">
        <is>
          <t>A-490__125</t>
        </is>
      </c>
      <c r="C4371" s="1" t="n">
        <v>37.4515574094</v>
      </c>
      <c r="D4371" s="1" t="n">
        <v>-7.15619007005</v>
      </c>
      <c r="E4371" s="3" t="n">
        <v>2</v>
      </c>
      <c r="F4371" s="2" t="n">
        <v>4</v>
      </c>
      <c r="G4371" s="4" t="n">
        <v>4</v>
      </c>
      <c r="H4371" s="13" t="n">
        <v>3</v>
      </c>
      <c r="I4371" s="34" t="n">
        <v>3</v>
      </c>
      <c r="J4371" s="35" t="n">
        <v>3</v>
      </c>
      <c r="K4371" s="2" t="inlineStr">
        <is>
          <t>marker_559_740122.png</t>
        </is>
      </c>
      <c r="L4371" s="36">
        <f>HYPERLINK("NoConsenso\" &amp; K4371, "Ver Imagen")</f>
        <v/>
      </c>
      <c r="M4371" t="inlineStr">
        <is>
          <t>Mediana</t>
        </is>
      </c>
    </row>
    <row r="4372">
      <c r="A4372" s="33" t="n">
        <v>4371</v>
      </c>
      <c r="B4372" t="inlineStr">
        <is>
          <t>A-490__127</t>
        </is>
      </c>
      <c r="C4372" s="1" t="n">
        <v>37.4516671601</v>
      </c>
      <c r="D4372" s="1" t="n">
        <v>-7.15670199244</v>
      </c>
      <c r="E4372" s="3" t="n">
        <v>2</v>
      </c>
      <c r="F4372" s="2" t="n">
        <v>4</v>
      </c>
      <c r="G4372" s="4" t="n">
        <v>4</v>
      </c>
      <c r="H4372" s="13" t="n">
        <v>3</v>
      </c>
      <c r="I4372" s="34" t="n">
        <v>3</v>
      </c>
      <c r="J4372" s="35" t="n">
        <v>3</v>
      </c>
      <c r="K4372" s="2" t="inlineStr">
        <is>
          <t>marker_859_740172.png</t>
        </is>
      </c>
      <c r="L4372" s="36">
        <f>HYPERLINK("NoConsenso\" &amp; K4372, "Ver Imagen")</f>
        <v/>
      </c>
      <c r="M4372" t="inlineStr">
        <is>
          <t>Mediana</t>
        </is>
      </c>
    </row>
    <row r="4373">
      <c r="A4373" s="33" t="n">
        <v>4372</v>
      </c>
      <c r="B4373" t="inlineStr">
        <is>
          <t>A-490__129</t>
        </is>
      </c>
      <c r="C4373" s="1" t="n">
        <v>37.4517712559</v>
      </c>
      <c r="D4373" s="1" t="n">
        <v>-7.15720352309</v>
      </c>
      <c r="E4373" s="3" t="n">
        <v>2</v>
      </c>
      <c r="F4373" s="2" t="n">
        <v>3</v>
      </c>
      <c r="G4373" s="4" t="n">
        <v>4</v>
      </c>
      <c r="H4373" s="13" t="n">
        <v>2</v>
      </c>
      <c r="I4373" s="34" t="n">
        <v>3</v>
      </c>
      <c r="J4373" s="37" t="n">
        <v>2</v>
      </c>
      <c r="K4373" s="2" t="inlineStr">
        <is>
          <t>marker_845_740224.png</t>
        </is>
      </c>
      <c r="L4373" s="36">
        <f>HYPERLINK("NoConsenso\" &amp; K4373, "Ver Imagen")</f>
        <v/>
      </c>
      <c r="M4373" s="37" t="inlineStr">
        <is>
          <t>Modificada</t>
        </is>
      </c>
    </row>
    <row r="4374">
      <c r="A4374" s="33" t="n">
        <v>4373</v>
      </c>
      <c r="B4374" t="inlineStr">
        <is>
          <t>A-490__130</t>
        </is>
      </c>
      <c r="C4374" s="1" t="n">
        <v>37.4518295212</v>
      </c>
      <c r="D4374" s="1" t="n">
        <v>-7.15747761838</v>
      </c>
      <c r="E4374" s="3" t="n">
        <v>1</v>
      </c>
      <c r="F4374" s="2" t="n">
        <v>2</v>
      </c>
      <c r="G4374" s="4" t="n">
        <v>3</v>
      </c>
      <c r="H4374" s="13" t="n">
        <v>2</v>
      </c>
      <c r="I4374" s="34" t="n">
        <v>2</v>
      </c>
      <c r="J4374" s="35" t="n">
        <v>2</v>
      </c>
      <c r="K4374" s="2" t="inlineStr">
        <is>
          <t>marker_714_740241.png</t>
        </is>
      </c>
      <c r="L4374" s="36">
        <f>HYPERLINK("NoConsenso\" &amp; K4374, "Ver Imagen")</f>
        <v/>
      </c>
      <c r="M4374" t="inlineStr">
        <is>
          <t>Mediana</t>
        </is>
      </c>
    </row>
    <row r="4375">
      <c r="A4375" s="33" t="n">
        <v>4374</v>
      </c>
      <c r="B4375" t="inlineStr">
        <is>
          <t>A-490__132</t>
        </is>
      </c>
      <c r="C4375" s="1" t="n">
        <v>37.4519278878</v>
      </c>
      <c r="D4375" s="1" t="n">
        <v>-7.15794693461</v>
      </c>
      <c r="E4375" s="3" t="n">
        <v>1</v>
      </c>
      <c r="F4375" s="2" t="n">
        <v>3</v>
      </c>
      <c r="G4375" s="4" t="n">
        <v>3</v>
      </c>
      <c r="H4375" s="13" t="n">
        <v>2</v>
      </c>
      <c r="I4375" s="34" t="n">
        <v>2</v>
      </c>
      <c r="J4375" s="35" t="n">
        <v>2</v>
      </c>
      <c r="K4375" s="2" t="inlineStr">
        <is>
          <t>marker_207_740288.png</t>
        </is>
      </c>
      <c r="L4375" s="36">
        <f>HYPERLINK("NoConsenso\" &amp; K4375, "Ver Imagen")</f>
        <v/>
      </c>
      <c r="M4375" t="inlineStr">
        <is>
          <t>Mediana</t>
        </is>
      </c>
    </row>
    <row r="4376">
      <c r="A4376" s="33" t="n">
        <v>4375</v>
      </c>
      <c r="B4376" t="inlineStr">
        <is>
          <t>A-490__137</t>
        </is>
      </c>
      <c r="C4376" s="1" t="n">
        <v>37.4521810187</v>
      </c>
      <c r="D4376" s="1" t="n">
        <v>-7.15913281674</v>
      </c>
      <c r="E4376" s="3" t="n">
        <v>2</v>
      </c>
      <c r="F4376" s="2" t="n">
        <v>3</v>
      </c>
      <c r="G4376" s="4" t="n">
        <v>4</v>
      </c>
      <c r="H4376" s="13" t="n">
        <v>3</v>
      </c>
      <c r="I4376" s="34" t="n">
        <v>3</v>
      </c>
      <c r="J4376" s="35" t="n">
        <v>3</v>
      </c>
      <c r="K4376" s="2" t="inlineStr">
        <is>
          <t>marker_540_740452.png</t>
        </is>
      </c>
      <c r="L4376" s="36">
        <f>HYPERLINK("NoConsenso\" &amp; K4376, "Ver Imagen")</f>
        <v/>
      </c>
      <c r="M4376" t="inlineStr">
        <is>
          <t>Mediana</t>
        </is>
      </c>
    </row>
    <row r="4377">
      <c r="A4377" s="33" t="n">
        <v>4376</v>
      </c>
      <c r="B4377" t="inlineStr">
        <is>
          <t>A-490__138</t>
        </is>
      </c>
      <c r="C4377" s="1" t="n">
        <v>37.4522286331</v>
      </c>
      <c r="D4377" s="1" t="n">
        <v>-7.15935791192</v>
      </c>
      <c r="E4377" s="3" t="n">
        <v>3</v>
      </c>
      <c r="F4377" s="2" t="n">
        <v>2</v>
      </c>
      <c r="G4377" s="4" t="n">
        <v>4</v>
      </c>
      <c r="H4377" s="13" t="n">
        <v>2</v>
      </c>
      <c r="I4377" s="34" t="n">
        <v>2</v>
      </c>
      <c r="J4377" s="35" t="n">
        <v>2</v>
      </c>
      <c r="K4377" s="2" t="inlineStr">
        <is>
          <t>marker_762_740472.png</t>
        </is>
      </c>
      <c r="L4377" s="36">
        <f>HYPERLINK("NoConsenso\" &amp; K4377, "Ver Imagen")</f>
        <v/>
      </c>
      <c r="M4377" t="inlineStr">
        <is>
          <t>Mediana</t>
        </is>
      </c>
    </row>
    <row r="4378">
      <c r="A4378" s="33" t="n">
        <v>4377</v>
      </c>
      <c r="B4378" t="inlineStr">
        <is>
          <t>A-490__139</t>
        </is>
      </c>
      <c r="C4378" s="1" t="n">
        <v>37.452280452</v>
      </c>
      <c r="D4378" s="1" t="n">
        <v>-7.15960304009</v>
      </c>
      <c r="E4378" s="3" t="n">
        <v>3</v>
      </c>
      <c r="F4378" s="2" t="n">
        <v>4</v>
      </c>
      <c r="G4378" s="4" t="n">
        <v>5</v>
      </c>
      <c r="H4378" s="13" t="n">
        <v>4</v>
      </c>
      <c r="I4378" s="34" t="n">
        <v>4</v>
      </c>
      <c r="J4378" s="35" t="n">
        <v>4</v>
      </c>
      <c r="K4378" s="2" t="inlineStr">
        <is>
          <t>marker_378_740490.png</t>
        </is>
      </c>
      <c r="L4378" s="36">
        <f>HYPERLINK("NoConsenso\" &amp; K4378, "Ver Imagen")</f>
        <v/>
      </c>
      <c r="M4378" t="inlineStr">
        <is>
          <t>Mediana</t>
        </is>
      </c>
    </row>
    <row r="4379">
      <c r="A4379" s="33" t="n">
        <v>4378</v>
      </c>
      <c r="B4379" t="inlineStr">
        <is>
          <t>A-490__145</t>
        </is>
      </c>
      <c r="C4379" s="1" t="n">
        <v>37.4526643043</v>
      </c>
      <c r="D4379" s="1" t="n">
        <v>-7.16108830659</v>
      </c>
      <c r="E4379" s="3" t="n">
        <v>2</v>
      </c>
      <c r="F4379" s="2" t="n">
        <v>3</v>
      </c>
      <c r="G4379" s="4" t="n">
        <v>4</v>
      </c>
      <c r="H4379" s="13" t="n">
        <v>3</v>
      </c>
      <c r="I4379" s="34" t="n">
        <v>4</v>
      </c>
      <c r="J4379" s="35" t="n">
        <v>3</v>
      </c>
      <c r="K4379" s="2" t="inlineStr">
        <is>
          <t>marker_442_740639.png</t>
        </is>
      </c>
      <c r="L4379" s="36">
        <f>HYPERLINK("NoConsenso\" &amp; K4379, "Ver Imagen")</f>
        <v/>
      </c>
      <c r="M4379" t="inlineStr">
        <is>
          <t>Mediana</t>
        </is>
      </c>
    </row>
    <row r="4380">
      <c r="A4380" s="33" t="n">
        <v>4379</v>
      </c>
      <c r="B4380" t="inlineStr">
        <is>
          <t>A-490__148</t>
        </is>
      </c>
      <c r="C4380" s="1" t="n">
        <v>37.4529905875</v>
      </c>
      <c r="D4380" s="1" t="n">
        <v>-7.16177723004</v>
      </c>
      <c r="E4380" s="3" t="n">
        <v>1</v>
      </c>
      <c r="F4380" s="2" t="n">
        <v>3</v>
      </c>
      <c r="G4380" s="4" t="n">
        <v>3</v>
      </c>
      <c r="H4380" s="13" t="n">
        <v>2</v>
      </c>
      <c r="I4380" s="34" t="n">
        <v>1</v>
      </c>
      <c r="J4380" s="35" t="n">
        <v>2</v>
      </c>
      <c r="K4380" s="2" t="inlineStr">
        <is>
          <t>marker_875_740718.png</t>
        </is>
      </c>
      <c r="L4380" s="36">
        <f>HYPERLINK("NoConsenso\" &amp; K4380, "Ver Imagen")</f>
        <v/>
      </c>
      <c r="M4380" t="inlineStr">
        <is>
          <t>Mediana</t>
        </is>
      </c>
    </row>
    <row r="4381">
      <c r="A4381" s="33" t="n">
        <v>4380</v>
      </c>
      <c r="B4381" t="inlineStr">
        <is>
          <t>A-490__149</t>
        </is>
      </c>
      <c r="C4381" s="1" t="n">
        <v>37.4531007653</v>
      </c>
      <c r="D4381" s="1" t="n">
        <v>-7.16199089361</v>
      </c>
      <c r="E4381" s="3" t="n">
        <v>1</v>
      </c>
      <c r="F4381" s="2" t="n">
        <v>3</v>
      </c>
      <c r="G4381" s="4" t="n">
        <v>2</v>
      </c>
      <c r="H4381" s="13" t="n">
        <v>2</v>
      </c>
      <c r="I4381" s="34" t="n">
        <v>2</v>
      </c>
      <c r="J4381" s="35" t="n">
        <v>2</v>
      </c>
      <c r="K4381" s="2" t="inlineStr">
        <is>
          <t>marker_145_740737.png</t>
        </is>
      </c>
      <c r="L4381" s="36">
        <f>HYPERLINK("NoConsenso\" &amp; K4381, "Ver Imagen")</f>
        <v/>
      </c>
      <c r="M4381" t="inlineStr">
        <is>
          <t>Mediana</t>
        </is>
      </c>
    </row>
    <row r="4382">
      <c r="A4382" s="33" t="n">
        <v>4381</v>
      </c>
      <c r="B4382" t="inlineStr">
        <is>
          <t>A-490__159</t>
        </is>
      </c>
      <c r="C4382" s="1" t="n">
        <v>37.4541701596</v>
      </c>
      <c r="D4382" s="1" t="n">
        <v>-7.16410897441</v>
      </c>
      <c r="E4382" s="3" t="n">
        <v>1</v>
      </c>
      <c r="F4382" s="2" t="n">
        <v>3</v>
      </c>
      <c r="G4382" s="4" t="n">
        <v>3</v>
      </c>
      <c r="H4382" s="13" t="n">
        <v>1</v>
      </c>
      <c r="I4382" s="34" t="n">
        <v>1</v>
      </c>
      <c r="J4382" s="35" t="n">
        <v>1</v>
      </c>
      <c r="K4382" s="2" t="inlineStr">
        <is>
          <t>marker_517_741201.png</t>
        </is>
      </c>
      <c r="L4382" s="36">
        <f>HYPERLINK("NoConsenso\" &amp; K4382, "Ver Imagen")</f>
        <v/>
      </c>
      <c r="M4382" t="inlineStr">
        <is>
          <t>Mediana</t>
        </is>
      </c>
    </row>
    <row r="4383">
      <c r="A4383" s="33" t="n">
        <v>4382</v>
      </c>
      <c r="B4383" t="inlineStr">
        <is>
          <t>A-490__162</t>
        </is>
      </c>
      <c r="C4383" s="1" t="n">
        <v>37.4544893984</v>
      </c>
      <c r="D4383" s="1" t="n">
        <v>-7.16474057277</v>
      </c>
      <c r="E4383" s="3" t="n">
        <v>1</v>
      </c>
      <c r="F4383" s="2" t="n">
        <v>3</v>
      </c>
      <c r="G4383" s="4" t="n">
        <v>3</v>
      </c>
      <c r="H4383" s="13" t="n">
        <v>2</v>
      </c>
      <c r="I4383" s="34" t="n">
        <v>1</v>
      </c>
      <c r="J4383" s="35" t="n">
        <v>2</v>
      </c>
      <c r="K4383" s="2" t="inlineStr">
        <is>
          <t>marker_639_741279.png</t>
        </is>
      </c>
      <c r="L4383" s="36">
        <f>HYPERLINK("NoConsenso\" &amp; K4383, "Ver Imagen")</f>
        <v/>
      </c>
      <c r="M4383" t="inlineStr">
        <is>
          <t>Mediana</t>
        </is>
      </c>
    </row>
    <row r="4384">
      <c r="A4384" s="33" t="n">
        <v>4383</v>
      </c>
      <c r="B4384" t="inlineStr">
        <is>
          <t>A-490__163</t>
        </is>
      </c>
      <c r="C4384" s="1" t="n">
        <v>37.4546129467</v>
      </c>
      <c r="D4384" s="1" t="n">
        <v>-7.16497358412</v>
      </c>
      <c r="E4384" s="3" t="n">
        <v>2</v>
      </c>
      <c r="F4384" s="2" t="n">
        <v>4</v>
      </c>
      <c r="G4384" s="4" t="n">
        <v>3</v>
      </c>
      <c r="H4384" s="13" t="n">
        <v>3</v>
      </c>
      <c r="I4384" s="34" t="n">
        <v>4</v>
      </c>
      <c r="J4384" s="35" t="n">
        <v>3</v>
      </c>
      <c r="K4384" s="2" t="inlineStr">
        <is>
          <t>marker_935_741303.png</t>
        </is>
      </c>
      <c r="L4384" s="36">
        <f>HYPERLINK("NoConsenso\" &amp; K4384, "Ver Imagen")</f>
        <v/>
      </c>
      <c r="M4384" t="inlineStr">
        <is>
          <t>Mediana</t>
        </is>
      </c>
    </row>
    <row r="4385">
      <c r="A4385" s="33" t="n">
        <v>4384</v>
      </c>
      <c r="B4385" t="inlineStr">
        <is>
          <t>A-490__166</t>
        </is>
      </c>
      <c r="C4385" s="1" t="n">
        <v>37.4549707146</v>
      </c>
      <c r="D4385" s="1" t="n">
        <v>-7.1655314371</v>
      </c>
      <c r="E4385" s="3" t="n">
        <v>2</v>
      </c>
      <c r="F4385" s="2" t="n">
        <v>3</v>
      </c>
      <c r="G4385" s="4" t="n">
        <v>4</v>
      </c>
      <c r="H4385" s="13" t="n">
        <v>3</v>
      </c>
      <c r="I4385" s="34" t="n">
        <v>3</v>
      </c>
      <c r="J4385" s="35" t="n">
        <v>3</v>
      </c>
      <c r="K4385" s="2" t="inlineStr">
        <is>
          <t>marker_621_741379.png</t>
        </is>
      </c>
      <c r="L4385" s="36">
        <f>HYPERLINK("NoConsenso\" &amp; K4385, "Ver Imagen")</f>
        <v/>
      </c>
      <c r="M4385" t="inlineStr">
        <is>
          <t>Mediana</t>
        </is>
      </c>
    </row>
    <row r="4386">
      <c r="A4386" s="33" t="n">
        <v>4385</v>
      </c>
      <c r="B4386" t="inlineStr">
        <is>
          <t>A-490__174</t>
        </is>
      </c>
      <c r="C4386" s="1" t="n">
        <v>37.4561405207</v>
      </c>
      <c r="D4386" s="1" t="n">
        <v>-7.16697078682</v>
      </c>
      <c r="E4386" s="3" t="n">
        <v>2</v>
      </c>
      <c r="F4386" s="2" t="n">
        <v>4</v>
      </c>
      <c r="G4386" s="4" t="n">
        <v>3</v>
      </c>
      <c r="H4386" s="13" t="n">
        <v>3</v>
      </c>
      <c r="I4386" s="34" t="n">
        <v>3</v>
      </c>
      <c r="J4386" s="35" t="n">
        <v>3</v>
      </c>
      <c r="K4386" s="2" t="inlineStr">
        <is>
          <t>marker_955_741587.png</t>
        </is>
      </c>
      <c r="L4386" s="36">
        <f>HYPERLINK("NoConsenso\" &amp; K4386, "Ver Imagen")</f>
        <v/>
      </c>
      <c r="M4386" t="inlineStr">
        <is>
          <t>Mediana</t>
        </is>
      </c>
    </row>
    <row r="4387">
      <c r="A4387" s="33" t="n">
        <v>4386</v>
      </c>
      <c r="B4387" t="inlineStr">
        <is>
          <t>A-490__178</t>
        </is>
      </c>
      <c r="C4387" s="1" t="n">
        <v>37.4567588142</v>
      </c>
      <c r="D4387" s="1" t="n">
        <v>-7.16773783315</v>
      </c>
      <c r="E4387" s="3" t="n">
        <v>1</v>
      </c>
      <c r="F4387" s="2" t="n">
        <v>3</v>
      </c>
      <c r="G4387" s="4" t="n">
        <v>3</v>
      </c>
      <c r="H4387" s="13" t="n">
        <v>3</v>
      </c>
      <c r="I4387" s="34" t="n">
        <v>3</v>
      </c>
      <c r="J4387" s="35" t="n">
        <v>3</v>
      </c>
      <c r="K4387" s="2" t="inlineStr">
        <is>
          <t>marker_687_741721.png</t>
        </is>
      </c>
      <c r="L4387" s="36">
        <f>HYPERLINK("NoConsenso\" &amp; K4387, "Ver Imagen")</f>
        <v/>
      </c>
      <c r="M4387" t="inlineStr">
        <is>
          <t>Mediana</t>
        </is>
      </c>
    </row>
    <row r="4388">
      <c r="A4388" s="33" t="n">
        <v>4387</v>
      </c>
      <c r="B4388" t="inlineStr">
        <is>
          <t>A-490__179</t>
        </is>
      </c>
      <c r="C4388" s="1" t="n">
        <v>37.4568450044</v>
      </c>
      <c r="D4388" s="1" t="n">
        <v>-7.167845819</v>
      </c>
      <c r="E4388" s="3" t="n">
        <v>2</v>
      </c>
      <c r="F4388" s="2" t="n">
        <v>3</v>
      </c>
      <c r="G4388" s="4" t="n">
        <v>4</v>
      </c>
      <c r="H4388" s="13" t="n">
        <v>3</v>
      </c>
      <c r="I4388" s="34" t="n">
        <v>3</v>
      </c>
      <c r="J4388" s="35" t="n">
        <v>3</v>
      </c>
      <c r="K4388" s="2" t="inlineStr">
        <is>
          <t>marker_374_741761.png</t>
        </is>
      </c>
      <c r="L4388" s="36">
        <f>HYPERLINK("NoConsenso\" &amp; K4388, "Ver Imagen")</f>
        <v/>
      </c>
      <c r="M4388" t="inlineStr">
        <is>
          <t>Mediana</t>
        </is>
      </c>
    </row>
    <row r="4389">
      <c r="A4389" s="33" t="n">
        <v>4388</v>
      </c>
      <c r="B4389" t="inlineStr">
        <is>
          <t>A-490__183</t>
        </is>
      </c>
      <c r="C4389" s="1" t="n">
        <v>37.457414289</v>
      </c>
      <c r="D4389" s="1" t="n">
        <v>-7.16854702135</v>
      </c>
      <c r="E4389" s="3" t="n">
        <v>2</v>
      </c>
      <c r="F4389" s="2" t="n">
        <v>4</v>
      </c>
      <c r="G4389" s="4" t="n">
        <v>3</v>
      </c>
      <c r="H4389" s="13" t="n">
        <v>3</v>
      </c>
      <c r="I4389" s="34" t="n">
        <v>3</v>
      </c>
      <c r="J4389" s="35" t="n">
        <v>3</v>
      </c>
      <c r="K4389" s="2" t="inlineStr">
        <is>
          <t>marker_584_741872.png</t>
        </is>
      </c>
      <c r="L4389" s="36">
        <f>HYPERLINK("NoConsenso\" &amp; K4389, "Ver Imagen")</f>
        <v/>
      </c>
      <c r="M4389" t="inlineStr">
        <is>
          <t>Mediana</t>
        </is>
      </c>
    </row>
    <row r="4390">
      <c r="A4390" s="33" t="n">
        <v>4389</v>
      </c>
      <c r="B4390" t="inlineStr">
        <is>
          <t>A-490__198</t>
        </is>
      </c>
      <c r="C4390" s="1" t="n">
        <v>37.4595804907</v>
      </c>
      <c r="D4390" s="1" t="n">
        <v>-7.17121708106</v>
      </c>
      <c r="E4390" s="3" t="n">
        <v>2</v>
      </c>
      <c r="F4390" s="2" t="n">
        <v>4</v>
      </c>
      <c r="G4390" s="4" t="n">
        <v>3</v>
      </c>
      <c r="H4390" s="13" t="n">
        <v>3</v>
      </c>
      <c r="I4390" s="34" t="n">
        <v>4</v>
      </c>
      <c r="J4390" s="35" t="n">
        <v>3</v>
      </c>
      <c r="K4390" s="2" t="inlineStr">
        <is>
          <t>marker_546_742299.png</t>
        </is>
      </c>
      <c r="L4390" s="36">
        <f>HYPERLINK("NoConsenso\" &amp; K4390, "Ver Imagen")</f>
        <v/>
      </c>
      <c r="M4390" t="inlineStr">
        <is>
          <t>Mediana</t>
        </is>
      </c>
    </row>
    <row r="4391">
      <c r="A4391" s="33" t="n">
        <v>4390</v>
      </c>
      <c r="B4391" t="inlineStr">
        <is>
          <t>A-490__200</t>
        </is>
      </c>
      <c r="C4391" s="1" t="n">
        <v>37.4598497992</v>
      </c>
      <c r="D4391" s="1" t="n">
        <v>-7.17160969412</v>
      </c>
      <c r="E4391" s="3" t="n">
        <v>1</v>
      </c>
      <c r="F4391" s="2" t="n">
        <v>3</v>
      </c>
      <c r="G4391" s="4" t="n">
        <v>2</v>
      </c>
      <c r="H4391" s="13" t="n">
        <v>2</v>
      </c>
      <c r="I4391" s="34" t="n">
        <v>3</v>
      </c>
      <c r="J4391" s="35" t="n">
        <v>2</v>
      </c>
      <c r="K4391" s="2" t="inlineStr">
        <is>
          <t>marker_399_742352.png</t>
        </is>
      </c>
      <c r="L4391" s="36">
        <f>HYPERLINK("NoConsenso\" &amp; K4391, "Ver Imagen")</f>
        <v/>
      </c>
      <c r="M4391" t="inlineStr">
        <is>
          <t>Mediana</t>
        </is>
      </c>
    </row>
    <row r="4392">
      <c r="A4392" s="33" t="n">
        <v>4391</v>
      </c>
      <c r="B4392" t="inlineStr">
        <is>
          <t>A-490__201</t>
        </is>
      </c>
      <c r="C4392" s="1" t="n">
        <v>37.4600188476</v>
      </c>
      <c r="D4392" s="1" t="n">
        <v>-7.17187392805</v>
      </c>
      <c r="E4392" s="3" t="n">
        <v>1</v>
      </c>
      <c r="F4392" s="2" t="n">
        <v>3</v>
      </c>
      <c r="G4392" s="4" t="n">
        <v>2</v>
      </c>
      <c r="H4392" s="13" t="n">
        <v>2</v>
      </c>
      <c r="I4392" s="34" t="n">
        <v>2</v>
      </c>
      <c r="J4392" s="35" t="n">
        <v>2</v>
      </c>
      <c r="K4392" s="2" t="inlineStr">
        <is>
          <t>marker_773_742374.png</t>
        </is>
      </c>
      <c r="L4392" s="36">
        <f>HYPERLINK("NoConsenso\" &amp; K4392, "Ver Imagen")</f>
        <v/>
      </c>
      <c r="M4392" t="inlineStr">
        <is>
          <t>Mediana</t>
        </is>
      </c>
    </row>
    <row r="4393">
      <c r="A4393" s="33" t="n">
        <v>4392</v>
      </c>
      <c r="B4393" t="inlineStr">
        <is>
          <t>A-490__202</t>
        </is>
      </c>
      <c r="C4393" s="1" t="n">
        <v>37.4600985667</v>
      </c>
      <c r="D4393" s="1" t="n">
        <v>-7.17200205255</v>
      </c>
      <c r="E4393" s="3" t="n">
        <v>2</v>
      </c>
      <c r="F4393" s="2" t="n">
        <v>4</v>
      </c>
      <c r="G4393" s="4" t="n">
        <v>4</v>
      </c>
      <c r="H4393" s="13" t="n">
        <v>2</v>
      </c>
      <c r="I4393" s="34" t="n">
        <v>3</v>
      </c>
      <c r="J4393" s="35" t="n">
        <v>3</v>
      </c>
      <c r="K4393" s="2" t="inlineStr">
        <is>
          <t>marker_286_742423.png</t>
        </is>
      </c>
      <c r="L4393" s="36">
        <f>HYPERLINK("NoConsenso\" &amp; K4393, "Ver Imagen")</f>
        <v/>
      </c>
      <c r="M4393" t="inlineStr">
        <is>
          <t>Mediana</t>
        </is>
      </c>
    </row>
    <row r="4394">
      <c r="A4394" s="33" t="n">
        <v>4393</v>
      </c>
      <c r="B4394" t="inlineStr">
        <is>
          <t>A-490__215</t>
        </is>
      </c>
      <c r="C4394" s="1" t="n">
        <v>37.4617056457</v>
      </c>
      <c r="D4394" s="1" t="n">
        <v>-7.17464999961</v>
      </c>
      <c r="E4394" s="3" t="n">
        <v>2</v>
      </c>
      <c r="F4394" s="2" t="n">
        <v>4</v>
      </c>
      <c r="G4394" s="4" t="n">
        <v>3</v>
      </c>
      <c r="H4394" s="13" t="n">
        <v>3</v>
      </c>
      <c r="I4394" s="34" t="n">
        <v>4</v>
      </c>
      <c r="J4394" s="35" t="n">
        <v>3</v>
      </c>
      <c r="K4394" s="2" t="inlineStr">
        <is>
          <t>marker_634_743083.png</t>
        </is>
      </c>
      <c r="L4394" s="36">
        <f>HYPERLINK("NoConsenso\" &amp; K4394, "Ver Imagen")</f>
        <v/>
      </c>
      <c r="M4394" t="inlineStr">
        <is>
          <t>Mediana</t>
        </is>
      </c>
    </row>
    <row r="4395">
      <c r="A4395" s="33" t="n">
        <v>4394</v>
      </c>
      <c r="B4395" t="inlineStr">
        <is>
          <t>A-490__227</t>
        </is>
      </c>
      <c r="C4395" s="1" t="n">
        <v>37.4631647884</v>
      </c>
      <c r="D4395" s="1" t="n">
        <v>-7.17703448571</v>
      </c>
      <c r="E4395" s="3" t="n">
        <v>1</v>
      </c>
      <c r="F4395" s="2" t="n">
        <v>3</v>
      </c>
      <c r="G4395" s="4" t="n">
        <v>2</v>
      </c>
      <c r="H4395" s="13" t="n">
        <v>2</v>
      </c>
      <c r="I4395" s="34" t="n">
        <v>2</v>
      </c>
      <c r="J4395" s="35" t="n">
        <v>2</v>
      </c>
      <c r="K4395" s="2" t="inlineStr">
        <is>
          <t>marker_354_743756.png</t>
        </is>
      </c>
      <c r="L4395" s="36">
        <f>HYPERLINK("NoConsenso\" &amp; K4395, "Ver Imagen")</f>
        <v/>
      </c>
      <c r="M4395" t="inlineStr">
        <is>
          <t>Mediana</t>
        </is>
      </c>
    </row>
    <row r="4396">
      <c r="A4396" s="33" t="n">
        <v>4395</v>
      </c>
      <c r="B4396" t="inlineStr">
        <is>
          <t>A-490__228</t>
        </is>
      </c>
      <c r="C4396" s="1" t="n">
        <v>37.4633086154</v>
      </c>
      <c r="D4396" s="1" t="n">
        <v>-7.17726927032</v>
      </c>
      <c r="E4396" s="3" t="n">
        <v>2</v>
      </c>
      <c r="F4396" s="2" t="n">
        <v>3</v>
      </c>
      <c r="G4396" s="4" t="n">
        <v>1</v>
      </c>
      <c r="H4396" s="13" t="n">
        <v>2</v>
      </c>
      <c r="I4396" s="34" t="n">
        <v>2</v>
      </c>
      <c r="J4396" s="35" t="n">
        <v>2</v>
      </c>
      <c r="K4396" s="2" t="inlineStr">
        <is>
          <t>marker_445_743786.png</t>
        </is>
      </c>
      <c r="L4396" s="36">
        <f>HYPERLINK("NoConsenso\" &amp; K4396, "Ver Imagen")</f>
        <v/>
      </c>
      <c r="M4396" t="inlineStr">
        <is>
          <t>Mediana</t>
        </is>
      </c>
    </row>
    <row r="4397">
      <c r="A4397" s="33" t="n">
        <v>4396</v>
      </c>
      <c r="B4397" t="inlineStr">
        <is>
          <t>A-490__236</t>
        </is>
      </c>
      <c r="C4397" s="1" t="n">
        <v>37.4642460513</v>
      </c>
      <c r="D4397" s="1" t="n">
        <v>-7.17897794555</v>
      </c>
      <c r="E4397" s="3" t="n">
        <v>2</v>
      </c>
      <c r="F4397" s="2" t="n">
        <v>3</v>
      </c>
      <c r="G4397" s="4" t="n">
        <v>4</v>
      </c>
      <c r="H4397" s="13" t="n">
        <v>2</v>
      </c>
      <c r="I4397" s="34" t="n">
        <v>2</v>
      </c>
      <c r="J4397" s="35" t="n">
        <v>2</v>
      </c>
      <c r="K4397" s="2" t="inlineStr">
        <is>
          <t>marker_226_744014.png</t>
        </is>
      </c>
      <c r="L4397" s="36">
        <f>HYPERLINK("NoConsenso\" &amp; K4397, "Ver Imagen")</f>
        <v/>
      </c>
      <c r="M4397" t="inlineStr">
        <is>
          <t>Mediana</t>
        </is>
      </c>
    </row>
    <row r="4398">
      <c r="A4398" s="33" t="n">
        <v>4397</v>
      </c>
      <c r="B4398" t="inlineStr">
        <is>
          <t>A-490__240</t>
        </is>
      </c>
      <c r="C4398" s="1" t="n">
        <v>37.4647332406</v>
      </c>
      <c r="D4398" s="1" t="n">
        <v>-7.17982576636</v>
      </c>
      <c r="E4398" s="3" t="n">
        <v>3</v>
      </c>
      <c r="F4398" s="2" t="n">
        <v>4</v>
      </c>
      <c r="G4398" s="4" t="n">
        <v>5</v>
      </c>
      <c r="H4398" s="13" t="n">
        <v>4</v>
      </c>
      <c r="I4398" s="34" t="n">
        <v>4</v>
      </c>
      <c r="J4398" s="35" t="n">
        <v>4</v>
      </c>
      <c r="K4398" s="2" t="inlineStr">
        <is>
          <t>marker_865_749166.png</t>
        </is>
      </c>
      <c r="L4398" s="36">
        <f>HYPERLINK("NoConsenso\" &amp; K4398, "Ver Imagen")</f>
        <v/>
      </c>
      <c r="M4398" t="inlineStr">
        <is>
          <t>Mediana</t>
        </is>
      </c>
    </row>
    <row r="4399">
      <c r="A4399" s="33" t="n">
        <v>4398</v>
      </c>
      <c r="B4399" t="inlineStr">
        <is>
          <t>A-490__243</t>
        </is>
      </c>
      <c r="C4399" s="1" t="n">
        <v>37.4650485714</v>
      </c>
      <c r="D4399" s="1" t="n">
        <v>-7.18039723651</v>
      </c>
      <c r="E4399" s="3" t="n">
        <v>2</v>
      </c>
      <c r="F4399" s="2" t="n">
        <v>3</v>
      </c>
      <c r="G4399" s="4" t="n">
        <v>4</v>
      </c>
      <c r="H4399" s="13" t="n">
        <v>3</v>
      </c>
      <c r="I4399" s="34" t="n">
        <v>3</v>
      </c>
      <c r="J4399" s="35" t="n">
        <v>3</v>
      </c>
      <c r="K4399" s="2" t="inlineStr">
        <is>
          <t>marker_473_749351.png</t>
        </is>
      </c>
      <c r="L4399" s="36">
        <f>HYPERLINK("NoConsenso\" &amp; K4399, "Ver Imagen")</f>
        <v/>
      </c>
      <c r="M4399" t="inlineStr">
        <is>
          <t>Mediana</t>
        </is>
      </c>
    </row>
    <row r="4400">
      <c r="A4400" s="33" t="n">
        <v>4399</v>
      </c>
      <c r="B4400" t="inlineStr">
        <is>
          <t>A-490__247</t>
        </is>
      </c>
      <c r="C4400" s="1" t="n">
        <v>37.4654954533</v>
      </c>
      <c r="D4400" s="1" t="n">
        <v>-7.18123758249</v>
      </c>
      <c r="E4400" s="3" t="n">
        <v>3</v>
      </c>
      <c r="F4400" s="2" t="n">
        <v>4</v>
      </c>
      <c r="G4400" s="4" t="n">
        <v>5</v>
      </c>
      <c r="H4400" s="13" t="n">
        <v>4</v>
      </c>
      <c r="I4400" s="34" t="n">
        <v>4</v>
      </c>
      <c r="J4400" s="35" t="n">
        <v>4</v>
      </c>
      <c r="K4400" s="2" t="inlineStr">
        <is>
          <t>marker_430_749441.png</t>
        </is>
      </c>
      <c r="L4400" s="36">
        <f>HYPERLINK("NoConsenso\" &amp; K4400, "Ver Imagen")</f>
        <v/>
      </c>
      <c r="M4400" t="inlineStr">
        <is>
          <t>Mediana</t>
        </is>
      </c>
    </row>
    <row r="4401">
      <c r="A4401" s="33" t="n">
        <v>4400</v>
      </c>
      <c r="B4401" t="inlineStr">
        <is>
          <t>A-490__249</t>
        </is>
      </c>
      <c r="C4401" s="1" t="n">
        <v>37.4657160408</v>
      </c>
      <c r="D4401" s="1" t="n">
        <v>-7.18165073699</v>
      </c>
      <c r="E4401" s="3" t="n">
        <v>3</v>
      </c>
      <c r="F4401" s="2" t="n">
        <v>3</v>
      </c>
      <c r="G4401" s="4" t="n">
        <v>5</v>
      </c>
      <c r="H4401" s="13" t="n">
        <v>3</v>
      </c>
      <c r="I4401" s="34" t="n">
        <v>4</v>
      </c>
      <c r="J4401" s="35" t="n">
        <v>3</v>
      </c>
      <c r="K4401" s="2" t="inlineStr">
        <is>
          <t>marker_675_749478.png</t>
        </is>
      </c>
      <c r="L4401" s="36">
        <f>HYPERLINK("NoConsenso\" &amp; K4401, "Ver Imagen")</f>
        <v/>
      </c>
      <c r="M4401" t="inlineStr">
        <is>
          <t>Mediana</t>
        </is>
      </c>
    </row>
    <row r="4402">
      <c r="A4402" s="33" t="n">
        <v>4401</v>
      </c>
      <c r="B4402" t="inlineStr">
        <is>
          <t>A-490__262</t>
        </is>
      </c>
      <c r="C4402" s="1" t="n">
        <v>37.4671830547</v>
      </c>
      <c r="D4402" s="1" t="n">
        <v>-7.18444872456</v>
      </c>
      <c r="E4402" s="3" t="n">
        <v>2</v>
      </c>
      <c r="F4402" s="2" t="n">
        <v>2</v>
      </c>
      <c r="G4402" s="4" t="n">
        <v>4</v>
      </c>
      <c r="H4402" s="13" t="n">
        <v>2</v>
      </c>
      <c r="I4402" s="34" t="n">
        <v>1</v>
      </c>
      <c r="J4402" s="35" t="n">
        <v>2</v>
      </c>
      <c r="K4402" s="2" t="inlineStr">
        <is>
          <t>marker_577_749750.png</t>
        </is>
      </c>
      <c r="L4402" s="36">
        <f>HYPERLINK("NoConsenso\" &amp; K4402, "Ver Imagen")</f>
        <v/>
      </c>
      <c r="M4402" t="inlineStr">
        <is>
          <t>Mediana</t>
        </is>
      </c>
    </row>
    <row r="4403">
      <c r="A4403" s="33" t="n">
        <v>4402</v>
      </c>
      <c r="B4403" t="inlineStr">
        <is>
          <t>A-490__101</t>
        </is>
      </c>
      <c r="C4403" s="1" t="n">
        <v>37.4492767741</v>
      </c>
      <c r="D4403" s="1" t="n">
        <v>-7.15093574827</v>
      </c>
      <c r="E4403" s="3" t="n">
        <v>3</v>
      </c>
      <c r="F4403" s="2" t="n">
        <v>4</v>
      </c>
      <c r="G4403" s="4" t="n">
        <v>5</v>
      </c>
      <c r="H4403" s="13" t="n">
        <v>4</v>
      </c>
      <c r="I4403" s="34" t="n">
        <v>4</v>
      </c>
      <c r="J4403" s="35" t="n">
        <v>4</v>
      </c>
      <c r="K4403" s="2" t="inlineStr">
        <is>
          <t>marker_347_739180.png</t>
        </is>
      </c>
      <c r="L4403" s="36">
        <f>HYPERLINK("NoConsenso\" &amp; K4403, "Ver Imagen")</f>
        <v/>
      </c>
      <c r="M4403" t="inlineStr">
        <is>
          <t>Mediana</t>
        </is>
      </c>
    </row>
    <row r="4404">
      <c r="A4404" s="33" t="n">
        <v>4403</v>
      </c>
      <c r="B4404" t="inlineStr">
        <is>
          <t>A-490__352</t>
        </is>
      </c>
      <c r="C4404" s="1" t="n">
        <v>37.4770721792</v>
      </c>
      <c r="D4404" s="1" t="n">
        <v>-7.20355790635</v>
      </c>
      <c r="E4404" s="3" t="n">
        <v>2</v>
      </c>
      <c r="F4404" s="2" t="n">
        <v>2</v>
      </c>
      <c r="G4404" s="4" t="n">
        <v>4</v>
      </c>
      <c r="H4404" s="13" t="n">
        <v>2</v>
      </c>
      <c r="I4404" s="34" t="n">
        <v>2</v>
      </c>
      <c r="J4404" s="35" t="n">
        <v>2</v>
      </c>
      <c r="K4404" s="2" t="inlineStr">
        <is>
          <t>marker_755_751711.png</t>
        </is>
      </c>
      <c r="L4404" s="36">
        <f>HYPERLINK("NoConsenso\" &amp; K4404, "Ver Imagen")</f>
        <v/>
      </c>
      <c r="M4404" t="inlineStr">
        <is>
          <t>Mediana</t>
        </is>
      </c>
    </row>
    <row r="4405">
      <c r="A4405" s="33" t="n">
        <v>4404</v>
      </c>
      <c r="B4405" t="inlineStr">
        <is>
          <t>A-490__364</t>
        </is>
      </c>
      <c r="C4405" s="1" t="n">
        <v>37.4782500125</v>
      </c>
      <c r="D4405" s="1" t="n">
        <v>-7.20628775171</v>
      </c>
      <c r="E4405" s="3" t="n">
        <v>1</v>
      </c>
      <c r="F4405" s="2" t="n">
        <v>3</v>
      </c>
      <c r="G4405" s="4" t="n">
        <v>2</v>
      </c>
      <c r="H4405" s="13" t="n">
        <v>1</v>
      </c>
      <c r="I4405" s="34" t="n">
        <v>1</v>
      </c>
      <c r="J4405" s="35" t="n">
        <v>1</v>
      </c>
      <c r="K4405" s="2" t="inlineStr">
        <is>
          <t>marker_607_751979.png</t>
        </is>
      </c>
      <c r="L4405" s="36">
        <f>HYPERLINK("NoConsenso\" &amp; K4405, "Ver Imagen")</f>
        <v/>
      </c>
      <c r="M4405" t="inlineStr">
        <is>
          <t>Mediana</t>
        </is>
      </c>
    </row>
    <row r="4406">
      <c r="A4406" s="33" t="n">
        <v>4405</v>
      </c>
      <c r="B4406" t="inlineStr">
        <is>
          <t>A-490__366</t>
        </is>
      </c>
      <c r="C4406" s="1" t="n">
        <v>37.4784288226</v>
      </c>
      <c r="D4406" s="1" t="n">
        <v>-7.2067080813</v>
      </c>
      <c r="E4406" s="3" t="n">
        <v>1</v>
      </c>
      <c r="F4406" s="2" t="n">
        <v>3</v>
      </c>
      <c r="G4406" s="4" t="n">
        <v>2</v>
      </c>
      <c r="H4406" s="13" t="n">
        <v>1</v>
      </c>
      <c r="I4406" s="34" t="n">
        <v>1</v>
      </c>
      <c r="J4406" s="35" t="n">
        <v>1</v>
      </c>
      <c r="K4406" s="2" t="inlineStr">
        <is>
          <t>marker_243_752013.png</t>
        </is>
      </c>
      <c r="L4406" s="36">
        <f>HYPERLINK("NoConsenso\" &amp; K4406, "Ver Imagen")</f>
        <v/>
      </c>
      <c r="M4406" t="inlineStr">
        <is>
          <t>Mediana</t>
        </is>
      </c>
    </row>
    <row r="4407">
      <c r="A4407" s="33" t="n">
        <v>4406</v>
      </c>
      <c r="B4407" t="inlineStr">
        <is>
          <t>A-490__371</t>
        </is>
      </c>
      <c r="C4407" s="1" t="n">
        <v>37.4789036571</v>
      </c>
      <c r="D4407" s="1" t="n">
        <v>-7.20780186937</v>
      </c>
      <c r="E4407" s="3" t="n">
        <v>1</v>
      </c>
      <c r="F4407" s="2" t="n">
        <v>3</v>
      </c>
      <c r="G4407" s="4" t="n">
        <v>2</v>
      </c>
      <c r="H4407" s="13" t="n">
        <v>2</v>
      </c>
      <c r="I4407" s="34" t="n">
        <v>2</v>
      </c>
      <c r="J4407" s="35" t="n">
        <v>2</v>
      </c>
      <c r="K4407" s="2" t="inlineStr">
        <is>
          <t>marker_893_752122.png</t>
        </is>
      </c>
      <c r="L4407" s="36">
        <f>HYPERLINK("NoConsenso\" &amp; K4407, "Ver Imagen")</f>
        <v/>
      </c>
      <c r="M4407" t="inlineStr">
        <is>
          <t>Mediana</t>
        </is>
      </c>
    </row>
    <row r="4408">
      <c r="A4408" s="33" t="n">
        <v>4407</v>
      </c>
      <c r="B4408" t="inlineStr">
        <is>
          <t>A-490__378</t>
        </is>
      </c>
      <c r="C4408" s="1" t="n">
        <v>37.4795749918</v>
      </c>
      <c r="D4408" s="1" t="n">
        <v>-7.20937986188</v>
      </c>
      <c r="E4408" s="3" t="n">
        <v>2</v>
      </c>
      <c r="F4408" s="2" t="n">
        <v>4</v>
      </c>
      <c r="G4408" s="4" t="n">
        <v>3</v>
      </c>
      <c r="H4408" s="13" t="n">
        <v>3</v>
      </c>
      <c r="I4408" s="34" t="n">
        <v>4</v>
      </c>
      <c r="J4408" s="35" t="n">
        <v>3</v>
      </c>
      <c r="K4408" s="2" t="inlineStr">
        <is>
          <t>marker_566_752289.png</t>
        </is>
      </c>
      <c r="L4408" s="36">
        <f>HYPERLINK("NoConsenso\" &amp; K4408, "Ver Imagen")</f>
        <v/>
      </c>
      <c r="M4408" t="inlineStr">
        <is>
          <t>Mediana</t>
        </is>
      </c>
    </row>
    <row r="4409">
      <c r="A4409" s="33" t="n">
        <v>4408</v>
      </c>
      <c r="B4409" t="inlineStr">
        <is>
          <t>A-490__386</t>
        </is>
      </c>
      <c r="C4409" s="1" t="n">
        <v>37.4803374413</v>
      </c>
      <c r="D4409" s="1" t="n">
        <v>-7.21114025556</v>
      </c>
      <c r="E4409" s="3" t="n">
        <v>1</v>
      </c>
      <c r="F4409" s="2" t="n">
        <v>3</v>
      </c>
      <c r="G4409" s="4" t="n">
        <v>2</v>
      </c>
      <c r="H4409" s="13" t="n">
        <v>2</v>
      </c>
      <c r="I4409" s="34" t="n">
        <v>2</v>
      </c>
      <c r="J4409" s="35" t="n">
        <v>2</v>
      </c>
      <c r="K4409" s="2" t="inlineStr">
        <is>
          <t>marker_428_752462.png</t>
        </is>
      </c>
      <c r="L4409" s="36">
        <f>HYPERLINK("NoConsenso\" &amp; K4409, "Ver Imagen")</f>
        <v/>
      </c>
      <c r="M4409" t="inlineStr">
        <is>
          <t>Mediana</t>
        </is>
      </c>
    </row>
    <row r="4410">
      <c r="A4410" s="33" t="n">
        <v>4409</v>
      </c>
      <c r="B4410" t="inlineStr">
        <is>
          <t>A-490__390</t>
        </is>
      </c>
      <c r="C4410" s="1" t="n">
        <v>37.4807173929</v>
      </c>
      <c r="D4410" s="1" t="n">
        <v>-7.21208298345</v>
      </c>
      <c r="E4410" s="3" t="n">
        <v>1</v>
      </c>
      <c r="F4410" s="2" t="n">
        <v>3</v>
      </c>
      <c r="G4410" s="4" t="n">
        <v>2</v>
      </c>
      <c r="H4410" s="13" t="n">
        <v>2</v>
      </c>
      <c r="I4410" s="34" t="n">
        <v>1</v>
      </c>
      <c r="J4410" s="35" t="n">
        <v>2</v>
      </c>
      <c r="K4410" s="2" t="inlineStr">
        <is>
          <t>marker_530_752550.png</t>
        </is>
      </c>
      <c r="L4410" s="36">
        <f>HYPERLINK("NoConsenso\" &amp; K4410, "Ver Imagen")</f>
        <v/>
      </c>
      <c r="M4410" t="inlineStr">
        <is>
          <t>Mediana</t>
        </is>
      </c>
    </row>
    <row r="4411">
      <c r="A4411" s="33" t="n">
        <v>4410</v>
      </c>
      <c r="B4411" t="inlineStr">
        <is>
          <t>A-490__391</t>
        </is>
      </c>
      <c r="C4411" s="1" t="n">
        <v>37.4808033427</v>
      </c>
      <c r="D4411" s="1" t="n">
        <v>-7.21231540898</v>
      </c>
      <c r="E4411" s="3" t="n">
        <v>2</v>
      </c>
      <c r="F4411" s="2" t="n">
        <v>4</v>
      </c>
      <c r="G4411" s="4" t="n">
        <v>3</v>
      </c>
      <c r="H4411" s="13" t="n">
        <v>3</v>
      </c>
      <c r="I4411" s="34" t="n">
        <v>3</v>
      </c>
      <c r="J4411" s="35" t="n">
        <v>3</v>
      </c>
      <c r="K4411" s="2" t="inlineStr">
        <is>
          <t>marker_581_752572.png</t>
        </is>
      </c>
      <c r="L4411" s="36">
        <f>HYPERLINK("NoConsenso\" &amp; K4411, "Ver Imagen")</f>
        <v/>
      </c>
      <c r="M4411" t="inlineStr">
        <is>
          <t>Mediana</t>
        </is>
      </c>
    </row>
    <row r="4412">
      <c r="A4412" s="33" t="n">
        <v>4411</v>
      </c>
      <c r="B4412" t="inlineStr">
        <is>
          <t>A-490__393</t>
        </is>
      </c>
      <c r="C4412" s="1" t="n">
        <v>37.4809945057</v>
      </c>
      <c r="D4412" s="1" t="n">
        <v>-7.21283438437</v>
      </c>
      <c r="E4412" s="3" t="n">
        <v>1</v>
      </c>
      <c r="F4412" s="2" t="n">
        <v>3</v>
      </c>
      <c r="G4412" s="4" t="n">
        <v>2</v>
      </c>
      <c r="H4412" s="13" t="n">
        <v>3</v>
      </c>
      <c r="I4412" s="34" t="n">
        <v>3</v>
      </c>
      <c r="J4412" s="35" t="n">
        <v>3</v>
      </c>
      <c r="K4412" s="2" t="inlineStr">
        <is>
          <t>marker_889_752710.png</t>
        </is>
      </c>
      <c r="L4412" s="36">
        <f>HYPERLINK("NoConsenso\" &amp; K4412, "Ver Imagen")</f>
        <v/>
      </c>
      <c r="M4412" t="inlineStr">
        <is>
          <t>Mediana</t>
        </is>
      </c>
    </row>
    <row r="4413">
      <c r="A4413" s="33" t="n">
        <v>4412</v>
      </c>
      <c r="B4413" t="inlineStr">
        <is>
          <t>A-490__400</t>
        </is>
      </c>
      <c r="C4413" s="1" t="n">
        <v>37.4815547931</v>
      </c>
      <c r="D4413" s="1" t="n">
        <v>-7.21436128547</v>
      </c>
      <c r="E4413" s="3" t="n">
        <v>1</v>
      </c>
      <c r="F4413" s="2" t="n">
        <v>3</v>
      </c>
      <c r="G4413" s="4" t="n">
        <v>2</v>
      </c>
      <c r="H4413" s="13" t="n">
        <v>2</v>
      </c>
      <c r="I4413" s="34" t="n">
        <v>2</v>
      </c>
      <c r="J4413" s="35" t="n">
        <v>2</v>
      </c>
      <c r="K4413" s="2" t="inlineStr">
        <is>
          <t>marker_898_753017.png</t>
        </is>
      </c>
      <c r="L4413" s="36">
        <f>HYPERLINK("NoConsenso\" &amp; K4413, "Ver Imagen")</f>
        <v/>
      </c>
      <c r="M4413" t="inlineStr">
        <is>
          <t>Mediana</t>
        </is>
      </c>
    </row>
    <row r="4414">
      <c r="A4414" s="33" t="n">
        <v>4413</v>
      </c>
      <c r="B4414" t="inlineStr">
        <is>
          <t>A-490__402</t>
        </is>
      </c>
      <c r="C4414" s="1" t="n">
        <v>37.4817502895</v>
      </c>
      <c r="D4414" s="1" t="n">
        <v>-7.21489145227</v>
      </c>
      <c r="E4414" s="3" t="n">
        <v>3</v>
      </c>
      <c r="F4414" s="2" t="n">
        <v>4</v>
      </c>
      <c r="G4414" s="4" t="n">
        <v>2</v>
      </c>
      <c r="H4414" s="13" t="n">
        <v>2</v>
      </c>
      <c r="I4414" s="34" t="n">
        <v>2</v>
      </c>
      <c r="J4414" s="35" t="n">
        <v>2</v>
      </c>
      <c r="K4414" s="2" t="inlineStr">
        <is>
          <t>marker_264_753075.png</t>
        </is>
      </c>
      <c r="L4414" s="36">
        <f>HYPERLINK("NoConsenso\" &amp; K4414, "Ver Imagen")</f>
        <v/>
      </c>
      <c r="M4414" t="inlineStr">
        <is>
          <t>Mediana</t>
        </is>
      </c>
    </row>
    <row r="4415">
      <c r="A4415" s="33" t="n">
        <v>4414</v>
      </c>
      <c r="B4415" t="inlineStr">
        <is>
          <t>A-490__403</t>
        </is>
      </c>
      <c r="C4415" s="1" t="n">
        <v>37.4818333801</v>
      </c>
      <c r="D4415" s="1" t="n">
        <v>-7.21511559845</v>
      </c>
      <c r="E4415" s="3" t="n">
        <v>2</v>
      </c>
      <c r="F4415" s="2" t="n">
        <v>3</v>
      </c>
      <c r="G4415" s="4" t="n">
        <v>1</v>
      </c>
      <c r="H4415" s="13" t="n">
        <v>2</v>
      </c>
      <c r="I4415" s="34" t="n">
        <v>2</v>
      </c>
      <c r="J4415" s="35" t="n">
        <v>2</v>
      </c>
      <c r="K4415" s="2" t="inlineStr">
        <is>
          <t>marker_902_753092.png</t>
        </is>
      </c>
      <c r="L4415" s="36">
        <f>HYPERLINK("NoConsenso\" &amp; K4415, "Ver Imagen")</f>
        <v/>
      </c>
      <c r="M4415" t="inlineStr">
        <is>
          <t>Mediana</t>
        </is>
      </c>
    </row>
    <row r="4416">
      <c r="A4416" s="33" t="n">
        <v>4415</v>
      </c>
      <c r="B4416" t="inlineStr">
        <is>
          <t>A-490__404</t>
        </is>
      </c>
      <c r="C4416" s="1" t="n">
        <v>37.481898612</v>
      </c>
      <c r="D4416" s="1" t="n">
        <v>-7.21529113093</v>
      </c>
      <c r="E4416" s="3" t="n">
        <v>2</v>
      </c>
      <c r="F4416" s="2" t="n">
        <v>3</v>
      </c>
      <c r="G4416" s="4" t="n">
        <v>1</v>
      </c>
      <c r="H4416" s="13" t="n">
        <v>2</v>
      </c>
      <c r="I4416" s="34" t="n">
        <v>2</v>
      </c>
      <c r="J4416" s="35" t="n">
        <v>2</v>
      </c>
      <c r="K4416" s="2" t="inlineStr">
        <is>
          <t>marker_395_753109.png</t>
        </is>
      </c>
      <c r="L4416" s="36">
        <f>HYPERLINK("NoConsenso\" &amp; K4416, "Ver Imagen")</f>
        <v/>
      </c>
      <c r="M4416" t="inlineStr">
        <is>
          <t>Mediana</t>
        </is>
      </c>
    </row>
    <row r="4417">
      <c r="A4417" s="33" t="n">
        <v>4416</v>
      </c>
      <c r="B4417" t="inlineStr">
        <is>
          <t>A-490__407</t>
        </is>
      </c>
      <c r="C4417" s="1" t="n">
        <v>37.4821500628</v>
      </c>
      <c r="D4417" s="1" t="n">
        <v>-7.21601935352</v>
      </c>
      <c r="E4417" s="3" t="n">
        <v>1</v>
      </c>
      <c r="F4417" s="2" t="n">
        <v>3</v>
      </c>
      <c r="G4417" s="4" t="n">
        <v>2</v>
      </c>
      <c r="H4417" s="13" t="n">
        <v>1</v>
      </c>
      <c r="I4417" s="34" t="n">
        <v>1</v>
      </c>
      <c r="J4417" s="35" t="n">
        <v>1</v>
      </c>
      <c r="K4417" s="2" t="inlineStr">
        <is>
          <t>marker_772_753889.png</t>
        </is>
      </c>
      <c r="L4417" s="36">
        <f>HYPERLINK("NoConsenso\" &amp; K4417, "Ver Imagen")</f>
        <v/>
      </c>
      <c r="M4417" t="inlineStr">
        <is>
          <t>Mediana</t>
        </is>
      </c>
    </row>
    <row r="4418">
      <c r="A4418" s="33" t="n">
        <v>4417</v>
      </c>
      <c r="B4418" t="inlineStr">
        <is>
          <t>A-490__408</t>
        </is>
      </c>
      <c r="C4418" s="1" t="n">
        <v>37.4822197089</v>
      </c>
      <c r="D4418" s="1" t="n">
        <v>-7.21628629579</v>
      </c>
      <c r="E4418" s="3" t="n">
        <v>1</v>
      </c>
      <c r="F4418" s="2" t="n">
        <v>3</v>
      </c>
      <c r="G4418" s="4" t="n">
        <v>2</v>
      </c>
      <c r="H4418" s="13" t="n">
        <v>2</v>
      </c>
      <c r="I4418" s="34" t="n">
        <v>2</v>
      </c>
      <c r="J4418" s="35" t="n">
        <v>2</v>
      </c>
      <c r="K4418" s="2" t="inlineStr">
        <is>
          <t>marker_716_754088.png</t>
        </is>
      </c>
      <c r="L4418" s="36">
        <f>HYPERLINK("NoConsenso\" &amp; K4418, "Ver Imagen")</f>
        <v/>
      </c>
      <c r="M4418" t="inlineStr">
        <is>
          <t>Mediana</t>
        </is>
      </c>
    </row>
    <row r="4419">
      <c r="A4419" s="33" t="n">
        <v>4418</v>
      </c>
      <c r="B4419" t="inlineStr">
        <is>
          <t>A-490__409</t>
        </is>
      </c>
      <c r="C4419" s="1" t="n">
        <v>37.4822723097</v>
      </c>
      <c r="D4419" s="1" t="n">
        <v>-7.21651474777</v>
      </c>
      <c r="E4419" s="3" t="n">
        <v>1</v>
      </c>
      <c r="F4419" s="2" t="n">
        <v>3</v>
      </c>
      <c r="G4419" s="4" t="n">
        <v>2</v>
      </c>
      <c r="H4419" s="13" t="n">
        <v>2</v>
      </c>
      <c r="I4419" s="34" t="n">
        <v>2</v>
      </c>
      <c r="J4419" s="35" t="n">
        <v>2</v>
      </c>
      <c r="K4419" s="2" t="inlineStr">
        <is>
          <t>marker_677_754106.png</t>
        </is>
      </c>
      <c r="L4419" s="36">
        <f>HYPERLINK("NoConsenso\" &amp; K4419, "Ver Imagen")</f>
        <v/>
      </c>
      <c r="M4419" t="inlineStr">
        <is>
          <t>Mediana</t>
        </is>
      </c>
    </row>
    <row r="4420">
      <c r="A4420" s="33" t="n">
        <v>4419</v>
      </c>
      <c r="B4420" t="inlineStr">
        <is>
          <t>A-490__412</t>
        </is>
      </c>
      <c r="C4420" s="1" t="n">
        <v>37.4824256085</v>
      </c>
      <c r="D4420" s="1" t="n">
        <v>-7.21725906542</v>
      </c>
      <c r="E4420" s="3" t="n">
        <v>1</v>
      </c>
      <c r="F4420" s="2" t="n">
        <v>3</v>
      </c>
      <c r="G4420" s="4" t="n">
        <v>3</v>
      </c>
      <c r="H4420" s="13" t="n">
        <v>3</v>
      </c>
      <c r="I4420" s="34" t="n">
        <v>3</v>
      </c>
      <c r="J4420" s="35" t="n">
        <v>3</v>
      </c>
      <c r="K4420" s="2" t="inlineStr">
        <is>
          <t>marker_334_754158.png</t>
        </is>
      </c>
      <c r="L4420" s="36">
        <f>HYPERLINK("NoConsenso\" &amp; K4420, "Ver Imagen")</f>
        <v/>
      </c>
      <c r="M4420" t="inlineStr">
        <is>
          <t>Mediana</t>
        </is>
      </c>
    </row>
    <row r="4421">
      <c r="A4421" s="33" t="n">
        <v>4420</v>
      </c>
      <c r="B4421" t="inlineStr">
        <is>
          <t>A-490__421</t>
        </is>
      </c>
      <c r="C4421" s="1" t="n">
        <v>37.4828612867</v>
      </c>
      <c r="D4421" s="1" t="n">
        <v>-7.21946788251</v>
      </c>
      <c r="E4421" s="3" t="n">
        <v>1</v>
      </c>
      <c r="F4421" s="2" t="n">
        <v>3</v>
      </c>
      <c r="G4421" s="4" t="n">
        <v>2</v>
      </c>
      <c r="H4421" s="13" t="n">
        <v>2</v>
      </c>
      <c r="I4421" s="34" t="n">
        <v>2</v>
      </c>
      <c r="J4421" s="35" t="n">
        <v>2</v>
      </c>
      <c r="K4421" s="2" t="inlineStr">
        <is>
          <t>marker_627_754307.png</t>
        </is>
      </c>
      <c r="L4421" s="36">
        <f>HYPERLINK("NoConsenso\" &amp; K4421, "Ver Imagen")</f>
        <v/>
      </c>
      <c r="M4421" t="inlineStr">
        <is>
          <t>Mediana</t>
        </is>
      </c>
    </row>
    <row r="4422">
      <c r="A4422" s="33" t="n">
        <v>4421</v>
      </c>
      <c r="B4422" t="inlineStr">
        <is>
          <t>A-490__424</t>
        </is>
      </c>
      <c r="C4422" s="1" t="n">
        <v>37.4830037354</v>
      </c>
      <c r="D4422" s="1" t="n">
        <v>-7.22020906699</v>
      </c>
      <c r="E4422" s="3" t="n">
        <v>1</v>
      </c>
      <c r="F4422" s="2" t="n">
        <v>2</v>
      </c>
      <c r="G4422" s="4" t="n">
        <v>3</v>
      </c>
      <c r="H4422" s="13" t="n">
        <v>2</v>
      </c>
      <c r="I4422" s="34" t="n">
        <v>2</v>
      </c>
      <c r="J4422" s="35" t="n">
        <v>2</v>
      </c>
      <c r="K4422" s="2" t="inlineStr">
        <is>
          <t>marker_661_754363.png</t>
        </is>
      </c>
      <c r="L4422" s="36">
        <f>HYPERLINK("NoConsenso\" &amp; K4422, "Ver Imagen")</f>
        <v/>
      </c>
      <c r="M4422" t="inlineStr">
        <is>
          <t>Mediana</t>
        </is>
      </c>
    </row>
    <row r="4423">
      <c r="A4423" s="33" t="n">
        <v>4422</v>
      </c>
      <c r="B4423" t="inlineStr">
        <is>
          <t>A-490__438</t>
        </is>
      </c>
      <c r="C4423" s="1" t="n">
        <v>37.4836788127</v>
      </c>
      <c r="D4423" s="1" t="n">
        <v>-7.22363804937</v>
      </c>
      <c r="E4423" s="3" t="n">
        <v>1</v>
      </c>
      <c r="F4423" s="2" t="n">
        <v>3</v>
      </c>
      <c r="G4423" s="4" t="n">
        <v>2</v>
      </c>
      <c r="H4423" s="13" t="n">
        <v>2</v>
      </c>
      <c r="I4423" s="34" t="n">
        <v>2</v>
      </c>
      <c r="J4423" s="35" t="n">
        <v>2</v>
      </c>
      <c r="K4423" s="2" t="inlineStr">
        <is>
          <t>marker_805_754620.png</t>
        </is>
      </c>
      <c r="L4423" s="36">
        <f>HYPERLINK("NoConsenso\" &amp; K4423, "Ver Imagen")</f>
        <v/>
      </c>
      <c r="M4423" t="inlineStr">
        <is>
          <t>Mediana</t>
        </is>
      </c>
    </row>
    <row r="4424">
      <c r="A4424" s="33" t="n">
        <v>4423</v>
      </c>
      <c r="B4424" t="inlineStr">
        <is>
          <t>A-490__440</t>
        </is>
      </c>
      <c r="C4424" s="1" t="n">
        <v>37.4837751322</v>
      </c>
      <c r="D4424" s="1" t="n">
        <v>-7.22414611991</v>
      </c>
      <c r="E4424" s="3" t="n">
        <v>1</v>
      </c>
      <c r="F4424" s="2" t="n">
        <v>3</v>
      </c>
      <c r="G4424" s="4" t="n">
        <v>3</v>
      </c>
      <c r="H4424" s="13" t="n">
        <v>2</v>
      </c>
      <c r="I4424" s="34" t="n">
        <v>1</v>
      </c>
      <c r="J4424" s="35" t="n">
        <v>2</v>
      </c>
      <c r="K4424" s="2" t="inlineStr">
        <is>
          <t>marker_881_754656.png</t>
        </is>
      </c>
      <c r="L4424" s="36">
        <f>HYPERLINK("NoConsenso\" &amp; K4424, "Ver Imagen")</f>
        <v/>
      </c>
      <c r="M4424" t="inlineStr">
        <is>
          <t>Mediana</t>
        </is>
      </c>
    </row>
    <row r="4425">
      <c r="A4425" s="33" t="n">
        <v>4424</v>
      </c>
      <c r="B4425" t="inlineStr">
        <is>
          <t>A-490__441</t>
        </is>
      </c>
      <c r="C4425" s="1" t="n">
        <v>37.4838216708</v>
      </c>
      <c r="D4425" s="1" t="n">
        <v>-7.22439097795</v>
      </c>
      <c r="E4425" s="3" t="n">
        <v>1</v>
      </c>
      <c r="F4425" s="2" t="n">
        <v>2</v>
      </c>
      <c r="G4425" s="4" t="n">
        <v>3</v>
      </c>
      <c r="H4425" s="13" t="n">
        <v>2</v>
      </c>
      <c r="I4425" s="34" t="n">
        <v>2</v>
      </c>
      <c r="J4425" s="35" t="n">
        <v>2</v>
      </c>
      <c r="K4425" s="2" t="inlineStr">
        <is>
          <t>marker_563_754671.png</t>
        </is>
      </c>
      <c r="L4425" s="36">
        <f>HYPERLINK("NoConsenso\" &amp; K4425, "Ver Imagen")</f>
        <v/>
      </c>
      <c r="M4425" t="inlineStr">
        <is>
          <t>Mediana</t>
        </is>
      </c>
    </row>
    <row r="4426">
      <c r="A4426" s="33" t="n">
        <v>4425</v>
      </c>
      <c r="B4426" t="inlineStr">
        <is>
          <t>A-490__454</t>
        </is>
      </c>
      <c r="C4426" s="1" t="n">
        <v>37.4844481603</v>
      </c>
      <c r="D4426" s="1" t="n">
        <v>-7.22762011365</v>
      </c>
      <c r="E4426" s="3" t="n">
        <v>1</v>
      </c>
      <c r="F4426" s="2" t="n">
        <v>3</v>
      </c>
      <c r="G4426" s="4" t="n">
        <v>2</v>
      </c>
      <c r="H4426" s="13" t="n">
        <v>2</v>
      </c>
      <c r="I4426" s="34" t="n">
        <v>2</v>
      </c>
      <c r="J4426" s="35" t="n">
        <v>2</v>
      </c>
      <c r="K4426" s="2" t="inlineStr">
        <is>
          <t>marker_772_755113.png</t>
        </is>
      </c>
      <c r="L4426" s="36">
        <f>HYPERLINK("NoConsenso\" &amp; K4426, "Ver Imagen")</f>
        <v/>
      </c>
      <c r="M4426" t="inlineStr">
        <is>
          <t>Mediana</t>
        </is>
      </c>
    </row>
    <row r="4427">
      <c r="A4427" s="33" t="n">
        <v>4426</v>
      </c>
      <c r="B4427" t="inlineStr">
        <is>
          <t>A-490__467</t>
        </is>
      </c>
      <c r="C4427" s="1" t="n">
        <v>37.4850672396</v>
      </c>
      <c r="D4427" s="1" t="n">
        <v>-7.23079662581</v>
      </c>
      <c r="E4427" s="3" t="n">
        <v>1</v>
      </c>
      <c r="F4427" s="2" t="n">
        <v>3</v>
      </c>
      <c r="G4427" s="4" t="n">
        <v>2</v>
      </c>
      <c r="H4427" s="13" t="n">
        <v>2</v>
      </c>
      <c r="I4427" s="34" t="n">
        <v>1</v>
      </c>
      <c r="J4427" s="35" t="n">
        <v>2</v>
      </c>
      <c r="K4427" s="2" t="inlineStr">
        <is>
          <t>marker_695_755339.png</t>
        </is>
      </c>
      <c r="L4427" s="36">
        <f>HYPERLINK("NoConsenso\" &amp; K4427, "Ver Imagen")</f>
        <v/>
      </c>
      <c r="M4427" t="inlineStr">
        <is>
          <t>Mediana</t>
        </is>
      </c>
    </row>
    <row r="4428">
      <c r="A4428" s="33" t="n">
        <v>4427</v>
      </c>
      <c r="B4428" t="inlineStr">
        <is>
          <t>A-490__472</t>
        </is>
      </c>
      <c r="C4428" s="1" t="n">
        <v>37.4853142147</v>
      </c>
      <c r="D4428" s="1" t="n">
        <v>-7.23208881229</v>
      </c>
      <c r="E4428" s="3" t="n">
        <v>1</v>
      </c>
      <c r="F4428" s="2" t="n">
        <v>3</v>
      </c>
      <c r="G4428" s="4" t="n">
        <v>2</v>
      </c>
      <c r="H4428" s="13" t="n">
        <v>2</v>
      </c>
      <c r="I4428" s="34" t="n">
        <v>1</v>
      </c>
      <c r="J4428" s="35" t="n">
        <v>2</v>
      </c>
      <c r="K4428" s="2" t="inlineStr">
        <is>
          <t>marker_385_755431.png</t>
        </is>
      </c>
      <c r="L4428" s="36">
        <f>HYPERLINK("NoConsenso\" &amp; K4428, "Ver Imagen")</f>
        <v/>
      </c>
      <c r="M4428" t="inlineStr">
        <is>
          <t>Mediana</t>
        </is>
      </c>
    </row>
    <row r="4429">
      <c r="A4429" s="33" t="n">
        <v>4428</v>
      </c>
      <c r="B4429" t="inlineStr">
        <is>
          <t>A-490__487</t>
        </is>
      </c>
      <c r="C4429" s="1" t="n">
        <v>37.4860190948</v>
      </c>
      <c r="D4429" s="1" t="n">
        <v>-7.23576288109</v>
      </c>
      <c r="E4429" s="3" t="n">
        <v>1</v>
      </c>
      <c r="F4429" s="2" t="n">
        <v>3</v>
      </c>
      <c r="G4429" s="4" t="n">
        <v>2</v>
      </c>
      <c r="H4429" s="13" t="n">
        <v>2</v>
      </c>
      <c r="I4429" s="34" t="n">
        <v>1</v>
      </c>
      <c r="J4429" s="35" t="n">
        <v>2</v>
      </c>
      <c r="K4429" s="2" t="inlineStr">
        <is>
          <t>marker_348_755711.png</t>
        </is>
      </c>
      <c r="L4429" s="36">
        <f>HYPERLINK("NoConsenso\" &amp; K4429, "Ver Imagen")</f>
        <v/>
      </c>
      <c r="M4429" t="inlineStr">
        <is>
          <t>Mediana</t>
        </is>
      </c>
    </row>
    <row r="4430">
      <c r="A4430" s="33" t="n">
        <v>4429</v>
      </c>
      <c r="B4430" t="inlineStr">
        <is>
          <t>A-490__489</t>
        </is>
      </c>
      <c r="C4430" s="1" t="n">
        <v>37.4861116403</v>
      </c>
      <c r="D4430" s="1" t="n">
        <v>-7.23623948115</v>
      </c>
      <c r="E4430" s="3" t="n">
        <v>1</v>
      </c>
      <c r="F4430" s="2" t="n">
        <v>3</v>
      </c>
      <c r="G4430" s="4" t="n">
        <v>2</v>
      </c>
      <c r="H4430" s="13" t="n">
        <v>2</v>
      </c>
      <c r="I4430" s="34" t="n">
        <v>1</v>
      </c>
      <c r="J4430" s="35" t="n">
        <v>2</v>
      </c>
      <c r="K4430" s="2" t="inlineStr">
        <is>
          <t>marker_960_755750.png</t>
        </is>
      </c>
      <c r="L4430" s="36">
        <f>HYPERLINK("NoConsenso\" &amp; K4430, "Ver Imagen")</f>
        <v/>
      </c>
      <c r="M4430" t="inlineStr">
        <is>
          <t>Mediana</t>
        </is>
      </c>
    </row>
    <row r="4431">
      <c r="A4431" s="33" t="n">
        <v>4430</v>
      </c>
      <c r="B4431" t="inlineStr">
        <is>
          <t>A-490__490</t>
        </is>
      </c>
      <c r="C4431" s="1" t="n">
        <v>37.4861591364</v>
      </c>
      <c r="D4431" s="1" t="n">
        <v>-7.23648395913</v>
      </c>
      <c r="E4431" s="3" t="n">
        <v>1</v>
      </c>
      <c r="F4431" s="2" t="n">
        <v>3</v>
      </c>
      <c r="G4431" s="4" t="n">
        <v>2</v>
      </c>
      <c r="H4431" s="13" t="n">
        <v>2</v>
      </c>
      <c r="I4431" s="34" t="n">
        <v>1</v>
      </c>
      <c r="J4431" s="35" t="n">
        <v>2</v>
      </c>
      <c r="K4431" s="2" t="inlineStr">
        <is>
          <t>marker_136_755765.png</t>
        </is>
      </c>
      <c r="L4431" s="36">
        <f>HYPERLINK("NoConsenso\" &amp; K4431, "Ver Imagen")</f>
        <v/>
      </c>
      <c r="M4431" t="inlineStr">
        <is>
          <t>Mediana</t>
        </is>
      </c>
    </row>
    <row r="4432">
      <c r="A4432" s="33" t="n">
        <v>4431</v>
      </c>
      <c r="B4432" t="inlineStr">
        <is>
          <t>A-490__494</t>
        </is>
      </c>
      <c r="C4432" s="1" t="n">
        <v>37.4863464153</v>
      </c>
      <c r="D4432" s="1" t="n">
        <v>-7.2374524664</v>
      </c>
      <c r="E4432" s="3" t="n">
        <v>1</v>
      </c>
      <c r="F4432" s="2" t="n">
        <v>3</v>
      </c>
      <c r="G4432" s="4" t="n">
        <v>3</v>
      </c>
      <c r="H4432" s="13" t="n">
        <v>1</v>
      </c>
      <c r="I4432" s="34" t="n">
        <v>1</v>
      </c>
      <c r="J4432" s="35" t="n">
        <v>1</v>
      </c>
      <c r="K4432" s="2" t="inlineStr">
        <is>
          <t>marker_350_755860.png</t>
        </is>
      </c>
      <c r="L4432" s="36">
        <f>HYPERLINK("NoConsenso\" &amp; K4432, "Ver Imagen")</f>
        <v/>
      </c>
      <c r="M4432" t="inlineStr">
        <is>
          <t>Mediana</t>
        </is>
      </c>
    </row>
    <row r="4433">
      <c r="A4433" s="33" t="n">
        <v>4432</v>
      </c>
      <c r="B4433" t="inlineStr">
        <is>
          <t>A-490__495</t>
        </is>
      </c>
      <c r="C4433" s="1" t="n">
        <v>37.4864015216</v>
      </c>
      <c r="D4433" s="1" t="n">
        <v>-7.2377429063</v>
      </c>
      <c r="E4433" s="3" t="n">
        <v>1</v>
      </c>
      <c r="F4433" s="2" t="n">
        <v>3</v>
      </c>
      <c r="G4433" s="4" t="n">
        <v>2</v>
      </c>
      <c r="H4433" s="13" t="n">
        <v>2</v>
      </c>
      <c r="I4433" s="34" t="n">
        <v>1</v>
      </c>
      <c r="J4433" s="35" t="n">
        <v>2</v>
      </c>
      <c r="K4433" s="2" t="inlineStr">
        <is>
          <t>marker_235_755880.png</t>
        </is>
      </c>
      <c r="L4433" s="36">
        <f>HYPERLINK("NoConsenso\" &amp; K4433, "Ver Imagen")</f>
        <v/>
      </c>
      <c r="M4433" t="inlineStr">
        <is>
          <t>Mediana</t>
        </is>
      </c>
    </row>
    <row r="4434">
      <c r="A4434" s="33" t="n">
        <v>4433</v>
      </c>
      <c r="B4434" t="inlineStr">
        <is>
          <t>A-490__500</t>
        </is>
      </c>
      <c r="C4434" s="1" t="n">
        <v>37.4866339121</v>
      </c>
      <c r="D4434" s="1" t="n">
        <v>-7.2389676938</v>
      </c>
      <c r="E4434" s="3" t="n">
        <v>1</v>
      </c>
      <c r="F4434" s="2" t="n">
        <v>3</v>
      </c>
      <c r="G4434" s="4" t="n">
        <v>3</v>
      </c>
      <c r="H4434" s="13" t="n">
        <v>2</v>
      </c>
      <c r="I4434" s="34" t="n">
        <v>3</v>
      </c>
      <c r="J4434" s="37" t="n">
        <v>2</v>
      </c>
      <c r="K4434" s="2" t="inlineStr">
        <is>
          <t>marker_712_817588.png</t>
        </is>
      </c>
      <c r="L4434" s="36">
        <f>HYPERLINK("NoConsenso\" &amp; K4434, "Ver Imagen")</f>
        <v/>
      </c>
      <c r="M4434" s="37" t="inlineStr">
        <is>
          <t>Modificada</t>
        </is>
      </c>
    </row>
    <row r="4435">
      <c r="A4435" s="33" t="n">
        <v>4434</v>
      </c>
      <c r="B4435" t="inlineStr">
        <is>
          <t>A-490__504</t>
        </is>
      </c>
      <c r="C4435" s="1" t="n">
        <v>37.4868290035</v>
      </c>
      <c r="D4435" s="1" t="n">
        <v>-7.23995053213</v>
      </c>
      <c r="E4435" s="3" t="n">
        <v>1</v>
      </c>
      <c r="F4435" s="2" t="n">
        <v>3</v>
      </c>
      <c r="G4435" s="4" t="n">
        <v>3</v>
      </c>
      <c r="H4435" s="13" t="n">
        <v>2</v>
      </c>
      <c r="I4435" s="34" t="n">
        <v>1</v>
      </c>
      <c r="J4435" s="35" t="n">
        <v>2</v>
      </c>
      <c r="K4435" s="2" t="inlineStr">
        <is>
          <t>marker_262_817657.png</t>
        </is>
      </c>
      <c r="L4435" s="36">
        <f>HYPERLINK("NoConsenso\" &amp; K4435, "Ver Imagen")</f>
        <v/>
      </c>
      <c r="M4435" t="inlineStr">
        <is>
          <t>Mediana</t>
        </is>
      </c>
    </row>
    <row r="4436">
      <c r="A4436" s="33" t="n">
        <v>4435</v>
      </c>
      <c r="B4436" t="inlineStr">
        <is>
          <t>A-490__505</t>
        </is>
      </c>
      <c r="C4436" s="1" t="n">
        <v>37.4868780398</v>
      </c>
      <c r="D4436" s="1" t="n">
        <v>-7.24020377405</v>
      </c>
      <c r="E4436" s="3" t="n">
        <v>1</v>
      </c>
      <c r="F4436" s="2" t="n">
        <v>3</v>
      </c>
      <c r="G4436" s="4" t="n">
        <v>3</v>
      </c>
      <c r="H4436" s="13" t="n">
        <v>3</v>
      </c>
      <c r="I4436" s="34" t="n">
        <v>3</v>
      </c>
      <c r="J4436" s="35" t="n">
        <v>3</v>
      </c>
      <c r="K4436" s="2" t="inlineStr">
        <is>
          <t>marker_787_817671.png</t>
        </is>
      </c>
      <c r="L4436" s="36">
        <f>HYPERLINK("NoConsenso\" &amp; K4436, "Ver Imagen")</f>
        <v/>
      </c>
      <c r="M4436" t="inlineStr">
        <is>
          <t>Mediana</t>
        </is>
      </c>
    </row>
    <row r="4437">
      <c r="A4437" s="33" t="n">
        <v>4436</v>
      </c>
      <c r="B4437" t="inlineStr">
        <is>
          <t>A-490__508</t>
        </is>
      </c>
      <c r="C4437" s="1" t="n">
        <v>37.4869891929</v>
      </c>
      <c r="D4437" s="1" t="n">
        <v>-7.24094878638</v>
      </c>
      <c r="E4437" s="3" t="n">
        <v>1</v>
      </c>
      <c r="F4437" s="2" t="n">
        <v>3</v>
      </c>
      <c r="G4437" s="4" t="n">
        <v>2</v>
      </c>
      <c r="H4437" s="13" t="n">
        <v>2</v>
      </c>
      <c r="I4437" s="34" t="n">
        <v>1</v>
      </c>
      <c r="J4437" s="35" t="n">
        <v>2</v>
      </c>
      <c r="K4437" s="2" t="inlineStr">
        <is>
          <t>marker_474_817736.png</t>
        </is>
      </c>
      <c r="L4437" s="36">
        <f>HYPERLINK("NoConsenso\" &amp; K4437, "Ver Imagen")</f>
        <v/>
      </c>
      <c r="M4437" t="inlineStr">
        <is>
          <t>Mediana</t>
        </is>
      </c>
    </row>
    <row r="4438">
      <c r="A4438" s="33" t="n">
        <v>4437</v>
      </c>
      <c r="B4438" t="inlineStr">
        <is>
          <t>A-490__511</t>
        </is>
      </c>
      <c r="C4438" s="1" t="n">
        <v>37.4870568275</v>
      </c>
      <c r="D4438" s="1" t="n">
        <v>-7.24172533574</v>
      </c>
      <c r="E4438" s="3" t="n">
        <v>1</v>
      </c>
      <c r="F4438" s="2" t="n">
        <v>3</v>
      </c>
      <c r="G4438" s="4" t="n">
        <v>3</v>
      </c>
      <c r="H4438" s="13" t="n">
        <v>2</v>
      </c>
      <c r="I4438" s="34" t="n">
        <v>2</v>
      </c>
      <c r="J4438" s="35" t="n">
        <v>2</v>
      </c>
      <c r="K4438" s="2" t="inlineStr">
        <is>
          <t>marker_838_817833.png</t>
        </is>
      </c>
      <c r="L4438" s="36">
        <f>HYPERLINK("NoConsenso\" &amp; K4438, "Ver Imagen")</f>
        <v/>
      </c>
      <c r="M4438" t="inlineStr">
        <is>
          <t>Mediana</t>
        </is>
      </c>
    </row>
    <row r="4439">
      <c r="A4439" s="33" t="n">
        <v>4438</v>
      </c>
      <c r="B4439" t="inlineStr">
        <is>
          <t>A-490__514</t>
        </is>
      </c>
      <c r="C4439" s="1" t="n">
        <v>37.4871242707</v>
      </c>
      <c r="D4439" s="1" t="n">
        <v>-7.24245847974</v>
      </c>
      <c r="E4439" s="3" t="n">
        <v>1</v>
      </c>
      <c r="F4439" s="2" t="n">
        <v>2</v>
      </c>
      <c r="G4439" s="4" t="n">
        <v>3</v>
      </c>
      <c r="H4439" s="13" t="n">
        <v>2</v>
      </c>
      <c r="I4439" s="34" t="n">
        <v>2</v>
      </c>
      <c r="J4439" s="35" t="n">
        <v>2</v>
      </c>
      <c r="K4439" s="2" t="inlineStr">
        <is>
          <t>marker_513_817884.png</t>
        </is>
      </c>
      <c r="L4439" s="36">
        <f>HYPERLINK("NoConsenso\" &amp; K4439, "Ver Imagen")</f>
        <v/>
      </c>
      <c r="M4439" t="inlineStr">
        <is>
          <t>Mediana</t>
        </is>
      </c>
    </row>
    <row r="4440">
      <c r="A4440" s="33" t="n">
        <v>4439</v>
      </c>
      <c r="B4440" t="inlineStr">
        <is>
          <t>A-490__517</t>
        </is>
      </c>
      <c r="C4440" s="1" t="n">
        <v>37.4872128669</v>
      </c>
      <c r="D4440" s="1" t="n">
        <v>-7.24322294556</v>
      </c>
      <c r="E4440" s="3" t="n">
        <v>1</v>
      </c>
      <c r="F4440" s="2" t="n">
        <v>2</v>
      </c>
      <c r="G4440" s="4" t="n">
        <v>3</v>
      </c>
      <c r="H4440" s="13" t="n">
        <v>2</v>
      </c>
      <c r="I4440" s="34" t="n">
        <v>2</v>
      </c>
      <c r="J4440" s="35" t="n">
        <v>2</v>
      </c>
      <c r="K4440" s="2" t="inlineStr">
        <is>
          <t>marker_821_817931.png</t>
        </is>
      </c>
      <c r="L4440" s="36">
        <f>HYPERLINK("NoConsenso\" &amp; K4440, "Ver Imagen")</f>
        <v/>
      </c>
      <c r="M4440" t="inlineStr">
        <is>
          <t>Mediana</t>
        </is>
      </c>
    </row>
    <row r="4441">
      <c r="A4441" s="33" t="n">
        <v>4440</v>
      </c>
      <c r="B4441" t="inlineStr">
        <is>
          <t>A-490__523</t>
        </is>
      </c>
      <c r="C4441" s="1" t="n">
        <v>37.487679749</v>
      </c>
      <c r="D4441" s="1" t="n">
        <v>-7.24459453499</v>
      </c>
      <c r="E4441" s="3" t="n">
        <v>1</v>
      </c>
      <c r="F4441" s="2" t="n">
        <v>3</v>
      </c>
      <c r="G4441" s="4" t="n">
        <v>2</v>
      </c>
      <c r="H4441" s="13" t="n">
        <v>3</v>
      </c>
      <c r="I4441" s="34" t="n">
        <v>2</v>
      </c>
      <c r="J4441" s="35" t="n">
        <v>2</v>
      </c>
      <c r="K4441" s="2" t="inlineStr">
        <is>
          <t>marker_138_818098.png</t>
        </is>
      </c>
      <c r="L4441" s="36">
        <f>HYPERLINK("NoConsenso\" &amp; K4441, "Ver Imagen")</f>
        <v/>
      </c>
      <c r="M4441" t="inlineStr">
        <is>
          <t>Mediana</t>
        </is>
      </c>
    </row>
    <row r="4442">
      <c r="A4442" s="33" t="n">
        <v>4441</v>
      </c>
      <c r="B4442" t="inlineStr">
        <is>
          <t>A-490__537</t>
        </is>
      </c>
      <c r="C4442" s="1" t="n">
        <v>37.4890402881</v>
      </c>
      <c r="D4442" s="1" t="n">
        <v>-7.24767819682</v>
      </c>
      <c r="E4442" s="3" t="n">
        <v>1</v>
      </c>
      <c r="F4442" s="2" t="n">
        <v>3</v>
      </c>
      <c r="G4442" s="4" t="n">
        <v>3</v>
      </c>
      <c r="H4442" s="13" t="n">
        <v>2</v>
      </c>
      <c r="I4442" s="34" t="n">
        <v>1</v>
      </c>
      <c r="J4442" s="35" t="n">
        <v>2</v>
      </c>
      <c r="K4442" s="2" t="inlineStr">
        <is>
          <t>marker_951_818305.png</t>
        </is>
      </c>
      <c r="L4442" s="36">
        <f>HYPERLINK("NoConsenso\" &amp; K4442, "Ver Imagen")</f>
        <v/>
      </c>
      <c r="M4442" t="inlineStr">
        <is>
          <t>Mediana</t>
        </is>
      </c>
    </row>
    <row r="4443">
      <c r="A4443" s="33" t="n">
        <v>4442</v>
      </c>
      <c r="B4443" t="inlineStr">
        <is>
          <t>A-490__542</t>
        </is>
      </c>
      <c r="C4443" s="1" t="n">
        <v>37.4898052202</v>
      </c>
      <c r="D4443" s="1" t="n">
        <v>-7.24855845635</v>
      </c>
      <c r="E4443" s="3" t="n">
        <v>1</v>
      </c>
      <c r="F4443" s="2" t="n">
        <v>3</v>
      </c>
      <c r="G4443" s="4" t="n">
        <v>2</v>
      </c>
      <c r="H4443" s="13" t="n">
        <v>2</v>
      </c>
      <c r="I4443" s="34" t="n">
        <v>1</v>
      </c>
      <c r="J4443" s="35" t="n">
        <v>2</v>
      </c>
      <c r="K4443" s="2" t="inlineStr">
        <is>
          <t>marker_929_818374.png</t>
        </is>
      </c>
      <c r="L4443" s="36">
        <f>HYPERLINK("NoConsenso\" &amp; K4443, "Ver Imagen")</f>
        <v/>
      </c>
      <c r="M4443" t="inlineStr">
        <is>
          <t>Mediana</t>
        </is>
      </c>
    </row>
    <row r="4444">
      <c r="A4444" s="33" t="n">
        <v>4443</v>
      </c>
      <c r="B4444" t="inlineStr">
        <is>
          <t>A-490__543</t>
        </is>
      </c>
      <c r="C4444" s="1" t="n">
        <v>37.4899427462</v>
      </c>
      <c r="D4444" s="1" t="n">
        <v>-7.24871455548</v>
      </c>
      <c r="E4444" s="3" t="n">
        <v>1</v>
      </c>
      <c r="F4444" s="2" t="n">
        <v>3</v>
      </c>
      <c r="G4444" s="4" t="n">
        <v>2</v>
      </c>
      <c r="H4444" s="13" t="n">
        <v>2</v>
      </c>
      <c r="I4444" s="34" t="n">
        <v>2</v>
      </c>
      <c r="J4444" s="35" t="n">
        <v>2</v>
      </c>
      <c r="K4444" s="2" t="inlineStr">
        <is>
          <t>marker_179_818390.png</t>
        </is>
      </c>
      <c r="L4444" s="36">
        <f>HYPERLINK("NoConsenso\" &amp; K4444, "Ver Imagen")</f>
        <v/>
      </c>
      <c r="M4444" t="inlineStr">
        <is>
          <t>Mediana</t>
        </is>
      </c>
    </row>
    <row r="4445">
      <c r="A4445" s="33" t="n">
        <v>4444</v>
      </c>
      <c r="B4445" t="inlineStr">
        <is>
          <t>A-490__545</t>
        </is>
      </c>
      <c r="C4445" s="1" t="n">
        <v>37.4902600033</v>
      </c>
      <c r="D4445" s="1" t="n">
        <v>-7.24907663843</v>
      </c>
      <c r="E4445" s="3" t="n">
        <v>1</v>
      </c>
      <c r="F4445" s="2" t="n">
        <v>3</v>
      </c>
      <c r="G4445" s="4" t="n">
        <v>2</v>
      </c>
      <c r="H4445" s="13" t="n">
        <v>3</v>
      </c>
      <c r="I4445" s="34" t="n">
        <v>3</v>
      </c>
      <c r="J4445" s="37" t="n">
        <v>2</v>
      </c>
      <c r="K4445" s="2" t="inlineStr">
        <is>
          <t>marker_587_818414.png</t>
        </is>
      </c>
      <c r="L4445" s="36">
        <f>HYPERLINK("NoConsenso\" &amp; K4445, "Ver Imagen")</f>
        <v/>
      </c>
      <c r="M4445" s="37" t="inlineStr">
        <is>
          <t>Modificada</t>
        </is>
      </c>
    </row>
    <row r="4446">
      <c r="A4446" s="33" t="n">
        <v>4445</v>
      </c>
      <c r="B4446" t="inlineStr">
        <is>
          <t>A-490__553</t>
        </is>
      </c>
      <c r="C4446" s="1" t="n">
        <v>37.4907183863</v>
      </c>
      <c r="D4446" s="1" t="n">
        <v>-7.25094613529</v>
      </c>
      <c r="E4446" s="3" t="n">
        <v>1</v>
      </c>
      <c r="F4446" s="2" t="n">
        <v>3</v>
      </c>
      <c r="G4446" s="4" t="n">
        <v>2</v>
      </c>
      <c r="H4446" s="13" t="n">
        <v>2</v>
      </c>
      <c r="I4446" s="34" t="n">
        <v>1</v>
      </c>
      <c r="J4446" s="35" t="n">
        <v>2</v>
      </c>
      <c r="K4446" s="2" t="inlineStr">
        <is>
          <t>marker_778_818647.png</t>
        </is>
      </c>
      <c r="L4446" s="36">
        <f>HYPERLINK("NoConsenso\" &amp; K4446, "Ver Imagen")</f>
        <v/>
      </c>
      <c r="M4446" t="inlineStr">
        <is>
          <t>Mediana</t>
        </is>
      </c>
    </row>
    <row r="4447">
      <c r="A4447" s="33" t="n">
        <v>4446</v>
      </c>
      <c r="B4447" t="inlineStr">
        <is>
          <t>A-490__554</t>
        </is>
      </c>
      <c r="C4447" s="1" t="n">
        <v>37.4907124642</v>
      </c>
      <c r="D4447" s="1" t="n">
        <v>-7.25118161908</v>
      </c>
      <c r="E4447" s="3" t="n">
        <v>1</v>
      </c>
      <c r="F4447" s="2" t="n">
        <v>3</v>
      </c>
      <c r="G4447" s="4" t="n">
        <v>2</v>
      </c>
      <c r="H4447" s="13" t="n">
        <v>2</v>
      </c>
      <c r="I4447" s="34" t="n">
        <v>3</v>
      </c>
      <c r="J4447" s="35" t="n">
        <v>2</v>
      </c>
      <c r="K4447" s="2" t="inlineStr">
        <is>
          <t>marker_953_818660.png</t>
        </is>
      </c>
      <c r="L4447" s="36">
        <f>HYPERLINK("NoConsenso\" &amp; K4447, "Ver Imagen")</f>
        <v/>
      </c>
      <c r="M4447" t="inlineStr">
        <is>
          <t>Mediana</t>
        </is>
      </c>
    </row>
    <row r="4448">
      <c r="A4448" s="33" t="n">
        <v>4447</v>
      </c>
      <c r="B4448" t="inlineStr">
        <is>
          <t>A-490__560</t>
        </is>
      </c>
      <c r="C4448" s="1" t="n">
        <v>37.4906560147</v>
      </c>
      <c r="D4448" s="1" t="n">
        <v>-7.25273619797</v>
      </c>
      <c r="E4448" s="3" t="n">
        <v>1</v>
      </c>
      <c r="F4448" s="2" t="n">
        <v>3</v>
      </c>
      <c r="G4448" s="4" t="n">
        <v>2</v>
      </c>
      <c r="H4448" s="13" t="n">
        <v>2</v>
      </c>
      <c r="I4448" s="34" t="n">
        <v>1</v>
      </c>
      <c r="J4448" s="35" t="n">
        <v>2</v>
      </c>
      <c r="K4448" s="2" t="inlineStr">
        <is>
          <t>marker_903_819175.png</t>
        </is>
      </c>
      <c r="L4448" s="36">
        <f>HYPERLINK("NoConsenso\" &amp; K4448, "Ver Imagen")</f>
        <v/>
      </c>
      <c r="M4448" t="inlineStr">
        <is>
          <t>Mediana</t>
        </is>
      </c>
    </row>
    <row r="4449">
      <c r="A4449" s="33" t="n">
        <v>4448</v>
      </c>
      <c r="B4449" t="inlineStr">
        <is>
          <t>A-490__573</t>
        </is>
      </c>
      <c r="C4449" s="1" t="n">
        <v>37.4903880445</v>
      </c>
      <c r="D4449" s="1" t="n">
        <v>-7.25596807374</v>
      </c>
      <c r="E4449" s="3" t="n">
        <v>1</v>
      </c>
      <c r="F4449" s="2" t="n">
        <v>3</v>
      </c>
      <c r="G4449" s="4" t="n">
        <v>2</v>
      </c>
      <c r="H4449" s="13" t="n">
        <v>2</v>
      </c>
      <c r="I4449" s="34" t="n">
        <v>2</v>
      </c>
      <c r="J4449" s="35" t="n">
        <v>2</v>
      </c>
      <c r="K4449" s="2" t="inlineStr">
        <is>
          <t>marker_998_819375.png</t>
        </is>
      </c>
      <c r="L4449" s="36">
        <f>HYPERLINK("NoConsenso\" &amp; K4449, "Ver Imagen")</f>
        <v/>
      </c>
      <c r="M4449" t="inlineStr">
        <is>
          <t>Mediana</t>
        </is>
      </c>
    </row>
    <row r="4450">
      <c r="A4450" s="33" t="n">
        <v>4449</v>
      </c>
      <c r="B4450" t="inlineStr">
        <is>
          <t>A-490__589</t>
        </is>
      </c>
      <c r="C4450" s="1" t="n">
        <v>37.4904114518</v>
      </c>
      <c r="D4450" s="1" t="n">
        <v>-7.25989274574</v>
      </c>
      <c r="E4450" s="3" t="n">
        <v>1</v>
      </c>
      <c r="F4450" s="2" t="n">
        <v>2</v>
      </c>
      <c r="G4450" s="4" t="n">
        <v>3</v>
      </c>
      <c r="H4450" s="13" t="n">
        <v>2</v>
      </c>
      <c r="I4450" s="34" t="n">
        <v>2</v>
      </c>
      <c r="J4450" s="35" t="n">
        <v>2</v>
      </c>
      <c r="K4450" s="2" t="inlineStr">
        <is>
          <t>marker_159_819614.png</t>
        </is>
      </c>
      <c r="L4450" s="36">
        <f>HYPERLINK("NoConsenso\" &amp; K4450, "Ver Imagen")</f>
        <v/>
      </c>
      <c r="M4450" t="inlineStr">
        <is>
          <t>Mediana</t>
        </is>
      </c>
    </row>
    <row r="4451">
      <c r="A4451" s="33" t="n">
        <v>4450</v>
      </c>
      <c r="B4451" t="inlineStr">
        <is>
          <t>A-490__590</t>
        </is>
      </c>
      <c r="C4451" s="1" t="n">
        <v>37.4905380275</v>
      </c>
      <c r="D4451" s="1" t="n">
        <v>-7.26004519725</v>
      </c>
      <c r="E4451" s="3" t="n">
        <v>1</v>
      </c>
      <c r="F4451" s="2" t="n">
        <v>3</v>
      </c>
      <c r="G4451" s="4" t="n">
        <v>3</v>
      </c>
      <c r="H4451" s="13" t="n">
        <v>2</v>
      </c>
      <c r="I4451" s="34" t="n">
        <v>1</v>
      </c>
      <c r="J4451" s="37" t="n">
        <v>1</v>
      </c>
      <c r="K4451" s="2" t="inlineStr">
        <is>
          <t>marker_976_819627.png</t>
        </is>
      </c>
      <c r="L4451" s="36">
        <f>HYPERLINK("NoConsenso\" &amp; K4451, "Ver Imagen")</f>
        <v/>
      </c>
      <c r="M4451" s="37" t="inlineStr">
        <is>
          <t>Modificada</t>
        </is>
      </c>
    </row>
    <row r="4452">
      <c r="A4452" s="33" t="n">
        <v>4451</v>
      </c>
      <c r="B4452" t="inlineStr">
        <is>
          <t>A-490__592</t>
        </is>
      </c>
      <c r="C4452" s="1" t="n">
        <v>37.4908546396</v>
      </c>
      <c r="D4452" s="1" t="n">
        <v>-7.26037738632</v>
      </c>
      <c r="E4452" s="3" t="n">
        <v>1</v>
      </c>
      <c r="F4452" s="2" t="n">
        <v>2</v>
      </c>
      <c r="G4452" s="4" t="n">
        <v>3</v>
      </c>
      <c r="H4452" s="13" t="n">
        <v>2</v>
      </c>
      <c r="I4452" s="34" t="n">
        <v>2</v>
      </c>
      <c r="J4452" s="35" t="n">
        <v>2</v>
      </c>
      <c r="K4452" s="2" t="inlineStr">
        <is>
          <t>marker_586_819653.png</t>
        </is>
      </c>
      <c r="L4452" s="36">
        <f>HYPERLINK("NoConsenso\" &amp; K4452, "Ver Imagen")</f>
        <v/>
      </c>
      <c r="M4452" t="inlineStr">
        <is>
          <t>Mediana</t>
        </is>
      </c>
    </row>
    <row r="4453">
      <c r="A4453" s="33" t="n">
        <v>4452</v>
      </c>
      <c r="B4453" t="inlineStr">
        <is>
          <t>A-490__596</t>
        </is>
      </c>
      <c r="C4453" s="1" t="n">
        <v>37.4914492304</v>
      </c>
      <c r="D4453" s="1" t="n">
        <v>-7.26096308834</v>
      </c>
      <c r="E4453" s="3" t="n">
        <v>2</v>
      </c>
      <c r="F4453" s="2" t="n">
        <v>4</v>
      </c>
      <c r="G4453" s="4" t="n">
        <v>3</v>
      </c>
      <c r="H4453" s="13" t="n">
        <v>3</v>
      </c>
      <c r="I4453" s="34" t="n">
        <v>4</v>
      </c>
      <c r="J4453" s="35" t="n">
        <v>3</v>
      </c>
      <c r="K4453" s="2" t="inlineStr">
        <is>
          <t>marker_537_819709.png</t>
        </is>
      </c>
      <c r="L4453" s="36">
        <f>HYPERLINK("NoConsenso\" &amp; K4453, "Ver Imagen")</f>
        <v/>
      </c>
      <c r="M4453" t="inlineStr">
        <is>
          <t>Mediana</t>
        </is>
      </c>
    </row>
    <row r="4454">
      <c r="A4454" s="33" t="n">
        <v>4453</v>
      </c>
      <c r="B4454" t="inlineStr">
        <is>
          <t>A-490__597</t>
        </is>
      </c>
      <c r="C4454" s="1" t="n">
        <v>37.4916092694</v>
      </c>
      <c r="D4454" s="1" t="n">
        <v>-7.26112074552</v>
      </c>
      <c r="E4454" s="3" t="n">
        <v>2</v>
      </c>
      <c r="F4454" s="2" t="n">
        <v>4</v>
      </c>
      <c r="G4454" s="4" t="n">
        <v>3</v>
      </c>
      <c r="H4454" s="13" t="n">
        <v>3</v>
      </c>
      <c r="I4454" s="34" t="n">
        <v>4</v>
      </c>
      <c r="J4454" s="35" t="n">
        <v>3</v>
      </c>
      <c r="K4454" s="2" t="inlineStr">
        <is>
          <t>marker_344_819723.png</t>
        </is>
      </c>
      <c r="L4454" s="36">
        <f>HYPERLINK("NoConsenso\" &amp; K4454, "Ver Imagen")</f>
        <v/>
      </c>
      <c r="M4454" t="inlineStr">
        <is>
          <t>Mediana</t>
        </is>
      </c>
    </row>
    <row r="4455">
      <c r="A4455" s="33" t="n">
        <v>4454</v>
      </c>
      <c r="B4455" t="inlineStr">
        <is>
          <t>A-490__599</t>
        </is>
      </c>
      <c r="C4455" s="1" t="n">
        <v>37.4919376158</v>
      </c>
      <c r="D4455" s="1" t="n">
        <v>-7.26144353318</v>
      </c>
      <c r="E4455" s="3" t="n">
        <v>2</v>
      </c>
      <c r="F4455" s="2" t="n">
        <v>4</v>
      </c>
      <c r="G4455" s="4" t="n">
        <v>3</v>
      </c>
      <c r="H4455" s="13" t="n">
        <v>3</v>
      </c>
      <c r="I4455" s="34" t="n">
        <v>3</v>
      </c>
      <c r="J4455" s="35" t="n">
        <v>3</v>
      </c>
      <c r="K4455" s="2" t="inlineStr">
        <is>
          <t>marker_348_819813.png</t>
        </is>
      </c>
      <c r="L4455" s="36">
        <f>HYPERLINK("NoConsenso\" &amp; K4455, "Ver Imagen")</f>
        <v/>
      </c>
      <c r="M4455" t="inlineStr">
        <is>
          <t>Mediana</t>
        </is>
      </c>
    </row>
    <row r="4456">
      <c r="A4456" s="33" t="n">
        <v>4455</v>
      </c>
      <c r="B4456" t="inlineStr">
        <is>
          <t>A-490__600</t>
        </is>
      </c>
      <c r="C4456" s="1" t="n">
        <v>37.4920886399</v>
      </c>
      <c r="D4456" s="1" t="n">
        <v>-7.2615908256</v>
      </c>
      <c r="E4456" s="3" t="n">
        <v>2</v>
      </c>
      <c r="F4456" s="2" t="n">
        <v>1</v>
      </c>
      <c r="G4456" s="4" t="n">
        <v>3</v>
      </c>
      <c r="H4456" s="13" t="n">
        <v>3</v>
      </c>
      <c r="I4456" s="34" t="n">
        <v>2</v>
      </c>
      <c r="J4456" s="35" t="n">
        <v>2</v>
      </c>
      <c r="K4456" s="2" t="inlineStr">
        <is>
          <t>marker_101_819828.png</t>
        </is>
      </c>
      <c r="L4456" s="36">
        <f>HYPERLINK("NoConsenso\" &amp; K4456, "Ver Imagen")</f>
        <v/>
      </c>
      <c r="M4456" t="inlineStr">
        <is>
          <t>Mediana</t>
        </is>
      </c>
    </row>
    <row r="4457">
      <c r="A4457" s="33" t="n">
        <v>4456</v>
      </c>
      <c r="B4457" t="inlineStr">
        <is>
          <t>A-490__606</t>
        </is>
      </c>
      <c r="C4457" s="1" t="n">
        <v>37.4928970295</v>
      </c>
      <c r="D4457" s="1" t="n">
        <v>-7.2628089264</v>
      </c>
      <c r="E4457" s="3" t="n">
        <v>1</v>
      </c>
      <c r="F4457" s="2" t="n">
        <v>3</v>
      </c>
      <c r="G4457" s="4" t="n">
        <v>2</v>
      </c>
      <c r="H4457" s="13" t="n">
        <v>1</v>
      </c>
      <c r="I4457" s="34" t="n">
        <v>2</v>
      </c>
      <c r="J4457" s="37" t="n">
        <v>1</v>
      </c>
      <c r="K4457" s="2" t="inlineStr">
        <is>
          <t>marker_723_820163.png</t>
        </is>
      </c>
      <c r="L4457" s="36">
        <f>HYPERLINK("NoConsenso\" &amp; K4457, "Ver Imagen")</f>
        <v/>
      </c>
      <c r="M4457" s="37" t="inlineStr">
        <is>
          <t>Modificada</t>
        </is>
      </c>
    </row>
    <row r="4458">
      <c r="A4458" s="33" t="n">
        <v>4457</v>
      </c>
      <c r="B4458" t="inlineStr">
        <is>
          <t>A-490__607</t>
        </is>
      </c>
      <c r="C4458" s="1" t="n">
        <v>37.4929746442</v>
      </c>
      <c r="D4458" s="1" t="n">
        <v>-7.26303110884</v>
      </c>
      <c r="E4458" s="3" t="n">
        <v>1</v>
      </c>
      <c r="F4458" s="2" t="n">
        <v>3</v>
      </c>
      <c r="G4458" s="4" t="n">
        <v>2</v>
      </c>
      <c r="H4458" s="13" t="n">
        <v>1</v>
      </c>
      <c r="I4458" s="34" t="n">
        <v>1</v>
      </c>
      <c r="J4458" s="35" t="n">
        <v>1</v>
      </c>
      <c r="K4458" s="2" t="inlineStr">
        <is>
          <t>marker_797_820174.png</t>
        </is>
      </c>
      <c r="L4458" s="36">
        <f>HYPERLINK("NoConsenso\" &amp; K4458, "Ver Imagen")</f>
        <v/>
      </c>
      <c r="M4458" t="inlineStr">
        <is>
          <t>Mediana</t>
        </is>
      </c>
    </row>
    <row r="4459">
      <c r="A4459" s="33" t="n">
        <v>4458</v>
      </c>
      <c r="B4459" t="inlineStr">
        <is>
          <t>A-490__611</t>
        </is>
      </c>
      <c r="C4459" s="1" t="n">
        <v>37.4933058779</v>
      </c>
      <c r="D4459" s="1" t="n">
        <v>-7.26392608293</v>
      </c>
      <c r="E4459" s="3" t="n">
        <v>1</v>
      </c>
      <c r="F4459" s="2" t="n">
        <v>2</v>
      </c>
      <c r="G4459" s="4" t="n">
        <v>3</v>
      </c>
      <c r="H4459" s="13" t="n">
        <v>2</v>
      </c>
      <c r="I4459" s="34" t="n">
        <v>2</v>
      </c>
      <c r="J4459" s="35" t="n">
        <v>2</v>
      </c>
      <c r="K4459" s="2" t="inlineStr">
        <is>
          <t>marker_234_820214.png</t>
        </is>
      </c>
      <c r="L4459" s="36">
        <f>HYPERLINK("NoConsenso\" &amp; K4459, "Ver Imagen")</f>
        <v/>
      </c>
      <c r="M4459" t="inlineStr">
        <is>
          <t>Mediana</t>
        </is>
      </c>
    </row>
    <row r="4460">
      <c r="A4460" s="33" t="n">
        <v>4459</v>
      </c>
      <c r="B4460" t="inlineStr">
        <is>
          <t>A-490__614</t>
        </is>
      </c>
      <c r="C4460" s="1" t="n">
        <v>37.4935946501</v>
      </c>
      <c r="D4460" s="1" t="n">
        <v>-7.26464475604</v>
      </c>
      <c r="E4460" s="3" t="n">
        <v>1</v>
      </c>
      <c r="F4460" s="2" t="n">
        <v>3</v>
      </c>
      <c r="G4460" s="4" t="n">
        <v>2</v>
      </c>
      <c r="H4460" s="13" t="n">
        <v>2</v>
      </c>
      <c r="I4460" s="34" t="n">
        <v>2</v>
      </c>
      <c r="J4460" s="35" t="n">
        <v>2</v>
      </c>
      <c r="K4460" s="2" t="inlineStr">
        <is>
          <t>marker_624_820243.png</t>
        </is>
      </c>
      <c r="L4460" s="36">
        <f>HYPERLINK("NoConsenso\" &amp; K4460, "Ver Imagen")</f>
        <v/>
      </c>
      <c r="M4460" t="inlineStr">
        <is>
          <t>Mediana</t>
        </is>
      </c>
    </row>
    <row r="4461">
      <c r="A4461" s="33" t="n">
        <v>4460</v>
      </c>
      <c r="B4461" t="inlineStr">
        <is>
          <t>A-490__625</t>
        </is>
      </c>
      <c r="C4461" s="1" t="n">
        <v>37.494850928</v>
      </c>
      <c r="D4461" s="1" t="n">
        <v>-7.2668701104</v>
      </c>
      <c r="E4461" s="3" t="n">
        <v>2</v>
      </c>
      <c r="F4461" s="2" t="n">
        <v>2</v>
      </c>
      <c r="G4461" s="4" t="n">
        <v>4</v>
      </c>
      <c r="H4461" s="13" t="n">
        <v>3</v>
      </c>
      <c r="I4461" s="34" t="n">
        <v>4</v>
      </c>
      <c r="J4461" s="35" t="n">
        <v>3</v>
      </c>
      <c r="K4461" s="2" t="inlineStr">
        <is>
          <t>marker_571_820366.png</t>
        </is>
      </c>
      <c r="L4461" s="36">
        <f>HYPERLINK("NoConsenso\" &amp; K4461, "Ver Imagen")</f>
        <v/>
      </c>
      <c r="M4461" t="inlineStr">
        <is>
          <t>Mediana</t>
        </is>
      </c>
    </row>
    <row r="4462">
      <c r="A4462" s="33" t="n">
        <v>4461</v>
      </c>
      <c r="B4462" t="inlineStr">
        <is>
          <t>A-490__626</t>
        </is>
      </c>
      <c r="C4462" s="1" t="n">
        <v>37.4949195937</v>
      </c>
      <c r="D4462" s="1" t="n">
        <v>-7.26708769898</v>
      </c>
      <c r="E4462" s="3" t="n">
        <v>2</v>
      </c>
      <c r="F4462" s="2" t="n">
        <v>3</v>
      </c>
      <c r="G4462" s="4" t="n">
        <v>4</v>
      </c>
      <c r="H4462" s="13" t="n">
        <v>3</v>
      </c>
      <c r="I4462" s="34" t="n">
        <v>3</v>
      </c>
      <c r="J4462" s="35" t="n">
        <v>3</v>
      </c>
      <c r="K4462" s="2" t="inlineStr">
        <is>
          <t>marker_106_820377.png</t>
        </is>
      </c>
      <c r="L4462" s="36">
        <f>HYPERLINK("NoConsenso\" &amp; K4462, "Ver Imagen")</f>
        <v/>
      </c>
      <c r="M4462" t="inlineStr">
        <is>
          <t>Mediana</t>
        </is>
      </c>
    </row>
    <row r="4463">
      <c r="A4463" s="33" t="n">
        <v>4462</v>
      </c>
      <c r="B4463" t="inlineStr">
        <is>
          <t>A-492__5</t>
        </is>
      </c>
      <c r="C4463" s="1" t="n">
        <v>37.2724365146</v>
      </c>
      <c r="D4463" s="1" t="n">
        <v>-6.99100143001</v>
      </c>
      <c r="E4463" s="3" t="n">
        <v>2</v>
      </c>
      <c r="F4463" s="2" t="n">
        <v>3</v>
      </c>
      <c r="G4463" s="4" t="n">
        <v>4</v>
      </c>
      <c r="H4463" s="13" t="n">
        <v>3</v>
      </c>
      <c r="I4463" s="34" t="n">
        <v>4</v>
      </c>
      <c r="J4463" s="35" t="n">
        <v>3</v>
      </c>
      <c r="K4463" s="2" t="inlineStr">
        <is>
          <t>marker_872_821549.png</t>
        </is>
      </c>
      <c r="L4463" s="36">
        <f>HYPERLINK("NoConsenso\" &amp; K4463, "Ver Imagen")</f>
        <v/>
      </c>
      <c r="M4463" t="inlineStr">
        <is>
          <t>Mediana</t>
        </is>
      </c>
    </row>
    <row r="4464">
      <c r="A4464" s="33" t="n">
        <v>4463</v>
      </c>
      <c r="B4464" t="inlineStr">
        <is>
          <t>A-492__15</t>
        </is>
      </c>
      <c r="C4464" s="1" t="n">
        <v>37.2743845877</v>
      </c>
      <c r="D4464" s="1" t="n">
        <v>-6.99127950746</v>
      </c>
      <c r="E4464" s="3" t="n">
        <v>2</v>
      </c>
      <c r="F4464" s="2" t="n">
        <v>3</v>
      </c>
      <c r="G4464" s="4" t="n">
        <v>4</v>
      </c>
      <c r="H4464" s="13" t="n">
        <v>3</v>
      </c>
      <c r="I4464" s="34" t="n">
        <v>4</v>
      </c>
      <c r="J4464" s="35" t="n">
        <v>3</v>
      </c>
      <c r="K4464" s="2" t="inlineStr">
        <is>
          <t>marker_553_821957.png</t>
        </is>
      </c>
      <c r="L4464" s="36">
        <f>HYPERLINK("NoConsenso\" &amp; K4464, "Ver Imagen")</f>
        <v/>
      </c>
      <c r="M4464" t="inlineStr">
        <is>
          <t>Mediana</t>
        </is>
      </c>
    </row>
    <row r="4465">
      <c r="A4465" s="33" t="n">
        <v>4464</v>
      </c>
      <c r="B4465" t="inlineStr">
        <is>
          <t>A-492__17</t>
        </is>
      </c>
      <c r="C4465" s="1" t="n">
        <v>37.2747888132</v>
      </c>
      <c r="D4465" s="1" t="n">
        <v>-6.99122182202</v>
      </c>
      <c r="E4465" s="3" t="n">
        <v>2</v>
      </c>
      <c r="F4465" s="2" t="n">
        <v>3</v>
      </c>
      <c r="G4465" s="4" t="n">
        <v>4</v>
      </c>
      <c r="H4465" s="13" t="n">
        <v>4</v>
      </c>
      <c r="I4465" s="34" t="n">
        <v>4</v>
      </c>
      <c r="J4465" s="35" t="n">
        <v>4</v>
      </c>
      <c r="K4465" s="2" t="inlineStr">
        <is>
          <t>marker_788_821984.png</t>
        </is>
      </c>
      <c r="L4465" s="36">
        <f>HYPERLINK("NoConsenso\" &amp; K4465, "Ver Imagen")</f>
        <v/>
      </c>
      <c r="M4465" t="inlineStr">
        <is>
          <t>Mediana</t>
        </is>
      </c>
    </row>
    <row r="4466">
      <c r="A4466" s="33" t="n">
        <v>4465</v>
      </c>
      <c r="B4466" t="inlineStr">
        <is>
          <t>A-492__25</t>
        </is>
      </c>
      <c r="C4466" s="1" t="n">
        <v>37.2762405699</v>
      </c>
      <c r="D4466" s="1" t="n">
        <v>-6.99093363428</v>
      </c>
      <c r="E4466" s="3" t="n">
        <v>2</v>
      </c>
      <c r="F4466" s="2" t="n">
        <v>4</v>
      </c>
      <c r="G4466" s="4" t="n">
        <v>4</v>
      </c>
      <c r="H4466" s="13" t="n">
        <v>4</v>
      </c>
      <c r="I4466" s="34" t="n">
        <v>4</v>
      </c>
      <c r="J4466" s="35" t="n">
        <v>4</v>
      </c>
      <c r="K4466" s="2" t="inlineStr">
        <is>
          <t>marker_542_822223.png</t>
        </is>
      </c>
      <c r="L4466" s="36">
        <f>HYPERLINK("NoConsenso\" &amp; K4466, "Ver Imagen")</f>
        <v/>
      </c>
      <c r="M4466" t="inlineStr">
        <is>
          <t>Mediana</t>
        </is>
      </c>
    </row>
    <row r="4467">
      <c r="A4467" s="33" t="n">
        <v>4466</v>
      </c>
      <c r="B4467" t="inlineStr">
        <is>
          <t>A-492__27</t>
        </is>
      </c>
      <c r="C4467" s="1" t="n">
        <v>37.2764203426</v>
      </c>
      <c r="D4467" s="1" t="n">
        <v>-6.99127650104</v>
      </c>
      <c r="E4467" s="3" t="n">
        <v>2</v>
      </c>
      <c r="F4467" s="2" t="n">
        <v>4</v>
      </c>
      <c r="G4467" s="4" t="n">
        <v>4</v>
      </c>
      <c r="H4467" s="13" t="n">
        <v>4</v>
      </c>
      <c r="I4467" s="34" t="n">
        <v>5</v>
      </c>
      <c r="J4467" s="37" t="n">
        <v>5</v>
      </c>
      <c r="K4467" s="2" t="inlineStr">
        <is>
          <t>marker_429_822248.png</t>
        </is>
      </c>
      <c r="L4467" s="36">
        <f>HYPERLINK("NoConsenso\" &amp; K4467, "Ver Imagen")</f>
        <v/>
      </c>
      <c r="M4467" s="37" t="inlineStr">
        <is>
          <t>Modificada</t>
        </is>
      </c>
    </row>
    <row r="4468">
      <c r="A4468" s="33" t="n">
        <v>4467</v>
      </c>
      <c r="B4468" t="inlineStr">
        <is>
          <t>A-492__37</t>
        </is>
      </c>
      <c r="C4468" s="1" t="n">
        <v>37.2780544075</v>
      </c>
      <c r="D4468" s="1" t="n">
        <v>-6.99274153576</v>
      </c>
      <c r="E4468" s="3" t="n">
        <v>3</v>
      </c>
      <c r="F4468" s="2" t="n">
        <v>5</v>
      </c>
      <c r="G4468" s="4" t="n">
        <v>4</v>
      </c>
      <c r="H4468" s="13" t="n">
        <v>4</v>
      </c>
      <c r="I4468" s="34" t="n">
        <v>4</v>
      </c>
      <c r="J4468" s="35" t="n">
        <v>4</v>
      </c>
      <c r="K4468" s="2" t="inlineStr">
        <is>
          <t>marker_157_822818.png</t>
        </is>
      </c>
      <c r="L4468" s="36">
        <f>HYPERLINK("NoConsenso\" &amp; K4468, "Ver Imagen")</f>
        <v/>
      </c>
      <c r="M4468" t="inlineStr">
        <is>
          <t>Mediana</t>
        </is>
      </c>
    </row>
    <row r="4469">
      <c r="A4469" s="33" t="n">
        <v>4468</v>
      </c>
      <c r="B4469" t="inlineStr">
        <is>
          <t>A-492__50</t>
        </is>
      </c>
      <c r="C4469" s="1" t="n">
        <v>37.2792905531</v>
      </c>
      <c r="D4469" s="1" t="n">
        <v>-6.99558197789</v>
      </c>
      <c r="E4469" s="3" t="n">
        <v>3</v>
      </c>
      <c r="F4469" s="2" t="n">
        <v>2</v>
      </c>
      <c r="G4469" s="4" t="n">
        <v>4</v>
      </c>
      <c r="H4469" s="13" t="n">
        <v>1</v>
      </c>
      <c r="I4469" s="34" t="n">
        <v>1</v>
      </c>
      <c r="J4469" s="37" t="n">
        <v>1</v>
      </c>
      <c r="K4469" s="2" t="inlineStr">
        <is>
          <t>marker_459_823004.png</t>
        </is>
      </c>
      <c r="L4469" s="36">
        <f>HYPERLINK("NoConsenso\" &amp; K4469, "Ver Imagen")</f>
        <v/>
      </c>
      <c r="M4469" s="37" t="inlineStr">
        <is>
          <t>Modificada</t>
        </is>
      </c>
    </row>
    <row r="4470">
      <c r="A4470" s="33" t="n">
        <v>4469</v>
      </c>
      <c r="B4470" t="inlineStr">
        <is>
          <t>A-492__51</t>
        </is>
      </c>
      <c r="C4470" s="1" t="n">
        <v>37.2793536791</v>
      </c>
      <c r="D4470" s="1" t="n">
        <v>-6.99584761047</v>
      </c>
      <c r="E4470" s="3" t="n">
        <v>2</v>
      </c>
      <c r="F4470" s="2" t="n">
        <v>1</v>
      </c>
      <c r="G4470" s="4" t="n">
        <v>3</v>
      </c>
      <c r="H4470" s="13" t="n">
        <v>1</v>
      </c>
      <c r="I4470" s="34" t="n">
        <v>1</v>
      </c>
      <c r="J4470" s="35" t="n">
        <v>1</v>
      </c>
      <c r="K4470" s="2" t="inlineStr">
        <is>
          <t>marker_642_823016.png</t>
        </is>
      </c>
      <c r="L4470" s="36">
        <f>HYPERLINK("NoConsenso\" &amp; K4470, "Ver Imagen")</f>
        <v/>
      </c>
      <c r="M4470" t="inlineStr">
        <is>
          <t>Mediana</t>
        </is>
      </c>
    </row>
    <row r="4471">
      <c r="A4471" s="33" t="n">
        <v>4470</v>
      </c>
      <c r="B4471" t="inlineStr">
        <is>
          <t>A-492__85</t>
        </is>
      </c>
      <c r="C4471" s="1" t="n">
        <v>37.2806855398</v>
      </c>
      <c r="D4471" s="1" t="n">
        <v>-7.00378119714</v>
      </c>
      <c r="E4471" s="3" t="n">
        <v>3</v>
      </c>
      <c r="F4471" s="2" t="n">
        <v>2</v>
      </c>
      <c r="G4471" s="4" t="n">
        <v>4</v>
      </c>
      <c r="H4471" s="13" t="n">
        <v>2</v>
      </c>
      <c r="I4471" s="34" t="n">
        <v>3</v>
      </c>
      <c r="J4471" s="37" t="n">
        <v>2</v>
      </c>
      <c r="K4471" s="2" t="inlineStr">
        <is>
          <t>marker_422_823556.png</t>
        </is>
      </c>
      <c r="L4471" s="36">
        <f>HYPERLINK("NoConsenso\" &amp; K4471, "Ver Imagen")</f>
        <v/>
      </c>
      <c r="M4471" s="37" t="inlineStr">
        <is>
          <t>Modificada</t>
        </is>
      </c>
    </row>
    <row r="4472">
      <c r="A4472" s="33" t="n">
        <v>4471</v>
      </c>
      <c r="B4472" t="inlineStr">
        <is>
          <t>A-492__96</t>
        </is>
      </c>
      <c r="C4472" s="1" t="n">
        <v>37.2798677695</v>
      </c>
      <c r="D4472" s="1" t="n">
        <v>-7.00634118049</v>
      </c>
      <c r="E4472" s="3" t="n">
        <v>1</v>
      </c>
      <c r="F4472" s="2" t="n">
        <v>3</v>
      </c>
      <c r="G4472" s="4" t="n">
        <v>3</v>
      </c>
      <c r="H4472" s="13" t="n">
        <v>2</v>
      </c>
      <c r="I4472" s="34" t="n">
        <v>2</v>
      </c>
      <c r="J4472" s="35" t="n">
        <v>2</v>
      </c>
      <c r="K4472" s="2" t="inlineStr">
        <is>
          <t>marker_980_823715.png</t>
        </is>
      </c>
      <c r="L4472" s="36">
        <f>HYPERLINK("NoConsenso\" &amp; K4472, "Ver Imagen")</f>
        <v/>
      </c>
      <c r="M4472" t="inlineStr">
        <is>
          <t>Mediana</t>
        </is>
      </c>
    </row>
    <row r="4473">
      <c r="A4473" s="33" t="n">
        <v>4472</v>
      </c>
      <c r="B4473" t="inlineStr">
        <is>
          <t>A-492__101</t>
        </is>
      </c>
      <c r="C4473" s="1" t="n">
        <v>37.2794361971</v>
      </c>
      <c r="D4473" s="1" t="n">
        <v>-7.00744810952</v>
      </c>
      <c r="E4473" s="3" t="n">
        <v>1</v>
      </c>
      <c r="F4473" s="2" t="n">
        <v>3</v>
      </c>
      <c r="G4473" s="4" t="n">
        <v>3</v>
      </c>
      <c r="H4473" s="13" t="n">
        <v>2</v>
      </c>
      <c r="I4473" s="34" t="n">
        <v>1</v>
      </c>
      <c r="J4473" s="35" t="n">
        <v>2</v>
      </c>
      <c r="K4473" s="2" t="inlineStr">
        <is>
          <t>marker_798_823773.png</t>
        </is>
      </c>
      <c r="L4473" s="36">
        <f>HYPERLINK("NoConsenso\" &amp; K4473, "Ver Imagen")</f>
        <v/>
      </c>
      <c r="M4473" t="inlineStr">
        <is>
          <t>Mediana</t>
        </is>
      </c>
    </row>
    <row r="4474">
      <c r="A4474" s="33" t="n">
        <v>4473</v>
      </c>
      <c r="B4474" t="inlineStr">
        <is>
          <t>A-492__122</t>
        </is>
      </c>
      <c r="C4474" s="1" t="n">
        <v>37.2772783423</v>
      </c>
      <c r="D4474" s="1" t="n">
        <v>-7.01204535668</v>
      </c>
      <c r="E4474" s="3" t="n">
        <v>2</v>
      </c>
      <c r="F4474" s="2" t="n">
        <v>3</v>
      </c>
      <c r="G4474" s="4" t="n">
        <v>4</v>
      </c>
      <c r="H4474" s="13" t="n">
        <v>2</v>
      </c>
      <c r="I4474" s="34" t="n">
        <v>2</v>
      </c>
      <c r="J4474" s="35" t="n">
        <v>2</v>
      </c>
      <c r="K4474" s="2" t="inlineStr">
        <is>
          <t>marker_887_824442.png</t>
        </is>
      </c>
      <c r="L4474" s="36">
        <f>HYPERLINK("NoConsenso\" &amp; K4474, "Ver Imagen")</f>
        <v/>
      </c>
      <c r="M4474" t="inlineStr">
        <is>
          <t>Mediana</t>
        </is>
      </c>
    </row>
    <row r="4475">
      <c r="A4475" s="33" t="n">
        <v>4474</v>
      </c>
      <c r="B4475" t="inlineStr">
        <is>
          <t>A-492__124</t>
        </is>
      </c>
      <c r="C4475" s="1" t="n">
        <v>37.2770383431</v>
      </c>
      <c r="D4475" s="1" t="n">
        <v>-7.0124783125</v>
      </c>
      <c r="E4475" s="3" t="n">
        <v>2</v>
      </c>
      <c r="F4475" s="2" t="n">
        <v>3</v>
      </c>
      <c r="G4475" s="4" t="n">
        <v>4</v>
      </c>
      <c r="H4475" s="13" t="n">
        <v>3</v>
      </c>
      <c r="I4475" s="34" t="n">
        <v>3</v>
      </c>
      <c r="J4475" s="35" t="n">
        <v>3</v>
      </c>
      <c r="K4475" s="2" t="inlineStr">
        <is>
          <t>marker_748_824468.png</t>
        </is>
      </c>
      <c r="L4475" s="36">
        <f>HYPERLINK("NoConsenso\" &amp; K4475, "Ver Imagen")</f>
        <v/>
      </c>
      <c r="M4475" t="inlineStr">
        <is>
          <t>Mediana</t>
        </is>
      </c>
    </row>
    <row r="4476">
      <c r="A4476" s="33" t="n">
        <v>4475</v>
      </c>
      <c r="B4476" t="inlineStr">
        <is>
          <t>A-492__133</t>
        </is>
      </c>
      <c r="C4476" s="1" t="n">
        <v>37.2760942508</v>
      </c>
      <c r="D4476" s="1" t="n">
        <v>-7.01441395708</v>
      </c>
      <c r="E4476" s="3" t="n">
        <v>2</v>
      </c>
      <c r="F4476" s="2" t="n">
        <v>3</v>
      </c>
      <c r="G4476" s="4" t="n">
        <v>4</v>
      </c>
      <c r="H4476" s="13" t="n">
        <v>2</v>
      </c>
      <c r="I4476" s="34" t="n">
        <v>2</v>
      </c>
      <c r="J4476" s="35" t="n">
        <v>2</v>
      </c>
      <c r="K4476" s="2" t="inlineStr">
        <is>
          <t>marker_155_824574.png</t>
        </is>
      </c>
      <c r="L4476" s="36">
        <f>HYPERLINK("NoConsenso\" &amp; K4476, "Ver Imagen")</f>
        <v/>
      </c>
      <c r="M4476" t="inlineStr">
        <is>
          <t>Mediana</t>
        </is>
      </c>
    </row>
    <row r="4477">
      <c r="A4477" s="33" t="n">
        <v>4476</v>
      </c>
      <c r="B4477" t="inlineStr">
        <is>
          <t>A-492__137</t>
        </is>
      </c>
      <c r="C4477" s="1" t="n">
        <v>37.2759227785</v>
      </c>
      <c r="D4477" s="1" t="n">
        <v>-7.01525624738</v>
      </c>
      <c r="E4477" s="3" t="n">
        <v>2</v>
      </c>
      <c r="F4477" s="2" t="n">
        <v>3</v>
      </c>
      <c r="G4477" s="4" t="n">
        <v>4</v>
      </c>
      <c r="H4477" s="13" t="n">
        <v>4</v>
      </c>
      <c r="I4477" s="34" t="n">
        <v>3</v>
      </c>
      <c r="J4477" s="35" t="n">
        <v>3</v>
      </c>
      <c r="K4477" s="2" t="inlineStr">
        <is>
          <t>marker_639_824630.png</t>
        </is>
      </c>
      <c r="L4477" s="36">
        <f>HYPERLINK("NoConsenso\" &amp; K4477, "Ver Imagen")</f>
        <v/>
      </c>
      <c r="M4477" t="inlineStr">
        <is>
          <t>Mediana</t>
        </is>
      </c>
    </row>
    <row r="4478">
      <c r="A4478" s="33" t="n">
        <v>4477</v>
      </c>
      <c r="B4478" t="inlineStr">
        <is>
          <t>A-492__152</t>
        </is>
      </c>
      <c r="C4478" s="1" t="n">
        <v>37.2756179577</v>
      </c>
      <c r="D4478" s="1" t="n">
        <v>-7.01876428854</v>
      </c>
      <c r="E4478" s="3" t="n">
        <v>1</v>
      </c>
      <c r="F4478" s="2" t="n">
        <v>2</v>
      </c>
      <c r="G4478" s="4" t="n">
        <v>3</v>
      </c>
      <c r="H4478" s="13" t="n">
        <v>1</v>
      </c>
      <c r="I4478" s="34" t="n">
        <v>1</v>
      </c>
      <c r="J4478" s="35" t="n">
        <v>1</v>
      </c>
      <c r="K4478" s="2" t="inlineStr">
        <is>
          <t>marker_661_824829.png</t>
        </is>
      </c>
      <c r="L4478" s="36">
        <f>HYPERLINK("NoConsenso\" &amp; K4478, "Ver Imagen")</f>
        <v/>
      </c>
      <c r="M4478" t="inlineStr">
        <is>
          <t>Mediana</t>
        </is>
      </c>
    </row>
    <row r="4479">
      <c r="A4479" s="33" t="n">
        <v>4478</v>
      </c>
      <c r="B4479" t="inlineStr">
        <is>
          <t>A-492__153</t>
        </is>
      </c>
      <c r="C4479" s="1" t="n">
        <v>37.2756513608</v>
      </c>
      <c r="D4479" s="1" t="n">
        <v>-7.01901084733</v>
      </c>
      <c r="E4479" s="3" t="n">
        <v>1</v>
      </c>
      <c r="F4479" s="2" t="n">
        <v>2</v>
      </c>
      <c r="G4479" s="4" t="n">
        <v>3</v>
      </c>
      <c r="H4479" s="13" t="n">
        <v>1</v>
      </c>
      <c r="I4479" s="34" t="n">
        <v>1</v>
      </c>
      <c r="J4479" s="35" t="n">
        <v>1</v>
      </c>
      <c r="K4479" s="2" t="inlineStr">
        <is>
          <t>marker_242_824839.png</t>
        </is>
      </c>
      <c r="L4479" s="36">
        <f>HYPERLINK("NoConsenso\" &amp; K4479, "Ver Imagen")</f>
        <v/>
      </c>
      <c r="M4479" t="inlineStr">
        <is>
          <t>Mediana</t>
        </is>
      </c>
    </row>
    <row r="4480">
      <c r="A4480" s="33" t="n">
        <v>4479</v>
      </c>
      <c r="B4480" t="inlineStr">
        <is>
          <t>A-492__154</t>
        </is>
      </c>
      <c r="C4480" s="1" t="n">
        <v>37.2756864688</v>
      </c>
      <c r="D4480" s="1" t="n">
        <v>-7.01927299808</v>
      </c>
      <c r="E4480" s="3" t="n">
        <v>1</v>
      </c>
      <c r="F4480" s="2" t="n">
        <v>2</v>
      </c>
      <c r="G4480" s="4" t="n">
        <v>3</v>
      </c>
      <c r="H4480" s="13" t="n">
        <v>1</v>
      </c>
      <c r="I4480" s="34" t="n">
        <v>1</v>
      </c>
      <c r="J4480" s="35" t="n">
        <v>1</v>
      </c>
      <c r="K4480" s="2" t="inlineStr">
        <is>
          <t>marker_188_824885.png</t>
        </is>
      </c>
      <c r="L4480" s="36">
        <f>HYPERLINK("NoConsenso\" &amp; K4480, "Ver Imagen")</f>
        <v/>
      </c>
      <c r="M4480" t="inlineStr">
        <is>
          <t>Mediana</t>
        </is>
      </c>
    </row>
    <row r="4481">
      <c r="A4481" s="33" t="n">
        <v>4480</v>
      </c>
      <c r="B4481" t="inlineStr">
        <is>
          <t>A-492__155</t>
        </is>
      </c>
      <c r="C4481" s="1" t="n">
        <v>37.27571627</v>
      </c>
      <c r="D4481" s="1" t="n">
        <v>-7.01949688418</v>
      </c>
      <c r="E4481" s="3" t="n">
        <v>1</v>
      </c>
      <c r="F4481" s="2" t="n">
        <v>2</v>
      </c>
      <c r="G4481" s="4" t="n">
        <v>3</v>
      </c>
      <c r="H4481" s="13" t="n">
        <v>2</v>
      </c>
      <c r="I4481" s="34" t="n">
        <v>2</v>
      </c>
      <c r="J4481" s="35" t="n">
        <v>2</v>
      </c>
      <c r="K4481" s="2" t="inlineStr">
        <is>
          <t>marker_224_824897.png</t>
        </is>
      </c>
      <c r="L4481" s="36">
        <f>HYPERLINK("NoConsenso\" &amp; K4481, "Ver Imagen")</f>
        <v/>
      </c>
      <c r="M4481" t="inlineStr">
        <is>
          <t>Mediana</t>
        </is>
      </c>
    </row>
    <row r="4482">
      <c r="A4482" s="33" t="n">
        <v>4481</v>
      </c>
      <c r="B4482" t="inlineStr">
        <is>
          <t>A-492__156</t>
        </is>
      </c>
      <c r="C4482" s="1" t="n">
        <v>37.2757591115</v>
      </c>
      <c r="D4482" s="1" t="n">
        <v>-7.01981766009</v>
      </c>
      <c r="E4482" s="3" t="n">
        <v>1</v>
      </c>
      <c r="F4482" s="2" t="n">
        <v>3</v>
      </c>
      <c r="G4482" s="4" t="n">
        <v>3</v>
      </c>
      <c r="H4482" s="13" t="n">
        <v>2</v>
      </c>
      <c r="I4482" s="34" t="n">
        <v>2</v>
      </c>
      <c r="J4482" s="35" t="n">
        <v>2</v>
      </c>
      <c r="K4482" s="2" t="inlineStr">
        <is>
          <t>marker_818_824908.png</t>
        </is>
      </c>
      <c r="L4482" s="36">
        <f>HYPERLINK("NoConsenso\" &amp; K4482, "Ver Imagen")</f>
        <v/>
      </c>
      <c r="M4482" t="inlineStr">
        <is>
          <t>Mediana</t>
        </is>
      </c>
    </row>
    <row r="4483">
      <c r="A4483" s="33" t="n">
        <v>4482</v>
      </c>
      <c r="B4483" t="inlineStr">
        <is>
          <t>A-492__157</t>
        </is>
      </c>
      <c r="C4483" s="1" t="n">
        <v>37.2757839801</v>
      </c>
      <c r="D4483" s="1" t="n">
        <v>-7.02000424152</v>
      </c>
      <c r="E4483" s="3" t="n">
        <v>1</v>
      </c>
      <c r="F4483" s="2" t="n">
        <v>2</v>
      </c>
      <c r="G4483" s="4" t="n">
        <v>3</v>
      </c>
      <c r="H4483" s="13" t="n">
        <v>1</v>
      </c>
      <c r="I4483" s="34" t="n">
        <v>2</v>
      </c>
      <c r="J4483" s="35" t="n">
        <v>2</v>
      </c>
      <c r="K4483" s="2" t="inlineStr">
        <is>
          <t>marker_687_824918.png</t>
        </is>
      </c>
      <c r="L4483" s="36">
        <f>HYPERLINK("NoConsenso\" &amp; K4483, "Ver Imagen")</f>
        <v/>
      </c>
      <c r="M4483" t="inlineStr">
        <is>
          <t>Mediana</t>
        </is>
      </c>
    </row>
    <row r="4484">
      <c r="A4484" s="33" t="n">
        <v>4483</v>
      </c>
      <c r="B4484" t="inlineStr">
        <is>
          <t>A-492__159</t>
        </is>
      </c>
      <c r="C4484" s="1" t="n">
        <v>37.2758563045</v>
      </c>
      <c r="D4484" s="1" t="n">
        <v>-7.02053638602</v>
      </c>
      <c r="E4484" s="3" t="n">
        <v>1</v>
      </c>
      <c r="F4484" s="2" t="n">
        <v>2</v>
      </c>
      <c r="G4484" s="4" t="n">
        <v>3</v>
      </c>
      <c r="H4484" s="13" t="n">
        <v>2</v>
      </c>
      <c r="I4484" s="34" t="n">
        <v>2</v>
      </c>
      <c r="J4484" s="35" t="n">
        <v>2</v>
      </c>
      <c r="K4484" s="2" t="inlineStr">
        <is>
          <t>marker_582_824942.png</t>
        </is>
      </c>
      <c r="L4484" s="36">
        <f>HYPERLINK("NoConsenso\" &amp; K4484, "Ver Imagen")</f>
        <v/>
      </c>
      <c r="M4484" t="inlineStr">
        <is>
          <t>Mediana</t>
        </is>
      </c>
    </row>
    <row r="4485">
      <c r="A4485" s="33" t="n">
        <v>4484</v>
      </c>
      <c r="B4485" t="inlineStr">
        <is>
          <t>A-492__162</t>
        </is>
      </c>
      <c r="C4485" s="1" t="n">
        <v>37.2759494125</v>
      </c>
      <c r="D4485" s="1" t="n">
        <v>-7.02123840212</v>
      </c>
      <c r="E4485" s="3" t="n">
        <v>1</v>
      </c>
      <c r="F4485" s="2" t="n">
        <v>2</v>
      </c>
      <c r="G4485" s="4" t="n">
        <v>3</v>
      </c>
      <c r="H4485" s="13" t="n">
        <v>2</v>
      </c>
      <c r="I4485" s="34" t="n">
        <v>2</v>
      </c>
      <c r="J4485" s="35" t="n">
        <v>2</v>
      </c>
      <c r="K4485" s="2" t="inlineStr">
        <is>
          <t>marker_556_831344.png</t>
        </is>
      </c>
      <c r="L4485" s="36">
        <f>HYPERLINK("NoConsenso\" &amp; K4485, "Ver Imagen")</f>
        <v/>
      </c>
      <c r="M4485" t="inlineStr">
        <is>
          <t>Mediana</t>
        </is>
      </c>
    </row>
    <row r="4486">
      <c r="A4486" s="33" t="n">
        <v>4485</v>
      </c>
      <c r="B4486" t="inlineStr">
        <is>
          <t>A-492__164</t>
        </is>
      </c>
      <c r="C4486" s="1" t="n">
        <v>37.2760147814</v>
      </c>
      <c r="D4486" s="1" t="n">
        <v>-7.02174560117</v>
      </c>
      <c r="E4486" s="3" t="n">
        <v>1</v>
      </c>
      <c r="F4486" s="2" t="n">
        <v>2</v>
      </c>
      <c r="G4486" s="4" t="n">
        <v>3</v>
      </c>
      <c r="H4486" s="13" t="n">
        <v>1</v>
      </c>
      <c r="I4486" s="34" t="n">
        <v>2</v>
      </c>
      <c r="J4486" s="35" t="n">
        <v>2</v>
      </c>
      <c r="K4486" s="2" t="inlineStr">
        <is>
          <t>marker_385_831366.png</t>
        </is>
      </c>
      <c r="L4486" s="36">
        <f>HYPERLINK("NoConsenso\" &amp; K4486, "Ver Imagen")</f>
        <v/>
      </c>
      <c r="M4486" t="inlineStr">
        <is>
          <t>Mediana</t>
        </is>
      </c>
    </row>
    <row r="4487">
      <c r="A4487" s="33" t="n">
        <v>4486</v>
      </c>
      <c r="B4487" t="inlineStr">
        <is>
          <t>A-492__167</t>
        </is>
      </c>
      <c r="C4487" s="1" t="n">
        <v>37.2761214019</v>
      </c>
      <c r="D4487" s="1" t="n">
        <v>-7.02249796901</v>
      </c>
      <c r="E4487" s="3" t="n">
        <v>2</v>
      </c>
      <c r="F4487" s="2" t="n">
        <v>3</v>
      </c>
      <c r="G4487" s="4" t="n">
        <v>4</v>
      </c>
      <c r="H4487" s="13" t="n">
        <v>2</v>
      </c>
      <c r="I4487" s="34" t="n">
        <v>3</v>
      </c>
      <c r="J4487" s="35" t="n">
        <v>3</v>
      </c>
      <c r="K4487" s="2" t="inlineStr">
        <is>
          <t>marker_925_831405.png</t>
        </is>
      </c>
      <c r="L4487" s="36">
        <f>HYPERLINK("NoConsenso\" &amp; K4487, "Ver Imagen")</f>
        <v/>
      </c>
      <c r="M4487" t="inlineStr">
        <is>
          <t>Mediana</t>
        </is>
      </c>
    </row>
    <row r="4488">
      <c r="A4488" s="33" t="n">
        <v>4487</v>
      </c>
      <c r="B4488" t="inlineStr">
        <is>
          <t>A-492__169</t>
        </is>
      </c>
      <c r="C4488" s="1" t="n">
        <v>37.2761989443</v>
      </c>
      <c r="D4488" s="1" t="n">
        <v>-7.02303679997</v>
      </c>
      <c r="E4488" s="3" t="n">
        <v>1</v>
      </c>
      <c r="F4488" s="2" t="n">
        <v>2</v>
      </c>
      <c r="G4488" s="4" t="n">
        <v>3</v>
      </c>
      <c r="H4488" s="13" t="n">
        <v>2</v>
      </c>
      <c r="I4488" s="34" t="n">
        <v>2</v>
      </c>
      <c r="J4488" s="35" t="n">
        <v>2</v>
      </c>
      <c r="K4488" s="2" t="inlineStr">
        <is>
          <t>marker_225_831440.png</t>
        </is>
      </c>
      <c r="L4488" s="36">
        <f>HYPERLINK("NoConsenso\" &amp; K4488, "Ver Imagen")</f>
        <v/>
      </c>
      <c r="M4488" t="inlineStr">
        <is>
          <t>Mediana</t>
        </is>
      </c>
    </row>
    <row r="4489">
      <c r="A4489" s="33" t="n">
        <v>4488</v>
      </c>
      <c r="B4489" t="inlineStr">
        <is>
          <t>A-492__175</t>
        </is>
      </c>
      <c r="C4489" s="1" t="n">
        <v>37.2764015902</v>
      </c>
      <c r="D4489" s="1" t="n">
        <v>-7.02447961241</v>
      </c>
      <c r="E4489" s="3" t="n">
        <v>1</v>
      </c>
      <c r="F4489" s="2" t="n">
        <v>2</v>
      </c>
      <c r="G4489" s="4" t="n">
        <v>3</v>
      </c>
      <c r="H4489" s="13" t="n">
        <v>2</v>
      </c>
      <c r="I4489" s="34" t="n">
        <v>1</v>
      </c>
      <c r="J4489" s="35" t="n">
        <v>2</v>
      </c>
      <c r="K4489" s="2" t="inlineStr">
        <is>
          <t>marker_587_831529.png</t>
        </is>
      </c>
      <c r="L4489" s="36">
        <f>HYPERLINK("NoConsenso\" &amp; K4489, "Ver Imagen")</f>
        <v/>
      </c>
      <c r="M4489" t="inlineStr">
        <is>
          <t>Mediana</t>
        </is>
      </c>
    </row>
    <row r="4490">
      <c r="A4490" s="33" t="n">
        <v>4489</v>
      </c>
      <c r="B4490" t="inlineStr">
        <is>
          <t>A-492__182</t>
        </is>
      </c>
      <c r="C4490" s="1" t="n">
        <v>37.2766513476</v>
      </c>
      <c r="D4490" s="1" t="n">
        <v>-7.02624839933</v>
      </c>
      <c r="E4490" s="3" t="n">
        <v>1</v>
      </c>
      <c r="F4490" s="2" t="n">
        <v>2</v>
      </c>
      <c r="G4490" s="4" t="n">
        <v>3</v>
      </c>
      <c r="H4490" s="13" t="n">
        <v>2</v>
      </c>
      <c r="I4490" s="34" t="n">
        <v>2</v>
      </c>
      <c r="J4490" s="35" t="n">
        <v>2</v>
      </c>
      <c r="K4490" s="2" t="inlineStr">
        <is>
          <t>marker_745_831660.png</t>
        </is>
      </c>
      <c r="L4490" s="36">
        <f>HYPERLINK("NoConsenso\" &amp; K4490, "Ver Imagen")</f>
        <v/>
      </c>
      <c r="M4490" t="inlineStr">
        <is>
          <t>Mediana</t>
        </is>
      </c>
    </row>
    <row r="4491">
      <c r="A4491" s="33" t="n">
        <v>4490</v>
      </c>
      <c r="B4491" t="inlineStr">
        <is>
          <t>A-492__187</t>
        </is>
      </c>
      <c r="C4491" s="1" t="n">
        <v>37.2768918233</v>
      </c>
      <c r="D4491" s="1" t="n">
        <v>-7.02746276517</v>
      </c>
      <c r="E4491" s="3" t="n">
        <v>1</v>
      </c>
      <c r="F4491" s="2" t="n">
        <v>3</v>
      </c>
      <c r="G4491" s="4" t="n">
        <v>3</v>
      </c>
      <c r="H4491" s="13" t="n">
        <v>2</v>
      </c>
      <c r="I4491" s="34" t="n">
        <v>1</v>
      </c>
      <c r="J4491" s="35" t="n">
        <v>2</v>
      </c>
      <c r="K4491" s="2" t="inlineStr">
        <is>
          <t>marker_606_831754.png</t>
        </is>
      </c>
      <c r="L4491" s="36">
        <f>HYPERLINK("NoConsenso\" &amp; K4491, "Ver Imagen")</f>
        <v/>
      </c>
      <c r="M4491" t="inlineStr">
        <is>
          <t>Mediana</t>
        </is>
      </c>
    </row>
    <row r="4492">
      <c r="A4492" s="33" t="n">
        <v>4491</v>
      </c>
      <c r="B4492" t="inlineStr">
        <is>
          <t>A-492__188</t>
        </is>
      </c>
      <c r="C4492" s="1" t="n">
        <v>37.2769611481</v>
      </c>
      <c r="D4492" s="1" t="n">
        <v>-7.0276874273</v>
      </c>
      <c r="E4492" s="3" t="n">
        <v>1</v>
      </c>
      <c r="F4492" s="2" t="n">
        <v>2</v>
      </c>
      <c r="G4492" s="4" t="n">
        <v>3</v>
      </c>
      <c r="H4492" s="13" t="n">
        <v>2</v>
      </c>
      <c r="I4492" s="34" t="n">
        <v>1</v>
      </c>
      <c r="J4492" s="35" t="n">
        <v>2</v>
      </c>
      <c r="K4492" s="2" t="inlineStr">
        <is>
          <t>marker_544_831773.png</t>
        </is>
      </c>
      <c r="L4492" s="36">
        <f>HYPERLINK("NoConsenso\" &amp; K4492, "Ver Imagen")</f>
        <v/>
      </c>
      <c r="M4492" t="inlineStr">
        <is>
          <t>Mediana</t>
        </is>
      </c>
    </row>
    <row r="4493">
      <c r="A4493" s="33" t="n">
        <v>4492</v>
      </c>
      <c r="B4493" t="inlineStr">
        <is>
          <t>A-492__191</t>
        </is>
      </c>
      <c r="C4493" s="1" t="n">
        <v>37.2772518306</v>
      </c>
      <c r="D4493" s="1" t="n">
        <v>-7.02839661256</v>
      </c>
      <c r="E4493" s="3" t="n">
        <v>1</v>
      </c>
      <c r="F4493" s="2" t="n">
        <v>2</v>
      </c>
      <c r="G4493" s="4" t="n">
        <v>3</v>
      </c>
      <c r="H4493" s="13" t="n">
        <v>2</v>
      </c>
      <c r="I4493" s="34" t="n">
        <v>1</v>
      </c>
      <c r="J4493" s="35" t="n">
        <v>2</v>
      </c>
      <c r="K4493" s="2" t="inlineStr">
        <is>
          <t>marker_116_831815.png</t>
        </is>
      </c>
      <c r="L4493" s="36">
        <f>HYPERLINK("NoConsenso\" &amp; K4493, "Ver Imagen")</f>
        <v/>
      </c>
      <c r="M4493" t="inlineStr">
        <is>
          <t>Mediana</t>
        </is>
      </c>
    </row>
    <row r="4494">
      <c r="A4494" s="33" t="n">
        <v>4493</v>
      </c>
      <c r="B4494" t="inlineStr">
        <is>
          <t>A-492__192</t>
        </is>
      </c>
      <c r="C4494" s="1" t="n">
        <v>37.2773498519</v>
      </c>
      <c r="D4494" s="1" t="n">
        <v>-7.02858154645</v>
      </c>
      <c r="E4494" s="3" t="n">
        <v>1</v>
      </c>
      <c r="F4494" s="2" t="n">
        <v>2</v>
      </c>
      <c r="G4494" s="4" t="n">
        <v>3</v>
      </c>
      <c r="H4494" s="13" t="n">
        <v>2</v>
      </c>
      <c r="I4494" s="34" t="n">
        <v>1</v>
      </c>
      <c r="J4494" s="35" t="n">
        <v>2</v>
      </c>
      <c r="K4494" s="2" t="inlineStr">
        <is>
          <t>marker_146_831827.png</t>
        </is>
      </c>
      <c r="L4494" s="36">
        <f>HYPERLINK("NoConsenso\" &amp; K4494, "Ver Imagen")</f>
        <v/>
      </c>
      <c r="M4494" t="inlineStr">
        <is>
          <t>Mediana</t>
        </is>
      </c>
    </row>
    <row r="4495">
      <c r="A4495" s="33" t="n">
        <v>4494</v>
      </c>
      <c r="B4495" t="inlineStr">
        <is>
          <t>A-492__199</t>
        </is>
      </c>
      <c r="C4495" s="1" t="n">
        <v>37.2783343866</v>
      </c>
      <c r="D4495" s="1" t="n">
        <v>-7.02981799647</v>
      </c>
      <c r="E4495" s="3" t="n">
        <v>1</v>
      </c>
      <c r="F4495" s="2" t="n">
        <v>3</v>
      </c>
      <c r="G4495" s="4" t="n">
        <v>3</v>
      </c>
      <c r="H4495" s="13" t="n">
        <v>1</v>
      </c>
      <c r="I4495" s="34" t="n">
        <v>1</v>
      </c>
      <c r="J4495" s="35" t="n">
        <v>1</v>
      </c>
      <c r="K4495" s="2" t="inlineStr">
        <is>
          <t>marker_916_831907.png</t>
        </is>
      </c>
      <c r="L4495" s="36">
        <f>HYPERLINK("NoConsenso\" &amp; K4495, "Ver Imagen")</f>
        <v/>
      </c>
      <c r="M4495" t="inlineStr">
        <is>
          <t>Mediana</t>
        </is>
      </c>
    </row>
    <row r="4496">
      <c r="A4496" s="33" t="n">
        <v>4495</v>
      </c>
      <c r="B4496" t="inlineStr">
        <is>
          <t>A-492__200</t>
        </is>
      </c>
      <c r="C4496" s="1" t="n">
        <v>37.2785011687</v>
      </c>
      <c r="D4496" s="1" t="n">
        <v>-7.02997186184</v>
      </c>
      <c r="E4496" s="3" t="n">
        <v>1</v>
      </c>
      <c r="F4496" s="2" t="n">
        <v>3</v>
      </c>
      <c r="G4496" s="4" t="n">
        <v>3</v>
      </c>
      <c r="H4496" s="13" t="n">
        <v>2</v>
      </c>
      <c r="I4496" s="34" t="n">
        <v>1</v>
      </c>
      <c r="J4496" s="35" t="n">
        <v>2</v>
      </c>
      <c r="K4496" s="2" t="inlineStr">
        <is>
          <t>marker_507_831920.png</t>
        </is>
      </c>
      <c r="L4496" s="36">
        <f>HYPERLINK("NoConsenso\" &amp; K4496, "Ver Imagen")</f>
        <v/>
      </c>
      <c r="M4496" t="inlineStr">
        <is>
          <t>Mediana</t>
        </is>
      </c>
    </row>
    <row r="4497">
      <c r="A4497" s="33" t="n">
        <v>4496</v>
      </c>
      <c r="B4497" t="inlineStr">
        <is>
          <t>A-492__201</t>
        </is>
      </c>
      <c r="C4497" s="1" t="n">
        <v>37.2786650539</v>
      </c>
      <c r="D4497" s="1" t="n">
        <v>-7.03012298267</v>
      </c>
      <c r="E4497" s="3" t="n">
        <v>1</v>
      </c>
      <c r="F4497" s="2" t="n">
        <v>2</v>
      </c>
      <c r="G4497" s="4" t="n">
        <v>3</v>
      </c>
      <c r="H4497" s="13" t="n">
        <v>2</v>
      </c>
      <c r="I4497" s="34" t="n">
        <v>1</v>
      </c>
      <c r="J4497" s="35" t="n">
        <v>2</v>
      </c>
      <c r="K4497" s="2" t="inlineStr">
        <is>
          <t>marker_190_831935.png</t>
        </is>
      </c>
      <c r="L4497" s="36">
        <f>HYPERLINK("NoConsenso\" &amp; K4497, "Ver Imagen")</f>
        <v/>
      </c>
      <c r="M4497" t="inlineStr">
        <is>
          <t>Mediana</t>
        </is>
      </c>
    </row>
    <row r="4498">
      <c r="A4498" s="33" t="n">
        <v>4497</v>
      </c>
      <c r="B4498" t="inlineStr">
        <is>
          <t>A-492__210</t>
        </is>
      </c>
      <c r="C4498" s="1" t="n">
        <v>37.2801409657</v>
      </c>
      <c r="D4498" s="1" t="n">
        <v>-7.03142870707</v>
      </c>
      <c r="E4498" s="3" t="n">
        <v>2</v>
      </c>
      <c r="F4498" s="2" t="n">
        <v>4</v>
      </c>
      <c r="G4498" s="4" t="n">
        <v>4</v>
      </c>
      <c r="H4498" s="13" t="n">
        <v>3</v>
      </c>
      <c r="I4498" s="34" t="n">
        <v>4</v>
      </c>
      <c r="J4498" s="35" t="n">
        <v>4</v>
      </c>
      <c r="K4498" s="2" t="inlineStr">
        <is>
          <t>marker_817_832075.png</t>
        </is>
      </c>
      <c r="L4498" s="36">
        <f>HYPERLINK("NoConsenso\" &amp; K4498, "Ver Imagen")</f>
        <v/>
      </c>
      <c r="M4498" t="inlineStr">
        <is>
          <t>Mediana</t>
        </is>
      </c>
    </row>
    <row r="4499">
      <c r="A4499" s="33" t="n">
        <v>4498</v>
      </c>
      <c r="B4499" t="inlineStr">
        <is>
          <t>A-492__215</t>
        </is>
      </c>
      <c r="C4499" s="1" t="n">
        <v>37.2810712492</v>
      </c>
      <c r="D4499" s="1" t="n">
        <v>-7.0319227961</v>
      </c>
      <c r="E4499" s="3" t="n">
        <v>1</v>
      </c>
      <c r="F4499" s="2" t="n">
        <v>2</v>
      </c>
      <c r="G4499" s="4" t="n">
        <v>3</v>
      </c>
      <c r="H4499" s="13" t="n">
        <v>2</v>
      </c>
      <c r="I4499" s="34" t="n">
        <v>1</v>
      </c>
      <c r="J4499" s="35" t="n">
        <v>2</v>
      </c>
      <c r="K4499" s="2" t="inlineStr">
        <is>
          <t>marker_225_832722.png</t>
        </is>
      </c>
      <c r="L4499" s="36">
        <f>HYPERLINK("NoConsenso\" &amp; K4499, "Ver Imagen")</f>
        <v/>
      </c>
      <c r="M4499" t="inlineStr">
        <is>
          <t>Mediana</t>
        </is>
      </c>
    </row>
    <row r="4500">
      <c r="A4500" s="33" t="n">
        <v>4499</v>
      </c>
      <c r="B4500" t="inlineStr">
        <is>
          <t>A-492__216</t>
        </is>
      </c>
      <c r="C4500" s="1" t="n">
        <v>37.2812746482</v>
      </c>
      <c r="D4500" s="1" t="n">
        <v>-7.03202118122</v>
      </c>
      <c r="E4500" s="3" t="n">
        <v>1</v>
      </c>
      <c r="F4500" s="2" t="n">
        <v>3</v>
      </c>
      <c r="G4500" s="4" t="n">
        <v>3</v>
      </c>
      <c r="H4500" s="13" t="n">
        <v>2</v>
      </c>
      <c r="I4500" s="34" t="n">
        <v>1</v>
      </c>
      <c r="J4500" s="35" t="n">
        <v>2</v>
      </c>
      <c r="K4500" s="2" t="inlineStr">
        <is>
          <t>marker_928_832749.png</t>
        </is>
      </c>
      <c r="L4500" s="36">
        <f>HYPERLINK("NoConsenso\" &amp; K4500, "Ver Imagen")</f>
        <v/>
      </c>
      <c r="M4500" t="inlineStr">
        <is>
          <t>Mediana</t>
        </is>
      </c>
    </row>
    <row r="4501">
      <c r="A4501" s="33" t="n">
        <v>4500</v>
      </c>
      <c r="B4501" t="inlineStr">
        <is>
          <t>A-492__219</t>
        </is>
      </c>
      <c r="C4501" s="1" t="n">
        <v>37.2818442854</v>
      </c>
      <c r="D4501" s="1" t="n">
        <v>-7.0323192332</v>
      </c>
      <c r="E4501" s="3" t="n">
        <v>1</v>
      </c>
      <c r="F4501" s="2" t="n">
        <v>1</v>
      </c>
      <c r="G4501" s="4" t="n">
        <v>3</v>
      </c>
      <c r="H4501" s="13" t="n">
        <v>2</v>
      </c>
      <c r="I4501" s="34" t="n">
        <v>1</v>
      </c>
      <c r="J4501" s="35" t="n">
        <v>1</v>
      </c>
      <c r="K4501" s="2" t="inlineStr">
        <is>
          <t>marker_529_832800.png</t>
        </is>
      </c>
      <c r="L4501" s="36">
        <f>HYPERLINK("NoConsenso\" &amp; K4501, "Ver Imagen")</f>
        <v/>
      </c>
      <c r="M4501" t="inlineStr">
        <is>
          <t>Mediana</t>
        </is>
      </c>
    </row>
    <row r="4502">
      <c r="A4502" s="33" t="n">
        <v>4501</v>
      </c>
      <c r="B4502" t="inlineStr">
        <is>
          <t>A-492__220</t>
        </is>
      </c>
      <c r="C4502" s="1" t="n">
        <v>37.2820142818</v>
      </c>
      <c r="D4502" s="1" t="n">
        <v>-7.03241638224</v>
      </c>
      <c r="E4502" s="3" t="n">
        <v>1</v>
      </c>
      <c r="F4502" s="2" t="n">
        <v>2</v>
      </c>
      <c r="G4502" s="4" t="n">
        <v>3</v>
      </c>
      <c r="H4502" s="13" t="n">
        <v>2</v>
      </c>
      <c r="I4502" s="34" t="n">
        <v>1</v>
      </c>
      <c r="J4502" s="35" t="n">
        <v>2</v>
      </c>
      <c r="K4502" s="2" t="inlineStr">
        <is>
          <t>marker_439_835660.png</t>
        </is>
      </c>
      <c r="L4502" s="36">
        <f>HYPERLINK("NoConsenso\" &amp; K4502, "Ver Imagen")</f>
        <v/>
      </c>
      <c r="M4502" t="inlineStr">
        <is>
          <t>Mediana</t>
        </is>
      </c>
    </row>
    <row r="4503">
      <c r="A4503" s="33" t="n">
        <v>4502</v>
      </c>
      <c r="B4503" t="inlineStr">
        <is>
          <t>A-492__223</t>
        </is>
      </c>
      <c r="C4503" s="1" t="n">
        <v>37.2825427356</v>
      </c>
      <c r="D4503" s="1" t="n">
        <v>-7.03274529902</v>
      </c>
      <c r="E4503" s="3" t="n">
        <v>1</v>
      </c>
      <c r="F4503" s="2" t="n">
        <v>2</v>
      </c>
      <c r="G4503" s="4" t="n">
        <v>3</v>
      </c>
      <c r="H4503" s="13" t="n">
        <v>1</v>
      </c>
      <c r="I4503" s="34" t="n">
        <v>1</v>
      </c>
      <c r="J4503" s="35" t="n">
        <v>1</v>
      </c>
      <c r="K4503" s="2" t="inlineStr">
        <is>
          <t>marker_362_835693.png</t>
        </is>
      </c>
      <c r="L4503" s="36">
        <f>HYPERLINK("NoConsenso\" &amp; K4503, "Ver Imagen")</f>
        <v/>
      </c>
      <c r="M4503" t="inlineStr">
        <is>
          <t>Mediana</t>
        </is>
      </c>
    </row>
    <row r="4504">
      <c r="A4504" s="33" t="n">
        <v>4503</v>
      </c>
      <c r="B4504" t="inlineStr">
        <is>
          <t>A-492__235</t>
        </is>
      </c>
      <c r="C4504" s="1" t="n">
        <v>37.284030827</v>
      </c>
      <c r="D4504" s="1" t="n">
        <v>-7.03507287904</v>
      </c>
      <c r="E4504" s="3" t="n">
        <v>1</v>
      </c>
      <c r="F4504" s="2" t="n">
        <v>2</v>
      </c>
      <c r="G4504" s="4" t="n">
        <v>3</v>
      </c>
      <c r="H4504" s="13" t="n">
        <v>2</v>
      </c>
      <c r="I4504" s="34" t="n">
        <v>1</v>
      </c>
      <c r="J4504" s="35" t="n">
        <v>2</v>
      </c>
      <c r="K4504" s="2" t="inlineStr">
        <is>
          <t>marker_997_835878.png</t>
        </is>
      </c>
      <c r="L4504" s="36">
        <f>HYPERLINK("NoConsenso\" &amp; K4504, "Ver Imagen")</f>
        <v/>
      </c>
      <c r="M4504" t="inlineStr">
        <is>
          <t>Mediana</t>
        </is>
      </c>
    </row>
    <row r="4505">
      <c r="A4505" s="33" t="n">
        <v>4504</v>
      </c>
      <c r="B4505" t="inlineStr">
        <is>
          <t>A-492__236</t>
        </is>
      </c>
      <c r="C4505" s="1" t="n">
        <v>37.2840686306</v>
      </c>
      <c r="D4505" s="1" t="n">
        <v>-7.03531604299</v>
      </c>
      <c r="E4505" s="3" t="n">
        <v>1</v>
      </c>
      <c r="F4505" s="2" t="n">
        <v>2</v>
      </c>
      <c r="G4505" s="4" t="n">
        <v>3</v>
      </c>
      <c r="H4505" s="13" t="n">
        <v>2</v>
      </c>
      <c r="I4505" s="34" t="n">
        <v>1</v>
      </c>
      <c r="J4505" s="35" t="n">
        <v>2</v>
      </c>
      <c r="K4505" s="2" t="inlineStr">
        <is>
          <t>marker_270_835889.png</t>
        </is>
      </c>
      <c r="L4505" s="36">
        <f>HYPERLINK("NoConsenso\" &amp; K4505, "Ver Imagen")</f>
        <v/>
      </c>
      <c r="M4505" t="inlineStr">
        <is>
          <t>Mediana</t>
        </is>
      </c>
    </row>
    <row r="4506">
      <c r="A4506" s="33" t="n">
        <v>4505</v>
      </c>
      <c r="B4506" t="inlineStr">
        <is>
          <t>A-492__237</t>
        </is>
      </c>
      <c r="C4506" s="1" t="n">
        <v>37.2840930463</v>
      </c>
      <c r="D4506" s="1" t="n">
        <v>-7.03557668609</v>
      </c>
      <c r="E4506" s="3" t="n">
        <v>1</v>
      </c>
      <c r="F4506" s="2" t="n">
        <v>2</v>
      </c>
      <c r="G4506" s="4" t="n">
        <v>3</v>
      </c>
      <c r="H4506" s="13" t="n">
        <v>2</v>
      </c>
      <c r="I4506" s="34" t="n">
        <v>1</v>
      </c>
      <c r="J4506" s="35" t="n">
        <v>2</v>
      </c>
      <c r="K4506" s="2" t="inlineStr">
        <is>
          <t>marker_540_835904.png</t>
        </is>
      </c>
      <c r="L4506" s="36">
        <f>HYPERLINK("NoConsenso\" &amp; K4506, "Ver Imagen")</f>
        <v/>
      </c>
      <c r="M4506" t="inlineStr">
        <is>
          <t>Mediana</t>
        </is>
      </c>
    </row>
    <row r="4507">
      <c r="A4507" s="33" t="n">
        <v>4506</v>
      </c>
      <c r="B4507" t="inlineStr">
        <is>
          <t>A-492__239</t>
        </is>
      </c>
      <c r="C4507" s="1" t="n">
        <v>37.2841058416</v>
      </c>
      <c r="D4507" s="1" t="n">
        <v>-7.03611481993</v>
      </c>
      <c r="E4507" s="3" t="n">
        <v>1</v>
      </c>
      <c r="F4507" s="2" t="n">
        <v>2</v>
      </c>
      <c r="G4507" s="4" t="n">
        <v>3</v>
      </c>
      <c r="H4507" s="13" t="n">
        <v>2</v>
      </c>
      <c r="I4507" s="34" t="n">
        <v>1</v>
      </c>
      <c r="J4507" s="35" t="n">
        <v>2</v>
      </c>
      <c r="K4507" s="2" t="inlineStr">
        <is>
          <t>marker_334_835933.png</t>
        </is>
      </c>
      <c r="L4507" s="36">
        <f>HYPERLINK("NoConsenso\" &amp; K4507, "Ver Imagen")</f>
        <v/>
      </c>
      <c r="M4507" t="inlineStr">
        <is>
          <t>Mediana</t>
        </is>
      </c>
    </row>
    <row r="4508">
      <c r="A4508" s="33" t="n">
        <v>4507</v>
      </c>
      <c r="B4508" t="inlineStr">
        <is>
          <t>A-492__240</t>
        </is>
      </c>
      <c r="C4508" s="1" t="n">
        <v>37.2841040739</v>
      </c>
      <c r="D4508" s="1" t="n">
        <v>-7.03634993228</v>
      </c>
      <c r="E4508" s="3" t="n">
        <v>1</v>
      </c>
      <c r="F4508" s="2" t="n">
        <v>3</v>
      </c>
      <c r="G4508" s="4" t="n">
        <v>3</v>
      </c>
      <c r="H4508" s="13" t="n">
        <v>2</v>
      </c>
      <c r="I4508" s="34" t="n">
        <v>1</v>
      </c>
      <c r="J4508" s="35" t="n">
        <v>2</v>
      </c>
      <c r="K4508" s="2" t="inlineStr">
        <is>
          <t>marker_890_835943.png</t>
        </is>
      </c>
      <c r="L4508" s="36">
        <f>HYPERLINK("NoConsenso\" &amp; K4508, "Ver Imagen")</f>
        <v/>
      </c>
      <c r="M4508" t="inlineStr">
        <is>
          <t>Mediana</t>
        </is>
      </c>
    </row>
    <row r="4509">
      <c r="A4509" s="33" t="n">
        <v>4508</v>
      </c>
      <c r="B4509" t="inlineStr">
        <is>
          <t>A-492__243</t>
        </is>
      </c>
      <c r="C4509" s="1" t="n">
        <v>37.2841383386</v>
      </c>
      <c r="D4509" s="1" t="n">
        <v>-7.03710343953</v>
      </c>
      <c r="E4509" s="3" t="n">
        <v>1</v>
      </c>
      <c r="F4509" s="2" t="n">
        <v>2</v>
      </c>
      <c r="G4509" s="4" t="n">
        <v>3</v>
      </c>
      <c r="H4509" s="13" t="n">
        <v>2</v>
      </c>
      <c r="I4509" s="34" t="n">
        <v>1</v>
      </c>
      <c r="J4509" s="35" t="n">
        <v>2</v>
      </c>
      <c r="K4509" s="2" t="inlineStr">
        <is>
          <t>marker_391_835987.png</t>
        </is>
      </c>
      <c r="L4509" s="36">
        <f>HYPERLINK("NoConsenso\" &amp; K4509, "Ver Imagen")</f>
        <v/>
      </c>
      <c r="M4509" t="inlineStr">
        <is>
          <t>Mediana</t>
        </is>
      </c>
    </row>
    <row r="4510">
      <c r="A4510" s="33" t="n">
        <v>4509</v>
      </c>
      <c r="B4510" t="inlineStr">
        <is>
          <t>A-492__244</t>
        </is>
      </c>
      <c r="C4510" s="1" t="n">
        <v>37.2841716313</v>
      </c>
      <c r="D4510" s="1" t="n">
        <v>-7.03732344836</v>
      </c>
      <c r="E4510" s="3" t="n">
        <v>1</v>
      </c>
      <c r="F4510" s="2" t="n">
        <v>2</v>
      </c>
      <c r="G4510" s="4" t="n">
        <v>3</v>
      </c>
      <c r="H4510" s="13" t="n">
        <v>2</v>
      </c>
      <c r="I4510" s="34" t="n">
        <v>1</v>
      </c>
      <c r="J4510" s="35" t="n">
        <v>2</v>
      </c>
      <c r="K4510" s="2" t="inlineStr">
        <is>
          <t>marker_505_836019.png</t>
        </is>
      </c>
      <c r="L4510" s="36">
        <f>HYPERLINK("NoConsenso\" &amp; K4510, "Ver Imagen")</f>
        <v/>
      </c>
      <c r="M4510" t="inlineStr">
        <is>
          <t>Mediana</t>
        </is>
      </c>
    </row>
    <row r="4511">
      <c r="A4511" s="33" t="n">
        <v>4510</v>
      </c>
      <c r="B4511" t="inlineStr">
        <is>
          <t>A-492__253</t>
        </is>
      </c>
      <c r="C4511" s="1" t="n">
        <v>37.2847279594</v>
      </c>
      <c r="D4511" s="1" t="n">
        <v>-7.0395154637</v>
      </c>
      <c r="E4511" s="3" t="n">
        <v>2</v>
      </c>
      <c r="F4511" s="2" t="n">
        <v>2</v>
      </c>
      <c r="G4511" s="4" t="n">
        <v>4</v>
      </c>
      <c r="H4511" s="13" t="n">
        <v>2</v>
      </c>
      <c r="I4511" s="34" t="n">
        <v>1</v>
      </c>
      <c r="J4511" s="35" t="n">
        <v>2</v>
      </c>
      <c r="K4511" s="2" t="inlineStr">
        <is>
          <t>marker_444_836139.png</t>
        </is>
      </c>
      <c r="L4511" s="36">
        <f>HYPERLINK("NoConsenso\" &amp; K4511, "Ver Imagen")</f>
        <v/>
      </c>
      <c r="M4511" t="inlineStr">
        <is>
          <t>Mediana</t>
        </is>
      </c>
    </row>
    <row r="4512">
      <c r="A4512" s="33" t="n">
        <v>4511</v>
      </c>
      <c r="B4512" t="inlineStr">
        <is>
          <t>A-492__259</t>
        </is>
      </c>
      <c r="C4512" s="1" t="n">
        <v>37.2853664237</v>
      </c>
      <c r="D4512" s="1" t="n">
        <v>-7.04075361379</v>
      </c>
      <c r="E4512" s="3" t="n">
        <v>1</v>
      </c>
      <c r="F4512" s="2" t="n">
        <v>2</v>
      </c>
      <c r="G4512" s="4" t="n">
        <v>3</v>
      </c>
      <c r="H4512" s="13" t="n">
        <v>3</v>
      </c>
      <c r="I4512" s="34" t="n">
        <v>2</v>
      </c>
      <c r="J4512" s="35" t="n">
        <v>2</v>
      </c>
      <c r="K4512" s="2" t="inlineStr">
        <is>
          <t>marker_504_836573.png</t>
        </is>
      </c>
      <c r="L4512" s="36">
        <f>HYPERLINK("NoConsenso\" &amp; K4512, "Ver Imagen")</f>
        <v/>
      </c>
      <c r="M4512" t="inlineStr">
        <is>
          <t>Mediana</t>
        </is>
      </c>
    </row>
    <row r="4513">
      <c r="A4513" s="33" t="n">
        <v>4512</v>
      </c>
      <c r="B4513" t="inlineStr">
        <is>
          <t>A-492__265</t>
        </is>
      </c>
      <c r="C4513" s="1" t="n">
        <v>37.2863684062</v>
      </c>
      <c r="D4513" s="1" t="n">
        <v>-7.04164891698</v>
      </c>
      <c r="E4513" s="3" t="n">
        <v>1</v>
      </c>
      <c r="F4513" s="2" t="n">
        <v>2</v>
      </c>
      <c r="G4513" s="4" t="n">
        <v>3</v>
      </c>
      <c r="H4513" s="13" t="n">
        <v>2</v>
      </c>
      <c r="I4513" s="34" t="n">
        <v>2</v>
      </c>
      <c r="J4513" s="35" t="n">
        <v>2</v>
      </c>
      <c r="K4513" s="2" t="inlineStr">
        <is>
          <t>marker_776_836690.png</t>
        </is>
      </c>
      <c r="L4513" s="36">
        <f>HYPERLINK("NoConsenso\" &amp; K4513, "Ver Imagen")</f>
        <v/>
      </c>
      <c r="M4513" t="inlineStr">
        <is>
          <t>Mediana</t>
        </is>
      </c>
    </row>
    <row r="4514">
      <c r="A4514" s="33" t="n">
        <v>4513</v>
      </c>
      <c r="B4514" t="inlineStr">
        <is>
          <t>A-492__280</t>
        </is>
      </c>
      <c r="C4514" s="1" t="n">
        <v>37.2889811644</v>
      </c>
      <c r="D4514" s="1" t="n">
        <v>-7.04341930082</v>
      </c>
      <c r="E4514" s="3" t="n">
        <v>1</v>
      </c>
      <c r="F4514" s="2" t="n">
        <v>3</v>
      </c>
      <c r="G4514" s="4" t="n">
        <v>3</v>
      </c>
      <c r="H4514" s="13" t="n">
        <v>2</v>
      </c>
      <c r="I4514" s="34" t="n">
        <v>1</v>
      </c>
      <c r="J4514" s="35" t="n">
        <v>2</v>
      </c>
      <c r="K4514" s="2" t="inlineStr">
        <is>
          <t>marker_269_836914.png</t>
        </is>
      </c>
      <c r="L4514" s="36">
        <f>HYPERLINK("NoConsenso\" &amp; K4514, "Ver Imagen")</f>
        <v/>
      </c>
      <c r="M4514" t="inlineStr">
        <is>
          <t>Mediana</t>
        </is>
      </c>
    </row>
    <row r="4515">
      <c r="A4515" s="33" t="n">
        <v>4514</v>
      </c>
      <c r="B4515" t="inlineStr">
        <is>
          <t>A-492__284</t>
        </is>
      </c>
      <c r="C4515" s="1" t="n">
        <v>37.2894921303</v>
      </c>
      <c r="D4515" s="1" t="n">
        <v>-7.04421616087</v>
      </c>
      <c r="E4515" s="3" t="n">
        <v>1</v>
      </c>
      <c r="F4515" s="2" t="n">
        <v>2</v>
      </c>
      <c r="G4515" s="4" t="n">
        <v>3</v>
      </c>
      <c r="H4515" s="13" t="n">
        <v>2</v>
      </c>
      <c r="I4515" s="34" t="n">
        <v>1</v>
      </c>
      <c r="J4515" s="35" t="n">
        <v>2</v>
      </c>
      <c r="K4515" s="2" t="inlineStr">
        <is>
          <t>marker_294_837348.png</t>
        </is>
      </c>
      <c r="L4515" s="36">
        <f>HYPERLINK("NoConsenso\" &amp; K4515, "Ver Imagen")</f>
        <v/>
      </c>
      <c r="M4515" t="inlineStr">
        <is>
          <t>Mediana</t>
        </is>
      </c>
    </row>
    <row r="4516">
      <c r="A4516" s="33" t="n">
        <v>4515</v>
      </c>
      <c r="B4516" t="inlineStr">
        <is>
          <t>A-492__285</t>
        </is>
      </c>
      <c r="C4516" s="1" t="n">
        <v>37.2896461831</v>
      </c>
      <c r="D4516" s="1" t="n">
        <v>-7.04443131563</v>
      </c>
      <c r="E4516" s="3" t="n">
        <v>1</v>
      </c>
      <c r="F4516" s="2" t="n">
        <v>1</v>
      </c>
      <c r="G4516" s="4" t="n">
        <v>3</v>
      </c>
      <c r="H4516" s="13" t="n">
        <v>2</v>
      </c>
      <c r="I4516" s="34" t="n">
        <v>2</v>
      </c>
      <c r="J4516" s="35" t="n">
        <v>2</v>
      </c>
      <c r="K4516" s="2" t="inlineStr">
        <is>
          <t>marker_437_837359.png</t>
        </is>
      </c>
      <c r="L4516" s="36">
        <f>HYPERLINK("NoConsenso\" &amp; K4516, "Ver Imagen")</f>
        <v/>
      </c>
      <c r="M4516" t="inlineStr">
        <is>
          <t>Mediana</t>
        </is>
      </c>
    </row>
    <row r="4517">
      <c r="A4517" s="33" t="n">
        <v>4516</v>
      </c>
      <c r="B4517" t="inlineStr">
        <is>
          <t>A-492__290</t>
        </is>
      </c>
      <c r="C4517" s="1" t="n">
        <v>37.290426994</v>
      </c>
      <c r="D4517" s="1" t="n">
        <v>-7.04516755541</v>
      </c>
      <c r="E4517" s="3" t="n">
        <v>1</v>
      </c>
      <c r="F4517" s="2" t="n">
        <v>2</v>
      </c>
      <c r="G4517" s="4" t="n">
        <v>3</v>
      </c>
      <c r="H4517" s="13" t="n">
        <v>3</v>
      </c>
      <c r="I4517" s="34" t="n">
        <v>2</v>
      </c>
      <c r="J4517" s="35" t="n">
        <v>2</v>
      </c>
      <c r="K4517" s="2" t="inlineStr">
        <is>
          <t>marker_557_837418.png</t>
        </is>
      </c>
      <c r="L4517" s="36">
        <f>HYPERLINK("NoConsenso\" &amp; K4517, "Ver Imagen")</f>
        <v/>
      </c>
      <c r="M4517" t="inlineStr">
        <is>
          <t>Mediana</t>
        </is>
      </c>
    </row>
    <row r="4518">
      <c r="A4518" s="33" t="n">
        <v>4517</v>
      </c>
      <c r="B4518" t="inlineStr">
        <is>
          <t>A-492__292</t>
        </is>
      </c>
      <c r="C4518" s="1" t="n">
        <v>37.2908096975</v>
      </c>
      <c r="D4518" s="1" t="n">
        <v>-7.04533188808</v>
      </c>
      <c r="E4518" s="3" t="n">
        <v>1</v>
      </c>
      <c r="F4518" s="2" t="n">
        <v>2</v>
      </c>
      <c r="G4518" s="4" t="n">
        <v>3</v>
      </c>
      <c r="H4518" s="13" t="n">
        <v>2</v>
      </c>
      <c r="I4518" s="34" t="n">
        <v>1</v>
      </c>
      <c r="J4518" s="35" t="n">
        <v>2</v>
      </c>
      <c r="K4518" s="2" t="inlineStr">
        <is>
          <t>marker_199_837446.png</t>
        </is>
      </c>
      <c r="L4518" s="36">
        <f>HYPERLINK("NoConsenso\" &amp; K4518, "Ver Imagen")</f>
        <v/>
      </c>
      <c r="M4518" t="inlineStr">
        <is>
          <t>Mediana</t>
        </is>
      </c>
    </row>
    <row r="4519">
      <c r="A4519" s="33" t="n">
        <v>4518</v>
      </c>
      <c r="B4519" t="inlineStr">
        <is>
          <t>A-492__293</t>
        </is>
      </c>
      <c r="C4519" s="1" t="n">
        <v>37.2909991491</v>
      </c>
      <c r="D4519" s="1" t="n">
        <v>-7.04538004247</v>
      </c>
      <c r="E4519" s="3" t="n">
        <v>1</v>
      </c>
      <c r="F4519" s="2" t="n">
        <v>2</v>
      </c>
      <c r="G4519" s="4" t="n">
        <v>3</v>
      </c>
      <c r="H4519" s="13" t="n">
        <v>2</v>
      </c>
      <c r="I4519" s="34" t="n">
        <v>1</v>
      </c>
      <c r="J4519" s="35" t="n">
        <v>2</v>
      </c>
      <c r="K4519" s="2" t="inlineStr">
        <is>
          <t>marker_862_837458.png</t>
        </is>
      </c>
      <c r="L4519" s="36">
        <f>HYPERLINK("NoConsenso\" &amp; K4519, "Ver Imagen")</f>
        <v/>
      </c>
      <c r="M4519" t="inlineStr">
        <is>
          <t>Mediana</t>
        </is>
      </c>
    </row>
    <row r="4520">
      <c r="A4520" s="33" t="n">
        <v>4519</v>
      </c>
      <c r="B4520" t="inlineStr">
        <is>
          <t>A-492__295</t>
        </is>
      </c>
      <c r="C4520" s="1" t="n">
        <v>37.291393483</v>
      </c>
      <c r="D4520" s="1" t="n">
        <v>-7.04544511471</v>
      </c>
      <c r="E4520" s="3" t="n">
        <v>1</v>
      </c>
      <c r="F4520" s="2" t="n">
        <v>2</v>
      </c>
      <c r="G4520" s="4" t="n">
        <v>3</v>
      </c>
      <c r="H4520" s="13" t="n">
        <v>3</v>
      </c>
      <c r="I4520" s="34" t="n">
        <v>2</v>
      </c>
      <c r="J4520" s="37" t="n">
        <v>3</v>
      </c>
      <c r="K4520" s="2" t="inlineStr">
        <is>
          <t>marker_692_837482.png</t>
        </is>
      </c>
      <c r="L4520" s="36">
        <f>HYPERLINK("NoConsenso\" &amp; K4520, "Ver Imagen")</f>
        <v/>
      </c>
      <c r="M4520" s="37" t="inlineStr">
        <is>
          <t>Modificada</t>
        </is>
      </c>
    </row>
    <row r="4521">
      <c r="A4521" s="33" t="n">
        <v>4520</v>
      </c>
      <c r="B4521" t="inlineStr">
        <is>
          <t>A-492__296</t>
        </is>
      </c>
      <c r="C4521" s="1" t="n">
        <v>37.2915831622</v>
      </c>
      <c r="D4521" s="1" t="n">
        <v>-7.0454714113</v>
      </c>
      <c r="E4521" s="3" t="n">
        <v>1</v>
      </c>
      <c r="F4521" s="2" t="n">
        <v>3</v>
      </c>
      <c r="G4521" s="4" t="n">
        <v>2</v>
      </c>
      <c r="H4521" s="13" t="n">
        <v>2</v>
      </c>
      <c r="I4521" s="34" t="n">
        <v>1</v>
      </c>
      <c r="J4521" s="35" t="n">
        <v>2</v>
      </c>
      <c r="K4521" s="2" t="inlineStr">
        <is>
          <t>marker_918_837492.png</t>
        </is>
      </c>
      <c r="L4521" s="36">
        <f>HYPERLINK("NoConsenso\" &amp; K4521, "Ver Imagen")</f>
        <v/>
      </c>
      <c r="M4521" t="inlineStr">
        <is>
          <t>Mediana</t>
        </is>
      </c>
    </row>
    <row r="4522">
      <c r="A4522" s="33" t="n">
        <v>4521</v>
      </c>
      <c r="B4522" t="inlineStr">
        <is>
          <t>A-492__297</t>
        </is>
      </c>
      <c r="C4522" s="1" t="n">
        <v>37.2917957688</v>
      </c>
      <c r="D4522" s="1" t="n">
        <v>-7.0455052102</v>
      </c>
      <c r="E4522" s="3" t="n">
        <v>1</v>
      </c>
      <c r="F4522" s="2" t="n">
        <v>3</v>
      </c>
      <c r="G4522" s="4" t="n">
        <v>3</v>
      </c>
      <c r="H4522" s="13" t="n">
        <v>2</v>
      </c>
      <c r="I4522" s="34" t="n">
        <v>2</v>
      </c>
      <c r="J4522" s="35" t="n">
        <v>2</v>
      </c>
      <c r="K4522" s="2" t="inlineStr">
        <is>
          <t>marker_874_837517.png</t>
        </is>
      </c>
      <c r="L4522" s="36">
        <f>HYPERLINK("NoConsenso\" &amp; K4522, "Ver Imagen")</f>
        <v/>
      </c>
      <c r="M4522" t="inlineStr">
        <is>
          <t>Mediana</t>
        </is>
      </c>
    </row>
    <row r="4523">
      <c r="A4523" s="33" t="n">
        <v>4522</v>
      </c>
      <c r="B4523" t="inlineStr">
        <is>
          <t>A-492__298</t>
        </is>
      </c>
      <c r="C4523" s="1" t="n">
        <v>37.2920205712</v>
      </c>
      <c r="D4523" s="1" t="n">
        <v>-7.04555054337</v>
      </c>
      <c r="E4523" s="3" t="n">
        <v>1</v>
      </c>
      <c r="F4523" s="2" t="n">
        <v>2</v>
      </c>
      <c r="G4523" s="4" t="n">
        <v>3</v>
      </c>
      <c r="H4523" s="13" t="n">
        <v>2</v>
      </c>
      <c r="I4523" s="34" t="n">
        <v>1</v>
      </c>
      <c r="J4523" s="35" t="n">
        <v>2</v>
      </c>
      <c r="K4523" s="2" t="inlineStr">
        <is>
          <t>marker_131_837526.png</t>
        </is>
      </c>
      <c r="L4523" s="36">
        <f>HYPERLINK("NoConsenso\" &amp; K4523, "Ver Imagen")</f>
        <v/>
      </c>
      <c r="M4523" t="inlineStr">
        <is>
          <t>Mediana</t>
        </is>
      </c>
    </row>
    <row r="4524">
      <c r="A4524" s="33" t="n">
        <v>4523</v>
      </c>
      <c r="B4524" t="inlineStr">
        <is>
          <t>A-492__299</t>
        </is>
      </c>
      <c r="C4524" s="1" t="n">
        <v>37.2922293887</v>
      </c>
      <c r="D4524" s="1" t="n">
        <v>-7.04560656931</v>
      </c>
      <c r="E4524" s="3" t="n">
        <v>1</v>
      </c>
      <c r="F4524" s="2" t="n">
        <v>2</v>
      </c>
      <c r="G4524" s="4" t="n">
        <v>3</v>
      </c>
      <c r="H4524" s="13" t="n">
        <v>2</v>
      </c>
      <c r="I4524" s="34" t="n">
        <v>1</v>
      </c>
      <c r="J4524" s="35" t="n">
        <v>2</v>
      </c>
      <c r="K4524" s="2" t="inlineStr">
        <is>
          <t>marker_755_837542.png</t>
        </is>
      </c>
      <c r="L4524" s="36">
        <f>HYPERLINK("NoConsenso\" &amp; K4524, "Ver Imagen")</f>
        <v/>
      </c>
      <c r="M4524" t="inlineStr">
        <is>
          <t>Mediana</t>
        </is>
      </c>
    </row>
    <row r="4525">
      <c r="A4525" s="33" t="n">
        <v>4524</v>
      </c>
      <c r="B4525" t="inlineStr">
        <is>
          <t>A-492__300</t>
        </is>
      </c>
      <c r="C4525" s="1" t="n">
        <v>37.2924142318</v>
      </c>
      <c r="D4525" s="1" t="n">
        <v>-7.04567380672</v>
      </c>
      <c r="E4525" s="3" t="n">
        <v>2</v>
      </c>
      <c r="F4525" s="2" t="n">
        <v>2</v>
      </c>
      <c r="G4525" s="4" t="n">
        <v>4</v>
      </c>
      <c r="H4525" s="13" t="n">
        <v>2</v>
      </c>
      <c r="I4525" s="34" t="n">
        <v>2</v>
      </c>
      <c r="J4525" s="35" t="n">
        <v>2</v>
      </c>
      <c r="K4525" s="2" t="inlineStr">
        <is>
          <t>marker_223_837551.png</t>
        </is>
      </c>
      <c r="L4525" s="36">
        <f>HYPERLINK("NoConsenso\" &amp; K4525, "Ver Imagen")</f>
        <v/>
      </c>
      <c r="M4525" t="inlineStr">
        <is>
          <t>Mediana</t>
        </is>
      </c>
    </row>
    <row r="4526">
      <c r="A4526" s="33" t="n">
        <v>4525</v>
      </c>
      <c r="B4526" t="inlineStr">
        <is>
          <t>A-492__302</t>
        </is>
      </c>
      <c r="C4526" s="1" t="n">
        <v>37.2927437815</v>
      </c>
      <c r="D4526" s="1" t="n">
        <v>-7.04584862788</v>
      </c>
      <c r="E4526" s="3" t="n">
        <v>1</v>
      </c>
      <c r="F4526" s="2" t="n">
        <v>2</v>
      </c>
      <c r="G4526" s="4" t="n">
        <v>3</v>
      </c>
      <c r="H4526" s="13" t="n">
        <v>2</v>
      </c>
      <c r="I4526" s="34" t="n">
        <v>1</v>
      </c>
      <c r="J4526" s="35" t="n">
        <v>2</v>
      </c>
      <c r="K4526" s="2" t="inlineStr">
        <is>
          <t>marker_611_837578.png</t>
        </is>
      </c>
      <c r="L4526" s="36">
        <f>HYPERLINK("NoConsenso\" &amp; K4526, "Ver Imagen")</f>
        <v/>
      </c>
      <c r="M4526" t="inlineStr">
        <is>
          <t>Mediana</t>
        </is>
      </c>
    </row>
    <row r="4527">
      <c r="A4527" s="33" t="n">
        <v>4526</v>
      </c>
      <c r="B4527" t="inlineStr">
        <is>
          <t>A-492__303</t>
        </is>
      </c>
      <c r="C4527" s="1" t="n">
        <v>37.2929384449</v>
      </c>
      <c r="D4527" s="1" t="n">
        <v>-7.04599182194</v>
      </c>
      <c r="E4527" s="3" t="n">
        <v>1</v>
      </c>
      <c r="F4527" s="2" t="n">
        <v>3</v>
      </c>
      <c r="G4527" s="4" t="n">
        <v>3</v>
      </c>
      <c r="H4527" s="13" t="n">
        <v>2</v>
      </c>
      <c r="I4527" s="34" t="n">
        <v>1</v>
      </c>
      <c r="J4527" s="35" t="n">
        <v>2</v>
      </c>
      <c r="K4527" s="2" t="inlineStr">
        <is>
          <t>marker_825_837589.png</t>
        </is>
      </c>
      <c r="L4527" s="36">
        <f>HYPERLINK("NoConsenso\" &amp; K4527, "Ver Imagen")</f>
        <v/>
      </c>
      <c r="M4527" t="inlineStr">
        <is>
          <t>Mediana</t>
        </is>
      </c>
    </row>
    <row r="4528">
      <c r="A4528" s="33" t="n">
        <v>4527</v>
      </c>
      <c r="B4528" t="inlineStr">
        <is>
          <t>A-492__318</t>
        </is>
      </c>
      <c r="C4528" s="1" t="n">
        <v>37.2950772699</v>
      </c>
      <c r="D4528" s="1" t="n">
        <v>-7.04872048584</v>
      </c>
      <c r="E4528" s="3" t="n">
        <v>2</v>
      </c>
      <c r="F4528" s="2" t="n">
        <v>3</v>
      </c>
      <c r="G4528" s="4" t="n">
        <v>4</v>
      </c>
      <c r="H4528" s="13" t="n">
        <v>3</v>
      </c>
      <c r="I4528" s="34" t="n">
        <v>3</v>
      </c>
      <c r="J4528" s="35" t="n">
        <v>3</v>
      </c>
      <c r="K4528" s="2" t="inlineStr">
        <is>
          <t>marker_757_837928.png</t>
        </is>
      </c>
      <c r="L4528" s="36">
        <f>HYPERLINK("NoConsenso\" &amp; K4528, "Ver Imagen")</f>
        <v/>
      </c>
      <c r="M4528" t="inlineStr">
        <is>
          <t>Mediana</t>
        </is>
      </c>
    </row>
    <row r="4529">
      <c r="A4529" s="33" t="n">
        <v>4528</v>
      </c>
      <c r="B4529" t="inlineStr">
        <is>
          <t>A-492__319</t>
        </is>
      </c>
      <c r="C4529" s="1" t="n">
        <v>37.2952043232</v>
      </c>
      <c r="D4529" s="1" t="n">
        <v>-7.04887666985</v>
      </c>
      <c r="E4529" s="3" t="n">
        <v>2</v>
      </c>
      <c r="F4529" s="2" t="n">
        <v>2</v>
      </c>
      <c r="G4529" s="4" t="n">
        <v>4</v>
      </c>
      <c r="H4529" s="13" t="n">
        <v>3</v>
      </c>
      <c r="I4529" s="34" t="n">
        <v>2</v>
      </c>
      <c r="J4529" s="35" t="n">
        <v>2</v>
      </c>
      <c r="K4529" s="2" t="inlineStr">
        <is>
          <t>marker_370_837937.png</t>
        </is>
      </c>
      <c r="L4529" s="36">
        <f>HYPERLINK("NoConsenso\" &amp; K4529, "Ver Imagen")</f>
        <v/>
      </c>
      <c r="M4529" t="inlineStr">
        <is>
          <t>Mediana</t>
        </is>
      </c>
    </row>
    <row r="4530">
      <c r="A4530" s="33" t="n">
        <v>4529</v>
      </c>
      <c r="B4530" t="inlineStr">
        <is>
          <t>A-492__328</t>
        </is>
      </c>
      <c r="C4530" s="1" t="n">
        <v>37.2965488221</v>
      </c>
      <c r="D4530" s="1" t="n">
        <v>-7.05045731807</v>
      </c>
      <c r="E4530" s="3" t="n">
        <v>1</v>
      </c>
      <c r="F4530" s="2" t="n">
        <v>2</v>
      </c>
      <c r="G4530" s="4" t="n">
        <v>3</v>
      </c>
      <c r="H4530" s="13" t="n">
        <v>2</v>
      </c>
      <c r="I4530" s="34" t="n">
        <v>2</v>
      </c>
      <c r="J4530" s="35" t="n">
        <v>2</v>
      </c>
      <c r="K4530" s="2" t="inlineStr">
        <is>
          <t>marker_253_838056.png</t>
        </is>
      </c>
      <c r="L4530" s="36">
        <f>HYPERLINK("NoConsenso\" &amp; K4530, "Ver Imagen")</f>
        <v/>
      </c>
      <c r="M4530" t="inlineStr">
        <is>
          <t>Mediana</t>
        </is>
      </c>
    </row>
    <row r="4531">
      <c r="A4531" s="33" t="n">
        <v>4530</v>
      </c>
      <c r="B4531" t="inlineStr">
        <is>
          <t>A-492__335</t>
        </is>
      </c>
      <c r="C4531" s="1" t="n">
        <v>37.2972310384</v>
      </c>
      <c r="D4531" s="1" t="n">
        <v>-7.05197720613</v>
      </c>
      <c r="E4531" s="3" t="n">
        <v>1</v>
      </c>
      <c r="F4531" s="2" t="n">
        <v>3</v>
      </c>
      <c r="G4531" s="4" t="n">
        <v>3</v>
      </c>
      <c r="H4531" s="13" t="n">
        <v>2</v>
      </c>
      <c r="I4531" s="34" t="n">
        <v>1</v>
      </c>
      <c r="J4531" s="35" t="n">
        <v>2</v>
      </c>
      <c r="K4531" s="2" t="inlineStr">
        <is>
          <t>marker_910_838148.png</t>
        </is>
      </c>
      <c r="L4531" s="36">
        <f>HYPERLINK("NoConsenso\" &amp; K4531, "Ver Imagen")</f>
        <v/>
      </c>
      <c r="M4531" t="inlineStr">
        <is>
          <t>Mediana</t>
        </is>
      </c>
    </row>
    <row r="4532">
      <c r="A4532" s="33" t="n">
        <v>4531</v>
      </c>
      <c r="B4532" t="inlineStr">
        <is>
          <t>A-492__338</t>
        </is>
      </c>
      <c r="C4532" s="1" t="n">
        <v>37.29748493</v>
      </c>
      <c r="D4532" s="1" t="n">
        <v>-7.05271621717</v>
      </c>
      <c r="E4532" s="3" t="n">
        <v>1</v>
      </c>
      <c r="F4532" s="2" t="n">
        <v>1</v>
      </c>
      <c r="G4532" s="4" t="n">
        <v>3</v>
      </c>
      <c r="H4532" s="13" t="n">
        <v>2</v>
      </c>
      <c r="I4532" s="34" t="n">
        <v>1</v>
      </c>
      <c r="J4532" s="35" t="n">
        <v>1</v>
      </c>
      <c r="K4532" s="2" t="inlineStr">
        <is>
          <t>marker_640_838181.png</t>
        </is>
      </c>
      <c r="L4532" s="36">
        <f>HYPERLINK("NoConsenso\" &amp; K4532, "Ver Imagen")</f>
        <v/>
      </c>
      <c r="M4532" t="inlineStr">
        <is>
          <t>Mediana</t>
        </is>
      </c>
    </row>
    <row r="4533">
      <c r="A4533" s="33" t="n">
        <v>4532</v>
      </c>
      <c r="B4533" t="inlineStr">
        <is>
          <t>A-492__343</t>
        </is>
      </c>
      <c r="C4533" s="1" t="n">
        <v>37.2981098392</v>
      </c>
      <c r="D4533" s="1" t="n">
        <v>-7.05366969797</v>
      </c>
      <c r="E4533" s="3" t="n">
        <v>1</v>
      </c>
      <c r="F4533" s="2" t="n">
        <v>3</v>
      </c>
      <c r="G4533" s="4" t="n">
        <v>3</v>
      </c>
      <c r="H4533" s="13" t="n">
        <v>2</v>
      </c>
      <c r="I4533" s="34" t="n">
        <v>1</v>
      </c>
      <c r="J4533" s="35" t="n">
        <v>2</v>
      </c>
      <c r="K4533" s="2" t="inlineStr">
        <is>
          <t>marker_872_838257.png</t>
        </is>
      </c>
      <c r="L4533" s="36">
        <f>HYPERLINK("NoConsenso\" &amp; K4533, "Ver Imagen")</f>
        <v/>
      </c>
      <c r="M4533" t="inlineStr">
        <is>
          <t>Mediana</t>
        </is>
      </c>
    </row>
    <row r="4534">
      <c r="A4534" s="33" t="n">
        <v>4533</v>
      </c>
      <c r="B4534" t="inlineStr">
        <is>
          <t>A-492__344</t>
        </is>
      </c>
      <c r="C4534" s="1" t="n">
        <v>37.2982879412</v>
      </c>
      <c r="D4534" s="1" t="n">
        <v>-7.05382536757</v>
      </c>
      <c r="E4534" s="3" t="n">
        <v>1</v>
      </c>
      <c r="F4534" s="2" t="n">
        <v>2</v>
      </c>
      <c r="G4534" s="4" t="n">
        <v>3</v>
      </c>
      <c r="H4534" s="13" t="n">
        <v>2</v>
      </c>
      <c r="I4534" s="34" t="n">
        <v>1</v>
      </c>
      <c r="J4534" s="35" t="n">
        <v>2</v>
      </c>
      <c r="K4534" s="2" t="inlineStr">
        <is>
          <t>marker_688_838267.png</t>
        </is>
      </c>
      <c r="L4534" s="36">
        <f>HYPERLINK("NoConsenso\" &amp; K4534, "Ver Imagen")</f>
        <v/>
      </c>
      <c r="M4534" t="inlineStr">
        <is>
          <t>Mediana</t>
        </is>
      </c>
    </row>
    <row r="4535">
      <c r="A4535" s="33" t="n">
        <v>4534</v>
      </c>
      <c r="B4535" t="inlineStr">
        <is>
          <t>A-492__346</t>
        </is>
      </c>
      <c r="C4535" s="1" t="n">
        <v>37.2986297556</v>
      </c>
      <c r="D4535" s="1" t="n">
        <v>-7.05406729509</v>
      </c>
      <c r="E4535" s="3" t="n">
        <v>1</v>
      </c>
      <c r="F4535" s="2" t="n">
        <v>2</v>
      </c>
      <c r="G4535" s="4" t="n">
        <v>3</v>
      </c>
      <c r="H4535" s="13" t="n">
        <v>2</v>
      </c>
      <c r="I4535" s="34" t="n">
        <v>1</v>
      </c>
      <c r="J4535" s="35" t="n">
        <v>2</v>
      </c>
      <c r="K4535" s="2" t="inlineStr">
        <is>
          <t>marker_745_838313.png</t>
        </is>
      </c>
      <c r="L4535" s="36">
        <f>HYPERLINK("NoConsenso\" &amp; K4535, "Ver Imagen")</f>
        <v/>
      </c>
      <c r="M4535" t="inlineStr">
        <is>
          <t>Mediana</t>
        </is>
      </c>
    </row>
    <row r="4536">
      <c r="A4536" s="33" t="n">
        <v>4535</v>
      </c>
      <c r="B4536" t="inlineStr">
        <is>
          <t>A-492__349</t>
        </is>
      </c>
      <c r="C4536" s="1" t="n">
        <v>37.2991536036</v>
      </c>
      <c r="D4536" s="1" t="n">
        <v>-7.05439289032</v>
      </c>
      <c r="E4536" s="3" t="n">
        <v>1</v>
      </c>
      <c r="F4536" s="2" t="n">
        <v>2</v>
      </c>
      <c r="G4536" s="4" t="n">
        <v>3</v>
      </c>
      <c r="H4536" s="13" t="n">
        <v>2</v>
      </c>
      <c r="I4536" s="34" t="n">
        <v>1</v>
      </c>
      <c r="J4536" s="35" t="n">
        <v>2</v>
      </c>
      <c r="K4536" s="2" t="inlineStr">
        <is>
          <t>marker_571_838351.png</t>
        </is>
      </c>
      <c r="L4536" s="36">
        <f>HYPERLINK("NoConsenso\" &amp; K4536, "Ver Imagen")</f>
        <v/>
      </c>
      <c r="M4536" t="inlineStr">
        <is>
          <t>Mediana</t>
        </is>
      </c>
    </row>
    <row r="4537">
      <c r="A4537" s="33" t="n">
        <v>4536</v>
      </c>
      <c r="B4537" t="inlineStr">
        <is>
          <t>A-492__390</t>
        </is>
      </c>
      <c r="C4537" s="1" t="n">
        <v>37.3069231762</v>
      </c>
      <c r="D4537" s="1" t="n">
        <v>-7.05686693179</v>
      </c>
      <c r="E4537" s="3" t="n">
        <v>1</v>
      </c>
      <c r="F4537" s="2" t="n">
        <v>2</v>
      </c>
      <c r="G4537" s="4" t="n">
        <v>3</v>
      </c>
      <c r="H4537" s="13" t="n">
        <v>1</v>
      </c>
      <c r="I4537" s="34" t="n">
        <v>1</v>
      </c>
      <c r="J4537" s="35" t="n">
        <v>1</v>
      </c>
      <c r="K4537" s="2" t="inlineStr">
        <is>
          <t>marker_782_839028.png</t>
        </is>
      </c>
      <c r="L4537" s="36">
        <f>HYPERLINK("NoConsenso\" &amp; K4537, "Ver Imagen")</f>
        <v/>
      </c>
      <c r="M4537" t="inlineStr">
        <is>
          <t>Mediana</t>
        </is>
      </c>
    </row>
    <row r="4538">
      <c r="A4538" s="33" t="n">
        <v>4537</v>
      </c>
      <c r="B4538" t="inlineStr">
        <is>
          <t>A-492__409</t>
        </is>
      </c>
      <c r="C4538" s="1" t="n">
        <v>37.3104460974</v>
      </c>
      <c r="D4538" s="1" t="n">
        <v>-7.05861310468</v>
      </c>
      <c r="E4538" s="3" t="n">
        <v>1</v>
      </c>
      <c r="F4538" s="2" t="n">
        <v>2</v>
      </c>
      <c r="G4538" s="4" t="n">
        <v>3</v>
      </c>
      <c r="H4538" s="13" t="n">
        <v>1</v>
      </c>
      <c r="I4538" s="34" t="n">
        <v>1</v>
      </c>
      <c r="J4538" s="35" t="n">
        <v>1</v>
      </c>
      <c r="K4538" s="2" t="inlineStr">
        <is>
          <t>marker_316_839280.png</t>
        </is>
      </c>
      <c r="L4538" s="36">
        <f>HYPERLINK("NoConsenso\" &amp; K4538, "Ver Imagen")</f>
        <v/>
      </c>
      <c r="M4538" t="inlineStr">
        <is>
          <t>Mediana</t>
        </is>
      </c>
    </row>
    <row r="4539">
      <c r="A4539" s="33" t="n">
        <v>4538</v>
      </c>
      <c r="B4539" t="inlineStr">
        <is>
          <t>A-492__413</t>
        </is>
      </c>
      <c r="C4539" s="1" t="n">
        <v>37.3111229731</v>
      </c>
      <c r="D4539" s="1" t="n">
        <v>-7.05919033483</v>
      </c>
      <c r="E4539" s="3" t="n">
        <v>1</v>
      </c>
      <c r="F4539" s="2" t="n">
        <v>2</v>
      </c>
      <c r="G4539" s="4" t="n">
        <v>3</v>
      </c>
      <c r="H4539" s="13" t="n">
        <v>1</v>
      </c>
      <c r="I4539" s="34" t="n">
        <v>2</v>
      </c>
      <c r="J4539" s="37" t="n">
        <v>1</v>
      </c>
      <c r="K4539" s="2" t="inlineStr">
        <is>
          <t>marker_427_839322.png</t>
        </is>
      </c>
      <c r="L4539" s="36">
        <f>HYPERLINK("NoConsenso\" &amp; K4539, "Ver Imagen")</f>
        <v/>
      </c>
      <c r="M4539" s="37" t="inlineStr">
        <is>
          <t>Modificada</t>
        </is>
      </c>
    </row>
    <row r="4540">
      <c r="A4540" s="33" t="n">
        <v>4539</v>
      </c>
      <c r="B4540" t="inlineStr">
        <is>
          <t>A-492__422</t>
        </is>
      </c>
      <c r="C4540" s="1" t="n">
        <v>37.3124163453</v>
      </c>
      <c r="D4540" s="1" t="n">
        <v>-7.0608249296</v>
      </c>
      <c r="E4540" s="3" t="n">
        <v>1</v>
      </c>
      <c r="F4540" s="2" t="n">
        <v>2</v>
      </c>
      <c r="G4540" s="4" t="n">
        <v>3</v>
      </c>
      <c r="H4540" s="13" t="n">
        <v>1</v>
      </c>
      <c r="I4540" s="34" t="n">
        <v>1</v>
      </c>
      <c r="J4540" s="35" t="n">
        <v>1</v>
      </c>
      <c r="K4540" s="2" t="inlineStr">
        <is>
          <t>marker_947_839437.png</t>
        </is>
      </c>
      <c r="L4540" s="36">
        <f>HYPERLINK("NoConsenso\" &amp; K4540, "Ver Imagen")</f>
        <v/>
      </c>
      <c r="M4540" t="inlineStr">
        <is>
          <t>Mediana</t>
        </is>
      </c>
    </row>
    <row r="4541">
      <c r="A4541" s="33" t="n">
        <v>4540</v>
      </c>
      <c r="B4541" t="inlineStr">
        <is>
          <t>A-492__432</t>
        </is>
      </c>
      <c r="C4541" s="1" t="n">
        <v>37.3136047268</v>
      </c>
      <c r="D4541" s="1" t="n">
        <v>-7.0628514659</v>
      </c>
      <c r="E4541" s="3" t="n">
        <v>2</v>
      </c>
      <c r="F4541" s="2" t="n">
        <v>4</v>
      </c>
      <c r="G4541" s="4" t="n">
        <v>3</v>
      </c>
      <c r="H4541" s="13" t="n">
        <v>3</v>
      </c>
      <c r="I4541" s="34" t="n">
        <v>2</v>
      </c>
      <c r="J4541" s="35" t="n">
        <v>3</v>
      </c>
      <c r="K4541" s="2" t="inlineStr">
        <is>
          <t>marker_803_839550.png</t>
        </is>
      </c>
      <c r="L4541" s="36">
        <f>HYPERLINK("NoConsenso\" &amp; K4541, "Ver Imagen")</f>
        <v/>
      </c>
      <c r="M4541" t="inlineStr">
        <is>
          <t>Mediana</t>
        </is>
      </c>
    </row>
    <row r="4542">
      <c r="A4542" s="33" t="n">
        <v>4541</v>
      </c>
      <c r="B4542" t="inlineStr">
        <is>
          <t>A-492__433</t>
        </is>
      </c>
      <c r="C4542" s="1" t="n">
        <v>37.3137174864</v>
      </c>
      <c r="D4542" s="1" t="n">
        <v>-7.06306327845</v>
      </c>
      <c r="E4542" s="3" t="n">
        <v>2</v>
      </c>
      <c r="F4542" s="2" t="n">
        <v>2</v>
      </c>
      <c r="G4542" s="4" t="n">
        <v>4</v>
      </c>
      <c r="H4542" s="13" t="n">
        <v>2</v>
      </c>
      <c r="I4542" s="34" t="n">
        <v>1</v>
      </c>
      <c r="J4542" s="35" t="n">
        <v>2</v>
      </c>
      <c r="K4542" s="2" t="inlineStr">
        <is>
          <t>marker_549_839564.png</t>
        </is>
      </c>
      <c r="L4542" s="36">
        <f>HYPERLINK("NoConsenso\" &amp; K4542, "Ver Imagen")</f>
        <v/>
      </c>
      <c r="M4542" t="inlineStr">
        <is>
          <t>Mediana</t>
        </is>
      </c>
    </row>
    <row r="4543">
      <c r="A4543" s="33" t="n">
        <v>4542</v>
      </c>
      <c r="B4543" t="inlineStr">
        <is>
          <t>A-492__454</t>
        </is>
      </c>
      <c r="C4543" s="1" t="n">
        <v>37.3155852415</v>
      </c>
      <c r="D4543" s="1" t="n">
        <v>-7.06776416375</v>
      </c>
      <c r="E4543" s="3" t="n">
        <v>2</v>
      </c>
      <c r="F4543" s="2" t="n">
        <v>4</v>
      </c>
      <c r="G4543" s="4" t="n">
        <v>4</v>
      </c>
      <c r="H4543" s="13" t="n">
        <v>3</v>
      </c>
      <c r="I4543" s="34" t="n">
        <v>3</v>
      </c>
      <c r="J4543" s="35" t="n">
        <v>3</v>
      </c>
      <c r="K4543" s="2" t="inlineStr">
        <is>
          <t>marker_972_839857.png</t>
        </is>
      </c>
      <c r="L4543" s="36">
        <f>HYPERLINK("NoConsenso\" &amp; K4543, "Ver Imagen")</f>
        <v/>
      </c>
      <c r="M4543" t="inlineStr">
        <is>
          <t>Mediana</t>
        </is>
      </c>
    </row>
    <row r="4544">
      <c r="A4544" s="33" t="n">
        <v>4543</v>
      </c>
      <c r="B4544" t="inlineStr">
        <is>
          <t>A-492__457</t>
        </is>
      </c>
      <c r="C4544" s="1" t="n">
        <v>37.3158016052</v>
      </c>
      <c r="D4544" s="1" t="n">
        <v>-7.0684868284</v>
      </c>
      <c r="E4544" s="3" t="n">
        <v>2</v>
      </c>
      <c r="F4544" s="2" t="n">
        <v>3</v>
      </c>
      <c r="G4544" s="4" t="n">
        <v>4</v>
      </c>
      <c r="H4544" s="13" t="n">
        <v>3</v>
      </c>
      <c r="I4544" s="34" t="n">
        <v>3</v>
      </c>
      <c r="J4544" s="35" t="n">
        <v>3</v>
      </c>
      <c r="K4544" s="2" t="inlineStr">
        <is>
          <t>marker_227_839896.png</t>
        </is>
      </c>
      <c r="L4544" s="36">
        <f>HYPERLINK("NoConsenso\" &amp; K4544, "Ver Imagen")</f>
        <v/>
      </c>
      <c r="M4544" t="inlineStr">
        <is>
          <t>Mediana</t>
        </is>
      </c>
    </row>
    <row r="4545">
      <c r="A4545" s="33" t="n">
        <v>4544</v>
      </c>
      <c r="B4545" t="inlineStr">
        <is>
          <t>A-492__466</t>
        </is>
      </c>
      <c r="C4545" s="1" t="n">
        <v>37.3167544733</v>
      </c>
      <c r="D4545" s="1" t="n">
        <v>-7.07039477272</v>
      </c>
      <c r="E4545" s="3" t="n">
        <v>3</v>
      </c>
      <c r="F4545" s="2" t="n">
        <v>2</v>
      </c>
      <c r="G4545" s="4" t="n">
        <v>4</v>
      </c>
      <c r="H4545" s="13" t="n">
        <v>2</v>
      </c>
      <c r="I4545" s="34" t="n">
        <v>2</v>
      </c>
      <c r="J4545" s="35" t="n">
        <v>2</v>
      </c>
      <c r="K4545" s="2" t="inlineStr">
        <is>
          <t>marker_736_839992.png</t>
        </is>
      </c>
      <c r="L4545" s="36">
        <f>HYPERLINK("NoConsenso\" &amp; K4545, "Ver Imagen")</f>
        <v/>
      </c>
      <c r="M4545" t="inlineStr">
        <is>
          <t>Mediana</t>
        </is>
      </c>
    </row>
    <row r="4546">
      <c r="A4546" s="33" t="n">
        <v>4545</v>
      </c>
      <c r="B4546" t="inlineStr">
        <is>
          <t>A-492__469</t>
        </is>
      </c>
      <c r="C4546" s="1" t="n">
        <v>37.3172244102</v>
      </c>
      <c r="D4546" s="1" t="n">
        <v>-7.07087016844</v>
      </c>
      <c r="E4546" s="3" t="n">
        <v>3</v>
      </c>
      <c r="F4546" s="2" t="n">
        <v>2</v>
      </c>
      <c r="G4546" s="4" t="n">
        <v>4</v>
      </c>
      <c r="H4546" s="13" t="n">
        <v>2</v>
      </c>
      <c r="I4546" s="34" t="n">
        <v>3</v>
      </c>
      <c r="J4546" s="35" t="n">
        <v>3</v>
      </c>
      <c r="K4546" s="2" t="inlineStr">
        <is>
          <t>marker_772_840035.png</t>
        </is>
      </c>
      <c r="L4546" s="36">
        <f>HYPERLINK("NoConsenso\" &amp; K4546, "Ver Imagen")</f>
        <v/>
      </c>
      <c r="M4546" t="inlineStr">
        <is>
          <t>Mediana</t>
        </is>
      </c>
    </row>
    <row r="4547">
      <c r="A4547" s="33" t="n">
        <v>4546</v>
      </c>
      <c r="B4547" t="inlineStr">
        <is>
          <t>A-492__473</t>
        </is>
      </c>
      <c r="C4547" s="1" t="n">
        <v>37.3179807243</v>
      </c>
      <c r="D4547" s="1" t="n">
        <v>-7.07123689379</v>
      </c>
      <c r="E4547" s="3" t="n">
        <v>2</v>
      </c>
      <c r="F4547" s="2" t="n">
        <v>3</v>
      </c>
      <c r="G4547" s="4" t="n">
        <v>4</v>
      </c>
      <c r="H4547" s="13" t="n">
        <v>3</v>
      </c>
      <c r="I4547" s="34" t="n">
        <v>2</v>
      </c>
      <c r="J4547" s="35" t="n">
        <v>3</v>
      </c>
      <c r="K4547" s="2" t="inlineStr">
        <is>
          <t>marker_907_840079.png</t>
        </is>
      </c>
      <c r="L4547" s="36">
        <f>HYPERLINK("NoConsenso\" &amp; K4547, "Ver Imagen")</f>
        <v/>
      </c>
      <c r="M4547" t="inlineStr">
        <is>
          <t>Mediana</t>
        </is>
      </c>
    </row>
    <row r="4548">
      <c r="A4548" s="33" t="n">
        <v>4547</v>
      </c>
      <c r="B4548" t="inlineStr">
        <is>
          <t>A-495R__68</t>
        </is>
      </c>
      <c r="C4548" s="1" t="n">
        <v>37.4577202957</v>
      </c>
      <c r="D4548" s="1" t="n">
        <v>-7.11417340093</v>
      </c>
      <c r="E4548" s="3" t="n">
        <v>3</v>
      </c>
      <c r="F4548" s="2" t="n">
        <v>4</v>
      </c>
      <c r="G4548" s="4" t="n">
        <v>5</v>
      </c>
      <c r="H4548" s="13" t="n">
        <v>5</v>
      </c>
      <c r="I4548" s="34" t="n">
        <v>4</v>
      </c>
      <c r="J4548" s="35" t="n">
        <v>4</v>
      </c>
      <c r="K4548" s="2" t="inlineStr">
        <is>
          <t>marker_574_935258.png</t>
        </is>
      </c>
      <c r="L4548" s="36">
        <f>HYPERLINK("NoConsenso\" &amp; K4548, "Ver Imagen")</f>
        <v/>
      </c>
      <c r="M4548" t="inlineStr">
        <is>
          <t>Mediana</t>
        </is>
      </c>
    </row>
    <row r="4549">
      <c r="A4549" s="33" t="n">
        <v>4548</v>
      </c>
      <c r="B4549" t="inlineStr">
        <is>
          <t>A-495R__66</t>
        </is>
      </c>
      <c r="C4549" s="1" t="n">
        <v>37.4573728994</v>
      </c>
      <c r="D4549" s="1" t="n">
        <v>-7.11404524631</v>
      </c>
      <c r="E4549" s="3" t="n">
        <v>3</v>
      </c>
      <c r="F4549" s="2" t="n">
        <v>5</v>
      </c>
      <c r="G4549" s="4" t="n">
        <v>4</v>
      </c>
      <c r="H4549" s="13" t="n">
        <v>5</v>
      </c>
      <c r="I4549" s="34" t="n">
        <v>5</v>
      </c>
      <c r="J4549" s="35" t="n">
        <v>5</v>
      </c>
      <c r="K4549" s="2" t="inlineStr">
        <is>
          <t>marker_310_935374.png</t>
        </is>
      </c>
      <c r="L4549" s="36">
        <f>HYPERLINK("NoConsenso\" &amp; K4549, "Ver Imagen")</f>
        <v/>
      </c>
      <c r="M4549" t="inlineStr">
        <is>
          <t>Mediana</t>
        </is>
      </c>
    </row>
    <row r="4550">
      <c r="A4550" s="33" t="n">
        <v>4549</v>
      </c>
      <c r="B4550" t="inlineStr">
        <is>
          <t>A-495R__37</t>
        </is>
      </c>
      <c r="C4550" s="1" t="n">
        <v>37.4518731728</v>
      </c>
      <c r="D4550" s="1" t="n">
        <v>-7.11145028374</v>
      </c>
      <c r="E4550" s="3" t="n">
        <v>3</v>
      </c>
      <c r="F4550" s="2" t="n">
        <v>5</v>
      </c>
      <c r="G4550" s="4" t="n">
        <v>4</v>
      </c>
      <c r="H4550" s="13" t="n">
        <v>4</v>
      </c>
      <c r="I4550" s="34" t="n">
        <v>4</v>
      </c>
      <c r="J4550" s="35" t="n">
        <v>4</v>
      </c>
      <c r="K4550" s="2" t="inlineStr">
        <is>
          <t>marker_924_936552.png</t>
        </is>
      </c>
      <c r="L4550" s="36">
        <f>HYPERLINK("NoConsenso\" &amp; K4550, "Ver Imagen")</f>
        <v/>
      </c>
      <c r="M4550" t="inlineStr">
        <is>
          <t>Mediana</t>
        </is>
      </c>
    </row>
    <row r="4551">
      <c r="A4551" s="33" t="n">
        <v>4550</v>
      </c>
      <c r="B4551" t="inlineStr">
        <is>
          <t>A-495R__33</t>
        </is>
      </c>
      <c r="C4551" s="1" t="n">
        <v>37.451131753</v>
      </c>
      <c r="D4551" s="1" t="n">
        <v>-7.1109211431</v>
      </c>
      <c r="E4551" s="3" t="n">
        <v>3</v>
      </c>
      <c r="F4551" s="2" t="n">
        <v>5</v>
      </c>
      <c r="G4551" s="4" t="n">
        <v>4</v>
      </c>
      <c r="H4551" s="13" t="n">
        <v>5</v>
      </c>
      <c r="I4551" s="34" t="n">
        <v>4</v>
      </c>
      <c r="J4551" s="37" t="n">
        <v>5</v>
      </c>
      <c r="K4551" s="2" t="inlineStr">
        <is>
          <t>marker_302_936591.png</t>
        </is>
      </c>
      <c r="L4551" s="36">
        <f>HYPERLINK("NoConsenso\" &amp; K4551, "Ver Imagen")</f>
        <v/>
      </c>
      <c r="M4551" s="37" t="inlineStr">
        <is>
          <t>Modificada</t>
        </is>
      </c>
    </row>
    <row r="4552">
      <c r="A4552" s="33" t="n">
        <v>4551</v>
      </c>
      <c r="B4552" t="inlineStr">
        <is>
          <t>A-495R__21</t>
        </is>
      </c>
      <c r="C4552" s="1" t="n">
        <v>37.4488866663</v>
      </c>
      <c r="D4552" s="1" t="n">
        <v>-7.10981227104</v>
      </c>
      <c r="E4552" s="3" t="n">
        <v>1</v>
      </c>
      <c r="F4552" s="2" t="n">
        <v>3</v>
      </c>
      <c r="G4552" s="4" t="n">
        <v>3</v>
      </c>
      <c r="H4552" s="13" t="n">
        <v>2</v>
      </c>
      <c r="I4552" s="34" t="n">
        <v>2</v>
      </c>
      <c r="J4552" s="35" t="n">
        <v>2</v>
      </c>
      <c r="K4552" s="2" t="inlineStr">
        <is>
          <t>marker_477_936719.png</t>
        </is>
      </c>
      <c r="L4552" s="36">
        <f>HYPERLINK("NoConsenso\" &amp; K4552, "Ver Imagen")</f>
        <v/>
      </c>
      <c r="M4552" t="inlineStr">
        <is>
          <t>Mediana</t>
        </is>
      </c>
    </row>
    <row r="4553">
      <c r="A4553" s="33" t="n">
        <v>4552</v>
      </c>
      <c r="B4553" t="inlineStr">
        <is>
          <t>A-495R__17</t>
        </is>
      </c>
      <c r="C4553" s="1" t="n">
        <v>37.4481697047</v>
      </c>
      <c r="D4553" s="1" t="n">
        <v>-7.10941500152</v>
      </c>
      <c r="E4553" s="3" t="n">
        <v>2</v>
      </c>
      <c r="F4553" s="2" t="n">
        <v>3</v>
      </c>
      <c r="G4553" s="4" t="n">
        <v>4</v>
      </c>
      <c r="H4553" s="13" t="n">
        <v>3</v>
      </c>
      <c r="I4553" s="34" t="n">
        <v>3</v>
      </c>
      <c r="J4553" s="35" t="n">
        <v>3</v>
      </c>
      <c r="K4553" s="2" t="inlineStr">
        <is>
          <t>marker_647_936823.png</t>
        </is>
      </c>
      <c r="L4553" s="36">
        <f>HYPERLINK("NoConsenso\" &amp; K4553, "Ver Imagen")</f>
        <v/>
      </c>
      <c r="M4553" t="inlineStr">
        <is>
          <t>Mediana</t>
        </is>
      </c>
    </row>
    <row r="4554">
      <c r="A4554" s="33" t="n">
        <v>4553</v>
      </c>
      <c r="B4554" t="inlineStr">
        <is>
          <t>A-497__89</t>
        </is>
      </c>
      <c r="C4554" s="1" t="n">
        <v>37.2695534905</v>
      </c>
      <c r="D4554" s="1" t="n">
        <v>-6.97790516807</v>
      </c>
      <c r="E4554" s="3" t="n">
        <v>2</v>
      </c>
      <c r="F4554" s="2" t="n">
        <v>3</v>
      </c>
      <c r="G4554" s="4" t="n">
        <v>4</v>
      </c>
      <c r="H4554" s="13" t="n">
        <v>3</v>
      </c>
      <c r="I4554" s="34" t="n">
        <v>4</v>
      </c>
      <c r="J4554" s="35" t="n">
        <v>3</v>
      </c>
      <c r="K4554" s="2" t="inlineStr">
        <is>
          <t>marker_775_937358.png</t>
        </is>
      </c>
      <c r="L4554" s="36">
        <f>HYPERLINK("NoConsenso\" &amp; K4554, "Ver Imagen")</f>
        <v/>
      </c>
      <c r="M4554" t="inlineStr">
        <is>
          <t>Mediana</t>
        </is>
      </c>
    </row>
    <row r="4555">
      <c r="A4555" s="33" t="n">
        <v>4554</v>
      </c>
      <c r="B4555" t="inlineStr">
        <is>
          <t>A-497__88</t>
        </is>
      </c>
      <c r="C4555" s="1" t="n">
        <v>37.2695000223</v>
      </c>
      <c r="D4555" s="1" t="n">
        <v>-6.97771977107</v>
      </c>
      <c r="E4555" s="3" t="n">
        <v>3</v>
      </c>
      <c r="F4555" s="2" t="n">
        <v>4</v>
      </c>
      <c r="G4555" s="4" t="n">
        <v>5</v>
      </c>
      <c r="H4555" s="13" t="n">
        <v>3</v>
      </c>
      <c r="I4555" s="34" t="n">
        <v>4</v>
      </c>
      <c r="J4555" s="35" t="n">
        <v>4</v>
      </c>
      <c r="K4555" s="2" t="inlineStr">
        <is>
          <t>marker_461_937373.png</t>
        </is>
      </c>
      <c r="L4555" s="36">
        <f>HYPERLINK("NoConsenso\" &amp; K4555, "Ver Imagen")</f>
        <v/>
      </c>
      <c r="M4555" t="inlineStr">
        <is>
          <t>Mediana</t>
        </is>
      </c>
    </row>
    <row r="4556">
      <c r="A4556" s="33" t="n">
        <v>4555</v>
      </c>
      <c r="B4556" t="inlineStr">
        <is>
          <t>A-497__85</t>
        </is>
      </c>
      <c r="C4556" s="1" t="n">
        <v>37.2692825511</v>
      </c>
      <c r="D4556" s="1" t="n">
        <v>-6.97694645269</v>
      </c>
      <c r="E4556" s="3" t="n">
        <v>3</v>
      </c>
      <c r="F4556" s="2" t="n">
        <v>4</v>
      </c>
      <c r="G4556" s="4" t="n">
        <v>5</v>
      </c>
      <c r="H4556" s="13" t="n">
        <v>3</v>
      </c>
      <c r="I4556" s="34" t="n">
        <v>4</v>
      </c>
      <c r="J4556" s="35" t="n">
        <v>4</v>
      </c>
      <c r="K4556" s="2" t="inlineStr">
        <is>
          <t>marker_529_937406.png</t>
        </is>
      </c>
      <c r="L4556" s="36">
        <f>HYPERLINK("NoConsenso\" &amp; K4556, "Ver Imagen")</f>
        <v/>
      </c>
      <c r="M4556" t="inlineStr">
        <is>
          <t>Mediana</t>
        </is>
      </c>
    </row>
    <row r="4557">
      <c r="A4557" s="33" t="n">
        <v>4556</v>
      </c>
      <c r="B4557" t="inlineStr">
        <is>
          <t>A-497__84</t>
        </is>
      </c>
      <c r="C4557" s="1" t="n">
        <v>37.2692177351</v>
      </c>
      <c r="D4557" s="1" t="n">
        <v>-6.97671266731</v>
      </c>
      <c r="E4557" s="3" t="n">
        <v>3</v>
      </c>
      <c r="F4557" s="2" t="n">
        <v>4</v>
      </c>
      <c r="G4557" s="4" t="n">
        <v>5</v>
      </c>
      <c r="H4557" s="13" t="n">
        <v>3</v>
      </c>
      <c r="I4557" s="34" t="n">
        <v>4</v>
      </c>
      <c r="J4557" s="35" t="n">
        <v>4</v>
      </c>
      <c r="K4557" s="2" t="inlineStr">
        <is>
          <t>marker_539_937421.png</t>
        </is>
      </c>
      <c r="L4557" s="36">
        <f>HYPERLINK("NoConsenso\" &amp; K4557, "Ver Imagen")</f>
        <v/>
      </c>
      <c r="M4557" t="inlineStr">
        <is>
          <t>Mediana</t>
        </is>
      </c>
    </row>
    <row r="4558">
      <c r="A4558" s="33" t="n">
        <v>4557</v>
      </c>
      <c r="B4558" t="inlineStr">
        <is>
          <t>A-497__83</t>
        </is>
      </c>
      <c r="C4558" s="1" t="n">
        <v>37.2691533086</v>
      </c>
      <c r="D4558" s="1" t="n">
        <v>-6.97647627162</v>
      </c>
      <c r="E4558" s="3" t="n">
        <v>3</v>
      </c>
      <c r="F4558" s="2" t="n">
        <v>4</v>
      </c>
      <c r="G4558" s="4" t="n">
        <v>5</v>
      </c>
      <c r="H4558" s="13" t="n">
        <v>3</v>
      </c>
      <c r="I4558" s="34" t="n">
        <v>4</v>
      </c>
      <c r="J4558" s="35" t="n">
        <v>4</v>
      </c>
      <c r="K4558" s="2" t="inlineStr">
        <is>
          <t>marker_223_937430.png</t>
        </is>
      </c>
      <c r="L4558" s="36">
        <f>HYPERLINK("NoConsenso\" &amp; K4558, "Ver Imagen")</f>
        <v/>
      </c>
      <c r="M4558" t="inlineStr">
        <is>
          <t>Mediana</t>
        </is>
      </c>
    </row>
    <row r="4559">
      <c r="A4559" s="33" t="n">
        <v>4558</v>
      </c>
      <c r="B4559" t="inlineStr">
        <is>
          <t>A-497__78</t>
        </is>
      </c>
      <c r="C4559" s="1" t="n">
        <v>37.2688531743</v>
      </c>
      <c r="D4559" s="1" t="n">
        <v>-6.97528654602</v>
      </c>
      <c r="E4559" s="3" t="n">
        <v>3</v>
      </c>
      <c r="F4559" s="2" t="n">
        <v>3</v>
      </c>
      <c r="G4559" s="4" t="n">
        <v>5</v>
      </c>
      <c r="H4559" s="13" t="n">
        <v>3</v>
      </c>
      <c r="I4559" s="34" t="n">
        <v>4</v>
      </c>
      <c r="J4559" s="35" t="n">
        <v>3</v>
      </c>
      <c r="K4559" s="2" t="inlineStr">
        <is>
          <t>marker_292_937953.png</t>
        </is>
      </c>
      <c r="L4559" s="36">
        <f>HYPERLINK("NoConsenso\" &amp; K4559, "Ver Imagen")</f>
        <v/>
      </c>
      <c r="M4559" t="inlineStr">
        <is>
          <t>Mediana</t>
        </is>
      </c>
    </row>
    <row r="4560">
      <c r="A4560" s="33" t="n">
        <v>4559</v>
      </c>
      <c r="B4560" t="inlineStr">
        <is>
          <t>A-497__73</t>
        </is>
      </c>
      <c r="C4560" s="1" t="n">
        <v>37.2685734775</v>
      </c>
      <c r="D4560" s="1" t="n">
        <v>-6.97404115027</v>
      </c>
      <c r="E4560" s="3" t="n">
        <v>2</v>
      </c>
      <c r="F4560" s="2" t="n">
        <v>4</v>
      </c>
      <c r="G4560" s="4" t="n">
        <v>4</v>
      </c>
      <c r="H4560" s="13" t="n">
        <v>3</v>
      </c>
      <c r="I4560" s="34" t="n">
        <v>3</v>
      </c>
      <c r="J4560" s="35" t="n">
        <v>3</v>
      </c>
      <c r="K4560" s="2" t="inlineStr">
        <is>
          <t>marker_551_938017.png</t>
        </is>
      </c>
      <c r="L4560" s="36">
        <f>HYPERLINK("NoConsenso\" &amp; K4560, "Ver Imagen")</f>
        <v/>
      </c>
      <c r="M4560" t="inlineStr">
        <is>
          <t>Mediana</t>
        </is>
      </c>
    </row>
    <row r="4561">
      <c r="A4561" s="33" t="n">
        <v>4560</v>
      </c>
      <c r="B4561" t="inlineStr">
        <is>
          <t>A-497__67</t>
        </is>
      </c>
      <c r="C4561" s="1" t="n">
        <v>37.2682875989</v>
      </c>
      <c r="D4561" s="1" t="n">
        <v>-6.9725889455</v>
      </c>
      <c r="E4561" s="3" t="n">
        <v>3</v>
      </c>
      <c r="F4561" s="2" t="n">
        <v>4</v>
      </c>
      <c r="G4561" s="4" t="n">
        <v>2</v>
      </c>
      <c r="H4561" s="13" t="n">
        <v>3</v>
      </c>
      <c r="I4561" s="34" t="n">
        <v>4</v>
      </c>
      <c r="J4561" s="35" t="n">
        <v>3</v>
      </c>
      <c r="K4561" s="2" t="inlineStr">
        <is>
          <t>marker_142_938182.png</t>
        </is>
      </c>
      <c r="L4561" s="36">
        <f>HYPERLINK("NoConsenso\" &amp; K4561, "Ver Imagen")</f>
        <v/>
      </c>
      <c r="M4561" t="inlineStr">
        <is>
          <t>Mediana</t>
        </is>
      </c>
    </row>
    <row r="4562">
      <c r="A4562" s="33" t="n">
        <v>4561</v>
      </c>
      <c r="B4562" t="inlineStr">
        <is>
          <t>A-497__60</t>
        </is>
      </c>
      <c r="C4562" s="1" t="n">
        <v>37.268008813</v>
      </c>
      <c r="D4562" s="1" t="n">
        <v>-6.97084976767</v>
      </c>
      <c r="E4562" s="3" t="n">
        <v>2</v>
      </c>
      <c r="F4562" s="2" t="n">
        <v>4</v>
      </c>
      <c r="G4562" s="4" t="n">
        <v>3</v>
      </c>
      <c r="H4562" s="13" t="n">
        <v>3</v>
      </c>
      <c r="I4562" s="34" t="n">
        <v>4</v>
      </c>
      <c r="J4562" s="35" t="n">
        <v>3</v>
      </c>
      <c r="K4562" s="2" t="inlineStr">
        <is>
          <t>marker_461_938261.png</t>
        </is>
      </c>
      <c r="L4562" s="36">
        <f>HYPERLINK("NoConsenso\" &amp; K4562, "Ver Imagen")</f>
        <v/>
      </c>
      <c r="M4562" t="inlineStr">
        <is>
          <t>Mediana</t>
        </is>
      </c>
    </row>
    <row r="4563">
      <c r="A4563" s="33" t="n">
        <v>4562</v>
      </c>
      <c r="B4563" t="inlineStr">
        <is>
          <t>A-497__59</t>
        </is>
      </c>
      <c r="C4563" s="1" t="n">
        <v>37.2679740517</v>
      </c>
      <c r="D4563" s="1" t="n">
        <v>-6.97060516232</v>
      </c>
      <c r="E4563" s="3" t="n">
        <v>2</v>
      </c>
      <c r="F4563" s="2" t="n">
        <v>4</v>
      </c>
      <c r="G4563" s="4" t="n">
        <v>3</v>
      </c>
      <c r="H4563" s="13" t="n">
        <v>3</v>
      </c>
      <c r="I4563" s="34" t="n">
        <v>4</v>
      </c>
      <c r="J4563" s="35" t="n">
        <v>3</v>
      </c>
      <c r="K4563" s="2" t="inlineStr">
        <is>
          <t>marker_232_938274.png</t>
        </is>
      </c>
      <c r="L4563" s="36">
        <f>HYPERLINK("NoConsenso\" &amp; K4563, "Ver Imagen")</f>
        <v/>
      </c>
      <c r="M4563" t="inlineStr">
        <is>
          <t>Mediana</t>
        </is>
      </c>
    </row>
    <row r="4564">
      <c r="A4564" s="33" t="n">
        <v>4563</v>
      </c>
      <c r="B4564" t="inlineStr">
        <is>
          <t>A-497__56</t>
        </is>
      </c>
      <c r="C4564" s="1" t="n">
        <v>37.2678720114</v>
      </c>
      <c r="D4564" s="1" t="n">
        <v>-6.96981995256</v>
      </c>
      <c r="E4564" s="3" t="n">
        <v>2</v>
      </c>
      <c r="F4564" s="2" t="n">
        <v>4</v>
      </c>
      <c r="G4564" s="4" t="n">
        <v>3</v>
      </c>
      <c r="H4564" s="13" t="n">
        <v>3</v>
      </c>
      <c r="I4564" s="34" t="n">
        <v>4</v>
      </c>
      <c r="J4564" s="35" t="n">
        <v>3</v>
      </c>
      <c r="K4564" s="2" t="inlineStr">
        <is>
          <t>marker_411_938306.png</t>
        </is>
      </c>
      <c r="L4564" s="36">
        <f>HYPERLINK("NoConsenso\" &amp; K4564, "Ver Imagen")</f>
        <v/>
      </c>
      <c r="M4564" t="inlineStr">
        <is>
          <t>Mediana</t>
        </is>
      </c>
    </row>
    <row r="4565">
      <c r="A4565" s="33" t="n">
        <v>4564</v>
      </c>
      <c r="B4565" t="inlineStr">
        <is>
          <t>A-497__55</t>
        </is>
      </c>
      <c r="C4565" s="1" t="n">
        <v>37.2678384503</v>
      </c>
      <c r="D4565" s="1" t="n">
        <v>-6.9695412238</v>
      </c>
      <c r="E4565" s="3" t="n">
        <v>2</v>
      </c>
      <c r="F4565" s="2" t="n">
        <v>4</v>
      </c>
      <c r="G4565" s="4" t="n">
        <v>4</v>
      </c>
      <c r="H4565" s="13" t="n">
        <v>3</v>
      </c>
      <c r="I4565" s="34" t="n">
        <v>3</v>
      </c>
      <c r="J4565" s="35" t="n">
        <v>3</v>
      </c>
      <c r="K4565" s="2" t="inlineStr">
        <is>
          <t>marker_946_938322.png</t>
        </is>
      </c>
      <c r="L4565" s="36">
        <f>HYPERLINK("NoConsenso\" &amp; K4565, "Ver Imagen")</f>
        <v/>
      </c>
      <c r="M4565" t="inlineStr">
        <is>
          <t>Mediana</t>
        </is>
      </c>
    </row>
    <row r="4566">
      <c r="A4566" s="33" t="n">
        <v>4565</v>
      </c>
      <c r="B4566" t="inlineStr">
        <is>
          <t>A-497__53</t>
        </is>
      </c>
      <c r="C4566" s="1" t="n">
        <v>37.2677847846</v>
      </c>
      <c r="D4566" s="1" t="n">
        <v>-6.96905074516</v>
      </c>
      <c r="E4566" s="3" t="n">
        <v>2</v>
      </c>
      <c r="F4566" s="2" t="n">
        <v>4</v>
      </c>
      <c r="G4566" s="4" t="n">
        <v>3</v>
      </c>
      <c r="H4566" s="13" t="n">
        <v>3</v>
      </c>
      <c r="I4566" s="34" t="n">
        <v>3</v>
      </c>
      <c r="J4566" s="35" t="n">
        <v>3</v>
      </c>
      <c r="K4566" s="2" t="inlineStr">
        <is>
          <t>marker_448_938356.png</t>
        </is>
      </c>
      <c r="L4566" s="36">
        <f>HYPERLINK("NoConsenso\" &amp; K4566, "Ver Imagen")</f>
        <v/>
      </c>
      <c r="M4566" t="inlineStr">
        <is>
          <t>Mediana</t>
        </is>
      </c>
    </row>
    <row r="4567">
      <c r="A4567" s="33" t="n">
        <v>4566</v>
      </c>
      <c r="B4567" t="inlineStr">
        <is>
          <t>A-497__48</t>
        </is>
      </c>
      <c r="C4567" s="1" t="n">
        <v>37.267671501</v>
      </c>
      <c r="D4567" s="1" t="n">
        <v>-6.96781374016</v>
      </c>
      <c r="E4567" s="3" t="n">
        <v>2</v>
      </c>
      <c r="F4567" s="2" t="n">
        <v>4</v>
      </c>
      <c r="G4567" s="4" t="n">
        <v>3</v>
      </c>
      <c r="H4567" s="13" t="n">
        <v>3</v>
      </c>
      <c r="I4567" s="34" t="n">
        <v>4</v>
      </c>
      <c r="J4567" s="35" t="n">
        <v>3</v>
      </c>
      <c r="K4567" s="2" t="inlineStr">
        <is>
          <t>marker_695_938417.png</t>
        </is>
      </c>
      <c r="L4567" s="36">
        <f>HYPERLINK("NoConsenso\" &amp; K4567, "Ver Imagen")</f>
        <v/>
      </c>
      <c r="M4567" t="inlineStr">
        <is>
          <t>Mediana</t>
        </is>
      </c>
    </row>
    <row r="4568">
      <c r="A4568" s="33" t="n">
        <v>4567</v>
      </c>
      <c r="B4568" t="inlineStr">
        <is>
          <t>A-497__43</t>
        </is>
      </c>
      <c r="C4568" s="1" t="n">
        <v>37.2675912532</v>
      </c>
      <c r="D4568" s="1" t="n">
        <v>-6.96654117066</v>
      </c>
      <c r="E4568" s="3" t="n">
        <v>2</v>
      </c>
      <c r="F4568" s="2" t="n">
        <v>3</v>
      </c>
      <c r="G4568" s="4" t="n">
        <v>4</v>
      </c>
      <c r="H4568" s="13" t="n">
        <v>3</v>
      </c>
      <c r="I4568" s="34" t="n">
        <v>4</v>
      </c>
      <c r="J4568" s="35" t="n">
        <v>3</v>
      </c>
      <c r="K4568" s="2" t="inlineStr">
        <is>
          <t>marker_299_938469.png</t>
        </is>
      </c>
      <c r="L4568" s="36">
        <f>HYPERLINK("NoConsenso\" &amp; K4568, "Ver Imagen")</f>
        <v/>
      </c>
      <c r="M4568" t="inlineStr">
        <is>
          <t>Mediana</t>
        </is>
      </c>
    </row>
    <row r="4569">
      <c r="A4569" s="33" t="n">
        <v>4568</v>
      </c>
      <c r="B4569" t="inlineStr">
        <is>
          <t>A-497__41</t>
        </is>
      </c>
      <c r="C4569" s="1" t="n">
        <v>37.2675687331</v>
      </c>
      <c r="D4569" s="1" t="n">
        <v>-6.96601845293</v>
      </c>
      <c r="E4569" s="3" t="n">
        <v>2</v>
      </c>
      <c r="F4569" s="2" t="n">
        <v>4</v>
      </c>
      <c r="G4569" s="4" t="n">
        <v>3</v>
      </c>
      <c r="H4569" s="13" t="n">
        <v>3</v>
      </c>
      <c r="I4569" s="34" t="n">
        <v>3</v>
      </c>
      <c r="J4569" s="35" t="n">
        <v>3</v>
      </c>
      <c r="K4569" s="2" t="inlineStr">
        <is>
          <t>marker_573_940267.png</t>
        </is>
      </c>
      <c r="L4569" s="36">
        <f>HYPERLINK("NoConsenso\" &amp; K4569, "Ver Imagen")</f>
        <v/>
      </c>
      <c r="M4569" t="inlineStr">
        <is>
          <t>Mediana</t>
        </is>
      </c>
    </row>
    <row r="4570">
      <c r="A4570" s="33" t="n">
        <v>4569</v>
      </c>
      <c r="B4570" t="inlineStr">
        <is>
          <t>A-497__39</t>
        </is>
      </c>
      <c r="C4570" s="1" t="n">
        <v>37.267553317</v>
      </c>
      <c r="D4570" s="1" t="n">
        <v>-6.96555610921</v>
      </c>
      <c r="E4570" s="3" t="n">
        <v>3</v>
      </c>
      <c r="F4570" s="2" t="n">
        <v>4</v>
      </c>
      <c r="G4570" s="4" t="n">
        <v>2</v>
      </c>
      <c r="H4570" s="13" t="n">
        <v>3</v>
      </c>
      <c r="I4570" s="34" t="n">
        <v>4</v>
      </c>
      <c r="J4570" s="35" t="n">
        <v>3</v>
      </c>
      <c r="K4570" s="2" t="inlineStr">
        <is>
          <t>marker_438_940290.png</t>
        </is>
      </c>
      <c r="L4570" s="36">
        <f>HYPERLINK("NoConsenso\" &amp; K4570, "Ver Imagen")</f>
        <v/>
      </c>
      <c r="M4570" t="inlineStr">
        <is>
          <t>Mediana</t>
        </is>
      </c>
    </row>
    <row r="4571">
      <c r="A4571" s="33" t="n">
        <v>4570</v>
      </c>
      <c r="B4571" t="inlineStr">
        <is>
          <t>A-497__37</t>
        </is>
      </c>
      <c r="C4571" s="1" t="n">
        <v>37.2675404285</v>
      </c>
      <c r="D4571" s="1" t="n">
        <v>-6.965040396</v>
      </c>
      <c r="E4571" s="3" t="n">
        <v>2</v>
      </c>
      <c r="F4571" s="2" t="n">
        <v>4</v>
      </c>
      <c r="G4571" s="4" t="n">
        <v>3</v>
      </c>
      <c r="H4571" s="13" t="n">
        <v>3</v>
      </c>
      <c r="I4571" s="34" t="n">
        <v>4</v>
      </c>
      <c r="J4571" s="35" t="n">
        <v>3</v>
      </c>
      <c r="K4571" s="2" t="inlineStr">
        <is>
          <t>marker_876_940312.png</t>
        </is>
      </c>
      <c r="L4571" s="36">
        <f>HYPERLINK("NoConsenso\" &amp; K4571, "Ver Imagen")</f>
        <v/>
      </c>
      <c r="M4571" t="inlineStr">
        <is>
          <t>Mediana</t>
        </is>
      </c>
    </row>
    <row r="4572">
      <c r="A4572" s="33" t="n">
        <v>4571</v>
      </c>
      <c r="B4572" t="inlineStr">
        <is>
          <t>A-497__32</t>
        </is>
      </c>
      <c r="C4572" s="1" t="n">
        <v>37.2675151344</v>
      </c>
      <c r="D4572" s="1" t="n">
        <v>-6.96377212579</v>
      </c>
      <c r="E4572" s="3" t="n">
        <v>2</v>
      </c>
      <c r="F4572" s="2" t="n">
        <v>4</v>
      </c>
      <c r="G4572" s="4" t="n">
        <v>4</v>
      </c>
      <c r="H4572" s="13" t="n">
        <v>3</v>
      </c>
      <c r="I4572" s="34" t="n">
        <v>4</v>
      </c>
      <c r="J4572" s="35" t="n">
        <v>4</v>
      </c>
      <c r="K4572" s="2" t="inlineStr">
        <is>
          <t>marker_939_940578.png</t>
        </is>
      </c>
      <c r="L4572" s="36">
        <f>HYPERLINK("NoConsenso\" &amp; K4572, "Ver Imagen")</f>
        <v/>
      </c>
      <c r="M4572" t="inlineStr">
        <is>
          <t>Mediana</t>
        </is>
      </c>
    </row>
    <row r="4573">
      <c r="A4573" s="33" t="n">
        <v>4572</v>
      </c>
      <c r="B4573" t="inlineStr">
        <is>
          <t>A-497__16</t>
        </is>
      </c>
      <c r="C4573" s="1" t="n">
        <v>37.2672421567</v>
      </c>
      <c r="D4573" s="1" t="n">
        <v>-6.95977906743</v>
      </c>
      <c r="E4573" s="3" t="n">
        <v>2</v>
      </c>
      <c r="F4573" s="2" t="n">
        <v>3</v>
      </c>
      <c r="G4573" s="4" t="n">
        <v>4</v>
      </c>
      <c r="H4573" s="13" t="n">
        <v>2</v>
      </c>
      <c r="I4573" s="34" t="n">
        <v>2</v>
      </c>
      <c r="J4573" s="35" t="n">
        <v>2</v>
      </c>
      <c r="K4573" s="2" t="inlineStr">
        <is>
          <t>marker_935_943822.png</t>
        </is>
      </c>
      <c r="L4573" s="36">
        <f>HYPERLINK("NoConsenso\" &amp; K4573, "Ver Imagen")</f>
        <v/>
      </c>
      <c r="M4573" t="inlineStr">
        <is>
          <t>Mediana</t>
        </is>
      </c>
    </row>
    <row r="4574">
      <c r="A4574" s="33" t="n">
        <v>4573</v>
      </c>
      <c r="B4574" t="inlineStr">
        <is>
          <t>A-497__8</t>
        </is>
      </c>
      <c r="C4574" s="1" t="n">
        <v>37.2666375152</v>
      </c>
      <c r="D4574" s="1" t="n">
        <v>-6.95793610022</v>
      </c>
      <c r="E4574" s="3" t="n">
        <v>2</v>
      </c>
      <c r="F4574" s="2" t="n">
        <v>2</v>
      </c>
      <c r="G4574" s="4" t="n">
        <v>4</v>
      </c>
      <c r="H4574" s="13" t="n">
        <v>2</v>
      </c>
      <c r="I4574" s="34" t="n">
        <v>3</v>
      </c>
      <c r="J4574" s="35" t="n">
        <v>2</v>
      </c>
      <c r="K4574" s="2" t="inlineStr">
        <is>
          <t>marker_244_943995.png</t>
        </is>
      </c>
      <c r="L4574" s="36">
        <f>HYPERLINK("NoConsenso\" &amp; K4574, "Ver Imagen")</f>
        <v/>
      </c>
      <c r="M4574" t="inlineStr">
        <is>
          <t>Mediana</t>
        </is>
      </c>
    </row>
    <row r="4575">
      <c r="A4575" s="33" t="n">
        <v>4574</v>
      </c>
      <c r="B4575" t="inlineStr">
        <is>
          <t>A-5050__183</t>
        </is>
      </c>
      <c r="C4575" s="1" t="n">
        <v>37.1897728124</v>
      </c>
      <c r="D4575" s="1" t="n">
        <v>-6.98832601532</v>
      </c>
      <c r="E4575" s="3" t="n">
        <v>1</v>
      </c>
      <c r="F4575" s="2" t="n">
        <v>3</v>
      </c>
      <c r="G4575" s="4" t="n">
        <v>3</v>
      </c>
      <c r="H4575" s="13" t="n">
        <v>2</v>
      </c>
      <c r="I4575" s="34" t="n">
        <v>2</v>
      </c>
      <c r="J4575" s="35" t="n">
        <v>2</v>
      </c>
      <c r="K4575" s="2" t="inlineStr">
        <is>
          <t>marker_528_944137.png</t>
        </is>
      </c>
      <c r="L4575" s="36">
        <f>HYPERLINK("NoConsenso\" &amp; K4575, "Ver Imagen")</f>
        <v/>
      </c>
      <c r="M4575" t="inlineStr">
        <is>
          <t>Mediana</t>
        </is>
      </c>
    </row>
    <row r="4576">
      <c r="A4576" s="33" t="n">
        <v>4575</v>
      </c>
      <c r="B4576" t="inlineStr">
        <is>
          <t>A-5050__167</t>
        </is>
      </c>
      <c r="C4576" s="1" t="n">
        <v>37.1914093098</v>
      </c>
      <c r="D4576" s="1" t="n">
        <v>-6.99183755404</v>
      </c>
      <c r="E4576" s="3" t="n">
        <v>2</v>
      </c>
      <c r="F4576" s="2" t="n">
        <v>3</v>
      </c>
      <c r="G4576" s="4" t="n">
        <v>4</v>
      </c>
      <c r="H4576" s="13" t="n">
        <v>3</v>
      </c>
      <c r="I4576" s="34" t="n">
        <v>3</v>
      </c>
      <c r="J4576" s="35" t="n">
        <v>3</v>
      </c>
      <c r="K4576" s="2" t="inlineStr">
        <is>
          <t>marker_234_944318.png</t>
        </is>
      </c>
      <c r="L4576" s="36">
        <f>HYPERLINK("NoConsenso\" &amp; K4576, "Ver Imagen")</f>
        <v/>
      </c>
      <c r="M4576" t="inlineStr">
        <is>
          <t>Mediana</t>
        </is>
      </c>
    </row>
    <row r="4577">
      <c r="A4577" s="33" t="n">
        <v>4576</v>
      </c>
      <c r="B4577" t="inlineStr">
        <is>
          <t>A-5050__163</t>
        </is>
      </c>
      <c r="C4577" s="1" t="n">
        <v>37.1918136063</v>
      </c>
      <c r="D4577" s="1" t="n">
        <v>-6.99267360082</v>
      </c>
      <c r="E4577" s="3" t="n">
        <v>2</v>
      </c>
      <c r="F4577" s="2" t="n">
        <v>3</v>
      </c>
      <c r="G4577" s="4" t="n">
        <v>4</v>
      </c>
      <c r="H4577" s="13" t="n">
        <v>2</v>
      </c>
      <c r="I4577" s="34" t="n">
        <v>2</v>
      </c>
      <c r="J4577" s="35" t="n">
        <v>2</v>
      </c>
      <c r="K4577" s="2" t="inlineStr">
        <is>
          <t>marker_527_944657.png</t>
        </is>
      </c>
      <c r="L4577" s="36">
        <f>HYPERLINK("NoConsenso\" &amp; K4577, "Ver Imagen")</f>
        <v/>
      </c>
      <c r="M4577" t="inlineStr">
        <is>
          <t>Mediana</t>
        </is>
      </c>
    </row>
    <row r="4578">
      <c r="A4578" s="33" t="n">
        <v>4577</v>
      </c>
      <c r="B4578" t="inlineStr">
        <is>
          <t>A-5050__159</t>
        </is>
      </c>
      <c r="C4578" s="1" t="n">
        <v>37.1922553228</v>
      </c>
      <c r="D4578" s="1" t="n">
        <v>-6.99359485323</v>
      </c>
      <c r="E4578" s="3" t="n">
        <v>2</v>
      </c>
      <c r="F4578" s="2" t="n">
        <v>2</v>
      </c>
      <c r="G4578" s="4" t="n">
        <v>4</v>
      </c>
      <c r="H4578" s="13" t="n">
        <v>2</v>
      </c>
      <c r="I4578" s="34" t="n">
        <v>2</v>
      </c>
      <c r="J4578" s="35" t="n">
        <v>2</v>
      </c>
      <c r="K4578" s="2" t="inlineStr">
        <is>
          <t>marker_953_944940.png</t>
        </is>
      </c>
      <c r="L4578" s="36">
        <f>HYPERLINK("NoConsenso\" &amp; K4578, "Ver Imagen")</f>
        <v/>
      </c>
      <c r="M4578" t="inlineStr">
        <is>
          <t>Mediana</t>
        </is>
      </c>
    </row>
    <row r="4579">
      <c r="A4579" s="33" t="n">
        <v>4578</v>
      </c>
      <c r="B4579" t="inlineStr">
        <is>
          <t>A-5050__155</t>
        </is>
      </c>
      <c r="C4579" s="1" t="n">
        <v>37.1926476646</v>
      </c>
      <c r="D4579" s="1" t="n">
        <v>-6.99445476333</v>
      </c>
      <c r="E4579" s="3" t="n">
        <v>2</v>
      </c>
      <c r="F4579" s="2" t="n">
        <v>3</v>
      </c>
      <c r="G4579" s="4" t="n">
        <v>4</v>
      </c>
      <c r="H4579" s="13" t="n">
        <v>3</v>
      </c>
      <c r="I4579" s="34" t="n">
        <v>4</v>
      </c>
      <c r="J4579" s="35" t="n">
        <v>3</v>
      </c>
      <c r="K4579" s="2" t="inlineStr">
        <is>
          <t>marker_551_945312.png</t>
        </is>
      </c>
      <c r="L4579" s="36">
        <f>HYPERLINK("NoConsenso\" &amp; K4579, "Ver Imagen")</f>
        <v/>
      </c>
      <c r="M4579" t="inlineStr">
        <is>
          <t>Mediana</t>
        </is>
      </c>
    </row>
    <row r="4580">
      <c r="A4580" s="33" t="n">
        <v>4579</v>
      </c>
      <c r="B4580" t="inlineStr">
        <is>
          <t>A-5050__153</t>
        </is>
      </c>
      <c r="C4580" s="1" t="n">
        <v>37.1928288716</v>
      </c>
      <c r="D4580" s="1" t="n">
        <v>-6.99488389886</v>
      </c>
      <c r="E4580" s="3" t="n">
        <v>1</v>
      </c>
      <c r="F4580" s="2" t="n">
        <v>3</v>
      </c>
      <c r="G4580" s="4" t="n">
        <v>3</v>
      </c>
      <c r="H4580" s="13" t="n">
        <v>2</v>
      </c>
      <c r="I4580" s="34" t="n">
        <v>2</v>
      </c>
      <c r="J4580" s="35" t="n">
        <v>2</v>
      </c>
      <c r="K4580" s="2" t="inlineStr">
        <is>
          <t>marker_324_945341.png</t>
        </is>
      </c>
      <c r="L4580" s="36">
        <f>HYPERLINK("NoConsenso\" &amp; K4580, "Ver Imagen")</f>
        <v/>
      </c>
      <c r="M4580" t="inlineStr">
        <is>
          <t>Mediana</t>
        </is>
      </c>
    </row>
    <row r="4581">
      <c r="A4581" s="33" t="n">
        <v>4580</v>
      </c>
      <c r="B4581" t="inlineStr">
        <is>
          <t>A-5050__60</t>
        </is>
      </c>
      <c r="C4581" s="1" t="n">
        <v>37.2026739173</v>
      </c>
      <c r="D4581" s="1" t="n">
        <v>-7.01485598106</v>
      </c>
      <c r="E4581" s="3" t="n">
        <v>2</v>
      </c>
      <c r="F4581" s="2" t="n">
        <v>3</v>
      </c>
      <c r="G4581" s="4" t="n">
        <v>4</v>
      </c>
      <c r="H4581" s="13" t="n">
        <v>2</v>
      </c>
      <c r="I4581" s="34" t="n">
        <v>3</v>
      </c>
      <c r="J4581" s="35" t="n">
        <v>3</v>
      </c>
      <c r="K4581" s="2" t="inlineStr">
        <is>
          <t>marker_767_949041.png</t>
        </is>
      </c>
      <c r="L4581" s="36">
        <f>HYPERLINK("NoConsenso\" &amp; K4581, "Ver Imagen")</f>
        <v/>
      </c>
      <c r="M4581" t="inlineStr">
        <is>
          <t>Mediana</t>
        </is>
      </c>
    </row>
    <row r="4582">
      <c r="A4582" s="33" t="n">
        <v>4581</v>
      </c>
      <c r="B4582" t="inlineStr">
        <is>
          <t>A-5052__1</t>
        </is>
      </c>
      <c r="C4582" s="1" t="n">
        <v>37.2186771146</v>
      </c>
      <c r="D4582" s="1" t="n">
        <v>-7.12561963277</v>
      </c>
      <c r="E4582" s="3" t="n">
        <v>1</v>
      </c>
      <c r="F4582" s="2" t="n">
        <v>3</v>
      </c>
      <c r="G4582" s="4" t="n">
        <v>3</v>
      </c>
      <c r="H4582" s="13" t="n">
        <v>3</v>
      </c>
      <c r="I4582" s="34" t="n">
        <v>2</v>
      </c>
      <c r="J4582" s="35" t="n">
        <v>3</v>
      </c>
      <c r="K4582" s="2" t="inlineStr">
        <is>
          <t>marker_190_949859.png</t>
        </is>
      </c>
      <c r="L4582" s="36">
        <f>HYPERLINK("NoConsenso\" &amp; K4582, "Ver Imagen")</f>
        <v/>
      </c>
      <c r="M4582" t="inlineStr">
        <is>
          <t>Mediana</t>
        </is>
      </c>
    </row>
    <row r="4583">
      <c r="A4583" s="33" t="n">
        <v>4582</v>
      </c>
      <c r="B4583" t="inlineStr">
        <is>
          <t>A-5052__18</t>
        </is>
      </c>
      <c r="C4583" s="1" t="n">
        <v>37.2179154831</v>
      </c>
      <c r="D4583" s="1" t="n">
        <v>-7.12152600165</v>
      </c>
      <c r="E4583" s="3" t="n">
        <v>5</v>
      </c>
      <c r="F4583" s="2" t="n">
        <v>3</v>
      </c>
      <c r="G4583" s="4" t="n">
        <v>4</v>
      </c>
      <c r="H4583" s="13" t="n">
        <v>3</v>
      </c>
      <c r="I4583" s="34" t="n">
        <v>3</v>
      </c>
      <c r="J4583" s="35" t="n">
        <v>3</v>
      </c>
      <c r="K4583" s="2" t="inlineStr">
        <is>
          <t>marker_924_950215.png</t>
        </is>
      </c>
      <c r="L4583" s="36">
        <f>HYPERLINK("NoConsenso\" &amp; K4583, "Ver Imagen")</f>
        <v/>
      </c>
      <c r="M4583" t="inlineStr">
        <is>
          <t>Mediana</t>
        </is>
      </c>
    </row>
    <row r="4584">
      <c r="A4584" s="33" t="n">
        <v>4583</v>
      </c>
      <c r="B4584" t="inlineStr">
        <is>
          <t>A-5052__174</t>
        </is>
      </c>
      <c r="C4584" s="1" t="n">
        <v>37.2157801728</v>
      </c>
      <c r="D4584" s="1" t="n">
        <v>-7.08246495024</v>
      </c>
      <c r="E4584" s="3" t="n">
        <v>1</v>
      </c>
      <c r="F4584" s="2" t="n">
        <v>2</v>
      </c>
      <c r="G4584" s="4" t="n">
        <v>3</v>
      </c>
      <c r="H4584" s="13" t="n">
        <v>2</v>
      </c>
      <c r="I4584" s="34" t="n">
        <v>2</v>
      </c>
      <c r="J4584" s="35" t="n">
        <v>2</v>
      </c>
      <c r="K4584" s="2" t="inlineStr">
        <is>
          <t>marker_652_959005.png</t>
        </is>
      </c>
      <c r="L4584" s="36">
        <f>HYPERLINK("NoConsenso\" &amp; K4584, "Ver Imagen")</f>
        <v/>
      </c>
      <c r="M4584" t="inlineStr">
        <is>
          <t>Mediana</t>
        </is>
      </c>
    </row>
    <row r="4585">
      <c r="A4585" s="33" t="n">
        <v>4584</v>
      </c>
      <c r="B4585" t="inlineStr">
        <is>
          <t>A-5052__249</t>
        </is>
      </c>
      <c r="C4585" s="1" t="n">
        <v>37.2131875414</v>
      </c>
      <c r="D4585" s="1" t="n">
        <v>-7.06392231532</v>
      </c>
      <c r="E4585" s="3" t="n">
        <v>3</v>
      </c>
      <c r="F4585" s="2" t="n">
        <v>3</v>
      </c>
      <c r="G4585" s="4" t="n">
        <v>5</v>
      </c>
      <c r="H4585" s="13" t="n">
        <v>3</v>
      </c>
      <c r="I4585" s="34" t="n">
        <v>4</v>
      </c>
      <c r="J4585" s="35" t="n">
        <v>3</v>
      </c>
      <c r="K4585" s="2" t="inlineStr">
        <is>
          <t>marker_184_960083.png</t>
        </is>
      </c>
      <c r="L4585" s="36">
        <f>HYPERLINK("NoConsenso\" &amp; K4585, "Ver Imagen")</f>
        <v/>
      </c>
      <c r="M4585" t="inlineStr">
        <is>
          <t>Mediana</t>
        </is>
      </c>
    </row>
    <row r="4586">
      <c r="A4586" s="33" t="n">
        <v>4585</v>
      </c>
      <c r="B4586" t="inlineStr">
        <is>
          <t>A-5052__266</t>
        </is>
      </c>
      <c r="C4586" s="1" t="n">
        <v>37.2122948162</v>
      </c>
      <c r="D4586" s="1" t="n">
        <v>-7.05982815729</v>
      </c>
      <c r="E4586" s="3" t="n">
        <v>1</v>
      </c>
      <c r="F4586" s="2" t="n">
        <v>3</v>
      </c>
      <c r="G4586" s="4" t="n">
        <v>3</v>
      </c>
      <c r="H4586" s="13" t="n">
        <v>2</v>
      </c>
      <c r="I4586" s="34" t="n">
        <v>2</v>
      </c>
      <c r="J4586" s="35" t="n">
        <v>2</v>
      </c>
      <c r="K4586" s="2" t="inlineStr">
        <is>
          <t>marker_594_960270.png</t>
        </is>
      </c>
      <c r="L4586" s="36">
        <f>HYPERLINK("NoConsenso\" &amp; K4586, "Ver Imagen")</f>
        <v/>
      </c>
      <c r="M4586" t="inlineStr">
        <is>
          <t>Mediana</t>
        </is>
      </c>
    </row>
    <row r="4587">
      <c r="A4587" s="33" t="n">
        <v>4586</v>
      </c>
      <c r="B4587" t="inlineStr">
        <is>
          <t>A-5052__311</t>
        </is>
      </c>
      <c r="C4587" s="1" t="n">
        <v>37.2117022282</v>
      </c>
      <c r="D4587" s="1" t="n">
        <v>-7.04896105089</v>
      </c>
      <c r="E4587" s="3" t="n">
        <v>2</v>
      </c>
      <c r="F4587" s="2" t="n">
        <v>3</v>
      </c>
      <c r="G4587" s="4" t="n">
        <v>4</v>
      </c>
      <c r="H4587" s="13" t="n">
        <v>2</v>
      </c>
      <c r="I4587" s="34" t="n">
        <v>3</v>
      </c>
      <c r="J4587" s="35" t="n">
        <v>3</v>
      </c>
      <c r="K4587" s="2" t="inlineStr">
        <is>
          <t>marker_570_961122.png</t>
        </is>
      </c>
      <c r="L4587" s="36">
        <f>HYPERLINK("NoConsenso\" &amp; K4587, "Ver Imagen")</f>
        <v/>
      </c>
      <c r="M4587" t="inlineStr">
        <is>
          <t>Mediana</t>
        </is>
      </c>
    </row>
    <row r="4588">
      <c r="A4588" s="33" t="n">
        <v>4587</v>
      </c>
      <c r="B4588" t="inlineStr">
        <is>
          <t>A-5052__352</t>
        </is>
      </c>
      <c r="C4588" s="1" t="n">
        <v>37.2090796743</v>
      </c>
      <c r="D4588" s="1" t="n">
        <v>-7.039312258</v>
      </c>
      <c r="E4588" s="3" t="n">
        <v>3</v>
      </c>
      <c r="F4588" s="2" t="n">
        <v>3</v>
      </c>
      <c r="G4588" s="4" t="n">
        <v>5</v>
      </c>
      <c r="H4588" s="13" t="n">
        <v>3</v>
      </c>
      <c r="I4588" s="34" t="n">
        <v>4</v>
      </c>
      <c r="J4588" s="35" t="n">
        <v>3</v>
      </c>
      <c r="K4588" s="2" t="inlineStr">
        <is>
          <t>marker_211_961766.png</t>
        </is>
      </c>
      <c r="L4588" s="36">
        <f>HYPERLINK("NoConsenso\" &amp; K4588, "Ver Imagen")</f>
        <v/>
      </c>
      <c r="M4588" t="inlineStr">
        <is>
          <t>Mediana</t>
        </is>
      </c>
    </row>
    <row r="4589">
      <c r="A4589" s="33" t="n">
        <v>4588</v>
      </c>
      <c r="B4589" t="inlineStr">
        <is>
          <t>A-5053__383</t>
        </is>
      </c>
      <c r="C4589" s="1" t="n">
        <v>37.2884512543</v>
      </c>
      <c r="D4589" s="1" t="n">
        <v>-7.14098017238</v>
      </c>
      <c r="E4589" s="3" t="n">
        <v>1</v>
      </c>
      <c r="F4589" s="2" t="n">
        <v>2</v>
      </c>
      <c r="G4589" s="4" t="n">
        <v>3</v>
      </c>
      <c r="H4589" s="13" t="n">
        <v>3</v>
      </c>
      <c r="I4589" s="34" t="n">
        <v>2</v>
      </c>
      <c r="J4589" s="35" t="n">
        <v>2</v>
      </c>
      <c r="K4589" s="2" t="inlineStr">
        <is>
          <t>marker_173_963812.png</t>
        </is>
      </c>
      <c r="L4589" s="36">
        <f>HYPERLINK("NoConsenso\" &amp; K4589, "Ver Imagen")</f>
        <v/>
      </c>
      <c r="M4589" t="inlineStr">
        <is>
          <t>Mediana</t>
        </is>
      </c>
    </row>
    <row r="4590">
      <c r="A4590" s="33" t="n">
        <v>4589</v>
      </c>
      <c r="B4590" t="inlineStr">
        <is>
          <t>A-5053__275</t>
        </is>
      </c>
      <c r="C4590" s="1" t="n">
        <v>37.269810902</v>
      </c>
      <c r="D4590" s="1" t="n">
        <v>-7.13944131266</v>
      </c>
      <c r="E4590" s="3" t="n">
        <v>3</v>
      </c>
      <c r="F4590" s="2" t="n">
        <v>3</v>
      </c>
      <c r="G4590" s="4" t="n">
        <v>5</v>
      </c>
      <c r="H4590" s="13" t="n">
        <v>3</v>
      </c>
      <c r="I4590" s="34" t="n">
        <v>3</v>
      </c>
      <c r="J4590" s="35" t="n">
        <v>3</v>
      </c>
      <c r="K4590" s="2" t="inlineStr">
        <is>
          <t>marker_448_965105.png</t>
        </is>
      </c>
      <c r="L4590" s="36">
        <f>HYPERLINK("NoConsenso\" &amp; K4590, "Ver Imagen")</f>
        <v/>
      </c>
      <c r="M4590" t="inlineStr">
        <is>
          <t>Mediana</t>
        </is>
      </c>
    </row>
    <row r="4591">
      <c r="A4591" s="33" t="n">
        <v>4590</v>
      </c>
      <c r="B4591" t="inlineStr">
        <is>
          <t>A-5053__264</t>
        </is>
      </c>
      <c r="C4591" s="1" t="n">
        <v>37.2685946415</v>
      </c>
      <c r="D4591" s="1" t="n">
        <v>-7.13717557295</v>
      </c>
      <c r="E4591" s="3" t="n">
        <v>5</v>
      </c>
      <c r="F4591" s="2" t="n">
        <v>3</v>
      </c>
      <c r="G4591" s="4" t="n">
        <v>3</v>
      </c>
      <c r="H4591" s="13" t="n">
        <v>3</v>
      </c>
      <c r="I4591" s="34" t="n">
        <v>4</v>
      </c>
      <c r="J4591" s="35" t="n">
        <v>3</v>
      </c>
      <c r="K4591" s="2" t="inlineStr">
        <is>
          <t>marker_233_965217.png</t>
        </is>
      </c>
      <c r="L4591" s="36">
        <f>HYPERLINK("NoConsenso\" &amp; K4591, "Ver Imagen")</f>
        <v/>
      </c>
      <c r="M4591" t="inlineStr">
        <is>
          <t>Mediana</t>
        </is>
      </c>
    </row>
    <row r="4592">
      <c r="A4592" s="33" t="n">
        <v>4591</v>
      </c>
      <c r="B4592" t="inlineStr">
        <is>
          <t>A-5053__262</t>
        </is>
      </c>
      <c r="C4592" s="1" t="n">
        <v>37.2684992934</v>
      </c>
      <c r="D4592" s="1" t="n">
        <v>-7.13674868523</v>
      </c>
      <c r="E4592" s="3" t="n">
        <v>5</v>
      </c>
      <c r="F4592" s="2" t="n">
        <v>3</v>
      </c>
      <c r="G4592" s="4" t="n">
        <v>3</v>
      </c>
      <c r="H4592" s="13" t="n">
        <v>3</v>
      </c>
      <c r="I4592" s="34" t="n">
        <v>4</v>
      </c>
      <c r="J4592" s="35" t="n">
        <v>3</v>
      </c>
      <c r="K4592" s="2" t="inlineStr">
        <is>
          <t>marker_627_965237.png</t>
        </is>
      </c>
      <c r="L4592" s="36">
        <f>HYPERLINK("NoConsenso\" &amp; K4592, "Ver Imagen")</f>
        <v/>
      </c>
      <c r="M4592" t="inlineStr">
        <is>
          <t>Mediana</t>
        </is>
      </c>
    </row>
    <row r="4593">
      <c r="A4593" s="33" t="n">
        <v>4592</v>
      </c>
      <c r="B4593" t="inlineStr">
        <is>
          <t>A-5053__260</t>
        </is>
      </c>
      <c r="C4593" s="1" t="n">
        <v>37.2683777242</v>
      </c>
      <c r="D4593" s="1" t="n">
        <v>-7.13619797082</v>
      </c>
      <c r="E4593" s="3" t="n">
        <v>5</v>
      </c>
      <c r="F4593" s="2" t="n">
        <v>3</v>
      </c>
      <c r="G4593" s="4" t="n">
        <v>4</v>
      </c>
      <c r="H4593" s="13" t="n">
        <v>3</v>
      </c>
      <c r="I4593" s="34" t="n">
        <v>4</v>
      </c>
      <c r="J4593" s="35" t="n">
        <v>4</v>
      </c>
      <c r="K4593" s="2" t="inlineStr">
        <is>
          <t>marker_232_965256.png</t>
        </is>
      </c>
      <c r="L4593" s="36">
        <f>HYPERLINK("NoConsenso\" &amp; K4593, "Ver Imagen")</f>
        <v/>
      </c>
      <c r="M4593" t="inlineStr">
        <is>
          <t>Mediana</t>
        </is>
      </c>
    </row>
    <row r="4594">
      <c r="A4594" s="33" t="n">
        <v>4593</v>
      </c>
      <c r="B4594" t="inlineStr">
        <is>
          <t>A-5053__256</t>
        </is>
      </c>
      <c r="C4594" s="1" t="n">
        <v>37.2681357306</v>
      </c>
      <c r="D4594" s="1" t="n">
        <v>-7.13525551305</v>
      </c>
      <c r="E4594" s="3" t="n">
        <v>5</v>
      </c>
      <c r="F4594" s="2" t="n">
        <v>3</v>
      </c>
      <c r="G4594" s="4" t="n">
        <v>4</v>
      </c>
      <c r="H4594" s="13" t="n">
        <v>3</v>
      </c>
      <c r="I4594" s="34" t="n">
        <v>4</v>
      </c>
      <c r="J4594" s="35" t="n">
        <v>4</v>
      </c>
      <c r="K4594" s="2" t="inlineStr">
        <is>
          <t>marker_915_965296.png</t>
        </is>
      </c>
      <c r="L4594" s="36">
        <f>HYPERLINK("NoConsenso\" &amp; K4594, "Ver Imagen")</f>
        <v/>
      </c>
      <c r="M4594" t="inlineStr">
        <is>
          <t>Mediana</t>
        </is>
      </c>
    </row>
    <row r="4595">
      <c r="A4595" s="33" t="n">
        <v>4594</v>
      </c>
      <c r="B4595" t="inlineStr">
        <is>
          <t>A-5053__254</t>
        </is>
      </c>
      <c r="C4595" s="1" t="n">
        <v>37.267940994</v>
      </c>
      <c r="D4595" s="1" t="n">
        <v>-7.13476942611</v>
      </c>
      <c r="E4595" s="3" t="n">
        <v>5</v>
      </c>
      <c r="F4595" s="2" t="n">
        <v>3</v>
      </c>
      <c r="G4595" s="4" t="n">
        <v>4</v>
      </c>
      <c r="H4595" s="13" t="n">
        <v>3</v>
      </c>
      <c r="I4595" s="34" t="n">
        <v>4</v>
      </c>
      <c r="J4595" s="35" t="n">
        <v>4</v>
      </c>
      <c r="K4595" s="2" t="inlineStr">
        <is>
          <t>marker_705_965314.png</t>
        </is>
      </c>
      <c r="L4595" s="36">
        <f>HYPERLINK("NoConsenso\" &amp; K4595, "Ver Imagen")</f>
        <v/>
      </c>
      <c r="M4595" t="inlineStr">
        <is>
          <t>Mediana</t>
        </is>
      </c>
    </row>
    <row r="4596">
      <c r="A4596" s="33" t="n">
        <v>4595</v>
      </c>
      <c r="B4596" t="inlineStr">
        <is>
          <t>A-5053__252</t>
        </is>
      </c>
      <c r="C4596" s="1" t="n">
        <v>37.2677243281</v>
      </c>
      <c r="D4596" s="1" t="n">
        <v>-7.13437087493</v>
      </c>
      <c r="E4596" s="3" t="n">
        <v>5</v>
      </c>
      <c r="F4596" s="2" t="n">
        <v>3</v>
      </c>
      <c r="G4596" s="4" t="n">
        <v>4</v>
      </c>
      <c r="H4596" s="13" t="n">
        <v>3</v>
      </c>
      <c r="I4596" s="34" t="n">
        <v>4</v>
      </c>
      <c r="J4596" s="37" t="n">
        <v>3</v>
      </c>
      <c r="K4596" s="2" t="inlineStr">
        <is>
          <t>marker_554_965332.png</t>
        </is>
      </c>
      <c r="L4596" s="36">
        <f>HYPERLINK("NoConsenso\" &amp; K4596, "Ver Imagen")</f>
        <v/>
      </c>
      <c r="M4596" s="37" t="inlineStr">
        <is>
          <t>Modificada</t>
        </is>
      </c>
    </row>
    <row r="4597">
      <c r="A4597" s="33" t="n">
        <v>4596</v>
      </c>
      <c r="B4597" t="inlineStr">
        <is>
          <t>A-5053__248</t>
        </is>
      </c>
      <c r="C4597" s="1" t="n">
        <v>37.2671605707</v>
      </c>
      <c r="D4597" s="1" t="n">
        <v>-7.13366717508</v>
      </c>
      <c r="E4597" s="3" t="n">
        <v>5</v>
      </c>
      <c r="F4597" s="2" t="n">
        <v>3</v>
      </c>
      <c r="G4597" s="4" t="n">
        <v>4</v>
      </c>
      <c r="H4597" s="13" t="n">
        <v>3</v>
      </c>
      <c r="I4597" s="34" t="n">
        <v>4</v>
      </c>
      <c r="J4597" s="37" t="n">
        <v>3</v>
      </c>
      <c r="K4597" s="2" t="inlineStr">
        <is>
          <t>marker_978_965430.png</t>
        </is>
      </c>
      <c r="L4597" s="36">
        <f>HYPERLINK("NoConsenso\" &amp; K4597, "Ver Imagen")</f>
        <v/>
      </c>
      <c r="M4597" s="37" t="inlineStr">
        <is>
          <t>Modificada</t>
        </is>
      </c>
    </row>
    <row r="4598">
      <c r="A4598" s="33" t="n">
        <v>4597</v>
      </c>
      <c r="B4598" t="inlineStr">
        <is>
          <t>A-5053__208</t>
        </is>
      </c>
      <c r="C4598" s="1" t="n">
        <v>37.2599545105</v>
      </c>
      <c r="D4598" s="1" t="n">
        <v>-7.1290548513</v>
      </c>
      <c r="E4598" s="3" t="n">
        <v>5</v>
      </c>
      <c r="F4598" s="2" t="n">
        <v>3</v>
      </c>
      <c r="G4598" s="4" t="n">
        <v>4</v>
      </c>
      <c r="H4598" s="13" t="n">
        <v>3</v>
      </c>
      <c r="I4598" s="34" t="n">
        <v>3</v>
      </c>
      <c r="J4598" s="35" t="n">
        <v>3</v>
      </c>
      <c r="K4598" s="2" t="inlineStr">
        <is>
          <t>marker_513_965815.png</t>
        </is>
      </c>
      <c r="L4598" s="36">
        <f>HYPERLINK("NoConsenso\" &amp; K4598, "Ver Imagen")</f>
        <v/>
      </c>
      <c r="M4598" t="inlineStr">
        <is>
          <t>Mediana</t>
        </is>
      </c>
    </row>
    <row r="4599">
      <c r="A4599" s="33" t="n">
        <v>4598</v>
      </c>
      <c r="B4599" t="inlineStr">
        <is>
          <t>A-5053__130</t>
        </is>
      </c>
      <c r="C4599" s="1" t="n">
        <v>37.2446643614</v>
      </c>
      <c r="D4599" s="1" t="n">
        <v>-7.12807054962</v>
      </c>
      <c r="E4599" s="3" t="n">
        <v>1</v>
      </c>
      <c r="F4599" s="2" t="n">
        <v>2</v>
      </c>
      <c r="G4599" s="4" t="n">
        <v>3</v>
      </c>
      <c r="H4599" s="13" t="n">
        <v>2</v>
      </c>
      <c r="I4599" s="34" t="n">
        <v>1</v>
      </c>
      <c r="J4599" s="35" t="n">
        <v>2</v>
      </c>
      <c r="K4599" s="2" t="inlineStr">
        <is>
          <t>marker_145_966573.png</t>
        </is>
      </c>
      <c r="L4599" s="36">
        <f>HYPERLINK("NoConsenso\" &amp; K4599, "Ver Imagen")</f>
        <v/>
      </c>
      <c r="M4599" t="inlineStr">
        <is>
          <t>Mediana</t>
        </is>
      </c>
    </row>
    <row r="4600">
      <c r="A4600" s="33" t="n">
        <v>4599</v>
      </c>
      <c r="B4600" t="inlineStr">
        <is>
          <t>A-5053__46</t>
        </is>
      </c>
      <c r="C4600" s="1" t="n">
        <v>37.2278516322</v>
      </c>
      <c r="D4600" s="1" t="n">
        <v>-7.12664941304</v>
      </c>
      <c r="E4600" s="3" t="n">
        <v>5</v>
      </c>
      <c r="F4600" s="2" t="n">
        <v>3</v>
      </c>
      <c r="G4600" s="4" t="n">
        <v>4</v>
      </c>
      <c r="H4600" s="13" t="n">
        <v>3</v>
      </c>
      <c r="I4600" s="34" t="n">
        <v>4</v>
      </c>
      <c r="J4600" s="35" t="n">
        <v>4</v>
      </c>
      <c r="K4600" s="2" t="inlineStr">
        <is>
          <t>marker_500_021045.png</t>
        </is>
      </c>
      <c r="L4600" s="36">
        <f>HYPERLINK("NoConsenso\" &amp; K4600, "Ver Imagen")</f>
        <v/>
      </c>
      <c r="M4600" t="inlineStr">
        <is>
          <t>Mediana</t>
        </is>
      </c>
    </row>
    <row r="4601">
      <c r="A4601" s="33" t="n">
        <v>4600</v>
      </c>
      <c r="B4601" t="inlineStr">
        <is>
          <t>A-5053__42</t>
        </is>
      </c>
      <c r="C4601" s="1" t="n">
        <v>37.2270731514</v>
      </c>
      <c r="D4601" s="1" t="n">
        <v>-7.12640333119</v>
      </c>
      <c r="E4601" s="3" t="n">
        <v>5</v>
      </c>
      <c r="F4601" s="2" t="n">
        <v>3</v>
      </c>
      <c r="G4601" s="4" t="n">
        <v>4</v>
      </c>
      <c r="H4601" s="13" t="n">
        <v>3</v>
      </c>
      <c r="I4601" s="34" t="n">
        <v>4</v>
      </c>
      <c r="J4601" s="35" t="n">
        <v>4</v>
      </c>
      <c r="K4601" s="2" t="inlineStr">
        <is>
          <t>marker_427_021694.png</t>
        </is>
      </c>
      <c r="L4601" s="36">
        <f>HYPERLINK("NoConsenso\" &amp; K4601, "Ver Imagen")</f>
        <v/>
      </c>
      <c r="M4601" t="inlineStr">
        <is>
          <t>Mediana</t>
        </is>
      </c>
    </row>
    <row r="4602">
      <c r="A4602" s="33" t="n">
        <v>4601</v>
      </c>
      <c r="B4602" t="inlineStr">
        <is>
          <t>A-5053__23</t>
        </is>
      </c>
      <c r="C4602" s="1" t="n">
        <v>37.2233821573</v>
      </c>
      <c r="D4602" s="1" t="n">
        <v>-7.12508088127</v>
      </c>
      <c r="E4602" s="3" t="n">
        <v>4</v>
      </c>
      <c r="F4602" s="2" t="n">
        <v>2</v>
      </c>
      <c r="G4602" s="4" t="n">
        <v>2</v>
      </c>
      <c r="H4602" s="13" t="n">
        <v>2</v>
      </c>
      <c r="I4602" s="34" t="n">
        <v>1</v>
      </c>
      <c r="J4602" s="35" t="n">
        <v>2</v>
      </c>
      <c r="K4602" s="2" t="inlineStr">
        <is>
          <t>marker_252_022875.png</t>
        </is>
      </c>
      <c r="L4602" s="36">
        <f>HYPERLINK("NoConsenso\" &amp; K4602, "Ver Imagen")</f>
        <v/>
      </c>
      <c r="M4602" t="inlineStr">
        <is>
          <t>Mediana</t>
        </is>
      </c>
    </row>
    <row r="4603">
      <c r="A4603" s="33" t="n">
        <v>4602</v>
      </c>
      <c r="B4603" t="inlineStr">
        <is>
          <t>A-5053__11</t>
        </is>
      </c>
      <c r="C4603" s="1" t="n">
        <v>37.2211389405</v>
      </c>
      <c r="D4603" s="1" t="n">
        <v>-7.12580309061</v>
      </c>
      <c r="E4603" s="3" t="n">
        <v>4</v>
      </c>
      <c r="F4603" s="2" t="n">
        <v>2</v>
      </c>
      <c r="G4603" s="4" t="n">
        <v>3</v>
      </c>
      <c r="H4603" s="13" t="n">
        <v>2</v>
      </c>
      <c r="I4603" s="34" t="n">
        <v>1</v>
      </c>
      <c r="J4603" s="35" t="n">
        <v>2</v>
      </c>
      <c r="K4603" s="2" t="inlineStr">
        <is>
          <t>marker_654_025094.png</t>
        </is>
      </c>
      <c r="L4603" s="36">
        <f>HYPERLINK("NoConsenso\" &amp; K4603, "Ver Imagen")</f>
        <v/>
      </c>
      <c r="M4603" t="inlineStr">
        <is>
          <t>Mediana</t>
        </is>
      </c>
    </row>
    <row r="4604">
      <c r="A4604" s="33" t="n">
        <v>4603</v>
      </c>
      <c r="B4604" t="inlineStr">
        <is>
          <t>A-495__64</t>
        </is>
      </c>
      <c r="C4604" s="1" t="n">
        <v>37.4391015909</v>
      </c>
      <c r="D4604" s="1" t="n">
        <v>-7.08573929323</v>
      </c>
      <c r="E4604" s="3" t="n">
        <v>3</v>
      </c>
      <c r="F4604" s="2" t="n">
        <v>3</v>
      </c>
      <c r="G4604" s="4" t="n">
        <v>5</v>
      </c>
      <c r="H4604" s="13" t="n">
        <v>2</v>
      </c>
      <c r="I4604" s="34" t="n">
        <v>1</v>
      </c>
      <c r="J4604" s="37" t="n">
        <v>2</v>
      </c>
      <c r="K4604" s="2" t="inlineStr">
        <is>
          <t>marker_638_381752.png</t>
        </is>
      </c>
      <c r="L4604" s="36">
        <f>HYPERLINK("NoConsenso\" &amp; K4604, "Ver Imagen")</f>
        <v/>
      </c>
      <c r="M4604" s="37" t="inlineStr">
        <is>
          <t>Modificada</t>
        </is>
      </c>
    </row>
    <row r="4605">
      <c r="A4605" s="33" t="n">
        <v>4604</v>
      </c>
      <c r="B4605" t="inlineStr">
        <is>
          <t>A-495__65</t>
        </is>
      </c>
      <c r="C4605" s="1" t="n">
        <v>37.4390066418</v>
      </c>
      <c r="D4605" s="1" t="n">
        <v>-7.08552331168</v>
      </c>
      <c r="E4605" s="3" t="n">
        <v>3</v>
      </c>
      <c r="F4605" s="2" t="n">
        <v>3</v>
      </c>
      <c r="G4605" s="4" t="n">
        <v>1</v>
      </c>
      <c r="H4605" s="13" t="n">
        <v>2</v>
      </c>
      <c r="I4605" s="34" t="n">
        <v>3</v>
      </c>
      <c r="J4605" s="35" t="n">
        <v>3</v>
      </c>
      <c r="K4605" s="2" t="inlineStr">
        <is>
          <t>marker_781_381765.png</t>
        </is>
      </c>
      <c r="L4605" s="36">
        <f>HYPERLINK("NoConsenso\" &amp; K4605, "Ver Imagen")</f>
        <v/>
      </c>
      <c r="M4605" t="inlineStr">
        <is>
          <t>Mediana</t>
        </is>
      </c>
    </row>
    <row r="4606">
      <c r="A4606" s="33" t="n">
        <v>4605</v>
      </c>
      <c r="B4606" t="inlineStr">
        <is>
          <t>A-495__68</t>
        </is>
      </c>
      <c r="C4606" s="1" t="n">
        <v>37.4387353991</v>
      </c>
      <c r="D4606" s="1" t="n">
        <v>-7.08485579089</v>
      </c>
      <c r="E4606" s="3" t="n">
        <v>4</v>
      </c>
      <c r="F4606" s="2" t="n">
        <v>3</v>
      </c>
      <c r="G4606" s="4" t="n">
        <v>5</v>
      </c>
      <c r="H4606" s="13" t="n">
        <v>3</v>
      </c>
      <c r="I4606" s="34" t="n">
        <v>3</v>
      </c>
      <c r="J4606" s="35" t="n">
        <v>3</v>
      </c>
      <c r="K4606" s="2" t="inlineStr">
        <is>
          <t>marker_301_381795.png</t>
        </is>
      </c>
      <c r="L4606" s="36">
        <f>HYPERLINK("NoConsenso\" &amp; K4606, "Ver Imagen")</f>
        <v/>
      </c>
      <c r="M4606" t="inlineStr">
        <is>
          <t>Mediana</t>
        </is>
      </c>
    </row>
    <row r="4607">
      <c r="A4607" s="33" t="n">
        <v>4606</v>
      </c>
      <c r="B4607" t="inlineStr">
        <is>
          <t>A-495__71</t>
        </is>
      </c>
      <c r="C4607" s="1" t="n">
        <v>37.4384846673</v>
      </c>
      <c r="D4607" s="1" t="n">
        <v>-7.08416890515</v>
      </c>
      <c r="E4607" s="3" t="n">
        <v>3</v>
      </c>
      <c r="F4607" s="2" t="n">
        <v>3</v>
      </c>
      <c r="G4607" s="4" t="n">
        <v>5</v>
      </c>
      <c r="H4607" s="13" t="n">
        <v>3</v>
      </c>
      <c r="I4607" s="34" t="n">
        <v>3</v>
      </c>
      <c r="J4607" s="35" t="n">
        <v>3</v>
      </c>
      <c r="K4607" s="2" t="inlineStr">
        <is>
          <t>marker_251_381826.png</t>
        </is>
      </c>
      <c r="L4607" s="36">
        <f>HYPERLINK("NoConsenso\" &amp; K4607, "Ver Imagen")</f>
        <v/>
      </c>
      <c r="M4607" t="inlineStr">
        <is>
          <t>Mediana</t>
        </is>
      </c>
    </row>
    <row r="4608">
      <c r="A4608" s="33" t="n">
        <v>4607</v>
      </c>
      <c r="B4608" t="inlineStr">
        <is>
          <t>A-495__76</t>
        </is>
      </c>
      <c r="C4608" s="1" t="n">
        <v>37.438080232</v>
      </c>
      <c r="D4608" s="1" t="n">
        <v>-7.08295845827</v>
      </c>
      <c r="E4608" s="3" t="n">
        <v>3</v>
      </c>
      <c r="F4608" s="2" t="n">
        <v>3</v>
      </c>
      <c r="G4608" s="4" t="n">
        <v>5</v>
      </c>
      <c r="H4608" s="13" t="n">
        <v>3</v>
      </c>
      <c r="I4608" s="34" t="n">
        <v>2</v>
      </c>
      <c r="J4608" s="37" t="n">
        <v>2</v>
      </c>
      <c r="K4608" s="2" t="inlineStr">
        <is>
          <t>marker_427_381888.png</t>
        </is>
      </c>
      <c r="L4608" s="36">
        <f>HYPERLINK("NoConsenso\" &amp; K4608, "Ver Imagen")</f>
        <v/>
      </c>
      <c r="M4608" s="37" t="inlineStr">
        <is>
          <t>Modificada</t>
        </is>
      </c>
    </row>
    <row r="4609">
      <c r="A4609" s="33" t="n">
        <v>4608</v>
      </c>
      <c r="B4609" t="inlineStr">
        <is>
          <t>A-495__81</t>
        </is>
      </c>
      <c r="C4609" s="1" t="n">
        <v>37.4376994706</v>
      </c>
      <c r="D4609" s="1" t="n">
        <v>-7.08184496255</v>
      </c>
      <c r="E4609" s="3" t="n">
        <v>2</v>
      </c>
      <c r="F4609" s="2" t="n">
        <v>2</v>
      </c>
      <c r="G4609" s="4" t="n">
        <v>4</v>
      </c>
      <c r="H4609" s="13" t="n">
        <v>1</v>
      </c>
      <c r="I4609" s="34" t="n">
        <v>1</v>
      </c>
      <c r="J4609" s="37" t="n">
        <v>1</v>
      </c>
      <c r="K4609" s="2" t="inlineStr">
        <is>
          <t>marker_696_381942.png</t>
        </is>
      </c>
      <c r="L4609" s="36">
        <f>HYPERLINK("NoConsenso\" &amp; K4609, "Ver Imagen")</f>
        <v/>
      </c>
      <c r="M4609" s="37" t="inlineStr">
        <is>
          <t>Modificada</t>
        </is>
      </c>
    </row>
    <row r="4610">
      <c r="A4610" s="33" t="n">
        <v>4609</v>
      </c>
      <c r="B4610" t="inlineStr">
        <is>
          <t>A-495__83</t>
        </is>
      </c>
      <c r="C4610" s="1" t="n">
        <v>37.4375381343</v>
      </c>
      <c r="D4610" s="1" t="n">
        <v>-7.08138723991</v>
      </c>
      <c r="E4610" s="3" t="n">
        <v>3</v>
      </c>
      <c r="F4610" s="2" t="n">
        <v>3</v>
      </c>
      <c r="G4610" s="4" t="n">
        <v>1</v>
      </c>
      <c r="H4610" s="13" t="n">
        <v>2</v>
      </c>
      <c r="I4610" s="34" t="n">
        <v>3</v>
      </c>
      <c r="J4610" s="35" t="n">
        <v>3</v>
      </c>
      <c r="K4610" s="2" t="inlineStr">
        <is>
          <t>marker_610_381967.png</t>
        </is>
      </c>
      <c r="L4610" s="36">
        <f>HYPERLINK("NoConsenso\" &amp; K4610, "Ver Imagen")</f>
        <v/>
      </c>
      <c r="M4610" t="inlineStr">
        <is>
          <t>Mediana</t>
        </is>
      </c>
    </row>
    <row r="4611">
      <c r="A4611" s="33" t="n">
        <v>4610</v>
      </c>
      <c r="B4611" t="inlineStr">
        <is>
          <t>A-495__88</t>
        </is>
      </c>
      <c r="C4611" s="1" t="n">
        <v>37.4371274946</v>
      </c>
      <c r="D4611" s="1" t="n">
        <v>-7.08031866208</v>
      </c>
      <c r="E4611" s="3" t="n">
        <v>3</v>
      </c>
      <c r="F4611" s="2" t="n">
        <v>3</v>
      </c>
      <c r="G4611" s="4" t="n">
        <v>5</v>
      </c>
      <c r="H4611" s="13" t="n">
        <v>2</v>
      </c>
      <c r="I4611" s="34" t="n">
        <v>2</v>
      </c>
      <c r="J4611" s="37" t="n">
        <v>2</v>
      </c>
      <c r="K4611" s="2" t="inlineStr">
        <is>
          <t>marker_735_382025.png</t>
        </is>
      </c>
      <c r="L4611" s="36">
        <f>HYPERLINK("NoConsenso\" &amp; K4611, "Ver Imagen")</f>
        <v/>
      </c>
      <c r="M4611" s="37" t="inlineStr">
        <is>
          <t>Modificada</t>
        </is>
      </c>
    </row>
    <row r="4612">
      <c r="A4612" s="33" t="n">
        <v>4611</v>
      </c>
      <c r="B4612" t="inlineStr">
        <is>
          <t>A-495__89</t>
        </is>
      </c>
      <c r="C4612" s="1" t="n">
        <v>37.4370985554</v>
      </c>
      <c r="D4612" s="1" t="n">
        <v>-7.08014398847</v>
      </c>
      <c r="E4612" s="3" t="n">
        <v>3</v>
      </c>
      <c r="F4612" s="2" t="n">
        <v>3</v>
      </c>
      <c r="G4612" s="4" t="n">
        <v>5</v>
      </c>
      <c r="H4612" s="13" t="n">
        <v>2</v>
      </c>
      <c r="I4612" s="34" t="n">
        <v>3</v>
      </c>
      <c r="J4612" s="35" t="n">
        <v>3</v>
      </c>
      <c r="K4612" s="2" t="inlineStr">
        <is>
          <t>marker_995_382045.png</t>
        </is>
      </c>
      <c r="L4612" s="36">
        <f>HYPERLINK("NoConsenso\" &amp; K4612, "Ver Imagen")</f>
        <v/>
      </c>
      <c r="M4612" t="inlineStr">
        <is>
          <t>Mediana</t>
        </is>
      </c>
    </row>
    <row r="4613">
      <c r="A4613" s="33" t="n">
        <v>4612</v>
      </c>
      <c r="B4613" t="inlineStr">
        <is>
          <t>A-495__91</t>
        </is>
      </c>
      <c r="C4613" s="1" t="n">
        <v>37.4369305975</v>
      </c>
      <c r="D4613" s="1" t="n">
        <v>-7.07965589088</v>
      </c>
      <c r="E4613" s="3" t="n">
        <v>3</v>
      </c>
      <c r="F4613" s="2" t="n">
        <v>3</v>
      </c>
      <c r="G4613" s="4" t="n">
        <v>5</v>
      </c>
      <c r="H4613" s="13" t="n">
        <v>2</v>
      </c>
      <c r="I4613" s="34" t="n">
        <v>3</v>
      </c>
      <c r="J4613" s="35" t="n">
        <v>3</v>
      </c>
      <c r="K4613" s="2" t="inlineStr">
        <is>
          <t>marker_999_382070.png</t>
        </is>
      </c>
      <c r="L4613" s="36">
        <f>HYPERLINK("NoConsenso\" &amp; K4613, "Ver Imagen")</f>
        <v/>
      </c>
      <c r="M4613" t="inlineStr">
        <is>
          <t>Mediana</t>
        </is>
      </c>
    </row>
    <row r="4614">
      <c r="A4614" s="33" t="n">
        <v>4613</v>
      </c>
      <c r="B4614" t="inlineStr">
        <is>
          <t>A-5059__84</t>
        </is>
      </c>
      <c r="C4614" s="1" t="n">
        <v>37.2210460323</v>
      </c>
      <c r="D4614" s="1" t="n">
        <v>-7.05348952503</v>
      </c>
      <c r="E4614" s="3" t="n">
        <v>3</v>
      </c>
      <c r="F4614" s="2" t="n">
        <v>4</v>
      </c>
      <c r="G4614" s="4" t="n">
        <v>5</v>
      </c>
      <c r="H4614" s="13" t="n">
        <v>3</v>
      </c>
      <c r="I4614" s="34" t="n">
        <v>3</v>
      </c>
      <c r="J4614" s="35" t="n">
        <v>3</v>
      </c>
      <c r="K4614" s="2" t="inlineStr">
        <is>
          <t>marker_972_378676.png</t>
        </is>
      </c>
      <c r="L4614" s="36">
        <f>HYPERLINK("NoConsenso\" &amp; K4614, "Ver Imagen")</f>
        <v/>
      </c>
      <c r="M4614" t="inlineStr">
        <is>
          <t>Mediana</t>
        </is>
      </c>
    </row>
    <row r="4615">
      <c r="A4615" s="33" t="n">
        <v>4614</v>
      </c>
      <c r="B4615" t="inlineStr">
        <is>
          <t>A-495__116</t>
        </is>
      </c>
      <c r="C4615" s="1" t="n">
        <v>37.4354950463</v>
      </c>
      <c r="D4615" s="1" t="n">
        <v>-7.07402695269</v>
      </c>
      <c r="E4615" s="3" t="n">
        <v>4</v>
      </c>
      <c r="F4615" s="2" t="n">
        <v>3</v>
      </c>
      <c r="G4615" s="4" t="n">
        <v>5</v>
      </c>
      <c r="H4615" s="13" t="n">
        <v>3</v>
      </c>
      <c r="I4615" s="34" t="n">
        <v>4</v>
      </c>
      <c r="J4615" s="35" t="n">
        <v>4</v>
      </c>
      <c r="K4615" s="2" t="inlineStr">
        <is>
          <t>marker_660_382330.png</t>
        </is>
      </c>
      <c r="L4615" s="36">
        <f>HYPERLINK("NoConsenso\" &amp; K4615, "Ver Imagen")</f>
        <v/>
      </c>
      <c r="M4615" t="inlineStr">
        <is>
          <t>Mediana</t>
        </is>
      </c>
    </row>
    <row r="4616">
      <c r="A4616" s="33" t="n">
        <v>4615</v>
      </c>
      <c r="B4616" t="inlineStr">
        <is>
          <t>A-495__120</t>
        </is>
      </c>
      <c r="C4616" s="1" t="n">
        <v>37.4354062227</v>
      </c>
      <c r="D4616" s="1" t="n">
        <v>-7.07300244885</v>
      </c>
      <c r="E4616" s="3" t="n">
        <v>3</v>
      </c>
      <c r="F4616" s="2" t="n">
        <v>3</v>
      </c>
      <c r="G4616" s="4" t="n">
        <v>5</v>
      </c>
      <c r="H4616" s="13" t="n">
        <v>2</v>
      </c>
      <c r="I4616" s="34" t="n">
        <v>2</v>
      </c>
      <c r="J4616" s="37" t="n">
        <v>2</v>
      </c>
      <c r="K4616" s="2" t="inlineStr">
        <is>
          <t>marker_820_382368.png</t>
        </is>
      </c>
      <c r="L4616" s="36">
        <f>HYPERLINK("NoConsenso\" &amp; K4616, "Ver Imagen")</f>
        <v/>
      </c>
      <c r="M4616" s="37" t="inlineStr">
        <is>
          <t>Modificada</t>
        </is>
      </c>
    </row>
    <row r="4617">
      <c r="A4617" s="33" t="n">
        <v>4616</v>
      </c>
      <c r="B4617" t="inlineStr">
        <is>
          <t>A-495__121</t>
        </is>
      </c>
      <c r="C4617" s="1" t="n">
        <v>37.4353850666</v>
      </c>
      <c r="D4617" s="1" t="n">
        <v>-7.07274407863</v>
      </c>
      <c r="E4617" s="3" t="n">
        <v>3</v>
      </c>
      <c r="F4617" s="2" t="n">
        <v>3</v>
      </c>
      <c r="G4617" s="4" t="n">
        <v>5</v>
      </c>
      <c r="H4617" s="13" t="n">
        <v>3</v>
      </c>
      <c r="I4617" s="34" t="n">
        <v>3</v>
      </c>
      <c r="J4617" s="35" t="n">
        <v>3</v>
      </c>
      <c r="K4617" s="2" t="inlineStr">
        <is>
          <t>marker_474_382377.png</t>
        </is>
      </c>
      <c r="L4617" s="36">
        <f>HYPERLINK("NoConsenso\" &amp; K4617, "Ver Imagen")</f>
        <v/>
      </c>
      <c r="M4617" t="inlineStr">
        <is>
          <t>Mediana</t>
        </is>
      </c>
    </row>
    <row r="4618">
      <c r="A4618" s="33" t="n">
        <v>4617</v>
      </c>
      <c r="B4618" t="inlineStr">
        <is>
          <t>A-495__129</t>
        </is>
      </c>
      <c r="C4618" s="1" t="n">
        <v>37.435171062</v>
      </c>
      <c r="D4618" s="1" t="n">
        <v>-7.0707321871</v>
      </c>
      <c r="E4618" s="3" t="n">
        <v>3</v>
      </c>
      <c r="F4618" s="2" t="n">
        <v>3</v>
      </c>
      <c r="G4618" s="4" t="n">
        <v>1</v>
      </c>
      <c r="H4618" s="13" t="n">
        <v>3</v>
      </c>
      <c r="I4618" s="34" t="n">
        <v>3</v>
      </c>
      <c r="J4618" s="35" t="n">
        <v>3</v>
      </c>
      <c r="K4618" s="2" t="inlineStr">
        <is>
          <t>marker_569_382466.png</t>
        </is>
      </c>
      <c r="L4618" s="36">
        <f>HYPERLINK("NoConsenso\" &amp; K4618, "Ver Imagen")</f>
        <v/>
      </c>
      <c r="M4618" t="inlineStr">
        <is>
          <t>Mediana</t>
        </is>
      </c>
    </row>
    <row r="4619">
      <c r="A4619" s="33" t="n">
        <v>4618</v>
      </c>
      <c r="B4619" t="inlineStr">
        <is>
          <t>A-495__134</t>
        </is>
      </c>
      <c r="C4619" s="1" t="n">
        <v>37.4349035992</v>
      </c>
      <c r="D4619" s="1" t="n">
        <v>-7.0695227485</v>
      </c>
      <c r="E4619" s="3" t="n">
        <v>3</v>
      </c>
      <c r="F4619" s="2" t="n">
        <v>3</v>
      </c>
      <c r="G4619" s="4" t="n">
        <v>1</v>
      </c>
      <c r="H4619" s="13" t="n">
        <v>3</v>
      </c>
      <c r="I4619" s="34" t="n">
        <v>3</v>
      </c>
      <c r="J4619" s="35" t="n">
        <v>3</v>
      </c>
      <c r="K4619" s="2" t="inlineStr">
        <is>
          <t>marker_994_382519.png</t>
        </is>
      </c>
      <c r="L4619" s="36">
        <f>HYPERLINK("NoConsenso\" &amp; K4619, "Ver Imagen")</f>
        <v/>
      </c>
      <c r="M4619" t="inlineStr">
        <is>
          <t>Mediana</t>
        </is>
      </c>
    </row>
    <row r="4620">
      <c r="A4620" s="33" t="n">
        <v>4619</v>
      </c>
      <c r="B4620" t="inlineStr">
        <is>
          <t>A-5058__194</t>
        </is>
      </c>
      <c r="C4620" s="1" t="n">
        <v>37.2346466339</v>
      </c>
      <c r="D4620" s="1" t="n">
        <v>-7.07198216762</v>
      </c>
      <c r="E4620" s="3" t="n">
        <v>3</v>
      </c>
      <c r="F4620" s="2" t="n">
        <v>2</v>
      </c>
      <c r="G4620" s="4" t="n">
        <v>4</v>
      </c>
      <c r="H4620" s="13" t="n">
        <v>2</v>
      </c>
      <c r="I4620" s="34" t="n">
        <v>1</v>
      </c>
      <c r="J4620" s="37" t="n">
        <v>1</v>
      </c>
      <c r="K4620" s="2" t="inlineStr">
        <is>
          <t>marker_221_382828.png</t>
        </is>
      </c>
      <c r="L4620" s="36">
        <f>HYPERLINK("NoConsenso\" &amp; K4620, "Ver Imagen")</f>
        <v/>
      </c>
      <c r="M4620" s="37" t="inlineStr">
        <is>
          <t>Modificada</t>
        </is>
      </c>
    </row>
    <row r="4621">
      <c r="A4621" s="33" t="n">
        <v>4620</v>
      </c>
      <c r="B4621" t="inlineStr">
        <is>
          <t>A-5058__197</t>
        </is>
      </c>
      <c r="C4621" s="1" t="n">
        <v>37.2348627789</v>
      </c>
      <c r="D4621" s="1" t="n">
        <v>-7.07265286526</v>
      </c>
      <c r="E4621" s="3" t="n">
        <v>3</v>
      </c>
      <c r="F4621" s="2" t="n">
        <v>2</v>
      </c>
      <c r="G4621" s="4" t="n">
        <v>4</v>
      </c>
      <c r="H4621" s="13" t="n">
        <v>2</v>
      </c>
      <c r="I4621" s="34" t="n">
        <v>1</v>
      </c>
      <c r="J4621" s="35" t="n">
        <v>2</v>
      </c>
      <c r="K4621" s="2" t="inlineStr">
        <is>
          <t>marker_407_382856.png</t>
        </is>
      </c>
      <c r="L4621" s="36">
        <f>HYPERLINK("NoConsenso\" &amp; K4621, "Ver Imagen")</f>
        <v/>
      </c>
      <c r="M4621" t="inlineStr">
        <is>
          <t>Mediana</t>
        </is>
      </c>
    </row>
    <row r="4622">
      <c r="A4622" s="33" t="n">
        <v>4621</v>
      </c>
      <c r="B4622" t="inlineStr">
        <is>
          <t>A-5058__203</t>
        </is>
      </c>
      <c r="C4622" s="1" t="n">
        <v>37.235504256</v>
      </c>
      <c r="D4622" s="1" t="n">
        <v>-7.07392272296</v>
      </c>
      <c r="E4622" s="3" t="n">
        <v>3</v>
      </c>
      <c r="F4622" s="2" t="n">
        <v>2</v>
      </c>
      <c r="G4622" s="4" t="n">
        <v>4</v>
      </c>
      <c r="H4622" s="13" t="n">
        <v>2</v>
      </c>
      <c r="I4622" s="34" t="n">
        <v>2</v>
      </c>
      <c r="J4622" s="35" t="n">
        <v>2</v>
      </c>
      <c r="K4622" s="2" t="inlineStr">
        <is>
          <t>marker_992_382920.png</t>
        </is>
      </c>
      <c r="L4622" s="36">
        <f>HYPERLINK("NoConsenso\" &amp; K4622, "Ver Imagen")</f>
        <v/>
      </c>
      <c r="M4622" t="inlineStr">
        <is>
          <t>Mediana</t>
        </is>
      </c>
    </row>
    <row r="4623">
      <c r="A4623" s="33" t="n">
        <v>4622</v>
      </c>
      <c r="B4623" t="inlineStr">
        <is>
          <t>A-5058__226</t>
        </is>
      </c>
      <c r="C4623" s="1" t="n">
        <v>37.2382194897</v>
      </c>
      <c r="D4623" s="1" t="n">
        <v>-7.07870576139</v>
      </c>
      <c r="E4623" s="3" t="n">
        <v>3</v>
      </c>
      <c r="F4623" s="2" t="n">
        <v>2</v>
      </c>
      <c r="G4623" s="4" t="n">
        <v>4</v>
      </c>
      <c r="H4623" s="13" t="n">
        <v>2</v>
      </c>
      <c r="I4623" s="34" t="n">
        <v>2</v>
      </c>
      <c r="J4623" s="35" t="n">
        <v>2</v>
      </c>
      <c r="K4623" s="2" t="inlineStr">
        <is>
          <t>marker_221_383199.png</t>
        </is>
      </c>
      <c r="L4623" s="36">
        <f>HYPERLINK("NoConsenso\" &amp; K4623, "Ver Imagen")</f>
        <v/>
      </c>
      <c r="M4623" t="inlineStr">
        <is>
          <t>Mediana</t>
        </is>
      </c>
    </row>
    <row r="4624">
      <c r="A4624" s="33" t="n">
        <v>4623</v>
      </c>
      <c r="B4624" t="inlineStr">
        <is>
          <t>A-5058__253</t>
        </is>
      </c>
      <c r="C4624" s="1" t="n">
        <v>37.2416789199</v>
      </c>
      <c r="D4624" s="1" t="n">
        <v>-7.08395721346</v>
      </c>
      <c r="E4624" s="3" t="n">
        <v>3</v>
      </c>
      <c r="F4624" s="2" t="n">
        <v>2</v>
      </c>
      <c r="G4624" s="4" t="n">
        <v>4</v>
      </c>
      <c r="H4624" s="13" t="n">
        <v>2</v>
      </c>
      <c r="I4624" s="34" t="n">
        <v>2</v>
      </c>
      <c r="J4624" s="35" t="n">
        <v>2</v>
      </c>
      <c r="K4624" s="2" t="inlineStr">
        <is>
          <t>marker_604_383556.png</t>
        </is>
      </c>
      <c r="L4624" s="36">
        <f>HYPERLINK("NoConsenso\" &amp; K4624, "Ver Imagen")</f>
        <v/>
      </c>
      <c r="M4624" t="inlineStr">
        <is>
          <t>Mediana</t>
        </is>
      </c>
    </row>
    <row r="4625">
      <c r="A4625" s="33" t="n">
        <v>4624</v>
      </c>
      <c r="B4625" t="inlineStr">
        <is>
          <t>A-5058__254</t>
        </is>
      </c>
      <c r="C4625" s="1" t="n">
        <v>37.2418042616</v>
      </c>
      <c r="D4625" s="1" t="n">
        <v>-7.0841646257</v>
      </c>
      <c r="E4625" s="3" t="n">
        <v>3</v>
      </c>
      <c r="F4625" s="2" t="n">
        <v>2</v>
      </c>
      <c r="G4625" s="4" t="n">
        <v>4</v>
      </c>
      <c r="H4625" s="13" t="n">
        <v>2</v>
      </c>
      <c r="I4625" s="34" t="n">
        <v>2</v>
      </c>
      <c r="J4625" s="35" t="n">
        <v>2</v>
      </c>
      <c r="K4625" s="2" t="inlineStr">
        <is>
          <t>marker_309_383584.png</t>
        </is>
      </c>
      <c r="L4625" s="36">
        <f>HYPERLINK("NoConsenso\" &amp; K4625, "Ver Imagen")</f>
        <v/>
      </c>
      <c r="M4625" t="inlineStr">
        <is>
          <t>Mediana</t>
        </is>
      </c>
    </row>
    <row r="4626">
      <c r="A4626" s="33" t="n">
        <v>4625</v>
      </c>
      <c r="B4626" t="inlineStr">
        <is>
          <t>A-5058__329</t>
        </is>
      </c>
      <c r="C4626" s="1" t="n">
        <v>37.2478216587</v>
      </c>
      <c r="D4626" s="1" t="n">
        <v>-7.10118083706</v>
      </c>
      <c r="E4626" s="3" t="n">
        <v>3</v>
      </c>
      <c r="F4626" s="2" t="n">
        <v>2</v>
      </c>
      <c r="G4626" s="4" t="n">
        <v>4</v>
      </c>
      <c r="H4626" s="13" t="n">
        <v>2</v>
      </c>
      <c r="I4626" s="34" t="n">
        <v>3</v>
      </c>
      <c r="J4626" s="37" t="n">
        <v>2</v>
      </c>
      <c r="K4626" s="2" t="inlineStr">
        <is>
          <t>marker_336_384611.png</t>
        </is>
      </c>
      <c r="L4626" s="36">
        <f>HYPERLINK("NoConsenso\" &amp; K4626, "Ver Imagen")</f>
        <v/>
      </c>
      <c r="M4626" s="37" t="inlineStr">
        <is>
          <t>Modificada</t>
        </is>
      </c>
    </row>
    <row r="4627">
      <c r="A4627" s="33" t="n">
        <v>4626</v>
      </c>
      <c r="B4627" t="inlineStr">
        <is>
          <t>A-5058__385</t>
        </is>
      </c>
      <c r="C4627" s="1" t="n">
        <v>37.2553755577</v>
      </c>
      <c r="D4627" s="1" t="n">
        <v>-7.11069089379</v>
      </c>
      <c r="E4627" s="3" t="n">
        <v>3</v>
      </c>
      <c r="F4627" s="2" t="n">
        <v>2</v>
      </c>
      <c r="G4627" s="4" t="n">
        <v>4</v>
      </c>
      <c r="H4627" s="13" t="n">
        <v>1</v>
      </c>
      <c r="I4627" s="34" t="n">
        <v>2</v>
      </c>
      <c r="J4627" s="35" t="n">
        <v>2</v>
      </c>
      <c r="K4627" s="2" t="inlineStr">
        <is>
          <t>marker_978_385258.png</t>
        </is>
      </c>
      <c r="L4627" s="36">
        <f>HYPERLINK("NoConsenso\" &amp; K4627, "Ver Imagen")</f>
        <v/>
      </c>
      <c r="M4627" t="inlineStr">
        <is>
          <t>Mediana</t>
        </is>
      </c>
    </row>
    <row r="4628">
      <c r="A4628" s="33" t="n">
        <v>4627</v>
      </c>
      <c r="B4628" t="inlineStr">
        <is>
          <t>A-5058__386</t>
        </is>
      </c>
      <c r="C4628" s="1" t="n">
        <v>37.2553826178</v>
      </c>
      <c r="D4628" s="1" t="n">
        <v>-7.11091698641</v>
      </c>
      <c r="E4628" s="3" t="n">
        <v>3</v>
      </c>
      <c r="F4628" s="2" t="n">
        <v>2</v>
      </c>
      <c r="G4628" s="4" t="n">
        <v>4</v>
      </c>
      <c r="H4628" s="13" t="n">
        <v>2</v>
      </c>
      <c r="I4628" s="34" t="n">
        <v>2</v>
      </c>
      <c r="J4628" s="35" t="n">
        <v>2</v>
      </c>
      <c r="K4628" s="2" t="inlineStr">
        <is>
          <t>marker_394_385268.png</t>
        </is>
      </c>
      <c r="L4628" s="36">
        <f>HYPERLINK("NoConsenso\" &amp; K4628, "Ver Imagen")</f>
        <v/>
      </c>
      <c r="M4628" t="inlineStr">
        <is>
          <t>Mediana</t>
        </is>
      </c>
    </row>
    <row r="4629">
      <c r="A4629" s="33" t="n">
        <v>4628</v>
      </c>
      <c r="B4629" t="inlineStr">
        <is>
          <t>A-5058__387</t>
        </is>
      </c>
      <c r="C4629" s="1" t="n">
        <v>37.2553760131</v>
      </c>
      <c r="D4629" s="1" t="n">
        <v>-7.11117341333</v>
      </c>
      <c r="E4629" s="3" t="n">
        <v>3</v>
      </c>
      <c r="F4629" s="2" t="n">
        <v>2</v>
      </c>
      <c r="G4629" s="4" t="n">
        <v>4</v>
      </c>
      <c r="H4629" s="13" t="n">
        <v>2</v>
      </c>
      <c r="I4629" s="34" t="n">
        <v>2</v>
      </c>
      <c r="J4629" s="35" t="n">
        <v>2</v>
      </c>
      <c r="K4629" s="2" t="inlineStr">
        <is>
          <t>marker_402_385278.png</t>
        </is>
      </c>
      <c r="L4629" s="36">
        <f>HYPERLINK("NoConsenso\" &amp; K4629, "Ver Imagen")</f>
        <v/>
      </c>
      <c r="M4629" t="inlineStr">
        <is>
          <t>Mediana</t>
        </is>
      </c>
    </row>
    <row r="4630">
      <c r="A4630" s="33" t="n">
        <v>4629</v>
      </c>
      <c r="B4630" t="inlineStr">
        <is>
          <t>A-5058__413</t>
        </is>
      </c>
      <c r="C4630" s="1" t="n">
        <v>37.2551111724</v>
      </c>
      <c r="D4630" s="1" t="n">
        <v>-7.1174468928</v>
      </c>
      <c r="E4630" s="3" t="n">
        <v>3</v>
      </c>
      <c r="F4630" s="2" t="n">
        <v>2</v>
      </c>
      <c r="G4630" s="4" t="n">
        <v>4</v>
      </c>
      <c r="H4630" s="13" t="n">
        <v>2</v>
      </c>
      <c r="I4630" s="34" t="n">
        <v>2</v>
      </c>
      <c r="J4630" s="35" t="n">
        <v>2</v>
      </c>
      <c r="K4630" s="2" t="inlineStr">
        <is>
          <t>marker_295_388679.png</t>
        </is>
      </c>
      <c r="L4630" s="36">
        <f>HYPERLINK("NoConsenso\" &amp; K4630, "Ver Imagen")</f>
        <v/>
      </c>
      <c r="M4630" t="inlineStr">
        <is>
          <t>Mediana</t>
        </is>
      </c>
    </row>
    <row r="4631">
      <c r="A4631" s="33" t="n">
        <v>4630</v>
      </c>
      <c r="B4631" t="inlineStr">
        <is>
          <t>A-5058__422</t>
        </is>
      </c>
      <c r="C4631" s="1" t="n">
        <v>37.256550867</v>
      </c>
      <c r="D4631" s="1" t="n">
        <v>-7.11879733959</v>
      </c>
      <c r="E4631" s="3" t="n">
        <v>3</v>
      </c>
      <c r="F4631" s="2" t="n">
        <v>2</v>
      </c>
      <c r="G4631" s="4" t="n">
        <v>4</v>
      </c>
      <c r="H4631" s="13" t="n">
        <v>2</v>
      </c>
      <c r="I4631" s="34" t="n">
        <v>2</v>
      </c>
      <c r="J4631" s="35" t="n">
        <v>2</v>
      </c>
      <c r="K4631" s="2" t="inlineStr">
        <is>
          <t>marker_850_388772.png</t>
        </is>
      </c>
      <c r="L4631" s="36">
        <f>HYPERLINK("NoConsenso\" &amp; K4631, "Ver Imagen")</f>
        <v/>
      </c>
      <c r="M4631" t="inlineStr">
        <is>
          <t>Mediana</t>
        </is>
      </c>
    </row>
    <row r="4632">
      <c r="A4632" s="33" t="n">
        <v>4631</v>
      </c>
      <c r="B4632" t="inlineStr">
        <is>
          <t>A-5058__429</t>
        </is>
      </c>
      <c r="C4632" s="1" t="n">
        <v>37.2577693378</v>
      </c>
      <c r="D4632" s="1" t="n">
        <v>-7.11969016609</v>
      </c>
      <c r="E4632" s="3" t="n">
        <v>3</v>
      </c>
      <c r="F4632" s="2" t="n">
        <v>2</v>
      </c>
      <c r="G4632" s="4" t="n">
        <v>4</v>
      </c>
      <c r="H4632" s="13" t="n">
        <v>2</v>
      </c>
      <c r="I4632" s="34" t="n">
        <v>3</v>
      </c>
      <c r="J4632" s="35" t="n">
        <v>3</v>
      </c>
      <c r="K4632" s="2" t="inlineStr">
        <is>
          <t>marker_578_388843.png</t>
        </is>
      </c>
      <c r="L4632" s="36">
        <f>HYPERLINK("NoConsenso\" &amp; K4632, "Ver Imagen")</f>
        <v/>
      </c>
      <c r="M4632" t="inlineStr">
        <is>
          <t>Mediana</t>
        </is>
      </c>
    </row>
    <row r="4633">
      <c r="A4633" s="33" t="n">
        <v>4632</v>
      </c>
      <c r="B4633" t="inlineStr">
        <is>
          <t>A-5058__446</t>
        </is>
      </c>
      <c r="C4633" s="1" t="n">
        <v>37.2588940445</v>
      </c>
      <c r="D4633" s="1" t="n">
        <v>-7.12352692671</v>
      </c>
      <c r="E4633" s="3" t="n">
        <v>4</v>
      </c>
      <c r="F4633" s="2" t="n">
        <v>3</v>
      </c>
      <c r="G4633" s="4" t="n">
        <v>5</v>
      </c>
      <c r="H4633" s="13" t="n">
        <v>3</v>
      </c>
      <c r="I4633" s="34" t="n">
        <v>4</v>
      </c>
      <c r="J4633" s="35" t="n">
        <v>4</v>
      </c>
      <c r="K4633" s="2" t="inlineStr">
        <is>
          <t>marker_146_389037.png</t>
        </is>
      </c>
      <c r="L4633" s="36">
        <f>HYPERLINK("NoConsenso\" &amp; K4633, "Ver Imagen")</f>
        <v/>
      </c>
      <c r="M4633" t="inlineStr">
        <is>
          <t>Mediana</t>
        </is>
      </c>
    </row>
    <row r="4634">
      <c r="A4634" s="33" t="n">
        <v>4633</v>
      </c>
      <c r="B4634" t="inlineStr">
        <is>
          <t>A-5058__447</t>
        </is>
      </c>
      <c r="C4634" s="1" t="n">
        <v>37.2589180931</v>
      </c>
      <c r="D4634" s="1" t="n">
        <v>-7.12382922391</v>
      </c>
      <c r="E4634" s="3" t="n">
        <v>4</v>
      </c>
      <c r="F4634" s="2" t="n">
        <v>3</v>
      </c>
      <c r="G4634" s="4" t="n">
        <v>5</v>
      </c>
      <c r="H4634" s="13" t="n">
        <v>3</v>
      </c>
      <c r="I4634" s="34" t="n">
        <v>4</v>
      </c>
      <c r="J4634" s="35" t="n">
        <v>4</v>
      </c>
      <c r="K4634" s="2" t="inlineStr">
        <is>
          <t>marker_101_389046.png</t>
        </is>
      </c>
      <c r="L4634" s="36">
        <f>HYPERLINK("NoConsenso\" &amp; K4634, "Ver Imagen")</f>
        <v/>
      </c>
      <c r="M4634" t="inlineStr">
        <is>
          <t>Mediana</t>
        </is>
      </c>
    </row>
    <row r="4635">
      <c r="A4635" s="33" t="n">
        <v>4634</v>
      </c>
      <c r="B4635" t="inlineStr">
        <is>
          <t>A-5058__450</t>
        </is>
      </c>
      <c r="C4635" s="1" t="n">
        <v>37.2589901044</v>
      </c>
      <c r="D4635" s="1" t="n">
        <v>-7.12457381055</v>
      </c>
      <c r="E4635" s="3" t="n">
        <v>4</v>
      </c>
      <c r="F4635" s="2" t="n">
        <v>3</v>
      </c>
      <c r="G4635" s="4" t="n">
        <v>5</v>
      </c>
      <c r="H4635" s="13" t="n">
        <v>3</v>
      </c>
      <c r="I4635" s="34" t="n">
        <v>3</v>
      </c>
      <c r="J4635" s="35" t="n">
        <v>3</v>
      </c>
      <c r="K4635" s="2" t="inlineStr">
        <is>
          <t>marker_809_389075.png</t>
        </is>
      </c>
      <c r="L4635" s="36">
        <f>HYPERLINK("NoConsenso\" &amp; K4635, "Ver Imagen")</f>
        <v/>
      </c>
      <c r="M4635" t="inlineStr">
        <is>
          <t>Mediana</t>
        </is>
      </c>
    </row>
    <row r="4636">
      <c r="A4636" s="33" t="n">
        <v>4635</v>
      </c>
      <c r="B4636" t="inlineStr">
        <is>
          <t>A-5058__451</t>
        </is>
      </c>
      <c r="C4636" s="1" t="n">
        <v>37.2590300529</v>
      </c>
      <c r="D4636" s="1" t="n">
        <v>-7.12482793903</v>
      </c>
      <c r="E4636" s="3" t="n">
        <v>3</v>
      </c>
      <c r="F4636" s="2" t="n">
        <v>3</v>
      </c>
      <c r="G4636" s="4" t="n">
        <v>5</v>
      </c>
      <c r="H4636" s="13" t="n">
        <v>2</v>
      </c>
      <c r="I4636" s="34" t="n">
        <v>3</v>
      </c>
      <c r="J4636" s="35" t="n">
        <v>3</v>
      </c>
      <c r="K4636" s="2" t="inlineStr">
        <is>
          <t>marker_821_389084.png</t>
        </is>
      </c>
      <c r="L4636" s="36">
        <f>HYPERLINK("NoConsenso\" &amp; K4636, "Ver Imagen")</f>
        <v/>
      </c>
      <c r="M4636" t="inlineStr">
        <is>
          <t>Mediana</t>
        </is>
      </c>
    </row>
    <row r="4637">
      <c r="A4637" s="33" t="n">
        <v>4636</v>
      </c>
      <c r="B4637" t="inlineStr">
        <is>
          <t>A-5058__459</t>
        </is>
      </c>
      <c r="C4637" s="1" t="n">
        <v>37.2598711331</v>
      </c>
      <c r="D4637" s="1" t="n">
        <v>-7.126470216</v>
      </c>
      <c r="E4637" s="3" t="n">
        <v>3</v>
      </c>
      <c r="F4637" s="2" t="n">
        <v>2</v>
      </c>
      <c r="G4637" s="4" t="n">
        <v>4</v>
      </c>
      <c r="H4637" s="13" t="n">
        <v>2</v>
      </c>
      <c r="I4637" s="34" t="n">
        <v>2</v>
      </c>
      <c r="J4637" s="35" t="n">
        <v>2</v>
      </c>
      <c r="K4637" s="2" t="inlineStr">
        <is>
          <t>marker_807_389303.png</t>
        </is>
      </c>
      <c r="L4637" s="36">
        <f>HYPERLINK("NoConsenso\" &amp; K4637, "Ver Imagen")</f>
        <v/>
      </c>
      <c r="M4637" t="inlineStr">
        <is>
          <t>Mediana</t>
        </is>
      </c>
    </row>
    <row r="4638">
      <c r="A4638" s="33" t="n">
        <v>4637</v>
      </c>
      <c r="B4638" t="inlineStr">
        <is>
          <t>A-5058__463</t>
        </is>
      </c>
      <c r="C4638" s="1" t="n">
        <v>37.2604935375</v>
      </c>
      <c r="D4638" s="1" t="n">
        <v>-7.12709472064</v>
      </c>
      <c r="E4638" s="3" t="n">
        <v>3</v>
      </c>
      <c r="F4638" s="2" t="n">
        <v>2</v>
      </c>
      <c r="G4638" s="4" t="n">
        <v>4</v>
      </c>
      <c r="H4638" s="13" t="n">
        <v>2</v>
      </c>
      <c r="I4638" s="34" t="n">
        <v>2</v>
      </c>
      <c r="J4638" s="35" t="n">
        <v>2</v>
      </c>
      <c r="K4638" s="2" t="inlineStr">
        <is>
          <t>marker_358_389342.png</t>
        </is>
      </c>
      <c r="L4638" s="36">
        <f>HYPERLINK("NoConsenso\" &amp; K4638, "Ver Imagen")</f>
        <v/>
      </c>
      <c r="M4638" t="inlineStr">
        <is>
          <t>Mediana</t>
        </is>
      </c>
    </row>
    <row r="4639">
      <c r="A4639" s="33" t="n">
        <v>4638</v>
      </c>
      <c r="B4639" t="inlineStr">
        <is>
          <t>A-5058__468</t>
        </is>
      </c>
      <c r="C4639" s="1" t="n">
        <v>37.2610666541</v>
      </c>
      <c r="D4639" s="1" t="n">
        <v>-7.12815877826</v>
      </c>
      <c r="E4639" s="3" t="n">
        <v>3</v>
      </c>
      <c r="F4639" s="2" t="n">
        <v>2</v>
      </c>
      <c r="G4639" s="4" t="n">
        <v>4</v>
      </c>
      <c r="H4639" s="13" t="n">
        <v>1</v>
      </c>
      <c r="I4639" s="34" t="n">
        <v>1</v>
      </c>
      <c r="J4639" s="37" t="n">
        <v>1</v>
      </c>
      <c r="K4639" s="2" t="inlineStr">
        <is>
          <t>marker_975_389386.png</t>
        </is>
      </c>
      <c r="L4639" s="36">
        <f>HYPERLINK("NoConsenso\" &amp; K4639, "Ver Imagen")</f>
        <v/>
      </c>
      <c r="M4639" s="37" t="inlineStr">
        <is>
          <t>Modificada</t>
        </is>
      </c>
    </row>
    <row r="4640">
      <c r="A4640" s="33" t="n">
        <v>4639</v>
      </c>
      <c r="B4640" t="inlineStr">
        <is>
          <t>A-495__2</t>
        </is>
      </c>
      <c r="C4640" s="1" t="n">
        <v>37.4440861116</v>
      </c>
      <c r="D4640" s="1" t="n">
        <v>-7.10000214935</v>
      </c>
      <c r="E4640" s="3" t="n">
        <v>5</v>
      </c>
      <c r="F4640" s="2" t="n">
        <v>3</v>
      </c>
      <c r="G4640" s="4" t="n">
        <v>3</v>
      </c>
      <c r="H4640" s="13" t="n">
        <v>4</v>
      </c>
      <c r="I4640" s="34" t="n">
        <v>3</v>
      </c>
      <c r="J4640" s="35" t="n">
        <v>3</v>
      </c>
      <c r="K4640" s="2" t="inlineStr">
        <is>
          <t>marker_986_380981.png</t>
        </is>
      </c>
      <c r="L4640" s="36">
        <f>HYPERLINK("NoConsenso\" &amp; K4640, "Ver Imagen")</f>
        <v/>
      </c>
      <c r="M4640" t="inlineStr">
        <is>
          <t>Mediana</t>
        </is>
      </c>
    </row>
    <row r="4641">
      <c r="A4641" s="33" t="n">
        <v>4640</v>
      </c>
      <c r="B4641" t="inlineStr">
        <is>
          <t>A-495_1__188</t>
        </is>
      </c>
      <c r="C4641" s="1" t="n">
        <v>37.4836230517</v>
      </c>
      <c r="D4641" s="1" t="n">
        <v>-7.12952162513</v>
      </c>
      <c r="E4641" s="3" t="n">
        <v>2</v>
      </c>
      <c r="F4641" s="2" t="n">
        <v>3</v>
      </c>
      <c r="G4641" s="4" t="n">
        <v>4</v>
      </c>
      <c r="H4641" s="13" t="n">
        <v>2</v>
      </c>
      <c r="I4641" s="34" t="n">
        <v>1</v>
      </c>
      <c r="J4641" s="35" t="n">
        <v>2</v>
      </c>
      <c r="K4641" s="2" t="inlineStr">
        <is>
          <t>marker_100_383748.png</t>
        </is>
      </c>
      <c r="L4641" s="36">
        <f>HYPERLINK("NoConsenso\" &amp; K4641, "Ver Imagen")</f>
        <v/>
      </c>
      <c r="M4641" t="inlineStr">
        <is>
          <t>Mediana</t>
        </is>
      </c>
    </row>
    <row r="4642">
      <c r="A4642" s="33" t="n">
        <v>4641</v>
      </c>
      <c r="B4642" t="inlineStr">
        <is>
          <t>A-495_1__171</t>
        </is>
      </c>
      <c r="C4642" s="1" t="n">
        <v>37.4805363134</v>
      </c>
      <c r="D4642" s="1" t="n">
        <v>-7.12775833968</v>
      </c>
      <c r="E4642" s="3" t="n">
        <v>5</v>
      </c>
      <c r="F4642" s="2" t="n">
        <v>3</v>
      </c>
      <c r="G4642" s="4" t="n">
        <v>4</v>
      </c>
      <c r="H4642" s="13" t="n">
        <v>4</v>
      </c>
      <c r="I4642" s="34" t="n">
        <v>3</v>
      </c>
      <c r="J4642" s="35" t="n">
        <v>4</v>
      </c>
      <c r="K4642" s="2" t="inlineStr">
        <is>
          <t>marker_258_383976.png</t>
        </is>
      </c>
      <c r="L4642" s="36">
        <f>HYPERLINK("NoConsenso\" &amp; K4642, "Ver Imagen")</f>
        <v/>
      </c>
      <c r="M4642" t="inlineStr">
        <is>
          <t>Mediana</t>
        </is>
      </c>
    </row>
    <row r="4643">
      <c r="A4643" s="33" t="n">
        <v>4642</v>
      </c>
      <c r="B4643" t="inlineStr">
        <is>
          <t>A-495_1__165</t>
        </is>
      </c>
      <c r="C4643" s="1" t="n">
        <v>37.4793289791</v>
      </c>
      <c r="D4643" s="1" t="n">
        <v>-7.12801944462</v>
      </c>
      <c r="E4643" s="3" t="n">
        <v>5</v>
      </c>
      <c r="F4643" s="2" t="n">
        <v>3</v>
      </c>
      <c r="G4643" s="4" t="n">
        <v>4</v>
      </c>
      <c r="H4643" s="13" t="n">
        <v>3</v>
      </c>
      <c r="I4643" s="34" t="n">
        <v>3</v>
      </c>
      <c r="J4643" s="35" t="n">
        <v>3</v>
      </c>
      <c r="K4643" s="2" t="inlineStr">
        <is>
          <t>marker_879_384038.png</t>
        </is>
      </c>
      <c r="L4643" s="36">
        <f>HYPERLINK("NoConsenso\" &amp; K4643, "Ver Imagen")</f>
        <v/>
      </c>
      <c r="M4643" t="inlineStr">
        <is>
          <t>Mediana</t>
        </is>
      </c>
    </row>
    <row r="4644">
      <c r="A4644" s="33" t="n">
        <v>4643</v>
      </c>
      <c r="B4644" t="inlineStr">
        <is>
          <t>A-495_1__163</t>
        </is>
      </c>
      <c r="C4644" s="1" t="n">
        <v>37.4789500591</v>
      </c>
      <c r="D4644" s="1" t="n">
        <v>-7.12796055729</v>
      </c>
      <c r="E4644" s="3" t="n">
        <v>4</v>
      </c>
      <c r="F4644" s="2" t="n">
        <v>3</v>
      </c>
      <c r="G4644" s="4" t="n">
        <v>2</v>
      </c>
      <c r="H4644" s="13" t="n">
        <v>2</v>
      </c>
      <c r="I4644" s="34" t="n">
        <v>2</v>
      </c>
      <c r="J4644" s="35" t="n">
        <v>2</v>
      </c>
      <c r="K4644" s="2" t="inlineStr">
        <is>
          <t>marker_338_384055.png</t>
        </is>
      </c>
      <c r="L4644" s="36">
        <f>HYPERLINK("NoConsenso\" &amp; K4644, "Ver Imagen")</f>
        <v/>
      </c>
      <c r="M4644" t="inlineStr">
        <is>
          <t>Mediana</t>
        </is>
      </c>
    </row>
    <row r="4645">
      <c r="A4645" s="33" t="n">
        <v>4644</v>
      </c>
      <c r="B4645" t="inlineStr">
        <is>
          <t>A-495_1__160</t>
        </is>
      </c>
      <c r="C4645" s="1" t="n">
        <v>37.4783884556</v>
      </c>
      <c r="D4645" s="1" t="n">
        <v>-7.12768477024</v>
      </c>
      <c r="E4645" s="3" t="n">
        <v>5</v>
      </c>
      <c r="F4645" s="2" t="n">
        <v>3</v>
      </c>
      <c r="G4645" s="4" t="n">
        <v>4</v>
      </c>
      <c r="H4645" s="13" t="n">
        <v>3</v>
      </c>
      <c r="I4645" s="34" t="n">
        <v>2</v>
      </c>
      <c r="J4645" s="35" t="n">
        <v>3</v>
      </c>
      <c r="K4645" s="2" t="inlineStr">
        <is>
          <t>marker_266_384094.png</t>
        </is>
      </c>
      <c r="L4645" s="36">
        <f>HYPERLINK("NoConsenso\" &amp; K4645, "Ver Imagen")</f>
        <v/>
      </c>
      <c r="M4645" t="inlineStr">
        <is>
          <t>Mediana</t>
        </is>
      </c>
    </row>
    <row r="4646">
      <c r="A4646" s="33" t="n">
        <v>4645</v>
      </c>
      <c r="B4646" t="inlineStr">
        <is>
          <t>A-495_1__156</t>
        </is>
      </c>
      <c r="C4646" s="1" t="n">
        <v>37.477801395</v>
      </c>
      <c r="D4646" s="1" t="n">
        <v>-7.12702963885</v>
      </c>
      <c r="E4646" s="3" t="n">
        <v>5</v>
      </c>
      <c r="F4646" s="2" t="n">
        <v>3</v>
      </c>
      <c r="G4646" s="4" t="n">
        <v>3</v>
      </c>
      <c r="H4646" s="13" t="n">
        <v>2</v>
      </c>
      <c r="I4646" s="34" t="n">
        <v>2</v>
      </c>
      <c r="J4646" s="35" t="n">
        <v>3</v>
      </c>
      <c r="K4646" s="2" t="inlineStr">
        <is>
          <t>marker_908_384148.png</t>
        </is>
      </c>
      <c r="L4646" s="36">
        <f>HYPERLINK("NoConsenso\" &amp; K4646, "Ver Imagen")</f>
        <v/>
      </c>
      <c r="M4646" t="inlineStr">
        <is>
          <t>Mediana</t>
        </is>
      </c>
    </row>
    <row r="4647">
      <c r="A4647" s="33" t="n">
        <v>4646</v>
      </c>
      <c r="B4647" t="inlineStr">
        <is>
          <t>A-495_1__155</t>
        </is>
      </c>
      <c r="C4647" s="1" t="n">
        <v>37.4776627073</v>
      </c>
      <c r="D4647" s="1" t="n">
        <v>-7.1268358664</v>
      </c>
      <c r="E4647" s="3" t="n">
        <v>5</v>
      </c>
      <c r="F4647" s="2" t="n">
        <v>3</v>
      </c>
      <c r="G4647" s="4" t="n">
        <v>4</v>
      </c>
      <c r="H4647" s="13" t="n">
        <v>3</v>
      </c>
      <c r="I4647" s="34" t="n">
        <v>3</v>
      </c>
      <c r="J4647" s="35" t="n">
        <v>3</v>
      </c>
      <c r="K4647" s="2" t="inlineStr">
        <is>
          <t>marker_224_384167.png</t>
        </is>
      </c>
      <c r="L4647" s="36">
        <f>HYPERLINK("NoConsenso\" &amp; K4647, "Ver Imagen")</f>
        <v/>
      </c>
      <c r="M4647" t="inlineStr">
        <is>
          <t>Mediana</t>
        </is>
      </c>
    </row>
    <row r="4648">
      <c r="A4648" s="33" t="n">
        <v>4647</v>
      </c>
      <c r="B4648" t="inlineStr">
        <is>
          <t>A-495_1__152</t>
        </is>
      </c>
      <c r="C4648" s="1" t="n">
        <v>37.4772613984</v>
      </c>
      <c r="D4648" s="1" t="n">
        <v>-7.12624825359</v>
      </c>
      <c r="E4648" s="3" t="n">
        <v>5</v>
      </c>
      <c r="F4648" s="2" t="n">
        <v>3</v>
      </c>
      <c r="G4648" s="4" t="n">
        <v>4</v>
      </c>
      <c r="H4648" s="13" t="n">
        <v>3</v>
      </c>
      <c r="I4648" s="34" t="n">
        <v>3</v>
      </c>
      <c r="J4648" s="35" t="n">
        <v>3</v>
      </c>
      <c r="K4648" s="2" t="inlineStr">
        <is>
          <t>marker_831_384193.png</t>
        </is>
      </c>
      <c r="L4648" s="36">
        <f>HYPERLINK("NoConsenso\" &amp; K4648, "Ver Imagen")</f>
        <v/>
      </c>
      <c r="M4648" t="inlineStr">
        <is>
          <t>Mediana</t>
        </is>
      </c>
    </row>
    <row r="4649">
      <c r="A4649" s="33" t="n">
        <v>4648</v>
      </c>
      <c r="B4649" t="inlineStr">
        <is>
          <t>A-495_1__145</t>
        </is>
      </c>
      <c r="C4649" s="1" t="n">
        <v>37.4759728739</v>
      </c>
      <c r="D4649" s="1" t="n">
        <v>-7.12580101642</v>
      </c>
      <c r="E4649" s="3" t="n">
        <v>4</v>
      </c>
      <c r="F4649" s="2" t="n">
        <v>3</v>
      </c>
      <c r="G4649" s="4" t="n">
        <v>2</v>
      </c>
      <c r="H4649" s="13" t="n">
        <v>3</v>
      </c>
      <c r="I4649" s="34" t="n">
        <v>3</v>
      </c>
      <c r="J4649" s="35" t="n">
        <v>3</v>
      </c>
      <c r="K4649" s="2" t="inlineStr">
        <is>
          <t>marker_230_384301.png</t>
        </is>
      </c>
      <c r="L4649" s="36">
        <f>HYPERLINK("NoConsenso\" &amp; K4649, "Ver Imagen")</f>
        <v/>
      </c>
      <c r="M4649" t="inlineStr">
        <is>
          <t>Mediana</t>
        </is>
      </c>
    </row>
    <row r="4650">
      <c r="A4650" s="33" t="n">
        <v>4649</v>
      </c>
      <c r="B4650" t="inlineStr">
        <is>
          <t>A-495_1__137</t>
        </is>
      </c>
      <c r="C4650" s="1" t="n">
        <v>37.4743880785</v>
      </c>
      <c r="D4650" s="1" t="n">
        <v>-7.12613772818</v>
      </c>
      <c r="E4650" s="3" t="n">
        <v>3</v>
      </c>
      <c r="F4650" s="2" t="n">
        <v>3</v>
      </c>
      <c r="G4650" s="4" t="n">
        <v>1</v>
      </c>
      <c r="H4650" s="13" t="n">
        <v>2</v>
      </c>
      <c r="I4650" s="34" t="n">
        <v>1</v>
      </c>
      <c r="J4650" s="35" t="n">
        <v>2</v>
      </c>
      <c r="K4650" s="2" t="inlineStr">
        <is>
          <t>marker_539_384403.png</t>
        </is>
      </c>
      <c r="L4650" s="36">
        <f>HYPERLINK("NoConsenso\" &amp; K4650, "Ver Imagen")</f>
        <v/>
      </c>
      <c r="M4650" t="inlineStr">
        <is>
          <t>Mediana</t>
        </is>
      </c>
    </row>
    <row r="4651">
      <c r="A4651" s="33" t="n">
        <v>4650</v>
      </c>
      <c r="B4651" t="inlineStr">
        <is>
          <t>A-495_1__82</t>
        </is>
      </c>
      <c r="C4651" s="1" t="n">
        <v>37.4641406997</v>
      </c>
      <c r="D4651" s="1" t="n">
        <v>-7.12377039836</v>
      </c>
      <c r="E4651" s="3" t="n">
        <v>1</v>
      </c>
      <c r="F4651" s="2" t="n">
        <v>3</v>
      </c>
      <c r="G4651" s="4" t="n">
        <v>3</v>
      </c>
      <c r="H4651" s="13" t="n">
        <v>1</v>
      </c>
      <c r="I4651" s="34" t="n">
        <v>1</v>
      </c>
      <c r="J4651" s="35" t="n">
        <v>1</v>
      </c>
      <c r="K4651" s="2" t="inlineStr">
        <is>
          <t>marker_542_385216.png</t>
        </is>
      </c>
      <c r="L4651" s="36">
        <f>HYPERLINK("NoConsenso\" &amp; K4651, "Ver Imagen")</f>
        <v/>
      </c>
      <c r="M4651" t="inlineStr">
        <is>
          <t>Mediana</t>
        </is>
      </c>
    </row>
    <row r="4652">
      <c r="A4652" s="33" t="n">
        <v>4651</v>
      </c>
      <c r="B4652" t="inlineStr">
        <is>
          <t>A-497__793</t>
        </is>
      </c>
      <c r="C4652" s="1" t="n">
        <v>37.191970929</v>
      </c>
      <c r="D4652" s="1" t="n">
        <v>-6.9777029873</v>
      </c>
      <c r="E4652" s="3" t="n">
        <v>5</v>
      </c>
      <c r="F4652" s="2" t="n">
        <v>3</v>
      </c>
      <c r="G4652" s="4" t="n">
        <v>3</v>
      </c>
      <c r="H4652" s="13" t="n">
        <v>2</v>
      </c>
      <c r="I4652" s="34" t="n">
        <v>3</v>
      </c>
      <c r="J4652" s="35" t="n">
        <v>3</v>
      </c>
      <c r="K4652" s="2" t="inlineStr">
        <is>
          <t>marker_414_368028.png</t>
        </is>
      </c>
      <c r="L4652" s="36">
        <f>HYPERLINK("NoConsenso\" &amp; K4652, "Ver Imagen")</f>
        <v/>
      </c>
      <c r="M4652" t="inlineStr">
        <is>
          <t>Mediana</t>
        </is>
      </c>
    </row>
    <row r="4653">
      <c r="A4653" s="33" t="n">
        <v>4652</v>
      </c>
      <c r="B4653" t="inlineStr">
        <is>
          <t>A-497__755</t>
        </is>
      </c>
      <c r="C4653" s="1" t="n">
        <v>37.1863844679</v>
      </c>
      <c r="D4653" s="1" t="n">
        <v>-6.9797013794</v>
      </c>
      <c r="E4653" s="3" t="n">
        <v>3</v>
      </c>
      <c r="F4653" s="2" t="n">
        <v>4</v>
      </c>
      <c r="G4653" s="4" t="n">
        <v>5</v>
      </c>
      <c r="H4653" s="13" t="n">
        <v>3</v>
      </c>
      <c r="I4653" s="34" t="n">
        <v>4</v>
      </c>
      <c r="J4653" s="35" t="n">
        <v>4</v>
      </c>
      <c r="K4653" s="2" t="inlineStr">
        <is>
          <t>marker_531_368623.png</t>
        </is>
      </c>
      <c r="L4653" s="36">
        <f>HYPERLINK("NoConsenso\" &amp; K4653, "Ver Imagen")</f>
        <v/>
      </c>
      <c r="M4653" t="inlineStr">
        <is>
          <t>Mediana</t>
        </is>
      </c>
    </row>
    <row r="4654">
      <c r="A4654" s="33" t="n">
        <v>4653</v>
      </c>
      <c r="B4654" t="inlineStr">
        <is>
          <t>A-497_2C__6</t>
        </is>
      </c>
      <c r="C4654" s="1" t="n">
        <v>37.2673468365</v>
      </c>
      <c r="D4654" s="1" t="n">
        <v>-6.95848794653</v>
      </c>
      <c r="E4654" s="3" t="n">
        <v>5</v>
      </c>
      <c r="F4654" s="2" t="n">
        <v>3</v>
      </c>
      <c r="G4654" s="4" t="n">
        <v>3</v>
      </c>
      <c r="H4654" s="13" t="n">
        <v>2</v>
      </c>
      <c r="I4654" s="34" t="n">
        <v>2</v>
      </c>
      <c r="J4654" s="37" t="n">
        <v>2</v>
      </c>
      <c r="K4654" s="2" t="inlineStr">
        <is>
          <t>marker_751_653780.png</t>
        </is>
      </c>
      <c r="L4654" s="36">
        <f>HYPERLINK("NoConsenso\" &amp; K4654, "Ver Imagen")</f>
        <v/>
      </c>
      <c r="M4654" s="37" t="inlineStr">
        <is>
          <t>Modificada</t>
        </is>
      </c>
    </row>
    <row r="4655">
      <c r="A4655" s="33" t="n">
        <v>4654</v>
      </c>
      <c r="B4655" t="inlineStr">
        <is>
          <t>A-497_2C__28</t>
        </is>
      </c>
      <c r="C4655" s="1" t="n">
        <v>37.2676474541</v>
      </c>
      <c r="D4655" s="1" t="n">
        <v>-6.96404812292</v>
      </c>
      <c r="E4655" s="3" t="n">
        <v>5</v>
      </c>
      <c r="F4655" s="2" t="n">
        <v>3</v>
      </c>
      <c r="G4655" s="4" t="n">
        <v>3</v>
      </c>
      <c r="H4655" s="13" t="n">
        <v>2</v>
      </c>
      <c r="I4655" s="34" t="n">
        <v>2</v>
      </c>
      <c r="J4655" s="35" t="n">
        <v>3</v>
      </c>
      <c r="K4655" s="2" t="inlineStr">
        <is>
          <t>marker_645_654469.png</t>
        </is>
      </c>
      <c r="L4655" s="36">
        <f>HYPERLINK("NoConsenso\" &amp; K4655, "Ver Imagen")</f>
        <v/>
      </c>
      <c r="M4655" t="inlineStr">
        <is>
          <t>Mediana</t>
        </is>
      </c>
    </row>
    <row r="4656">
      <c r="A4656" s="33" t="n">
        <v>4655</v>
      </c>
      <c r="B4656" t="inlineStr">
        <is>
          <t>A-497_2C__29</t>
        </is>
      </c>
      <c r="C4656" s="1" t="n">
        <v>37.2676535682</v>
      </c>
      <c r="D4656" s="1" t="n">
        <v>-6.96432324213</v>
      </c>
      <c r="E4656" s="3" t="n">
        <v>5</v>
      </c>
      <c r="F4656" s="2" t="n">
        <v>3</v>
      </c>
      <c r="G4656" s="4" t="n">
        <v>3</v>
      </c>
      <c r="H4656" s="13" t="n">
        <v>3</v>
      </c>
      <c r="I4656" s="34" t="n">
        <v>3</v>
      </c>
      <c r="J4656" s="35" t="n">
        <v>3</v>
      </c>
      <c r="K4656" s="2" t="inlineStr">
        <is>
          <t>marker_286_654479.png</t>
        </is>
      </c>
      <c r="L4656" s="36">
        <f>HYPERLINK("NoConsenso\" &amp; K4656, "Ver Imagen")</f>
        <v/>
      </c>
      <c r="M4656" t="inlineStr">
        <is>
          <t>Mediana</t>
        </is>
      </c>
    </row>
    <row r="4657">
      <c r="A4657" s="33" t="n">
        <v>4656</v>
      </c>
      <c r="B4657" t="inlineStr">
        <is>
          <t>A-497_2C__30</t>
        </is>
      </c>
      <c r="C4657" s="1" t="n">
        <v>37.2676600965</v>
      </c>
      <c r="D4657" s="1" t="n">
        <v>-6.96459546002</v>
      </c>
      <c r="E4657" s="3" t="n">
        <v>5</v>
      </c>
      <c r="F4657" s="2" t="n">
        <v>3</v>
      </c>
      <c r="G4657" s="4" t="n">
        <v>3</v>
      </c>
      <c r="H4657" s="13" t="n">
        <v>3</v>
      </c>
      <c r="I4657" s="34" t="n">
        <v>3</v>
      </c>
      <c r="J4657" s="35" t="n">
        <v>3</v>
      </c>
      <c r="K4657" s="2" t="inlineStr">
        <is>
          <t>marker_725_654488.png</t>
        </is>
      </c>
      <c r="L4657" s="36">
        <f>HYPERLINK("NoConsenso\" &amp; K4657, "Ver Imagen")</f>
        <v/>
      </c>
      <c r="M4657" t="inlineStr">
        <is>
          <t>Mediana</t>
        </is>
      </c>
    </row>
    <row r="4658">
      <c r="A4658" s="33" t="n">
        <v>4657</v>
      </c>
      <c r="B4658" t="inlineStr">
        <is>
          <t>A-497_2C__31</t>
        </is>
      </c>
      <c r="C4658" s="1" t="n">
        <v>37.2676671182</v>
      </c>
      <c r="D4658" s="1" t="n">
        <v>-6.96487962762</v>
      </c>
      <c r="E4658" s="3" t="n">
        <v>5</v>
      </c>
      <c r="F4658" s="2" t="n">
        <v>3</v>
      </c>
      <c r="G4658" s="4" t="n">
        <v>3</v>
      </c>
      <c r="H4658" s="13" t="n">
        <v>3</v>
      </c>
      <c r="I4658" s="34" t="n">
        <v>3</v>
      </c>
      <c r="J4658" s="35" t="n">
        <v>3</v>
      </c>
      <c r="K4658" s="2" t="inlineStr">
        <is>
          <t>marker_738_654499.png</t>
        </is>
      </c>
      <c r="L4658" s="36">
        <f>HYPERLINK("NoConsenso\" &amp; K4658, "Ver Imagen")</f>
        <v/>
      </c>
      <c r="M4658" t="inlineStr">
        <is>
          <t>Mediana</t>
        </is>
      </c>
    </row>
    <row r="4659">
      <c r="A4659" s="33" t="n">
        <v>4658</v>
      </c>
      <c r="B4659" t="inlineStr">
        <is>
          <t>A-499__129</t>
        </is>
      </c>
      <c r="C4659" s="1" t="n">
        <v>37.5044605798</v>
      </c>
      <c r="D4659" s="1" t="n">
        <v>-7.2655789487</v>
      </c>
      <c r="E4659" s="3" t="n">
        <v>2</v>
      </c>
      <c r="F4659" s="2" t="n">
        <v>1</v>
      </c>
      <c r="G4659" s="4" t="n">
        <v>3</v>
      </c>
      <c r="H4659" s="13" t="n">
        <v>1</v>
      </c>
      <c r="I4659" s="34" t="n">
        <v>1</v>
      </c>
      <c r="J4659" s="35" t="n">
        <v>1</v>
      </c>
      <c r="K4659" s="2" t="inlineStr">
        <is>
          <t>marker_376_793769.png</t>
        </is>
      </c>
      <c r="L4659" s="36">
        <f>HYPERLINK("NoConsenso\" &amp; K4659, "Ver Imagen")</f>
        <v/>
      </c>
      <c r="M4659" t="inlineStr">
        <is>
          <t>Mediana</t>
        </is>
      </c>
    </row>
    <row r="4660">
      <c r="A4660" s="33" t="n">
        <v>4659</v>
      </c>
      <c r="B4660" t="inlineStr">
        <is>
          <t>A-499__139</t>
        </is>
      </c>
      <c r="C4660" s="1" t="n">
        <v>37.5064622637</v>
      </c>
      <c r="D4660" s="1" t="n">
        <v>-7.26535121952</v>
      </c>
      <c r="E4660" s="3" t="n">
        <v>2</v>
      </c>
      <c r="F4660" s="2" t="n">
        <v>1</v>
      </c>
      <c r="G4660" s="4" t="n">
        <v>3</v>
      </c>
      <c r="H4660" s="13" t="n">
        <v>1</v>
      </c>
      <c r="I4660" s="34" t="n">
        <v>1</v>
      </c>
      <c r="J4660" s="35" t="n">
        <v>1</v>
      </c>
      <c r="K4660" s="2" t="inlineStr">
        <is>
          <t>marker_516_794054.png</t>
        </is>
      </c>
      <c r="L4660" s="36">
        <f>HYPERLINK("NoConsenso\" &amp; K4660, "Ver Imagen")</f>
        <v/>
      </c>
      <c r="M4660" t="inlineStr">
        <is>
          <t>Mediana</t>
        </is>
      </c>
    </row>
    <row r="4661">
      <c r="A4661" s="33" t="n">
        <v>4660</v>
      </c>
      <c r="B4661" t="inlineStr">
        <is>
          <t>A-499__148</t>
        </is>
      </c>
      <c r="C4661" s="1" t="n">
        <v>37.5080514294</v>
      </c>
      <c r="D4661" s="1" t="n">
        <v>-7.26640151679</v>
      </c>
      <c r="E4661" s="3" t="n">
        <v>2</v>
      </c>
      <c r="F4661" s="2" t="n">
        <v>1</v>
      </c>
      <c r="G4661" s="4" t="n">
        <v>3</v>
      </c>
      <c r="H4661" s="13" t="n">
        <v>1</v>
      </c>
      <c r="I4661" s="34" t="n">
        <v>1</v>
      </c>
      <c r="J4661" s="35" t="n">
        <v>1</v>
      </c>
      <c r="K4661" s="2" t="inlineStr">
        <is>
          <t>marker_814_794252.png</t>
        </is>
      </c>
      <c r="L4661" s="36">
        <f>HYPERLINK("NoConsenso\" &amp; K4661, "Ver Imagen")</f>
        <v/>
      </c>
      <c r="M4661" t="inlineStr">
        <is>
          <t>Mediana</t>
        </is>
      </c>
    </row>
    <row r="4662">
      <c r="A4662" s="33" t="n">
        <v>4661</v>
      </c>
      <c r="B4662" t="inlineStr">
        <is>
          <t>A-499__149</t>
        </is>
      </c>
      <c r="C4662" s="1" t="n">
        <v>37.508215288</v>
      </c>
      <c r="D4662" s="1" t="n">
        <v>-7.26653472737</v>
      </c>
      <c r="E4662" s="3" t="n">
        <v>2</v>
      </c>
      <c r="F4662" s="2" t="n">
        <v>1</v>
      </c>
      <c r="G4662" s="4" t="n">
        <v>3</v>
      </c>
      <c r="H4662" s="13" t="n">
        <v>1</v>
      </c>
      <c r="I4662" s="34" t="n">
        <v>1</v>
      </c>
      <c r="J4662" s="35" t="n">
        <v>1</v>
      </c>
      <c r="K4662" s="2" t="inlineStr">
        <is>
          <t>marker_973_794289.png</t>
        </is>
      </c>
      <c r="L4662" s="36">
        <f>HYPERLINK("NoConsenso\" &amp; K4662, "Ver Imagen")</f>
        <v/>
      </c>
      <c r="M4662" t="inlineStr">
        <is>
          <t>Mediana</t>
        </is>
      </c>
    </row>
    <row r="4663">
      <c r="A4663" s="33" t="n">
        <v>4662</v>
      </c>
      <c r="B4663" t="inlineStr">
        <is>
          <t>A-499__197</t>
        </is>
      </c>
      <c r="C4663" s="1" t="n">
        <v>37.5167581565</v>
      </c>
      <c r="D4663" s="1" t="n">
        <v>-7.26633683851</v>
      </c>
      <c r="E4663" s="3" t="n">
        <v>1</v>
      </c>
      <c r="F4663" s="2" t="n">
        <v>1</v>
      </c>
      <c r="G4663" s="4" t="n">
        <v>3</v>
      </c>
      <c r="H4663" s="13" t="n">
        <v>1</v>
      </c>
      <c r="I4663" s="34" t="n">
        <v>1</v>
      </c>
      <c r="J4663" s="35" t="n">
        <v>1</v>
      </c>
      <c r="K4663" s="2" t="inlineStr">
        <is>
          <t>marker_981_795961.png</t>
        </is>
      </c>
      <c r="L4663" s="36">
        <f>HYPERLINK("NoConsenso\" &amp; K4663, "Ver Imagen")</f>
        <v/>
      </c>
      <c r="M4663" t="inlineStr">
        <is>
          <t>Mediana</t>
        </is>
      </c>
    </row>
    <row r="4664">
      <c r="A4664" s="33" t="n">
        <v>4663</v>
      </c>
      <c r="B4664" t="inlineStr">
        <is>
          <t>A-499__225</t>
        </is>
      </c>
      <c r="C4664" s="1" t="n">
        <v>37.5202578848</v>
      </c>
      <c r="D4664" s="1" t="n">
        <v>-7.26101411581</v>
      </c>
      <c r="E4664" s="3" t="n">
        <v>2</v>
      </c>
      <c r="F4664" s="2" t="n">
        <v>1</v>
      </c>
      <c r="G4664" s="4" t="n">
        <v>3</v>
      </c>
      <c r="H4664" s="13" t="n">
        <v>1</v>
      </c>
      <c r="I4664" s="34" t="n">
        <v>1</v>
      </c>
      <c r="J4664" s="35" t="n">
        <v>1</v>
      </c>
      <c r="K4664" s="2" t="inlineStr">
        <is>
          <t>marker_760_796545.png</t>
        </is>
      </c>
      <c r="L4664" s="36">
        <f>HYPERLINK("NoConsenso\" &amp; K4664, "Ver Imagen")</f>
        <v/>
      </c>
      <c r="M4664" t="inlineStr">
        <is>
          <t>Mediana</t>
        </is>
      </c>
    </row>
    <row r="4665">
      <c r="A4665" s="33" t="n">
        <v>4664</v>
      </c>
      <c r="B4665" t="inlineStr">
        <is>
          <t>A-497_2C__35</t>
        </is>
      </c>
      <c r="C4665" s="1" t="n">
        <v>37.2676954738</v>
      </c>
      <c r="D4665" s="1" t="n">
        <v>-6.96582409099</v>
      </c>
      <c r="E4665" s="3" t="n">
        <v>5</v>
      </c>
      <c r="F4665" s="2" t="n">
        <v>3</v>
      </c>
      <c r="G4665" s="4" t="n">
        <v>3</v>
      </c>
      <c r="H4665" s="13" t="n">
        <v>3</v>
      </c>
      <c r="I4665" s="34" t="n">
        <v>3</v>
      </c>
      <c r="J4665" s="35" t="n">
        <v>3</v>
      </c>
      <c r="K4665" s="2" t="inlineStr">
        <is>
          <t>marker_537_654534.png</t>
        </is>
      </c>
      <c r="L4665" s="36">
        <f>HYPERLINK("NoConsenso\" &amp; K4665, "Ver Imagen")</f>
        <v/>
      </c>
      <c r="M4665" t="inlineStr">
        <is>
          <t>Mediana</t>
        </is>
      </c>
    </row>
    <row r="4666">
      <c r="A4666" s="33" t="n">
        <v>4665</v>
      </c>
      <c r="B4666" t="inlineStr">
        <is>
          <t>A-497_2C__38</t>
        </is>
      </c>
      <c r="C4666" s="1" t="n">
        <v>37.2677313869</v>
      </c>
      <c r="D4666" s="1" t="n">
        <v>-6.96661008035</v>
      </c>
      <c r="E4666" s="3" t="n">
        <v>5</v>
      </c>
      <c r="F4666" s="2" t="n">
        <v>3</v>
      </c>
      <c r="G4666" s="4" t="n">
        <v>3</v>
      </c>
      <c r="H4666" s="13" t="n">
        <v>3</v>
      </c>
      <c r="I4666" s="34" t="n">
        <v>4</v>
      </c>
      <c r="J4666" s="35" t="n">
        <v>3</v>
      </c>
      <c r="K4666" s="2" t="inlineStr">
        <is>
          <t>marker_211_654629.png</t>
        </is>
      </c>
      <c r="L4666" s="36">
        <f>HYPERLINK("NoConsenso\" &amp; K4666, "Ver Imagen")</f>
        <v/>
      </c>
      <c r="M4666" t="inlineStr">
        <is>
          <t>Mediana</t>
        </is>
      </c>
    </row>
    <row r="4667">
      <c r="A4667" s="33" t="n">
        <v>4666</v>
      </c>
      <c r="B4667" t="inlineStr">
        <is>
          <t>A-497_2C__39</t>
        </is>
      </c>
      <c r="C4667" s="1" t="n">
        <v>37.2677456084</v>
      </c>
      <c r="D4667" s="1" t="n">
        <v>-6.96687353913</v>
      </c>
      <c r="E4667" s="3" t="n">
        <v>5</v>
      </c>
      <c r="F4667" s="2" t="n">
        <v>3</v>
      </c>
      <c r="G4667" s="4" t="n">
        <v>3</v>
      </c>
      <c r="H4667" s="13" t="n">
        <v>3</v>
      </c>
      <c r="I4667" s="34" t="n">
        <v>4</v>
      </c>
      <c r="J4667" s="35" t="n">
        <v>3</v>
      </c>
      <c r="K4667" s="2" t="inlineStr">
        <is>
          <t>marker_225_654638.png</t>
        </is>
      </c>
      <c r="L4667" s="36">
        <f>HYPERLINK("NoConsenso\" &amp; K4667, "Ver Imagen")</f>
        <v/>
      </c>
      <c r="M4667" t="inlineStr">
        <is>
          <t>Mediana</t>
        </is>
      </c>
    </row>
    <row r="4668">
      <c r="A4668" s="33" t="n">
        <v>4667</v>
      </c>
      <c r="B4668" t="inlineStr">
        <is>
          <t>A-497_2C__43</t>
        </is>
      </c>
      <c r="C4668" s="1" t="n">
        <v>37.2678137294</v>
      </c>
      <c r="D4668" s="1" t="n">
        <v>-6.96787423494</v>
      </c>
      <c r="E4668" s="3" t="n">
        <v>5</v>
      </c>
      <c r="F4668" s="2" t="n">
        <v>3</v>
      </c>
      <c r="G4668" s="4" t="n">
        <v>3</v>
      </c>
      <c r="H4668" s="13" t="n">
        <v>3</v>
      </c>
      <c r="I4668" s="34" t="n">
        <v>3</v>
      </c>
      <c r="J4668" s="35" t="n">
        <v>3</v>
      </c>
      <c r="K4668" s="2" t="inlineStr">
        <is>
          <t>marker_597_654674.png</t>
        </is>
      </c>
      <c r="L4668" s="36">
        <f>HYPERLINK("NoConsenso\" &amp; K4668, "Ver Imagen")</f>
        <v/>
      </c>
      <c r="M4668" t="inlineStr">
        <is>
          <t>Mediana</t>
        </is>
      </c>
    </row>
    <row r="4669">
      <c r="A4669" s="33" t="n">
        <v>4668</v>
      </c>
      <c r="B4669" t="inlineStr">
        <is>
          <t>A-499__236</t>
        </is>
      </c>
      <c r="C4669" s="1" t="n">
        <v>37.5221139959</v>
      </c>
      <c r="D4669" s="1" t="n">
        <v>-7.25950412397</v>
      </c>
      <c r="E4669" s="3" t="n">
        <v>2</v>
      </c>
      <c r="F4669" s="2" t="n">
        <v>1</v>
      </c>
      <c r="G4669" s="4" t="n">
        <v>3</v>
      </c>
      <c r="H4669" s="13" t="n">
        <v>1</v>
      </c>
      <c r="I4669" s="34" t="n">
        <v>1</v>
      </c>
      <c r="J4669" s="35" t="n">
        <v>1</v>
      </c>
      <c r="K4669" s="2" t="inlineStr">
        <is>
          <t>marker_538_796726.png</t>
        </is>
      </c>
      <c r="L4669" s="36">
        <f>HYPERLINK("NoConsenso\" &amp; K4669, "Ver Imagen")</f>
        <v/>
      </c>
      <c r="M4669" t="inlineStr">
        <is>
          <t>Mediana</t>
        </is>
      </c>
    </row>
    <row r="4670">
      <c r="A4670" s="33" t="n">
        <v>4669</v>
      </c>
      <c r="B4670" t="inlineStr">
        <is>
          <t>A-497_2C__63</t>
        </is>
      </c>
      <c r="C4670" s="1" t="n">
        <v>37.268463123</v>
      </c>
      <c r="D4670" s="1" t="n">
        <v>-6.97288276241</v>
      </c>
      <c r="E4670" s="3" t="n">
        <v>5</v>
      </c>
      <c r="F4670" s="2" t="n">
        <v>3</v>
      </c>
      <c r="G4670" s="4" t="n">
        <v>3</v>
      </c>
      <c r="H4670" s="13" t="n">
        <v>3</v>
      </c>
      <c r="I4670" s="34" t="n">
        <v>3</v>
      </c>
      <c r="J4670" s="35" t="n">
        <v>3</v>
      </c>
      <c r="K4670" s="2" t="inlineStr">
        <is>
          <t>marker_830_654901.png</t>
        </is>
      </c>
      <c r="L4670" s="36">
        <f>HYPERLINK("NoConsenso\" &amp; K4670, "Ver Imagen")</f>
        <v/>
      </c>
      <c r="M4670" t="inlineStr">
        <is>
          <t>Mediana</t>
        </is>
      </c>
    </row>
    <row r="4671">
      <c r="A4671" s="33" t="n">
        <v>4670</v>
      </c>
      <c r="B4671" t="inlineStr">
        <is>
          <t>A-497_2C__69</t>
        </is>
      </c>
      <c r="C4671" s="1" t="n">
        <v>37.2687520588</v>
      </c>
      <c r="D4671" s="1" t="n">
        <v>-6.97432757649</v>
      </c>
      <c r="E4671" s="3" t="n">
        <v>4</v>
      </c>
      <c r="F4671" s="2" t="n">
        <v>3</v>
      </c>
      <c r="G4671" s="4" t="n">
        <v>2</v>
      </c>
      <c r="H4671" s="13" t="n">
        <v>2</v>
      </c>
      <c r="I4671" s="34" t="n">
        <v>2</v>
      </c>
      <c r="J4671" s="35" t="n">
        <v>2</v>
      </c>
      <c r="K4671" s="2" t="inlineStr">
        <is>
          <t>marker_238_654957.png</t>
        </is>
      </c>
      <c r="L4671" s="36">
        <f>HYPERLINK("NoConsenso\" &amp; K4671, "Ver Imagen")</f>
        <v/>
      </c>
      <c r="M4671" t="inlineStr">
        <is>
          <t>Mediana</t>
        </is>
      </c>
    </row>
    <row r="4672">
      <c r="A4672" s="33" t="n">
        <v>4671</v>
      </c>
      <c r="B4672" t="inlineStr">
        <is>
          <t>A-497_2C__94</t>
        </is>
      </c>
      <c r="C4672" s="1" t="n">
        <v>37.2703754602</v>
      </c>
      <c r="D4672" s="1" t="n">
        <v>-6.9803482128</v>
      </c>
      <c r="E4672" s="3" t="n">
        <v>5</v>
      </c>
      <c r="F4672" s="2" t="n">
        <v>3</v>
      </c>
      <c r="G4672" s="4" t="n">
        <v>3</v>
      </c>
      <c r="H4672" s="13" t="n">
        <v>3</v>
      </c>
      <c r="I4672" s="34" t="n">
        <v>3</v>
      </c>
      <c r="J4672" s="35" t="n">
        <v>3</v>
      </c>
      <c r="K4672" s="2" t="inlineStr">
        <is>
          <t>marker_281_655322.png</t>
        </is>
      </c>
      <c r="L4672" s="36">
        <f>HYPERLINK("NoConsenso\" &amp; K4672, "Ver Imagen")</f>
        <v/>
      </c>
      <c r="M4672" t="inlineStr">
        <is>
          <t>Mediana</t>
        </is>
      </c>
    </row>
    <row r="4673">
      <c r="A4673" s="33" t="n">
        <v>4672</v>
      </c>
      <c r="B4673" t="inlineStr">
        <is>
          <t>A-497_2C__108</t>
        </is>
      </c>
      <c r="C4673" s="1" t="n">
        <v>37.2713308663</v>
      </c>
      <c r="D4673" s="1" t="n">
        <v>-6.98366587063</v>
      </c>
      <c r="E4673" s="3" t="n">
        <v>5</v>
      </c>
      <c r="F4673" s="2" t="n">
        <v>4</v>
      </c>
      <c r="G4673" s="4" t="n">
        <v>3</v>
      </c>
      <c r="H4673" s="13" t="n">
        <v>4</v>
      </c>
      <c r="I4673" s="34" t="n">
        <v>4</v>
      </c>
      <c r="J4673" s="35" t="n">
        <v>4</v>
      </c>
      <c r="K4673" s="2" t="inlineStr">
        <is>
          <t>marker_596_655517.png</t>
        </is>
      </c>
      <c r="L4673" s="36">
        <f>HYPERLINK("NoConsenso\" &amp; K4673, "Ver Imagen")</f>
        <v/>
      </c>
      <c r="M4673" t="inlineStr">
        <is>
          <t>Mediana</t>
        </is>
      </c>
    </row>
    <row r="4674">
      <c r="A4674" s="33" t="n">
        <v>4673</v>
      </c>
      <c r="B4674" t="inlineStr">
        <is>
          <t>A-497__750</t>
        </is>
      </c>
      <c r="C4674" s="1" t="n">
        <v>37.1872379232</v>
      </c>
      <c r="D4674" s="1" t="n">
        <v>-6.97907327262</v>
      </c>
      <c r="E4674" s="3" t="n">
        <v>5</v>
      </c>
      <c r="F4674" s="2" t="n">
        <v>4</v>
      </c>
      <c r="G4674" s="4" t="n">
        <v>3</v>
      </c>
      <c r="H4674" s="13" t="n">
        <v>4</v>
      </c>
      <c r="I4674" s="34" t="n">
        <v>3</v>
      </c>
      <c r="J4674" s="35" t="n">
        <v>4</v>
      </c>
      <c r="K4674" s="2" t="inlineStr">
        <is>
          <t>marker_739_368689.png</t>
        </is>
      </c>
      <c r="L4674" s="36">
        <f>HYPERLINK("NoConsenso\" &amp; K4674, "Ver Imagen")</f>
        <v/>
      </c>
      <c r="M4674" t="inlineStr">
        <is>
          <t>Mediana</t>
        </is>
      </c>
    </row>
    <row r="4675">
      <c r="A4675" s="33" t="n">
        <v>4674</v>
      </c>
      <c r="B4675" t="inlineStr">
        <is>
          <t>A-497_2C__147</t>
        </is>
      </c>
      <c r="C4675" s="1" t="n">
        <v>37.2679976301</v>
      </c>
      <c r="D4675" s="1" t="n">
        <v>-6.99105583283</v>
      </c>
      <c r="E4675" s="3" t="n">
        <v>4</v>
      </c>
      <c r="F4675" s="2" t="n">
        <v>2</v>
      </c>
      <c r="G4675" s="4" t="n">
        <v>3</v>
      </c>
      <c r="H4675" s="16" t="n">
        <v>3</v>
      </c>
      <c r="I4675" s="40" t="n">
        <v>1</v>
      </c>
      <c r="J4675" s="35" t="n">
        <v>3</v>
      </c>
      <c r="K4675" s="2" t="inlineStr">
        <is>
          <t>marker_978_655943.png</t>
        </is>
      </c>
      <c r="L4675" s="36">
        <f>HYPERLINK("NoConsenso\" &amp; K4675, "Ver Imagen")</f>
        <v/>
      </c>
      <c r="M4675" t="inlineStr">
        <is>
          <t>Mediana</t>
        </is>
      </c>
    </row>
    <row r="4676">
      <c r="A4676" s="33" t="n">
        <v>4675</v>
      </c>
      <c r="B4676" t="inlineStr">
        <is>
          <t>A-497_2C__151</t>
        </is>
      </c>
      <c r="C4676" s="1" t="n">
        <v>37.2673132472</v>
      </c>
      <c r="D4676" s="1" t="n">
        <v>-6.99159571326</v>
      </c>
      <c r="E4676" s="3" t="n">
        <v>5</v>
      </c>
      <c r="F4676" s="2" t="n">
        <v>3</v>
      </c>
      <c r="G4676" s="4" t="n">
        <v>3</v>
      </c>
      <c r="H4676" s="13" t="n">
        <v>3</v>
      </c>
      <c r="I4676" s="34" t="n">
        <v>2</v>
      </c>
      <c r="J4676" s="35" t="n">
        <v>3</v>
      </c>
      <c r="K4676" s="2" t="inlineStr">
        <is>
          <t>marker_924_656012.png</t>
        </is>
      </c>
      <c r="L4676" s="36">
        <f>HYPERLINK("NoConsenso\" &amp; K4676, "Ver Imagen")</f>
        <v/>
      </c>
      <c r="M4676" t="inlineStr">
        <is>
          <t>Mediana</t>
        </is>
      </c>
    </row>
    <row r="4677">
      <c r="A4677" s="33" t="n">
        <v>4676</v>
      </c>
      <c r="B4677" t="inlineStr">
        <is>
          <t>A-497_2C__162</t>
        </is>
      </c>
      <c r="C4677" s="1" t="n">
        <v>37.2659811081</v>
      </c>
      <c r="D4677" s="1" t="n">
        <v>-6.99375332367</v>
      </c>
      <c r="E4677" s="3" t="n">
        <v>2</v>
      </c>
      <c r="F4677" s="2" t="n">
        <v>4</v>
      </c>
      <c r="G4677" s="4" t="n">
        <v>3</v>
      </c>
      <c r="H4677" s="13" t="n">
        <v>4</v>
      </c>
      <c r="I4677" s="34" t="n">
        <v>3</v>
      </c>
      <c r="J4677" s="35" t="n">
        <v>3</v>
      </c>
      <c r="K4677" s="2" t="inlineStr">
        <is>
          <t>marker_220_656119.png</t>
        </is>
      </c>
      <c r="L4677" s="36">
        <f>HYPERLINK("NoConsenso\" &amp; K4677, "Ver Imagen")</f>
        <v/>
      </c>
      <c r="M4677" t="inlineStr">
        <is>
          <t>Mediana</t>
        </is>
      </c>
    </row>
    <row r="4678">
      <c r="A4678" s="33" t="n">
        <v>4677</v>
      </c>
      <c r="B4678" t="inlineStr">
        <is>
          <t>A-497_2C__166</t>
        </is>
      </c>
      <c r="C4678" s="1" t="n">
        <v>37.2657455874</v>
      </c>
      <c r="D4678" s="1" t="n">
        <v>-6.99470961753</v>
      </c>
      <c r="E4678" s="3" t="n">
        <v>2</v>
      </c>
      <c r="F4678" s="2" t="n">
        <v>4</v>
      </c>
      <c r="G4678" s="4" t="n">
        <v>3</v>
      </c>
      <c r="H4678" s="13" t="n">
        <v>3</v>
      </c>
      <c r="I4678" s="34" t="n">
        <v>2</v>
      </c>
      <c r="J4678" s="35" t="n">
        <v>3</v>
      </c>
      <c r="K4678" s="2" t="inlineStr">
        <is>
          <t>marker_850_656158.png</t>
        </is>
      </c>
      <c r="L4678" s="36">
        <f>HYPERLINK("NoConsenso\" &amp; K4678, "Ver Imagen")</f>
        <v/>
      </c>
      <c r="M4678" t="inlineStr">
        <is>
          <t>Mediana</t>
        </is>
      </c>
    </row>
    <row r="4679">
      <c r="A4679" s="33" t="n">
        <v>4678</v>
      </c>
      <c r="B4679" t="inlineStr">
        <is>
          <t>A-497__704</t>
        </is>
      </c>
      <c r="C4679" s="1" t="n">
        <v>37.1960571441</v>
      </c>
      <c r="D4679" s="1" t="n">
        <v>-6.97845326821</v>
      </c>
      <c r="E4679" s="3" t="n">
        <v>2</v>
      </c>
      <c r="F4679" s="2" t="n">
        <v>4</v>
      </c>
      <c r="G4679" s="4" t="n">
        <v>4</v>
      </c>
      <c r="H4679" s="13" t="n">
        <v>3</v>
      </c>
      <c r="I4679" s="34" t="n">
        <v>3</v>
      </c>
      <c r="J4679" s="35" t="n">
        <v>3</v>
      </c>
      <c r="K4679" s="2" t="inlineStr">
        <is>
          <t>marker_378_370341.png</t>
        </is>
      </c>
      <c r="L4679" s="36">
        <f>HYPERLINK("NoConsenso\" &amp; K4679, "Ver Imagen")</f>
        <v/>
      </c>
      <c r="M4679" t="inlineStr">
        <is>
          <t>Mediana</t>
        </is>
      </c>
    </row>
    <row r="4680">
      <c r="A4680" s="33" t="n">
        <v>4679</v>
      </c>
      <c r="B4680" t="inlineStr">
        <is>
          <t>A-497__703</t>
        </is>
      </c>
      <c r="C4680" s="1" t="n">
        <v>37.1962644039</v>
      </c>
      <c r="D4680" s="1" t="n">
        <v>-6.97859846361</v>
      </c>
      <c r="E4680" s="3" t="n">
        <v>2</v>
      </c>
      <c r="F4680" s="2" t="n">
        <v>4</v>
      </c>
      <c r="G4680" s="4" t="n">
        <v>4</v>
      </c>
      <c r="H4680" s="13" t="n">
        <v>3</v>
      </c>
      <c r="I4680" s="34" t="n">
        <v>3</v>
      </c>
      <c r="J4680" s="35" t="n">
        <v>3</v>
      </c>
      <c r="K4680" s="2" t="inlineStr">
        <is>
          <t>marker_305_370350.png</t>
        </is>
      </c>
      <c r="L4680" s="36">
        <f>HYPERLINK("NoConsenso\" &amp; K4680, "Ver Imagen")</f>
        <v/>
      </c>
      <c r="M4680" t="inlineStr">
        <is>
          <t>Mediana</t>
        </is>
      </c>
    </row>
    <row r="4681">
      <c r="A4681" s="33" t="n">
        <v>4680</v>
      </c>
      <c r="B4681" t="inlineStr">
        <is>
          <t>A-497__681</t>
        </is>
      </c>
      <c r="C4681" s="1" t="n">
        <v>37.1991148925</v>
      </c>
      <c r="D4681" s="1" t="n">
        <v>-6.98271496625</v>
      </c>
      <c r="E4681" s="3" t="n">
        <v>5</v>
      </c>
      <c r="F4681" s="2" t="n">
        <v>4</v>
      </c>
      <c r="G4681" s="4" t="n">
        <v>3</v>
      </c>
      <c r="H4681" s="13" t="n">
        <v>3</v>
      </c>
      <c r="I4681" s="34" t="n">
        <v>3</v>
      </c>
      <c r="J4681" s="35" t="n">
        <v>3</v>
      </c>
      <c r="K4681" s="2" t="inlineStr">
        <is>
          <t>marker_334_370566.png</t>
        </is>
      </c>
      <c r="L4681" s="36">
        <f>HYPERLINK("NoConsenso\" &amp; K4681, "Ver Imagen")</f>
        <v/>
      </c>
      <c r="M4681" t="inlineStr">
        <is>
          <t>Mediana</t>
        </is>
      </c>
    </row>
    <row r="4682">
      <c r="A4682" s="33" t="n">
        <v>4681</v>
      </c>
      <c r="B4682" t="inlineStr">
        <is>
          <t>A-497__674</t>
        </is>
      </c>
      <c r="C4682" s="1" t="n">
        <v>37.1996242826</v>
      </c>
      <c r="D4682" s="1" t="n">
        <v>-6.98437926403</v>
      </c>
      <c r="E4682" s="3" t="n">
        <v>2</v>
      </c>
      <c r="F4682" s="2" t="n">
        <v>3</v>
      </c>
      <c r="G4682" s="4" t="n">
        <v>4</v>
      </c>
      <c r="H4682" s="13" t="n">
        <v>2</v>
      </c>
      <c r="I4682" s="34" t="n">
        <v>1</v>
      </c>
      <c r="J4682" s="35" t="n">
        <v>2</v>
      </c>
      <c r="K4682" s="2" t="inlineStr">
        <is>
          <t>marker_449_370740.png</t>
        </is>
      </c>
      <c r="L4682" s="36">
        <f>HYPERLINK("NoConsenso\" &amp; K4682, "Ver Imagen")</f>
        <v/>
      </c>
      <c r="M4682" t="inlineStr">
        <is>
          <t>Mediana</t>
        </is>
      </c>
    </row>
    <row r="4683">
      <c r="A4683" s="33" t="n">
        <v>4682</v>
      </c>
      <c r="B4683" t="inlineStr">
        <is>
          <t>A-497_2C__233</t>
        </is>
      </c>
      <c r="C4683" s="1" t="n">
        <v>37.2616395658</v>
      </c>
      <c r="D4683" s="1" t="n">
        <v>-7.01060192106</v>
      </c>
      <c r="E4683" s="3" t="n">
        <v>4</v>
      </c>
      <c r="F4683" s="2" t="n">
        <v>2</v>
      </c>
      <c r="G4683" s="4" t="n">
        <v>2</v>
      </c>
      <c r="H4683" s="13" t="n">
        <v>1</v>
      </c>
      <c r="I4683" s="34" t="n">
        <v>1</v>
      </c>
      <c r="J4683" s="37" t="n">
        <v>1</v>
      </c>
      <c r="K4683" s="2" t="inlineStr">
        <is>
          <t>marker_375_656908.png</t>
        </is>
      </c>
      <c r="L4683" s="36">
        <f>HYPERLINK("NoConsenso\" &amp; K4683, "Ver Imagen")</f>
        <v/>
      </c>
      <c r="M4683" s="37" t="inlineStr">
        <is>
          <t>Modificada</t>
        </is>
      </c>
    </row>
    <row r="4684">
      <c r="A4684" s="33" t="n">
        <v>4683</v>
      </c>
      <c r="B4684" t="inlineStr">
        <is>
          <t>A-497__650</t>
        </is>
      </c>
      <c r="C4684" s="1" t="n">
        <v>37.2010098812</v>
      </c>
      <c r="D4684" s="1" t="n">
        <v>-6.99020960596</v>
      </c>
      <c r="E4684" s="3" t="n">
        <v>2</v>
      </c>
      <c r="F4684" s="2" t="n">
        <v>3</v>
      </c>
      <c r="G4684" s="4" t="n">
        <v>4</v>
      </c>
      <c r="H4684" s="13" t="n">
        <v>2</v>
      </c>
      <c r="I4684" s="34" t="n">
        <v>2</v>
      </c>
      <c r="J4684" s="35" t="n">
        <v>2</v>
      </c>
      <c r="K4684" s="2" t="inlineStr">
        <is>
          <t>marker_558_371237.png</t>
        </is>
      </c>
      <c r="L4684" s="36">
        <f>HYPERLINK("NoConsenso\" &amp; K4684, "Ver Imagen")</f>
        <v/>
      </c>
      <c r="M4684" t="inlineStr">
        <is>
          <t>Mediana</t>
        </is>
      </c>
    </row>
    <row r="4685">
      <c r="A4685" s="33" t="n">
        <v>4684</v>
      </c>
      <c r="B4685" t="inlineStr">
        <is>
          <t>A-497__643</t>
        </is>
      </c>
      <c r="C4685" s="1" t="n">
        <v>37.2013591391</v>
      </c>
      <c r="D4685" s="1" t="n">
        <v>-6.99194415676</v>
      </c>
      <c r="E4685" s="3" t="n">
        <v>2</v>
      </c>
      <c r="F4685" s="2" t="n">
        <v>3</v>
      </c>
      <c r="G4685" s="4" t="n">
        <v>4</v>
      </c>
      <c r="H4685" s="13" t="n">
        <v>2</v>
      </c>
      <c r="I4685" s="34" t="n">
        <v>2</v>
      </c>
      <c r="J4685" s="35" t="n">
        <v>2</v>
      </c>
      <c r="K4685" s="2" t="inlineStr">
        <is>
          <t>marker_904_371300.png</t>
        </is>
      </c>
      <c r="L4685" s="36">
        <f>HYPERLINK("NoConsenso\" &amp; K4685, "Ver Imagen")</f>
        <v/>
      </c>
      <c r="M4685" t="inlineStr">
        <is>
          <t>Mediana</t>
        </is>
      </c>
    </row>
    <row r="4686">
      <c r="A4686" s="33" t="n">
        <v>4685</v>
      </c>
      <c r="B4686" t="inlineStr">
        <is>
          <t>A-497__642</t>
        </is>
      </c>
      <c r="C4686" s="1" t="n">
        <v>37.2014027934</v>
      </c>
      <c r="D4686" s="1" t="n">
        <v>-6.99217963719</v>
      </c>
      <c r="E4686" s="3" t="n">
        <v>5</v>
      </c>
      <c r="F4686" s="2" t="n">
        <v>3</v>
      </c>
      <c r="G4686" s="4" t="n">
        <v>4</v>
      </c>
      <c r="H4686" s="13" t="n">
        <v>2</v>
      </c>
      <c r="I4686" s="34" t="n">
        <v>2</v>
      </c>
      <c r="J4686" s="35" t="n">
        <v>3</v>
      </c>
      <c r="K4686" s="2" t="inlineStr">
        <is>
          <t>marker_521_371313.png</t>
        </is>
      </c>
      <c r="L4686" s="36">
        <f>HYPERLINK("NoConsenso\" &amp; K4686, "Ver Imagen")</f>
        <v/>
      </c>
      <c r="M4686" t="inlineStr">
        <is>
          <t>Mediana</t>
        </is>
      </c>
    </row>
    <row r="4687">
      <c r="A4687" s="33" t="n">
        <v>4686</v>
      </c>
      <c r="B4687" t="inlineStr">
        <is>
          <t>A-497__640</t>
        </is>
      </c>
      <c r="C4687" s="1" t="n">
        <v>37.2014891694</v>
      </c>
      <c r="D4687" s="1" t="n">
        <v>-6.99265404127</v>
      </c>
      <c r="E4687" s="3" t="n">
        <v>2</v>
      </c>
      <c r="F4687" s="2" t="n">
        <v>3</v>
      </c>
      <c r="G4687" s="4" t="n">
        <v>4</v>
      </c>
      <c r="H4687" s="13" t="n">
        <v>3</v>
      </c>
      <c r="I4687" s="34" t="n">
        <v>2</v>
      </c>
      <c r="J4687" s="35" t="n">
        <v>3</v>
      </c>
      <c r="K4687" s="2" t="inlineStr">
        <is>
          <t>marker_345_371329.png</t>
        </is>
      </c>
      <c r="L4687" s="36">
        <f>HYPERLINK("NoConsenso\" &amp; K4687, "Ver Imagen")</f>
        <v/>
      </c>
      <c r="M4687" t="inlineStr">
        <is>
          <t>Mediana</t>
        </is>
      </c>
    </row>
    <row r="4688">
      <c r="A4688" s="33" t="n">
        <v>4687</v>
      </c>
      <c r="B4688" t="inlineStr">
        <is>
          <t>A-497__614</t>
        </is>
      </c>
      <c r="C4688" s="1" t="n">
        <v>37.2025487168</v>
      </c>
      <c r="D4688" s="1" t="n">
        <v>-6.99916370253</v>
      </c>
      <c r="E4688" s="3" t="n">
        <v>5</v>
      </c>
      <c r="F4688" s="2" t="n">
        <v>3</v>
      </c>
      <c r="G4688" s="4" t="n">
        <v>3</v>
      </c>
      <c r="H4688" s="13" t="n">
        <v>3</v>
      </c>
      <c r="I4688" s="34" t="n">
        <v>3</v>
      </c>
      <c r="J4688" s="35" t="n">
        <v>3</v>
      </c>
      <c r="K4688" s="2" t="inlineStr">
        <is>
          <t>marker_129_371585.png</t>
        </is>
      </c>
      <c r="L4688" s="36">
        <f>HYPERLINK("NoConsenso\" &amp; K4688, "Ver Imagen")</f>
        <v/>
      </c>
      <c r="M4688" t="inlineStr">
        <is>
          <t>Mediana</t>
        </is>
      </c>
    </row>
    <row r="4689">
      <c r="A4689" s="33" t="n">
        <v>4688</v>
      </c>
      <c r="B4689" t="inlineStr">
        <is>
          <t>A-497__603</t>
        </is>
      </c>
      <c r="C4689" s="1" t="n">
        <v>37.2028848677</v>
      </c>
      <c r="D4689" s="1" t="n">
        <v>-7.00187438099</v>
      </c>
      <c r="E4689" s="3" t="n">
        <v>5</v>
      </c>
      <c r="F4689" s="2" t="n">
        <v>4</v>
      </c>
      <c r="G4689" s="4" t="n">
        <v>3</v>
      </c>
      <c r="H4689" s="13" t="n">
        <v>3</v>
      </c>
      <c r="I4689" s="34" t="n">
        <v>4</v>
      </c>
      <c r="J4689" s="35" t="n">
        <v>4</v>
      </c>
      <c r="K4689" s="2" t="inlineStr">
        <is>
          <t>marker_601_371686.png</t>
        </is>
      </c>
      <c r="L4689" s="36">
        <f>HYPERLINK("NoConsenso\" &amp; K4689, "Ver Imagen")</f>
        <v/>
      </c>
      <c r="M4689" t="inlineStr">
        <is>
          <t>Mediana</t>
        </is>
      </c>
    </row>
    <row r="4690">
      <c r="A4690" s="33" t="n">
        <v>4689</v>
      </c>
      <c r="B4690" t="inlineStr">
        <is>
          <t>A-497_2C__263</t>
        </is>
      </c>
      <c r="C4690" s="1" t="n">
        <v>37.2562801006</v>
      </c>
      <c r="D4690" s="1" t="n">
        <v>-7.01407125835</v>
      </c>
      <c r="E4690" s="3" t="n">
        <v>2</v>
      </c>
      <c r="F4690" s="2" t="n">
        <v>4</v>
      </c>
      <c r="G4690" s="4" t="n">
        <v>3</v>
      </c>
      <c r="H4690" s="13" t="n">
        <v>3</v>
      </c>
      <c r="I4690" s="34" t="n">
        <v>2</v>
      </c>
      <c r="J4690" s="35" t="n">
        <v>3</v>
      </c>
      <c r="K4690" s="2" t="inlineStr">
        <is>
          <t>marker_100_319657.png</t>
        </is>
      </c>
      <c r="L4690" s="36">
        <f>HYPERLINK("NoConsenso\" &amp; K4690, "Ver Imagen")</f>
        <v/>
      </c>
      <c r="M4690" t="inlineStr">
        <is>
          <t>Mediana</t>
        </is>
      </c>
    </row>
    <row r="4691">
      <c r="A4691" s="33" t="n">
        <v>4690</v>
      </c>
      <c r="B4691" t="inlineStr">
        <is>
          <t>A-497__585</t>
        </is>
      </c>
      <c r="C4691" s="1" t="n">
        <v>37.2034180975</v>
      </c>
      <c r="D4691" s="1" t="n">
        <v>-7.00638205074</v>
      </c>
      <c r="E4691" s="3" t="n">
        <v>5</v>
      </c>
      <c r="F4691" s="2" t="n">
        <v>3</v>
      </c>
      <c r="G4691" s="4" t="n">
        <v>4</v>
      </c>
      <c r="H4691" s="13" t="n">
        <v>3</v>
      </c>
      <c r="I4691" s="34" t="n">
        <v>3</v>
      </c>
      <c r="J4691" s="35" t="n">
        <v>3</v>
      </c>
      <c r="K4691" s="2" t="inlineStr">
        <is>
          <t>marker_856_371879.png</t>
        </is>
      </c>
      <c r="L4691" s="36">
        <f>HYPERLINK("NoConsenso\" &amp; K4691, "Ver Imagen")</f>
        <v/>
      </c>
      <c r="M4691" t="inlineStr">
        <is>
          <t>Mediana</t>
        </is>
      </c>
    </row>
    <row r="4692">
      <c r="A4692" s="33" t="n">
        <v>4691</v>
      </c>
      <c r="B4692" t="inlineStr">
        <is>
          <t>A-497__582</t>
        </is>
      </c>
      <c r="C4692" s="1" t="n">
        <v>37.20352481</v>
      </c>
      <c r="D4692" s="1" t="n">
        <v>-7.00716489834</v>
      </c>
      <c r="E4692" s="3" t="n">
        <v>5</v>
      </c>
      <c r="F4692" s="2" t="n">
        <v>3</v>
      </c>
      <c r="G4692" s="4" t="n">
        <v>4</v>
      </c>
      <c r="H4692" s="13" t="n">
        <v>2</v>
      </c>
      <c r="I4692" s="34" t="n">
        <v>2</v>
      </c>
      <c r="J4692" s="35" t="n">
        <v>3</v>
      </c>
      <c r="K4692" s="2" t="inlineStr">
        <is>
          <t>marker_780_371907.png</t>
        </is>
      </c>
      <c r="L4692" s="36">
        <f>HYPERLINK("NoConsenso\" &amp; K4692, "Ver Imagen")</f>
        <v/>
      </c>
      <c r="M4692" t="inlineStr">
        <is>
          <t>Mediana</t>
        </is>
      </c>
    </row>
    <row r="4693">
      <c r="A4693" s="33" t="n">
        <v>4692</v>
      </c>
      <c r="B4693" t="inlineStr">
        <is>
          <t>A-497__580</t>
        </is>
      </c>
      <c r="C4693" s="1" t="n">
        <v>37.2035981076</v>
      </c>
      <c r="D4693" s="1" t="n">
        <v>-7.00767100283</v>
      </c>
      <c r="E4693" s="3" t="n">
        <v>5</v>
      </c>
      <c r="F4693" s="2" t="n">
        <v>3</v>
      </c>
      <c r="G4693" s="4" t="n">
        <v>4</v>
      </c>
      <c r="H4693" s="13" t="n">
        <v>2</v>
      </c>
      <c r="I4693" s="34" t="n">
        <v>2</v>
      </c>
      <c r="J4693" s="35" t="n">
        <v>3</v>
      </c>
      <c r="K4693" s="2" t="inlineStr">
        <is>
          <t>marker_277_371925.png</t>
        </is>
      </c>
      <c r="L4693" s="36">
        <f>HYPERLINK("NoConsenso\" &amp; K4693, "Ver Imagen")</f>
        <v/>
      </c>
      <c r="M4693" t="inlineStr">
        <is>
          <t>Mediana</t>
        </is>
      </c>
    </row>
    <row r="4694">
      <c r="A4694" s="33" t="n">
        <v>4693</v>
      </c>
      <c r="B4694" t="inlineStr">
        <is>
          <t>A-497__578</t>
        </is>
      </c>
      <c r="C4694" s="1" t="n">
        <v>37.2036654593</v>
      </c>
      <c r="D4694" s="1" t="n">
        <v>-7.00811354053</v>
      </c>
      <c r="E4694" s="3" t="n">
        <v>5</v>
      </c>
      <c r="F4694" s="2" t="n">
        <v>3</v>
      </c>
      <c r="G4694" s="4" t="n">
        <v>3</v>
      </c>
      <c r="H4694" s="13" t="n">
        <v>3</v>
      </c>
      <c r="I4694" s="34" t="n">
        <v>3</v>
      </c>
      <c r="J4694" s="35" t="n">
        <v>3</v>
      </c>
      <c r="K4694" s="2" t="inlineStr">
        <is>
          <t>marker_446_371943.png</t>
        </is>
      </c>
      <c r="L4694" s="36">
        <f>HYPERLINK("NoConsenso\" &amp; K4694, "Ver Imagen")</f>
        <v/>
      </c>
      <c r="M4694" t="inlineStr">
        <is>
          <t>Mediana</t>
        </is>
      </c>
    </row>
    <row r="4695">
      <c r="A4695" s="33" t="n">
        <v>4694</v>
      </c>
      <c r="B4695" t="inlineStr">
        <is>
          <t>A-497__577</t>
        </is>
      </c>
      <c r="C4695" s="1" t="n">
        <v>37.2036983114</v>
      </c>
      <c r="D4695" s="1" t="n">
        <v>-7.00833121135</v>
      </c>
      <c r="E4695" s="3" t="n">
        <v>5</v>
      </c>
      <c r="F4695" s="2" t="n">
        <v>4</v>
      </c>
      <c r="G4695" s="4" t="n">
        <v>3</v>
      </c>
      <c r="H4695" s="13" t="n">
        <v>3</v>
      </c>
      <c r="I4695" s="34" t="n">
        <v>4</v>
      </c>
      <c r="J4695" s="35" t="n">
        <v>4</v>
      </c>
      <c r="K4695" s="2" t="inlineStr">
        <is>
          <t>marker_823_371954.png</t>
        </is>
      </c>
      <c r="L4695" s="36">
        <f>HYPERLINK("NoConsenso\" &amp; K4695, "Ver Imagen")</f>
        <v/>
      </c>
      <c r="M4695" t="inlineStr">
        <is>
          <t>Mediana</t>
        </is>
      </c>
    </row>
    <row r="4696">
      <c r="A4696" s="33" t="n">
        <v>4695</v>
      </c>
      <c r="B4696" t="inlineStr">
        <is>
          <t>A-497__576</t>
        </is>
      </c>
      <c r="C4696" s="1" t="n">
        <v>37.2037458399</v>
      </c>
      <c r="D4696" s="1" t="n">
        <v>-7.00864793948</v>
      </c>
      <c r="E4696" s="3" t="n">
        <v>5</v>
      </c>
      <c r="F4696" s="2" t="n">
        <v>3</v>
      </c>
      <c r="G4696" s="4" t="n">
        <v>4</v>
      </c>
      <c r="H4696" s="13" t="n">
        <v>2</v>
      </c>
      <c r="I4696" s="34" t="n">
        <v>2</v>
      </c>
      <c r="J4696" s="35" t="n">
        <v>3</v>
      </c>
      <c r="K4696" s="2" t="inlineStr">
        <is>
          <t>marker_236_371963.png</t>
        </is>
      </c>
      <c r="L4696" s="36">
        <f>HYPERLINK("NoConsenso\" &amp; K4696, "Ver Imagen")</f>
        <v/>
      </c>
      <c r="M4696" t="inlineStr">
        <is>
          <t>Mediana</t>
        </is>
      </c>
    </row>
    <row r="4697">
      <c r="A4697" s="33" t="n">
        <v>4696</v>
      </c>
      <c r="B4697" t="inlineStr">
        <is>
          <t>A-497__574</t>
        </is>
      </c>
      <c r="C4697" s="1" t="n">
        <v>37.2038202266</v>
      </c>
      <c r="D4697" s="1" t="n">
        <v>-7.00912590543</v>
      </c>
      <c r="E4697" s="3" t="n">
        <v>5</v>
      </c>
      <c r="F4697" s="2" t="n">
        <v>3</v>
      </c>
      <c r="G4697" s="4" t="n">
        <v>4</v>
      </c>
      <c r="H4697" s="13" t="n">
        <v>3</v>
      </c>
      <c r="I4697" s="34" t="n">
        <v>3</v>
      </c>
      <c r="J4697" s="35" t="n">
        <v>3</v>
      </c>
      <c r="K4697" s="2" t="inlineStr">
        <is>
          <t>marker_471_371982.png</t>
        </is>
      </c>
      <c r="L4697" s="36">
        <f>HYPERLINK("NoConsenso\" &amp; K4697, "Ver Imagen")</f>
        <v/>
      </c>
      <c r="M4697" t="inlineStr">
        <is>
          <t>Mediana</t>
        </is>
      </c>
    </row>
    <row r="4698">
      <c r="A4698" s="33" t="n">
        <v>4697</v>
      </c>
      <c r="B4698" t="inlineStr">
        <is>
          <t>A-497_2C__291</t>
        </is>
      </c>
      <c r="C4698" s="1" t="n">
        <v>37.2512038138</v>
      </c>
      <c r="D4698" s="1" t="n">
        <v>-7.01732514769</v>
      </c>
      <c r="E4698" s="3" t="n">
        <v>5</v>
      </c>
      <c r="F4698" s="2" t="n">
        <v>3</v>
      </c>
      <c r="G4698" s="4" t="n">
        <v>4</v>
      </c>
      <c r="H4698" s="13" t="n">
        <v>3</v>
      </c>
      <c r="I4698" s="34" t="n">
        <v>3</v>
      </c>
      <c r="J4698" s="35" t="n">
        <v>3</v>
      </c>
      <c r="K4698" s="2" t="inlineStr">
        <is>
          <t>marker_200_320084.png</t>
        </is>
      </c>
      <c r="L4698" s="36">
        <f>HYPERLINK("NoConsenso\" &amp; K4698, "Ver Imagen")</f>
        <v/>
      </c>
      <c r="M4698" t="inlineStr">
        <is>
          <t>Mediana</t>
        </is>
      </c>
    </row>
    <row r="4699">
      <c r="A4699" s="33" t="n">
        <v>4698</v>
      </c>
      <c r="B4699" t="inlineStr">
        <is>
          <t>A-497__565</t>
        </is>
      </c>
      <c r="C4699" s="1" t="n">
        <v>37.2041855086</v>
      </c>
      <c r="D4699" s="1" t="n">
        <v>-7.01133614499</v>
      </c>
      <c r="E4699" s="3" t="n">
        <v>5</v>
      </c>
      <c r="F4699" s="2" t="n">
        <v>3</v>
      </c>
      <c r="G4699" s="4" t="n">
        <v>4</v>
      </c>
      <c r="H4699" s="13" t="n">
        <v>3</v>
      </c>
      <c r="I4699" s="34" t="n">
        <v>4</v>
      </c>
      <c r="J4699" s="35" t="n">
        <v>4</v>
      </c>
      <c r="K4699" s="2" t="inlineStr">
        <is>
          <t>marker_457_372091.png</t>
        </is>
      </c>
      <c r="L4699" s="36">
        <f>HYPERLINK("NoConsenso\" &amp; K4699, "Ver Imagen")</f>
        <v/>
      </c>
      <c r="M4699" t="inlineStr">
        <is>
          <t>Mediana</t>
        </is>
      </c>
    </row>
    <row r="4700">
      <c r="A4700" s="33" t="n">
        <v>4699</v>
      </c>
      <c r="B4700" t="inlineStr">
        <is>
          <t>A-497_2C__304</t>
        </is>
      </c>
      <c r="C4700" s="1" t="n">
        <v>37.2487010357</v>
      </c>
      <c r="D4700" s="1" t="n">
        <v>-7.01833926269</v>
      </c>
      <c r="E4700" s="3" t="n">
        <v>5</v>
      </c>
      <c r="F4700" s="2" t="n">
        <v>3</v>
      </c>
      <c r="G4700" s="4" t="n">
        <v>3</v>
      </c>
      <c r="H4700" s="13" t="n">
        <v>2</v>
      </c>
      <c r="I4700" s="34" t="n">
        <v>2</v>
      </c>
      <c r="J4700" s="37" t="n">
        <v>2</v>
      </c>
      <c r="K4700" s="2" t="inlineStr">
        <is>
          <t>marker_494_320210.png</t>
        </is>
      </c>
      <c r="L4700" s="36">
        <f>HYPERLINK("NoConsenso\" &amp; K4700, "Ver Imagen")</f>
        <v/>
      </c>
      <c r="M4700" s="37" t="inlineStr">
        <is>
          <t>Modificada</t>
        </is>
      </c>
    </row>
    <row r="4701">
      <c r="A4701" s="33" t="n">
        <v>4700</v>
      </c>
      <c r="B4701" t="inlineStr">
        <is>
          <t>A-497__540</t>
        </is>
      </c>
      <c r="C4701" s="1" t="n">
        <v>37.2054213304</v>
      </c>
      <c r="D4701" s="1" t="n">
        <v>-7.01748354574</v>
      </c>
      <c r="E4701" s="3" t="n">
        <v>2</v>
      </c>
      <c r="F4701" s="2" t="n">
        <v>2</v>
      </c>
      <c r="G4701" s="4" t="n">
        <v>4</v>
      </c>
      <c r="H4701" s="13" t="n">
        <v>2</v>
      </c>
      <c r="I4701" s="34" t="n">
        <v>1</v>
      </c>
      <c r="J4701" s="35" t="n">
        <v>2</v>
      </c>
      <c r="K4701" s="2" t="inlineStr">
        <is>
          <t>marker_305_372376.png</t>
        </is>
      </c>
      <c r="L4701" s="36">
        <f>HYPERLINK("NoConsenso\" &amp; K4701, "Ver Imagen")</f>
        <v/>
      </c>
      <c r="M4701" t="inlineStr">
        <is>
          <t>Mediana</t>
        </is>
      </c>
    </row>
    <row r="4702">
      <c r="A4702" s="33" t="n">
        <v>4701</v>
      </c>
      <c r="B4702" t="inlineStr">
        <is>
          <t>A-497_2C__338</t>
        </is>
      </c>
      <c r="C4702" s="1" t="n">
        <v>37.241824241</v>
      </c>
      <c r="D4702" s="1" t="n">
        <v>-7.01860236809</v>
      </c>
      <c r="E4702" s="3" t="n">
        <v>5</v>
      </c>
      <c r="F4702" s="2" t="n">
        <v>3</v>
      </c>
      <c r="G4702" s="4" t="n">
        <v>4</v>
      </c>
      <c r="H4702" s="13" t="n">
        <v>3</v>
      </c>
      <c r="I4702" s="34" t="n">
        <v>3</v>
      </c>
      <c r="J4702" s="35" t="n">
        <v>3</v>
      </c>
      <c r="K4702" s="2" t="inlineStr">
        <is>
          <t>marker_340_362109.png</t>
        </is>
      </c>
      <c r="L4702" s="36">
        <f>HYPERLINK("NoConsenso\" &amp; K4702, "Ver Imagen")</f>
        <v/>
      </c>
      <c r="M4702" t="inlineStr">
        <is>
          <t>Mediana</t>
        </is>
      </c>
    </row>
    <row r="4703">
      <c r="A4703" s="33" t="n">
        <v>4702</v>
      </c>
      <c r="B4703" t="inlineStr">
        <is>
          <t>A-497__535</t>
        </is>
      </c>
      <c r="C4703" s="1" t="n">
        <v>37.2057694828</v>
      </c>
      <c r="D4703" s="1" t="n">
        <v>-7.01864074472</v>
      </c>
      <c r="E4703" s="3" t="n">
        <v>5</v>
      </c>
      <c r="F4703" s="2" t="n">
        <v>3</v>
      </c>
      <c r="G4703" s="4" t="n">
        <v>4</v>
      </c>
      <c r="H4703" s="13" t="n">
        <v>3</v>
      </c>
      <c r="I4703" s="34" t="n">
        <v>2</v>
      </c>
      <c r="J4703" s="35" t="n">
        <v>3</v>
      </c>
      <c r="K4703" s="2" t="inlineStr">
        <is>
          <t>marker_665_372441.png</t>
        </is>
      </c>
      <c r="L4703" s="36">
        <f>HYPERLINK("NoConsenso\" &amp; K4703, "Ver Imagen")</f>
        <v/>
      </c>
      <c r="M4703" t="inlineStr">
        <is>
          <t>Mediana</t>
        </is>
      </c>
    </row>
    <row r="4704">
      <c r="A4704" s="33" t="n">
        <v>4703</v>
      </c>
      <c r="B4704" t="inlineStr">
        <is>
          <t>A-497_2C__344</t>
        </is>
      </c>
      <c r="C4704" s="1" t="n">
        <v>37.2406523573</v>
      </c>
      <c r="D4704" s="1" t="n">
        <v>-7.01865093342</v>
      </c>
      <c r="E4704" s="3" t="n">
        <v>5</v>
      </c>
      <c r="F4704" s="2" t="n">
        <v>3</v>
      </c>
      <c r="G4704" s="4" t="n">
        <v>3</v>
      </c>
      <c r="H4704" s="13" t="n">
        <v>3</v>
      </c>
      <c r="I4704" s="34" t="n">
        <v>3</v>
      </c>
      <c r="J4704" s="35" t="n">
        <v>3</v>
      </c>
      <c r="K4704" s="2" t="inlineStr">
        <is>
          <t>marker_421_362164.png</t>
        </is>
      </c>
      <c r="L4704" s="36">
        <f>HYPERLINK("NoConsenso\" &amp; K4704, "Ver Imagen")</f>
        <v/>
      </c>
      <c r="M4704" t="inlineStr">
        <is>
          <t>Mediana</t>
        </is>
      </c>
    </row>
    <row r="4705">
      <c r="A4705" s="33" t="n">
        <v>4704</v>
      </c>
      <c r="B4705" t="inlineStr">
        <is>
          <t>A-497__532</t>
        </is>
      </c>
      <c r="C4705" s="1" t="n">
        <v>37.2060501557</v>
      </c>
      <c r="D4705" s="1" t="n">
        <v>-7.01937858221</v>
      </c>
      <c r="E4705" s="3" t="n">
        <v>4</v>
      </c>
      <c r="F4705" s="2" t="n">
        <v>2</v>
      </c>
      <c r="G4705" s="4" t="n">
        <v>3</v>
      </c>
      <c r="H4705" s="16" t="n">
        <v>3</v>
      </c>
      <c r="I4705" s="40" t="n">
        <v>1</v>
      </c>
      <c r="J4705" s="35" t="n">
        <v>3</v>
      </c>
      <c r="K4705" s="2" t="inlineStr">
        <is>
          <t>marker_501_372482.png</t>
        </is>
      </c>
      <c r="L4705" s="36">
        <f>HYPERLINK("NoConsenso\" &amp; K4705, "Ver Imagen")</f>
        <v/>
      </c>
      <c r="M4705" t="inlineStr">
        <is>
          <t>Mediana</t>
        </is>
      </c>
    </row>
    <row r="4706">
      <c r="A4706" s="33" t="n">
        <v>4705</v>
      </c>
      <c r="B4706" t="inlineStr">
        <is>
          <t>A-497__527</t>
        </is>
      </c>
      <c r="C4706" s="1" t="n">
        <v>37.2065672635</v>
      </c>
      <c r="D4706" s="1" t="n">
        <v>-7.02044860126</v>
      </c>
      <c r="E4706" s="3" t="n">
        <v>4</v>
      </c>
      <c r="F4706" s="2" t="n">
        <v>2</v>
      </c>
      <c r="G4706" s="4" t="n">
        <v>3</v>
      </c>
      <c r="H4706" s="13" t="n">
        <v>2</v>
      </c>
      <c r="I4706" s="34" t="n">
        <v>2</v>
      </c>
      <c r="J4706" s="35" t="n">
        <v>2</v>
      </c>
      <c r="K4706" s="2" t="inlineStr">
        <is>
          <t>marker_606_372529.png</t>
        </is>
      </c>
      <c r="L4706" s="36">
        <f>HYPERLINK("NoConsenso\" &amp; K4706, "Ver Imagen")</f>
        <v/>
      </c>
      <c r="M4706" t="inlineStr">
        <is>
          <t>Mediana</t>
        </is>
      </c>
    </row>
    <row r="4707">
      <c r="A4707" s="33" t="n">
        <v>4706</v>
      </c>
      <c r="B4707" t="inlineStr">
        <is>
          <t>A-497_2C__367</t>
        </is>
      </c>
      <c r="C4707" s="1" t="n">
        <v>37.2359562317</v>
      </c>
      <c r="D4707" s="1" t="n">
        <v>-7.01853011067</v>
      </c>
      <c r="E4707" s="3" t="n">
        <v>5</v>
      </c>
      <c r="F4707" s="2" t="n">
        <v>3</v>
      </c>
      <c r="G4707" s="4" t="n">
        <v>4</v>
      </c>
      <c r="H4707" s="13" t="n">
        <v>3</v>
      </c>
      <c r="I4707" s="34" t="n">
        <v>3</v>
      </c>
      <c r="J4707" s="35" t="n">
        <v>3</v>
      </c>
      <c r="K4707" s="2" t="inlineStr">
        <is>
          <t>marker_578_362434.png</t>
        </is>
      </c>
      <c r="L4707" s="36">
        <f>HYPERLINK("NoConsenso\" &amp; K4707, "Ver Imagen")</f>
        <v/>
      </c>
      <c r="M4707" t="inlineStr">
        <is>
          <t>Mediana</t>
        </is>
      </c>
    </row>
    <row r="4708">
      <c r="A4708" s="33" t="n">
        <v>4707</v>
      </c>
      <c r="B4708" t="inlineStr">
        <is>
          <t>A-497_2C__368</t>
        </is>
      </c>
      <c r="C4708" s="1" t="n">
        <v>37.23575758</v>
      </c>
      <c r="D4708" s="1" t="n">
        <v>-7.01847814114</v>
      </c>
      <c r="E4708" s="3" t="n">
        <v>4</v>
      </c>
      <c r="F4708" s="2" t="n">
        <v>2</v>
      </c>
      <c r="G4708" s="4" t="n">
        <v>3</v>
      </c>
      <c r="H4708" s="13" t="n">
        <v>3</v>
      </c>
      <c r="I4708" s="34" t="n">
        <v>2</v>
      </c>
      <c r="J4708" s="35" t="n">
        <v>3</v>
      </c>
      <c r="K4708" s="2" t="inlineStr">
        <is>
          <t>marker_268_362448.png</t>
        </is>
      </c>
      <c r="L4708" s="36">
        <f>HYPERLINK("NoConsenso\" &amp; K4708, "Ver Imagen")</f>
        <v/>
      </c>
      <c r="M4708" t="inlineStr">
        <is>
          <t>Mediana</t>
        </is>
      </c>
    </row>
    <row r="4709">
      <c r="A4709" s="33" t="n">
        <v>4708</v>
      </c>
      <c r="B4709" t="inlineStr">
        <is>
          <t>A-497_2C__370</t>
        </is>
      </c>
      <c r="C4709" s="1" t="n">
        <v>37.235327005</v>
      </c>
      <c r="D4709" s="1" t="n">
        <v>-7.01836003399</v>
      </c>
      <c r="E4709" s="3" t="n">
        <v>5</v>
      </c>
      <c r="F4709" s="2" t="n">
        <v>3</v>
      </c>
      <c r="G4709" s="4" t="n">
        <v>4</v>
      </c>
      <c r="H4709" s="13" t="n">
        <v>3</v>
      </c>
      <c r="I4709" s="34" t="n">
        <v>3</v>
      </c>
      <c r="J4709" s="35" t="n">
        <v>3</v>
      </c>
      <c r="K4709" s="2" t="inlineStr">
        <is>
          <t>marker_630_362478.png</t>
        </is>
      </c>
      <c r="L4709" s="36">
        <f>HYPERLINK("NoConsenso\" &amp; K4709, "Ver Imagen")</f>
        <v/>
      </c>
      <c r="M4709" t="inlineStr">
        <is>
          <t>Mediana</t>
        </is>
      </c>
    </row>
    <row r="4710">
      <c r="A4710" s="33" t="n">
        <v>4709</v>
      </c>
      <c r="B4710" t="inlineStr">
        <is>
          <t>A-497_2C__371</t>
        </is>
      </c>
      <c r="C4710" s="1" t="n">
        <v>37.2351940506</v>
      </c>
      <c r="D4710" s="1" t="n">
        <v>-7.0183241303</v>
      </c>
      <c r="E4710" s="3" t="n">
        <v>5</v>
      </c>
      <c r="F4710" s="2" t="n">
        <v>3</v>
      </c>
      <c r="G4710" s="4" t="n">
        <v>4</v>
      </c>
      <c r="H4710" s="13" t="n">
        <v>3</v>
      </c>
      <c r="I4710" s="34" t="n">
        <v>3</v>
      </c>
      <c r="J4710" s="35" t="n">
        <v>3</v>
      </c>
      <c r="K4710" s="2" t="inlineStr">
        <is>
          <t>marker_797_362490.png</t>
        </is>
      </c>
      <c r="L4710" s="36">
        <f>HYPERLINK("NoConsenso\" &amp; K4710, "Ver Imagen")</f>
        <v/>
      </c>
      <c r="M4710" t="inlineStr">
        <is>
          <t>Mediana</t>
        </is>
      </c>
    </row>
    <row r="4711">
      <c r="A4711" s="33" t="n">
        <v>4710</v>
      </c>
      <c r="B4711" t="inlineStr">
        <is>
          <t>A-497_2C__373</t>
        </is>
      </c>
      <c r="C4711" s="1" t="n">
        <v>37.2347861795</v>
      </c>
      <c r="D4711" s="1" t="n">
        <v>-7.01823234776</v>
      </c>
      <c r="E4711" s="3" t="n">
        <v>4</v>
      </c>
      <c r="F4711" s="2" t="n">
        <v>2</v>
      </c>
      <c r="G4711" s="4" t="n">
        <v>3</v>
      </c>
      <c r="H4711" s="13" t="n">
        <v>2</v>
      </c>
      <c r="I4711" s="34" t="n">
        <v>2</v>
      </c>
      <c r="J4711" s="35" t="n">
        <v>2</v>
      </c>
      <c r="K4711" s="2" t="inlineStr">
        <is>
          <t>marker_830_362521.png</t>
        </is>
      </c>
      <c r="L4711" s="36">
        <f>HYPERLINK("NoConsenso\" &amp; K4711, "Ver Imagen")</f>
        <v/>
      </c>
      <c r="M4711" t="inlineStr">
        <is>
          <t>Mediana</t>
        </is>
      </c>
    </row>
    <row r="4712">
      <c r="A4712" s="33" t="n">
        <v>4711</v>
      </c>
      <c r="B4712" t="inlineStr">
        <is>
          <t>A-497__517</t>
        </is>
      </c>
      <c r="C4712" s="1" t="n">
        <v>37.2079703943</v>
      </c>
      <c r="D4712" s="1" t="n">
        <v>-7.02223310213</v>
      </c>
      <c r="E4712" s="3" t="n">
        <v>4</v>
      </c>
      <c r="F4712" s="2" t="n">
        <v>2</v>
      </c>
      <c r="G4712" s="4" t="n">
        <v>3</v>
      </c>
      <c r="H4712" s="13" t="n">
        <v>2</v>
      </c>
      <c r="I4712" s="34" t="n">
        <v>2</v>
      </c>
      <c r="J4712" s="35" t="n">
        <v>2</v>
      </c>
      <c r="K4712" s="2" t="inlineStr">
        <is>
          <t>marker_620_372623.png</t>
        </is>
      </c>
      <c r="L4712" s="36">
        <f>HYPERLINK("NoConsenso\" &amp; K4712, "Ver Imagen")</f>
        <v/>
      </c>
      <c r="M4712" t="inlineStr">
        <is>
          <t>Mediana</t>
        </is>
      </c>
    </row>
    <row r="4713">
      <c r="A4713" s="33" t="n">
        <v>4712</v>
      </c>
      <c r="B4713" t="inlineStr">
        <is>
          <t>A-497__513</t>
        </is>
      </c>
      <c r="C4713" s="1" t="n">
        <v>37.2086663059</v>
      </c>
      <c r="D4713" s="1" t="n">
        <v>-7.02279895331</v>
      </c>
      <c r="E4713" s="3" t="n">
        <v>4</v>
      </c>
      <c r="F4713" s="2" t="n">
        <v>2</v>
      </c>
      <c r="G4713" s="4" t="n">
        <v>3</v>
      </c>
      <c r="H4713" s="13" t="n">
        <v>2</v>
      </c>
      <c r="I4713" s="34" t="n">
        <v>2</v>
      </c>
      <c r="J4713" s="35" t="n">
        <v>2</v>
      </c>
      <c r="K4713" s="2" t="inlineStr">
        <is>
          <t>marker_943_372660.png</t>
        </is>
      </c>
      <c r="L4713" s="36">
        <f>HYPERLINK("NoConsenso\" &amp; K4713, "Ver Imagen")</f>
        <v/>
      </c>
      <c r="M4713" t="inlineStr">
        <is>
          <t>Mediana</t>
        </is>
      </c>
    </row>
    <row r="4714">
      <c r="A4714" s="33" t="n">
        <v>4713</v>
      </c>
      <c r="B4714" t="inlineStr">
        <is>
          <t>A-497__512</t>
        </is>
      </c>
      <c r="C4714" s="1" t="n">
        <v>37.2088350633</v>
      </c>
      <c r="D4714" s="1" t="n">
        <v>-7.02291370729</v>
      </c>
      <c r="E4714" s="3" t="n">
        <v>4</v>
      </c>
      <c r="F4714" s="2" t="n">
        <v>2</v>
      </c>
      <c r="G4714" s="4" t="n">
        <v>3</v>
      </c>
      <c r="H4714" s="13" t="n">
        <v>3</v>
      </c>
      <c r="I4714" s="34" t="n">
        <v>2</v>
      </c>
      <c r="J4714" s="35" t="n">
        <v>3</v>
      </c>
      <c r="K4714" s="2" t="inlineStr">
        <is>
          <t>marker_219_372672.png</t>
        </is>
      </c>
      <c r="L4714" s="36">
        <f>HYPERLINK("NoConsenso\" &amp; K4714, "Ver Imagen")</f>
        <v/>
      </c>
      <c r="M4714" t="inlineStr">
        <is>
          <t>Mediana</t>
        </is>
      </c>
    </row>
    <row r="4715">
      <c r="A4715" s="33" t="n">
        <v>4714</v>
      </c>
      <c r="B4715" t="inlineStr">
        <is>
          <t>A-497_2C__393</t>
        </is>
      </c>
      <c r="C4715" s="1" t="n">
        <v>37.2310153213</v>
      </c>
      <c r="D4715" s="1" t="n">
        <v>-7.01969232273</v>
      </c>
      <c r="E4715" s="3" t="n">
        <v>5</v>
      </c>
      <c r="F4715" s="2" t="n">
        <v>3</v>
      </c>
      <c r="G4715" s="4" t="n">
        <v>3</v>
      </c>
      <c r="H4715" s="13" t="n">
        <v>3</v>
      </c>
      <c r="I4715" s="34" t="n">
        <v>2</v>
      </c>
      <c r="J4715" s="35" t="n">
        <v>3</v>
      </c>
      <c r="K4715" s="2" t="inlineStr">
        <is>
          <t>marker_124_362836.png</t>
        </is>
      </c>
      <c r="L4715" s="36">
        <f>HYPERLINK("NoConsenso\" &amp; K4715, "Ver Imagen")</f>
        <v/>
      </c>
      <c r="M4715" t="inlineStr">
        <is>
          <t>Mediana</t>
        </is>
      </c>
    </row>
    <row r="4716">
      <c r="A4716" s="33" t="n">
        <v>4715</v>
      </c>
      <c r="B4716" t="inlineStr">
        <is>
          <t>A-497__496</t>
        </is>
      </c>
      <c r="C4716" s="1" t="n">
        <v>37.2119603135</v>
      </c>
      <c r="D4716" s="1" t="n">
        <v>-7.02385702201</v>
      </c>
      <c r="E4716" s="3" t="n">
        <v>4</v>
      </c>
      <c r="F4716" s="2" t="n">
        <v>2</v>
      </c>
      <c r="G4716" s="4" t="n">
        <v>3</v>
      </c>
      <c r="H4716" s="13" t="n">
        <v>2</v>
      </c>
      <c r="I4716" s="34" t="n">
        <v>1</v>
      </c>
      <c r="J4716" s="35" t="n">
        <v>2</v>
      </c>
      <c r="K4716" s="2" t="inlineStr">
        <is>
          <t>marker_957_376142.png</t>
        </is>
      </c>
      <c r="L4716" s="36">
        <f>HYPERLINK("NoConsenso\" &amp; K4716, "Ver Imagen")</f>
        <v/>
      </c>
      <c r="M4716" t="inlineStr">
        <is>
          <t>Mediana</t>
        </is>
      </c>
    </row>
    <row r="4717">
      <c r="A4717" s="33" t="n">
        <v>4716</v>
      </c>
      <c r="B4717" t="inlineStr">
        <is>
          <t>A-497_2C__407</t>
        </is>
      </c>
      <c r="C4717" s="1" t="n">
        <v>37.228581739</v>
      </c>
      <c r="D4717" s="1" t="n">
        <v>-7.02153691284</v>
      </c>
      <c r="E4717" s="3" t="n">
        <v>4</v>
      </c>
      <c r="F4717" s="2" t="n">
        <v>2</v>
      </c>
      <c r="G4717" s="4" t="n">
        <v>2</v>
      </c>
      <c r="H4717" s="13" t="n">
        <v>2</v>
      </c>
      <c r="I4717" s="34" t="n">
        <v>2</v>
      </c>
      <c r="J4717" s="35" t="n">
        <v>2</v>
      </c>
      <c r="K4717" s="2" t="inlineStr">
        <is>
          <t>marker_400_362981.png</t>
        </is>
      </c>
      <c r="L4717" s="36">
        <f>HYPERLINK("NoConsenso\" &amp; K4717, "Ver Imagen")</f>
        <v/>
      </c>
      <c r="M4717" t="inlineStr">
        <is>
          <t>Mediana</t>
        </is>
      </c>
    </row>
    <row r="4718">
      <c r="A4718" s="33" t="n">
        <v>4717</v>
      </c>
      <c r="B4718" t="inlineStr">
        <is>
          <t>A-497_2C__569</t>
        </is>
      </c>
      <c r="C4718" s="1" t="n">
        <v>37.203750915</v>
      </c>
      <c r="D4718" s="1" t="n">
        <v>-7.00962474586</v>
      </c>
      <c r="E4718" s="3" t="n">
        <v>4</v>
      </c>
      <c r="F4718" s="2" t="n">
        <v>3</v>
      </c>
      <c r="G4718" s="4" t="n">
        <v>2</v>
      </c>
      <c r="H4718" s="13" t="n">
        <v>2</v>
      </c>
      <c r="I4718" s="34" t="n">
        <v>2</v>
      </c>
      <c r="J4718" s="35" t="n">
        <v>2</v>
      </c>
      <c r="K4718" s="2" t="inlineStr">
        <is>
          <t>marker_896_366477.png</t>
        </is>
      </c>
      <c r="L4718" s="36">
        <f>HYPERLINK("NoConsenso\" &amp; K4718, "Ver Imagen")</f>
        <v/>
      </c>
      <c r="M4718" t="inlineStr">
        <is>
          <t>Mediana</t>
        </is>
      </c>
    </row>
    <row r="4719">
      <c r="A4719" s="33" t="n">
        <v>4718</v>
      </c>
      <c r="B4719" t="inlineStr">
        <is>
          <t>A-497_2C__602</t>
        </is>
      </c>
      <c r="C4719" s="1" t="n">
        <v>37.2026705357</v>
      </c>
      <c r="D4719" s="1" t="n">
        <v>-7.00131977935</v>
      </c>
      <c r="E4719" s="3" t="n">
        <v>2</v>
      </c>
      <c r="F4719" s="2" t="n">
        <v>4</v>
      </c>
      <c r="G4719" s="4" t="n">
        <v>3</v>
      </c>
      <c r="H4719" s="13" t="n">
        <v>3</v>
      </c>
      <c r="I4719" s="34" t="n">
        <v>2</v>
      </c>
      <c r="J4719" s="35" t="n">
        <v>3</v>
      </c>
      <c r="K4719" s="2" t="inlineStr">
        <is>
          <t>marker_541_366783.png</t>
        </is>
      </c>
      <c r="L4719" s="36">
        <f>HYPERLINK("NoConsenso\" &amp; K4719, "Ver Imagen")</f>
        <v/>
      </c>
      <c r="M4719" t="inlineStr">
        <is>
          <t>Mediana</t>
        </is>
      </c>
    </row>
    <row r="4720">
      <c r="A4720" s="33" t="n">
        <v>4719</v>
      </c>
      <c r="B4720" t="inlineStr">
        <is>
          <t>A-497__407</t>
        </is>
      </c>
      <c r="C4720" s="1" t="n">
        <v>37.229378549</v>
      </c>
      <c r="D4720" s="1" t="n">
        <v>-7.02072986653</v>
      </c>
      <c r="E4720" s="3" t="n">
        <v>4</v>
      </c>
      <c r="F4720" s="2" t="n">
        <v>3</v>
      </c>
      <c r="G4720" s="4" t="n">
        <v>2</v>
      </c>
      <c r="H4720" s="13" t="n">
        <v>2</v>
      </c>
      <c r="I4720" s="34" t="n">
        <v>2</v>
      </c>
      <c r="J4720" s="35" t="n">
        <v>2</v>
      </c>
      <c r="K4720" s="2" t="inlineStr">
        <is>
          <t>marker_835_377126.png</t>
        </is>
      </c>
      <c r="L4720" s="36">
        <f>HYPERLINK("NoConsenso\" &amp; K4720, "Ver Imagen")</f>
        <v/>
      </c>
      <c r="M4720" t="inlineStr">
        <is>
          <t>Mediana</t>
        </is>
      </c>
    </row>
    <row r="4721">
      <c r="A4721" s="33" t="n">
        <v>4720</v>
      </c>
      <c r="B4721" t="inlineStr">
        <is>
          <t>A-497__401</t>
        </is>
      </c>
      <c r="C4721" s="1" t="n">
        <v>37.2304379242</v>
      </c>
      <c r="D4721" s="1" t="n">
        <v>-7.01992011231</v>
      </c>
      <c r="E4721" s="3" t="n">
        <v>4</v>
      </c>
      <c r="F4721" s="2" t="n">
        <v>3</v>
      </c>
      <c r="G4721" s="4" t="n">
        <v>2</v>
      </c>
      <c r="H4721" s="13" t="n">
        <v>2</v>
      </c>
      <c r="I4721" s="34" t="n">
        <v>3</v>
      </c>
      <c r="J4721" s="37" t="n">
        <v>2</v>
      </c>
      <c r="K4721" s="2" t="inlineStr">
        <is>
          <t>marker_359_377185.png</t>
        </is>
      </c>
      <c r="L4721" s="36">
        <f>HYPERLINK("NoConsenso\" &amp; K4721, "Ver Imagen")</f>
        <v/>
      </c>
      <c r="M4721" s="37" t="inlineStr">
        <is>
          <t>Modificada</t>
        </is>
      </c>
    </row>
    <row r="4722">
      <c r="A4722" s="33" t="n">
        <v>4721</v>
      </c>
      <c r="B4722" t="inlineStr">
        <is>
          <t>A-497__289</t>
        </is>
      </c>
      <c r="C4722" s="1" t="n">
        <v>37.252358893</v>
      </c>
      <c r="D4722" s="1" t="n">
        <v>-7.01637413832</v>
      </c>
      <c r="E4722" s="3" t="n">
        <v>2</v>
      </c>
      <c r="F4722" s="2" t="n">
        <v>4</v>
      </c>
      <c r="G4722" s="4" t="n">
        <v>3</v>
      </c>
      <c r="H4722" s="13" t="n">
        <v>3</v>
      </c>
      <c r="I4722" s="34" t="n">
        <v>2</v>
      </c>
      <c r="J4722" s="35" t="n">
        <v>3</v>
      </c>
      <c r="K4722" s="2" t="inlineStr">
        <is>
          <t>marker_444_378364.png</t>
        </is>
      </c>
      <c r="L4722" s="36">
        <f>HYPERLINK("NoConsenso\" &amp; K4722, "Ver Imagen")</f>
        <v/>
      </c>
      <c r="M4722" t="inlineStr">
        <is>
          <t>Mediana</t>
        </is>
      </c>
    </row>
    <row r="4723">
      <c r="A4723" s="33" t="n">
        <v>4722</v>
      </c>
      <c r="B4723" t="inlineStr">
        <is>
          <t>A-497__235</t>
        </is>
      </c>
      <c r="C4723" s="1" t="n">
        <v>37.2620191092</v>
      </c>
      <c r="D4723" s="1" t="n">
        <v>-7.01001355212</v>
      </c>
      <c r="E4723" s="3" t="n">
        <v>4</v>
      </c>
      <c r="F4723" s="2" t="n">
        <v>2</v>
      </c>
      <c r="G4723" s="4" t="n">
        <v>3</v>
      </c>
      <c r="H4723" s="13" t="n">
        <v>2</v>
      </c>
      <c r="I4723" s="34" t="n">
        <v>2</v>
      </c>
      <c r="J4723" s="35" t="n">
        <v>2</v>
      </c>
      <c r="K4723" s="2" t="inlineStr">
        <is>
          <t>marker_183_378976.png</t>
        </is>
      </c>
      <c r="L4723" s="36">
        <f>HYPERLINK("NoConsenso\" &amp; K4723, "Ver Imagen")</f>
        <v/>
      </c>
      <c r="M4723" t="inlineStr">
        <is>
          <t>Mediana</t>
        </is>
      </c>
    </row>
    <row r="4724">
      <c r="A4724" s="33" t="n">
        <v>4723</v>
      </c>
      <c r="B4724" t="inlineStr">
        <is>
          <t>A-497__193</t>
        </is>
      </c>
      <c r="C4724" s="1" t="n">
        <v>37.2646658176</v>
      </c>
      <c r="D4724" s="1" t="n">
        <v>-7.00013348609</v>
      </c>
      <c r="E4724" s="3" t="n">
        <v>4</v>
      </c>
      <c r="F4724" s="2" t="n">
        <v>2</v>
      </c>
      <c r="G4724" s="4" t="n">
        <v>3</v>
      </c>
      <c r="H4724" s="13" t="n">
        <v>2</v>
      </c>
      <c r="I4724" s="34" t="n">
        <v>2</v>
      </c>
      <c r="J4724" s="35" t="n">
        <v>2</v>
      </c>
      <c r="K4724" s="2" t="inlineStr">
        <is>
          <t>marker_432_379480.png</t>
        </is>
      </c>
      <c r="L4724" s="36">
        <f>HYPERLINK("NoConsenso\" &amp; K4724, "Ver Imagen")</f>
        <v/>
      </c>
      <c r="M4724" t="inlineStr">
        <is>
          <t>Mediana</t>
        </is>
      </c>
    </row>
    <row r="4725">
      <c r="A4725" s="33" t="n">
        <v>4724</v>
      </c>
      <c r="B4725" t="inlineStr">
        <is>
          <t>A-497__192</t>
        </is>
      </c>
      <c r="C4725" s="1" t="n">
        <v>37.2647169933</v>
      </c>
      <c r="D4725" s="1" t="n">
        <v>-6.99984758149</v>
      </c>
      <c r="E4725" s="3" t="n">
        <v>5</v>
      </c>
      <c r="F4725" s="2" t="n">
        <v>3</v>
      </c>
      <c r="G4725" s="4" t="n">
        <v>4</v>
      </c>
      <c r="H4725" s="13" t="n">
        <v>3</v>
      </c>
      <c r="I4725" s="34" t="n">
        <v>4</v>
      </c>
      <c r="J4725" s="35" t="n">
        <v>4</v>
      </c>
      <c r="K4725" s="2" t="inlineStr">
        <is>
          <t>marker_368_379490.png</t>
        </is>
      </c>
      <c r="L4725" s="36">
        <f>HYPERLINK("NoConsenso\" &amp; K4725, "Ver Imagen")</f>
        <v/>
      </c>
      <c r="M4725" t="inlineStr">
        <is>
          <t>Mediana</t>
        </is>
      </c>
    </row>
    <row r="4726">
      <c r="A4726" s="33" t="n">
        <v>4725</v>
      </c>
      <c r="B4726" t="inlineStr">
        <is>
          <t>A-490__527</t>
        </is>
      </c>
      <c r="C4726" s="1" t="n">
        <v>37.4880406299</v>
      </c>
      <c r="D4726" s="1" t="n">
        <v>-7.24550463593</v>
      </c>
      <c r="E4726" s="3" t="n">
        <v>1</v>
      </c>
      <c r="F4726" s="2" t="n">
        <v>4</v>
      </c>
      <c r="G4726" s="4" t="n">
        <v>1</v>
      </c>
      <c r="H4726" s="13" t="n">
        <v>2</v>
      </c>
      <c r="I4726" s="34" t="n">
        <v>2</v>
      </c>
      <c r="J4726" s="35" t="n">
        <v>2</v>
      </c>
      <c r="K4726" s="2" t="inlineStr">
        <is>
          <t>marker_266_818163.png</t>
        </is>
      </c>
      <c r="L4726" s="36">
        <f>HYPERLINK("NoConsenso\" &amp; K4726, "Ver Imagen")</f>
        <v/>
      </c>
      <c r="M4726" t="inlineStr">
        <is>
          <t>Mediana</t>
        </is>
      </c>
    </row>
    <row r="4727">
      <c r="A4727" s="33" t="n">
        <v>4726</v>
      </c>
      <c r="B4727" t="inlineStr">
        <is>
          <t>A-495_1__183</t>
        </is>
      </c>
      <c r="C4727" s="1" t="n">
        <v>37.4828059859</v>
      </c>
      <c r="D4727" s="1" t="n">
        <v>-7.12878844444</v>
      </c>
      <c r="E4727" s="3" t="n">
        <v>1</v>
      </c>
      <c r="F4727" s="2" t="n">
        <v>1</v>
      </c>
      <c r="G4727" s="4" t="n">
        <v>4</v>
      </c>
      <c r="H4727" s="13" t="n">
        <v>1</v>
      </c>
      <c r="I4727" s="34" t="n">
        <v>1</v>
      </c>
      <c r="J4727" s="35" t="n">
        <v>1</v>
      </c>
      <c r="K4727" s="2" t="inlineStr">
        <is>
          <t>marker_226_383792.png</t>
        </is>
      </c>
      <c r="L4727" s="36">
        <f>HYPERLINK("NoConsenso\" &amp; K4727, "Ver Imagen")</f>
        <v/>
      </c>
      <c r="M4727" t="inlineStr">
        <is>
          <t>Mediana</t>
        </is>
      </c>
    </row>
    <row r="4728">
      <c r="A4728" s="33" t="n">
        <v>4727</v>
      </c>
      <c r="B4728" t="inlineStr">
        <is>
          <t>A-492__131</t>
        </is>
      </c>
      <c r="C4728" s="1" t="n">
        <v>37.2762808219</v>
      </c>
      <c r="D4728" s="1" t="n">
        <v>-7.01397742895</v>
      </c>
      <c r="E4728" s="3" t="n">
        <v>2</v>
      </c>
      <c r="F4728" s="2" t="n">
        <v>3</v>
      </c>
      <c r="G4728" s="4" t="n">
        <v>5</v>
      </c>
      <c r="H4728" s="13" t="n">
        <v>2</v>
      </c>
      <c r="I4728" s="34" t="n">
        <v>2</v>
      </c>
      <c r="J4728" s="35" t="n">
        <v>2</v>
      </c>
      <c r="K4728" s="2" t="inlineStr">
        <is>
          <t>marker_150_824554.png</t>
        </is>
      </c>
      <c r="L4728" s="36">
        <f>HYPERLINK("NoConsenso\" &amp; K4728, "Ver Imagen")</f>
        <v/>
      </c>
      <c r="M4728" t="inlineStr">
        <is>
          <t>Mediana</t>
        </is>
      </c>
    </row>
    <row r="4729">
      <c r="A4729" s="33" t="n">
        <v>4728</v>
      </c>
      <c r="B4729" t="inlineStr">
        <is>
          <t>A-492__394</t>
        </is>
      </c>
      <c r="C4729" s="1" t="n">
        <v>37.3077165229</v>
      </c>
      <c r="D4729" s="1" t="n">
        <v>-7.05701383673</v>
      </c>
      <c r="E4729" s="3" t="n">
        <v>2</v>
      </c>
      <c r="F4729" s="2" t="n">
        <v>2</v>
      </c>
      <c r="G4729" s="4" t="n">
        <v>5</v>
      </c>
      <c r="H4729" s="13" t="n">
        <v>2</v>
      </c>
      <c r="I4729" s="34" t="n">
        <v>2</v>
      </c>
      <c r="J4729" s="35" t="n">
        <v>2</v>
      </c>
      <c r="K4729" s="2" t="inlineStr">
        <is>
          <t>marker_982_839080.png</t>
        </is>
      </c>
      <c r="L4729" s="36">
        <f>HYPERLINK("NoConsenso\" &amp; K4729, "Ver Imagen")</f>
        <v/>
      </c>
      <c r="M4729" t="inlineStr">
        <is>
          <t>Mediana</t>
        </is>
      </c>
    </row>
    <row r="4730">
      <c r="A4730" s="33" t="n">
        <v>4729</v>
      </c>
      <c r="B4730" t="inlineStr">
        <is>
          <t>A-492__401</t>
        </is>
      </c>
      <c r="C4730" s="1" t="n">
        <v>37.3090769079</v>
      </c>
      <c r="D4730" s="1" t="n">
        <v>-7.05756095611</v>
      </c>
      <c r="E4730" s="3" t="n">
        <v>2</v>
      </c>
      <c r="F4730" s="2" t="n">
        <v>3</v>
      </c>
      <c r="G4730" s="4" t="n">
        <v>5</v>
      </c>
      <c r="H4730" s="13" t="n">
        <v>2</v>
      </c>
      <c r="I4730" s="34" t="n">
        <v>2</v>
      </c>
      <c r="J4730" s="35" t="n">
        <v>2</v>
      </c>
      <c r="K4730" s="2" t="inlineStr">
        <is>
          <t>marker_893_839173.png</t>
        </is>
      </c>
      <c r="L4730" s="36">
        <f>HYPERLINK("NoConsenso\" &amp; K4730, "Ver Imagen")</f>
        <v/>
      </c>
      <c r="M4730" t="inlineStr">
        <is>
          <t>Mediana</t>
        </is>
      </c>
    </row>
    <row r="4731">
      <c r="A4731" s="33" t="n">
        <v>4730</v>
      </c>
      <c r="B4731" t="inlineStr">
        <is>
          <t>A-497__679</t>
        </is>
      </c>
      <c r="C4731" s="1" t="n">
        <v>37.1992882352</v>
      </c>
      <c r="D4731" s="1" t="n">
        <v>-6.98323079123</v>
      </c>
      <c r="E4731" s="3" t="n">
        <v>2</v>
      </c>
      <c r="F4731" s="2" t="n">
        <v>3</v>
      </c>
      <c r="G4731" s="4" t="n">
        <v>5</v>
      </c>
      <c r="H4731" s="13" t="n">
        <v>2</v>
      </c>
      <c r="I4731" s="34" t="n">
        <v>3</v>
      </c>
      <c r="J4731" s="35" t="n">
        <v>3</v>
      </c>
      <c r="K4731" s="2" t="inlineStr">
        <is>
          <t>marker_546_370583.png</t>
        </is>
      </c>
      <c r="L4731" s="36">
        <f>HYPERLINK("NoConsenso\" &amp; K4731, "Ver Imagen")</f>
        <v/>
      </c>
      <c r="M4731" t="inlineStr">
        <is>
          <t>Mediana</t>
        </is>
      </c>
    </row>
    <row r="4732">
      <c r="A4732" s="33" t="n">
        <v>4731</v>
      </c>
      <c r="B4732" t="inlineStr">
        <is>
          <t>A-490__157</t>
        </is>
      </c>
      <c r="C4732" s="1" t="n">
        <v>37.4539362143</v>
      </c>
      <c r="D4732" s="1" t="n">
        <v>-7.16363788675</v>
      </c>
      <c r="E4732" s="3" t="n">
        <v>1</v>
      </c>
      <c r="F4732" s="2" t="n">
        <v>4</v>
      </c>
      <c r="G4732" s="4" t="n">
        <v>3</v>
      </c>
      <c r="H4732" s="13" t="n">
        <v>3</v>
      </c>
      <c r="I4732" s="34" t="n">
        <v>2</v>
      </c>
      <c r="J4732" s="35" t="n">
        <v>3</v>
      </c>
      <c r="K4732" s="2" t="inlineStr">
        <is>
          <t>marker_213_740911.png</t>
        </is>
      </c>
      <c r="L4732" s="36">
        <f>HYPERLINK("NoConsenso\" &amp; K4732, "Ver Imagen")</f>
        <v/>
      </c>
      <c r="M4732" t="inlineStr">
        <is>
          <t>Mediana</t>
        </is>
      </c>
    </row>
    <row r="4733">
      <c r="A4733" s="33" t="n">
        <v>4732</v>
      </c>
      <c r="B4733" t="inlineStr">
        <is>
          <t>A-490__361</t>
        </is>
      </c>
      <c r="C4733" s="1" t="n">
        <v>37.4779408138</v>
      </c>
      <c r="D4733" s="1" t="n">
        <v>-7.20556766058</v>
      </c>
      <c r="E4733" s="3" t="n">
        <v>1</v>
      </c>
      <c r="F4733" s="2" t="n">
        <v>4</v>
      </c>
      <c r="G4733" s="4" t="n">
        <v>3</v>
      </c>
      <c r="H4733" s="13" t="n">
        <v>2</v>
      </c>
      <c r="I4733" s="34" t="n">
        <v>2</v>
      </c>
      <c r="J4733" s="35" t="n">
        <v>2</v>
      </c>
      <c r="K4733" s="2" t="inlineStr">
        <is>
          <t>marker_467_751898.png</t>
        </is>
      </c>
      <c r="L4733" s="36">
        <f>HYPERLINK("NoConsenso\" &amp; K4733, "Ver Imagen")</f>
        <v/>
      </c>
      <c r="M4733" t="inlineStr">
        <is>
          <t>Mediana</t>
        </is>
      </c>
    </row>
    <row r="4734">
      <c r="A4734" s="33" t="n">
        <v>4733</v>
      </c>
      <c r="B4734" t="inlineStr">
        <is>
          <t>A-490__410</t>
        </is>
      </c>
      <c r="C4734" s="1" t="n">
        <v>37.4823236552</v>
      </c>
      <c r="D4734" s="1" t="n">
        <v>-7.21675669321</v>
      </c>
      <c r="E4734" s="3" t="n">
        <v>1</v>
      </c>
      <c r="F4734" s="2" t="n">
        <v>4</v>
      </c>
      <c r="G4734" s="4" t="n">
        <v>3</v>
      </c>
      <c r="H4734" s="13" t="n">
        <v>3</v>
      </c>
      <c r="I4734" s="34" t="n">
        <v>2</v>
      </c>
      <c r="J4734" s="35" t="n">
        <v>3</v>
      </c>
      <c r="K4734" s="2" t="inlineStr">
        <is>
          <t>marker_379_754123.png</t>
        </is>
      </c>
      <c r="L4734" s="36">
        <f>HYPERLINK("NoConsenso\" &amp; K4734, "Ver Imagen")</f>
        <v/>
      </c>
      <c r="M4734" t="inlineStr">
        <is>
          <t>Mediana</t>
        </is>
      </c>
    </row>
    <row r="4735">
      <c r="A4735" s="33" t="n">
        <v>4734</v>
      </c>
      <c r="B4735" t="inlineStr">
        <is>
          <t>A-490__34</t>
        </is>
      </c>
      <c r="C4735" s="1" t="n">
        <v>37.4462369196</v>
      </c>
      <c r="D4735" s="1" t="n">
        <v>-7.13472187051</v>
      </c>
      <c r="E4735" s="3" t="n">
        <v>2</v>
      </c>
      <c r="F4735" s="2" t="n">
        <v>5</v>
      </c>
      <c r="G4735" s="4" t="n">
        <v>4</v>
      </c>
      <c r="H4735" s="13" t="n">
        <v>4</v>
      </c>
      <c r="I4735" s="34" t="n">
        <v>4</v>
      </c>
      <c r="J4735" s="35" t="n">
        <v>4</v>
      </c>
      <c r="K4735" s="2" t="inlineStr">
        <is>
          <t>marker_161_731037.png</t>
        </is>
      </c>
      <c r="L4735" s="36">
        <f>HYPERLINK("NoConsenso\" &amp; K4735, "Ver Imagen")</f>
        <v/>
      </c>
      <c r="M4735" t="inlineStr">
        <is>
          <t>Mediana</t>
        </is>
      </c>
    </row>
    <row r="4736">
      <c r="A4736" s="33" t="n">
        <v>4735</v>
      </c>
      <c r="B4736" t="inlineStr">
        <is>
          <t>A-490__114</t>
        </is>
      </c>
      <c r="C4736" s="1" t="n">
        <v>37.4508363802</v>
      </c>
      <c r="D4736" s="1" t="n">
        <v>-7.15362006327</v>
      </c>
      <c r="E4736" s="3" t="n">
        <v>2</v>
      </c>
      <c r="F4736" s="2" t="n">
        <v>5</v>
      </c>
      <c r="G4736" s="4" t="n">
        <v>4</v>
      </c>
      <c r="H4736" s="13" t="n">
        <v>4</v>
      </c>
      <c r="I4736" s="34" t="n">
        <v>4</v>
      </c>
      <c r="J4736" s="35" t="n">
        <v>4</v>
      </c>
      <c r="K4736" s="2" t="inlineStr">
        <is>
          <t>marker_164_739861.png</t>
        </is>
      </c>
      <c r="L4736" s="36">
        <f>HYPERLINK("NoConsenso\" &amp; K4736, "Ver Imagen")</f>
        <v/>
      </c>
      <c r="M4736" t="inlineStr">
        <is>
          <t>Mediana</t>
        </is>
      </c>
    </row>
    <row r="4737">
      <c r="A4737" s="33" t="n">
        <v>4736</v>
      </c>
      <c r="B4737" t="inlineStr">
        <is>
          <t>A-490__350</t>
        </is>
      </c>
      <c r="C4737" s="1" t="n">
        <v>37.4768985626</v>
      </c>
      <c r="D4737" s="1" t="n">
        <v>-7.20315471346</v>
      </c>
      <c r="E4737" s="3" t="n">
        <v>1</v>
      </c>
      <c r="F4737" s="2" t="n">
        <v>3</v>
      </c>
      <c r="G4737" s="4" t="n">
        <v>4</v>
      </c>
      <c r="H4737" s="13" t="n">
        <v>3</v>
      </c>
      <c r="I4737" s="34" t="n">
        <v>3</v>
      </c>
      <c r="J4737" s="35" t="n">
        <v>3</v>
      </c>
      <c r="K4737" s="2" t="inlineStr">
        <is>
          <t>marker_284_751678.png</t>
        </is>
      </c>
      <c r="L4737" s="36">
        <f>HYPERLINK("NoConsenso\" &amp; K4737, "Ver Imagen")</f>
        <v/>
      </c>
      <c r="M4737" t="inlineStr">
        <is>
          <t>Mediana</t>
        </is>
      </c>
    </row>
    <row r="4738">
      <c r="A4738" s="33" t="n">
        <v>4737</v>
      </c>
      <c r="B4738" t="inlineStr">
        <is>
          <t>A-495R__72</t>
        </is>
      </c>
      <c r="C4738" s="1" t="n">
        <v>37.4584744077</v>
      </c>
      <c r="D4738" s="1" t="n">
        <v>-7.11455516077</v>
      </c>
      <c r="E4738" s="3" t="n">
        <v>1</v>
      </c>
      <c r="F4738" s="2" t="n">
        <v>4</v>
      </c>
      <c r="G4738" s="4" t="n">
        <v>4</v>
      </c>
      <c r="H4738" s="13" t="n">
        <v>4</v>
      </c>
      <c r="I4738" s="34" t="n">
        <v>4</v>
      </c>
      <c r="J4738" s="35" t="n">
        <v>4</v>
      </c>
      <c r="K4738" s="2" t="inlineStr">
        <is>
          <t>marker_588_935195.png</t>
        </is>
      </c>
      <c r="L4738" s="36">
        <f>HYPERLINK("NoConsenso\" &amp; K4738, "Ver Imagen")</f>
        <v/>
      </c>
      <c r="M4738" t="inlineStr">
        <is>
          <t>Mediana</t>
        </is>
      </c>
    </row>
    <row r="4739">
      <c r="A4739" s="33" t="n">
        <v>4738</v>
      </c>
      <c r="B4739" t="inlineStr">
        <is>
          <t>A-495_1__123</t>
        </is>
      </c>
      <c r="C4739" s="1" t="n">
        <v>37.4716412137</v>
      </c>
      <c r="D4739" s="1" t="n">
        <v>-7.12592926429</v>
      </c>
      <c r="E4739" s="3" t="n">
        <v>4</v>
      </c>
      <c r="F4739" s="2" t="n">
        <v>1</v>
      </c>
      <c r="G4739" s="4" t="n">
        <v>4</v>
      </c>
      <c r="H4739" s="13" t="n">
        <v>3</v>
      </c>
      <c r="I4739" s="34" t="n">
        <v>2</v>
      </c>
      <c r="J4739" s="35" t="n">
        <v>3</v>
      </c>
      <c r="K4739" s="2" t="inlineStr">
        <is>
          <t>marker_578_384541.png</t>
        </is>
      </c>
      <c r="L4739" s="36">
        <f>HYPERLINK("NoConsenso\" &amp; K4739, "Ver Imagen")</f>
        <v/>
      </c>
      <c r="M4739" t="inlineStr">
        <is>
          <t>Mediana</t>
        </is>
      </c>
    </row>
    <row r="4740">
      <c r="A4740" s="33" t="n">
        <v>4739</v>
      </c>
      <c r="B4740" t="inlineStr">
        <is>
          <t>A-495_1__102</t>
        </is>
      </c>
      <c r="C4740" s="1" t="n">
        <v>37.4679271296</v>
      </c>
      <c r="D4740" s="1" t="n">
        <v>-7.12324939377</v>
      </c>
      <c r="E4740" s="3" t="n">
        <v>4</v>
      </c>
      <c r="F4740" s="2" t="n">
        <v>7</v>
      </c>
      <c r="G4740" s="4" t="n">
        <v>4</v>
      </c>
      <c r="H4740" s="13" t="n">
        <v>4</v>
      </c>
      <c r="I4740" s="34" t="n">
        <v>4</v>
      </c>
      <c r="J4740" s="35" t="n">
        <v>4</v>
      </c>
      <c r="K4740" s="2" t="inlineStr">
        <is>
          <t>marker_405_384978.png</t>
        </is>
      </c>
      <c r="L4740" s="36">
        <f>HYPERLINK("NoConsenso\" &amp; K4740, "Ver Imagen")</f>
        <v/>
      </c>
      <c r="M4740" t="inlineStr">
        <is>
          <t>Mediana</t>
        </is>
      </c>
    </row>
    <row r="4741">
      <c r="A4741" s="33" t="n">
        <v>4740</v>
      </c>
      <c r="B4741" t="inlineStr">
        <is>
          <t>A-497_2C__459</t>
        </is>
      </c>
      <c r="C4741" s="1" t="n">
        <v>37.2184288763</v>
      </c>
      <c r="D4741" s="1" t="n">
        <v>-7.02300902052</v>
      </c>
      <c r="E4741" s="3" t="n">
        <v>4</v>
      </c>
      <c r="F4741" s="2" t="n">
        <v>1</v>
      </c>
      <c r="G4741" s="4" t="n">
        <v>4</v>
      </c>
      <c r="H4741" s="13" t="n">
        <v>2</v>
      </c>
      <c r="I4741" s="34" t="n">
        <v>1</v>
      </c>
      <c r="J4741" s="35" t="n">
        <v>2</v>
      </c>
      <c r="K4741" s="2" t="inlineStr">
        <is>
          <t>marker_260_363526.png</t>
        </is>
      </c>
      <c r="L4741" s="36">
        <f>HYPERLINK("NoConsenso\" &amp; K4741, "Ver Imagen")</f>
        <v/>
      </c>
      <c r="M4741" t="inlineStr">
        <is>
          <t>Mediana</t>
        </is>
      </c>
    </row>
    <row r="4742">
      <c r="A4742" s="33" t="n">
        <v>4741</v>
      </c>
      <c r="B4742" t="inlineStr">
        <is>
          <t>A-490__54</t>
        </is>
      </c>
      <c r="C4742" s="1" t="n">
        <v>37.4470728854</v>
      </c>
      <c r="D4742" s="1" t="n">
        <v>-7.13952394084</v>
      </c>
      <c r="E4742" s="3" t="n">
        <v>2</v>
      </c>
      <c r="F4742" s="2" t="n">
        <v>5</v>
      </c>
      <c r="G4742" s="4" t="n">
        <v>5</v>
      </c>
      <c r="H4742" s="13" t="n">
        <v>4</v>
      </c>
      <c r="I4742" s="34" t="n">
        <v>5</v>
      </c>
      <c r="J4742" s="35" t="n">
        <v>5</v>
      </c>
      <c r="K4742" s="2" t="inlineStr">
        <is>
          <t>marker_904_732381.png</t>
        </is>
      </c>
      <c r="L4742" s="36">
        <f>HYPERLINK("NoConsenso\" &amp; K4742, "Ver Imagen")</f>
        <v/>
      </c>
      <c r="M4742" t="inlineStr">
        <is>
          <t>Mediana</t>
        </is>
      </c>
    </row>
    <row r="4743">
      <c r="A4743" s="33" t="n">
        <v>4742</v>
      </c>
      <c r="B4743" t="inlineStr">
        <is>
          <t>A-497__86</t>
        </is>
      </c>
      <c r="C4743" s="1" t="n">
        <v>37.2693459323</v>
      </c>
      <c r="D4743" s="1" t="n">
        <v>-6.97717464687</v>
      </c>
      <c r="E4743" s="3" t="n">
        <v>2</v>
      </c>
      <c r="F4743" s="2" t="n">
        <v>4</v>
      </c>
      <c r="G4743" s="4" t="n">
        <v>5</v>
      </c>
      <c r="H4743" s="13" t="n">
        <v>4</v>
      </c>
      <c r="I4743" s="34" t="n">
        <v>4</v>
      </c>
      <c r="J4743" s="35" t="n">
        <v>4</v>
      </c>
      <c r="K4743" s="2" t="inlineStr">
        <is>
          <t>marker_880_937391.png</t>
        </is>
      </c>
      <c r="L4743" s="36">
        <f>HYPERLINK("NoConsenso\" &amp; K4743, "Ver Imagen")</f>
        <v/>
      </c>
      <c r="M4743" t="inlineStr">
        <is>
          <t>Mediana</t>
        </is>
      </c>
    </row>
    <row r="4744">
      <c r="A4744" s="33" t="n">
        <v>4743</v>
      </c>
      <c r="B4744" t="inlineStr">
        <is>
          <t>A-497__80</t>
        </is>
      </c>
      <c r="C4744" s="1" t="n">
        <v>37.2689751232</v>
      </c>
      <c r="D4744" s="1" t="n">
        <v>-6.97579008344</v>
      </c>
      <c r="E4744" s="3" t="n">
        <v>2</v>
      </c>
      <c r="F4744" s="2" t="n">
        <v>4</v>
      </c>
      <c r="G4744" s="4" t="n">
        <v>5</v>
      </c>
      <c r="H4744" s="13" t="n">
        <v>3</v>
      </c>
      <c r="I4744" s="34" t="n">
        <v>4</v>
      </c>
      <c r="J4744" s="35" t="n">
        <v>4</v>
      </c>
      <c r="K4744" s="2" t="inlineStr">
        <is>
          <t>marker_674_937461.png</t>
        </is>
      </c>
      <c r="L4744" s="36">
        <f>HYPERLINK("NoConsenso\" &amp; K4744, "Ver Imagen")</f>
        <v/>
      </c>
      <c r="M4744" t="inlineStr">
        <is>
          <t>Mediana</t>
        </is>
      </c>
    </row>
    <row r="4745">
      <c r="A4745" s="33" t="n">
        <v>4744</v>
      </c>
      <c r="B4745" t="inlineStr">
        <is>
          <t>A-497__74</t>
        </is>
      </c>
      <c r="C4745" s="1" t="n">
        <v>37.2686337185</v>
      </c>
      <c r="D4745" s="1" t="n">
        <v>-6.97431993614</v>
      </c>
      <c r="E4745" s="3" t="n">
        <v>2</v>
      </c>
      <c r="F4745" s="2" t="n">
        <v>3</v>
      </c>
      <c r="G4745" s="4" t="n">
        <v>5</v>
      </c>
      <c r="H4745" s="13" t="n">
        <v>3</v>
      </c>
      <c r="I4745" s="34" t="n">
        <v>4</v>
      </c>
      <c r="J4745" s="35" t="n">
        <v>3</v>
      </c>
      <c r="K4745" s="2" t="inlineStr">
        <is>
          <t>marker_921_937998.png</t>
        </is>
      </c>
      <c r="L4745" s="36">
        <f>HYPERLINK("NoConsenso\" &amp; K4745, "Ver Imagen")</f>
        <v/>
      </c>
      <c r="M4745" t="inlineStr">
        <is>
          <t>Mediana</t>
        </is>
      </c>
    </row>
    <row r="4746">
      <c r="A4746" s="33" t="n">
        <v>4745</v>
      </c>
      <c r="B4746" t="inlineStr">
        <is>
          <t>A-490__63</t>
        </is>
      </c>
      <c r="C4746" s="1" t="n">
        <v>37.4479767641</v>
      </c>
      <c r="D4746" s="1" t="n">
        <v>-7.14154802067</v>
      </c>
      <c r="E4746" s="3" t="n">
        <v>1</v>
      </c>
      <c r="F4746" s="2" t="n">
        <v>2</v>
      </c>
      <c r="G4746" s="4" t="n">
        <v>4</v>
      </c>
      <c r="H4746" s="13" t="n">
        <v>3</v>
      </c>
      <c r="I4746" s="34" t="n">
        <v>2</v>
      </c>
      <c r="J4746" s="37" t="n">
        <v>3</v>
      </c>
      <c r="K4746" s="2" t="inlineStr">
        <is>
          <t>marker_472_737970.png</t>
        </is>
      </c>
      <c r="L4746" s="36">
        <f>HYPERLINK("NoConsenso\" &amp; K4746, "Ver Imagen")</f>
        <v/>
      </c>
      <c r="M4746" s="37" t="inlineStr">
        <is>
          <t>Modificada</t>
        </is>
      </c>
    </row>
    <row r="4747">
      <c r="A4747" s="33" t="n">
        <v>4746</v>
      </c>
      <c r="B4747" t="inlineStr">
        <is>
          <t>A-490__41</t>
        </is>
      </c>
      <c r="C4747" s="1" t="n">
        <v>37.4461850012</v>
      </c>
      <c r="D4747" s="1" t="n">
        <v>-7.13647249756</v>
      </c>
      <c r="E4747" s="3" t="n">
        <v>2</v>
      </c>
      <c r="F4747" s="2" t="n">
        <v>5</v>
      </c>
      <c r="G4747" s="4" t="n">
        <v>5</v>
      </c>
      <c r="H4747" s="13" t="n">
        <v>4</v>
      </c>
      <c r="I4747" s="34" t="n">
        <v>4</v>
      </c>
      <c r="J4747" s="35" t="n">
        <v>4</v>
      </c>
      <c r="K4747" s="2" t="inlineStr">
        <is>
          <t>marker_135_731218.png</t>
        </is>
      </c>
      <c r="L4747" s="36">
        <f>HYPERLINK("NoConsenso\" &amp; K4747, "Ver Imagen")</f>
        <v/>
      </c>
      <c r="M4747" t="inlineStr">
        <is>
          <t>Mediana</t>
        </is>
      </c>
    </row>
    <row r="4748">
      <c r="A4748" s="33" t="n">
        <v>4747</v>
      </c>
      <c r="B4748" t="inlineStr">
        <is>
          <t>A-490__47</t>
        </is>
      </c>
      <c r="C4748" s="1" t="n">
        <v>37.446588611</v>
      </c>
      <c r="D4748" s="1" t="n">
        <v>-7.13792195364</v>
      </c>
      <c r="E4748" s="3" t="n">
        <v>2</v>
      </c>
      <c r="F4748" s="2" t="n">
        <v>5</v>
      </c>
      <c r="G4748" s="4" t="n">
        <v>4</v>
      </c>
      <c r="H4748" s="13" t="n">
        <v>4</v>
      </c>
      <c r="I4748" s="34" t="n">
        <v>4</v>
      </c>
      <c r="J4748" s="35" t="n">
        <v>4</v>
      </c>
      <c r="K4748" s="2" t="inlineStr">
        <is>
          <t>marker_823_731377.png</t>
        </is>
      </c>
      <c r="L4748" s="36">
        <f>HYPERLINK("NoConsenso\" &amp; K4748, "Ver Imagen")</f>
        <v/>
      </c>
      <c r="M4748" t="inlineStr">
        <is>
          <t>Mediana</t>
        </is>
      </c>
    </row>
    <row r="4749">
      <c r="A4749" s="33" t="n">
        <v>4748</v>
      </c>
      <c r="B4749" t="inlineStr">
        <is>
          <t>A-490__69</t>
        </is>
      </c>
      <c r="C4749" s="1" t="n">
        <v>37.4484679827</v>
      </c>
      <c r="D4749" s="1" t="n">
        <v>-7.14295674665</v>
      </c>
      <c r="E4749" s="3" t="n">
        <v>1</v>
      </c>
      <c r="F4749" s="2" t="n">
        <v>2</v>
      </c>
      <c r="G4749" s="4" t="n">
        <v>4</v>
      </c>
      <c r="H4749" s="13" t="n">
        <v>2</v>
      </c>
      <c r="I4749" s="34" t="n">
        <v>2</v>
      </c>
      <c r="J4749" s="35" t="n">
        <v>2</v>
      </c>
      <c r="K4749" s="2" t="inlineStr">
        <is>
          <t>marker_423_738134.png</t>
        </is>
      </c>
      <c r="L4749" s="36">
        <f>HYPERLINK("NoConsenso\" &amp; K4749, "Ver Imagen")</f>
        <v/>
      </c>
      <c r="M4749" t="inlineStr">
        <is>
          <t>Mediana</t>
        </is>
      </c>
    </row>
    <row r="4750">
      <c r="A4750" s="33" t="n">
        <v>4749</v>
      </c>
      <c r="B4750" t="inlineStr">
        <is>
          <t>A-490__76</t>
        </is>
      </c>
      <c r="C4750" s="1" t="n">
        <v>37.4485624286</v>
      </c>
      <c r="D4750" s="1" t="n">
        <v>-7.14467705803</v>
      </c>
      <c r="E4750" s="3" t="n">
        <v>2</v>
      </c>
      <c r="F4750" s="2" t="n">
        <v>3</v>
      </c>
      <c r="G4750" s="4" t="n">
        <v>5</v>
      </c>
      <c r="H4750" s="13" t="n">
        <v>3</v>
      </c>
      <c r="I4750" s="34" t="n">
        <v>3</v>
      </c>
      <c r="J4750" s="35" t="n">
        <v>3</v>
      </c>
      <c r="K4750" s="2" t="inlineStr">
        <is>
          <t>marker_600_738485.png</t>
        </is>
      </c>
      <c r="L4750" s="36">
        <f>HYPERLINK("NoConsenso\" &amp; K4750, "Ver Imagen")</f>
        <v/>
      </c>
      <c r="M4750" t="inlineStr">
        <is>
          <t>Mediana</t>
        </is>
      </c>
    </row>
    <row r="4751">
      <c r="A4751" s="33" t="n">
        <v>4750</v>
      </c>
      <c r="B4751" t="inlineStr">
        <is>
          <t>A-490__116</t>
        </is>
      </c>
      <c r="C4751" s="1" t="n">
        <v>37.4510420434</v>
      </c>
      <c r="D4751" s="1" t="n">
        <v>-7.15402208538</v>
      </c>
      <c r="E4751" s="3" t="n">
        <v>2</v>
      </c>
      <c r="F4751" s="2" t="n">
        <v>4</v>
      </c>
      <c r="G4751" s="4" t="n">
        <v>5</v>
      </c>
      <c r="H4751" s="13" t="n">
        <v>4</v>
      </c>
      <c r="I4751" s="34" t="n">
        <v>4</v>
      </c>
      <c r="J4751" s="35" t="n">
        <v>4</v>
      </c>
      <c r="K4751" s="2" t="inlineStr">
        <is>
          <t>marker_437_739899.png</t>
        </is>
      </c>
      <c r="L4751" s="36">
        <f>HYPERLINK("NoConsenso\" &amp; K4751, "Ver Imagen")</f>
        <v/>
      </c>
      <c r="M4751" t="inlineStr">
        <is>
          <t>Mediana</t>
        </is>
      </c>
    </row>
    <row r="4752">
      <c r="A4752" s="33" t="n">
        <v>4751</v>
      </c>
      <c r="B4752" t="inlineStr">
        <is>
          <t>A-490__94</t>
        </is>
      </c>
      <c r="C4752" s="1" t="n">
        <v>37.448833266</v>
      </c>
      <c r="D4752" s="1" t="n">
        <v>-7.14925650198</v>
      </c>
      <c r="E4752" s="3" t="n">
        <v>2</v>
      </c>
      <c r="F4752" s="2" t="n">
        <v>4</v>
      </c>
      <c r="G4752" s="4" t="n">
        <v>5</v>
      </c>
      <c r="H4752" s="13" t="n">
        <v>4</v>
      </c>
      <c r="I4752" s="34" t="n">
        <v>4</v>
      </c>
      <c r="J4752" s="35" t="n">
        <v>4</v>
      </c>
      <c r="K4752" s="2" t="inlineStr">
        <is>
          <t>marker_997_739047.png</t>
        </is>
      </c>
      <c r="L4752" s="36">
        <f>HYPERLINK("NoConsenso\" &amp; K4752, "Ver Imagen")</f>
        <v/>
      </c>
      <c r="M4752" t="inlineStr">
        <is>
          <t>Mediana</t>
        </is>
      </c>
    </row>
    <row r="4753">
      <c r="A4753" s="33" t="n">
        <v>4752</v>
      </c>
      <c r="B4753" t="inlineStr">
        <is>
          <t>A-490__97</t>
        </is>
      </c>
      <c r="C4753" s="1" t="n">
        <v>37.4490040124</v>
      </c>
      <c r="D4753" s="1" t="n">
        <v>-7.14995530295</v>
      </c>
      <c r="E4753" s="3" t="n">
        <v>2</v>
      </c>
      <c r="F4753" s="2" t="n">
        <v>3</v>
      </c>
      <c r="G4753" s="4" t="n">
        <v>5</v>
      </c>
      <c r="H4753" s="13" t="n">
        <v>3</v>
      </c>
      <c r="I4753" s="34" t="n">
        <v>4</v>
      </c>
      <c r="J4753" s="35" t="n">
        <v>3</v>
      </c>
      <c r="K4753" s="2" t="inlineStr">
        <is>
          <t>marker_651_739107.png</t>
        </is>
      </c>
      <c r="L4753" s="36">
        <f>HYPERLINK("NoConsenso\" &amp; K4753, "Ver Imagen")</f>
        <v/>
      </c>
      <c r="M4753" t="inlineStr">
        <is>
          <t>Mediana</t>
        </is>
      </c>
    </row>
    <row r="4754">
      <c r="A4754" s="33" t="n">
        <v>4753</v>
      </c>
      <c r="B4754" t="inlineStr">
        <is>
          <t>A-490__131</t>
        </is>
      </c>
      <c r="C4754" s="1" t="n">
        <v>37.451870656</v>
      </c>
      <c r="D4754" s="1" t="n">
        <v>-7.15767232278</v>
      </c>
      <c r="E4754" s="3" t="n">
        <v>2</v>
      </c>
      <c r="F4754" s="2" t="n">
        <v>3</v>
      </c>
      <c r="G4754" s="4" t="n">
        <v>5</v>
      </c>
      <c r="H4754" s="13" t="n">
        <v>3</v>
      </c>
      <c r="I4754" s="34" t="n">
        <v>3</v>
      </c>
      <c r="J4754" s="35" t="n">
        <v>3</v>
      </c>
      <c r="K4754" s="2" t="inlineStr">
        <is>
          <t>marker_854_740268.png</t>
        </is>
      </c>
      <c r="L4754" s="36">
        <f>HYPERLINK("NoConsenso\" &amp; K4754, "Ver Imagen")</f>
        <v/>
      </c>
      <c r="M4754" t="inlineStr">
        <is>
          <t>Mediana</t>
        </is>
      </c>
    </row>
    <row r="4755">
      <c r="A4755" s="33" t="n">
        <v>4754</v>
      </c>
      <c r="B4755" t="inlineStr">
        <is>
          <t>A-490__134</t>
        </is>
      </c>
      <c r="C4755" s="1" t="n">
        <v>37.4520278415</v>
      </c>
      <c r="D4755" s="1" t="n">
        <v>-7.15842502298</v>
      </c>
      <c r="E4755" s="3" t="n">
        <v>2</v>
      </c>
      <c r="F4755" s="2" t="n">
        <v>3</v>
      </c>
      <c r="G4755" s="4" t="n">
        <v>5</v>
      </c>
      <c r="H4755" s="13" t="n">
        <v>3</v>
      </c>
      <c r="I4755" s="34" t="n">
        <v>3</v>
      </c>
      <c r="J4755" s="35" t="n">
        <v>3</v>
      </c>
      <c r="K4755" s="2" t="inlineStr">
        <is>
          <t>marker_528_740320.png</t>
        </is>
      </c>
      <c r="L4755" s="36">
        <f>HYPERLINK("NoConsenso\" &amp; K4755, "Ver Imagen")</f>
        <v/>
      </c>
      <c r="M4755" t="inlineStr">
        <is>
          <t>Mediana</t>
        </is>
      </c>
    </row>
    <row r="4756">
      <c r="A4756" s="33" t="n">
        <v>4755</v>
      </c>
      <c r="B4756" t="inlineStr">
        <is>
          <t>A-490__146</t>
        </is>
      </c>
      <c r="C4756" s="1" t="n">
        <v>37.4527572148</v>
      </c>
      <c r="D4756" s="1" t="n">
        <v>-7.16130389239</v>
      </c>
      <c r="E4756" s="3" t="n">
        <v>1</v>
      </c>
      <c r="F4756" s="2" t="n">
        <v>3</v>
      </c>
      <c r="G4756" s="4" t="n">
        <v>4</v>
      </c>
      <c r="H4756" s="13" t="n">
        <v>2</v>
      </c>
      <c r="I4756" s="34" t="n">
        <v>3</v>
      </c>
      <c r="J4756" s="37" t="n">
        <v>2</v>
      </c>
      <c r="K4756" s="2" t="inlineStr">
        <is>
          <t>marker_736_740675.png</t>
        </is>
      </c>
      <c r="L4756" s="36">
        <f>HYPERLINK("NoConsenso\" &amp; K4756, "Ver Imagen")</f>
        <v/>
      </c>
      <c r="M4756" s="37" t="inlineStr">
        <is>
          <t>Modificada</t>
        </is>
      </c>
    </row>
    <row r="4757">
      <c r="A4757" s="33" t="n">
        <v>4756</v>
      </c>
      <c r="B4757" t="inlineStr">
        <is>
          <t>A-490__164</t>
        </is>
      </c>
      <c r="C4757" s="1" t="n">
        <v>37.4546834171</v>
      </c>
      <c r="D4757" s="1" t="n">
        <v>-7.16509814237</v>
      </c>
      <c r="E4757" s="3" t="n">
        <v>2</v>
      </c>
      <c r="F4757" s="2" t="n">
        <v>4</v>
      </c>
      <c r="G4757" s="4" t="n">
        <v>5</v>
      </c>
      <c r="H4757" s="13" t="n">
        <v>4</v>
      </c>
      <c r="I4757" s="34" t="n">
        <v>5</v>
      </c>
      <c r="J4757" s="35" t="n">
        <v>4</v>
      </c>
      <c r="K4757" s="2" t="inlineStr">
        <is>
          <t>marker_877_741322.png</t>
        </is>
      </c>
      <c r="L4757" s="36">
        <f>HYPERLINK("NoConsenso\" &amp; K4757, "Ver Imagen")</f>
        <v/>
      </c>
      <c r="M4757" t="inlineStr">
        <is>
          <t>Mediana</t>
        </is>
      </c>
    </row>
    <row r="4758">
      <c r="A4758" s="33" t="n">
        <v>4757</v>
      </c>
      <c r="B4758" t="inlineStr">
        <is>
          <t>A-490__180</t>
        </is>
      </c>
      <c r="C4758" s="1" t="n">
        <v>37.4569871684</v>
      </c>
      <c r="D4758" s="1" t="n">
        <v>-7.16802283071</v>
      </c>
      <c r="E4758" s="3" t="n">
        <v>1</v>
      </c>
      <c r="F4758" s="2" t="n">
        <v>3</v>
      </c>
      <c r="G4758" s="4" t="n">
        <v>4</v>
      </c>
      <c r="H4758" s="13" t="n">
        <v>3</v>
      </c>
      <c r="I4758" s="34" t="n">
        <v>3</v>
      </c>
      <c r="J4758" s="35" t="n">
        <v>3</v>
      </c>
      <c r="K4758" s="2" t="inlineStr">
        <is>
          <t>marker_239_741790.png</t>
        </is>
      </c>
      <c r="L4758" s="36">
        <f>HYPERLINK("NoConsenso\" &amp; K4758, "Ver Imagen")</f>
        <v/>
      </c>
      <c r="M4758" t="inlineStr">
        <is>
          <t>Mediana</t>
        </is>
      </c>
    </row>
    <row r="4759">
      <c r="A4759" s="33" t="n">
        <v>4758</v>
      </c>
      <c r="B4759" t="inlineStr">
        <is>
          <t>A-490__216</t>
        </is>
      </c>
      <c r="C4759" s="1" t="n">
        <v>37.461836467</v>
      </c>
      <c r="D4759" s="1" t="n">
        <v>-7.17486504512</v>
      </c>
      <c r="E4759" s="3" t="n">
        <v>2</v>
      </c>
      <c r="F4759" s="2" t="n">
        <v>4</v>
      </c>
      <c r="G4759" s="4" t="n">
        <v>5</v>
      </c>
      <c r="H4759" s="13" t="n">
        <v>3</v>
      </c>
      <c r="I4759" s="34" t="n">
        <v>4</v>
      </c>
      <c r="J4759" s="35" t="n">
        <v>4</v>
      </c>
      <c r="K4759" s="2" t="inlineStr">
        <is>
          <t>marker_811_743223.png</t>
        </is>
      </c>
      <c r="L4759" s="36">
        <f>HYPERLINK("NoConsenso\" &amp; K4759, "Ver Imagen")</f>
        <v/>
      </c>
      <c r="M4759" t="inlineStr">
        <is>
          <t>Mediana</t>
        </is>
      </c>
    </row>
    <row r="4760">
      <c r="A4760" s="33" t="n">
        <v>4759</v>
      </c>
      <c r="B4760" t="inlineStr">
        <is>
          <t>A-490__585</t>
        </is>
      </c>
      <c r="C4760" s="1" t="n">
        <v>37.4900751592</v>
      </c>
      <c r="D4760" s="1" t="n">
        <v>-7.25899859601</v>
      </c>
      <c r="E4760" s="3" t="n">
        <v>1</v>
      </c>
      <c r="F4760" s="2" t="n">
        <v>3</v>
      </c>
      <c r="G4760" s="4" t="n">
        <v>4</v>
      </c>
      <c r="H4760" s="13" t="n">
        <v>2</v>
      </c>
      <c r="I4760" s="34" t="n">
        <v>2</v>
      </c>
      <c r="J4760" s="35" t="n">
        <v>2</v>
      </c>
      <c r="K4760" s="2" t="inlineStr">
        <is>
          <t>marker_233_819550.png</t>
        </is>
      </c>
      <c r="L4760" s="36">
        <f>HYPERLINK("NoConsenso\" &amp; K4760, "Ver Imagen")</f>
        <v/>
      </c>
      <c r="M4760" t="inlineStr">
        <is>
          <t>Mediana</t>
        </is>
      </c>
    </row>
    <row r="4761">
      <c r="A4761" s="33" t="n">
        <v>4760</v>
      </c>
      <c r="B4761" t="inlineStr">
        <is>
          <t>A-490__498</t>
        </is>
      </c>
      <c r="C4761" s="1" t="n">
        <v>37.4865341811</v>
      </c>
      <c r="D4761" s="1" t="n">
        <v>-7.23844703905</v>
      </c>
      <c r="E4761" s="3" t="n">
        <v>2</v>
      </c>
      <c r="F4761" s="2" t="n">
        <v>4</v>
      </c>
      <c r="G4761" s="4" t="n">
        <v>5</v>
      </c>
      <c r="H4761" s="13" t="n">
        <v>3</v>
      </c>
      <c r="I4761" s="34" t="n">
        <v>3</v>
      </c>
      <c r="J4761" s="35" t="n">
        <v>3</v>
      </c>
      <c r="K4761" s="2" t="inlineStr">
        <is>
          <t>marker_979_817529.png</t>
        </is>
      </c>
      <c r="L4761" s="36">
        <f>HYPERLINK("NoConsenso\" &amp; K4761, "Ver Imagen")</f>
        <v/>
      </c>
      <c r="M4761" t="inlineStr">
        <is>
          <t>Mediana</t>
        </is>
      </c>
    </row>
    <row r="4762">
      <c r="A4762" s="33" t="n">
        <v>4761</v>
      </c>
      <c r="B4762" t="inlineStr">
        <is>
          <t>A-490__538</t>
        </is>
      </c>
      <c r="C4762" s="1" t="n">
        <v>37.4892190121</v>
      </c>
      <c r="D4762" s="1" t="n">
        <v>-7.24789397394</v>
      </c>
      <c r="E4762" s="3" t="n">
        <v>1</v>
      </c>
      <c r="F4762" s="2" t="n">
        <v>4</v>
      </c>
      <c r="G4762" s="4" t="n">
        <v>3</v>
      </c>
      <c r="H4762" s="13" t="n">
        <v>2</v>
      </c>
      <c r="I4762" s="34" t="n">
        <v>1</v>
      </c>
      <c r="J4762" s="35" t="n">
        <v>2</v>
      </c>
      <c r="K4762" s="2" t="inlineStr">
        <is>
          <t>marker_353_818316.png</t>
        </is>
      </c>
      <c r="L4762" s="36">
        <f>HYPERLINK("NoConsenso\" &amp; K4762, "Ver Imagen")</f>
        <v/>
      </c>
      <c r="M4762" t="inlineStr">
        <is>
          <t>Mediana</t>
        </is>
      </c>
    </row>
    <row r="4763">
      <c r="A4763" s="33" t="n">
        <v>4762</v>
      </c>
      <c r="B4763" t="inlineStr">
        <is>
          <t>A-490__549</t>
        </is>
      </c>
      <c r="C4763" s="1" t="n">
        <v>37.4906886806</v>
      </c>
      <c r="D4763" s="1" t="n">
        <v>-7.24992745029</v>
      </c>
      <c r="E4763" s="3" t="n">
        <v>1</v>
      </c>
      <c r="F4763" s="2" t="n">
        <v>3</v>
      </c>
      <c r="G4763" s="4" t="n">
        <v>4</v>
      </c>
      <c r="H4763" s="13" t="n">
        <v>2</v>
      </c>
      <c r="I4763" s="34" t="n">
        <v>3</v>
      </c>
      <c r="J4763" s="35" t="n">
        <v>3</v>
      </c>
      <c r="K4763" s="2" t="inlineStr">
        <is>
          <t>marker_476_818515.png</t>
        </is>
      </c>
      <c r="L4763" s="36">
        <f>HYPERLINK("NoConsenso\" &amp; K4763, "Ver Imagen")</f>
        <v/>
      </c>
      <c r="M4763" t="inlineStr">
        <is>
          <t>Mediana</t>
        </is>
      </c>
    </row>
    <row r="4764">
      <c r="A4764" s="33" t="n">
        <v>4763</v>
      </c>
      <c r="B4764" t="inlineStr">
        <is>
          <t>A-490__618</t>
        </is>
      </c>
      <c r="C4764" s="1" t="n">
        <v>37.4940436069</v>
      </c>
      <c r="D4764" s="1" t="n">
        <v>-7.26545729883</v>
      </c>
      <c r="E4764" s="3" t="n">
        <v>1</v>
      </c>
      <c r="F4764" s="2" t="n">
        <v>4</v>
      </c>
      <c r="G4764" s="4" t="n">
        <v>3</v>
      </c>
      <c r="H4764" s="13" t="n">
        <v>3</v>
      </c>
      <c r="I4764" s="34" t="n">
        <v>3</v>
      </c>
      <c r="J4764" s="35" t="n">
        <v>3</v>
      </c>
      <c r="K4764" s="2" t="inlineStr">
        <is>
          <t>marker_291_820285.png</t>
        </is>
      </c>
      <c r="L4764" s="36">
        <f>HYPERLINK("NoConsenso\" &amp; K4764, "Ver Imagen")</f>
        <v/>
      </c>
      <c r="M4764" t="inlineStr">
        <is>
          <t>Mediana</t>
        </is>
      </c>
    </row>
    <row r="4765">
      <c r="A4765" s="33" t="n">
        <v>4764</v>
      </c>
      <c r="B4765" t="inlineStr">
        <is>
          <t>A-492__95</t>
        </is>
      </c>
      <c r="C4765" s="1" t="n">
        <v>37.2799620063</v>
      </c>
      <c r="D4765" s="1" t="n">
        <v>-7.00610148712</v>
      </c>
      <c r="E4765" s="3" t="n">
        <v>1</v>
      </c>
      <c r="F4765" s="2" t="n">
        <v>2</v>
      </c>
      <c r="G4765" s="4" t="n">
        <v>4</v>
      </c>
      <c r="H4765" s="13" t="n">
        <v>2</v>
      </c>
      <c r="I4765" s="34" t="n">
        <v>1</v>
      </c>
      <c r="J4765" s="35" t="n">
        <v>2</v>
      </c>
      <c r="K4765" s="2" t="inlineStr">
        <is>
          <t>marker_123_823705.png</t>
        </is>
      </c>
      <c r="L4765" s="36">
        <f>HYPERLINK("NoConsenso\" &amp; K4765, "Ver Imagen")</f>
        <v/>
      </c>
      <c r="M4765" t="inlineStr">
        <is>
          <t>Mediana</t>
        </is>
      </c>
    </row>
    <row r="4766">
      <c r="A4766" s="33" t="n">
        <v>4765</v>
      </c>
      <c r="B4766" t="inlineStr">
        <is>
          <t>A-492__172</t>
        </is>
      </c>
      <c r="C4766" s="1" t="n">
        <v>37.276299618</v>
      </c>
      <c r="D4766" s="1" t="n">
        <v>-7.02376271631</v>
      </c>
      <c r="E4766" s="3" t="n">
        <v>1</v>
      </c>
      <c r="F4766" s="2" t="n">
        <v>2</v>
      </c>
      <c r="G4766" s="4" t="n">
        <v>4</v>
      </c>
      <c r="H4766" s="13" t="n">
        <v>2</v>
      </c>
      <c r="I4766" s="34" t="n">
        <v>3</v>
      </c>
      <c r="J4766" s="35" t="n">
        <v>2</v>
      </c>
      <c r="K4766" s="2" t="inlineStr">
        <is>
          <t>marker_448_831483.png</t>
        </is>
      </c>
      <c r="L4766" s="36">
        <f>HYPERLINK("NoConsenso\" &amp; K4766, "Ver Imagen")</f>
        <v/>
      </c>
      <c r="M4766" t="inlineStr">
        <is>
          <t>Mediana</t>
        </is>
      </c>
    </row>
    <row r="4767">
      <c r="A4767" s="33" t="n">
        <v>4766</v>
      </c>
      <c r="B4767" t="inlineStr">
        <is>
          <t>A-492__173</t>
        </is>
      </c>
      <c r="C4767" s="1" t="n">
        <v>37.2763351645</v>
      </c>
      <c r="D4767" s="1" t="n">
        <v>-7.024017895</v>
      </c>
      <c r="E4767" s="3" t="n">
        <v>1</v>
      </c>
      <c r="F4767" s="2" t="n">
        <v>3</v>
      </c>
      <c r="G4767" s="4" t="n">
        <v>4</v>
      </c>
      <c r="H4767" s="13" t="n">
        <v>2</v>
      </c>
      <c r="I4767" s="34" t="n">
        <v>3</v>
      </c>
      <c r="J4767" s="35" t="n">
        <v>3</v>
      </c>
      <c r="K4767" s="2" t="inlineStr">
        <is>
          <t>marker_594_831504.png</t>
        </is>
      </c>
      <c r="L4767" s="36">
        <f>HYPERLINK("NoConsenso\" &amp; K4767, "Ver Imagen")</f>
        <v/>
      </c>
      <c r="M4767" t="inlineStr">
        <is>
          <t>Mediana</t>
        </is>
      </c>
    </row>
    <row r="4768">
      <c r="A4768" s="33" t="n">
        <v>4767</v>
      </c>
      <c r="B4768" t="inlineStr">
        <is>
          <t>A-492__234</t>
        </is>
      </c>
      <c r="C4768" s="1" t="n">
        <v>37.2839722369</v>
      </c>
      <c r="D4768" s="1" t="n">
        <v>-7.03481173185</v>
      </c>
      <c r="E4768" s="3" t="n">
        <v>1</v>
      </c>
      <c r="F4768" s="2" t="n">
        <v>3</v>
      </c>
      <c r="G4768" s="4" t="n">
        <v>4</v>
      </c>
      <c r="H4768" s="13" t="n">
        <v>2</v>
      </c>
      <c r="I4768" s="34" t="n">
        <v>1</v>
      </c>
      <c r="J4768" s="35" t="n">
        <v>2</v>
      </c>
      <c r="K4768" s="2" t="inlineStr">
        <is>
          <t>marker_952_835861.png</t>
        </is>
      </c>
      <c r="L4768" s="36">
        <f>HYPERLINK("NoConsenso\" &amp; K4768, "Ver Imagen")</f>
        <v/>
      </c>
      <c r="M4768" t="inlineStr">
        <is>
          <t>Mediana</t>
        </is>
      </c>
    </row>
    <row r="4769">
      <c r="A4769" s="33" t="n">
        <v>4768</v>
      </c>
      <c r="B4769" t="inlineStr">
        <is>
          <t>A-492__279</t>
        </is>
      </c>
      <c r="C4769" s="1" t="n">
        <v>37.2888674984</v>
      </c>
      <c r="D4769" s="1" t="n">
        <v>-7.04325557488</v>
      </c>
      <c r="E4769" s="3" t="n">
        <v>1</v>
      </c>
      <c r="F4769" s="2" t="n">
        <v>2</v>
      </c>
      <c r="G4769" s="4" t="n">
        <v>4</v>
      </c>
      <c r="H4769" s="13" t="n">
        <v>2</v>
      </c>
      <c r="I4769" s="34" t="n">
        <v>1</v>
      </c>
      <c r="J4769" s="35" t="n">
        <v>2</v>
      </c>
      <c r="K4769" s="2" t="inlineStr">
        <is>
          <t>marker_627_836903.png</t>
        </is>
      </c>
      <c r="L4769" s="36">
        <f>HYPERLINK("NoConsenso\" &amp; K4769, "Ver Imagen")</f>
        <v/>
      </c>
      <c r="M4769" t="inlineStr">
        <is>
          <t>Mediana</t>
        </is>
      </c>
    </row>
    <row r="4770">
      <c r="A4770" s="33" t="n">
        <v>4769</v>
      </c>
      <c r="B4770" t="inlineStr">
        <is>
          <t>A-492__288</t>
        </is>
      </c>
      <c r="C4770" s="1" t="n">
        <v>37.2900875703</v>
      </c>
      <c r="D4770" s="1" t="n">
        <v>-7.04491966333</v>
      </c>
      <c r="E4770" s="3" t="n">
        <v>1</v>
      </c>
      <c r="F4770" s="2" t="n">
        <v>2</v>
      </c>
      <c r="G4770" s="4" t="n">
        <v>4</v>
      </c>
      <c r="H4770" s="13" t="n">
        <v>2</v>
      </c>
      <c r="I4770" s="34" t="n">
        <v>2</v>
      </c>
      <c r="J4770" s="35" t="n">
        <v>2</v>
      </c>
      <c r="K4770" s="2" t="inlineStr">
        <is>
          <t>marker_389_837395.png</t>
        </is>
      </c>
      <c r="L4770" s="36">
        <f>HYPERLINK("NoConsenso\" &amp; K4770, "Ver Imagen")</f>
        <v/>
      </c>
      <c r="M4770" t="inlineStr">
        <is>
          <t>Mediana</t>
        </is>
      </c>
    </row>
    <row r="4771">
      <c r="A4771" s="33" t="n">
        <v>4770</v>
      </c>
      <c r="B4771" t="inlineStr">
        <is>
          <t>A-492__291</t>
        </is>
      </c>
      <c r="C4771" s="1" t="n">
        <v>37.290633774</v>
      </c>
      <c r="D4771" s="1" t="n">
        <v>-7.04526994724</v>
      </c>
      <c r="E4771" s="3" t="n">
        <v>1</v>
      </c>
      <c r="F4771" s="2" t="n">
        <v>2</v>
      </c>
      <c r="G4771" s="4" t="n">
        <v>4</v>
      </c>
      <c r="H4771" s="13" t="n">
        <v>2</v>
      </c>
      <c r="I4771" s="34" t="n">
        <v>2</v>
      </c>
      <c r="J4771" s="35" t="n">
        <v>2</v>
      </c>
      <c r="K4771" s="2" t="inlineStr">
        <is>
          <t>marker_456_837437.png</t>
        </is>
      </c>
      <c r="L4771" s="36">
        <f>HYPERLINK("NoConsenso\" &amp; K4771, "Ver Imagen")</f>
        <v/>
      </c>
      <c r="M4771" t="inlineStr">
        <is>
          <t>Mediana</t>
        </is>
      </c>
    </row>
    <row r="4772">
      <c r="A4772" s="33" t="n">
        <v>4771</v>
      </c>
      <c r="B4772" t="inlineStr">
        <is>
          <t>A-492__294</t>
        </is>
      </c>
      <c r="C4772" s="1" t="n">
        <v>37.2911940649</v>
      </c>
      <c r="D4772" s="1" t="n">
        <v>-7.0454162167</v>
      </c>
      <c r="E4772" s="3" t="n">
        <v>1</v>
      </c>
      <c r="F4772" s="2" t="n">
        <v>4</v>
      </c>
      <c r="G4772" s="4" t="n">
        <v>4</v>
      </c>
      <c r="H4772" s="13" t="n">
        <v>2</v>
      </c>
      <c r="I4772" s="34" t="n">
        <v>1</v>
      </c>
      <c r="J4772" s="35" t="n">
        <v>2</v>
      </c>
      <c r="K4772" s="2" t="inlineStr">
        <is>
          <t>marker_501_837469.png</t>
        </is>
      </c>
      <c r="L4772" s="36">
        <f>HYPERLINK("NoConsenso\" &amp; K4772, "Ver Imagen")</f>
        <v/>
      </c>
      <c r="M4772" t="inlineStr">
        <is>
          <t>Mediana</t>
        </is>
      </c>
    </row>
    <row r="4773">
      <c r="A4773" s="33" t="n">
        <v>4772</v>
      </c>
      <c r="B4773" t="inlineStr">
        <is>
          <t>A-492__301</t>
        </is>
      </c>
      <c r="C4773" s="1" t="n">
        <v>37.2925848751</v>
      </c>
      <c r="D4773" s="1" t="n">
        <v>-7.04575450908</v>
      </c>
      <c r="E4773" s="3" t="n">
        <v>1</v>
      </c>
      <c r="F4773" s="2" t="n">
        <v>2</v>
      </c>
      <c r="G4773" s="4" t="n">
        <v>4</v>
      </c>
      <c r="H4773" s="13" t="n">
        <v>2</v>
      </c>
      <c r="I4773" s="34" t="n">
        <v>1</v>
      </c>
      <c r="J4773" s="35" t="n">
        <v>2</v>
      </c>
      <c r="K4773" s="2" t="inlineStr">
        <is>
          <t>marker_683_837565.png</t>
        </is>
      </c>
      <c r="L4773" s="36">
        <f>HYPERLINK("NoConsenso\" &amp; K4773, "Ver Imagen")</f>
        <v/>
      </c>
      <c r="M4773" t="inlineStr">
        <is>
          <t>Mediana</t>
        </is>
      </c>
    </row>
    <row r="4774">
      <c r="A4774" s="33" t="n">
        <v>4773</v>
      </c>
      <c r="B4774" t="inlineStr">
        <is>
          <t>A-492__323</t>
        </is>
      </c>
      <c r="C4774" s="1" t="n">
        <v>37.2958209157</v>
      </c>
      <c r="D4774" s="1" t="n">
        <v>-7.04956995343</v>
      </c>
      <c r="E4774" s="3" t="n">
        <v>1</v>
      </c>
      <c r="F4774" s="2" t="n">
        <v>2</v>
      </c>
      <c r="G4774" s="4" t="n">
        <v>4</v>
      </c>
      <c r="H4774" s="13" t="n">
        <v>3</v>
      </c>
      <c r="I4774" s="34" t="n">
        <v>2</v>
      </c>
      <c r="J4774" s="35" t="n">
        <v>2</v>
      </c>
      <c r="K4774" s="2" t="inlineStr">
        <is>
          <t>marker_116_837995.png</t>
        </is>
      </c>
      <c r="L4774" s="36">
        <f>HYPERLINK("NoConsenso\" &amp; K4774, "Ver Imagen")</f>
        <v/>
      </c>
      <c r="M4774" t="inlineStr">
        <is>
          <t>Mediana</t>
        </is>
      </c>
    </row>
    <row r="4775">
      <c r="A4775" s="33" t="n">
        <v>4774</v>
      </c>
      <c r="B4775" t="inlineStr">
        <is>
          <t>A-492__334</t>
        </is>
      </c>
      <c r="C4775" s="1" t="n">
        <v>37.2971501891</v>
      </c>
      <c r="D4775" s="1" t="n">
        <v>-7.05172451617</v>
      </c>
      <c r="E4775" s="3" t="n">
        <v>1</v>
      </c>
      <c r="F4775" s="2" t="n">
        <v>2</v>
      </c>
      <c r="G4775" s="4" t="n">
        <v>4</v>
      </c>
      <c r="H4775" s="13" t="n">
        <v>2</v>
      </c>
      <c r="I4775" s="34" t="n">
        <v>2</v>
      </c>
      <c r="J4775" s="35" t="n">
        <v>2</v>
      </c>
      <c r="K4775" s="2" t="inlineStr">
        <is>
          <t>marker_662_838139.png</t>
        </is>
      </c>
      <c r="L4775" s="36">
        <f>HYPERLINK("NoConsenso\" &amp; K4775, "Ver Imagen")</f>
        <v/>
      </c>
      <c r="M4775" t="inlineStr">
        <is>
          <t>Mediana</t>
        </is>
      </c>
    </row>
    <row r="4776">
      <c r="A4776" s="33" t="n">
        <v>4775</v>
      </c>
      <c r="B4776" t="inlineStr">
        <is>
          <t>A-492__337</t>
        </is>
      </c>
      <c r="C4776" s="1" t="n">
        <v>37.2973972355</v>
      </c>
      <c r="D4776" s="1" t="n">
        <v>-7.05248461012</v>
      </c>
      <c r="E4776" s="3" t="n">
        <v>1</v>
      </c>
      <c r="F4776" s="2" t="n">
        <v>2</v>
      </c>
      <c r="G4776" s="4" t="n">
        <v>4</v>
      </c>
      <c r="H4776" s="13" t="n">
        <v>2</v>
      </c>
      <c r="I4776" s="34" t="n">
        <v>3</v>
      </c>
      <c r="J4776" s="35" t="n">
        <v>2</v>
      </c>
      <c r="K4776" s="2" t="inlineStr">
        <is>
          <t>marker_177_838170.png</t>
        </is>
      </c>
      <c r="L4776" s="36">
        <f>HYPERLINK("NoConsenso\" &amp; K4776, "Ver Imagen")</f>
        <v/>
      </c>
      <c r="M4776" t="inlineStr">
        <is>
          <t>Mediana</t>
        </is>
      </c>
    </row>
    <row r="4777">
      <c r="A4777" s="33" t="n">
        <v>4776</v>
      </c>
      <c r="B4777" t="inlineStr">
        <is>
          <t>A-492__362</t>
        </is>
      </c>
      <c r="C4777" s="1" t="n">
        <v>37.3012837455</v>
      </c>
      <c r="D4777" s="1" t="n">
        <v>-7.05628046799</v>
      </c>
      <c r="E4777" s="3" t="n">
        <v>1</v>
      </c>
      <c r="F4777" s="2" t="n">
        <v>3</v>
      </c>
      <c r="G4777" s="4" t="n">
        <v>4</v>
      </c>
      <c r="H4777" s="13" t="n">
        <v>3</v>
      </c>
      <c r="I4777" s="34" t="n">
        <v>2</v>
      </c>
      <c r="J4777" s="35" t="n">
        <v>3</v>
      </c>
      <c r="K4777" s="2" t="inlineStr">
        <is>
          <t>marker_873_838652.png</t>
        </is>
      </c>
      <c r="L4777" s="36">
        <f>HYPERLINK("NoConsenso\" &amp; K4777, "Ver Imagen")</f>
        <v/>
      </c>
      <c r="M4777" t="inlineStr">
        <is>
          <t>Mediana</t>
        </is>
      </c>
    </row>
    <row r="4778">
      <c r="A4778" s="33" t="n">
        <v>4777</v>
      </c>
      <c r="B4778" t="inlineStr">
        <is>
          <t>A-492__387</t>
        </is>
      </c>
      <c r="C4778" s="1" t="n">
        <v>37.3062809311</v>
      </c>
      <c r="D4778" s="1" t="n">
        <v>-7.05678605712</v>
      </c>
      <c r="E4778" s="3" t="n">
        <v>1</v>
      </c>
      <c r="F4778" s="2" t="n">
        <v>2</v>
      </c>
      <c r="G4778" s="4" t="n">
        <v>4</v>
      </c>
      <c r="H4778" s="13" t="n">
        <v>2</v>
      </c>
      <c r="I4778" s="34" t="n">
        <v>1</v>
      </c>
      <c r="J4778" s="35" t="n">
        <v>2</v>
      </c>
      <c r="K4778" s="2" t="inlineStr">
        <is>
          <t>marker_620_838993.png</t>
        </is>
      </c>
      <c r="L4778" s="36">
        <f>HYPERLINK("NoConsenso\" &amp; K4778, "Ver Imagen")</f>
        <v/>
      </c>
      <c r="M4778" t="inlineStr">
        <is>
          <t>Mediana</t>
        </is>
      </c>
    </row>
    <row r="4779">
      <c r="A4779" s="33" t="n">
        <v>4778</v>
      </c>
      <c r="B4779" t="inlineStr">
        <is>
          <t>A-492__388</t>
        </is>
      </c>
      <c r="C4779" s="1" t="n">
        <v>37.3065046256</v>
      </c>
      <c r="D4779" s="1" t="n">
        <v>-7.05681370099</v>
      </c>
      <c r="E4779" s="3" t="n">
        <v>1</v>
      </c>
      <c r="F4779" s="2" t="n">
        <v>2</v>
      </c>
      <c r="G4779" s="4" t="n">
        <v>4</v>
      </c>
      <c r="H4779" s="13" t="n">
        <v>2</v>
      </c>
      <c r="I4779" s="34" t="n">
        <v>1</v>
      </c>
      <c r="J4779" s="35" t="n">
        <v>2</v>
      </c>
      <c r="K4779" s="2" t="inlineStr">
        <is>
          <t>marker_863_839005.png</t>
        </is>
      </c>
      <c r="L4779" s="36">
        <f>HYPERLINK("NoConsenso\" &amp; K4779, "Ver Imagen")</f>
        <v/>
      </c>
      <c r="M4779" t="inlineStr">
        <is>
          <t>Mediana</t>
        </is>
      </c>
    </row>
    <row r="4780">
      <c r="A4780" s="33" t="n">
        <v>4779</v>
      </c>
      <c r="B4780" t="inlineStr">
        <is>
          <t>A-492__389</t>
        </is>
      </c>
      <c r="C4780" s="1" t="n">
        <v>37.3066972633</v>
      </c>
      <c r="D4780" s="1" t="n">
        <v>-7.05683753862</v>
      </c>
      <c r="E4780" s="3" t="n">
        <v>1</v>
      </c>
      <c r="F4780" s="2" t="n">
        <v>2</v>
      </c>
      <c r="G4780" s="4" t="n">
        <v>4</v>
      </c>
      <c r="H4780" s="13" t="n">
        <v>2</v>
      </c>
      <c r="I4780" s="34" t="n">
        <v>1</v>
      </c>
      <c r="J4780" s="35" t="n">
        <v>2</v>
      </c>
      <c r="K4780" s="2" t="inlineStr">
        <is>
          <t>marker_589_839016.png</t>
        </is>
      </c>
      <c r="L4780" s="36">
        <f>HYPERLINK("NoConsenso\" &amp; K4780, "Ver Imagen")</f>
        <v/>
      </c>
      <c r="M4780" t="inlineStr">
        <is>
          <t>Mediana</t>
        </is>
      </c>
    </row>
    <row r="4781">
      <c r="A4781" s="33" t="n">
        <v>4780</v>
      </c>
      <c r="B4781" t="inlineStr">
        <is>
          <t>A-492__395</t>
        </is>
      </c>
      <c r="C4781" s="1" t="n">
        <v>37.3079033636</v>
      </c>
      <c r="D4781" s="1" t="n">
        <v>-7.05706202215</v>
      </c>
      <c r="E4781" s="3" t="n">
        <v>1</v>
      </c>
      <c r="F4781" s="2" t="n">
        <v>2</v>
      </c>
      <c r="G4781" s="4" t="n">
        <v>4</v>
      </c>
      <c r="H4781" s="13" t="n">
        <v>2</v>
      </c>
      <c r="I4781" s="34" t="n">
        <v>1</v>
      </c>
      <c r="J4781" s="35" t="n">
        <v>2</v>
      </c>
      <c r="K4781" s="2" t="inlineStr">
        <is>
          <t>marker_548_839093.png</t>
        </is>
      </c>
      <c r="L4781" s="36">
        <f>HYPERLINK("NoConsenso\" &amp; K4781, "Ver Imagen")</f>
        <v/>
      </c>
      <c r="M4781" t="inlineStr">
        <is>
          <t>Mediana</t>
        </is>
      </c>
    </row>
    <row r="4782">
      <c r="A4782" s="33" t="n">
        <v>4781</v>
      </c>
      <c r="B4782" t="inlineStr">
        <is>
          <t>A-492__412</t>
        </is>
      </c>
      <c r="C4782" s="1" t="n">
        <v>37.3109382615</v>
      </c>
      <c r="D4782" s="1" t="n">
        <v>-7.05903111119</v>
      </c>
      <c r="E4782" s="3" t="n">
        <v>1</v>
      </c>
      <c r="F4782" s="2" t="n">
        <v>1</v>
      </c>
      <c r="G4782" s="4" t="n">
        <v>4</v>
      </c>
      <c r="H4782" s="13" t="n">
        <v>1</v>
      </c>
      <c r="I4782" s="34" t="n">
        <v>1</v>
      </c>
      <c r="J4782" s="35" t="n">
        <v>1</v>
      </c>
      <c r="K4782" s="2" t="inlineStr">
        <is>
          <t>marker_522_839309.png</t>
        </is>
      </c>
      <c r="L4782" s="36">
        <f>HYPERLINK("NoConsenso\" &amp; K4782, "Ver Imagen")</f>
        <v/>
      </c>
      <c r="M4782" t="inlineStr">
        <is>
          <t>Mediana</t>
        </is>
      </c>
    </row>
    <row r="4783">
      <c r="A4783" s="33" t="n">
        <v>4782</v>
      </c>
      <c r="B4783" t="inlineStr">
        <is>
          <t>A-492__458</t>
        </is>
      </c>
      <c r="C4783" s="1" t="n">
        <v>37.3158935828</v>
      </c>
      <c r="D4783" s="1" t="n">
        <v>-7.06872215285</v>
      </c>
      <c r="E4783" s="3" t="n">
        <v>2</v>
      </c>
      <c r="F4783" s="2" t="n">
        <v>3</v>
      </c>
      <c r="G4783" s="4" t="n">
        <v>5</v>
      </c>
      <c r="H4783" s="13" t="n">
        <v>3</v>
      </c>
      <c r="I4783" s="34" t="n">
        <v>3</v>
      </c>
      <c r="J4783" s="35" t="n">
        <v>3</v>
      </c>
      <c r="K4783" s="2" t="inlineStr">
        <is>
          <t>marker_980_839907.png</t>
        </is>
      </c>
      <c r="L4783" s="36">
        <f>HYPERLINK("NoConsenso\" &amp; K4783, "Ver Imagen")</f>
        <v/>
      </c>
      <c r="M4783" t="inlineStr">
        <is>
          <t>Mediana</t>
        </is>
      </c>
    </row>
    <row r="4784">
      <c r="A4784" s="39" t="n">
        <v>4783</v>
      </c>
      <c r="B4784" s="16" t="inlineStr">
        <is>
          <t>A-495R__7</t>
        </is>
      </c>
      <c r="C4784" s="16" t="n">
        <v>37.4469122812</v>
      </c>
      <c r="D4784" s="16" t="n">
        <v>-7.10768625403</v>
      </c>
      <c r="E4784" s="16" t="n">
        <v>2</v>
      </c>
      <c r="F4784" s="16" t="n">
        <v>3</v>
      </c>
      <c r="G4784" s="16" t="n">
        <v>5</v>
      </c>
      <c r="H4784" s="16" t="n">
        <v>5</v>
      </c>
      <c r="I4784" s="40" t="n">
        <v>3</v>
      </c>
      <c r="J4784" s="38" t="n">
        <v>3</v>
      </c>
      <c r="K4784" s="16" t="inlineStr">
        <is>
          <t>marker_559_937040.png</t>
        </is>
      </c>
      <c r="L4784" s="41">
        <f>HYPERLINK("NoConsenso\" &amp; K4784, "Ver Imagen")</f>
        <v/>
      </c>
      <c r="M4784" s="16" t="inlineStr">
        <is>
          <t>X_tramo desbrozado</t>
        </is>
      </c>
      <c r="N4784" s="16" t="n"/>
    </row>
    <row r="4785">
      <c r="A4785" s="33" t="n">
        <v>4784</v>
      </c>
      <c r="B4785" t="inlineStr">
        <is>
          <t>A-5053__331</t>
        </is>
      </c>
      <c r="C4785" s="1" t="n">
        <v>37.2797922574</v>
      </c>
      <c r="D4785" s="1" t="n">
        <v>-7.14566253193</v>
      </c>
      <c r="E4785" s="3" t="n">
        <v>1</v>
      </c>
      <c r="F4785" s="2" t="n">
        <v>3</v>
      </c>
      <c r="G4785" s="4" t="n">
        <v>4</v>
      </c>
      <c r="H4785" s="13" t="n">
        <v>2</v>
      </c>
      <c r="I4785" s="34" t="n">
        <v>3</v>
      </c>
      <c r="J4785" s="35" t="n">
        <v>3</v>
      </c>
      <c r="K4785" s="2" t="inlineStr">
        <is>
          <t>marker_904_964448.png</t>
        </is>
      </c>
      <c r="L4785" s="36">
        <f>HYPERLINK("NoConsenso\" &amp; K4785, "Ver Imagen")</f>
        <v/>
      </c>
      <c r="M4785" t="inlineStr">
        <is>
          <t>Mediana</t>
        </is>
      </c>
    </row>
    <row r="4786">
      <c r="A4786" s="33" t="n">
        <v>4785</v>
      </c>
      <c r="B4786" t="inlineStr">
        <is>
          <t>A-495__69</t>
        </is>
      </c>
      <c r="C4786" s="1" t="n">
        <v>37.4386493243</v>
      </c>
      <c r="D4786" s="1" t="n">
        <v>-7.08462739636</v>
      </c>
      <c r="E4786" s="3" t="n">
        <v>3</v>
      </c>
      <c r="F4786" s="2" t="n">
        <v>2</v>
      </c>
      <c r="G4786" s="4" t="n">
        <v>5</v>
      </c>
      <c r="H4786" s="13" t="n">
        <v>2</v>
      </c>
      <c r="I4786" s="34" t="n">
        <v>3</v>
      </c>
      <c r="J4786" s="37" t="n">
        <v>2</v>
      </c>
      <c r="K4786" s="2" t="inlineStr">
        <is>
          <t>marker_358_381804.png</t>
        </is>
      </c>
      <c r="L4786" s="36">
        <f>HYPERLINK("NoConsenso\" &amp; K4786, "Ver Imagen")</f>
        <v/>
      </c>
      <c r="M4786" s="37" t="inlineStr">
        <is>
          <t>Modificada</t>
        </is>
      </c>
    </row>
    <row r="4787">
      <c r="A4787" s="33" t="n">
        <v>4786</v>
      </c>
      <c r="B4787" t="inlineStr">
        <is>
          <t>A-495__70</t>
        </is>
      </c>
      <c r="C4787" s="1" t="n">
        <v>37.4385713726</v>
      </c>
      <c r="D4787" s="1" t="n">
        <v>-7.08441436955</v>
      </c>
      <c r="E4787" s="3" t="n">
        <v>3</v>
      </c>
      <c r="F4787" s="2" t="n">
        <v>2</v>
      </c>
      <c r="G4787" s="4" t="n">
        <v>5</v>
      </c>
      <c r="H4787" s="13" t="n">
        <v>2</v>
      </c>
      <c r="I4787" s="34" t="n">
        <v>2</v>
      </c>
      <c r="J4787" s="35" t="n">
        <v>2</v>
      </c>
      <c r="K4787" s="2" t="inlineStr">
        <is>
          <t>marker_643_381816.png</t>
        </is>
      </c>
      <c r="L4787" s="36">
        <f>HYPERLINK("NoConsenso\" &amp; K4787, "Ver Imagen")</f>
        <v/>
      </c>
      <c r="M4787" t="inlineStr">
        <is>
          <t>Mediana</t>
        </is>
      </c>
    </row>
    <row r="4788">
      <c r="A4788" s="33" t="n">
        <v>4787</v>
      </c>
      <c r="B4788" t="inlineStr">
        <is>
          <t>A-495__72</t>
        </is>
      </c>
      <c r="C4788" s="1" t="n">
        <v>37.4384086852</v>
      </c>
      <c r="D4788" s="1" t="n">
        <v>-7.0839473581</v>
      </c>
      <c r="E4788" s="3" t="n">
        <v>2</v>
      </c>
      <c r="F4788" s="2" t="n">
        <v>3</v>
      </c>
      <c r="G4788" s="4" t="n">
        <v>5</v>
      </c>
      <c r="H4788" s="13" t="n">
        <v>2</v>
      </c>
      <c r="I4788" s="34" t="n">
        <v>2</v>
      </c>
      <c r="J4788" s="35" t="n">
        <v>2</v>
      </c>
      <c r="K4788" s="2" t="inlineStr">
        <is>
          <t>marker_248_381835.png</t>
        </is>
      </c>
      <c r="L4788" s="36">
        <f>HYPERLINK("NoConsenso\" &amp; K4788, "Ver Imagen")</f>
        <v/>
      </c>
      <c r="M4788" t="inlineStr">
        <is>
          <t>Mediana</t>
        </is>
      </c>
    </row>
    <row r="4789">
      <c r="A4789" s="33" t="n">
        <v>4788</v>
      </c>
      <c r="B4789" t="inlineStr">
        <is>
          <t>A-495__73</t>
        </is>
      </c>
      <c r="C4789" s="1" t="n">
        <v>37.4383272674</v>
      </c>
      <c r="D4789" s="1" t="n">
        <v>-7.08370429487</v>
      </c>
      <c r="E4789" s="3" t="n">
        <v>2</v>
      </c>
      <c r="F4789" s="2" t="n">
        <v>3</v>
      </c>
      <c r="G4789" s="4" t="n">
        <v>5</v>
      </c>
      <c r="H4789" s="13" t="n">
        <v>2</v>
      </c>
      <c r="I4789" s="34" t="n">
        <v>2</v>
      </c>
      <c r="J4789" s="35" t="n">
        <v>2</v>
      </c>
      <c r="K4789" s="2" t="inlineStr">
        <is>
          <t>marker_376_381844.png</t>
        </is>
      </c>
      <c r="L4789" s="36">
        <f>HYPERLINK("NoConsenso\" &amp; K4789, "Ver Imagen")</f>
        <v/>
      </c>
      <c r="M4789" s="37" t="inlineStr">
        <is>
          <t>Modificada</t>
        </is>
      </c>
    </row>
    <row r="4790">
      <c r="A4790" s="33" t="n">
        <v>4789</v>
      </c>
      <c r="B4790" t="inlineStr">
        <is>
          <t>A-495__74</t>
        </is>
      </c>
      <c r="C4790" s="1" t="n">
        <v>37.4382471161</v>
      </c>
      <c r="D4790" s="1" t="n">
        <v>-7.0834627388</v>
      </c>
      <c r="E4790" s="3" t="n">
        <v>2</v>
      </c>
      <c r="F4790" s="2" t="n">
        <v>3</v>
      </c>
      <c r="G4790" s="4" t="n">
        <v>5</v>
      </c>
      <c r="H4790" s="13" t="n">
        <v>2</v>
      </c>
      <c r="I4790" s="34" t="n">
        <v>3</v>
      </c>
      <c r="J4790" s="37" t="n">
        <v>2</v>
      </c>
      <c r="K4790" s="2" t="inlineStr">
        <is>
          <t>marker_662_381853.png</t>
        </is>
      </c>
      <c r="L4790" s="36">
        <f>HYPERLINK("NoConsenso\" &amp; K4790, "Ver Imagen")</f>
        <v/>
      </c>
      <c r="M4790" t="inlineStr">
        <is>
          <t>Mediana</t>
        </is>
      </c>
    </row>
    <row r="4791">
      <c r="A4791" s="33" t="n">
        <v>4790</v>
      </c>
      <c r="B4791" t="inlineStr">
        <is>
          <t>A-495__86</t>
        </is>
      </c>
      <c r="C4791" s="1" t="n">
        <v>37.4372111889</v>
      </c>
      <c r="D4791" s="1" t="n">
        <v>-7.0807377412</v>
      </c>
      <c r="E4791" s="3" t="n">
        <v>2</v>
      </c>
      <c r="F4791" s="2" t="n">
        <v>2</v>
      </c>
      <c r="G4791" s="4" t="n">
        <v>5</v>
      </c>
      <c r="H4791" s="13" t="n">
        <v>2</v>
      </c>
      <c r="I4791" s="34" t="n">
        <v>2</v>
      </c>
      <c r="J4791" s="35" t="n">
        <v>2</v>
      </c>
      <c r="K4791" s="2" t="inlineStr">
        <is>
          <t>marker_138_382002.png</t>
        </is>
      </c>
      <c r="L4791" s="36">
        <f>HYPERLINK("NoConsenso\" &amp; K4791, "Ver Imagen")</f>
        <v/>
      </c>
      <c r="M4791" t="inlineStr">
        <is>
          <t>Mediana</t>
        </is>
      </c>
    </row>
    <row r="4792">
      <c r="A4792" s="33" t="n">
        <v>4791</v>
      </c>
      <c r="B4792" t="inlineStr">
        <is>
          <t>A-495__90</t>
        </is>
      </c>
      <c r="C4792" s="1" t="n">
        <v>37.437018312</v>
      </c>
      <c r="D4792" s="1" t="n">
        <v>-7.07990194801</v>
      </c>
      <c r="E4792" s="3" t="n">
        <v>2</v>
      </c>
      <c r="F4792" s="2" t="n">
        <v>3</v>
      </c>
      <c r="G4792" s="4" t="n">
        <v>5</v>
      </c>
      <c r="H4792" s="13" t="n">
        <v>2</v>
      </c>
      <c r="I4792" s="34" t="n">
        <v>2</v>
      </c>
      <c r="J4792" s="35" t="n">
        <v>2</v>
      </c>
      <c r="K4792" s="2" t="inlineStr">
        <is>
          <t>marker_400_382056.png</t>
        </is>
      </c>
      <c r="L4792" s="36">
        <f>HYPERLINK("NoConsenso\" &amp; K4792, "Ver Imagen")</f>
        <v/>
      </c>
      <c r="M4792" t="inlineStr">
        <is>
          <t>Mediana</t>
        </is>
      </c>
    </row>
    <row r="4793">
      <c r="A4793" s="33" t="n">
        <v>4792</v>
      </c>
      <c r="B4793" t="inlineStr">
        <is>
          <t>A-495__114</t>
        </is>
      </c>
      <c r="C4793" s="1" t="n">
        <v>37.4355381819</v>
      </c>
      <c r="D4793" s="1" t="n">
        <v>-7.07452133759</v>
      </c>
      <c r="E4793" s="3" t="n">
        <v>4</v>
      </c>
      <c r="F4793" s="2" t="n">
        <v>3</v>
      </c>
      <c r="G4793" s="4" t="n">
        <v>1</v>
      </c>
      <c r="H4793" s="13" t="n">
        <v>2</v>
      </c>
      <c r="I4793" s="34" t="n">
        <v>3</v>
      </c>
      <c r="J4793" s="35" t="n">
        <v>3</v>
      </c>
      <c r="K4793" s="2" t="inlineStr">
        <is>
          <t>marker_244_382312.png</t>
        </is>
      </c>
      <c r="L4793" s="36">
        <f>HYPERLINK("NoConsenso\" &amp; K4793, "Ver Imagen")</f>
        <v/>
      </c>
      <c r="M4793" t="inlineStr">
        <is>
          <t>Mediana</t>
        </is>
      </c>
    </row>
    <row r="4794">
      <c r="A4794" s="33" t="n">
        <v>4793</v>
      </c>
      <c r="B4794" t="inlineStr">
        <is>
          <t>A-495__123</t>
        </is>
      </c>
      <c r="C4794" s="1" t="n">
        <v>37.4353404204</v>
      </c>
      <c r="D4794" s="1" t="n">
        <v>-7.07223245136</v>
      </c>
      <c r="E4794" s="3" t="n">
        <v>4</v>
      </c>
      <c r="F4794" s="2" t="n">
        <v>3</v>
      </c>
      <c r="G4794" s="4" t="n">
        <v>1</v>
      </c>
      <c r="H4794" s="13" t="n">
        <v>2</v>
      </c>
      <c r="I4794" s="34" t="n">
        <v>2</v>
      </c>
      <c r="J4794" s="35" t="n">
        <v>2</v>
      </c>
      <c r="K4794" s="2" t="inlineStr">
        <is>
          <t>marker_101_382401.png</t>
        </is>
      </c>
      <c r="L4794" s="36">
        <f>HYPERLINK("NoConsenso\" &amp; K4794, "Ver Imagen")</f>
        <v/>
      </c>
      <c r="M4794" t="inlineStr">
        <is>
          <t>Mediana</t>
        </is>
      </c>
    </row>
    <row r="4795">
      <c r="A4795" s="33" t="n">
        <v>4794</v>
      </c>
      <c r="B4795" t="inlineStr">
        <is>
          <t>A-497_2C__372</t>
        </is>
      </c>
      <c r="C4795" s="1" t="n">
        <v>37.2349865784</v>
      </c>
      <c r="D4795" s="1" t="n">
        <v>-7.01827303382</v>
      </c>
      <c r="E4795" s="3" t="n">
        <v>5</v>
      </c>
      <c r="F4795" s="2" t="n">
        <v>2</v>
      </c>
      <c r="G4795" s="4" t="n">
        <v>3</v>
      </c>
      <c r="H4795" s="13" t="n">
        <v>2</v>
      </c>
      <c r="I4795" s="34" t="n">
        <v>2</v>
      </c>
      <c r="J4795" s="35" t="n">
        <v>2</v>
      </c>
      <c r="K4795" s="2" t="inlineStr">
        <is>
          <t>marker_384_362510.png</t>
        </is>
      </c>
      <c r="L4795" s="36">
        <f>HYPERLINK("NoConsenso\" &amp; K4795, "Ver Imagen")</f>
        <v/>
      </c>
      <c r="M4795" t="inlineStr">
        <is>
          <t>Mediana</t>
        </is>
      </c>
    </row>
    <row r="4796">
      <c r="A4796" s="33" t="n">
        <v>4795</v>
      </c>
      <c r="B4796" t="inlineStr">
        <is>
          <t>A-497__471</t>
        </is>
      </c>
      <c r="C4796" s="1" t="n">
        <v>37.2170064338</v>
      </c>
      <c r="D4796" s="1" t="n">
        <v>-7.02304867329</v>
      </c>
      <c r="E4796" s="3" t="n">
        <v>3</v>
      </c>
      <c r="F4796" s="2" t="n">
        <v>2</v>
      </c>
      <c r="G4796" s="4" t="n">
        <v>5</v>
      </c>
      <c r="H4796" s="13" t="n">
        <v>2</v>
      </c>
      <c r="I4796" s="34" t="n">
        <v>2</v>
      </c>
      <c r="J4796" s="35" t="n">
        <v>2</v>
      </c>
      <c r="K4796" s="2" t="inlineStr">
        <is>
          <t>marker_461_376463.png</t>
        </is>
      </c>
      <c r="L4796" s="36">
        <f>HYPERLINK("NoConsenso\" &amp; K4796, "Ver Imagen")</f>
        <v/>
      </c>
      <c r="M4796" t="inlineStr">
        <is>
          <t>Mediana</t>
        </is>
      </c>
    </row>
    <row r="4797">
      <c r="A4797" s="33" t="n">
        <v>4796</v>
      </c>
      <c r="B4797" t="inlineStr">
        <is>
          <t>A-497__322</t>
        </is>
      </c>
      <c r="C4797" s="1" t="n">
        <v>37.2460480045</v>
      </c>
      <c r="D4797" s="1" t="n">
        <v>-7.01825833684</v>
      </c>
      <c r="E4797" s="3" t="n">
        <v>5</v>
      </c>
      <c r="F4797" s="2" t="n">
        <v>2</v>
      </c>
      <c r="G4797" s="4" t="n">
        <v>4</v>
      </c>
      <c r="H4797" s="13" t="n">
        <v>1</v>
      </c>
      <c r="I4797" s="34" t="n">
        <v>1</v>
      </c>
      <c r="J4797" s="37" t="n">
        <v>1</v>
      </c>
      <c r="K4797" s="2" t="inlineStr">
        <is>
          <t>marker_163_377942.png</t>
        </is>
      </c>
      <c r="L4797" s="36">
        <f>HYPERLINK("NoConsenso\" &amp; K4797, "Ver Imagen")</f>
        <v/>
      </c>
      <c r="M4797" s="37" t="inlineStr">
        <is>
          <t>Modificada</t>
        </is>
      </c>
    </row>
    <row r="4798">
      <c r="A4798" s="33" t="n">
        <v>4797</v>
      </c>
      <c r="B4798" t="inlineStr">
        <is>
          <t>A-492__392</t>
        </is>
      </c>
      <c r="C4798" s="1" t="n">
        <v>37.3073344961</v>
      </c>
      <c r="D4798" s="1" t="n">
        <v>-7.05693220603</v>
      </c>
      <c r="E4798" s="3" t="n">
        <v>2</v>
      </c>
      <c r="F4798" s="2" t="n">
        <v>1</v>
      </c>
      <c r="G4798" s="4" t="n">
        <v>5</v>
      </c>
      <c r="H4798" s="13" t="n">
        <v>2</v>
      </c>
      <c r="I4798" s="34" t="n">
        <v>1</v>
      </c>
      <c r="J4798" s="37" t="n">
        <v>1</v>
      </c>
      <c r="K4798" s="2" t="inlineStr">
        <is>
          <t>marker_720_839055.png</t>
        </is>
      </c>
      <c r="L4798" s="36">
        <f>HYPERLINK("NoConsenso\" &amp; K4798, "Ver Imagen")</f>
        <v/>
      </c>
      <c r="M4798" s="37" t="inlineStr">
        <is>
          <t>Modificada</t>
        </is>
      </c>
    </row>
    <row r="4799">
      <c r="A4799" s="33" t="n">
        <v>4798</v>
      </c>
      <c r="B4799" t="inlineStr">
        <is>
          <t>A-490__422</t>
        </is>
      </c>
      <c r="C4799" s="1" t="n">
        <v>37.4828992371</v>
      </c>
      <c r="D4799" s="1" t="n">
        <v>-7.21966526253</v>
      </c>
      <c r="E4799" s="3" t="n">
        <v>1</v>
      </c>
      <c r="F4799" s="2" t="n"/>
      <c r="G4799" s="4" t="n">
        <v>1</v>
      </c>
      <c r="H4799" s="13" t="n">
        <v>2</v>
      </c>
      <c r="I4799" s="34" t="n">
        <v>2</v>
      </c>
      <c r="J4799" s="35" t="n">
        <v>1.5</v>
      </c>
      <c r="K4799" s="3" t="inlineStr">
        <is>
          <t>marker_387_910667.png</t>
        </is>
      </c>
      <c r="L4799" s="36">
        <f>HYPERLINK("Solo2\" &amp; K4799, "Ver Imagen")</f>
        <v/>
      </c>
      <c r="M4799" t="inlineStr">
        <is>
          <t>Mediana</t>
        </is>
      </c>
    </row>
    <row r="4800">
      <c r="A4800" s="33" t="n">
        <v>4799</v>
      </c>
      <c r="B4800" t="inlineStr">
        <is>
          <t>A-490__556</t>
        </is>
      </c>
      <c r="C4800" s="1" t="n">
        <v>37.4906979492</v>
      </c>
      <c r="D4800" s="1" t="n">
        <v>-7.2517047971</v>
      </c>
      <c r="E4800" s="3" t="n">
        <v>1</v>
      </c>
      <c r="F4800" s="2" t="n"/>
      <c r="G4800" s="4" t="n">
        <v>1</v>
      </c>
      <c r="H4800" s="13" t="n">
        <v>2</v>
      </c>
      <c r="I4800" s="34" t="n">
        <v>1</v>
      </c>
      <c r="J4800" s="35" t="n">
        <v>1</v>
      </c>
      <c r="K4800" s="3" t="inlineStr">
        <is>
          <t>marker_859_251653.png</t>
        </is>
      </c>
      <c r="L4800" s="36">
        <f>HYPERLINK("Solo2\" &amp; K4800, "Ver Imagen")</f>
        <v/>
      </c>
      <c r="M4800" t="inlineStr">
        <is>
          <t>Mediana</t>
        </is>
      </c>
    </row>
    <row r="4801">
      <c r="A4801" s="33" t="n">
        <v>4800</v>
      </c>
      <c r="B4801" t="inlineStr">
        <is>
          <t>A-490__568</t>
        </is>
      </c>
      <c r="C4801" s="1" t="n">
        <v>37.4904952855</v>
      </c>
      <c r="D4801" s="1" t="n">
        <v>-7.25472714523</v>
      </c>
      <c r="E4801" s="3" t="n">
        <v>1</v>
      </c>
      <c r="F4801" s="2" t="n"/>
      <c r="G4801" s="4" t="n">
        <v>1</v>
      </c>
      <c r="H4801" s="13" t="n">
        <v>1</v>
      </c>
      <c r="I4801" s="34" t="n">
        <v>1</v>
      </c>
      <c r="J4801" s="35" t="n">
        <v>1</v>
      </c>
      <c r="K4801" s="3" t="inlineStr">
        <is>
          <t>marker_456_251842.png</t>
        </is>
      </c>
      <c r="L4801" s="36">
        <f>HYPERLINK("Solo2\" &amp; K4801, "Ver Imagen")</f>
        <v/>
      </c>
      <c r="M4801" t="inlineStr">
        <is>
          <t>Mediana</t>
        </is>
      </c>
    </row>
    <row r="4802">
      <c r="A4802" s="33" t="n">
        <v>4801</v>
      </c>
      <c r="B4802" t="inlineStr">
        <is>
          <t>A-490__526</t>
        </is>
      </c>
      <c r="C4802" s="1" t="n">
        <v>37.4879390701</v>
      </c>
      <c r="D4802" s="1" t="n">
        <v>-7.24524803114</v>
      </c>
      <c r="E4802" s="3" t="n">
        <v>2</v>
      </c>
      <c r="F4802" s="2" t="n"/>
      <c r="G4802" s="4" t="n">
        <v>2</v>
      </c>
      <c r="H4802" s="13" t="n">
        <v>2</v>
      </c>
      <c r="I4802" s="34" t="n">
        <v>2</v>
      </c>
      <c r="J4802" s="35" t="n">
        <v>2</v>
      </c>
      <c r="K4802" s="3" t="inlineStr">
        <is>
          <t>marker_516_241149.png</t>
        </is>
      </c>
      <c r="L4802" s="36">
        <f>HYPERLINK("Solo2\" &amp; K4802, "Ver Imagen")</f>
        <v/>
      </c>
      <c r="M4802" t="inlineStr">
        <is>
          <t>Mediana</t>
        </is>
      </c>
    </row>
    <row r="4803">
      <c r="A4803" s="33" t="n">
        <v>4802</v>
      </c>
      <c r="B4803" t="inlineStr">
        <is>
          <t>A-492__441</t>
        </is>
      </c>
      <c r="C4803" s="1" t="n">
        <v>37.314609176</v>
      </c>
      <c r="D4803" s="1" t="n">
        <v>-7.06472900548</v>
      </c>
      <c r="E4803" s="3" t="n">
        <v>1</v>
      </c>
      <c r="F4803" s="2" t="n"/>
      <c r="G4803" s="4" t="n">
        <v>2</v>
      </c>
      <c r="H4803" s="13" t="n">
        <v>1</v>
      </c>
      <c r="I4803" s="34" t="n">
        <v>1</v>
      </c>
      <c r="J4803" s="35" t="n">
        <v>1</v>
      </c>
      <c r="K4803" s="3" t="inlineStr">
        <is>
          <t>marker_840_518998.png</t>
        </is>
      </c>
      <c r="L4803" s="36">
        <f>HYPERLINK("Solo2\" &amp; K4803, "Ver Imagen")</f>
        <v/>
      </c>
      <c r="M4803" t="inlineStr">
        <is>
          <t>Mediana</t>
        </is>
      </c>
    </row>
    <row r="4804">
      <c r="A4804" s="33" t="n">
        <v>4803</v>
      </c>
      <c r="B4804" t="inlineStr">
        <is>
          <t>A-5053__128</t>
        </is>
      </c>
      <c r="C4804" s="1" t="n">
        <v>37.2443027344</v>
      </c>
      <c r="D4804" t="n">
        <v>-7.12812165387</v>
      </c>
      <c r="E4804" s="3" t="n">
        <v>2</v>
      </c>
      <c r="F4804" s="2" t="n"/>
      <c r="G4804" s="4" t="n">
        <v>2</v>
      </c>
      <c r="H4804" s="13" t="n">
        <v>2</v>
      </c>
      <c r="I4804" s="34" t="n">
        <v>1</v>
      </c>
      <c r="J4804" s="35" t="n">
        <v>2</v>
      </c>
      <c r="K4804" s="3" t="inlineStr">
        <is>
          <t>marker_459_962370.png</t>
        </is>
      </c>
      <c r="L4804" s="36">
        <f>HYPERLINK("Solo2\" &amp; K4804, "Ver Imagen")</f>
        <v/>
      </c>
      <c r="M4804" t="inlineStr">
        <is>
          <t>Mediana</t>
        </is>
      </c>
    </row>
    <row r="4805">
      <c r="A4805" s="33" t="n">
        <v>4804</v>
      </c>
      <c r="B4805" t="inlineStr">
        <is>
          <t>A-497__307</t>
        </is>
      </c>
      <c r="C4805" s="1" t="n">
        <v>37.2490374655</v>
      </c>
      <c r="D4805" s="1" t="n">
        <v>-7.01810233856</v>
      </c>
      <c r="E4805" s="3" t="n">
        <v>2</v>
      </c>
      <c r="F4805" s="2" t="n"/>
      <c r="G4805" s="4" t="n">
        <v>2</v>
      </c>
      <c r="H4805" s="13" t="n">
        <v>2</v>
      </c>
      <c r="I4805" s="34" t="n">
        <v>2</v>
      </c>
      <c r="J4805" s="35" t="n">
        <v>2</v>
      </c>
      <c r="K4805" s="2" t="inlineStr">
        <is>
          <t>marker_473_378128.png</t>
        </is>
      </c>
      <c r="L4805" s="36">
        <f>HYPERLINK("Solo2\" &amp; K4805, "Ver Imagen")</f>
        <v/>
      </c>
      <c r="M4805" t="inlineStr">
        <is>
          <t>Mediana</t>
        </is>
      </c>
    </row>
    <row r="4806">
      <c r="A4806" s="33" t="n">
        <v>4805</v>
      </c>
      <c r="B4806" t="inlineStr">
        <is>
          <t>A-490__9</t>
        </is>
      </c>
      <c r="C4806" s="1" t="n">
        <v>37.4471338404</v>
      </c>
      <c r="D4806" s="1" t="n">
        <v>-7.12849995182</v>
      </c>
      <c r="E4806" s="3" t="n">
        <v>1</v>
      </c>
      <c r="F4806" s="2" t="n"/>
      <c r="G4806" s="4" t="n">
        <v>2</v>
      </c>
      <c r="H4806" s="13" t="n">
        <v>2</v>
      </c>
      <c r="I4806" s="34" t="n">
        <v>2</v>
      </c>
      <c r="J4806" s="35" t="n">
        <v>2</v>
      </c>
      <c r="K4806" s="3" t="inlineStr">
        <is>
          <t>marker_711_641330.png</t>
        </is>
      </c>
      <c r="L4806" s="36">
        <f>HYPERLINK("Solo2\" &amp; K4806, "Ver Imagen")</f>
        <v/>
      </c>
      <c r="M4806" t="inlineStr">
        <is>
          <t>Mediana</t>
        </is>
      </c>
    </row>
    <row r="4807">
      <c r="A4807" s="33" t="n">
        <v>4806</v>
      </c>
      <c r="B4807" t="inlineStr">
        <is>
          <t>A-490__66</t>
        </is>
      </c>
      <c r="C4807" s="1" t="n">
        <v>37.4482723573</v>
      </c>
      <c r="D4807" s="1" t="n">
        <v>-7.14218193392</v>
      </c>
      <c r="E4807" s="3" t="n">
        <v>1</v>
      </c>
      <c r="F4807" s="2" t="n"/>
      <c r="G4807" s="4" t="n">
        <v>2</v>
      </c>
      <c r="H4807" s="13" t="n">
        <v>2</v>
      </c>
      <c r="I4807" s="34" t="n">
        <v>3</v>
      </c>
      <c r="J4807" s="37" t="n">
        <v>3</v>
      </c>
      <c r="K4807" s="2" t="inlineStr">
        <is>
          <t>marker_518_738044.png</t>
        </is>
      </c>
      <c r="L4807" s="36">
        <f>HYPERLINK("Solo2\" &amp; K4807, "Ver Imagen")</f>
        <v/>
      </c>
      <c r="M4807" s="37" t="inlineStr">
        <is>
          <t>Modificada</t>
        </is>
      </c>
    </row>
    <row r="4808">
      <c r="A4808" s="33" t="n">
        <v>4807</v>
      </c>
      <c r="B4808" t="inlineStr">
        <is>
          <t>A-490__415</t>
        </is>
      </c>
      <c r="C4808" s="1" t="n">
        <v>37.482573229</v>
      </c>
      <c r="D4808" s="1" t="n">
        <v>-7.21800625937</v>
      </c>
      <c r="E4808" s="3" t="n">
        <v>1</v>
      </c>
      <c r="F4808" s="2" t="n"/>
      <c r="G4808" s="4" t="n">
        <v>2</v>
      </c>
      <c r="H4808" s="13" t="n">
        <v>2</v>
      </c>
      <c r="I4808" s="34" t="n">
        <v>2</v>
      </c>
      <c r="J4808" s="35" t="n">
        <v>2</v>
      </c>
      <c r="K4808" s="3" t="inlineStr">
        <is>
          <t>marker_271_910561.png</t>
        </is>
      </c>
      <c r="L4808" s="36">
        <f>HYPERLINK("Solo2\" &amp; K4808, "Ver Imagen")</f>
        <v/>
      </c>
      <c r="M4808" t="inlineStr">
        <is>
          <t>Mediana</t>
        </is>
      </c>
    </row>
    <row r="4809">
      <c r="A4809" s="33" t="n">
        <v>4808</v>
      </c>
      <c r="B4809" t="inlineStr">
        <is>
          <t>A-490__27</t>
        </is>
      </c>
      <c r="C4809" s="1" t="n">
        <v>37.4464602146</v>
      </c>
      <c r="D4809" s="1" t="n">
        <v>-7.13299956302</v>
      </c>
      <c r="E4809" s="3" t="n">
        <v>2</v>
      </c>
      <c r="F4809" s="2" t="n"/>
      <c r="G4809" s="4" t="n">
        <v>3</v>
      </c>
      <c r="H4809" s="13" t="n">
        <v>3</v>
      </c>
      <c r="I4809" s="34" t="n">
        <v>3</v>
      </c>
      <c r="J4809" s="35" t="n">
        <v>3</v>
      </c>
      <c r="K4809" s="2" t="inlineStr">
        <is>
          <t>marker_420_730849.png</t>
        </is>
      </c>
      <c r="L4809" s="36">
        <f>HYPERLINK("Solo2\" &amp; K4809, "Ver Imagen")</f>
        <v/>
      </c>
      <c r="M4809" t="inlineStr">
        <is>
          <t>Mediana</t>
        </is>
      </c>
    </row>
    <row r="4810">
      <c r="A4810" s="33" t="n">
        <v>4809</v>
      </c>
      <c r="B4810" t="inlineStr">
        <is>
          <t>A-490__442</t>
        </is>
      </c>
      <c r="C4810" s="1" t="n">
        <v>37.4838624442</v>
      </c>
      <c r="D4810" s="1" t="n">
        <v>-7.22460369536</v>
      </c>
      <c r="E4810" s="3" t="n">
        <v>1</v>
      </c>
      <c r="F4810" s="2" t="n"/>
      <c r="G4810" s="4" t="n">
        <v>3</v>
      </c>
      <c r="H4810" s="13" t="n">
        <v>2</v>
      </c>
      <c r="I4810" s="34" t="n">
        <v>1</v>
      </c>
      <c r="J4810" s="35" t="n">
        <v>1.5</v>
      </c>
      <c r="K4810" s="3" t="inlineStr">
        <is>
          <t>marker_394_915441.png</t>
        </is>
      </c>
      <c r="L4810" s="36">
        <f>HYPERLINK("Solo2\" &amp; K4810, "Ver Imagen")</f>
        <v/>
      </c>
      <c r="M4810" t="inlineStr">
        <is>
          <t>Mediana</t>
        </is>
      </c>
    </row>
    <row r="4811">
      <c r="A4811" s="33" t="n">
        <v>4810</v>
      </c>
      <c r="B4811" t="inlineStr">
        <is>
          <t>Fuera</t>
        </is>
      </c>
      <c r="C4811" s="1" t="n">
        <v>37.3933503654</v>
      </c>
      <c r="D4811" s="1" t="n">
        <v>-7.00452590405</v>
      </c>
      <c r="E4811" s="3" t="n">
        <v>3</v>
      </c>
      <c r="F4811" s="2" t="n"/>
      <c r="G4811" s="4" t="n">
        <v>3</v>
      </c>
      <c r="H4811" s="13" t="n">
        <v>2</v>
      </c>
      <c r="I4811" s="34" t="n">
        <v>2</v>
      </c>
      <c r="J4811" s="35" t="n">
        <v>2.5</v>
      </c>
      <c r="K4811" s="3" t="inlineStr">
        <is>
          <t>marker_113_388983.png</t>
        </is>
      </c>
      <c r="L4811" s="36">
        <f>HYPERLINK("Solo2\" &amp; K4811, "Ver Imagen")</f>
        <v/>
      </c>
      <c r="M4811" t="inlineStr">
        <is>
          <t>Mediana</t>
        </is>
      </c>
    </row>
    <row r="4812">
      <c r="A4812" s="33" t="n">
        <v>4811</v>
      </c>
      <c r="B4812" t="inlineStr">
        <is>
          <t>A-490__8</t>
        </is>
      </c>
      <c r="C4812" s="1" t="n">
        <v>37.4471336475</v>
      </c>
      <c r="D4812" s="1" t="n">
        <v>-7.12825457455</v>
      </c>
      <c r="E4812" s="3" t="n">
        <v>2</v>
      </c>
      <c r="F4812" s="2" t="n"/>
      <c r="G4812" s="4" t="n">
        <v>3</v>
      </c>
      <c r="H4812" s="13" t="n">
        <v>3</v>
      </c>
      <c r="I4812" s="34" t="n">
        <v>3</v>
      </c>
      <c r="J4812" s="35" t="n">
        <v>3</v>
      </c>
      <c r="K4812" s="3" t="inlineStr">
        <is>
          <t>marker_857_641313.png</t>
        </is>
      </c>
      <c r="L4812" s="36">
        <f>HYPERLINK("Solo2\" &amp; K4812, "Ver Imagen")</f>
        <v/>
      </c>
      <c r="M4812" t="inlineStr">
        <is>
          <t>Mediana</t>
        </is>
      </c>
    </row>
    <row r="4813">
      <c r="A4813" s="33" t="n">
        <v>4812</v>
      </c>
      <c r="B4813" t="inlineStr">
        <is>
          <t>A-490__87</t>
        </is>
      </c>
      <c r="C4813" s="1" t="n">
        <v>37.4487023034</v>
      </c>
      <c r="D4813" s="1" t="n">
        <v>-7.14751605844</v>
      </c>
      <c r="E4813" s="3" t="n">
        <v>2</v>
      </c>
      <c r="F4813" s="2" t="n"/>
      <c r="G4813" s="4" t="n">
        <v>3</v>
      </c>
      <c r="H4813" s="13" t="n">
        <v>4</v>
      </c>
      <c r="I4813" s="34" t="n">
        <v>4</v>
      </c>
      <c r="J4813" s="35" t="n">
        <v>3.5</v>
      </c>
      <c r="K4813" s="3" t="inlineStr">
        <is>
          <t>marker_606_649431.png</t>
        </is>
      </c>
      <c r="L4813" s="36">
        <f>HYPERLINK("Solo2\" &amp; K4813, "Ver Imagen")</f>
        <v/>
      </c>
      <c r="M4813" t="inlineStr">
        <is>
          <t>Mediana</t>
        </is>
      </c>
    </row>
    <row r="4814">
      <c r="A4814" s="33" t="n">
        <v>4813</v>
      </c>
      <c r="B4814" t="inlineStr">
        <is>
          <t>A-490__218</t>
        </is>
      </c>
      <c r="C4814" s="1" t="n">
        <v>37.4620850422</v>
      </c>
      <c r="D4814" s="1" t="n">
        <v>-7.17527099381</v>
      </c>
      <c r="E4814" s="3" t="n">
        <v>2</v>
      </c>
      <c r="F4814" s="2" t="n"/>
      <c r="G4814" s="4" t="n">
        <v>3</v>
      </c>
      <c r="H4814" s="13" t="n">
        <v>3</v>
      </c>
      <c r="I4814" s="34" t="n">
        <v>3</v>
      </c>
      <c r="J4814" s="35" t="n">
        <v>3</v>
      </c>
      <c r="K4814" s="3" t="inlineStr">
        <is>
          <t>marker_804_668928.png</t>
        </is>
      </c>
      <c r="L4814" s="36">
        <f>HYPERLINK("Solo2\" &amp; K4814, "Ver Imagen")</f>
        <v/>
      </c>
      <c r="M4814" t="inlineStr">
        <is>
          <t>Mediana</t>
        </is>
      </c>
    </row>
    <row r="4815">
      <c r="A4815" s="33" t="n">
        <v>4814</v>
      </c>
      <c r="B4815" t="inlineStr">
        <is>
          <t>A-490__401</t>
        </is>
      </c>
      <c r="C4815" s="1" t="n">
        <v>37.4816903938</v>
      </c>
      <c r="D4815" s="1" t="n">
        <v>-7.21472976743</v>
      </c>
      <c r="E4815" s="3" t="n">
        <v>2</v>
      </c>
      <c r="F4815" s="2" t="n"/>
      <c r="G4815" s="4" t="n">
        <v>3</v>
      </c>
      <c r="H4815" s="13" t="n">
        <v>2</v>
      </c>
      <c r="I4815" s="34" t="n">
        <v>2</v>
      </c>
      <c r="J4815" s="35" t="n">
        <v>2</v>
      </c>
      <c r="K4815" s="3" t="inlineStr">
        <is>
          <t>marker_962_909970.png</t>
        </is>
      </c>
      <c r="L4815" s="36">
        <f>HYPERLINK("Solo2\" &amp; K4815, "Ver Imagen")</f>
        <v/>
      </c>
      <c r="M4815" t="inlineStr">
        <is>
          <t>Mediana</t>
        </is>
      </c>
    </row>
    <row r="4816">
      <c r="A4816" s="33" t="n">
        <v>4815</v>
      </c>
      <c r="B4816" t="inlineStr">
        <is>
          <t>A-492__146</t>
        </is>
      </c>
      <c r="C4816" t="n">
        <v>37.2754063</v>
      </c>
      <c r="D4816" t="n">
        <v>-7.01720521394</v>
      </c>
      <c r="E4816" s="3" t="n">
        <v>1</v>
      </c>
      <c r="F4816" s="2" t="n"/>
      <c r="G4816" s="4" t="n">
        <v>3</v>
      </c>
      <c r="H4816" s="13" t="n">
        <v>2</v>
      </c>
      <c r="I4816" s="34" t="n">
        <v>2</v>
      </c>
      <c r="J4816" s="35" t="n">
        <v>2</v>
      </c>
      <c r="K4816" s="3" t="inlineStr">
        <is>
          <t>marker_613_335844.png</t>
        </is>
      </c>
      <c r="L4816" s="36">
        <f>HYPERLINK("Solo2\" &amp; K4816, "Ver Imagen")</f>
        <v/>
      </c>
      <c r="M4816" t="inlineStr">
        <is>
          <t>Mediana</t>
        </is>
      </c>
    </row>
    <row r="4817">
      <c r="A4817" s="33" t="n">
        <v>4816</v>
      </c>
      <c r="B4817" t="inlineStr">
        <is>
          <t>A-492__426</t>
        </is>
      </c>
      <c r="C4817" t="n">
        <v>37.3129018503</v>
      </c>
      <c r="D4817" t="n">
        <v>-7.06159033969</v>
      </c>
      <c r="E4817" s="3" t="n">
        <v>2</v>
      </c>
      <c r="F4817" s="2" t="n"/>
      <c r="G4817" s="4" t="n">
        <v>3</v>
      </c>
      <c r="H4817" s="13" t="n">
        <v>2</v>
      </c>
      <c r="I4817" s="34" t="n">
        <v>2</v>
      </c>
      <c r="J4817" s="35" t="n">
        <v>2</v>
      </c>
      <c r="K4817" s="3" t="inlineStr">
        <is>
          <t>marker_747_518748.png</t>
        </is>
      </c>
      <c r="L4817" s="36">
        <f>HYPERLINK("Solo2\" &amp; K4817, "Ver Imagen")</f>
        <v/>
      </c>
      <c r="M4817" t="inlineStr">
        <is>
          <t>Mediana</t>
        </is>
      </c>
    </row>
    <row r="4818">
      <c r="A4818" s="33" t="n">
        <v>4817</v>
      </c>
      <c r="B4818" t="inlineStr">
        <is>
          <t>A-5050__128</t>
        </is>
      </c>
      <c r="C4818" t="n">
        <v>37.1951541963</v>
      </c>
      <c r="D4818" t="n">
        <v>-7.00052264939</v>
      </c>
      <c r="E4818" s="3" t="n">
        <v>2</v>
      </c>
      <c r="F4818" s="2" t="n"/>
      <c r="G4818" s="4" t="n">
        <v>3</v>
      </c>
      <c r="H4818" s="13" t="n">
        <v>2</v>
      </c>
      <c r="I4818" s="34" t="n">
        <v>3</v>
      </c>
      <c r="J4818" s="37" t="n">
        <v>2</v>
      </c>
      <c r="K4818" s="3" t="inlineStr">
        <is>
          <t>marker_606_776109.png</t>
        </is>
      </c>
      <c r="L4818" s="36">
        <f>HYPERLINK("Solo2\" &amp; K4818, "Ver Imagen")</f>
        <v/>
      </c>
      <c r="M4818" s="37" t="inlineStr">
        <is>
          <t>Modificada</t>
        </is>
      </c>
    </row>
    <row r="4819">
      <c r="A4819" s="33" t="n">
        <v>4818</v>
      </c>
      <c r="B4819" t="inlineStr">
        <is>
          <t>A-497__232</t>
        </is>
      </c>
      <c r="C4819" t="n">
        <v>37.2624681334</v>
      </c>
      <c r="D4819" t="n">
        <v>-7.00943979636</v>
      </c>
      <c r="E4819" s="3" t="n">
        <v>2</v>
      </c>
      <c r="F4819" s="2" t="n"/>
      <c r="G4819" s="4" t="n">
        <v>3</v>
      </c>
      <c r="H4819" s="16" t="n">
        <v>2</v>
      </c>
      <c r="I4819" s="40" t="n">
        <v>4</v>
      </c>
      <c r="J4819" s="35" t="n">
        <v>2.5</v>
      </c>
      <c r="K4819" s="3" t="inlineStr">
        <is>
          <t>marker_326_895145.png</t>
        </is>
      </c>
      <c r="L4819" s="36">
        <f>HYPERLINK("Solo2\" &amp; K4819, "Ver Imagen")</f>
        <v/>
      </c>
      <c r="M4819" t="inlineStr">
        <is>
          <t>Mediana</t>
        </is>
      </c>
    </row>
    <row r="4820">
      <c r="A4820" s="33" t="n">
        <v>4819</v>
      </c>
      <c r="B4820" t="inlineStr">
        <is>
          <t>A-490__119</t>
        </is>
      </c>
      <c r="C4820" s="1" t="n">
        <v>37.4512658476</v>
      </c>
      <c r="D4820" s="1" t="n">
        <v>-7.15482388541</v>
      </c>
      <c r="E4820" s="3" t="n">
        <v>2</v>
      </c>
      <c r="F4820" s="2" t="n"/>
      <c r="G4820" s="4" t="n">
        <v>4</v>
      </c>
      <c r="H4820" s="13" t="n">
        <v>3</v>
      </c>
      <c r="I4820" s="34" t="n">
        <v>3</v>
      </c>
      <c r="J4820" s="35" t="n">
        <v>3</v>
      </c>
      <c r="K4820" s="4" t="inlineStr">
        <is>
          <t>marker_936_951949.png</t>
        </is>
      </c>
      <c r="L4820" s="36">
        <f>HYPERLINK("Solo2\" &amp; K4820, "Ver Imagen")</f>
        <v/>
      </c>
      <c r="M4820" t="inlineStr">
        <is>
          <t>Mediana</t>
        </is>
      </c>
    </row>
    <row r="4821">
      <c r="A4821" s="33" t="n">
        <v>4820</v>
      </c>
      <c r="B4821" t="inlineStr">
        <is>
          <t>A-495_1__169</t>
        </is>
      </c>
      <c r="C4821" s="1" t="n">
        <v>37.4801413769</v>
      </c>
      <c r="D4821" s="1" t="n">
        <v>-7.12783969627</v>
      </c>
      <c r="E4821" s="3" t="n">
        <v>4</v>
      </c>
      <c r="F4821" s="2" t="n"/>
      <c r="G4821" s="4" t="n">
        <v>4</v>
      </c>
      <c r="H4821" s="13" t="n">
        <v>3</v>
      </c>
      <c r="I4821" s="34" t="n">
        <v>4</v>
      </c>
      <c r="J4821" s="35" t="n">
        <v>4</v>
      </c>
      <c r="K4821" s="2" t="inlineStr">
        <is>
          <t>marker_107_383998.png</t>
        </is>
      </c>
      <c r="L4821" s="36">
        <f>HYPERLINK("Solo2\" &amp; K4821, "Ver Imagen")</f>
        <v/>
      </c>
      <c r="M4821" t="inlineStr">
        <is>
          <t>Mediana</t>
        </is>
      </c>
    </row>
    <row r="4822">
      <c r="A4822" s="33" t="n">
        <v>4821</v>
      </c>
      <c r="B4822" t="inlineStr">
        <is>
          <t>A-499__77</t>
        </is>
      </c>
      <c r="C4822" t="n">
        <v>37.4953607805</v>
      </c>
      <c r="D4822" t="n">
        <v>-7.26849657005</v>
      </c>
      <c r="E4822" s="3" t="n">
        <v>4</v>
      </c>
      <c r="F4822" s="2" t="n"/>
      <c r="G4822" s="4" t="n">
        <v>4</v>
      </c>
      <c r="H4822" s="13" t="n">
        <v>3</v>
      </c>
      <c r="I4822" s="34" t="n">
        <v>4</v>
      </c>
      <c r="J4822" s="35" t="n">
        <v>4</v>
      </c>
      <c r="K4822" s="3" t="inlineStr">
        <is>
          <t>marker_135_799777.png</t>
        </is>
      </c>
      <c r="L4822" s="36">
        <f>HYPERLINK("Solo2\" &amp; K4822, "Ver Imagen")</f>
        <v/>
      </c>
      <c r="M4822" t="inlineStr">
        <is>
          <t>Mediana</t>
        </is>
      </c>
    </row>
    <row r="4823">
      <c r="A4823" s="33" t="n">
        <v>4822</v>
      </c>
      <c r="B4823" t="inlineStr">
        <is>
          <t>A-490__1</t>
        </is>
      </c>
      <c r="C4823" t="n">
        <v>37.4474657809</v>
      </c>
      <c r="D4823" t="n">
        <v>-7.1266855658</v>
      </c>
      <c r="E4823" s="3" t="n">
        <v>2</v>
      </c>
      <c r="F4823" s="2" t="n"/>
      <c r="G4823" s="4" t="n">
        <v>4</v>
      </c>
      <c r="H4823" s="13" t="n">
        <v>3</v>
      </c>
      <c r="I4823" s="34" t="n">
        <v>3</v>
      </c>
      <c r="J4823" s="35" t="n">
        <v>3</v>
      </c>
      <c r="K4823" s="3" t="inlineStr">
        <is>
          <t>marker_245_645287.png</t>
        </is>
      </c>
      <c r="L4823" s="36">
        <f>HYPERLINK("Solo2\" &amp; K4823, "Ver Imagen")</f>
        <v/>
      </c>
      <c r="M4823" t="inlineStr">
        <is>
          <t>Mediana</t>
        </is>
      </c>
    </row>
    <row r="4824">
      <c r="A4824" s="33" t="n">
        <v>4823</v>
      </c>
      <c r="B4824" t="inlineStr">
        <is>
          <t>A-490__217</t>
        </is>
      </c>
      <c r="C4824" t="n">
        <v>37.4619560079</v>
      </c>
      <c r="D4824" t="n">
        <v>-7.17506018678</v>
      </c>
      <c r="E4824" s="3" t="n">
        <v>2</v>
      </c>
      <c r="F4824" s="2" t="n"/>
      <c r="G4824" s="4" t="n">
        <v>4</v>
      </c>
      <c r="H4824" s="13" t="n">
        <v>4</v>
      </c>
      <c r="I4824" s="34" t="n">
        <v>4</v>
      </c>
      <c r="J4824" s="35" t="n">
        <v>4</v>
      </c>
      <c r="K4824" s="3" t="inlineStr">
        <is>
          <t>marker_410_668905.png</t>
        </is>
      </c>
      <c r="L4824" s="36">
        <f>HYPERLINK("Solo2\" &amp; K4824, "Ver Imagen")</f>
        <v/>
      </c>
      <c r="M4824" t="inlineStr">
        <is>
          <t>Mediana</t>
        </is>
      </c>
    </row>
    <row r="4825">
      <c r="A4825" s="33" t="n">
        <v>4824</v>
      </c>
      <c r="B4825" t="inlineStr">
        <is>
          <t>A-492__38</t>
        </is>
      </c>
      <c r="C4825" s="1" t="n">
        <v>37.278204929</v>
      </c>
      <c r="D4825" s="1" t="n">
        <v>-6.99292602815</v>
      </c>
      <c r="E4825" s="3" t="n">
        <v>3</v>
      </c>
      <c r="F4825" s="2" t="n"/>
      <c r="G4825" s="4" t="n">
        <v>4</v>
      </c>
      <c r="H4825" s="13" t="n">
        <v>4</v>
      </c>
      <c r="I4825" s="34" t="n">
        <v>4</v>
      </c>
      <c r="J4825" s="35" t="n">
        <v>4</v>
      </c>
      <c r="K4825" s="2" t="inlineStr">
        <is>
          <t>marker_413_822839.png</t>
        </is>
      </c>
      <c r="L4825" s="36">
        <f>HYPERLINK("Solo2\" &amp; K4825, "Ver Imagen")</f>
        <v/>
      </c>
      <c r="M4825" t="inlineStr">
        <is>
          <t>Mediana</t>
        </is>
      </c>
    </row>
    <row r="4826">
      <c r="A4826" s="33" t="n">
        <v>4825</v>
      </c>
      <c r="B4826" t="inlineStr">
        <is>
          <t>A-492__60</t>
        </is>
      </c>
      <c r="C4826" s="1" t="n">
        <v>37.2798081944</v>
      </c>
      <c r="D4826" s="1" t="n">
        <v>-6.99803673334</v>
      </c>
      <c r="E4826" s="3" t="n">
        <v>3</v>
      </c>
      <c r="F4826" s="2" t="n"/>
      <c r="G4826" s="4" t="n">
        <v>4</v>
      </c>
      <c r="H4826" s="13" t="n">
        <v>4</v>
      </c>
      <c r="I4826" s="34" t="n">
        <v>4</v>
      </c>
      <c r="J4826" s="35" t="n">
        <v>4</v>
      </c>
      <c r="K4826" s="2" t="inlineStr">
        <is>
          <t>marker_413_823143.png</t>
        </is>
      </c>
      <c r="L4826" s="36">
        <f>HYPERLINK("Solo2\" &amp; K4826, "Ver Imagen")</f>
        <v/>
      </c>
      <c r="M4826" t="inlineStr">
        <is>
          <t>Mediana</t>
        </is>
      </c>
    </row>
    <row r="4827">
      <c r="A4827" s="33" t="n">
        <v>4826</v>
      </c>
      <c r="B4827" t="inlineStr">
        <is>
          <t>A-492__8</t>
        </is>
      </c>
      <c r="C4827" t="n">
        <v>37.2730072093</v>
      </c>
      <c r="D4827" t="n">
        <v>-6.99128894893</v>
      </c>
      <c r="E4827" s="3" t="n">
        <v>2</v>
      </c>
      <c r="F4827" s="2" t="n"/>
      <c r="G4827" s="4" t="n">
        <v>4</v>
      </c>
      <c r="H4827" s="13" t="n">
        <v>4</v>
      </c>
      <c r="I4827" s="34" t="n">
        <v>4</v>
      </c>
      <c r="J4827" s="35" t="n">
        <v>4</v>
      </c>
      <c r="K4827" s="3" t="inlineStr">
        <is>
          <t>marker_616_256562.png</t>
        </is>
      </c>
      <c r="L4827" s="36">
        <f>HYPERLINK("Solo2\" &amp; K4827, "Ver Imagen")</f>
        <v/>
      </c>
      <c r="M4827" t="inlineStr">
        <is>
          <t>Mediana</t>
        </is>
      </c>
    </row>
    <row r="4828">
      <c r="A4828" s="33" t="n">
        <v>4827</v>
      </c>
      <c r="B4828" t="inlineStr">
        <is>
          <t>A-5053__322</t>
        </is>
      </c>
      <c r="C4828" t="n">
        <v>37.2784579018</v>
      </c>
      <c r="D4828" t="n">
        <v>-7.14420638213</v>
      </c>
      <c r="E4828" s="3" t="n">
        <v>4</v>
      </c>
      <c r="F4828" s="2" t="n"/>
      <c r="G4828" s="4" t="n">
        <v>3</v>
      </c>
      <c r="H4828" s="13" t="n">
        <v>5</v>
      </c>
      <c r="I4828" s="34" t="n">
        <v>4</v>
      </c>
      <c r="J4828" s="35" t="n">
        <v>4</v>
      </c>
      <c r="K4828" s="3" t="inlineStr">
        <is>
          <t>marker_534_942471.png</t>
        </is>
      </c>
      <c r="L4828" s="36">
        <f>HYPERLINK("Solo2\" &amp; K4828, "Ver Imagen")</f>
        <v/>
      </c>
      <c r="M4828" t="inlineStr">
        <is>
          <t>Mediana</t>
        </is>
      </c>
    </row>
    <row r="4829">
      <c r="A4829" s="33" t="n">
        <v>4828</v>
      </c>
      <c r="B4829" t="inlineStr">
        <is>
          <t>A-5059__22</t>
        </is>
      </c>
      <c r="C4829" s="1" t="n">
        <v>37.2303209649</v>
      </c>
      <c r="D4829" s="1" t="n">
        <v>-7.06333026611</v>
      </c>
      <c r="E4829" s="3" t="n">
        <v>3</v>
      </c>
      <c r="F4829" s="2" t="n"/>
      <c r="G4829" s="4" t="n">
        <v>4</v>
      </c>
      <c r="H4829" s="13" t="n">
        <v>3</v>
      </c>
      <c r="I4829" s="34" t="n">
        <v>3</v>
      </c>
      <c r="J4829" s="35" t="n">
        <v>3</v>
      </c>
      <c r="K4829" s="42" t="inlineStr">
        <is>
          <t>marker_136_877895.png</t>
        </is>
      </c>
      <c r="L4829" s="36">
        <f>HYPERLINK("Solo2\" &amp; K4829, "Ver Imagen")</f>
        <v/>
      </c>
      <c r="M4829" t="inlineStr">
        <is>
          <t>Mediana</t>
        </is>
      </c>
    </row>
    <row r="4830">
      <c r="A4830" s="33" t="n">
        <v>4829</v>
      </c>
      <c r="B4830" t="inlineStr">
        <is>
          <t>A-495_1__1</t>
        </is>
      </c>
      <c r="C4830" t="n">
        <v>37.4482661582</v>
      </c>
      <c r="D4830" t="n">
        <v>-7.12666294959</v>
      </c>
      <c r="E4830" s="3" t="n">
        <v>2</v>
      </c>
      <c r="F4830" s="2" t="n"/>
      <c r="G4830" s="4" t="n">
        <v>4</v>
      </c>
      <c r="H4830" s="13" t="n">
        <v>3</v>
      </c>
      <c r="I4830" s="34" t="n">
        <v>3</v>
      </c>
      <c r="J4830" s="35" t="n">
        <v>3</v>
      </c>
      <c r="K4830" s="3" t="inlineStr">
        <is>
          <t>marker_939_882242.png</t>
        </is>
      </c>
      <c r="L4830" s="36">
        <f>HYPERLINK("Solo2\" &amp; K4830, "Ver Imagen")</f>
        <v/>
      </c>
      <c r="M4830" t="inlineStr">
        <is>
          <t>Mediana</t>
        </is>
      </c>
    </row>
    <row r="4831">
      <c r="A4831" s="33" t="n">
        <v>4830</v>
      </c>
      <c r="B4831" t="inlineStr">
        <is>
          <t>A-490__123</t>
        </is>
      </c>
      <c r="C4831" t="n">
        <v>37.4514719387</v>
      </c>
      <c r="D4831" t="n">
        <v>-7.15578669007</v>
      </c>
      <c r="E4831" s="3" t="n">
        <v>4</v>
      </c>
      <c r="F4831" s="2" t="n"/>
      <c r="G4831" s="4" t="n">
        <v>5</v>
      </c>
      <c r="H4831" s="13" t="n">
        <v>5</v>
      </c>
      <c r="I4831" s="34" t="n">
        <v>4</v>
      </c>
      <c r="J4831" s="35" t="n">
        <v>4.5</v>
      </c>
      <c r="K4831" s="3" t="inlineStr">
        <is>
          <t>marker_788_651063.png</t>
        </is>
      </c>
      <c r="L4831" s="36">
        <f>HYPERLINK("Solo2\" &amp; K4831, "Ver Imagen")</f>
        <v/>
      </c>
      <c r="M4831" t="inlineStr">
        <is>
          <t>Mediana</t>
        </is>
      </c>
    </row>
    <row r="4832">
      <c r="A4832" s="33" t="n">
        <v>4831</v>
      </c>
      <c r="B4832" t="inlineStr">
        <is>
          <t>A-495R__103</t>
        </is>
      </c>
      <c r="C4832" s="1" t="n">
        <v>37.46378775</v>
      </c>
      <c r="D4832" s="1" t="n">
        <v>-7.11843853978</v>
      </c>
      <c r="E4832" s="3" t="n">
        <v>1</v>
      </c>
      <c r="F4832" s="2" t="n">
        <v>1</v>
      </c>
      <c r="G4832" s="4" t="n"/>
      <c r="H4832" s="13" t="n">
        <v>1</v>
      </c>
      <c r="I4832" s="34" t="n">
        <v>1</v>
      </c>
      <c r="J4832" s="35" t="n">
        <v>1</v>
      </c>
      <c r="K4832" s="2" t="inlineStr">
        <is>
          <t>marker_538_895856.png</t>
        </is>
      </c>
      <c r="L4832" s="36">
        <f>HYPERLINK("Solo2\" &amp; K4832, "Ver Imagen")</f>
        <v/>
      </c>
      <c r="M4832" t="inlineStr">
        <is>
          <t>Mediana</t>
        </is>
      </c>
    </row>
    <row r="4833">
      <c r="A4833" s="33" t="n">
        <v>4832</v>
      </c>
      <c r="B4833" t="inlineStr">
        <is>
          <t>A-5052__451</t>
        </is>
      </c>
      <c r="C4833" s="1" t="n">
        <v>37.2003795936</v>
      </c>
      <c r="D4833" s="1" t="n">
        <v>-7.01668553233</v>
      </c>
      <c r="E4833" s="3" t="n"/>
      <c r="F4833" s="2" t="n">
        <v>1</v>
      </c>
      <c r="G4833" s="4" t="n">
        <v>1</v>
      </c>
      <c r="H4833" s="13" t="n">
        <v>1</v>
      </c>
      <c r="I4833" s="34" t="n">
        <v>1</v>
      </c>
      <c r="J4833" s="35" t="n">
        <v>1</v>
      </c>
      <c r="K4833" s="2" t="inlineStr">
        <is>
          <t>marker_209_963189.png</t>
        </is>
      </c>
      <c r="L4833" s="36">
        <f>HYPERLINK("Solo2\" &amp; K4833, "Ver Imagen")</f>
        <v/>
      </c>
      <c r="M4833" t="inlineStr">
        <is>
          <t>Mediana</t>
        </is>
      </c>
    </row>
    <row r="4834">
      <c r="A4834" s="33" t="n">
        <v>4833</v>
      </c>
      <c r="B4834" t="inlineStr">
        <is>
          <t>A-490__283</t>
        </is>
      </c>
      <c r="C4834" s="1" t="n">
        <v>37.4695597835</v>
      </c>
      <c r="D4834" s="1" t="n">
        <v>-7.18885298694</v>
      </c>
      <c r="E4834" s="3" t="n">
        <v>2</v>
      </c>
      <c r="F4834" s="2" t="n">
        <v>1</v>
      </c>
      <c r="G4834" s="4" t="n"/>
      <c r="H4834" s="13" t="n">
        <v>1</v>
      </c>
      <c r="I4834" s="34" t="n">
        <v>1</v>
      </c>
      <c r="J4834" s="35" t="n">
        <v>1</v>
      </c>
      <c r="K4834" s="2" t="inlineStr">
        <is>
          <t>marker_226_750216.png</t>
        </is>
      </c>
      <c r="L4834" s="36">
        <f>HYPERLINK("Solo2\" &amp; K4834, "Ver Imagen")</f>
        <v/>
      </c>
      <c r="M4834" t="inlineStr">
        <is>
          <t>Mediana</t>
        </is>
      </c>
    </row>
    <row r="4835">
      <c r="A4835" s="33" t="n">
        <v>4834</v>
      </c>
      <c r="B4835" t="inlineStr">
        <is>
          <t>A-490__613</t>
        </is>
      </c>
      <c r="C4835" s="1" t="n">
        <v>37.4934857842</v>
      </c>
      <c r="D4835" s="1" t="n">
        <v>-7.26438150558</v>
      </c>
      <c r="E4835" s="3" t="n"/>
      <c r="F4835" s="2" t="n">
        <v>1</v>
      </c>
      <c r="G4835" s="4" t="n">
        <v>2</v>
      </c>
      <c r="H4835" s="13" t="n">
        <v>2</v>
      </c>
      <c r="I4835" s="34" t="n">
        <v>1</v>
      </c>
      <c r="J4835" s="35" t="n">
        <v>1.5</v>
      </c>
      <c r="K4835" s="2" t="inlineStr">
        <is>
          <t>marker_730_820233.png</t>
        </is>
      </c>
      <c r="L4835" s="36">
        <f>HYPERLINK("Solo2\" &amp; K4835, "Ver Imagen")</f>
        <v/>
      </c>
      <c r="M4835" t="inlineStr">
        <is>
          <t>Mediana</t>
        </is>
      </c>
    </row>
    <row r="4836">
      <c r="A4836" s="33" t="n">
        <v>4835</v>
      </c>
      <c r="B4836" t="inlineStr">
        <is>
          <t>A-492__230</t>
        </is>
      </c>
      <c r="C4836" s="1" t="n">
        <v>37.2836129473</v>
      </c>
      <c r="D4836" s="1" t="n">
        <v>-7.03390271002</v>
      </c>
      <c r="E4836" s="3" t="n">
        <v>2</v>
      </c>
      <c r="F4836" s="2" t="n">
        <v>2</v>
      </c>
      <c r="G4836" s="4" t="n"/>
      <c r="H4836" s="13" t="n">
        <v>2</v>
      </c>
      <c r="I4836" s="34" t="n">
        <v>1</v>
      </c>
      <c r="J4836" s="35" t="n">
        <v>1</v>
      </c>
      <c r="K4836" s="2" t="inlineStr">
        <is>
          <t>marker_319_835795.png</t>
        </is>
      </c>
      <c r="L4836" s="36">
        <f>HYPERLINK("Solo2\" &amp; K4836, "Ver Imagen")</f>
        <v/>
      </c>
      <c r="M4836" t="inlineStr">
        <is>
          <t>Mediana</t>
        </is>
      </c>
    </row>
    <row r="4837">
      <c r="A4837" s="33" t="n">
        <v>4836</v>
      </c>
      <c r="B4837" t="inlineStr">
        <is>
          <t>A-492__393</t>
        </is>
      </c>
      <c r="C4837" s="1" t="n">
        <v>37.307519867</v>
      </c>
      <c r="D4837" s="1" t="n">
        <v>-7.05696906399</v>
      </c>
      <c r="E4837" s="3" t="n">
        <v>2</v>
      </c>
      <c r="F4837" s="2" t="n">
        <v>2</v>
      </c>
      <c r="G4837" s="4" t="n"/>
      <c r="H4837" s="13" t="n">
        <v>2</v>
      </c>
      <c r="I4837" s="34" t="n">
        <v>2</v>
      </c>
      <c r="J4837" s="35" t="n">
        <v>2</v>
      </c>
      <c r="K4837" s="2" t="inlineStr">
        <is>
          <t>marker_880_839070.png</t>
        </is>
      </c>
      <c r="L4837" s="36">
        <f>HYPERLINK("Solo2\" &amp; K4837, "Ver Imagen")</f>
        <v/>
      </c>
      <c r="M4837" t="inlineStr">
        <is>
          <t>Mediana</t>
        </is>
      </c>
    </row>
    <row r="4838">
      <c r="A4838" s="33" t="n">
        <v>4837</v>
      </c>
      <c r="B4838" t="inlineStr">
        <is>
          <t>A-5050__88</t>
        </is>
      </c>
      <c r="C4838" s="1" t="n">
        <v>37.1991381661</v>
      </c>
      <c r="D4838" s="1" t="n">
        <v>-7.00933115642</v>
      </c>
      <c r="E4838" s="3" t="n">
        <v>2</v>
      </c>
      <c r="F4838" s="2" t="n">
        <v>3</v>
      </c>
      <c r="G4838" s="4" t="n"/>
      <c r="H4838" s="13" t="n">
        <v>3</v>
      </c>
      <c r="I4838" s="34" t="n">
        <v>4</v>
      </c>
      <c r="J4838" s="35" t="n">
        <v>3</v>
      </c>
      <c r="K4838" s="2" t="inlineStr">
        <is>
          <t>marker_335_947435.png</t>
        </is>
      </c>
      <c r="L4838" s="36">
        <f>HYPERLINK("Solo2\" &amp; K4838, "Ver Imagen")</f>
        <v/>
      </c>
      <c r="M4838" t="inlineStr">
        <is>
          <t>Mediana</t>
        </is>
      </c>
    </row>
    <row r="4839">
      <c r="A4839" s="33" t="n">
        <v>4838</v>
      </c>
      <c r="B4839" t="inlineStr">
        <is>
          <t>A-5053__212</t>
        </is>
      </c>
      <c r="C4839" s="1" t="n">
        <v>37.2607483799</v>
      </c>
      <c r="D4839" s="1" t="n">
        <v>-7.12943163557</v>
      </c>
      <c r="E4839" s="3" t="n"/>
      <c r="F4839" s="2" t="n">
        <v>3</v>
      </c>
      <c r="G4839" s="4" t="n">
        <v>2</v>
      </c>
      <c r="H4839" s="13" t="n">
        <v>3</v>
      </c>
      <c r="I4839" s="34" t="n">
        <v>3</v>
      </c>
      <c r="J4839" s="35" t="n">
        <v>3</v>
      </c>
      <c r="K4839" s="2" t="inlineStr">
        <is>
          <t>marker_384_965769.png</t>
        </is>
      </c>
      <c r="L4839" s="36">
        <f>HYPERLINK("Solo2\" &amp; K4839, "Ver Imagen")</f>
        <v/>
      </c>
      <c r="M4839" t="inlineStr">
        <is>
          <t>Mediana</t>
        </is>
      </c>
    </row>
    <row r="4840">
      <c r="A4840" s="33" t="n">
        <v>4839</v>
      </c>
      <c r="B4840" t="inlineStr">
        <is>
          <t>A-5053__211</t>
        </is>
      </c>
      <c r="C4840" s="1" t="n">
        <v>37.2605413918</v>
      </c>
      <c r="D4840" s="1" t="n">
        <v>-7.12932281095</v>
      </c>
      <c r="E4840" s="3" t="n"/>
      <c r="F4840" s="2" t="n">
        <v>2</v>
      </c>
      <c r="G4840" s="4" t="n">
        <v>2</v>
      </c>
      <c r="H4840" s="13" t="n">
        <v>3</v>
      </c>
      <c r="I4840" s="34" t="n">
        <v>3</v>
      </c>
      <c r="J4840" s="35" t="n">
        <v>2.5</v>
      </c>
      <c r="K4840" s="2" t="inlineStr">
        <is>
          <t>marker_750_965779.png</t>
        </is>
      </c>
      <c r="L4840" s="36">
        <f>HYPERLINK("Solo2\" &amp; K4840, "Ver Imagen")</f>
        <v/>
      </c>
      <c r="M4840" t="inlineStr">
        <is>
          <t>Mediana</t>
        </is>
      </c>
    </row>
    <row r="4841">
      <c r="A4841" s="33" t="n">
        <v>4840</v>
      </c>
      <c r="B4841" t="inlineStr">
        <is>
          <t>A-5053__174</t>
        </is>
      </c>
      <c r="C4841" s="1" t="n">
        <v>37.2535318241</v>
      </c>
      <c r="D4841" s="1" t="n">
        <v>-7.12674449483</v>
      </c>
      <c r="E4841" s="3" t="n">
        <v>2</v>
      </c>
      <c r="F4841" s="2" t="n">
        <v>2</v>
      </c>
      <c r="G4841" s="4" t="n"/>
      <c r="H4841" s="13" t="n">
        <v>2</v>
      </c>
      <c r="I4841" s="34" t="n">
        <v>2</v>
      </c>
      <c r="J4841" s="35" t="n">
        <v>2</v>
      </c>
      <c r="K4841" s="2" t="inlineStr">
        <is>
          <t>marker_843_966152.png</t>
        </is>
      </c>
      <c r="L4841" s="36">
        <f>HYPERLINK("Solo2\" &amp; K4841, "Ver Imagen")</f>
        <v/>
      </c>
      <c r="M4841" t="inlineStr">
        <is>
          <t>Mediana</t>
        </is>
      </c>
    </row>
    <row r="4842">
      <c r="A4842" s="33" t="n">
        <v>4841</v>
      </c>
      <c r="B4842" t="inlineStr">
        <is>
          <t>A-5058__42</t>
        </is>
      </c>
      <c r="C4842" s="1" t="n">
        <v>37.2246240072</v>
      </c>
      <c r="D4842" s="1" t="n">
        <v>-7.0374968126</v>
      </c>
      <c r="E4842" s="3" t="n">
        <v>2</v>
      </c>
      <c r="F4842" s="2" t="n">
        <v>2</v>
      </c>
      <c r="G4842" s="4" t="n"/>
      <c r="H4842" s="13" t="n">
        <v>2</v>
      </c>
      <c r="I4842" s="34" t="n">
        <v>2</v>
      </c>
      <c r="J4842" s="35" t="n">
        <v>2</v>
      </c>
      <c r="K4842" s="2" t="inlineStr">
        <is>
          <t>marker_185_380325.png</t>
        </is>
      </c>
      <c r="L4842" s="36">
        <f>HYPERLINK("Solo2\" &amp; K4842, "Ver Imagen")</f>
        <v/>
      </c>
      <c r="M4842" t="inlineStr">
        <is>
          <t>Mediana</t>
        </is>
      </c>
    </row>
    <row r="4843">
      <c r="A4843" s="33" t="n">
        <v>4842</v>
      </c>
      <c r="B4843" t="inlineStr">
        <is>
          <t>A-499__100</t>
        </is>
      </c>
      <c r="C4843" s="1" t="n">
        <v>37.49879425</v>
      </c>
      <c r="D4843" s="1" t="n">
        <v>-7.2675144116</v>
      </c>
      <c r="E4843" s="3" t="n">
        <v>2</v>
      </c>
      <c r="F4843" s="2" t="n">
        <v>2</v>
      </c>
      <c r="G4843" s="4" t="n"/>
      <c r="H4843" s="13" t="n">
        <v>2</v>
      </c>
      <c r="I4843" s="34" t="n">
        <v>1</v>
      </c>
      <c r="J4843" s="35" t="n">
        <v>2</v>
      </c>
      <c r="K4843" s="2" t="inlineStr">
        <is>
          <t>marker_474_793233.png</t>
        </is>
      </c>
      <c r="L4843" s="36">
        <f>HYPERLINK("Solo2\" &amp; K4843, "Ver Imagen")</f>
        <v/>
      </c>
      <c r="M4843" t="inlineStr">
        <is>
          <t>Mediana</t>
        </is>
      </c>
    </row>
    <row r="4844">
      <c r="A4844" s="33" t="n">
        <v>4843</v>
      </c>
      <c r="B4844" t="inlineStr">
        <is>
          <t>A-495R__118</t>
        </is>
      </c>
      <c r="C4844" s="1" t="n">
        <v>37.4652159223</v>
      </c>
      <c r="D4844" s="1" t="n">
        <v>-7.12175718826</v>
      </c>
      <c r="E4844" s="3" t="n">
        <v>3</v>
      </c>
      <c r="F4844" s="2" t="n">
        <v>3</v>
      </c>
      <c r="G4844" s="4" t="n"/>
      <c r="H4844" s="13" t="n">
        <v>2</v>
      </c>
      <c r="I4844" s="34" t="n">
        <v>4</v>
      </c>
      <c r="J4844" s="35" t="n">
        <v>3</v>
      </c>
      <c r="K4844" s="2" t="inlineStr">
        <is>
          <t>marker_933_895406.png</t>
        </is>
      </c>
      <c r="L4844" s="36">
        <f>HYPERLINK("Solo2\" &amp; K4844, "Ver Imagen")</f>
        <v/>
      </c>
      <c r="M4844" t="inlineStr">
        <is>
          <t>Mediana</t>
        </is>
      </c>
    </row>
    <row r="4845">
      <c r="A4845" s="33" t="n">
        <v>4844</v>
      </c>
      <c r="B4845" t="inlineStr">
        <is>
          <t>A-497__5</t>
        </is>
      </c>
      <c r="C4845" s="1" t="n">
        <v>37.2668043763</v>
      </c>
      <c r="D4845" s="1" t="n">
        <v>-6.95727944592</v>
      </c>
      <c r="E4845" s="3" t="n">
        <v>3</v>
      </c>
      <c r="F4845" s="2" t="n">
        <v>2</v>
      </c>
      <c r="G4845" s="4" t="n"/>
      <c r="H4845" s="13" t="n">
        <v>2</v>
      </c>
      <c r="I4845" s="34" t="n">
        <v>2</v>
      </c>
      <c r="J4845" s="35" t="n">
        <v>2</v>
      </c>
      <c r="K4845" s="2" t="inlineStr">
        <is>
          <t>marker_478_944027.png</t>
        </is>
      </c>
      <c r="L4845" s="36">
        <f>HYPERLINK("Solo2\" &amp; K4845, "Ver Imagen")</f>
        <v/>
      </c>
      <c r="M4845" t="inlineStr">
        <is>
          <t>Mediana</t>
        </is>
      </c>
    </row>
    <row r="4846">
      <c r="A4846" s="33" t="n">
        <v>4845</v>
      </c>
      <c r="B4846" t="inlineStr">
        <is>
          <t>A-5053__281</t>
        </is>
      </c>
      <c r="C4846" s="1" t="n">
        <v>37.2708683725</v>
      </c>
      <c r="D4846" s="1" t="n">
        <v>-7.14020272654</v>
      </c>
      <c r="E4846" s="3" t="n"/>
      <c r="F4846" s="2" t="n">
        <v>4</v>
      </c>
      <c r="G4846" s="4" t="n">
        <v>3</v>
      </c>
      <c r="H4846" s="13" t="n">
        <v>3</v>
      </c>
      <c r="I4846" s="34" t="n">
        <v>4</v>
      </c>
      <c r="J4846" s="35" t="n">
        <v>3.5</v>
      </c>
      <c r="K4846" s="2" t="inlineStr">
        <is>
          <t>marker_903_965049.png</t>
        </is>
      </c>
      <c r="L4846" s="36">
        <f>HYPERLINK("Solo2\" &amp; K4846, "Ver Imagen")</f>
        <v/>
      </c>
      <c r="M4846" t="inlineStr">
        <is>
          <t>Mediana</t>
        </is>
      </c>
    </row>
    <row r="4847">
      <c r="A4847" s="33" t="n">
        <v>4846</v>
      </c>
      <c r="B4847" t="inlineStr">
        <is>
          <t>A-5053__214</t>
        </is>
      </c>
      <c r="C4847" s="1" t="n">
        <v>37.2610798567</v>
      </c>
      <c r="D4847" s="1" t="n">
        <v>-7.129664443</v>
      </c>
      <c r="E4847" s="3" t="n"/>
      <c r="F4847" s="2" t="n">
        <v>3</v>
      </c>
      <c r="G4847" s="4" t="n">
        <v>3</v>
      </c>
      <c r="H4847" s="13" t="n">
        <v>3</v>
      </c>
      <c r="I4847" s="34" t="n">
        <v>4</v>
      </c>
      <c r="J4847" s="37" t="n">
        <v>4</v>
      </c>
      <c r="K4847" s="2" t="inlineStr">
        <is>
          <t>marker_904_965747.png</t>
        </is>
      </c>
      <c r="L4847" s="36">
        <f>HYPERLINK("Solo2\" &amp; K4847, "Ver Imagen")</f>
        <v/>
      </c>
      <c r="M4847" s="37" t="inlineStr">
        <is>
          <t>Modificada</t>
        </is>
      </c>
    </row>
    <row r="4848">
      <c r="A4848" s="33" t="n">
        <v>4847</v>
      </c>
      <c r="B4848" t="inlineStr">
        <is>
          <t>A-490__118</t>
        </is>
      </c>
      <c r="C4848" s="1" t="n">
        <v>37.4511884281</v>
      </c>
      <c r="D4848" s="1" t="n">
        <v>-7.15448583629</v>
      </c>
      <c r="E4848" s="3" t="n"/>
      <c r="F4848" s="2" t="n">
        <v>4</v>
      </c>
      <c r="G4848" s="4" t="n">
        <v>4</v>
      </c>
      <c r="H4848" s="13" t="n">
        <v>4</v>
      </c>
      <c r="I4848" s="34" t="n">
        <v>5</v>
      </c>
      <c r="J4848" s="35" t="n">
        <v>4</v>
      </c>
      <c r="K4848" s="2" t="inlineStr">
        <is>
          <t>marker_320_739948.png</t>
        </is>
      </c>
      <c r="L4848" s="36">
        <f>HYPERLINK("Solo2\" &amp; K4848, "Ver Imagen")</f>
        <v/>
      </c>
      <c r="M4848" t="inlineStr">
        <is>
          <t>Mediana</t>
        </is>
      </c>
    </row>
    <row r="4849">
      <c r="A4849" s="33" t="n">
        <v>4848</v>
      </c>
      <c r="B4849" t="inlineStr">
        <is>
          <t>A-490__91</t>
        </is>
      </c>
      <c r="C4849" s="1" t="n">
        <v>37.4487511402</v>
      </c>
      <c r="D4849" s="1" t="n">
        <v>-7.14849575352</v>
      </c>
      <c r="E4849" s="3" t="n">
        <v>2</v>
      </c>
      <c r="F4849" s="2" t="n">
        <v>4</v>
      </c>
      <c r="G4849" s="4" t="n"/>
      <c r="H4849" s="13" t="n">
        <v>3</v>
      </c>
      <c r="I4849" s="34" t="n">
        <v>3</v>
      </c>
      <c r="J4849" s="35" t="n">
        <v>3</v>
      </c>
      <c r="K4849" s="2" t="inlineStr">
        <is>
          <t>marker_132_738995.png</t>
        </is>
      </c>
      <c r="L4849" s="36">
        <f>HYPERLINK("Solo2\" &amp; K4849, "Ver Imagen")</f>
        <v/>
      </c>
      <c r="M4849" t="inlineStr">
        <is>
          <t>Mediana</t>
        </is>
      </c>
    </row>
    <row r="4850">
      <c r="A4850" s="33" t="n">
        <v>4849</v>
      </c>
      <c r="B4850" t="inlineStr">
        <is>
          <t>A-490__120</t>
        </is>
      </c>
      <c r="C4850" s="1" t="n">
        <v>37.4513133194</v>
      </c>
      <c r="D4850" s="1" t="n">
        <v>-7.15504420969</v>
      </c>
      <c r="E4850" s="3" t="n">
        <v>2</v>
      </c>
      <c r="F4850" s="2" t="n">
        <v>3</v>
      </c>
      <c r="G4850" s="4" t="n"/>
      <c r="H4850" s="13" t="n">
        <v>4</v>
      </c>
      <c r="I4850" s="34" t="n">
        <v>4</v>
      </c>
      <c r="J4850" s="35" t="n">
        <v>3.5</v>
      </c>
      <c r="K4850" s="2" t="inlineStr">
        <is>
          <t>marker_114_740016.png</t>
        </is>
      </c>
      <c r="L4850" s="36">
        <f>HYPERLINK("Solo2\" &amp; K4850, "Ver Imagen")</f>
        <v/>
      </c>
      <c r="M4850" t="inlineStr">
        <is>
          <t>Mediana</t>
        </is>
      </c>
    </row>
    <row r="4851">
      <c r="A4851" s="33" t="n">
        <v>4850</v>
      </c>
      <c r="B4851" t="inlineStr">
        <is>
          <t>A-490__303</t>
        </is>
      </c>
      <c r="C4851" s="1" t="n">
        <v>37.4719019903</v>
      </c>
      <c r="D4851" s="1" t="n">
        <v>-7.19302470897</v>
      </c>
      <c r="E4851" s="3" t="n">
        <v>1</v>
      </c>
      <c r="F4851" s="2" t="n">
        <v>2</v>
      </c>
      <c r="G4851" s="4" t="n"/>
      <c r="H4851" s="13" t="n">
        <v>2</v>
      </c>
      <c r="I4851" s="34" t="n">
        <v>1</v>
      </c>
      <c r="J4851" s="35" t="n">
        <v>1.5</v>
      </c>
      <c r="K4851" s="2" t="inlineStr">
        <is>
          <t>marker_894_750623.png</t>
        </is>
      </c>
      <c r="L4851" s="36">
        <f>HYPERLINK("Solo2\" &amp; K4851, "Ver Imagen")</f>
        <v/>
      </c>
      <c r="M4851" t="inlineStr">
        <is>
          <t>Mediana</t>
        </is>
      </c>
    </row>
    <row r="4852">
      <c r="A4852" s="33" t="n">
        <v>4851</v>
      </c>
      <c r="B4852" t="inlineStr">
        <is>
          <t>A-490__304</t>
        </is>
      </c>
      <c r="C4852" s="1" t="n">
        <v>37.4719830104</v>
      </c>
      <c r="D4852" s="1" t="n">
        <v>-7.19316023656</v>
      </c>
      <c r="E4852" s="3" t="n">
        <v>2</v>
      </c>
      <c r="F4852" s="2" t="n">
        <v>4</v>
      </c>
      <c r="G4852" s="4" t="n"/>
      <c r="H4852" s="13" t="n">
        <v>3</v>
      </c>
      <c r="I4852" s="34" t="n">
        <v>3</v>
      </c>
      <c r="J4852" s="35" t="n">
        <v>3</v>
      </c>
      <c r="K4852" s="2" t="inlineStr">
        <is>
          <t>marker_904_750639.png</t>
        </is>
      </c>
      <c r="L4852" s="36">
        <f>HYPERLINK("Solo2\" &amp; K4852, "Ver Imagen")</f>
        <v/>
      </c>
      <c r="M4852" t="inlineStr">
        <is>
          <t>Mediana</t>
        </is>
      </c>
    </row>
    <row r="4853">
      <c r="A4853" s="33" t="n">
        <v>4852</v>
      </c>
      <c r="B4853" t="inlineStr">
        <is>
          <t>A-490__336</t>
        </is>
      </c>
      <c r="C4853" s="1" t="n">
        <v>37.4755227156</v>
      </c>
      <c r="D4853" s="1" t="n">
        <v>-7.19994589649</v>
      </c>
      <c r="E4853" s="3" t="n">
        <v>1</v>
      </c>
      <c r="F4853" s="2" t="n">
        <v>3</v>
      </c>
      <c r="G4853" s="4" t="n"/>
      <c r="H4853" s="13" t="n">
        <v>3</v>
      </c>
      <c r="I4853" s="34" t="n">
        <v>3</v>
      </c>
      <c r="J4853" s="35" t="n">
        <v>3</v>
      </c>
      <c r="K4853" s="2" t="inlineStr">
        <is>
          <t>marker_903_751408.png</t>
        </is>
      </c>
      <c r="L4853" s="36">
        <f>HYPERLINK("Solo2\" &amp; K4853, "Ver Imagen")</f>
        <v/>
      </c>
      <c r="M4853" t="inlineStr">
        <is>
          <t>Mediana</t>
        </is>
      </c>
    </row>
    <row r="4854">
      <c r="A4854" s="33" t="n">
        <v>4853</v>
      </c>
      <c r="B4854" t="inlineStr">
        <is>
          <t>A-490__205</t>
        </is>
      </c>
      <c r="C4854" s="1" t="n">
        <v>37.4605131941</v>
      </c>
      <c r="D4854" s="1" t="n">
        <v>-7.17267898329</v>
      </c>
      <c r="E4854" s="3" t="n"/>
      <c r="F4854" s="2" t="n">
        <v>3</v>
      </c>
      <c r="G4854" s="4" t="n">
        <v>2</v>
      </c>
      <c r="H4854" s="13" t="n">
        <v>3</v>
      </c>
      <c r="I4854" s="34" t="n">
        <v>3</v>
      </c>
      <c r="J4854" s="35" t="n">
        <v>3</v>
      </c>
      <c r="K4854" s="2" t="inlineStr">
        <is>
          <t>marker_158_742483.png</t>
        </is>
      </c>
      <c r="L4854" s="36">
        <f>HYPERLINK("Solo2\" &amp; K4854, "Ver Imagen")</f>
        <v/>
      </c>
      <c r="M4854" t="inlineStr">
        <is>
          <t>Mediana</t>
        </is>
      </c>
    </row>
    <row r="4855">
      <c r="A4855" s="33" t="n">
        <v>4854</v>
      </c>
      <c r="B4855" t="inlineStr">
        <is>
          <t>A-490__270</t>
        </is>
      </c>
      <c r="C4855" s="1" t="n">
        <v>37.4680888325</v>
      </c>
      <c r="D4855" s="1" t="n">
        <v>-7.18613726408</v>
      </c>
      <c r="E4855" s="3" t="n">
        <v>1</v>
      </c>
      <c r="F4855" s="2" t="n">
        <v>3</v>
      </c>
      <c r="G4855" s="4" t="n"/>
      <c r="H4855" s="13" t="n">
        <v>2</v>
      </c>
      <c r="I4855" s="34" t="n">
        <v>1</v>
      </c>
      <c r="J4855" s="35" t="n">
        <v>1.5</v>
      </c>
      <c r="K4855" s="2" t="inlineStr">
        <is>
          <t>marker_868_749899.png</t>
        </is>
      </c>
      <c r="L4855" s="36">
        <f>HYPERLINK("Solo2\" &amp; K4855, "Ver Imagen")</f>
        <v/>
      </c>
      <c r="M4855" t="inlineStr">
        <is>
          <t>Mediana</t>
        </is>
      </c>
    </row>
    <row r="4856">
      <c r="A4856" s="33" t="n">
        <v>4855</v>
      </c>
      <c r="B4856" t="inlineStr">
        <is>
          <t>A-490__271</t>
        </is>
      </c>
      <c r="C4856" s="1" t="n">
        <v>37.4682141775</v>
      </c>
      <c r="D4856" s="1" t="n">
        <v>-7.18637148141</v>
      </c>
      <c r="E4856" s="3" t="n">
        <v>1</v>
      </c>
      <c r="F4856" s="2" t="n">
        <v>3</v>
      </c>
      <c r="G4856" s="4" t="n"/>
      <c r="H4856" s="13" t="n">
        <v>2</v>
      </c>
      <c r="I4856" s="34" t="n">
        <v>2</v>
      </c>
      <c r="J4856" s="35" t="n">
        <v>2</v>
      </c>
      <c r="K4856" s="2" t="inlineStr">
        <is>
          <t>marker_276_749922.png</t>
        </is>
      </c>
      <c r="L4856" s="36">
        <f>HYPERLINK("Solo2\" &amp; K4856, "Ver Imagen")</f>
        <v/>
      </c>
      <c r="M4856" t="inlineStr">
        <is>
          <t>Mediana</t>
        </is>
      </c>
    </row>
    <row r="4857">
      <c r="A4857" s="33" t="n">
        <v>4856</v>
      </c>
      <c r="B4857" t="inlineStr">
        <is>
          <t>A-490__272</t>
        </is>
      </c>
      <c r="C4857" s="1" t="n">
        <v>37.4683300106</v>
      </c>
      <c r="D4857" s="1" t="n">
        <v>-7.18658736787</v>
      </c>
      <c r="E4857" s="3" t="n">
        <v>1</v>
      </c>
      <c r="F4857" s="2" t="n">
        <v>3</v>
      </c>
      <c r="G4857" s="4" t="n"/>
      <c r="H4857" s="13" t="n">
        <v>1</v>
      </c>
      <c r="I4857" s="34" t="n">
        <v>2</v>
      </c>
      <c r="J4857" s="35" t="n">
        <v>1.5</v>
      </c>
      <c r="K4857" s="2" t="inlineStr">
        <is>
          <t>marker_808_749944.png</t>
        </is>
      </c>
      <c r="L4857" s="36">
        <f>HYPERLINK("Solo2\" &amp; K4857, "Ver Imagen")</f>
        <v/>
      </c>
      <c r="M4857" t="inlineStr">
        <is>
          <t>Mediana</t>
        </is>
      </c>
    </row>
    <row r="4858">
      <c r="A4858" s="33" t="n">
        <v>4857</v>
      </c>
      <c r="B4858" t="inlineStr">
        <is>
          <t>A-490__273</t>
        </is>
      </c>
      <c r="C4858" s="1" t="n">
        <v>37.4684597786</v>
      </c>
      <c r="D4858" s="1" t="n">
        <v>-7.18682609132</v>
      </c>
      <c r="E4858" s="3" t="n">
        <v>1</v>
      </c>
      <c r="F4858" s="2" t="n">
        <v>2</v>
      </c>
      <c r="G4858" s="4" t="n"/>
      <c r="H4858" s="13" t="n">
        <v>2</v>
      </c>
      <c r="I4858" s="34" t="n">
        <v>1</v>
      </c>
      <c r="J4858" s="35" t="n">
        <v>1.5</v>
      </c>
      <c r="K4858" s="2" t="inlineStr">
        <is>
          <t>marker_284_749969.png</t>
        </is>
      </c>
      <c r="L4858" s="36">
        <f>HYPERLINK("Solo2\" &amp; K4858, "Ver Imagen")</f>
        <v/>
      </c>
      <c r="M4858" t="inlineStr">
        <is>
          <t>Mediana</t>
        </is>
      </c>
    </row>
    <row r="4859">
      <c r="A4859" s="33" t="n">
        <v>4858</v>
      </c>
      <c r="B4859" t="inlineStr">
        <is>
          <t>A-490__274</t>
        </is>
      </c>
      <c r="C4859" s="1" t="n">
        <v>37.4685547297</v>
      </c>
      <c r="D4859" s="1" t="n">
        <v>-7.18699940256</v>
      </c>
      <c r="E4859" s="3" t="n">
        <v>1</v>
      </c>
      <c r="F4859" s="2" t="n">
        <v>3</v>
      </c>
      <c r="G4859" s="4" t="n"/>
      <c r="H4859" s="13" t="n">
        <v>1</v>
      </c>
      <c r="I4859" s="34" t="n">
        <v>1</v>
      </c>
      <c r="J4859" s="35" t="n">
        <v>1</v>
      </c>
      <c r="K4859" s="2" t="inlineStr">
        <is>
          <t>marker_377_749984.png</t>
        </is>
      </c>
      <c r="L4859" s="36">
        <f>HYPERLINK("Solo2\" &amp; K4859, "Ver Imagen")</f>
        <v/>
      </c>
      <c r="M4859" t="inlineStr">
        <is>
          <t>Mediana</t>
        </is>
      </c>
    </row>
    <row r="4860">
      <c r="A4860" s="33" t="n">
        <v>4859</v>
      </c>
      <c r="B4860" t="inlineStr">
        <is>
          <t>A-490__275</t>
        </is>
      </c>
      <c r="C4860" s="1" t="n">
        <v>37.468650296</v>
      </c>
      <c r="D4860" s="1" t="n">
        <v>-7.18717395097</v>
      </c>
      <c r="E4860" s="3" t="n">
        <v>1</v>
      </c>
      <c r="F4860" s="2" t="n">
        <v>2</v>
      </c>
      <c r="G4860" s="4" t="n"/>
      <c r="H4860" s="13" t="n">
        <v>1</v>
      </c>
      <c r="I4860" s="34" t="n">
        <v>1</v>
      </c>
      <c r="J4860" s="35" t="n">
        <v>1</v>
      </c>
      <c r="K4860" s="2" t="inlineStr">
        <is>
          <t>marker_978_750010.png</t>
        </is>
      </c>
      <c r="L4860" s="36">
        <f>HYPERLINK("Solo2\" &amp; K4860, "Ver Imagen")</f>
        <v/>
      </c>
      <c r="M4860" t="inlineStr">
        <is>
          <t>Mediana</t>
        </is>
      </c>
    </row>
    <row r="4861">
      <c r="A4861" s="33" t="n">
        <v>4860</v>
      </c>
      <c r="B4861" t="inlineStr">
        <is>
          <t>A-490__276</t>
        </is>
      </c>
      <c r="C4861" s="1" t="n">
        <v>37.4687399172</v>
      </c>
      <c r="D4861" s="1" t="n">
        <v>-7.18733800622</v>
      </c>
      <c r="E4861" s="3" t="n">
        <v>1</v>
      </c>
      <c r="F4861" s="2" t="n">
        <v>3</v>
      </c>
      <c r="G4861" s="4" t="n"/>
      <c r="H4861" s="13" t="n">
        <v>2</v>
      </c>
      <c r="I4861" s="34" t="n">
        <v>2</v>
      </c>
      <c r="J4861" s="35" t="n">
        <v>2</v>
      </c>
      <c r="K4861" s="2" t="inlineStr">
        <is>
          <t>marker_383_750024.png</t>
        </is>
      </c>
      <c r="L4861" s="36">
        <f>HYPERLINK("Solo2\" &amp; K4861, "Ver Imagen")</f>
        <v/>
      </c>
      <c r="M4861" t="inlineStr">
        <is>
          <t>Mediana</t>
        </is>
      </c>
    </row>
    <row r="4862">
      <c r="A4862" s="33" t="n">
        <v>4861</v>
      </c>
      <c r="B4862" t="inlineStr">
        <is>
          <t>A-490__277</t>
        </is>
      </c>
      <c r="C4862" s="1" t="n">
        <v>37.4688546035</v>
      </c>
      <c r="D4862" s="1" t="n">
        <v>-7.18754834922</v>
      </c>
      <c r="E4862" s="3" t="n">
        <v>2</v>
      </c>
      <c r="F4862" s="2" t="n">
        <v>4</v>
      </c>
      <c r="G4862" s="4" t="n"/>
      <c r="H4862" s="13" t="n">
        <v>3</v>
      </c>
      <c r="I4862" s="34" t="n">
        <v>3</v>
      </c>
      <c r="J4862" s="35" t="n">
        <v>3</v>
      </c>
      <c r="K4862" s="2" t="inlineStr">
        <is>
          <t>marker_357_750049.png</t>
        </is>
      </c>
      <c r="L4862" s="36">
        <f>HYPERLINK("Solo2\" &amp; K4862, "Ver Imagen")</f>
        <v/>
      </c>
      <c r="M4862" t="inlineStr">
        <is>
          <t>Mediana</t>
        </is>
      </c>
    </row>
    <row r="4863">
      <c r="A4863" s="33" t="n">
        <v>4862</v>
      </c>
      <c r="B4863" t="inlineStr">
        <is>
          <t>A-490__278</t>
        </is>
      </c>
      <c r="C4863" s="1" t="n">
        <v>37.4690051859</v>
      </c>
      <c r="D4863" s="1" t="n">
        <v>-7.18782562363</v>
      </c>
      <c r="E4863" s="3" t="n">
        <v>1</v>
      </c>
      <c r="F4863" s="2" t="n">
        <v>2</v>
      </c>
      <c r="G4863" s="4" t="n"/>
      <c r="H4863" s="13" t="n">
        <v>2</v>
      </c>
      <c r="I4863" s="34" t="n">
        <v>2</v>
      </c>
      <c r="J4863" s="35" t="n">
        <v>2</v>
      </c>
      <c r="K4863" s="2" t="inlineStr">
        <is>
          <t>marker_577_750067.png</t>
        </is>
      </c>
      <c r="L4863" s="36">
        <f>HYPERLINK("Solo2\" &amp; K4863, "Ver Imagen")</f>
        <v/>
      </c>
      <c r="M4863" t="inlineStr">
        <is>
          <t>Mediana</t>
        </is>
      </c>
    </row>
    <row r="4864">
      <c r="A4864" s="33" t="n">
        <v>4863</v>
      </c>
      <c r="B4864" t="inlineStr">
        <is>
          <t>A-490__279</t>
        </is>
      </c>
      <c r="C4864" s="1" t="n">
        <v>37.4691347214</v>
      </c>
      <c r="D4864" s="1" t="n">
        <v>-7.18806569138</v>
      </c>
      <c r="E4864" s="3" t="n">
        <v>1</v>
      </c>
      <c r="F4864" s="2" t="n">
        <v>2</v>
      </c>
      <c r="G4864" s="4" t="n"/>
      <c r="H4864" s="13" t="n">
        <v>2</v>
      </c>
      <c r="I4864" s="34" t="n">
        <v>1</v>
      </c>
      <c r="J4864" s="35" t="n">
        <v>1.5</v>
      </c>
      <c r="K4864" s="2" t="inlineStr">
        <is>
          <t>marker_554_750095.png</t>
        </is>
      </c>
      <c r="L4864" s="36">
        <f>HYPERLINK("Solo2\" &amp; K4864, "Ver Imagen")</f>
        <v/>
      </c>
      <c r="M4864" t="inlineStr">
        <is>
          <t>Mediana</t>
        </is>
      </c>
    </row>
    <row r="4865">
      <c r="A4865" s="33" t="n">
        <v>4864</v>
      </c>
      <c r="B4865" t="inlineStr">
        <is>
          <t>A-490__280</t>
        </is>
      </c>
      <c r="C4865" s="1" t="n">
        <v>37.4692146622</v>
      </c>
      <c r="D4865" s="1" t="n">
        <v>-7.1882140793</v>
      </c>
      <c r="E4865" s="3" t="n">
        <v>2</v>
      </c>
      <c r="F4865" s="2" t="n">
        <v>3</v>
      </c>
      <c r="G4865" s="4" t="n"/>
      <c r="H4865" s="13" t="n">
        <v>2</v>
      </c>
      <c r="I4865" s="34" t="n">
        <v>2</v>
      </c>
      <c r="J4865" s="35" t="n">
        <v>2</v>
      </c>
      <c r="K4865" s="2" t="inlineStr">
        <is>
          <t>marker_348_750124.png</t>
        </is>
      </c>
      <c r="L4865" s="36">
        <f>HYPERLINK("Solo2\" &amp; K4865, "Ver Imagen")</f>
        <v/>
      </c>
      <c r="M4865" t="inlineStr">
        <is>
          <t>Mediana</t>
        </is>
      </c>
    </row>
    <row r="4866">
      <c r="A4866" s="33" t="n">
        <v>4865</v>
      </c>
      <c r="B4866" t="inlineStr">
        <is>
          <t>A-490__281</t>
        </is>
      </c>
      <c r="C4866" s="1" t="n">
        <v>37.4693161694</v>
      </c>
      <c r="D4866" s="1" t="n">
        <v>-7.18840212135</v>
      </c>
      <c r="E4866" s="3" t="n">
        <v>1</v>
      </c>
      <c r="F4866" s="2" t="n">
        <v>2</v>
      </c>
      <c r="G4866" s="4" t="n"/>
      <c r="H4866" s="13" t="n">
        <v>2</v>
      </c>
      <c r="I4866" s="34" t="n">
        <v>1</v>
      </c>
      <c r="J4866" s="35" t="n">
        <v>1.5</v>
      </c>
      <c r="K4866" s="2" t="inlineStr">
        <is>
          <t>marker_492_750142.png</t>
        </is>
      </c>
      <c r="L4866" s="36">
        <f>HYPERLINK("Solo2\" &amp; K4866, "Ver Imagen")</f>
        <v/>
      </c>
      <c r="M4866" t="inlineStr">
        <is>
          <t>Mediana</t>
        </is>
      </c>
    </row>
    <row r="4867">
      <c r="A4867" s="33" t="n">
        <v>4866</v>
      </c>
      <c r="B4867" t="inlineStr">
        <is>
          <t>A-490__282</t>
        </is>
      </c>
      <c r="C4867" s="1" t="n">
        <v>37.4694220464</v>
      </c>
      <c r="D4867" s="1" t="n">
        <v>-7.18859783962</v>
      </c>
      <c r="E4867" s="3" t="n">
        <v>1</v>
      </c>
      <c r="F4867" s="2" t="n">
        <v>2</v>
      </c>
      <c r="G4867" s="4" t="n"/>
      <c r="H4867" s="13" t="n">
        <v>1</v>
      </c>
      <c r="I4867" s="34" t="n">
        <v>1</v>
      </c>
      <c r="J4867" s="35" t="n">
        <v>1</v>
      </c>
      <c r="K4867" s="2" t="inlineStr">
        <is>
          <t>marker_237_750162.png</t>
        </is>
      </c>
      <c r="L4867" s="36">
        <f>HYPERLINK("Solo2\" &amp; K4867, "Ver Imagen")</f>
        <v/>
      </c>
      <c r="M4867" t="inlineStr">
        <is>
          <t>Mediana</t>
        </is>
      </c>
    </row>
    <row r="4868">
      <c r="A4868" s="33" t="n">
        <v>4867</v>
      </c>
      <c r="B4868" t="inlineStr">
        <is>
          <t>A-490__284</t>
        </is>
      </c>
      <c r="C4868" s="1" t="n">
        <v>37.4696795191</v>
      </c>
      <c r="D4868" s="1" t="n">
        <v>-7.18907484006</v>
      </c>
      <c r="E4868" s="3" t="n">
        <v>1</v>
      </c>
      <c r="F4868" s="2" t="n">
        <v>1</v>
      </c>
      <c r="G4868" s="4" t="n"/>
      <c r="H4868" s="13" t="n">
        <v>1</v>
      </c>
      <c r="I4868" s="34" t="n">
        <v>1</v>
      </c>
      <c r="J4868" s="35" t="n">
        <v>1</v>
      </c>
      <c r="K4868" s="2" t="inlineStr">
        <is>
          <t>marker_832_750233.png</t>
        </is>
      </c>
      <c r="L4868" s="36">
        <f>HYPERLINK("Solo2\" &amp; K4868, "Ver Imagen")</f>
        <v/>
      </c>
      <c r="M4868" t="inlineStr">
        <is>
          <t>Mediana</t>
        </is>
      </c>
    </row>
    <row r="4869">
      <c r="A4869" s="33" t="n">
        <v>4868</v>
      </c>
      <c r="B4869" t="inlineStr">
        <is>
          <t>A-490__285</t>
        </is>
      </c>
      <c r="C4869" s="1" t="n">
        <v>37.4698041853</v>
      </c>
      <c r="D4869" s="1" t="n">
        <v>-7.18930531787</v>
      </c>
      <c r="E4869" s="3" t="n">
        <v>1</v>
      </c>
      <c r="F4869" s="2" t="n">
        <v>2</v>
      </c>
      <c r="G4869" s="4" t="n"/>
      <c r="H4869" s="13" t="n">
        <v>1</v>
      </c>
      <c r="I4869" s="34" t="n">
        <v>1</v>
      </c>
      <c r="J4869" s="35" t="n">
        <v>1</v>
      </c>
      <c r="K4869" s="2" t="inlineStr">
        <is>
          <t>marker_426_750247.png</t>
        </is>
      </c>
      <c r="L4869" s="36">
        <f>HYPERLINK("Solo2\" &amp; K4869, "Ver Imagen")</f>
        <v/>
      </c>
      <c r="M4869" t="inlineStr">
        <is>
          <t>Mediana</t>
        </is>
      </c>
    </row>
    <row r="4870">
      <c r="A4870" s="33" t="n">
        <v>4869</v>
      </c>
      <c r="B4870" t="inlineStr">
        <is>
          <t>A-490__286</t>
        </is>
      </c>
      <c r="C4870" s="1" t="n">
        <v>37.4699132374</v>
      </c>
      <c r="D4870" s="1" t="n">
        <v>-7.18950816055</v>
      </c>
      <c r="E4870" s="3" t="n">
        <v>1</v>
      </c>
      <c r="F4870" s="2" t="n">
        <v>3</v>
      </c>
      <c r="G4870" s="4" t="n"/>
      <c r="H4870" s="13" t="n">
        <v>1</v>
      </c>
      <c r="I4870" s="34" t="n">
        <v>1</v>
      </c>
      <c r="J4870" s="35" t="n">
        <v>1</v>
      </c>
      <c r="K4870" s="2" t="inlineStr">
        <is>
          <t>marker_194_750262.png</t>
        </is>
      </c>
      <c r="L4870" s="36">
        <f>HYPERLINK("Solo2\" &amp; K4870, "Ver Imagen")</f>
        <v/>
      </c>
      <c r="M4870" t="inlineStr">
        <is>
          <t>Mediana</t>
        </is>
      </c>
    </row>
    <row r="4871">
      <c r="A4871" s="33" t="n">
        <v>4870</v>
      </c>
      <c r="B4871" t="inlineStr">
        <is>
          <t>A-490__287</t>
        </is>
      </c>
      <c r="C4871" s="1" t="n">
        <v>37.4700108089</v>
      </c>
      <c r="D4871" s="1" t="n">
        <v>-7.18968996685</v>
      </c>
      <c r="E4871" s="3" t="n">
        <v>1</v>
      </c>
      <c r="F4871" s="2" t="n">
        <v>3</v>
      </c>
      <c r="G4871" s="4" t="n"/>
      <c r="H4871" s="13" t="n">
        <v>3</v>
      </c>
      <c r="I4871" s="34" t="n">
        <v>2</v>
      </c>
      <c r="J4871" s="35" t="n">
        <v>2.5</v>
      </c>
      <c r="K4871" s="2" t="inlineStr">
        <is>
          <t>marker_752_750279.png</t>
        </is>
      </c>
      <c r="L4871" s="36">
        <f>HYPERLINK("Solo2\" &amp; K4871, "Ver Imagen")</f>
        <v/>
      </c>
      <c r="M4871" t="inlineStr">
        <is>
          <t>Mediana</t>
        </is>
      </c>
    </row>
    <row r="4872">
      <c r="A4872" s="33" t="n">
        <v>4871</v>
      </c>
      <c r="B4872" t="inlineStr">
        <is>
          <t>A-490__288</t>
        </is>
      </c>
      <c r="C4872" s="1" t="n">
        <v>37.4701193786</v>
      </c>
      <c r="D4872" s="1" t="n">
        <v>-7.18989158865</v>
      </c>
      <c r="E4872" s="3" t="n">
        <v>1</v>
      </c>
      <c r="F4872" s="2" t="n">
        <v>2</v>
      </c>
      <c r="G4872" s="4" t="n"/>
      <c r="H4872" s="13" t="n">
        <v>2</v>
      </c>
      <c r="I4872" s="34" t="n">
        <v>1</v>
      </c>
      <c r="J4872" s="35" t="n">
        <v>1.5</v>
      </c>
      <c r="K4872" s="2" t="inlineStr">
        <is>
          <t>marker_342_750296.png</t>
        </is>
      </c>
      <c r="L4872" s="36">
        <f>HYPERLINK("Solo2\" &amp; K4872, "Ver Imagen")</f>
        <v/>
      </c>
      <c r="M4872" t="inlineStr">
        <is>
          <t>Mediana</t>
        </is>
      </c>
    </row>
    <row r="4873">
      <c r="A4873" s="33" t="n">
        <v>4872</v>
      </c>
      <c r="B4873" t="inlineStr">
        <is>
          <t>A-490__289</t>
        </is>
      </c>
      <c r="C4873" s="1" t="n">
        <v>37.4702104042</v>
      </c>
      <c r="D4873" s="1" t="n">
        <v>-7.1900608262</v>
      </c>
      <c r="E4873" s="3" t="n">
        <v>1</v>
      </c>
      <c r="F4873" s="2" t="n">
        <v>2</v>
      </c>
      <c r="G4873" s="4" t="n"/>
      <c r="H4873" s="13" t="n">
        <v>2</v>
      </c>
      <c r="I4873" s="34" t="n">
        <v>1</v>
      </c>
      <c r="J4873" s="35" t="n">
        <v>1.5</v>
      </c>
      <c r="K4873" s="2" t="inlineStr">
        <is>
          <t>marker_485_750312.png</t>
        </is>
      </c>
      <c r="L4873" s="36">
        <f>HYPERLINK("Solo2\" &amp; K4873, "Ver Imagen")</f>
        <v/>
      </c>
      <c r="M4873" t="inlineStr">
        <is>
          <t>Mediana</t>
        </is>
      </c>
    </row>
    <row r="4874">
      <c r="A4874" s="33" t="n">
        <v>4873</v>
      </c>
      <c r="B4874" t="inlineStr">
        <is>
          <t>A-490__290</t>
        </is>
      </c>
      <c r="C4874" s="1" t="n">
        <v>37.4703605698</v>
      </c>
      <c r="D4874" s="1" t="n">
        <v>-7.19034145719</v>
      </c>
      <c r="E4874" s="3" t="n">
        <v>1</v>
      </c>
      <c r="F4874" s="2" t="n">
        <v>2</v>
      </c>
      <c r="G4874" s="4" t="n"/>
      <c r="H4874" s="13" t="n">
        <v>2</v>
      </c>
      <c r="I4874" s="34" t="n">
        <v>1</v>
      </c>
      <c r="J4874" s="35" t="n">
        <v>1.5</v>
      </c>
      <c r="K4874" s="2" t="inlineStr">
        <is>
          <t>marker_644_750334.png</t>
        </is>
      </c>
      <c r="L4874" s="36">
        <f>HYPERLINK("Solo2\" &amp; K4874, "Ver Imagen")</f>
        <v/>
      </c>
      <c r="M4874" t="inlineStr">
        <is>
          <t>Mediana</t>
        </is>
      </c>
    </row>
    <row r="4875">
      <c r="A4875" s="33" t="n">
        <v>4874</v>
      </c>
      <c r="B4875" t="inlineStr">
        <is>
          <t>A-490__291</t>
        </is>
      </c>
      <c r="C4875" s="1" t="n">
        <v>37.4704633917</v>
      </c>
      <c r="D4875" s="1" t="n">
        <v>-7.19053335564</v>
      </c>
      <c r="E4875" s="3" t="n">
        <v>1</v>
      </c>
      <c r="F4875" s="2" t="n">
        <v>2</v>
      </c>
      <c r="G4875" s="4" t="n"/>
      <c r="H4875" s="13" t="n">
        <v>1</v>
      </c>
      <c r="I4875" s="34" t="n">
        <v>1</v>
      </c>
      <c r="J4875" s="35" t="n">
        <v>1</v>
      </c>
      <c r="K4875" s="2" t="inlineStr">
        <is>
          <t>marker_284_750358.png</t>
        </is>
      </c>
      <c r="L4875" s="36">
        <f>HYPERLINK("Solo2\" &amp; K4875, "Ver Imagen")</f>
        <v/>
      </c>
      <c r="M4875" t="inlineStr">
        <is>
          <t>Mediana</t>
        </is>
      </c>
    </row>
    <row r="4876">
      <c r="A4876" s="33" t="n">
        <v>4875</v>
      </c>
      <c r="B4876" t="inlineStr">
        <is>
          <t>A-490__292</t>
        </is>
      </c>
      <c r="C4876" s="1" t="n">
        <v>37.47058998</v>
      </c>
      <c r="D4876" s="1" t="n">
        <v>-7.19076750454</v>
      </c>
      <c r="E4876" s="3" t="n">
        <v>1</v>
      </c>
      <c r="F4876" s="2" t="n">
        <v>3</v>
      </c>
      <c r="G4876" s="4" t="n"/>
      <c r="H4876" s="13" t="n">
        <v>3</v>
      </c>
      <c r="I4876" s="34" t="n">
        <v>2</v>
      </c>
      <c r="J4876" s="35" t="n">
        <v>2.5</v>
      </c>
      <c r="K4876" s="2" t="inlineStr">
        <is>
          <t>marker_266_750376.png</t>
        </is>
      </c>
      <c r="L4876" s="36">
        <f>HYPERLINK("Solo2\" &amp; K4876, "Ver Imagen")</f>
        <v/>
      </c>
      <c r="M4876" t="inlineStr">
        <is>
          <t>Mediana</t>
        </is>
      </c>
    </row>
    <row r="4877">
      <c r="A4877" s="33" t="n">
        <v>4876</v>
      </c>
      <c r="B4877" t="inlineStr">
        <is>
          <t>A-490__293</t>
        </is>
      </c>
      <c r="C4877" s="1" t="n">
        <v>37.470700817</v>
      </c>
      <c r="D4877" s="1" t="n">
        <v>-7.19096993205</v>
      </c>
      <c r="E4877" s="3" t="n">
        <v>1</v>
      </c>
      <c r="F4877" s="2" t="n">
        <v>2</v>
      </c>
      <c r="G4877" s="4" t="n"/>
      <c r="H4877" s="13" t="n">
        <v>1</v>
      </c>
      <c r="I4877" s="34" t="n">
        <v>1</v>
      </c>
      <c r="J4877" s="35" t="n">
        <v>1</v>
      </c>
      <c r="K4877" s="2" t="inlineStr">
        <is>
          <t>marker_858_750393.png</t>
        </is>
      </c>
      <c r="L4877" s="36">
        <f>HYPERLINK("Solo2\" &amp; K4877, "Ver Imagen")</f>
        <v/>
      </c>
      <c r="M4877" t="inlineStr">
        <is>
          <t>Mediana</t>
        </is>
      </c>
    </row>
    <row r="4878">
      <c r="A4878" s="33" t="n">
        <v>4877</v>
      </c>
      <c r="B4878" t="inlineStr">
        <is>
          <t>A-490__294</t>
        </is>
      </c>
      <c r="C4878" s="1" t="n">
        <v>37.4708262298</v>
      </c>
      <c r="D4878" s="1" t="n">
        <v>-7.19119540835</v>
      </c>
      <c r="E4878" s="3" t="n">
        <v>1</v>
      </c>
      <c r="F4878" s="2" t="n">
        <v>3</v>
      </c>
      <c r="G4878" s="4" t="n"/>
      <c r="H4878" s="13" t="n">
        <v>1</v>
      </c>
      <c r="I4878" s="34" t="n">
        <v>1</v>
      </c>
      <c r="J4878" s="35" t="n">
        <v>1</v>
      </c>
      <c r="K4878" s="2" t="inlineStr">
        <is>
          <t>marker_468_750410.png</t>
        </is>
      </c>
      <c r="L4878" s="36">
        <f>HYPERLINK("Solo2\" &amp; K4878, "Ver Imagen")</f>
        <v/>
      </c>
      <c r="M4878" t="inlineStr">
        <is>
          <t>Mediana</t>
        </is>
      </c>
    </row>
    <row r="4879">
      <c r="A4879" s="33" t="n">
        <v>4878</v>
      </c>
      <c r="B4879" t="inlineStr">
        <is>
          <t>A-490__295</t>
        </is>
      </c>
      <c r="C4879" s="1" t="n">
        <v>37.4709130631</v>
      </c>
      <c r="D4879" s="1" t="n">
        <v>-7.19134913422</v>
      </c>
      <c r="E4879" s="3" t="n">
        <v>1</v>
      </c>
      <c r="F4879" s="2" t="n">
        <v>3</v>
      </c>
      <c r="G4879" s="4" t="n"/>
      <c r="H4879" s="13" t="n">
        <v>2</v>
      </c>
      <c r="I4879" s="34" t="n">
        <v>2</v>
      </c>
      <c r="J4879" s="35" t="n">
        <v>2</v>
      </c>
      <c r="K4879" s="2" t="inlineStr">
        <is>
          <t>marker_901_750424.png</t>
        </is>
      </c>
      <c r="L4879" s="36">
        <f>HYPERLINK("Solo2\" &amp; K4879, "Ver Imagen")</f>
        <v/>
      </c>
      <c r="M4879" t="inlineStr">
        <is>
          <t>Mediana</t>
        </is>
      </c>
    </row>
    <row r="4880">
      <c r="A4880" s="33" t="n">
        <v>4879</v>
      </c>
      <c r="B4880" t="inlineStr">
        <is>
          <t>A-490__296</t>
        </is>
      </c>
      <c r="C4880" s="1" t="n">
        <v>37.4710335645</v>
      </c>
      <c r="D4880" s="1" t="n">
        <v>-7.19155958403</v>
      </c>
      <c r="E4880" s="3" t="n">
        <v>1</v>
      </c>
      <c r="F4880" s="2" t="n">
        <v>2</v>
      </c>
      <c r="G4880" s="4" t="n"/>
      <c r="H4880" s="13" t="n">
        <v>1</v>
      </c>
      <c r="I4880" s="34" t="n">
        <v>1</v>
      </c>
      <c r="J4880" s="35" t="n">
        <v>1</v>
      </c>
      <c r="K4880" s="2" t="inlineStr">
        <is>
          <t>marker_440_750485.png</t>
        </is>
      </c>
      <c r="L4880" s="36">
        <f>HYPERLINK("Solo2\" &amp; K4880, "Ver Imagen")</f>
        <v/>
      </c>
      <c r="M4880" t="inlineStr">
        <is>
          <t>Mediana</t>
        </is>
      </c>
    </row>
    <row r="4881">
      <c r="A4881" s="33" t="n">
        <v>4880</v>
      </c>
      <c r="B4881" t="inlineStr">
        <is>
          <t>A-490__297</t>
        </is>
      </c>
      <c r="C4881" s="1" t="n">
        <v>37.4711438289</v>
      </c>
      <c r="D4881" s="1" t="n">
        <v>-7.19174816357</v>
      </c>
      <c r="E4881" s="3" t="n">
        <v>1</v>
      </c>
      <c r="F4881" s="2" t="n">
        <v>2</v>
      </c>
      <c r="G4881" s="4" t="n"/>
      <c r="H4881" s="13" t="n">
        <v>2</v>
      </c>
      <c r="I4881" s="34" t="n">
        <v>1</v>
      </c>
      <c r="J4881" s="35" t="n">
        <v>1.5</v>
      </c>
      <c r="K4881" s="2" t="inlineStr">
        <is>
          <t>marker_678_750501.png</t>
        </is>
      </c>
      <c r="L4881" s="36">
        <f>HYPERLINK("Solo2\" &amp; K4881, "Ver Imagen")</f>
        <v/>
      </c>
      <c r="M4881" t="inlineStr">
        <is>
          <t>Mediana</t>
        </is>
      </c>
    </row>
    <row r="4882">
      <c r="A4882" s="33" t="n">
        <v>4881</v>
      </c>
      <c r="B4882" t="inlineStr">
        <is>
          <t>A-490__298</t>
        </is>
      </c>
      <c r="C4882" s="1" t="n">
        <v>37.4712710975</v>
      </c>
      <c r="D4882" s="1" t="n">
        <v>-7.19196316927</v>
      </c>
      <c r="E4882" s="3" t="n">
        <v>1</v>
      </c>
      <c r="F4882" s="2" t="n">
        <v>3</v>
      </c>
      <c r="G4882" s="4" t="n"/>
      <c r="H4882" s="13" t="n">
        <v>3</v>
      </c>
      <c r="I4882" s="34" t="n">
        <v>2</v>
      </c>
      <c r="J4882" s="35" t="n">
        <v>2.5</v>
      </c>
      <c r="K4882" s="2" t="inlineStr">
        <is>
          <t>marker_572_750523.png</t>
        </is>
      </c>
      <c r="L4882" s="36">
        <f>HYPERLINK("Solo2\" &amp; K4882, "Ver Imagen")</f>
        <v/>
      </c>
      <c r="M4882" t="inlineStr">
        <is>
          <t>Mediana</t>
        </is>
      </c>
    </row>
    <row r="4883">
      <c r="A4883" s="33" t="n">
        <v>4882</v>
      </c>
      <c r="B4883" t="inlineStr">
        <is>
          <t>A-490__299</t>
        </is>
      </c>
      <c r="C4883" s="1" t="n">
        <v>37.4714192859</v>
      </c>
      <c r="D4883" s="1" t="n">
        <v>-7.19221313341</v>
      </c>
      <c r="E4883" s="3" t="n">
        <v>1</v>
      </c>
      <c r="F4883" s="2" t="n">
        <v>3</v>
      </c>
      <c r="G4883" s="4" t="n"/>
      <c r="H4883" s="13" t="n">
        <v>2</v>
      </c>
      <c r="I4883" s="34" t="n">
        <v>2</v>
      </c>
      <c r="J4883" s="35" t="n">
        <v>2</v>
      </c>
      <c r="K4883" s="2" t="inlineStr">
        <is>
          <t>marker_703_750544.png</t>
        </is>
      </c>
      <c r="L4883" s="36">
        <f>HYPERLINK("Solo2\" &amp; K4883, "Ver Imagen")</f>
        <v/>
      </c>
      <c r="M4883" t="inlineStr">
        <is>
          <t>Mediana</t>
        </is>
      </c>
    </row>
    <row r="4884">
      <c r="A4884" s="33" t="n">
        <v>4883</v>
      </c>
      <c r="B4884" t="inlineStr">
        <is>
          <t>A-490__300</t>
        </is>
      </c>
      <c r="C4884" s="1" t="n">
        <v>37.4715185399</v>
      </c>
      <c r="D4884" s="1" t="n">
        <v>-7.19238047361</v>
      </c>
      <c r="E4884" s="3" t="n">
        <v>1</v>
      </c>
      <c r="F4884" s="2" t="n">
        <v>3</v>
      </c>
      <c r="G4884" s="4" t="n"/>
      <c r="H4884" s="13" t="n">
        <v>3</v>
      </c>
      <c r="I4884" s="34" t="n">
        <v>2</v>
      </c>
      <c r="J4884" s="35" t="n">
        <v>2.5</v>
      </c>
      <c r="K4884" s="2" t="inlineStr">
        <is>
          <t>marker_365_750560.png</t>
        </is>
      </c>
      <c r="L4884" s="36">
        <f>HYPERLINK("Solo2\" &amp; K4884, "Ver Imagen")</f>
        <v/>
      </c>
      <c r="M4884" t="inlineStr">
        <is>
          <t>Mediana</t>
        </is>
      </c>
    </row>
    <row r="4885">
      <c r="A4885" s="33" t="n">
        <v>4884</v>
      </c>
      <c r="B4885" t="inlineStr">
        <is>
          <t>A-490__301</t>
        </is>
      </c>
      <c r="C4885" s="1" t="n">
        <v>37.47167936</v>
      </c>
      <c r="D4885" s="1" t="n">
        <v>-7.19265158995</v>
      </c>
      <c r="E4885" s="3" t="n">
        <v>1</v>
      </c>
      <c r="F4885" s="2" t="n">
        <v>2</v>
      </c>
      <c r="G4885" s="4" t="n"/>
      <c r="H4885" s="13" t="n">
        <v>2</v>
      </c>
      <c r="I4885" s="34" t="n">
        <v>2</v>
      </c>
      <c r="J4885" s="35" t="n">
        <v>2</v>
      </c>
      <c r="K4885" s="2" t="inlineStr">
        <is>
          <t>marker_428_750588.png</t>
        </is>
      </c>
      <c r="L4885" s="36">
        <f>HYPERLINK("Solo2\" &amp; K4885, "Ver Imagen")</f>
        <v/>
      </c>
      <c r="M4885" t="inlineStr">
        <is>
          <t>Mediana</t>
        </is>
      </c>
    </row>
    <row r="4886">
      <c r="A4886" s="33" t="n">
        <v>4885</v>
      </c>
      <c r="B4886" t="inlineStr">
        <is>
          <t>A-490__302</t>
        </is>
      </c>
      <c r="C4886" s="1" t="n">
        <v>37.4717770723</v>
      </c>
      <c r="D4886" s="1" t="n">
        <v>-7.19281571253</v>
      </c>
      <c r="E4886" s="3" t="n">
        <v>1</v>
      </c>
      <c r="F4886" s="2" t="n">
        <v>3</v>
      </c>
      <c r="G4886" s="4" t="n"/>
      <c r="H4886" s="13" t="n">
        <v>2</v>
      </c>
      <c r="I4886" s="34" t="n">
        <v>1</v>
      </c>
      <c r="J4886" s="35" t="n">
        <v>1.5</v>
      </c>
      <c r="K4886" s="2" t="inlineStr">
        <is>
          <t>marker_325_750605.png</t>
        </is>
      </c>
      <c r="L4886" s="36">
        <f>HYPERLINK("Solo2\" &amp; K4886, "Ver Imagen")</f>
        <v/>
      </c>
      <c r="M4886" t="inlineStr">
        <is>
          <t>Mediana</t>
        </is>
      </c>
    </row>
    <row r="4887">
      <c r="A4887" s="33" t="n">
        <v>4886</v>
      </c>
      <c r="B4887" t="inlineStr">
        <is>
          <t>A-490__305</t>
        </is>
      </c>
      <c r="C4887" s="1" t="n">
        <v>37.4721319668</v>
      </c>
      <c r="D4887" s="1" t="n">
        <v>-7.19340971582</v>
      </c>
      <c r="E4887" s="3" t="n">
        <v>2</v>
      </c>
      <c r="F4887" s="2" t="n">
        <v>4</v>
      </c>
      <c r="G4887" s="4" t="n"/>
      <c r="H4887" s="13" t="n">
        <v>3</v>
      </c>
      <c r="I4887" s="34" t="n">
        <v>2</v>
      </c>
      <c r="J4887" s="35" t="n">
        <v>2.5</v>
      </c>
      <c r="K4887" s="2" t="inlineStr">
        <is>
          <t>marker_590_750677.png</t>
        </is>
      </c>
      <c r="L4887" s="36">
        <f>HYPERLINK("Solo2\" &amp; K4887, "Ver Imagen")</f>
        <v/>
      </c>
      <c r="M4887" t="inlineStr">
        <is>
          <t>Mediana</t>
        </is>
      </c>
    </row>
    <row r="4888">
      <c r="A4888" s="33" t="n">
        <v>4887</v>
      </c>
      <c r="B4888" t="inlineStr">
        <is>
          <t>A-490__306</t>
        </is>
      </c>
      <c r="C4888" s="1" t="n">
        <v>37.4722819859</v>
      </c>
      <c r="D4888" s="1" t="n">
        <v>-7.19366003748</v>
      </c>
      <c r="E4888" s="3" t="n">
        <v>2</v>
      </c>
      <c r="F4888" s="2" t="n">
        <v>3</v>
      </c>
      <c r="G4888" s="4" t="n"/>
      <c r="H4888" s="13" t="n">
        <v>3</v>
      </c>
      <c r="I4888" s="34" t="n">
        <v>3</v>
      </c>
      <c r="J4888" s="35" t="n">
        <v>3</v>
      </c>
      <c r="K4888" s="2" t="inlineStr">
        <is>
          <t>marker_982_750699.png</t>
        </is>
      </c>
      <c r="L4888" s="36">
        <f>HYPERLINK("Solo2\" &amp; K4888, "Ver Imagen")</f>
        <v/>
      </c>
      <c r="M4888" t="inlineStr">
        <is>
          <t>Mediana</t>
        </is>
      </c>
    </row>
    <row r="4889">
      <c r="A4889" s="33" t="n">
        <v>4888</v>
      </c>
      <c r="B4889" t="inlineStr">
        <is>
          <t>A-490__307</t>
        </is>
      </c>
      <c r="C4889" s="1" t="n">
        <v>37.4724016141</v>
      </c>
      <c r="D4889" s="1" t="n">
        <v>-7.19385944739</v>
      </c>
      <c r="E4889" s="3" t="n">
        <v>2</v>
      </c>
      <c r="F4889" s="2" t="n">
        <v>2</v>
      </c>
      <c r="G4889" s="4" t="n"/>
      <c r="H4889" s="13" t="n">
        <v>2</v>
      </c>
      <c r="I4889" s="34" t="n">
        <v>1</v>
      </c>
      <c r="J4889" s="35" t="n">
        <v>2</v>
      </c>
      <c r="K4889" s="2" t="inlineStr">
        <is>
          <t>marker_312_750717.png</t>
        </is>
      </c>
      <c r="L4889" s="36">
        <f>HYPERLINK("Solo2\" &amp; K4889, "Ver Imagen")</f>
        <v/>
      </c>
      <c r="M4889" t="inlineStr">
        <is>
          <t>Mediana</t>
        </is>
      </c>
    </row>
    <row r="4890">
      <c r="A4890" s="33" t="n">
        <v>4889</v>
      </c>
      <c r="B4890" t="inlineStr">
        <is>
          <t>A-490__308</t>
        </is>
      </c>
      <c r="C4890" s="1" t="n">
        <v>37.472470057</v>
      </c>
      <c r="D4890" s="1" t="n">
        <v>-7.19397369352</v>
      </c>
      <c r="E4890" s="3" t="n">
        <v>1</v>
      </c>
      <c r="F4890" s="2" t="n">
        <v>2</v>
      </c>
      <c r="G4890" s="4" t="n"/>
      <c r="H4890" s="13" t="n">
        <v>2</v>
      </c>
      <c r="I4890" s="34" t="n">
        <v>1</v>
      </c>
      <c r="J4890" s="35" t="n">
        <v>1.5</v>
      </c>
      <c r="K4890" s="2" t="inlineStr">
        <is>
          <t>marker_129_750733.png</t>
        </is>
      </c>
      <c r="L4890" s="36">
        <f>HYPERLINK("Solo2\" &amp; K4890, "Ver Imagen")</f>
        <v/>
      </c>
      <c r="M4890" t="inlineStr">
        <is>
          <t>Mediana</t>
        </is>
      </c>
    </row>
    <row r="4891">
      <c r="A4891" s="33" t="n">
        <v>4890</v>
      </c>
      <c r="B4891" t="inlineStr">
        <is>
          <t>A-490__309</t>
        </is>
      </c>
      <c r="C4891" s="1" t="n">
        <v>37.4726223785</v>
      </c>
      <c r="D4891" s="1" t="n">
        <v>-7.1942294371</v>
      </c>
      <c r="E4891" s="3" t="n">
        <v>1</v>
      </c>
      <c r="F4891" s="2" t="n">
        <v>2</v>
      </c>
      <c r="G4891" s="4" t="n"/>
      <c r="H4891" s="13" t="n">
        <v>3</v>
      </c>
      <c r="I4891" s="34" t="n">
        <v>2</v>
      </c>
      <c r="J4891" s="35" t="n">
        <v>2</v>
      </c>
      <c r="K4891" s="2" t="inlineStr">
        <is>
          <t>marker_714_750749.png</t>
        </is>
      </c>
      <c r="L4891" s="36">
        <f>HYPERLINK("Solo2\" &amp; K4891, "Ver Imagen")</f>
        <v/>
      </c>
      <c r="M4891" t="inlineStr">
        <is>
          <t>Mediana</t>
        </is>
      </c>
    </row>
    <row r="4892">
      <c r="A4892" s="33" t="n">
        <v>4891</v>
      </c>
      <c r="B4892" t="inlineStr">
        <is>
          <t>A-490__310</t>
        </is>
      </c>
      <c r="C4892" s="1" t="n">
        <v>37.4727324989</v>
      </c>
      <c r="D4892" s="1" t="n">
        <v>-7.19441665503</v>
      </c>
      <c r="E4892" s="3" t="n">
        <v>2</v>
      </c>
      <c r="F4892" s="2" t="n">
        <v>3</v>
      </c>
      <c r="G4892" s="4" t="n"/>
      <c r="H4892" s="13" t="n">
        <v>2</v>
      </c>
      <c r="I4892" s="34" t="n">
        <v>1</v>
      </c>
      <c r="J4892" s="35" t="n">
        <v>2</v>
      </c>
      <c r="K4892" s="2" t="inlineStr">
        <is>
          <t>marker_473_750773.png</t>
        </is>
      </c>
      <c r="L4892" s="36">
        <f>HYPERLINK("Solo2\" &amp; K4892, "Ver Imagen")</f>
        <v/>
      </c>
      <c r="M4892" t="inlineStr">
        <is>
          <t>Mediana</t>
        </is>
      </c>
    </row>
    <row r="4893">
      <c r="A4893" s="33" t="n">
        <v>4892</v>
      </c>
      <c r="B4893" t="inlineStr">
        <is>
          <t>A-490__311</t>
        </is>
      </c>
      <c r="C4893" s="1" t="n">
        <v>37.4728498909</v>
      </c>
      <c r="D4893" s="1" t="n">
        <v>-7.19461613437</v>
      </c>
      <c r="E4893" s="3" t="n">
        <v>2</v>
      </c>
      <c r="F4893" s="2" t="n">
        <v>3</v>
      </c>
      <c r="G4893" s="4" t="n"/>
      <c r="H4893" s="13" t="n">
        <v>3</v>
      </c>
      <c r="I4893" s="34" t="n">
        <v>2</v>
      </c>
      <c r="J4893" s="35" t="n">
        <v>2.5</v>
      </c>
      <c r="K4893" s="2" t="inlineStr">
        <is>
          <t>marker_782_750795.png</t>
        </is>
      </c>
      <c r="L4893" s="36">
        <f>HYPERLINK("Solo2\" &amp; K4893, "Ver Imagen")</f>
        <v/>
      </c>
      <c r="M4893" t="inlineStr">
        <is>
          <t>Mediana</t>
        </is>
      </c>
    </row>
    <row r="4894">
      <c r="A4894" s="33" t="n">
        <v>4893</v>
      </c>
      <c r="B4894" t="inlineStr">
        <is>
          <t>A-490__312</t>
        </is>
      </c>
      <c r="C4894" s="1" t="n">
        <v>37.47295591</v>
      </c>
      <c r="D4894" s="1" t="n">
        <v>-7.19479349575</v>
      </c>
      <c r="E4894" s="3" t="n">
        <v>2</v>
      </c>
      <c r="F4894" s="2" t="n">
        <v>4</v>
      </c>
      <c r="G4894" s="4" t="n"/>
      <c r="H4894" s="13" t="n">
        <v>3</v>
      </c>
      <c r="I4894" s="34" t="n">
        <v>3</v>
      </c>
      <c r="J4894" s="35" t="n">
        <v>3</v>
      </c>
      <c r="K4894" s="2" t="inlineStr">
        <is>
          <t>marker_265_750814.png</t>
        </is>
      </c>
      <c r="L4894" s="36">
        <f>HYPERLINK("Solo2\" &amp; K4894, "Ver Imagen")</f>
        <v/>
      </c>
      <c r="M4894" t="inlineStr">
        <is>
          <t>Mediana</t>
        </is>
      </c>
    </row>
    <row r="4895">
      <c r="A4895" s="33" t="n">
        <v>4894</v>
      </c>
      <c r="B4895" t="inlineStr">
        <is>
          <t>A-490__313</t>
        </is>
      </c>
      <c r="C4895" s="1" t="n">
        <v>37.4731090061</v>
      </c>
      <c r="D4895" s="1" t="n">
        <v>-7.1950482885</v>
      </c>
      <c r="E4895" s="3" t="n">
        <v>2</v>
      </c>
      <c r="F4895" s="2" t="n">
        <v>4</v>
      </c>
      <c r="G4895" s="4" t="n"/>
      <c r="H4895" s="13" t="n">
        <v>3</v>
      </c>
      <c r="I4895" s="34" t="n">
        <v>3</v>
      </c>
      <c r="J4895" s="35" t="n">
        <v>3</v>
      </c>
      <c r="K4895" s="2" t="inlineStr">
        <is>
          <t>marker_125_750832.png</t>
        </is>
      </c>
      <c r="L4895" s="36">
        <f>HYPERLINK("Solo2\" &amp; K4895, "Ver Imagen")</f>
        <v/>
      </c>
      <c r="M4895" t="inlineStr">
        <is>
          <t>Mediana</t>
        </is>
      </c>
    </row>
    <row r="4896">
      <c r="A4896" s="33" t="n">
        <v>4895</v>
      </c>
      <c r="B4896" t="inlineStr">
        <is>
          <t>A-490__314</t>
        </is>
      </c>
      <c r="C4896" s="1" t="n">
        <v>37.4732272834</v>
      </c>
      <c r="D4896" s="1" t="n">
        <v>-7.19524675988</v>
      </c>
      <c r="E4896" s="3" t="n">
        <v>2</v>
      </c>
      <c r="F4896" s="2" t="n">
        <v>3</v>
      </c>
      <c r="G4896" s="4" t="n"/>
      <c r="H4896" s="13" t="n">
        <v>3</v>
      </c>
      <c r="I4896" s="34" t="n">
        <v>3</v>
      </c>
      <c r="J4896" s="35" t="n">
        <v>3</v>
      </c>
      <c r="K4896" s="2" t="inlineStr">
        <is>
          <t>marker_434_750849.png</t>
        </is>
      </c>
      <c r="L4896" s="36">
        <f>HYPERLINK("Solo2\" &amp; K4896, "Ver Imagen")</f>
        <v/>
      </c>
      <c r="M4896" t="inlineStr">
        <is>
          <t>Mediana</t>
        </is>
      </c>
    </row>
    <row r="4897">
      <c r="A4897" s="33" t="n">
        <v>4896</v>
      </c>
      <c r="B4897" t="inlineStr">
        <is>
          <t>A-490__315</t>
        </is>
      </c>
      <c r="C4897" s="1" t="n">
        <v>37.4733263535</v>
      </c>
      <c r="D4897" s="1" t="n">
        <v>-7.19541325065</v>
      </c>
      <c r="E4897" s="3" t="n">
        <v>1</v>
      </c>
      <c r="F4897" s="2" t="n">
        <v>2</v>
      </c>
      <c r="G4897" s="4" t="n"/>
      <c r="H4897" s="13" t="n">
        <v>2</v>
      </c>
      <c r="I4897" s="34" t="n">
        <v>2</v>
      </c>
      <c r="J4897" s="35" t="n">
        <v>2</v>
      </c>
      <c r="K4897" s="2" t="inlineStr">
        <is>
          <t>marker_734_750865.png</t>
        </is>
      </c>
      <c r="L4897" s="36">
        <f>HYPERLINK("Solo2\" &amp; K4897, "Ver Imagen")</f>
        <v/>
      </c>
      <c r="M4897" t="inlineStr">
        <is>
          <t>Mediana</t>
        </is>
      </c>
    </row>
    <row r="4898">
      <c r="A4898" s="33" t="n">
        <v>4897</v>
      </c>
      <c r="B4898" t="inlineStr">
        <is>
          <t>A-490__316</t>
        </is>
      </c>
      <c r="C4898" s="1" t="n">
        <v>37.4734625827</v>
      </c>
      <c r="D4898" s="1" t="n">
        <v>-7.19564104359</v>
      </c>
      <c r="E4898" s="3" t="n">
        <v>1</v>
      </c>
      <c r="F4898" s="2" t="n">
        <v>3</v>
      </c>
      <c r="G4898" s="4" t="n"/>
      <c r="H4898" s="13" t="n">
        <v>2</v>
      </c>
      <c r="I4898" s="34" t="n">
        <v>2</v>
      </c>
      <c r="J4898" s="35" t="n">
        <v>2</v>
      </c>
      <c r="K4898" s="2" t="inlineStr">
        <is>
          <t>marker_925_750983.png</t>
        </is>
      </c>
      <c r="L4898" s="36">
        <f>HYPERLINK("Solo2\" &amp; K4898, "Ver Imagen")</f>
        <v/>
      </c>
      <c r="M4898" t="inlineStr">
        <is>
          <t>Mediana</t>
        </is>
      </c>
    </row>
    <row r="4899">
      <c r="A4899" s="33" t="n">
        <v>4898</v>
      </c>
      <c r="B4899" t="inlineStr">
        <is>
          <t>A-490__317</t>
        </is>
      </c>
      <c r="C4899" s="1" t="n">
        <v>37.4736020098</v>
      </c>
      <c r="D4899" s="1" t="n">
        <v>-7.19587242772</v>
      </c>
      <c r="E4899" s="3" t="n">
        <v>2</v>
      </c>
      <c r="F4899" s="2" t="n">
        <v>2</v>
      </c>
      <c r="G4899" s="4" t="n"/>
      <c r="H4899" s="13" t="n">
        <v>2</v>
      </c>
      <c r="I4899" s="34" t="n">
        <v>1</v>
      </c>
      <c r="J4899" s="35" t="n">
        <v>2</v>
      </c>
      <c r="K4899" s="2" t="inlineStr">
        <is>
          <t>marker_437_751000.png</t>
        </is>
      </c>
      <c r="L4899" s="36">
        <f>HYPERLINK("Solo2\" &amp; K4899, "Ver Imagen")</f>
        <v/>
      </c>
      <c r="M4899" t="inlineStr">
        <is>
          <t>Mediana</t>
        </is>
      </c>
    </row>
    <row r="4900">
      <c r="A4900" s="33" t="n">
        <v>4899</v>
      </c>
      <c r="B4900" t="inlineStr">
        <is>
          <t>A-490__318</t>
        </is>
      </c>
      <c r="C4900" s="1" t="n">
        <v>37.4736824142</v>
      </c>
      <c r="D4900" s="1" t="n">
        <v>-7.19600532057</v>
      </c>
      <c r="E4900" s="3" t="n">
        <v>3</v>
      </c>
      <c r="F4900" s="2" t="n">
        <v>4</v>
      </c>
      <c r="G4900" s="4" t="n"/>
      <c r="H4900" s="13" t="n">
        <v>2</v>
      </c>
      <c r="I4900" s="34" t="n">
        <v>2</v>
      </c>
      <c r="J4900" s="35" t="n">
        <v>2.5</v>
      </c>
      <c r="K4900" s="2" t="inlineStr">
        <is>
          <t>marker_786_751014.png</t>
        </is>
      </c>
      <c r="L4900" s="36">
        <f>HYPERLINK("Solo2\" &amp; K4900, "Ver Imagen")</f>
        <v/>
      </c>
      <c r="M4900" t="inlineStr">
        <is>
          <t>Mediana</t>
        </is>
      </c>
    </row>
    <row r="4901">
      <c r="A4901" s="33" t="n">
        <v>4900</v>
      </c>
      <c r="B4901" t="inlineStr">
        <is>
          <t>A-490__319</t>
        </is>
      </c>
      <c r="C4901" s="1" t="n">
        <v>37.473815067</v>
      </c>
      <c r="D4901" s="1" t="n">
        <v>-7.19622430464</v>
      </c>
      <c r="E4901" s="3" t="n">
        <v>2</v>
      </c>
      <c r="F4901" s="2" t="n">
        <v>3</v>
      </c>
      <c r="G4901" s="4" t="n"/>
      <c r="H4901" s="13" t="n">
        <v>3</v>
      </c>
      <c r="I4901" s="34" t="n">
        <v>3</v>
      </c>
      <c r="J4901" s="35" t="n">
        <v>3</v>
      </c>
      <c r="K4901" s="2" t="inlineStr">
        <is>
          <t>marker_981_751034.png</t>
        </is>
      </c>
      <c r="L4901" s="36">
        <f>HYPERLINK("Solo2\" &amp; K4901, "Ver Imagen")</f>
        <v/>
      </c>
      <c r="M4901" t="inlineStr">
        <is>
          <t>Mediana</t>
        </is>
      </c>
    </row>
    <row r="4902">
      <c r="A4902" s="33" t="n">
        <v>4901</v>
      </c>
      <c r="B4902" t="inlineStr">
        <is>
          <t>A-490__320</t>
        </is>
      </c>
      <c r="C4902" s="1" t="n">
        <v>37.4739368278</v>
      </c>
      <c r="D4902" s="1" t="n">
        <v>-7.19642709837</v>
      </c>
      <c r="E4902" s="3" t="n">
        <v>2</v>
      </c>
      <c r="F4902" s="2" t="n">
        <v>2</v>
      </c>
      <c r="G4902" s="4" t="n"/>
      <c r="H4902" s="13" t="n">
        <v>2</v>
      </c>
      <c r="I4902" s="34" t="n">
        <v>2</v>
      </c>
      <c r="J4902" s="35" t="n">
        <v>2</v>
      </c>
      <c r="K4902" s="2" t="inlineStr">
        <is>
          <t>marker_523_751056.png</t>
        </is>
      </c>
      <c r="L4902" s="36">
        <f>HYPERLINK("Solo2\" &amp; K4902, "Ver Imagen")</f>
        <v/>
      </c>
      <c r="M4902" t="inlineStr">
        <is>
          <t>Mediana</t>
        </is>
      </c>
    </row>
    <row r="4903">
      <c r="A4903" s="33" t="n">
        <v>4902</v>
      </c>
      <c r="B4903" t="inlineStr">
        <is>
          <t>A-490__321</t>
        </is>
      </c>
      <c r="C4903" s="1" t="n">
        <v>37.4740592903</v>
      </c>
      <c r="D4903" s="1" t="n">
        <v>-7.19663913009</v>
      </c>
      <c r="E4903" s="3" t="n">
        <v>1</v>
      </c>
      <c r="F4903" s="2" t="n">
        <v>2</v>
      </c>
      <c r="G4903" s="4" t="n"/>
      <c r="H4903" s="13" t="n">
        <v>3</v>
      </c>
      <c r="I4903" s="34" t="n">
        <v>2</v>
      </c>
      <c r="J4903" s="35" t="n">
        <v>2</v>
      </c>
      <c r="K4903" s="2" t="inlineStr">
        <is>
          <t>marker_337_751077.png</t>
        </is>
      </c>
      <c r="L4903" s="36">
        <f>HYPERLINK("Solo2\" &amp; K4903, "Ver Imagen")</f>
        <v/>
      </c>
      <c r="M4903" t="inlineStr">
        <is>
          <t>Mediana</t>
        </is>
      </c>
    </row>
    <row r="4904">
      <c r="A4904" s="33" t="n">
        <v>4903</v>
      </c>
      <c r="B4904" t="inlineStr">
        <is>
          <t>A-490__322</t>
        </is>
      </c>
      <c r="C4904" s="1" t="n">
        <v>37.474186609</v>
      </c>
      <c r="D4904" s="1" t="n">
        <v>-7.19688431117</v>
      </c>
      <c r="E4904" s="3" t="n">
        <v>1</v>
      </c>
      <c r="F4904" s="2" t="n">
        <v>2</v>
      </c>
      <c r="G4904" s="4" t="n"/>
      <c r="H4904" s="13" t="n">
        <v>2</v>
      </c>
      <c r="I4904" s="34" t="n">
        <v>2</v>
      </c>
      <c r="J4904" s="35" t="n">
        <v>2</v>
      </c>
      <c r="K4904" s="2" t="inlineStr">
        <is>
          <t>marker_583_751100.png</t>
        </is>
      </c>
      <c r="L4904" s="36">
        <f>HYPERLINK("Solo2\" &amp; K4904, "Ver Imagen")</f>
        <v/>
      </c>
      <c r="M4904" t="inlineStr">
        <is>
          <t>Mediana</t>
        </is>
      </c>
    </row>
    <row r="4905">
      <c r="A4905" s="33" t="n">
        <v>4904</v>
      </c>
      <c r="B4905" t="inlineStr">
        <is>
          <t>A-490__323</t>
        </is>
      </c>
      <c r="C4905" s="1" t="n">
        <v>37.4742876635</v>
      </c>
      <c r="D4905" s="1" t="n">
        <v>-7.19710335867</v>
      </c>
      <c r="E4905" s="3" t="n">
        <v>1</v>
      </c>
      <c r="F4905" s="2" t="n">
        <v>3</v>
      </c>
      <c r="G4905" s="4" t="n"/>
      <c r="H4905" s="13" t="n">
        <v>2</v>
      </c>
      <c r="I4905" s="34" t="n">
        <v>2</v>
      </c>
      <c r="J4905" s="35" t="n">
        <v>2</v>
      </c>
      <c r="K4905" s="2" t="inlineStr">
        <is>
          <t>marker_357_751127.png</t>
        </is>
      </c>
      <c r="L4905" s="36">
        <f>HYPERLINK("Solo2\" &amp; K4905, "Ver Imagen")</f>
        <v/>
      </c>
      <c r="M4905" t="inlineStr">
        <is>
          <t>Mediana</t>
        </is>
      </c>
    </row>
    <row r="4906">
      <c r="A4906" s="33" t="n">
        <v>4905</v>
      </c>
      <c r="B4906" t="inlineStr">
        <is>
          <t>A-490__324</t>
        </is>
      </c>
      <c r="C4906" s="1" t="n">
        <v>37.4743751305</v>
      </c>
      <c r="D4906" s="1" t="n">
        <v>-7.19730549131</v>
      </c>
      <c r="E4906" s="3" t="n">
        <v>1</v>
      </c>
      <c r="F4906" s="2" t="n">
        <v>2</v>
      </c>
      <c r="G4906" s="4" t="n"/>
      <c r="H4906" s="13" t="n">
        <v>2</v>
      </c>
      <c r="I4906" s="34" t="n">
        <v>2</v>
      </c>
      <c r="J4906" s="35" t="n">
        <v>2</v>
      </c>
      <c r="K4906" s="2" t="inlineStr">
        <is>
          <t>marker_591_751148.png</t>
        </is>
      </c>
      <c r="L4906" s="36">
        <f>HYPERLINK("Solo2\" &amp; K4906, "Ver Imagen")</f>
        <v/>
      </c>
      <c r="M4906" t="inlineStr">
        <is>
          <t>Mediana</t>
        </is>
      </c>
    </row>
    <row r="4907">
      <c r="A4907" s="33" t="n">
        <v>4906</v>
      </c>
      <c r="B4907" t="inlineStr">
        <is>
          <t>A-490__325</t>
        </is>
      </c>
      <c r="C4907" s="1" t="n">
        <v>37.4744745531</v>
      </c>
      <c r="D4907" s="1" t="n">
        <v>-7.19754058254</v>
      </c>
      <c r="E4907" s="3" t="n">
        <v>1</v>
      </c>
      <c r="F4907" s="2" t="n">
        <v>3</v>
      </c>
      <c r="G4907" s="4" t="n"/>
      <c r="H4907" s="13" t="n">
        <v>2</v>
      </c>
      <c r="I4907" s="34" t="n">
        <v>2</v>
      </c>
      <c r="J4907" s="35" t="n">
        <v>2</v>
      </c>
      <c r="K4907" s="2" t="inlineStr">
        <is>
          <t>marker_642_751168.png</t>
        </is>
      </c>
      <c r="L4907" s="36">
        <f>HYPERLINK("Solo2\" &amp; K4907, "Ver Imagen")</f>
        <v/>
      </c>
      <c r="M4907" t="inlineStr">
        <is>
          <t>Mediana</t>
        </is>
      </c>
    </row>
    <row r="4908">
      <c r="A4908" s="33" t="n">
        <v>4907</v>
      </c>
      <c r="B4908" t="inlineStr">
        <is>
          <t>A-490__326</t>
        </is>
      </c>
      <c r="C4908" s="1" t="n">
        <v>37.4745906223</v>
      </c>
      <c r="D4908" s="1" t="n">
        <v>-7.19781346578</v>
      </c>
      <c r="E4908" s="3" t="n">
        <v>1</v>
      </c>
      <c r="F4908" s="2" t="n">
        <v>2</v>
      </c>
      <c r="G4908" s="4" t="n"/>
      <c r="H4908" s="13" t="n">
        <v>2</v>
      </c>
      <c r="I4908" s="34" t="n">
        <v>2</v>
      </c>
      <c r="J4908" s="35" t="n">
        <v>2</v>
      </c>
      <c r="K4908" s="2" t="inlineStr">
        <is>
          <t>marker_845_751185.png</t>
        </is>
      </c>
      <c r="L4908" s="36">
        <f>HYPERLINK("Solo2\" &amp; K4908, "Ver Imagen")</f>
        <v/>
      </c>
      <c r="M4908" t="inlineStr">
        <is>
          <t>Mediana</t>
        </is>
      </c>
    </row>
    <row r="4909">
      <c r="A4909" s="33" t="n">
        <v>4908</v>
      </c>
      <c r="B4909" t="inlineStr">
        <is>
          <t>A-490__327</t>
        </is>
      </c>
      <c r="C4909" s="1" t="n">
        <v>37.4746813008</v>
      </c>
      <c r="D4909" s="1" t="n">
        <v>-7.1980251067</v>
      </c>
      <c r="E4909" s="3" t="n">
        <v>1</v>
      </c>
      <c r="F4909" s="2" t="n">
        <v>2</v>
      </c>
      <c r="G4909" s="4" t="n"/>
      <c r="H4909" s="13" t="n">
        <v>2</v>
      </c>
      <c r="I4909" s="34" t="n">
        <v>2</v>
      </c>
      <c r="J4909" s="35" t="n">
        <v>2</v>
      </c>
      <c r="K4909" s="2" t="inlineStr">
        <is>
          <t>marker_733_751201.png</t>
        </is>
      </c>
      <c r="L4909" s="36">
        <f>HYPERLINK("Solo2\" &amp; K4909, "Ver Imagen")</f>
        <v/>
      </c>
      <c r="M4909" t="inlineStr">
        <is>
          <t>Mediana</t>
        </is>
      </c>
    </row>
    <row r="4910">
      <c r="A4910" s="33" t="n">
        <v>4909</v>
      </c>
      <c r="B4910" t="inlineStr">
        <is>
          <t>A-490__328</t>
        </is>
      </c>
      <c r="C4910" s="1" t="n">
        <v>37.4747571261</v>
      </c>
      <c r="D4910" s="1" t="n">
        <v>-7.19820024368</v>
      </c>
      <c r="E4910" s="3" t="n">
        <v>1</v>
      </c>
      <c r="F4910" s="2" t="n">
        <v>3</v>
      </c>
      <c r="G4910" s="4" t="n"/>
      <c r="H4910" s="13" t="n">
        <v>2</v>
      </c>
      <c r="I4910" s="34" t="n">
        <v>2</v>
      </c>
      <c r="J4910" s="35" t="n">
        <v>2</v>
      </c>
      <c r="K4910" s="2" t="inlineStr">
        <is>
          <t>marker_587_751219.png</t>
        </is>
      </c>
      <c r="L4910" s="36">
        <f>HYPERLINK("Solo2\" &amp; K4910, "Ver Imagen")</f>
        <v/>
      </c>
      <c r="M4910" t="inlineStr">
        <is>
          <t>Mediana</t>
        </is>
      </c>
    </row>
    <row r="4911">
      <c r="A4911" s="33" t="n">
        <v>4910</v>
      </c>
      <c r="B4911" t="inlineStr">
        <is>
          <t>A-490__329</t>
        </is>
      </c>
      <c r="C4911" s="1" t="n">
        <v>37.4748492513</v>
      </c>
      <c r="D4911" s="1" t="n">
        <v>-7.19840925378</v>
      </c>
      <c r="E4911" s="3" t="n">
        <v>1</v>
      </c>
      <c r="F4911" s="2" t="n">
        <v>3</v>
      </c>
      <c r="G4911" s="4" t="n"/>
      <c r="H4911" s="13" t="n">
        <v>2</v>
      </c>
      <c r="I4911" s="34" t="n">
        <v>3</v>
      </c>
      <c r="J4911" s="35" t="n">
        <v>2.5</v>
      </c>
      <c r="K4911" s="2" t="inlineStr">
        <is>
          <t>marker_430_751240.png</t>
        </is>
      </c>
      <c r="L4911" s="36">
        <f>HYPERLINK("Solo2\" &amp; K4911, "Ver Imagen")</f>
        <v/>
      </c>
      <c r="M4911" t="inlineStr">
        <is>
          <t>Mediana</t>
        </is>
      </c>
    </row>
    <row r="4912">
      <c r="A4912" s="33" t="n">
        <v>4911</v>
      </c>
      <c r="B4912" t="inlineStr">
        <is>
          <t>A-490__330</t>
        </is>
      </c>
      <c r="C4912" s="1" t="n">
        <v>37.4749638972</v>
      </c>
      <c r="D4912" s="1" t="n">
        <v>-7.19866788995</v>
      </c>
      <c r="E4912" s="3" t="n">
        <v>1</v>
      </c>
      <c r="F4912" s="2" t="n">
        <v>2</v>
      </c>
      <c r="G4912" s="4" t="n"/>
      <c r="H4912" s="13" t="n">
        <v>2</v>
      </c>
      <c r="I4912" s="34" t="n">
        <v>2</v>
      </c>
      <c r="J4912" s="35" t="n">
        <v>2</v>
      </c>
      <c r="K4912" s="2" t="inlineStr">
        <is>
          <t>marker_714_751254.png</t>
        </is>
      </c>
      <c r="L4912" s="36">
        <f>HYPERLINK("Solo2\" &amp; K4912, "Ver Imagen")</f>
        <v/>
      </c>
      <c r="M4912" t="inlineStr">
        <is>
          <t>Mediana</t>
        </is>
      </c>
    </row>
    <row r="4913">
      <c r="A4913" s="33" t="n">
        <v>4912</v>
      </c>
      <c r="B4913" t="inlineStr">
        <is>
          <t>A-490__331</t>
        </is>
      </c>
      <c r="C4913" s="1" t="n">
        <v>37.4750675435</v>
      </c>
      <c r="D4913" s="1" t="n">
        <v>-7.19890476943</v>
      </c>
      <c r="E4913" s="3" t="n">
        <v>1</v>
      </c>
      <c r="F4913" s="2" t="n">
        <v>2</v>
      </c>
      <c r="G4913" s="4" t="n"/>
      <c r="H4913" s="13" t="n">
        <v>2</v>
      </c>
      <c r="I4913" s="34" t="n">
        <v>2</v>
      </c>
      <c r="J4913" s="35" t="n">
        <v>2</v>
      </c>
      <c r="K4913" s="2" t="inlineStr">
        <is>
          <t>marker_541_751279.png</t>
        </is>
      </c>
      <c r="L4913" s="36">
        <f>HYPERLINK("Solo2\" &amp; K4913, "Ver Imagen")</f>
        <v/>
      </c>
      <c r="M4913" t="inlineStr">
        <is>
          <t>Mediana</t>
        </is>
      </c>
    </row>
    <row r="4914">
      <c r="A4914" s="33" t="n">
        <v>4913</v>
      </c>
      <c r="B4914" t="inlineStr">
        <is>
          <t>A-490__332</t>
        </is>
      </c>
      <c r="C4914" s="1" t="n">
        <v>37.4751279424</v>
      </c>
      <c r="D4914" s="1" t="n">
        <v>-7.19904321954</v>
      </c>
      <c r="E4914" s="3" t="n">
        <v>2</v>
      </c>
      <c r="F4914" s="2" t="n">
        <v>3</v>
      </c>
      <c r="G4914" s="4" t="n"/>
      <c r="H4914" s="13" t="n">
        <v>3</v>
      </c>
      <c r="I4914" s="34" t="n">
        <v>3</v>
      </c>
      <c r="J4914" s="35" t="n">
        <v>3</v>
      </c>
      <c r="K4914" s="2" t="inlineStr">
        <is>
          <t>marker_287_751295.png</t>
        </is>
      </c>
      <c r="L4914" s="36">
        <f>HYPERLINK("Solo2\" &amp; K4914, "Ver Imagen")</f>
        <v/>
      </c>
      <c r="M4914" t="inlineStr">
        <is>
          <t>Mediana</t>
        </is>
      </c>
    </row>
    <row r="4915">
      <c r="A4915" s="33" t="n">
        <v>4914</v>
      </c>
      <c r="B4915" t="inlineStr">
        <is>
          <t>A-490__333</t>
        </is>
      </c>
      <c r="C4915" s="1" t="n">
        <v>37.4752450383</v>
      </c>
      <c r="D4915" s="1" t="n">
        <v>-7.19930973459</v>
      </c>
      <c r="E4915" s="3" t="n">
        <v>2</v>
      </c>
      <c r="F4915" s="2" t="n">
        <v>3</v>
      </c>
      <c r="G4915" s="4" t="n"/>
      <c r="H4915" s="13" t="n">
        <v>2</v>
      </c>
      <c r="I4915" s="34" t="n">
        <v>2</v>
      </c>
      <c r="J4915" s="35" t="n">
        <v>2</v>
      </c>
      <c r="K4915" s="2" t="inlineStr">
        <is>
          <t>marker_417_751317.png</t>
        </is>
      </c>
      <c r="L4915" s="36">
        <f>HYPERLINK("Solo2\" &amp; K4915, "Ver Imagen")</f>
        <v/>
      </c>
      <c r="M4915" t="inlineStr">
        <is>
          <t>Mediana</t>
        </is>
      </c>
    </row>
    <row r="4916">
      <c r="A4916" s="33" t="n">
        <v>4915</v>
      </c>
      <c r="B4916" t="inlineStr">
        <is>
          <t>A-490__334</t>
        </is>
      </c>
      <c r="C4916" s="1" t="n">
        <v>37.4753410514</v>
      </c>
      <c r="D4916" s="1" t="n">
        <v>-7.19952737247</v>
      </c>
      <c r="E4916" s="3" t="n">
        <v>1</v>
      </c>
      <c r="F4916" s="2" t="n">
        <v>1</v>
      </c>
      <c r="G4916" s="4" t="n"/>
      <c r="H4916" s="13" t="n">
        <v>2</v>
      </c>
      <c r="I4916" s="34" t="n">
        <v>2</v>
      </c>
      <c r="J4916" s="35" t="n">
        <v>1.5</v>
      </c>
      <c r="K4916" s="2" t="inlineStr">
        <is>
          <t>marker_850_751343.png</t>
        </is>
      </c>
      <c r="L4916" s="36">
        <f>HYPERLINK("Solo2\" &amp; K4916, "Ver Imagen")</f>
        <v/>
      </c>
      <c r="M4916" t="inlineStr">
        <is>
          <t>Mediana</t>
        </is>
      </c>
    </row>
    <row r="4917">
      <c r="A4917" s="33" t="n">
        <v>4916</v>
      </c>
      <c r="B4917" t="inlineStr">
        <is>
          <t>A-490__335</t>
        </is>
      </c>
      <c r="C4917" s="1" t="n">
        <v>37.475465799</v>
      </c>
      <c r="D4917" s="1" t="n">
        <v>-7.19981320207</v>
      </c>
      <c r="E4917" s="3" t="n">
        <v>1</v>
      </c>
      <c r="F4917" s="2" t="n">
        <v>4</v>
      </c>
      <c r="G4917" s="4" t="n"/>
      <c r="H4917" s="13" t="n">
        <v>3</v>
      </c>
      <c r="I4917" s="34" t="n">
        <v>2</v>
      </c>
      <c r="J4917" s="35" t="n">
        <v>2.5</v>
      </c>
      <c r="K4917" s="2" t="inlineStr">
        <is>
          <t>marker_303_751366.png</t>
        </is>
      </c>
      <c r="L4917" s="36">
        <f>HYPERLINK("Solo2\" &amp; K4917, "Ver Imagen")</f>
        <v/>
      </c>
      <c r="M4917" t="inlineStr">
        <is>
          <t>Mediana</t>
        </is>
      </c>
    </row>
    <row r="4918">
      <c r="A4918" s="33" t="n">
        <v>4917</v>
      </c>
      <c r="B4918" t="inlineStr">
        <is>
          <t>A-490__337</t>
        </is>
      </c>
      <c r="C4918" s="1" t="n">
        <v>37.4756333365</v>
      </c>
      <c r="D4918" s="1" t="n">
        <v>-7.20020621671</v>
      </c>
      <c r="E4918" s="3" t="n">
        <v>2</v>
      </c>
      <c r="F4918" s="2" t="n">
        <v>4</v>
      </c>
      <c r="G4918" s="4" t="n"/>
      <c r="H4918" s="13" t="n">
        <v>3</v>
      </c>
      <c r="I4918" s="34" t="n">
        <v>3</v>
      </c>
      <c r="J4918" s="35" t="n">
        <v>3</v>
      </c>
      <c r="K4918" s="2" t="inlineStr">
        <is>
          <t>marker_399_751429.png</t>
        </is>
      </c>
      <c r="L4918" s="36">
        <f>HYPERLINK("Solo2\" &amp; K4918, "Ver Imagen")</f>
        <v/>
      </c>
      <c r="M4918" t="inlineStr">
        <is>
          <t>Mediana</t>
        </is>
      </c>
    </row>
    <row r="4919">
      <c r="A4919" s="33" t="n">
        <v>4918</v>
      </c>
      <c r="B4919" t="inlineStr">
        <is>
          <t>A-490__338</t>
        </is>
      </c>
      <c r="C4919" s="1" t="n">
        <v>37.4757317658</v>
      </c>
      <c r="D4919" s="1" t="n">
        <v>-7.20043698585</v>
      </c>
      <c r="E4919" s="3" t="n">
        <v>2</v>
      </c>
      <c r="F4919" s="2" t="n">
        <v>3</v>
      </c>
      <c r="G4919" s="4" t="n"/>
      <c r="H4919" s="13" t="n">
        <v>3</v>
      </c>
      <c r="I4919" s="34" t="n">
        <v>3</v>
      </c>
      <c r="J4919" s="35" t="n">
        <v>3</v>
      </c>
      <c r="K4919" s="2" t="inlineStr">
        <is>
          <t>marker_629_751453.png</t>
        </is>
      </c>
      <c r="L4919" s="36">
        <f>HYPERLINK("Solo2\" &amp; K4919, "Ver Imagen")</f>
        <v/>
      </c>
      <c r="M4919" t="inlineStr">
        <is>
          <t>Mediana</t>
        </is>
      </c>
    </row>
    <row r="4920">
      <c r="A4920" s="33" t="n">
        <v>4919</v>
      </c>
      <c r="B4920" t="inlineStr">
        <is>
          <t>A-490__339</t>
        </is>
      </c>
      <c r="C4920" s="1" t="n">
        <v>37.4758313486</v>
      </c>
      <c r="D4920" s="1" t="n">
        <v>-7.2006695098</v>
      </c>
      <c r="E4920" s="3" t="n">
        <v>1</v>
      </c>
      <c r="F4920" s="2" t="n">
        <v>2</v>
      </c>
      <c r="G4920" s="4" t="n"/>
      <c r="H4920" s="13" t="n">
        <v>2</v>
      </c>
      <c r="I4920" s="34" t="n">
        <v>1</v>
      </c>
      <c r="J4920" s="35" t="n">
        <v>1.5</v>
      </c>
      <c r="K4920" s="2" t="inlineStr">
        <is>
          <t>marker_224_751479.png</t>
        </is>
      </c>
      <c r="L4920" s="36">
        <f>HYPERLINK("Solo2\" &amp; K4920, "Ver Imagen")</f>
        <v/>
      </c>
      <c r="M4920" t="inlineStr">
        <is>
          <t>Mediana</t>
        </is>
      </c>
    </row>
    <row r="4921">
      <c r="A4921" s="33" t="n">
        <v>4920</v>
      </c>
      <c r="B4921" t="inlineStr">
        <is>
          <t>A-490__340</t>
        </is>
      </c>
      <c r="C4921" s="1" t="n">
        <v>37.475920134</v>
      </c>
      <c r="D4921" s="1" t="n">
        <v>-7.20087648716</v>
      </c>
      <c r="E4921" s="3" t="n">
        <v>1</v>
      </c>
      <c r="F4921" s="2" t="n">
        <v>2</v>
      </c>
      <c r="G4921" s="4" t="n"/>
      <c r="H4921" s="13" t="n">
        <v>2</v>
      </c>
      <c r="I4921" s="34" t="n">
        <v>1</v>
      </c>
      <c r="J4921" s="35" t="n">
        <v>1.5</v>
      </c>
      <c r="K4921" s="2" t="inlineStr">
        <is>
          <t>marker_952_751503.png</t>
        </is>
      </c>
      <c r="L4921" s="36">
        <f>HYPERLINK("Solo2\" &amp; K4921, "Ver Imagen")</f>
        <v/>
      </c>
      <c r="M4921" t="inlineStr">
        <is>
          <t>Mediana</t>
        </is>
      </c>
    </row>
    <row r="4922">
      <c r="A4922" s="33" t="n">
        <v>4921</v>
      </c>
      <c r="B4922" t="inlineStr">
        <is>
          <t>A-490__341</t>
        </is>
      </c>
      <c r="C4922" s="1" t="n">
        <v>37.4760244838</v>
      </c>
      <c r="D4922" s="1" t="n">
        <v>-7.201119385</v>
      </c>
      <c r="E4922" s="3" t="n">
        <v>2</v>
      </c>
      <c r="F4922" s="2" t="n">
        <v>3</v>
      </c>
      <c r="G4922" s="4" t="n"/>
      <c r="H4922" s="13" t="n">
        <v>3</v>
      </c>
      <c r="I4922" s="34" t="n">
        <v>3</v>
      </c>
      <c r="J4922" s="35" t="n">
        <v>3</v>
      </c>
      <c r="K4922" s="2" t="inlineStr">
        <is>
          <t>marker_826_751521.png</t>
        </is>
      </c>
      <c r="L4922" s="36">
        <f>HYPERLINK("Solo2\" &amp; K4922, "Ver Imagen")</f>
        <v/>
      </c>
      <c r="M4922" t="inlineStr">
        <is>
          <t>Mediana</t>
        </is>
      </c>
    </row>
    <row r="4923">
      <c r="A4923" s="33" t="n">
        <v>4922</v>
      </c>
      <c r="B4923" t="inlineStr">
        <is>
          <t>A-490__342</t>
        </is>
      </c>
      <c r="C4923" s="1" t="n">
        <v>37.4761351029</v>
      </c>
      <c r="D4923" s="1" t="n">
        <v>-7.2013765617</v>
      </c>
      <c r="E4923" s="3" t="n">
        <v>1</v>
      </c>
      <c r="F4923" s="2" t="n">
        <v>3</v>
      </c>
      <c r="G4923" s="4" t="n"/>
      <c r="H4923" s="13" t="n">
        <v>2</v>
      </c>
      <c r="I4923" s="34" t="n">
        <v>2</v>
      </c>
      <c r="J4923" s="35" t="n">
        <v>2</v>
      </c>
      <c r="K4923" s="2" t="inlineStr">
        <is>
          <t>marker_633_751536.png</t>
        </is>
      </c>
      <c r="L4923" s="36">
        <f>HYPERLINK("Solo2\" &amp; K4923, "Ver Imagen")</f>
        <v/>
      </c>
      <c r="M4923" t="inlineStr">
        <is>
          <t>Mediana</t>
        </is>
      </c>
    </row>
    <row r="4924">
      <c r="A4924" s="33" t="n">
        <v>4923</v>
      </c>
      <c r="B4924" t="inlineStr">
        <is>
          <t>A-490__343</t>
        </is>
      </c>
      <c r="C4924" s="1" t="n">
        <v>37.47622609</v>
      </c>
      <c r="D4924" s="1" t="n">
        <v>-7.20158697377</v>
      </c>
      <c r="E4924" s="3" t="n">
        <v>1</v>
      </c>
      <c r="F4924" s="2" t="n">
        <v>2</v>
      </c>
      <c r="G4924" s="4" t="n"/>
      <c r="H4924" s="13" t="n">
        <v>1</v>
      </c>
      <c r="I4924" s="34" t="n">
        <v>1</v>
      </c>
      <c r="J4924" s="35" t="n">
        <v>1</v>
      </c>
      <c r="K4924" s="2" t="inlineStr">
        <is>
          <t>marker_114_751549.png</t>
        </is>
      </c>
      <c r="L4924" s="36">
        <f>HYPERLINK("Solo2\" &amp; K4924, "Ver Imagen")</f>
        <v/>
      </c>
      <c r="M4924" t="inlineStr">
        <is>
          <t>Mediana</t>
        </is>
      </c>
    </row>
    <row r="4925">
      <c r="A4925" s="33" t="n">
        <v>4924</v>
      </c>
      <c r="B4925" t="inlineStr">
        <is>
          <t>A-490__344</t>
        </is>
      </c>
      <c r="C4925" s="1" t="n">
        <v>37.4763157628</v>
      </c>
      <c r="D4925" s="1" t="n">
        <v>-7.2017945205</v>
      </c>
      <c r="E4925" s="3" t="n">
        <v>1</v>
      </c>
      <c r="F4925" s="2" t="n">
        <v>2</v>
      </c>
      <c r="G4925" s="4" t="n"/>
      <c r="H4925" s="13" t="n">
        <v>2</v>
      </c>
      <c r="I4925" s="34" t="n">
        <v>2</v>
      </c>
      <c r="J4925" s="35" t="n">
        <v>2</v>
      </c>
      <c r="K4925" s="2" t="inlineStr">
        <is>
          <t>marker_125_751562.png</t>
        </is>
      </c>
      <c r="L4925" s="36">
        <f>HYPERLINK("Solo2\" &amp; K4925, "Ver Imagen")</f>
        <v/>
      </c>
      <c r="M4925" t="inlineStr">
        <is>
          <t>Mediana</t>
        </is>
      </c>
    </row>
    <row r="4926">
      <c r="A4926" s="33" t="n">
        <v>4925</v>
      </c>
      <c r="B4926" t="inlineStr">
        <is>
          <t>A-490__345</t>
        </is>
      </c>
      <c r="C4926" s="1" t="n">
        <v>37.4763857456</v>
      </c>
      <c r="D4926" s="1" t="n">
        <v>-7.20195755721</v>
      </c>
      <c r="E4926" s="3" t="n">
        <v>1</v>
      </c>
      <c r="F4926" s="2" t="n">
        <v>2</v>
      </c>
      <c r="G4926" s="4" t="n"/>
      <c r="H4926" s="13" t="n">
        <v>2</v>
      </c>
      <c r="I4926" s="34" t="n">
        <v>1</v>
      </c>
      <c r="J4926" s="35" t="n">
        <v>1.5</v>
      </c>
      <c r="K4926" s="2" t="inlineStr">
        <is>
          <t>marker_796_751590.png</t>
        </is>
      </c>
      <c r="L4926" s="36">
        <f>HYPERLINK("Solo2\" &amp; K4926, "Ver Imagen")</f>
        <v/>
      </c>
      <c r="M4926" t="inlineStr">
        <is>
          <t>Mediana</t>
        </is>
      </c>
    </row>
    <row r="4927">
      <c r="A4927" s="33" t="n">
        <v>4926</v>
      </c>
      <c r="B4927" t="inlineStr">
        <is>
          <t>A-490__348</t>
        </is>
      </c>
      <c r="C4927" s="1" t="n">
        <v>37.4766906419</v>
      </c>
      <c r="D4927" s="1" t="n">
        <v>-7.202672126</v>
      </c>
      <c r="E4927" s="3" t="n">
        <v>1</v>
      </c>
      <c r="F4927" s="2" t="n">
        <v>2</v>
      </c>
      <c r="G4927" s="4" t="n"/>
      <c r="H4927" s="13" t="n">
        <v>2</v>
      </c>
      <c r="I4927" s="34" t="n">
        <v>1</v>
      </c>
      <c r="J4927" s="35" t="n">
        <v>1.5</v>
      </c>
      <c r="K4927" s="2" t="inlineStr">
        <is>
          <t>marker_523_751645.png</t>
        </is>
      </c>
      <c r="L4927" s="36">
        <f>HYPERLINK("Solo2\" &amp; K4927, "Ver Imagen")</f>
        <v/>
      </c>
      <c r="M4927" t="inlineStr">
        <is>
          <t>Mediana</t>
        </is>
      </c>
    </row>
    <row r="4928">
      <c r="A4928" s="33" t="n">
        <v>4927</v>
      </c>
      <c r="B4928" t="inlineStr">
        <is>
          <t>A-490__382</t>
        </is>
      </c>
      <c r="C4928" s="1" t="n">
        <v>37.479970878</v>
      </c>
      <c r="D4928" s="1" t="n">
        <v>-7.21028861656</v>
      </c>
      <c r="E4928" s="3" t="n"/>
      <c r="F4928" s="2" t="n">
        <v>3</v>
      </c>
      <c r="G4928" s="4" t="n">
        <v>2</v>
      </c>
      <c r="H4928" s="13" t="n">
        <v>2</v>
      </c>
      <c r="I4928" s="34" t="n">
        <v>2</v>
      </c>
      <c r="J4928" s="35" t="n">
        <v>2</v>
      </c>
      <c r="K4928" s="2" t="inlineStr">
        <is>
          <t>marker_919_752393.png</t>
        </is>
      </c>
      <c r="L4928" s="36">
        <f>HYPERLINK("Solo2\" &amp; K4928, "Ver Imagen")</f>
        <v/>
      </c>
      <c r="M4928" t="inlineStr">
        <is>
          <t>Mediana</t>
        </is>
      </c>
    </row>
    <row r="4929">
      <c r="A4929" s="33" t="n">
        <v>4928</v>
      </c>
      <c r="B4929" t="inlineStr">
        <is>
          <t>A-490__388</t>
        </is>
      </c>
      <c r="C4929" s="1" t="n">
        <v>37.4805403387</v>
      </c>
      <c r="D4929" s="1" t="n">
        <v>-7.21162215569</v>
      </c>
      <c r="E4929" s="3" t="n">
        <v>2</v>
      </c>
      <c r="F4929" s="2" t="n">
        <v>3</v>
      </c>
      <c r="G4929" s="4" t="n"/>
      <c r="H4929" s="13" t="n">
        <v>2</v>
      </c>
      <c r="I4929" s="34" t="n">
        <v>2</v>
      </c>
      <c r="J4929" s="35" t="n">
        <v>2</v>
      </c>
      <c r="K4929" s="2" t="inlineStr">
        <is>
          <t>marker_374_752494.png</t>
        </is>
      </c>
      <c r="L4929" s="36">
        <f>HYPERLINK("Solo2\" &amp; K4929, "Ver Imagen")</f>
        <v/>
      </c>
      <c r="M4929" t="inlineStr">
        <is>
          <t>Mediana</t>
        </is>
      </c>
    </row>
    <row r="4930">
      <c r="A4930" s="33" t="n">
        <v>4929</v>
      </c>
      <c r="B4930" t="inlineStr">
        <is>
          <t>A-490__561</t>
        </is>
      </c>
      <c r="C4930" s="1" t="n">
        <v>37.4906399977</v>
      </c>
      <c r="D4930" s="1" t="n">
        <v>-7.25298585461</v>
      </c>
      <c r="E4930" s="3" t="n">
        <v>1</v>
      </c>
      <c r="F4930" s="2" t="n">
        <v>3</v>
      </c>
      <c r="G4930" s="4" t="n"/>
      <c r="H4930" s="13" t="n">
        <v>1</v>
      </c>
      <c r="I4930" s="34" t="n">
        <v>1</v>
      </c>
      <c r="J4930" s="35" t="n">
        <v>1</v>
      </c>
      <c r="K4930" s="2" t="inlineStr">
        <is>
          <t>marker_501_819189.png</t>
        </is>
      </c>
      <c r="L4930" s="36">
        <f>HYPERLINK("Solo2\" &amp; K4930, "Ver Imagen")</f>
        <v/>
      </c>
      <c r="M4930" t="inlineStr">
        <is>
          <t>Mediana</t>
        </is>
      </c>
    </row>
    <row r="4931">
      <c r="A4931" s="33" t="n">
        <v>4930</v>
      </c>
      <c r="B4931" t="inlineStr">
        <is>
          <t>A-490__612</t>
        </is>
      </c>
      <c r="C4931" s="1" t="n">
        <v>37.4933996923</v>
      </c>
      <c r="D4931" s="1" t="n">
        <v>-7.26416615699</v>
      </c>
      <c r="E4931" s="3" t="n"/>
      <c r="F4931" s="2" t="n">
        <v>2</v>
      </c>
      <c r="G4931" s="4" t="n">
        <v>3</v>
      </c>
      <c r="H4931" s="13" t="n">
        <v>1</v>
      </c>
      <c r="I4931" s="34" t="n">
        <v>1</v>
      </c>
      <c r="J4931" s="35" t="n">
        <v>1.5</v>
      </c>
      <c r="K4931" s="2" t="inlineStr">
        <is>
          <t>marker_982_820224.png</t>
        </is>
      </c>
      <c r="L4931" s="36">
        <f>HYPERLINK("Solo2\" &amp; K4931, "Ver Imagen")</f>
        <v/>
      </c>
      <c r="M4931" t="inlineStr">
        <is>
          <t>Mediana</t>
        </is>
      </c>
    </row>
    <row r="4932">
      <c r="A4932" s="33" t="n">
        <v>4931</v>
      </c>
      <c r="B4932" t="inlineStr">
        <is>
          <t>A-492__4</t>
        </is>
      </c>
      <c r="C4932" s="1" t="n">
        <v>37.2722776966</v>
      </c>
      <c r="D4932" s="1" t="n">
        <v>-6.99087826244</v>
      </c>
      <c r="E4932" s="3" t="n"/>
      <c r="F4932" s="2" t="n">
        <v>4</v>
      </c>
      <c r="G4932" s="4" t="n">
        <v>5</v>
      </c>
      <c r="H4932" s="13" t="n">
        <v>4</v>
      </c>
      <c r="I4932" s="34" t="n">
        <v>5</v>
      </c>
      <c r="J4932" s="35" t="n">
        <v>4.5</v>
      </c>
      <c r="K4932" s="2" t="inlineStr">
        <is>
          <t>marker_332_821520.png</t>
        </is>
      </c>
      <c r="L4932" s="36">
        <f>HYPERLINK("Solo2\" &amp; K4932, "Ver Imagen")</f>
        <v/>
      </c>
      <c r="M4932" t="inlineStr">
        <is>
          <t>Mediana</t>
        </is>
      </c>
    </row>
    <row r="4933">
      <c r="A4933" s="33" t="n">
        <v>4932</v>
      </c>
      <c r="B4933" t="inlineStr">
        <is>
          <t>A-492__31</t>
        </is>
      </c>
      <c r="C4933" s="1" t="n">
        <v>37.2770676938</v>
      </c>
      <c r="D4933" s="1" t="n">
        <v>-6.99181699201</v>
      </c>
      <c r="E4933" s="3" t="n"/>
      <c r="F4933" s="2" t="n">
        <v>4</v>
      </c>
      <c r="G4933" s="4" t="n">
        <v>4</v>
      </c>
      <c r="H4933" s="13" t="n">
        <v>3</v>
      </c>
      <c r="I4933" s="34" t="n">
        <v>4</v>
      </c>
      <c r="J4933" s="35" t="n">
        <v>4</v>
      </c>
      <c r="K4933" s="2" t="inlineStr">
        <is>
          <t>marker_643_822357.png</t>
        </is>
      </c>
      <c r="L4933" s="36">
        <f>HYPERLINK("Solo2\" &amp; K4933, "Ver Imagen")</f>
        <v/>
      </c>
      <c r="M4933" t="inlineStr">
        <is>
          <t>Mediana</t>
        </is>
      </c>
    </row>
    <row r="4934">
      <c r="A4934" s="33" t="n">
        <v>4933</v>
      </c>
      <c r="B4934" t="inlineStr">
        <is>
          <t>A-492__46</t>
        </is>
      </c>
      <c r="C4934" s="1" t="n">
        <v>37.2790501503</v>
      </c>
      <c r="D4934" s="1" t="n">
        <v>-6.99464606939</v>
      </c>
      <c r="E4934" s="3" t="n">
        <v>2</v>
      </c>
      <c r="F4934" s="2" t="n"/>
      <c r="G4934" s="4" t="n"/>
      <c r="H4934" s="13" t="n">
        <v>3</v>
      </c>
      <c r="I4934" s="34" t="n">
        <v>3</v>
      </c>
      <c r="J4934" s="35" t="n">
        <v>3</v>
      </c>
      <c r="K4934" s="2" t="inlineStr">
        <is>
          <t>marker_414_822951.png</t>
        </is>
      </c>
      <c r="L4934" s="36">
        <f>HYPERLINK("Solo2\" &amp; K4934, "Ver Imagen")</f>
        <v/>
      </c>
      <c r="M4934" t="inlineStr">
        <is>
          <t>Mediana</t>
        </is>
      </c>
    </row>
    <row r="4935">
      <c r="A4935" s="33" t="n">
        <v>4934</v>
      </c>
      <c r="B4935" t="inlineStr">
        <is>
          <t>A-492__61</t>
        </is>
      </c>
      <c r="C4935" s="1" t="n">
        <v>37.279852295</v>
      </c>
      <c r="D4935" s="1" t="n">
        <v>-6.9982803019</v>
      </c>
      <c r="E4935" s="3" t="n">
        <v>3</v>
      </c>
      <c r="F4935" s="2" t="n">
        <v>4</v>
      </c>
      <c r="G4935" s="4" t="n"/>
      <c r="H4935" s="13" t="n">
        <v>4</v>
      </c>
      <c r="I4935" s="34" t="n">
        <v>5</v>
      </c>
      <c r="J4935" s="35" t="n">
        <v>4</v>
      </c>
      <c r="K4935" s="2" t="inlineStr">
        <is>
          <t>marker_300_823155.png</t>
        </is>
      </c>
      <c r="L4935" s="36">
        <f>HYPERLINK("Solo2\" &amp; K4935, "Ver Imagen")</f>
        <v/>
      </c>
      <c r="M4935" t="inlineStr">
        <is>
          <t>Mediana</t>
        </is>
      </c>
    </row>
    <row r="4936">
      <c r="A4936" s="33" t="n">
        <v>4935</v>
      </c>
      <c r="B4936" t="inlineStr">
        <is>
          <t>A-492__74</t>
        </is>
      </c>
      <c r="C4936" s="1" t="n">
        <v>37.2804967529</v>
      </c>
      <c r="D4936" s="1" t="n">
        <v>-7.0010482023</v>
      </c>
      <c r="E4936" s="3" t="n">
        <v>3</v>
      </c>
      <c r="F4936" s="2" t="n">
        <v>3</v>
      </c>
      <c r="G4936" s="4" t="n"/>
      <c r="H4936" s="13" t="n">
        <v>3</v>
      </c>
      <c r="I4936" s="34" t="n">
        <v>3</v>
      </c>
      <c r="J4936" s="35" t="n">
        <v>3</v>
      </c>
      <c r="K4936" s="2" t="inlineStr">
        <is>
          <t>marker_196_823394.png</t>
        </is>
      </c>
      <c r="L4936" s="36">
        <f>HYPERLINK("Solo2\" &amp; K4936, "Ver Imagen")</f>
        <v/>
      </c>
      <c r="M4936" t="inlineStr">
        <is>
          <t>Mediana</t>
        </is>
      </c>
    </row>
    <row r="4937">
      <c r="A4937" s="33" t="n">
        <v>4936</v>
      </c>
      <c r="B4937" t="inlineStr">
        <is>
          <t>A-492__150</t>
        </is>
      </c>
      <c r="C4937" s="1" t="n">
        <v>37.2755487871</v>
      </c>
      <c r="D4937" s="1" t="n">
        <v>-7.01827158514</v>
      </c>
      <c r="E4937" s="3" t="n">
        <v>1</v>
      </c>
      <c r="F4937" s="2" t="n">
        <v>2</v>
      </c>
      <c r="G4937" s="4" t="n"/>
      <c r="H4937" s="13" t="n">
        <v>3</v>
      </c>
      <c r="I4937" s="34" t="n">
        <v>3</v>
      </c>
      <c r="J4937" s="35" t="n">
        <v>2.5</v>
      </c>
      <c r="K4937" s="2" t="inlineStr">
        <is>
          <t>marker_414_824802.png</t>
        </is>
      </c>
      <c r="L4937" s="36">
        <f>HYPERLINK("Solo2\" &amp; K4937, "Ver Imagen")</f>
        <v/>
      </c>
      <c r="M4937" t="inlineStr">
        <is>
          <t>Mediana</t>
        </is>
      </c>
    </row>
    <row r="4938">
      <c r="A4938" s="33" t="n">
        <v>4937</v>
      </c>
      <c r="B4938" t="inlineStr">
        <is>
          <t>A-492__205</t>
        </is>
      </c>
      <c r="C4938" s="1" t="n">
        <v>37.279341158</v>
      </c>
      <c r="D4938" s="1" t="n">
        <v>-7.03074697085</v>
      </c>
      <c r="E4938" s="3" t="n"/>
      <c r="F4938" s="2" t="n">
        <v>3</v>
      </c>
      <c r="G4938" s="4" t="n">
        <v>3</v>
      </c>
      <c r="H4938" s="13" t="n">
        <v>2</v>
      </c>
      <c r="I4938" s="34" t="n">
        <v>1</v>
      </c>
      <c r="J4938" s="37" t="n">
        <v>2</v>
      </c>
      <c r="K4938" s="2" t="inlineStr">
        <is>
          <t>marker_923_831980.png</t>
        </is>
      </c>
      <c r="L4938" s="36">
        <f>HYPERLINK("Solo2\" &amp; K4938, "Ver Imagen")</f>
        <v/>
      </c>
      <c r="M4938" s="37" t="inlineStr">
        <is>
          <t>Modificada</t>
        </is>
      </c>
    </row>
    <row r="4939">
      <c r="A4939" s="33" t="n">
        <v>4938</v>
      </c>
      <c r="B4939" t="inlineStr">
        <is>
          <t>A-492__249</t>
        </is>
      </c>
      <c r="C4939" s="1" t="n">
        <v>37.2844687619</v>
      </c>
      <c r="D4939" s="1" t="n">
        <v>-7.03858232169</v>
      </c>
      <c r="E4939" s="3" t="n">
        <v>1</v>
      </c>
      <c r="F4939" s="2" t="n">
        <v>1</v>
      </c>
      <c r="G4939" s="4" t="n"/>
      <c r="H4939" s="13" t="n">
        <v>1</v>
      </c>
      <c r="I4939" s="34" t="n">
        <v>1</v>
      </c>
      <c r="J4939" s="35" t="n">
        <v>1</v>
      </c>
      <c r="K4939" s="2" t="inlineStr">
        <is>
          <t>marker_396_836086.png</t>
        </is>
      </c>
      <c r="L4939" s="36">
        <f>HYPERLINK("Solo2\" &amp; K4939, "Ver Imagen")</f>
        <v/>
      </c>
      <c r="M4939" t="inlineStr">
        <is>
          <t>Mediana</t>
        </is>
      </c>
    </row>
    <row r="4940">
      <c r="A4940" s="33" t="n">
        <v>4939</v>
      </c>
      <c r="B4940" t="inlineStr">
        <is>
          <t>A-492__306</t>
        </is>
      </c>
      <c r="C4940" s="1" t="n">
        <v>37.2934187128</v>
      </c>
      <c r="D4940" s="1" t="n">
        <v>-7.04649551285</v>
      </c>
      <c r="E4940" s="3" t="n">
        <v>1</v>
      </c>
      <c r="F4940" s="2" t="n">
        <v>2</v>
      </c>
      <c r="G4940" s="4" t="n"/>
      <c r="H4940" s="13" t="n">
        <v>2</v>
      </c>
      <c r="I4940" s="34" t="n">
        <v>1</v>
      </c>
      <c r="J4940" s="35" t="n">
        <v>1.5</v>
      </c>
      <c r="K4940" s="2" t="inlineStr">
        <is>
          <t>marker_593_837622.png</t>
        </is>
      </c>
      <c r="L4940" s="36">
        <f>HYPERLINK("Solo2\" &amp; K4940, "Ver Imagen")</f>
        <v/>
      </c>
      <c r="M4940" t="inlineStr">
        <is>
          <t>Mediana</t>
        </is>
      </c>
    </row>
    <row r="4941">
      <c r="A4941" s="33" t="n">
        <v>4940</v>
      </c>
      <c r="B4941" t="inlineStr">
        <is>
          <t>A-492__366</t>
        </is>
      </c>
      <c r="C4941" s="1" t="n">
        <v>37.3020692724</v>
      </c>
      <c r="D4941" s="1" t="n">
        <v>-7.05647923232</v>
      </c>
      <c r="E4941" s="3" t="n"/>
      <c r="F4941" s="2" t="n">
        <v>1</v>
      </c>
      <c r="G4941" s="4" t="n">
        <v>1</v>
      </c>
      <c r="H4941" s="13" t="n">
        <v>1</v>
      </c>
      <c r="I4941" s="34" t="n">
        <v>1</v>
      </c>
      <c r="J4941" s="35" t="n">
        <v>1</v>
      </c>
      <c r="K4941" s="2" t="inlineStr">
        <is>
          <t>marker_386_838715.png</t>
        </is>
      </c>
      <c r="L4941" s="36">
        <f>HYPERLINK("Solo2\" &amp; K4941, "Ver Imagen")</f>
        <v/>
      </c>
      <c r="M4941" t="inlineStr">
        <is>
          <t>Mediana</t>
        </is>
      </c>
    </row>
    <row r="4942">
      <c r="A4942" s="33" t="n">
        <v>4941</v>
      </c>
      <c r="B4942" t="inlineStr">
        <is>
          <t>A-492__398</t>
        </is>
      </c>
      <c r="C4942" s="1" t="n">
        <v>37.3084981265</v>
      </c>
      <c r="D4942" s="1" t="n">
        <v>-7.05727200403</v>
      </c>
      <c r="E4942" s="3" t="n">
        <v>3</v>
      </c>
      <c r="F4942" s="2" t="n">
        <v>2</v>
      </c>
      <c r="G4942" s="4" t="n"/>
      <c r="H4942" s="13" t="n">
        <v>2</v>
      </c>
      <c r="I4942" s="34" t="n">
        <v>1</v>
      </c>
      <c r="J4942" s="35" t="n">
        <v>2</v>
      </c>
      <c r="K4942" s="2" t="inlineStr">
        <is>
          <t>marker_371_839125.png</t>
        </is>
      </c>
      <c r="L4942" s="36">
        <f>HYPERLINK("Solo2\" &amp; K4942, "Ver Imagen")</f>
        <v/>
      </c>
      <c r="M4942" t="inlineStr">
        <is>
          <t>Mediana</t>
        </is>
      </c>
    </row>
    <row r="4943">
      <c r="A4943" s="33" t="n">
        <v>4942</v>
      </c>
      <c r="B4943" t="inlineStr">
        <is>
          <t>A-492__465</t>
        </is>
      </c>
      <c r="C4943" s="1" t="n">
        <v>37.3166318583</v>
      </c>
      <c r="D4943" s="1" t="n">
        <v>-7.07021940147</v>
      </c>
      <c r="E4943" s="3" t="n">
        <v>3</v>
      </c>
      <c r="F4943" s="2" t="n">
        <v>3</v>
      </c>
      <c r="G4943" s="4" t="n"/>
      <c r="H4943" s="13" t="n">
        <v>3</v>
      </c>
      <c r="I4943" s="34" t="n">
        <v>4</v>
      </c>
      <c r="J4943" s="35" t="n">
        <v>3</v>
      </c>
      <c r="K4943" s="2" t="inlineStr">
        <is>
          <t>marker_568_839982.png</t>
        </is>
      </c>
      <c r="L4943" s="36">
        <f>HYPERLINK("Solo2\" &amp; K4943, "Ver Imagen")</f>
        <v/>
      </c>
      <c r="M4943" t="inlineStr">
        <is>
          <t>Mediana</t>
        </is>
      </c>
    </row>
    <row r="4944">
      <c r="A4944" s="33" t="n">
        <v>4943</v>
      </c>
      <c r="B4944" t="inlineStr">
        <is>
          <t>A-495R__120</t>
        </is>
      </c>
      <c r="C4944" s="1" t="n">
        <v>37.4653499911</v>
      </c>
      <c r="D4944" s="1" t="n">
        <v>-7.12228229203</v>
      </c>
      <c r="E4944" s="3" t="n">
        <v>3</v>
      </c>
      <c r="F4944" s="2" t="n">
        <v>2</v>
      </c>
      <c r="G4944" s="4" t="n"/>
      <c r="H4944" s="13" t="n">
        <v>1</v>
      </c>
      <c r="I4944" s="34" t="n">
        <v>2</v>
      </c>
      <c r="J4944" s="35" t="n">
        <v>2</v>
      </c>
      <c r="K4944" s="2" t="inlineStr">
        <is>
          <t>marker_433_895376.png</t>
        </is>
      </c>
      <c r="L4944" s="36">
        <f>HYPERLINK("Solo2\" &amp; K4944, "Ver Imagen")</f>
        <v/>
      </c>
      <c r="M4944" t="inlineStr">
        <is>
          <t>Mediana</t>
        </is>
      </c>
    </row>
    <row r="4945">
      <c r="A4945" s="33" t="n">
        <v>4944</v>
      </c>
      <c r="B4945" t="inlineStr">
        <is>
          <t>A-495R__119</t>
        </is>
      </c>
      <c r="C4945" s="1" t="n">
        <v>37.4652971015</v>
      </c>
      <c r="D4945" s="1" t="n">
        <v>-7.12200796793</v>
      </c>
      <c r="E4945" s="3" t="n">
        <v>3</v>
      </c>
      <c r="F4945" s="2" t="n">
        <v>2</v>
      </c>
      <c r="G4945" s="4" t="n"/>
      <c r="H4945" s="13" t="n">
        <v>1</v>
      </c>
      <c r="I4945" s="34" t="n">
        <v>2</v>
      </c>
      <c r="J4945" s="35" t="n">
        <v>2</v>
      </c>
      <c r="K4945" s="2" t="inlineStr">
        <is>
          <t>marker_901_895393.png</t>
        </is>
      </c>
      <c r="L4945" s="36">
        <f>HYPERLINK("Solo2\" &amp; K4945, "Ver Imagen")</f>
        <v/>
      </c>
      <c r="M4945" t="inlineStr">
        <is>
          <t>Mediana</t>
        </is>
      </c>
    </row>
    <row r="4946">
      <c r="A4946" s="33" t="n">
        <v>4945</v>
      </c>
      <c r="B4946" t="inlineStr">
        <is>
          <t>A-495R__117</t>
        </is>
      </c>
      <c r="C4946" s="1" t="n">
        <v>37.4651372425</v>
      </c>
      <c r="D4946" s="1" t="n">
        <v>-7.12153447429</v>
      </c>
      <c r="E4946" s="3" t="n">
        <v>2</v>
      </c>
      <c r="F4946" s="2" t="n">
        <v>1</v>
      </c>
      <c r="G4946" s="4" t="n"/>
      <c r="H4946" s="13" t="n">
        <v>1</v>
      </c>
      <c r="I4946" s="34" t="n">
        <v>1</v>
      </c>
      <c r="J4946" s="35" t="n">
        <v>1</v>
      </c>
      <c r="K4946" s="2" t="inlineStr">
        <is>
          <t>marker_767_895431.png</t>
        </is>
      </c>
      <c r="L4946" s="36">
        <f>HYPERLINK("Solo2\" &amp; K4946, "Ver Imagen")</f>
        <v/>
      </c>
      <c r="M4946" t="inlineStr">
        <is>
          <t>Mediana</t>
        </is>
      </c>
    </row>
    <row r="4947">
      <c r="A4947" s="39" t="n">
        <v>4946</v>
      </c>
      <c r="B4947" s="16" t="inlineStr">
        <is>
          <t>A-495R__1</t>
        </is>
      </c>
      <c r="C4947" s="16" t="n">
        <v>37.4467677041</v>
      </c>
      <c r="D4947" s="16" t="n">
        <v>-7.10618315276</v>
      </c>
      <c r="E4947" s="16" t="n">
        <v>3</v>
      </c>
      <c r="F4947" s="16" t="n">
        <v>5</v>
      </c>
      <c r="G4947" s="16" t="n"/>
      <c r="H4947" s="16" t="n">
        <v>5</v>
      </c>
      <c r="I4947" s="40" t="n">
        <v>3</v>
      </c>
      <c r="J4947" s="38" t="n">
        <v>4</v>
      </c>
      <c r="K4947" s="16" t="inlineStr">
        <is>
          <t>marker_797_937116.png</t>
        </is>
      </c>
      <c r="L4947" s="41">
        <f>HYPERLINK("Solo2\" &amp; K4947, "Ver Imagen")</f>
        <v/>
      </c>
      <c r="M4947" s="16" t="inlineStr">
        <is>
          <t>X_Tramo_desbrozado</t>
        </is>
      </c>
      <c r="N4947" s="16" t="n"/>
    </row>
    <row r="4948">
      <c r="A4948" s="33" t="n">
        <v>4947</v>
      </c>
      <c r="B4948" t="inlineStr">
        <is>
          <t>A-497__1</t>
        </is>
      </c>
      <c r="C4948" t="n">
        <v>37.2673502974</v>
      </c>
      <c r="D4948" t="n">
        <v>-6.9576838412</v>
      </c>
      <c r="E4948" s="3" t="n">
        <v>2</v>
      </c>
      <c r="F4948" s="2" t="n"/>
      <c r="G4948" s="4" t="n"/>
      <c r="H4948" s="13" t="n">
        <v>2</v>
      </c>
      <c r="I4948" s="34" t="n">
        <v>2</v>
      </c>
      <c r="J4948" s="35" t="n">
        <v>2</v>
      </c>
      <c r="K4948" s="3" t="inlineStr">
        <is>
          <t>marker_364_773643.png</t>
        </is>
      </c>
      <c r="L4948" s="36">
        <f>HYPERLINK("Solo2\" &amp; K4948, "Ver Imagen")</f>
        <v/>
      </c>
      <c r="M4948" t="inlineStr">
        <is>
          <t>Mediana</t>
        </is>
      </c>
    </row>
    <row r="4949">
      <c r="A4949" s="33" t="n">
        <v>4948</v>
      </c>
      <c r="B4949" t="inlineStr">
        <is>
          <t>A-5050__135</t>
        </is>
      </c>
      <c r="C4949" s="1" t="n">
        <v>37.1945212206</v>
      </c>
      <c r="D4949" s="1" t="n">
        <v>-6.99896734381</v>
      </c>
      <c r="E4949" s="3" t="n">
        <v>2</v>
      </c>
      <c r="F4949" s="2" t="n">
        <v>2</v>
      </c>
      <c r="G4949" s="4" t="n"/>
      <c r="H4949" s="13" t="n">
        <v>2</v>
      </c>
      <c r="I4949" s="34" t="n">
        <v>1</v>
      </c>
      <c r="J4949" s="35" t="n">
        <v>2</v>
      </c>
      <c r="K4949" s="2" t="inlineStr">
        <is>
          <t>marker_896_945895.png</t>
        </is>
      </c>
      <c r="L4949" s="36">
        <f>HYPERLINK("Solo2\" &amp; K4949, "Ver Imagen")</f>
        <v/>
      </c>
      <c r="M4949" t="inlineStr">
        <is>
          <t>Mediana</t>
        </is>
      </c>
    </row>
    <row r="4950">
      <c r="A4950" s="33" t="n">
        <v>4949</v>
      </c>
      <c r="B4950" t="inlineStr">
        <is>
          <t>A-5052__37</t>
        </is>
      </c>
      <c r="C4950" s="1" t="n">
        <v>37.2178678578</v>
      </c>
      <c r="D4950" s="1" t="n">
        <v>-7.11674774649</v>
      </c>
      <c r="E4950" s="3" t="n"/>
      <c r="F4950" s="2" t="n">
        <v>2</v>
      </c>
      <c r="G4950" s="4" t="n">
        <v>2</v>
      </c>
      <c r="H4950" s="13" t="n">
        <v>1</v>
      </c>
      <c r="I4950" s="34" t="n">
        <v>2</v>
      </c>
      <c r="J4950" s="37" t="n">
        <v>1</v>
      </c>
      <c r="K4950" s="2" t="inlineStr">
        <is>
          <t>marker_350_956770.png</t>
        </is>
      </c>
      <c r="L4950" s="36">
        <f>HYPERLINK("Solo2\" &amp; K4950, "Ver Imagen")</f>
        <v/>
      </c>
      <c r="M4950" s="37" t="inlineStr">
        <is>
          <t>Modificada</t>
        </is>
      </c>
    </row>
    <row r="4951">
      <c r="A4951" s="33" t="n">
        <v>4950</v>
      </c>
      <c r="B4951" t="inlineStr">
        <is>
          <t>A-5052__78</t>
        </is>
      </c>
      <c r="C4951" s="1" t="n">
        <v>37.217238312</v>
      </c>
      <c r="D4951" s="1" t="n">
        <v>-7.10650632833</v>
      </c>
      <c r="E4951" s="3" t="n"/>
      <c r="F4951" s="2" t="n">
        <v>2</v>
      </c>
      <c r="G4951" s="4" t="n">
        <v>2</v>
      </c>
      <c r="H4951" s="13" t="n">
        <v>1</v>
      </c>
      <c r="I4951" s="34" t="n">
        <v>1</v>
      </c>
      <c r="J4951" s="37" t="n">
        <v>1</v>
      </c>
      <c r="K4951" s="2" t="inlineStr">
        <is>
          <t>marker_205_957264.png</t>
        </is>
      </c>
      <c r="L4951" s="36">
        <f>HYPERLINK("Solo2\" &amp; K4951, "Ver Imagen")</f>
        <v/>
      </c>
      <c r="M4951" s="37" t="inlineStr">
        <is>
          <t>Modificada</t>
        </is>
      </c>
    </row>
    <row r="4952">
      <c r="A4952" s="33" t="n">
        <v>4951</v>
      </c>
      <c r="B4952" t="inlineStr">
        <is>
          <t>A-5052__317</t>
        </is>
      </c>
      <c r="C4952" s="1" t="n">
        <v>37.2116952341</v>
      </c>
      <c r="D4952" s="1" t="n">
        <v>-7.04744613507</v>
      </c>
      <c r="E4952" s="3" t="n"/>
      <c r="F4952" s="2" t="n">
        <v>2</v>
      </c>
      <c r="G4952" s="4" t="n">
        <v>2</v>
      </c>
      <c r="H4952" s="13" t="n">
        <v>1</v>
      </c>
      <c r="I4952" s="34" t="n">
        <v>1</v>
      </c>
      <c r="J4952" s="37" t="n">
        <v>1</v>
      </c>
      <c r="K4952" s="2" t="inlineStr">
        <is>
          <t>marker_562_961206.png</t>
        </is>
      </c>
      <c r="L4952" s="36">
        <f>HYPERLINK("Solo2\" &amp; K4952, "Ver Imagen")</f>
        <v/>
      </c>
      <c r="M4952" s="37" t="inlineStr">
        <is>
          <t>Modificada</t>
        </is>
      </c>
    </row>
    <row r="4953">
      <c r="A4953" s="33" t="n">
        <v>4952</v>
      </c>
      <c r="B4953" t="inlineStr">
        <is>
          <t>A-5052__322</t>
        </is>
      </c>
      <c r="C4953" s="1" t="n">
        <v>37.2114727048</v>
      </c>
      <c r="D4953" s="1" t="n">
        <v>-7.04624208205</v>
      </c>
      <c r="E4953" s="3" t="n"/>
      <c r="F4953" s="2" t="n">
        <v>3</v>
      </c>
      <c r="G4953" s="4" t="n">
        <v>2</v>
      </c>
      <c r="H4953" s="13" t="n">
        <v>2</v>
      </c>
      <c r="I4953" s="34" t="n">
        <v>2</v>
      </c>
      <c r="J4953" s="35" t="n">
        <v>2</v>
      </c>
      <c r="K4953" s="2" t="inlineStr">
        <is>
          <t>marker_826_961290.png</t>
        </is>
      </c>
      <c r="L4953" s="36">
        <f>HYPERLINK("Solo2\" &amp; K4953, "Ver Imagen")</f>
        <v/>
      </c>
      <c r="M4953" t="inlineStr">
        <is>
          <t>Mediana</t>
        </is>
      </c>
    </row>
    <row r="4954">
      <c r="A4954" s="33" t="n">
        <v>4953</v>
      </c>
      <c r="B4954" t="inlineStr">
        <is>
          <t>A-5052__325</t>
        </is>
      </c>
      <c r="C4954" s="1" t="n">
        <v>37.2113341714</v>
      </c>
      <c r="D4954" s="1" t="n">
        <v>-7.04551158606</v>
      </c>
      <c r="E4954" s="3" t="n"/>
      <c r="F4954" s="2" t="n">
        <v>3</v>
      </c>
      <c r="G4954" s="4" t="n">
        <v>2</v>
      </c>
      <c r="H4954" s="13" t="n">
        <v>2</v>
      </c>
      <c r="I4954" s="34" t="n">
        <v>2</v>
      </c>
      <c r="J4954" s="35" t="n">
        <v>2</v>
      </c>
      <c r="K4954" s="2" t="inlineStr">
        <is>
          <t>marker_674_961429.png</t>
        </is>
      </c>
      <c r="L4954" s="36">
        <f>HYPERLINK("Solo2\" &amp; K4954, "Ver Imagen")</f>
        <v/>
      </c>
      <c r="M4954" t="inlineStr">
        <is>
          <t>Mediana</t>
        </is>
      </c>
    </row>
    <row r="4955">
      <c r="A4955" s="33" t="n">
        <v>4954</v>
      </c>
      <c r="B4955" t="inlineStr">
        <is>
          <t>A-5052__327</t>
        </is>
      </c>
      <c r="C4955" s="1" t="n">
        <v>37.2112105973</v>
      </c>
      <c r="D4955" s="1" t="n">
        <v>-7.04503258193</v>
      </c>
      <c r="E4955" s="3" t="n"/>
      <c r="F4955" s="2" t="n">
        <v>3</v>
      </c>
      <c r="G4955" s="4" t="n">
        <v>5</v>
      </c>
      <c r="H4955" s="13" t="n">
        <v>3</v>
      </c>
      <c r="I4955" s="34" t="n">
        <v>3</v>
      </c>
      <c r="J4955" s="35" t="n">
        <v>3</v>
      </c>
      <c r="K4955" s="2" t="inlineStr">
        <is>
          <t>marker_327_961449.png</t>
        </is>
      </c>
      <c r="L4955" s="36">
        <f>HYPERLINK("Solo2\" &amp; K4955, "Ver Imagen")</f>
        <v/>
      </c>
      <c r="M4955" t="inlineStr">
        <is>
          <t>Mediana</t>
        </is>
      </c>
    </row>
    <row r="4956">
      <c r="A4956" s="33" t="n">
        <v>4955</v>
      </c>
      <c r="B4956" t="inlineStr">
        <is>
          <t>A-5052__330</t>
        </is>
      </c>
      <c r="C4956" s="1" t="n">
        <v>37.2109543369</v>
      </c>
      <c r="D4956" s="1" t="n">
        <v>-7.04430653237</v>
      </c>
      <c r="E4956" s="3" t="n"/>
      <c r="F4956" s="2" t="n">
        <v>3</v>
      </c>
      <c r="G4956" s="4" t="n">
        <v>3</v>
      </c>
      <c r="H4956" s="13" t="n">
        <v>3</v>
      </c>
      <c r="I4956" s="34" t="n">
        <v>4</v>
      </c>
      <c r="J4956" s="35" t="n">
        <v>3</v>
      </c>
      <c r="K4956" s="2" t="inlineStr">
        <is>
          <t>marker_807_961502.png</t>
        </is>
      </c>
      <c r="L4956" s="36">
        <f>HYPERLINK("Solo2\" &amp; K4956, "Ver Imagen")</f>
        <v/>
      </c>
      <c r="M4956" t="inlineStr">
        <is>
          <t>Mediana</t>
        </is>
      </c>
    </row>
    <row r="4957">
      <c r="A4957" s="33" t="n">
        <v>4956</v>
      </c>
      <c r="B4957" t="inlineStr">
        <is>
          <t>A-5052__331</t>
        </is>
      </c>
      <c r="C4957" s="1" t="n">
        <v>37.2108790018</v>
      </c>
      <c r="D4957" s="1" t="n">
        <v>-7.04410268649</v>
      </c>
      <c r="E4957" s="3" t="n"/>
      <c r="F4957" s="2" t="n">
        <v>2</v>
      </c>
      <c r="G4957" s="4" t="n">
        <v>3</v>
      </c>
      <c r="H4957" s="13" t="n">
        <v>2</v>
      </c>
      <c r="I4957" s="34" t="n">
        <v>1</v>
      </c>
      <c r="J4957" s="35" t="n">
        <v>2</v>
      </c>
      <c r="K4957" s="2" t="inlineStr">
        <is>
          <t>marker_226_961513.png</t>
        </is>
      </c>
      <c r="L4957" s="36">
        <f>HYPERLINK("Solo2\" &amp; K4957, "Ver Imagen")</f>
        <v/>
      </c>
      <c r="M4957" t="inlineStr">
        <is>
          <t>Mediana</t>
        </is>
      </c>
    </row>
    <row r="4958">
      <c r="A4958" s="33" t="n">
        <v>4957</v>
      </c>
      <c r="B4958" t="inlineStr">
        <is>
          <t>A-5052__448</t>
        </is>
      </c>
      <c r="C4958" s="1" t="n">
        <v>37.2006641372</v>
      </c>
      <c r="D4958" s="1" t="n">
        <v>-7.01742619613</v>
      </c>
      <c r="E4958" s="3" t="n"/>
      <c r="F4958" s="2" t="n">
        <v>2</v>
      </c>
      <c r="G4958" s="4" t="n">
        <v>2</v>
      </c>
      <c r="H4958" s="13" t="n">
        <v>2</v>
      </c>
      <c r="I4958" s="34" t="n">
        <v>1</v>
      </c>
      <c r="J4958" s="35" t="n">
        <v>2</v>
      </c>
      <c r="K4958" s="2" t="inlineStr">
        <is>
          <t>marker_195_963156.png</t>
        </is>
      </c>
      <c r="L4958" s="36">
        <f>HYPERLINK("Solo2\" &amp; K4958, "Ver Imagen")</f>
        <v/>
      </c>
      <c r="M4958" t="inlineStr">
        <is>
          <t>Mediana</t>
        </is>
      </c>
    </row>
    <row r="4959">
      <c r="A4959" s="33" t="n">
        <v>4958</v>
      </c>
      <c r="B4959" t="inlineStr">
        <is>
          <t>A-5052__455</t>
        </is>
      </c>
      <c r="C4959" s="1" t="n">
        <v>37.2000474165</v>
      </c>
      <c r="D4959" s="1" t="n">
        <v>-7.01581934821</v>
      </c>
      <c r="E4959" s="3" t="n"/>
      <c r="F4959" s="2" t="n">
        <v>2</v>
      </c>
      <c r="G4959" s="4" t="n">
        <v>2</v>
      </c>
      <c r="H4959" s="13" t="n">
        <v>2</v>
      </c>
      <c r="I4959" s="34" t="n">
        <v>1</v>
      </c>
      <c r="J4959" s="35" t="n">
        <v>2</v>
      </c>
      <c r="K4959" s="2" t="inlineStr">
        <is>
          <t>marker_600_963234.png</t>
        </is>
      </c>
      <c r="L4959" s="36">
        <f>HYPERLINK("Solo2\" &amp; K4959, "Ver Imagen")</f>
        <v/>
      </c>
      <c r="M4959" t="inlineStr">
        <is>
          <t>Mediana</t>
        </is>
      </c>
    </row>
    <row r="4960">
      <c r="A4960" s="33" t="n">
        <v>4959</v>
      </c>
      <c r="B4960" t="inlineStr">
        <is>
          <t>A-5052__502</t>
        </is>
      </c>
      <c r="C4960" s="1" t="n">
        <v>37.1967311315</v>
      </c>
      <c r="D4960" s="1" t="n">
        <v>-7.00482457909</v>
      </c>
      <c r="E4960" s="3" t="n">
        <v>2</v>
      </c>
      <c r="F4960" s="2" t="n">
        <v>2</v>
      </c>
      <c r="G4960" s="4" t="n"/>
      <c r="H4960" s="13" t="n">
        <v>1</v>
      </c>
      <c r="I4960" s="34" t="n">
        <v>1</v>
      </c>
      <c r="J4960" s="35" t="n">
        <v>1.5</v>
      </c>
      <c r="K4960" s="2" t="inlineStr">
        <is>
          <t>marker_676_963699.png</t>
        </is>
      </c>
      <c r="L4960" s="36">
        <f>HYPERLINK("Solo2\" &amp; K4960, "Ver Imagen")</f>
        <v/>
      </c>
      <c r="M4960" t="inlineStr">
        <is>
          <t>Mediana</t>
        </is>
      </c>
    </row>
    <row r="4961">
      <c r="A4961" s="33" t="n">
        <v>4960</v>
      </c>
      <c r="B4961" t="inlineStr">
        <is>
          <t>A-5052__409</t>
        </is>
      </c>
      <c r="C4961" s="1" t="n">
        <v>37.204078814</v>
      </c>
      <c r="D4961" s="1" t="n">
        <v>-7.02633882049</v>
      </c>
      <c r="E4961" s="3" t="n"/>
      <c r="F4961" s="2" t="n">
        <v>4</v>
      </c>
      <c r="G4961" s="4" t="n">
        <v>5</v>
      </c>
      <c r="H4961" s="13" t="n">
        <v>3</v>
      </c>
      <c r="I4961" s="34" t="n">
        <v>4</v>
      </c>
      <c r="J4961" s="35" t="n">
        <v>4</v>
      </c>
      <c r="K4961" s="2" t="inlineStr">
        <is>
          <t>marker_371_962764.png</t>
        </is>
      </c>
      <c r="L4961" s="36">
        <f>HYPERLINK("Solo2\" &amp; K4961, "Ver Imagen")</f>
        <v/>
      </c>
      <c r="M4961" t="inlineStr">
        <is>
          <t>Mediana</t>
        </is>
      </c>
    </row>
    <row r="4962">
      <c r="A4962" s="33" t="n">
        <v>4961</v>
      </c>
      <c r="B4962" t="inlineStr">
        <is>
          <t>A-5053__49</t>
        </is>
      </c>
      <c r="C4962" s="1" t="n">
        <v>37.2284815015</v>
      </c>
      <c r="D4962" s="1" t="n">
        <v>-7.12676963057</v>
      </c>
      <c r="E4962" s="3" t="n"/>
      <c r="F4962" s="2" t="n">
        <v>3</v>
      </c>
      <c r="G4962" s="4" t="n">
        <v>3</v>
      </c>
      <c r="H4962" s="13" t="n">
        <v>3</v>
      </c>
      <c r="I4962" s="34" t="n">
        <v>3</v>
      </c>
      <c r="J4962" s="35" t="n">
        <v>3</v>
      </c>
      <c r="K4962" s="2" t="inlineStr">
        <is>
          <t>marker_725_021006.png</t>
        </is>
      </c>
      <c r="L4962" s="36">
        <f>HYPERLINK("Solo2\" &amp; K4962, "Ver Imagen")</f>
        <v/>
      </c>
      <c r="M4962" t="inlineStr">
        <is>
          <t>Mediana</t>
        </is>
      </c>
    </row>
    <row r="4963">
      <c r="A4963" s="33" t="n">
        <v>4962</v>
      </c>
      <c r="B4963" t="inlineStr">
        <is>
          <t>A-5053__10</t>
        </is>
      </c>
      <c r="C4963" s="1" t="n">
        <v>37.2209494484</v>
      </c>
      <c r="D4963" s="1" t="n">
        <v>-7.12577485467</v>
      </c>
      <c r="E4963" s="3" t="n"/>
      <c r="F4963" s="2" t="n">
        <v>2</v>
      </c>
      <c r="G4963" s="4" t="n">
        <v>3</v>
      </c>
      <c r="H4963" s="13" t="n">
        <v>2</v>
      </c>
      <c r="I4963" s="34" t="n">
        <v>2</v>
      </c>
      <c r="J4963" s="35" t="n">
        <v>2</v>
      </c>
      <c r="K4963" s="2" t="inlineStr">
        <is>
          <t>marker_183_025106.png</t>
        </is>
      </c>
      <c r="L4963" s="36">
        <f>HYPERLINK("Solo2\" &amp; K4963, "Ver Imagen")</f>
        <v/>
      </c>
      <c r="M4963" t="inlineStr">
        <is>
          <t>Mediana</t>
        </is>
      </c>
    </row>
    <row r="4964">
      <c r="A4964" s="33" t="n">
        <v>4963</v>
      </c>
      <c r="B4964" t="inlineStr">
        <is>
          <t>A-495__14</t>
        </is>
      </c>
      <c r="C4964" s="1" t="n">
        <v>37.4438802983</v>
      </c>
      <c r="D4964" s="1" t="n">
        <v>-7.09695890127</v>
      </c>
      <c r="E4964" s="3" t="n">
        <v>3</v>
      </c>
      <c r="F4964" s="2" t="n">
        <v>3</v>
      </c>
      <c r="G4964" s="4" t="n"/>
      <c r="H4964" s="13" t="n">
        <v>2</v>
      </c>
      <c r="I4964" s="34" t="n">
        <v>2</v>
      </c>
      <c r="J4964" s="37" t="n">
        <v>2</v>
      </c>
      <c r="K4964" s="2" t="inlineStr">
        <is>
          <t>marker_477_381202.png</t>
        </is>
      </c>
      <c r="L4964" s="36">
        <f>HYPERLINK("Solo2\" &amp; K4964, "Ver Imagen")</f>
        <v/>
      </c>
      <c r="M4964" s="37" t="inlineStr">
        <is>
          <t>Modificada</t>
        </is>
      </c>
    </row>
    <row r="4965">
      <c r="A4965" s="33" t="n">
        <v>4964</v>
      </c>
      <c r="B4965" t="inlineStr">
        <is>
          <t>A-495__18</t>
        </is>
      </c>
      <c r="C4965" s="1" t="n">
        <v>37.4435887065</v>
      </c>
      <c r="D4965" s="1" t="n">
        <v>-7.09599159335</v>
      </c>
      <c r="E4965" s="3" t="n">
        <v>3</v>
      </c>
      <c r="F4965" s="2" t="n">
        <v>3</v>
      </c>
      <c r="G4965" s="4" t="n"/>
      <c r="H4965" s="13" t="n">
        <v>2</v>
      </c>
      <c r="I4965" s="34" t="n">
        <v>3</v>
      </c>
      <c r="J4965" s="35" t="n">
        <v>3</v>
      </c>
      <c r="K4965" s="2" t="inlineStr">
        <is>
          <t>marker_169_381244.png</t>
        </is>
      </c>
      <c r="L4965" s="36">
        <f>HYPERLINK("Solo2\" &amp; K4965, "Ver Imagen")</f>
        <v/>
      </c>
      <c r="M4965" t="inlineStr">
        <is>
          <t>Mediana</t>
        </is>
      </c>
    </row>
    <row r="4966">
      <c r="A4966" s="33" t="n">
        <v>4965</v>
      </c>
      <c r="B4966" t="inlineStr">
        <is>
          <t>A-495__31</t>
        </is>
      </c>
      <c r="C4966" s="1" t="n">
        <v>37.4424468255</v>
      </c>
      <c r="D4966" s="1" t="n">
        <v>-7.09301397804</v>
      </c>
      <c r="E4966" s="3" t="n">
        <v>3</v>
      </c>
      <c r="F4966" s="2" t="n">
        <v>3</v>
      </c>
      <c r="G4966" s="4" t="n"/>
      <c r="H4966" s="13" t="n">
        <v>2</v>
      </c>
      <c r="I4966" s="34" t="n">
        <v>2</v>
      </c>
      <c r="J4966" s="35" t="n">
        <v>2.5</v>
      </c>
      <c r="K4966" s="2" t="inlineStr">
        <is>
          <t>marker_575_381405.png</t>
        </is>
      </c>
      <c r="L4966" s="36">
        <f>HYPERLINK("Solo2\" &amp; K4966, "Ver Imagen")</f>
        <v/>
      </c>
      <c r="M4966" t="inlineStr">
        <is>
          <t>Mediana</t>
        </is>
      </c>
    </row>
    <row r="4967">
      <c r="A4967" s="33" t="n">
        <v>4966</v>
      </c>
      <c r="B4967" t="inlineStr">
        <is>
          <t>A-5059__73</t>
        </is>
      </c>
      <c r="C4967" s="1" t="n">
        <v>37.2224763508</v>
      </c>
      <c r="D4967" s="1" t="n">
        <v>-7.05555749381</v>
      </c>
      <c r="E4967" s="3" t="n">
        <v>2</v>
      </c>
      <c r="F4967" s="2" t="n">
        <v>3</v>
      </c>
      <c r="G4967" s="4" t="n"/>
      <c r="H4967" s="13" t="n">
        <v>2</v>
      </c>
      <c r="I4967" s="34" t="n">
        <v>2</v>
      </c>
      <c r="J4967" s="35" t="n">
        <v>2</v>
      </c>
      <c r="K4967" s="2" t="inlineStr">
        <is>
          <t>marker_378_378819.png</t>
        </is>
      </c>
      <c r="L4967" s="36">
        <f>HYPERLINK("Solo2\" &amp; K4967, "Ver Imagen")</f>
        <v/>
      </c>
      <c r="M4967" t="inlineStr">
        <is>
          <t>Mediana</t>
        </is>
      </c>
    </row>
    <row r="4968">
      <c r="A4968" s="33" t="n">
        <v>4967</v>
      </c>
      <c r="B4968" t="inlineStr">
        <is>
          <t>A-5059__44</t>
        </is>
      </c>
      <c r="C4968" s="1" t="n">
        <v>37.2266193078</v>
      </c>
      <c r="D4968" s="1" t="n">
        <v>-7.06038774833</v>
      </c>
      <c r="E4968" s="3" t="n">
        <v>3</v>
      </c>
      <c r="F4968" s="2" t="n">
        <v>3</v>
      </c>
      <c r="G4968" s="4" t="n"/>
      <c r="H4968" s="13" t="n">
        <v>2</v>
      </c>
      <c r="I4968" s="34" t="n">
        <v>3</v>
      </c>
      <c r="J4968" s="35" t="n">
        <v>3</v>
      </c>
      <c r="K4968" s="2" t="inlineStr">
        <is>
          <t>marker_906_379257.png</t>
        </is>
      </c>
      <c r="L4968" s="36">
        <f>HYPERLINK("Solo2\" &amp; K4968, "Ver Imagen")</f>
        <v/>
      </c>
      <c r="M4968" t="inlineStr">
        <is>
          <t>Mediana</t>
        </is>
      </c>
    </row>
    <row r="4969">
      <c r="A4969" s="33" t="n">
        <v>4968</v>
      </c>
      <c r="B4969" t="inlineStr">
        <is>
          <t>A-5059__4</t>
        </is>
      </c>
      <c r="C4969" s="1" t="n">
        <v>37.2331240535</v>
      </c>
      <c r="D4969" s="1" t="n">
        <v>-7.06582737828</v>
      </c>
      <c r="E4969" s="3" t="n">
        <v>3</v>
      </c>
      <c r="F4969" s="2" t="n">
        <v>3</v>
      </c>
      <c r="G4969" s="4" t="n"/>
      <c r="H4969" s="13" t="n">
        <v>2</v>
      </c>
      <c r="I4969" s="34" t="n">
        <v>2</v>
      </c>
      <c r="J4969" s="37" t="n">
        <v>2</v>
      </c>
      <c r="K4969" s="2" t="inlineStr">
        <is>
          <t>marker_270_379636.png</t>
        </is>
      </c>
      <c r="L4969" s="36">
        <f>HYPERLINK("Solo2\" &amp; K4969, "Ver Imagen")</f>
        <v/>
      </c>
      <c r="M4969" s="37" t="inlineStr">
        <is>
          <t>Modificada</t>
        </is>
      </c>
    </row>
    <row r="4970">
      <c r="A4970" s="33" t="n">
        <v>4969</v>
      </c>
      <c r="B4970" t="inlineStr">
        <is>
          <t>A-5059__1</t>
        </is>
      </c>
      <c r="C4970" s="1" t="n">
        <v>37.233612006</v>
      </c>
      <c r="D4970" s="1" t="n">
        <v>-7.06627718955</v>
      </c>
      <c r="E4970" s="3" t="n">
        <v>3</v>
      </c>
      <c r="F4970" s="2" t="n">
        <v>3</v>
      </c>
      <c r="G4970" s="4" t="n"/>
      <c r="H4970" s="13" t="n">
        <v>2</v>
      </c>
      <c r="I4970" s="34" t="n">
        <v>3</v>
      </c>
      <c r="J4970" s="37" t="n">
        <v>2</v>
      </c>
      <c r="K4970" s="2" t="inlineStr">
        <is>
          <t>marker_317_379667.png</t>
        </is>
      </c>
      <c r="L4970" s="36">
        <f>HYPERLINK("Solo2\" &amp; K4970, "Ver Imagen")</f>
        <v/>
      </c>
      <c r="M4970" s="37" t="inlineStr">
        <is>
          <t>Modificada</t>
        </is>
      </c>
    </row>
    <row r="4971">
      <c r="A4971" s="33" t="n">
        <v>4970</v>
      </c>
      <c r="B4971" t="inlineStr">
        <is>
          <t>A-5058__24</t>
        </is>
      </c>
      <c r="C4971" s="1" t="n">
        <v>37.2249753937</v>
      </c>
      <c r="D4971" s="1" t="n">
        <v>-7.03328814646</v>
      </c>
      <c r="E4971" s="3" t="n">
        <v>3</v>
      </c>
      <c r="F4971" s="2" t="n">
        <v>3</v>
      </c>
      <c r="G4971" s="4" t="n"/>
      <c r="H4971" s="13" t="n">
        <v>2</v>
      </c>
      <c r="I4971" s="34" t="n">
        <v>3</v>
      </c>
      <c r="J4971" s="37" t="n">
        <v>2</v>
      </c>
      <c r="K4971" s="2" t="inlineStr">
        <is>
          <t>marker_772_380117.png</t>
        </is>
      </c>
      <c r="L4971" s="36">
        <f>HYPERLINK("Solo2\" &amp; K4971, "Ver Imagen")</f>
        <v/>
      </c>
      <c r="M4971" s="37" t="inlineStr">
        <is>
          <t>Modificada</t>
        </is>
      </c>
    </row>
    <row r="4972">
      <c r="A4972" s="33" t="n">
        <v>4971</v>
      </c>
      <c r="B4972" t="inlineStr">
        <is>
          <t>A-5058__56</t>
        </is>
      </c>
      <c r="C4972" s="1" t="n">
        <v>37.2252243925</v>
      </c>
      <c r="D4972" s="1" t="n">
        <v>-7.04094766495</v>
      </c>
      <c r="E4972" s="3" t="n">
        <v>3</v>
      </c>
      <c r="F4972" s="2" t="n">
        <v>2</v>
      </c>
      <c r="G4972" s="4" t="n"/>
      <c r="H4972" s="13" t="n">
        <v>1</v>
      </c>
      <c r="I4972" s="34" t="n">
        <v>1</v>
      </c>
      <c r="J4972" s="37" t="n">
        <v>1</v>
      </c>
      <c r="K4972" s="2" t="inlineStr">
        <is>
          <t>marker_382_380598.png</t>
        </is>
      </c>
      <c r="L4972" s="36">
        <f>HYPERLINK("Solo2\" &amp; K4972, "Ver Imagen")</f>
        <v/>
      </c>
      <c r="M4972" s="37" t="inlineStr">
        <is>
          <t>Modificada</t>
        </is>
      </c>
    </row>
    <row r="4973">
      <c r="A4973" s="33" t="n">
        <v>4972</v>
      </c>
      <c r="B4973" t="inlineStr">
        <is>
          <t>A-5058__60</t>
        </is>
      </c>
      <c r="C4973" s="1" t="n">
        <v>37.2255783647</v>
      </c>
      <c r="D4973" s="1" t="n">
        <v>-7.04186030803</v>
      </c>
      <c r="E4973" s="3" t="n">
        <v>2</v>
      </c>
      <c r="F4973" s="2" t="n">
        <v>2</v>
      </c>
      <c r="G4973" s="4" t="n"/>
      <c r="H4973" s="13" t="n">
        <v>2</v>
      </c>
      <c r="I4973" s="34" t="n">
        <v>2</v>
      </c>
      <c r="J4973" s="35" t="n">
        <v>2</v>
      </c>
      <c r="K4973" s="2" t="inlineStr">
        <is>
          <t>marker_164_380645.png</t>
        </is>
      </c>
      <c r="L4973" s="36">
        <f>HYPERLINK("Solo2\" &amp; K4973, "Ver Imagen")</f>
        <v/>
      </c>
      <c r="M4973" t="inlineStr">
        <is>
          <t>Mediana</t>
        </is>
      </c>
    </row>
    <row r="4974">
      <c r="A4974" s="33" t="n">
        <v>4973</v>
      </c>
      <c r="B4974" t="inlineStr">
        <is>
          <t>A-5058__62</t>
        </is>
      </c>
      <c r="C4974" s="1" t="n">
        <v>37.2257770892</v>
      </c>
      <c r="D4974" s="1" t="n">
        <v>-7.0423091975</v>
      </c>
      <c r="E4974" s="3" t="n">
        <v>2</v>
      </c>
      <c r="F4974" s="2" t="n">
        <v>3</v>
      </c>
      <c r="G4974" s="4" t="n"/>
      <c r="H4974" s="13" t="n">
        <v>2</v>
      </c>
      <c r="I4974" s="34" t="n">
        <v>2</v>
      </c>
      <c r="J4974" s="35" t="n">
        <v>2</v>
      </c>
      <c r="K4974" s="2" t="inlineStr">
        <is>
          <t>marker_658_380663.png</t>
        </is>
      </c>
      <c r="L4974" s="36">
        <f>HYPERLINK("Solo2\" &amp; K4974, "Ver Imagen")</f>
        <v/>
      </c>
      <c r="M4974" t="inlineStr">
        <is>
          <t>Mediana</t>
        </is>
      </c>
    </row>
    <row r="4975">
      <c r="A4975" s="33" t="n">
        <v>4974</v>
      </c>
      <c r="B4975" t="inlineStr">
        <is>
          <t>A-492__22</t>
        </is>
      </c>
      <c r="C4975" t="n">
        <v>37.2757500613</v>
      </c>
      <c r="D4975" t="n">
        <v>-6.99108501591</v>
      </c>
      <c r="E4975" s="3" t="n"/>
      <c r="F4975" s="2" t="n"/>
      <c r="G4975" s="4" t="n">
        <v>4</v>
      </c>
      <c r="H4975" s="13" t="n">
        <v>4</v>
      </c>
      <c r="I4975" s="34" t="n">
        <v>4</v>
      </c>
      <c r="J4975" s="35" t="n">
        <v>4</v>
      </c>
      <c r="K4975" s="4" t="inlineStr">
        <is>
          <t>marker_327_380692.png</t>
        </is>
      </c>
      <c r="L4975" s="36">
        <f>HYPERLINK("Solo2\" &amp; K4975, "Ver Imagen")</f>
        <v/>
      </c>
      <c r="M4975" t="inlineStr">
        <is>
          <t>Mediana</t>
        </is>
      </c>
    </row>
    <row r="4976">
      <c r="A4976" s="33" t="n">
        <v>4975</v>
      </c>
      <c r="B4976" t="inlineStr">
        <is>
          <t>A-5058__247</t>
        </is>
      </c>
      <c r="C4976" s="1" t="n">
        <v>37.2409141269</v>
      </c>
      <c r="D4976" s="1" t="n">
        <v>-7.08278601333</v>
      </c>
      <c r="E4976" s="3" t="n">
        <v>3</v>
      </c>
      <c r="F4976" s="2" t="n">
        <v>3</v>
      </c>
      <c r="G4976" s="4" t="n"/>
      <c r="H4976" s="13" t="n">
        <v>2</v>
      </c>
      <c r="I4976" s="34" t="n">
        <v>3</v>
      </c>
      <c r="J4976" s="35" t="n">
        <v>3</v>
      </c>
      <c r="K4976" s="2" t="inlineStr">
        <is>
          <t>marker_117_383458.png</t>
        </is>
      </c>
      <c r="L4976" s="36">
        <f>HYPERLINK("Solo2\" &amp; K4976, "Ver Imagen")</f>
        <v/>
      </c>
      <c r="M4976" t="inlineStr">
        <is>
          <t>Mediana</t>
        </is>
      </c>
    </row>
    <row r="4977">
      <c r="A4977" s="33" t="n">
        <v>4976</v>
      </c>
      <c r="B4977" t="inlineStr">
        <is>
          <t>A-5058__363</t>
        </is>
      </c>
      <c r="C4977" s="1" t="n">
        <v>37.2531392698</v>
      </c>
      <c r="D4977" s="1" t="n">
        <v>-7.10623207905</v>
      </c>
      <c r="E4977" s="3" t="n"/>
      <c r="F4977" s="2" t="n">
        <v>3</v>
      </c>
      <c r="G4977" s="4" t="n">
        <v>3</v>
      </c>
      <c r="H4977" s="13" t="n">
        <v>2</v>
      </c>
      <c r="I4977" s="34" t="n">
        <v>2</v>
      </c>
      <c r="J4977" s="35" t="n">
        <v>2.5</v>
      </c>
      <c r="K4977" s="2" t="inlineStr">
        <is>
          <t>marker_967_385002.png</t>
        </is>
      </c>
      <c r="L4977" s="36">
        <f>HYPERLINK("Solo2\" &amp; K4977, "Ver Imagen")</f>
        <v/>
      </c>
      <c r="M4977" t="inlineStr">
        <is>
          <t>Mediana</t>
        </is>
      </c>
    </row>
    <row r="4978">
      <c r="A4978" s="33" t="n">
        <v>4977</v>
      </c>
      <c r="B4978" t="inlineStr">
        <is>
          <t>A-5058__424</t>
        </is>
      </c>
      <c r="C4978" s="1" t="n">
        <v>37.2568957266</v>
      </c>
      <c r="D4978" s="1" t="n">
        <v>-7.11905347858</v>
      </c>
      <c r="E4978" s="3" t="n">
        <v>3</v>
      </c>
      <c r="F4978" s="2" t="n">
        <v>3</v>
      </c>
      <c r="G4978" s="4" t="n"/>
      <c r="H4978" s="13" t="n">
        <v>2</v>
      </c>
      <c r="I4978" s="34" t="n">
        <v>2</v>
      </c>
      <c r="J4978" s="37" t="n">
        <v>2</v>
      </c>
      <c r="K4978" s="2" t="inlineStr">
        <is>
          <t>marker_570_388794.png</t>
        </is>
      </c>
      <c r="L4978" s="36">
        <f>HYPERLINK("Solo2\" &amp; K4978, "Ver Imagen")</f>
        <v/>
      </c>
      <c r="M4978" s="37" t="inlineStr">
        <is>
          <t>Modificada</t>
        </is>
      </c>
    </row>
    <row r="4979">
      <c r="A4979" s="33" t="n">
        <v>4978</v>
      </c>
      <c r="B4979" t="inlineStr">
        <is>
          <t>A-5058__426</t>
        </is>
      </c>
      <c r="C4979" s="1" t="n">
        <v>37.257277081</v>
      </c>
      <c r="D4979" s="1" t="n">
        <v>-7.11933224613</v>
      </c>
      <c r="E4979" s="3" t="n"/>
      <c r="F4979" s="2" t="n">
        <v>3</v>
      </c>
      <c r="G4979" s="4" t="n">
        <v>4</v>
      </c>
      <c r="H4979" s="13" t="n">
        <v>3</v>
      </c>
      <c r="I4979" s="34" t="n">
        <v>2</v>
      </c>
      <c r="J4979" s="37" t="n">
        <v>2</v>
      </c>
      <c r="K4979" s="2" t="inlineStr">
        <is>
          <t>marker_731_388817.png</t>
        </is>
      </c>
      <c r="L4979" s="36">
        <f>HYPERLINK("Solo2\" &amp; K4979, "Ver Imagen")</f>
        <v/>
      </c>
      <c r="M4979" s="37" t="inlineStr">
        <is>
          <t>Modificada</t>
        </is>
      </c>
    </row>
    <row r="4980">
      <c r="A4980" s="33" t="n">
        <v>4979</v>
      </c>
      <c r="B4980" t="inlineStr">
        <is>
          <t>A-5058__458</t>
        </is>
      </c>
      <c r="C4980" s="1" t="n">
        <v>37.2597330569</v>
      </c>
      <c r="D4980" s="1" t="n">
        <v>-7.12632050609</v>
      </c>
      <c r="E4980" s="3" t="n">
        <v>3</v>
      </c>
      <c r="F4980" s="2" t="n">
        <v>3</v>
      </c>
      <c r="G4980" s="4" t="n"/>
      <c r="H4980" s="13" t="n">
        <v>3</v>
      </c>
      <c r="I4980" s="34" t="n">
        <v>3</v>
      </c>
      <c r="J4980" s="35" t="n">
        <v>3</v>
      </c>
      <c r="K4980" s="2" t="inlineStr">
        <is>
          <t>marker_416_389294.png</t>
        </is>
      </c>
      <c r="L4980" s="36">
        <f>HYPERLINK("Solo2\" &amp; K4980, "Ver Imagen")</f>
        <v/>
      </c>
      <c r="M4980" t="inlineStr">
        <is>
          <t>Mediana</t>
        </is>
      </c>
    </row>
    <row r="4981">
      <c r="A4981" s="33" t="n">
        <v>4980</v>
      </c>
      <c r="B4981" t="inlineStr">
        <is>
          <t>A-497__91</t>
        </is>
      </c>
      <c r="C4981" t="n">
        <v>37.269701577</v>
      </c>
      <c r="D4981" t="n">
        <v>-6.97842421608</v>
      </c>
      <c r="E4981" s="3" t="n"/>
      <c r="F4981" s="2" t="n"/>
      <c r="G4981" s="4" t="n">
        <v>2</v>
      </c>
      <c r="H4981" s="13" t="n">
        <v>2</v>
      </c>
      <c r="I4981" s="34" t="n">
        <v>2</v>
      </c>
      <c r="J4981" s="35" t="n">
        <v>2</v>
      </c>
      <c r="K4981" s="4" t="inlineStr">
        <is>
          <t>marker_320_393954.png</t>
        </is>
      </c>
      <c r="L4981" s="36">
        <f>HYPERLINK("Solo2\" &amp; K4981, "Ver Imagen")</f>
        <v/>
      </c>
      <c r="M4981" t="inlineStr">
        <is>
          <t>Mediana</t>
        </is>
      </c>
    </row>
    <row r="4982">
      <c r="A4982" s="33" t="n">
        <v>4981</v>
      </c>
      <c r="B4982" t="inlineStr">
        <is>
          <t>A-5050__185</t>
        </is>
      </c>
      <c r="C4982" t="n">
        <v>37.1896280459</v>
      </c>
      <c r="D4982" t="n">
        <v>-6.98796287948</v>
      </c>
      <c r="E4982" s="3" t="n"/>
      <c r="F4982" s="2" t="n"/>
      <c r="G4982" s="4" t="n">
        <v>4</v>
      </c>
      <c r="H4982" s="13" t="n">
        <v>3</v>
      </c>
      <c r="I4982" s="34" t="n">
        <v>3</v>
      </c>
      <c r="J4982" s="35" t="n">
        <v>3</v>
      </c>
      <c r="K4982" s="4" t="inlineStr">
        <is>
          <t>marker_282_394500.png</t>
        </is>
      </c>
      <c r="L4982" s="36">
        <f>HYPERLINK("Solo2\" &amp; K4982, "Ver Imagen")</f>
        <v/>
      </c>
      <c r="M4982" t="inlineStr">
        <is>
          <t>Mediana</t>
        </is>
      </c>
    </row>
    <row r="4983">
      <c r="A4983" s="33" t="n">
        <v>4982</v>
      </c>
      <c r="B4983" t="inlineStr">
        <is>
          <t>A-495_1__181</t>
        </is>
      </c>
      <c r="C4983" s="1" t="n">
        <v>37.4824260353</v>
      </c>
      <c r="D4983" s="1" t="n">
        <v>-7.12853385793</v>
      </c>
      <c r="E4983" s="3" t="n">
        <v>2</v>
      </c>
      <c r="F4983" s="2" t="n">
        <v>2</v>
      </c>
      <c r="G4983" s="4" t="n"/>
      <c r="H4983" s="13" t="n">
        <v>1</v>
      </c>
      <c r="I4983" s="34" t="n">
        <v>1</v>
      </c>
      <c r="J4983" s="37" t="n">
        <v>1</v>
      </c>
      <c r="K4983" s="2" t="inlineStr">
        <is>
          <t>marker_190_383811.png</t>
        </is>
      </c>
      <c r="L4983" s="36">
        <f>HYPERLINK("Solo2\" &amp; K4983, "Ver Imagen")</f>
        <v/>
      </c>
      <c r="M4983" s="37" t="inlineStr">
        <is>
          <t>Modificada</t>
        </is>
      </c>
    </row>
    <row r="4984">
      <c r="A4984" s="33" t="n">
        <v>4983</v>
      </c>
      <c r="B4984" t="inlineStr">
        <is>
          <t>A-499__59</t>
        </is>
      </c>
      <c r="C4984" s="1" t="n">
        <v>37.49554933</v>
      </c>
      <c r="D4984" s="1" t="n">
        <v>-7.27299753508</v>
      </c>
      <c r="E4984" s="3" t="n">
        <v>3</v>
      </c>
      <c r="F4984" s="2" t="n">
        <v>2</v>
      </c>
      <c r="G4984" s="4" t="n"/>
      <c r="H4984" s="13" t="n">
        <v>1</v>
      </c>
      <c r="I4984" s="34" t="n">
        <v>1</v>
      </c>
      <c r="J4984" s="37" t="n">
        <v>1</v>
      </c>
      <c r="K4984" s="2" t="inlineStr">
        <is>
          <t>marker_987_534985.png</t>
        </is>
      </c>
      <c r="L4984" s="36">
        <f>HYPERLINK("Solo2\" &amp; K4984, "Ver Imagen")</f>
        <v/>
      </c>
      <c r="M4984" s="37" t="inlineStr">
        <is>
          <t>Modificada</t>
        </is>
      </c>
    </row>
    <row r="4985">
      <c r="A4985" s="33" t="n">
        <v>4984</v>
      </c>
      <c r="B4985" t="inlineStr">
        <is>
          <t>A-497__768</t>
        </is>
      </c>
      <c r="C4985" s="1" t="n">
        <v>37.1872087207</v>
      </c>
      <c r="D4985" s="1" t="n">
        <v>-6.97932653688</v>
      </c>
      <c r="E4985" s="3" t="n"/>
      <c r="F4985" s="2" t="n">
        <v>5</v>
      </c>
      <c r="G4985" s="4" t="n">
        <v>5</v>
      </c>
      <c r="H4985" s="13" t="n">
        <v>3</v>
      </c>
      <c r="I4985" s="34" t="n">
        <v>4</v>
      </c>
      <c r="J4985" s="37" t="n">
        <v>4</v>
      </c>
      <c r="K4985" s="2" t="inlineStr">
        <is>
          <t>marker_736_368460.png</t>
        </is>
      </c>
      <c r="L4985" s="36">
        <f>HYPERLINK("Solo2\" &amp; K4985, "Ver Imagen")</f>
        <v/>
      </c>
      <c r="M4985" s="37" t="inlineStr">
        <is>
          <t>Modificada</t>
        </is>
      </c>
    </row>
    <row r="4986">
      <c r="A4986" s="33" t="n">
        <v>4985</v>
      </c>
      <c r="B4986" t="inlineStr">
        <is>
          <t>A-497__764</t>
        </is>
      </c>
      <c r="C4986" s="1" t="n">
        <v>37.1865654427</v>
      </c>
      <c r="D4986" s="1" t="n">
        <v>-6.97997166406</v>
      </c>
      <c r="E4986" s="3" t="n"/>
      <c r="F4986" s="2" t="n">
        <v>5</v>
      </c>
      <c r="G4986" s="4" t="n">
        <v>5</v>
      </c>
      <c r="H4986" s="13" t="n">
        <v>4</v>
      </c>
      <c r="I4986" s="34" t="n">
        <v>5</v>
      </c>
      <c r="J4986" s="35" t="n">
        <v>5</v>
      </c>
      <c r="K4986" s="2" t="inlineStr">
        <is>
          <t>marker_394_368520.png</t>
        </is>
      </c>
      <c r="L4986" s="36">
        <f>HYPERLINK("Solo2\" &amp; K4986, "Ver Imagen")</f>
        <v/>
      </c>
      <c r="M4986" t="inlineStr">
        <is>
          <t>Mediana</t>
        </is>
      </c>
    </row>
    <row r="4987">
      <c r="A4987" s="33" t="n">
        <v>4986</v>
      </c>
      <c r="B4987" t="inlineStr">
        <is>
          <t>A-497__758</t>
        </is>
      </c>
      <c r="C4987" s="1" t="n">
        <v>37.1858581274</v>
      </c>
      <c r="D4987" s="1" t="n">
        <v>-6.98004135349</v>
      </c>
      <c r="E4987" s="3" t="n"/>
      <c r="F4987" s="2" t="n">
        <v>4</v>
      </c>
      <c r="G4987" s="4" t="n">
        <v>4</v>
      </c>
      <c r="H4987" s="13" t="n">
        <v>3</v>
      </c>
      <c r="I4987" s="34" t="n">
        <v>4</v>
      </c>
      <c r="J4987" s="35" t="n">
        <v>4</v>
      </c>
      <c r="K4987" s="2" t="inlineStr">
        <is>
          <t>marker_513_368591.png</t>
        </is>
      </c>
      <c r="L4987" s="36">
        <f>HYPERLINK("Solo2\" &amp; K4987, "Ver Imagen")</f>
        <v/>
      </c>
      <c r="M4987" t="inlineStr">
        <is>
          <t>Mediana</t>
        </is>
      </c>
    </row>
    <row r="4988">
      <c r="A4988" s="33" t="n">
        <v>4987</v>
      </c>
      <c r="B4988" t="inlineStr">
        <is>
          <t>A-499__132</t>
        </is>
      </c>
      <c r="C4988" s="1" t="n">
        <v>37.5050592185</v>
      </c>
      <c r="D4988" s="1" t="n">
        <v>-7.26537694888</v>
      </c>
      <c r="E4988" s="3" t="n">
        <v>2</v>
      </c>
      <c r="F4988" s="2" t="n">
        <v>2</v>
      </c>
      <c r="G4988" s="4" t="n"/>
      <c r="H4988" s="13" t="n">
        <v>1</v>
      </c>
      <c r="I4988" s="34" t="n">
        <v>1</v>
      </c>
      <c r="J4988" s="35" t="n">
        <v>1.5</v>
      </c>
      <c r="K4988" s="2" t="inlineStr">
        <is>
          <t>marker_431_793824.png</t>
        </is>
      </c>
      <c r="L4988" s="36">
        <f>HYPERLINK("Solo2\" &amp; K4988, "Ver Imagen")</f>
        <v/>
      </c>
      <c r="M4988" t="inlineStr">
        <is>
          <t>Mediana</t>
        </is>
      </c>
    </row>
    <row r="4989">
      <c r="A4989" s="33" t="n">
        <v>4988</v>
      </c>
      <c r="B4989" t="inlineStr">
        <is>
          <t>A-497__749</t>
        </is>
      </c>
      <c r="C4989" s="1" t="n">
        <v>37.1873867887</v>
      </c>
      <c r="D4989" s="1" t="n">
        <v>-6.97890142557</v>
      </c>
      <c r="E4989" s="3" t="n"/>
      <c r="F4989" s="2" t="n">
        <v>5</v>
      </c>
      <c r="G4989" s="4" t="n">
        <v>5</v>
      </c>
      <c r="H4989" s="13" t="n">
        <v>4</v>
      </c>
      <c r="I4989" s="34" t="n">
        <v>4</v>
      </c>
      <c r="J4989" s="35" t="n">
        <v>4.5</v>
      </c>
      <c r="K4989" s="2" t="inlineStr">
        <is>
          <t>marker_581_368702.png</t>
        </is>
      </c>
      <c r="L4989" s="36">
        <f>HYPERLINK("Solo2\" &amp; K4989, "Ver Imagen")</f>
        <v/>
      </c>
      <c r="M4989" t="inlineStr">
        <is>
          <t>Mediana</t>
        </is>
      </c>
    </row>
    <row r="4990">
      <c r="A4990" s="33" t="n">
        <v>4989</v>
      </c>
      <c r="B4990" t="inlineStr">
        <is>
          <t>A-497_2C__242</t>
        </is>
      </c>
      <c r="C4990" s="1" t="n">
        <v>37.2600680724</v>
      </c>
      <c r="D4990" s="1" t="n">
        <v>-7.01166438165</v>
      </c>
      <c r="E4990" s="3" t="n"/>
      <c r="F4990" s="2" t="n">
        <v>3</v>
      </c>
      <c r="G4990" s="4" t="n">
        <v>3</v>
      </c>
      <c r="H4990" s="13" t="n">
        <v>2</v>
      </c>
      <c r="I4990" s="34" t="n">
        <v>2</v>
      </c>
      <c r="J4990" s="37" t="n">
        <v>2</v>
      </c>
      <c r="K4990" s="2" t="inlineStr">
        <is>
          <t>marker_530_657044.png</t>
        </is>
      </c>
      <c r="L4990" s="36">
        <f>HYPERLINK("Solo2\" &amp; K4990, "Ver Imagen")</f>
        <v/>
      </c>
      <c r="M4990" s="37" t="inlineStr">
        <is>
          <t>Modificada</t>
        </is>
      </c>
    </row>
    <row r="4991">
      <c r="A4991" s="33" t="n">
        <v>4990</v>
      </c>
      <c r="B4991" t="inlineStr">
        <is>
          <t>A-497__662</t>
        </is>
      </c>
      <c r="C4991" s="1" t="n">
        <v>37.2003477567</v>
      </c>
      <c r="D4991" s="1" t="n">
        <v>-6.98727392114</v>
      </c>
      <c r="E4991" s="3" t="n">
        <v>3</v>
      </c>
      <c r="F4991" s="2" t="n">
        <v>4</v>
      </c>
      <c r="G4991" s="4" t="n"/>
      <c r="H4991" s="13" t="n">
        <v>3</v>
      </c>
      <c r="I4991" s="34" t="n">
        <v>3</v>
      </c>
      <c r="J4991" s="35" t="n">
        <v>3</v>
      </c>
      <c r="K4991" s="2" t="inlineStr">
        <is>
          <t>marker_722_371132.png</t>
        </is>
      </c>
      <c r="L4991" s="36">
        <f>HYPERLINK("Solo2\" &amp; K4991, "Ver Imagen")</f>
        <v/>
      </c>
      <c r="M4991" t="inlineStr">
        <is>
          <t>Mediana</t>
        </is>
      </c>
    </row>
    <row r="4992">
      <c r="A4992" s="33" t="n">
        <v>4991</v>
      </c>
      <c r="B4992" t="inlineStr">
        <is>
          <t>A-497__619</t>
        </is>
      </c>
      <c r="C4992" s="1" t="n">
        <v>37.2023673926</v>
      </c>
      <c r="D4992" s="1" t="n">
        <v>-6.99789811204</v>
      </c>
      <c r="E4992" s="3" t="n"/>
      <c r="F4992" s="2" t="n">
        <v>4</v>
      </c>
      <c r="G4992" s="4" t="n">
        <v>5</v>
      </c>
      <c r="H4992" s="13" t="n">
        <v>3</v>
      </c>
      <c r="I4992" s="34" t="n">
        <v>3</v>
      </c>
      <c r="J4992" s="37" t="n">
        <v>3</v>
      </c>
      <c r="K4992" s="2" t="inlineStr">
        <is>
          <t>marker_229_371537.png</t>
        </is>
      </c>
      <c r="L4992" s="36">
        <f>HYPERLINK("Solo2\" &amp; K4992, "Ver Imagen")</f>
        <v/>
      </c>
      <c r="M4992" s="37" t="inlineStr">
        <is>
          <t>Modificada</t>
        </is>
      </c>
    </row>
    <row r="4993">
      <c r="A4993" s="33" t="n">
        <v>4992</v>
      </c>
      <c r="B4993" t="inlineStr">
        <is>
          <t>A-497__618</t>
        </is>
      </c>
      <c r="C4993" s="1" t="n">
        <v>37.2024033857</v>
      </c>
      <c r="D4993" s="1" t="n">
        <v>-6.99814163247</v>
      </c>
      <c r="E4993" s="3" t="n"/>
      <c r="F4993" s="2" t="n">
        <v>4</v>
      </c>
      <c r="G4993" s="4" t="n">
        <v>5</v>
      </c>
      <c r="H4993" s="13" t="n">
        <v>4</v>
      </c>
      <c r="I4993" s="34" t="n">
        <v>4</v>
      </c>
      <c r="J4993" s="35" t="n">
        <v>4</v>
      </c>
      <c r="K4993" s="2" t="inlineStr">
        <is>
          <t>marker_938_371546.png</t>
        </is>
      </c>
      <c r="L4993" s="36">
        <f>HYPERLINK("Solo2\" &amp; K4993, "Ver Imagen")</f>
        <v/>
      </c>
      <c r="M4993" t="inlineStr">
        <is>
          <t>Mediana</t>
        </is>
      </c>
    </row>
    <row r="4994">
      <c r="A4994" s="33" t="n">
        <v>4993</v>
      </c>
      <c r="B4994" t="inlineStr">
        <is>
          <t>A-497_2C__319</t>
        </is>
      </c>
      <c r="C4994" s="1" t="n">
        <v>37.2456973348</v>
      </c>
      <c r="D4994" s="1" t="n">
        <v>-7.01846146404</v>
      </c>
      <c r="E4994" s="3" t="n">
        <v>3</v>
      </c>
      <c r="F4994" s="2" t="n">
        <v>4</v>
      </c>
      <c r="G4994" s="4" t="n"/>
      <c r="H4994" s="13" t="n">
        <v>3</v>
      </c>
      <c r="I4994" s="34" t="n">
        <v>3</v>
      </c>
      <c r="J4994" s="35" t="n">
        <v>3</v>
      </c>
      <c r="K4994" s="2" t="inlineStr">
        <is>
          <t>marker_160_361918.png</t>
        </is>
      </c>
      <c r="L4994" s="36">
        <f>HYPERLINK("Solo2\" &amp; K4994, "Ver Imagen")</f>
        <v/>
      </c>
      <c r="M4994" t="inlineStr">
        <is>
          <t>Mediana</t>
        </is>
      </c>
    </row>
    <row r="4995" ht="15.75" customHeight="1" thickBot="1">
      <c r="A4995" s="43" t="n">
        <v>4994</v>
      </c>
      <c r="B4995" s="44" t="inlineStr">
        <is>
          <t>A-499__81</t>
        </is>
      </c>
      <c r="C4995" s="44" t="n">
        <v>37.4951954321</v>
      </c>
      <c r="D4995" s="44" t="n">
        <v>-7.267660023</v>
      </c>
      <c r="E4995" s="45" t="n">
        <v>3</v>
      </c>
      <c r="F4995" s="46" t="n"/>
      <c r="G4995" s="47" t="n"/>
      <c r="H4995" s="48" t="n">
        <v>2</v>
      </c>
      <c r="I4995" s="49" t="n">
        <v>3</v>
      </c>
      <c r="J4995" s="50" t="n">
        <v>3</v>
      </c>
      <c r="K4995" s="45" t="inlineStr">
        <is>
          <t>marker_656_799839.png</t>
        </is>
      </c>
      <c r="L4995" s="51">
        <f>HYPERLINK("Solo2\" &amp; K4995, "Ver Imagen")</f>
        <v/>
      </c>
      <c r="M4995" t="inlineStr">
        <is>
          <t>Mediana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989"/>
  <sheetViews>
    <sheetView tabSelected="1" workbookViewId="0">
      <selection activeCell="A1" sqref="A1:M1"/>
    </sheetView>
  </sheetViews>
  <sheetFormatPr baseColWidth="10" defaultRowHeight="15"/>
  <cols>
    <col width="7.140625" customWidth="1" min="1" max="1"/>
    <col width="15.28515625" customWidth="1" min="2" max="2"/>
  </cols>
  <sheetData>
    <row r="1">
      <c r="A1" t="inlineStr">
        <is>
          <t>Orden</t>
        </is>
      </c>
      <c r="B1" s="5" t="inlineStr">
        <is>
          <t>Identifier</t>
        </is>
      </c>
      <c r="C1" s="7" t="inlineStr">
        <is>
          <t>LAT</t>
        </is>
      </c>
      <c r="D1" s="7" t="inlineStr">
        <is>
          <t>LON</t>
        </is>
      </c>
      <c r="E1" s="8" t="inlineStr">
        <is>
          <t>Antonio Ruiz</t>
        </is>
      </c>
      <c r="F1" s="18" t="inlineStr">
        <is>
          <t>Alvaro</t>
        </is>
      </c>
      <c r="G1" s="53" t="inlineStr">
        <is>
          <t>Juan</t>
        </is>
      </c>
      <c r="H1" s="12" t="inlineStr">
        <is>
          <t>MAAT</t>
        </is>
      </c>
      <c r="I1" s="14" t="inlineStr">
        <is>
          <t>FJAT</t>
        </is>
      </c>
      <c r="J1" s="22" t="inlineStr">
        <is>
          <t>Etiqueta</t>
        </is>
      </c>
      <c r="K1" s="6" t="inlineStr">
        <is>
          <t>Img</t>
        </is>
      </c>
      <c r="L1" s="10" t="inlineStr">
        <is>
          <t>Link_img</t>
        </is>
      </c>
      <c r="M1" s="10" t="inlineStr">
        <is>
          <t>Estrategia</t>
        </is>
      </c>
    </row>
    <row r="2">
      <c r="A2" t="n">
        <v>1</v>
      </c>
      <c r="B2" t="inlineStr">
        <is>
          <t>A-490__564</t>
        </is>
      </c>
      <c r="C2" s="1" t="n">
        <v>37.4905848821</v>
      </c>
      <c r="D2" s="1" t="n">
        <v>-7.25369247382</v>
      </c>
      <c r="E2" s="3" t="n">
        <v>1</v>
      </c>
      <c r="F2" s="2" t="n">
        <v>1</v>
      </c>
      <c r="G2" s="4" t="n">
        <v>1</v>
      </c>
      <c r="H2" s="13" t="n"/>
      <c r="I2" s="15" t="n"/>
      <c r="J2" s="19" t="n">
        <v>1</v>
      </c>
      <c r="K2" s="2" t="inlineStr">
        <is>
          <t>marker_306_819233.png</t>
        </is>
      </c>
      <c r="L2" s="11">
        <f>HYPERLINK("1\0\" &amp; K2, "Ver Imagen")</f>
        <v/>
      </c>
      <c r="M2" t="inlineStr">
        <is>
          <t>Moda</t>
        </is>
      </c>
    </row>
    <row r="3">
      <c r="A3" t="n">
        <v>2</v>
      </c>
      <c r="B3" t="inlineStr">
        <is>
          <t>A-490__569</t>
        </is>
      </c>
      <c r="C3" s="1" t="n">
        <v>37.4904739997</v>
      </c>
      <c r="D3" s="1" t="n">
        <v>-7.25497482603</v>
      </c>
      <c r="E3" s="3" t="n">
        <v>1</v>
      </c>
      <c r="F3" s="2" t="n">
        <v>1</v>
      </c>
      <c r="G3" s="4" t="n">
        <v>1</v>
      </c>
      <c r="H3" s="13" t="n"/>
      <c r="I3" s="15" t="n"/>
      <c r="J3" s="19" t="n">
        <v>1</v>
      </c>
      <c r="K3" s="2" t="inlineStr">
        <is>
          <t>marker_718_819307.png</t>
        </is>
      </c>
      <c r="L3" s="11">
        <f>HYPERLINK("1\0\" &amp; K3, "Ver Imagen")</f>
        <v/>
      </c>
      <c r="M3" t="inlineStr">
        <is>
          <t>Moda</t>
        </is>
      </c>
    </row>
    <row r="4">
      <c r="A4" t="n">
        <v>3</v>
      </c>
      <c r="B4" t="inlineStr">
        <is>
          <t>A-490__572</t>
        </is>
      </c>
      <c r="C4" s="1" t="n">
        <v>37.4904082259</v>
      </c>
      <c r="D4" s="1" t="n">
        <v>-7.25574412662</v>
      </c>
      <c r="E4" s="3" t="n">
        <v>1</v>
      </c>
      <c r="F4" s="2" t="n">
        <v>1</v>
      </c>
      <c r="G4" s="4" t="n">
        <v>1</v>
      </c>
      <c r="H4" s="13" t="n"/>
      <c r="I4" s="15" t="n"/>
      <c r="J4" s="19" t="n">
        <v>1</v>
      </c>
      <c r="K4" s="2" t="inlineStr">
        <is>
          <t>marker_478_819358.png</t>
        </is>
      </c>
      <c r="L4" s="11">
        <f>HYPERLINK("1\0\" &amp; K4, "Ver Imagen")</f>
        <v/>
      </c>
      <c r="M4" t="inlineStr">
        <is>
          <t>Moda</t>
        </is>
      </c>
    </row>
    <row r="5">
      <c r="A5" t="n">
        <v>4</v>
      </c>
      <c r="B5" t="inlineStr">
        <is>
          <t>A-490__577</t>
        </is>
      </c>
      <c r="C5" s="1" t="n">
        <v>37.4902857716</v>
      </c>
      <c r="D5" s="1" t="n">
        <v>-7.2570025382</v>
      </c>
      <c r="E5" s="3" t="n">
        <v>1</v>
      </c>
      <c r="F5" s="2" t="n">
        <v>1</v>
      </c>
      <c r="G5" s="4" t="n">
        <v>1</v>
      </c>
      <c r="H5" s="13" t="n"/>
      <c r="I5" s="15" t="n"/>
      <c r="J5" s="19" t="n">
        <v>1</v>
      </c>
      <c r="K5" s="2" t="inlineStr">
        <is>
          <t>marker_851_819431.png</t>
        </is>
      </c>
      <c r="L5" s="11">
        <f>HYPERLINK("1\0\" &amp; K5, "Ver Imagen")</f>
        <v/>
      </c>
      <c r="M5" t="inlineStr">
        <is>
          <t>Moda</t>
        </is>
      </c>
    </row>
    <row r="6">
      <c r="A6" t="n">
        <v>5</v>
      </c>
      <c r="B6" t="inlineStr">
        <is>
          <t>A-490__580</t>
        </is>
      </c>
      <c r="C6" s="1" t="n">
        <v>37.4901839678</v>
      </c>
      <c r="D6" s="1" t="n">
        <v>-7.25774933283</v>
      </c>
      <c r="E6" s="3" t="n">
        <v>1</v>
      </c>
      <c r="F6" s="2" t="n">
        <v>1</v>
      </c>
      <c r="G6" s="4" t="n">
        <v>1</v>
      </c>
      <c r="H6" s="13" t="n"/>
      <c r="I6" s="15" t="n"/>
      <c r="J6" s="19" t="n">
        <v>1</v>
      </c>
      <c r="K6" s="2" t="inlineStr">
        <is>
          <t>marker_387_819473.png</t>
        </is>
      </c>
      <c r="L6" s="11">
        <f>HYPERLINK("1\0\" &amp; K6, "Ver Imagen")</f>
        <v/>
      </c>
      <c r="M6" t="inlineStr">
        <is>
          <t>Moda</t>
        </is>
      </c>
    </row>
    <row r="7">
      <c r="A7" t="n">
        <v>6</v>
      </c>
      <c r="B7" t="inlineStr">
        <is>
          <t>A-490__582</t>
        </is>
      </c>
      <c r="C7" s="1" t="n">
        <v>37.4901215166</v>
      </c>
      <c r="D7" s="1" t="n">
        <v>-7.25823158207</v>
      </c>
      <c r="E7" s="3" t="n">
        <v>1</v>
      </c>
      <c r="F7" s="2" t="n">
        <v>1</v>
      </c>
      <c r="G7" s="4" t="n">
        <v>1</v>
      </c>
      <c r="H7" s="13" t="n"/>
      <c r="I7" s="15" t="n"/>
      <c r="J7" s="19" t="n">
        <v>1</v>
      </c>
      <c r="K7" s="2" t="inlineStr">
        <is>
          <t>marker_683_819501.png</t>
        </is>
      </c>
      <c r="L7" s="11">
        <f>HYPERLINK("1\0\" &amp; K7, "Ver Imagen")</f>
        <v/>
      </c>
      <c r="M7" t="inlineStr">
        <is>
          <t>Moda</t>
        </is>
      </c>
      <c r="P7" s="19" t="n"/>
      <c r="Q7" s="52" t="n"/>
    </row>
    <row r="8">
      <c r="A8" t="n">
        <v>7</v>
      </c>
      <c r="B8" t="inlineStr">
        <is>
          <t>A-490__617</t>
        </is>
      </c>
      <c r="C8" s="1" t="n">
        <v>37.4939120718</v>
      </c>
      <c r="D8" s="1" t="n">
        <v>-7.26525380477</v>
      </c>
      <c r="E8" s="3" t="n">
        <v>1</v>
      </c>
      <c r="F8" s="2" t="n">
        <v>1</v>
      </c>
      <c r="G8" s="4" t="n">
        <v>1</v>
      </c>
      <c r="H8" s="13" t="n"/>
      <c r="I8" s="15" t="n"/>
      <c r="J8" s="19" t="n">
        <v>1</v>
      </c>
      <c r="K8" s="2" t="inlineStr">
        <is>
          <t>marker_303_820275.png</t>
        </is>
      </c>
      <c r="L8" s="11">
        <f>HYPERLINK("1\0\" &amp; K8, "Ver Imagen")</f>
        <v/>
      </c>
      <c r="M8" t="inlineStr">
        <is>
          <t>Moda</t>
        </is>
      </c>
      <c r="P8" s="19" t="n"/>
      <c r="Q8" s="52" t="n"/>
    </row>
    <row r="9">
      <c r="A9" t="n">
        <v>8</v>
      </c>
      <c r="B9" t="inlineStr">
        <is>
          <t>A-495R__116</t>
        </is>
      </c>
      <c r="C9" s="1" t="n">
        <v>37.465062512</v>
      </c>
      <c r="D9" s="1" t="n">
        <v>-7.12131727414</v>
      </c>
      <c r="E9" s="3" t="n">
        <v>1</v>
      </c>
      <c r="F9" s="2" t="n">
        <v>1</v>
      </c>
      <c r="G9" s="4" t="n">
        <v>1</v>
      </c>
      <c r="H9" s="13" t="n"/>
      <c r="I9" s="15" t="n"/>
      <c r="J9" s="19" t="n">
        <v>1</v>
      </c>
      <c r="K9" s="2" t="inlineStr">
        <is>
          <t>marker_263_895446.png</t>
        </is>
      </c>
      <c r="L9" s="11">
        <f>HYPERLINK("1\0\" &amp; K9, "Ver Imagen")</f>
        <v/>
      </c>
      <c r="M9" t="inlineStr">
        <is>
          <t>Moda</t>
        </is>
      </c>
      <c r="P9" s="19" t="n"/>
      <c r="Q9" s="52" t="n"/>
    </row>
    <row r="10">
      <c r="A10" t="n">
        <v>9</v>
      </c>
      <c r="B10" t="inlineStr">
        <is>
          <t>A-495R__114</t>
        </is>
      </c>
      <c r="C10" s="1" t="n">
        <v>37.4649051778</v>
      </c>
      <c r="D10" s="1" t="n">
        <v>-7.12083626177</v>
      </c>
      <c r="E10" s="3" t="n">
        <v>1</v>
      </c>
      <c r="F10" s="2" t="n">
        <v>1</v>
      </c>
      <c r="G10" s="4" t="n">
        <v>1</v>
      </c>
      <c r="H10" s="13" t="n"/>
      <c r="I10" s="15" t="n"/>
      <c r="J10" s="19" t="n">
        <v>1</v>
      </c>
      <c r="K10" s="2" t="inlineStr">
        <is>
          <t>marker_846_895649.png</t>
        </is>
      </c>
      <c r="L10" s="11">
        <f>HYPERLINK("1\0\" &amp; K10, "Ver Imagen")</f>
        <v/>
      </c>
      <c r="M10" t="inlineStr">
        <is>
          <t>Moda</t>
        </is>
      </c>
      <c r="P10" s="19" t="n"/>
      <c r="Q10" s="52" t="n"/>
    </row>
    <row r="11">
      <c r="A11" t="n">
        <v>10</v>
      </c>
      <c r="B11" t="inlineStr">
        <is>
          <t>A-495R__113</t>
        </is>
      </c>
      <c r="C11" s="1" t="n">
        <v>37.4648287939</v>
      </c>
      <c r="D11" s="1" t="n">
        <v>-7.12059778114</v>
      </c>
      <c r="E11" s="3" t="n">
        <v>1</v>
      </c>
      <c r="F11" s="2" t="n">
        <v>1</v>
      </c>
      <c r="G11" s="4" t="n">
        <v>1</v>
      </c>
      <c r="H11" s="13" t="n"/>
      <c r="I11" s="15" t="n"/>
      <c r="J11" s="19" t="n">
        <v>1</v>
      </c>
      <c r="K11" s="2" t="inlineStr">
        <is>
          <t>marker_460_895660.png</t>
        </is>
      </c>
      <c r="L11" s="11">
        <f>HYPERLINK("1\0\" &amp; K11, "Ver Imagen")</f>
        <v/>
      </c>
      <c r="M11" t="inlineStr">
        <is>
          <t>Moda</t>
        </is>
      </c>
      <c r="P11" s="19" t="n"/>
      <c r="Q11" s="52" t="n"/>
    </row>
    <row r="12">
      <c r="A12" t="n">
        <v>11</v>
      </c>
      <c r="B12" t="inlineStr">
        <is>
          <t>A-495R__112</t>
        </is>
      </c>
      <c r="C12" s="1" t="n">
        <v>37.4647547887</v>
      </c>
      <c r="D12" s="1" t="n">
        <v>-7.12036788475</v>
      </c>
      <c r="E12" s="3" t="n">
        <v>1</v>
      </c>
      <c r="F12" s="2" t="n">
        <v>1</v>
      </c>
      <c r="G12" s="4" t="n">
        <v>1</v>
      </c>
      <c r="H12" s="13" t="n"/>
      <c r="I12" s="15" t="n"/>
      <c r="J12" s="19" t="n">
        <v>1</v>
      </c>
      <c r="K12" s="2" t="inlineStr">
        <is>
          <t>marker_946_895675.png</t>
        </is>
      </c>
      <c r="L12" s="11">
        <f>HYPERLINK("1\0\" &amp; K12, "Ver Imagen")</f>
        <v/>
      </c>
      <c r="M12" t="inlineStr">
        <is>
          <t>Moda</t>
        </is>
      </c>
    </row>
    <row r="13">
      <c r="A13" t="n">
        <v>12</v>
      </c>
      <c r="B13" t="inlineStr">
        <is>
          <t>A-495R__111</t>
        </is>
      </c>
      <c r="C13" s="1" t="n">
        <v>37.4646637015</v>
      </c>
      <c r="D13" s="1" t="n">
        <v>-7.12008140733</v>
      </c>
      <c r="E13" s="3" t="n">
        <v>1</v>
      </c>
      <c r="F13" s="2" t="n">
        <v>1</v>
      </c>
      <c r="G13" s="4" t="n">
        <v>1</v>
      </c>
      <c r="H13" s="13" t="n"/>
      <c r="I13" s="15" t="n"/>
      <c r="J13" s="19" t="n">
        <v>1</v>
      </c>
      <c r="K13" s="2" t="inlineStr">
        <is>
          <t>marker_201_895686.png</t>
        </is>
      </c>
      <c r="L13" s="11">
        <f>HYPERLINK("1\0\" &amp; K13, "Ver Imagen")</f>
        <v/>
      </c>
      <c r="M13" t="inlineStr">
        <is>
          <t>Moda</t>
        </is>
      </c>
    </row>
    <row r="14">
      <c r="A14" t="n">
        <v>13</v>
      </c>
      <c r="B14" t="inlineStr">
        <is>
          <t>A-495R__110</t>
        </is>
      </c>
      <c r="C14" s="1" t="n">
        <v>37.4645916325</v>
      </c>
      <c r="D14" s="1" t="n">
        <v>-7.11985857373</v>
      </c>
      <c r="E14" s="3" t="n">
        <v>1</v>
      </c>
      <c r="F14" s="2" t="n">
        <v>1</v>
      </c>
      <c r="G14" s="4" t="n">
        <v>1</v>
      </c>
      <c r="H14" s="13" t="n"/>
      <c r="I14" s="15" t="n"/>
      <c r="J14" s="19" t="n">
        <v>1</v>
      </c>
      <c r="K14" s="2" t="inlineStr">
        <is>
          <t>marker_787_895727.png</t>
        </is>
      </c>
      <c r="L14" s="11">
        <f>HYPERLINK("1\0\" &amp; K14, "Ver Imagen")</f>
        <v/>
      </c>
      <c r="M14" t="inlineStr">
        <is>
          <t>Moda</t>
        </is>
      </c>
    </row>
    <row r="15">
      <c r="A15" t="n">
        <v>14</v>
      </c>
      <c r="B15" t="inlineStr">
        <is>
          <t>A-495R__109</t>
        </is>
      </c>
      <c r="C15" s="1" t="n">
        <v>37.4645183226</v>
      </c>
      <c r="D15" s="1" t="n">
        <v>-7.11964083234</v>
      </c>
      <c r="E15" s="3" t="n">
        <v>1</v>
      </c>
      <c r="F15" s="2" t="n">
        <v>1</v>
      </c>
      <c r="G15" s="4" t="n">
        <v>1</v>
      </c>
      <c r="H15" s="13" t="n"/>
      <c r="I15" s="15" t="n"/>
      <c r="J15" s="19" t="n">
        <v>1</v>
      </c>
      <c r="K15" s="2" t="inlineStr">
        <is>
          <t>marker_979_895762.png</t>
        </is>
      </c>
      <c r="L15" s="11">
        <f>HYPERLINK("1\0\" &amp; K15, "Ver Imagen")</f>
        <v/>
      </c>
      <c r="M15" t="inlineStr">
        <is>
          <t>Moda</t>
        </is>
      </c>
    </row>
    <row r="16">
      <c r="A16" t="n">
        <v>15</v>
      </c>
      <c r="B16" t="inlineStr">
        <is>
          <t>A-5052__255</t>
        </is>
      </c>
      <c r="C16" s="1" t="n">
        <v>37.2131342418</v>
      </c>
      <c r="D16" s="1" t="n">
        <v>-7.06240666205</v>
      </c>
      <c r="E16" s="3" t="n">
        <v>1</v>
      </c>
      <c r="F16" s="2" t="n">
        <v>1</v>
      </c>
      <c r="G16" s="4" t="n">
        <v>1</v>
      </c>
      <c r="H16" s="13" t="n"/>
      <c r="I16" s="15" t="n"/>
      <c r="J16" s="19" t="n">
        <v>1</v>
      </c>
      <c r="K16" s="2" t="inlineStr">
        <is>
          <t>marker_728_960145.png</t>
        </is>
      </c>
      <c r="L16" s="11">
        <f>HYPERLINK("1\0\" &amp; K16, "Ver Imagen")</f>
        <v/>
      </c>
      <c r="M16" t="inlineStr">
        <is>
          <t>Moda</t>
        </is>
      </c>
    </row>
    <row r="17">
      <c r="A17" t="n">
        <v>16</v>
      </c>
      <c r="B17" t="inlineStr">
        <is>
          <t>A-5052__261</t>
        </is>
      </c>
      <c r="C17" s="1" t="n">
        <v>37.2127200097</v>
      </c>
      <c r="D17" s="1" t="n">
        <v>-7.06096965411</v>
      </c>
      <c r="E17" s="3" t="n">
        <v>1</v>
      </c>
      <c r="F17" s="2" t="n">
        <v>1</v>
      </c>
      <c r="G17" s="4" t="n">
        <v>1</v>
      </c>
      <c r="H17" s="13" t="n"/>
      <c r="I17" s="15" t="n"/>
      <c r="J17" s="19" t="n">
        <v>1</v>
      </c>
      <c r="K17" s="2" t="inlineStr">
        <is>
          <t>marker_817_960212.png</t>
        </is>
      </c>
      <c r="L17" s="11">
        <f>HYPERLINK("1\0\" &amp; K17, "Ver Imagen")</f>
        <v/>
      </c>
      <c r="M17" t="inlineStr">
        <is>
          <t>Moda</t>
        </is>
      </c>
    </row>
    <row r="18">
      <c r="A18" t="n">
        <v>17</v>
      </c>
      <c r="B18" t="inlineStr">
        <is>
          <t>A-5052__421</t>
        </is>
      </c>
      <c r="C18" s="1" t="n">
        <v>37.2030174225</v>
      </c>
      <c r="D18" s="1" t="n">
        <v>-7.02357485254</v>
      </c>
      <c r="E18" s="3" t="n">
        <v>1</v>
      </c>
      <c r="F18" s="2" t="n">
        <v>1</v>
      </c>
      <c r="G18" s="4" t="n">
        <v>1</v>
      </c>
      <c r="H18" s="13" t="n"/>
      <c r="I18" s="15" t="n"/>
      <c r="J18" s="19" t="n">
        <v>1</v>
      </c>
      <c r="K18" s="2" t="inlineStr">
        <is>
          <t>marker_870_962882.png</t>
        </is>
      </c>
      <c r="L18" s="11">
        <f>HYPERLINK("1\0\" &amp; K18, "Ver Imagen")</f>
        <v/>
      </c>
      <c r="M18" t="inlineStr">
        <is>
          <t>Moda</t>
        </is>
      </c>
    </row>
    <row r="19">
      <c r="A19" t="n">
        <v>18</v>
      </c>
      <c r="B19" t="inlineStr">
        <is>
          <t>A-5052__422</t>
        </is>
      </c>
      <c r="C19" s="1" t="n">
        <v>37.2029417726</v>
      </c>
      <c r="D19" s="1" t="n">
        <v>-7.02338006215</v>
      </c>
      <c r="E19" s="3" t="n">
        <v>1</v>
      </c>
      <c r="F19" s="2" t="n">
        <v>1</v>
      </c>
      <c r="G19" s="4" t="n">
        <v>1</v>
      </c>
      <c r="H19" s="13" t="n"/>
      <c r="I19" s="15" t="n"/>
      <c r="J19" s="19" t="n">
        <v>1</v>
      </c>
      <c r="K19" s="2" t="inlineStr">
        <is>
          <t>marker_828_962895.png</t>
        </is>
      </c>
      <c r="L19" s="11">
        <f>HYPERLINK("1\0\" &amp; K19, "Ver Imagen")</f>
        <v/>
      </c>
      <c r="M19" t="inlineStr">
        <is>
          <t>Moda</t>
        </is>
      </c>
    </row>
    <row r="20">
      <c r="A20" t="n">
        <v>19</v>
      </c>
      <c r="B20" t="inlineStr">
        <is>
          <t>A-5052__424</t>
        </is>
      </c>
      <c r="C20" s="1" t="n">
        <v>37.2027682632</v>
      </c>
      <c r="D20" s="1" t="n">
        <v>-7.02290963999</v>
      </c>
      <c r="E20" s="3" t="n">
        <v>1</v>
      </c>
      <c r="F20" s="2" t="n">
        <v>1</v>
      </c>
      <c r="G20" s="4" t="n">
        <v>1</v>
      </c>
      <c r="H20" s="13" t="n"/>
      <c r="I20" s="15" t="n"/>
      <c r="J20" s="19" t="n">
        <v>1</v>
      </c>
      <c r="K20" s="2" t="inlineStr">
        <is>
          <t>marker_322_962914.png</t>
        </is>
      </c>
      <c r="L20" s="11">
        <f>HYPERLINK("1\0\" &amp; K20, "Ver Imagen")</f>
        <v/>
      </c>
      <c r="M20" t="inlineStr">
        <is>
          <t>Moda</t>
        </is>
      </c>
    </row>
    <row r="21">
      <c r="A21" t="n">
        <v>20</v>
      </c>
      <c r="B21" t="inlineStr">
        <is>
          <t>A-5052__425</t>
        </is>
      </c>
      <c r="C21" s="1" t="n">
        <v>37.2026794199</v>
      </c>
      <c r="D21" s="1" t="n">
        <v>-7.02267521067</v>
      </c>
      <c r="E21" s="3" t="n">
        <v>1</v>
      </c>
      <c r="F21" s="2" t="n">
        <v>1</v>
      </c>
      <c r="G21" s="4" t="n">
        <v>1</v>
      </c>
      <c r="H21" s="13" t="n"/>
      <c r="I21" s="15" t="n"/>
      <c r="J21" s="19" t="n">
        <v>1</v>
      </c>
      <c r="K21" s="2" t="inlineStr">
        <is>
          <t>marker_362_962923.png</t>
        </is>
      </c>
      <c r="L21" s="11">
        <f>HYPERLINK("1\0\" &amp; K21, "Ver Imagen")</f>
        <v/>
      </c>
      <c r="M21" t="inlineStr">
        <is>
          <t>Moda</t>
        </is>
      </c>
    </row>
    <row r="22">
      <c r="A22" t="n">
        <v>21</v>
      </c>
      <c r="B22" t="inlineStr">
        <is>
          <t>A-5052__426</t>
        </is>
      </c>
      <c r="C22" s="1" t="n">
        <v>37.2025916403</v>
      </c>
      <c r="D22" s="1" t="n">
        <v>-7.0224453321</v>
      </c>
      <c r="E22" s="3" t="n">
        <v>1</v>
      </c>
      <c r="F22" s="2" t="n">
        <v>1</v>
      </c>
      <c r="G22" s="4" t="n">
        <v>1</v>
      </c>
      <c r="H22" s="13" t="n"/>
      <c r="I22" s="15" t="n"/>
      <c r="J22" s="19" t="n">
        <v>1</v>
      </c>
      <c r="K22" s="2" t="inlineStr">
        <is>
          <t>marker_493_962931.png</t>
        </is>
      </c>
      <c r="L22" s="11">
        <f>HYPERLINK("1\0\" &amp; K22, "Ver Imagen")</f>
        <v/>
      </c>
      <c r="M22" t="inlineStr">
        <is>
          <t>Moda</t>
        </is>
      </c>
    </row>
    <row r="23">
      <c r="A23" t="n">
        <v>22</v>
      </c>
      <c r="B23" t="inlineStr">
        <is>
          <t>A-5052__427</t>
        </is>
      </c>
      <c r="C23" s="1" t="n">
        <v>37.2025007426</v>
      </c>
      <c r="D23" s="1" t="n">
        <v>-7.02220926321</v>
      </c>
      <c r="E23" s="3" t="n">
        <v>1</v>
      </c>
      <c r="F23" s="2" t="n">
        <v>1</v>
      </c>
      <c r="G23" s="4" t="n">
        <v>1</v>
      </c>
      <c r="H23" s="13" t="n"/>
      <c r="I23" s="15" t="n"/>
      <c r="J23" s="19" t="n">
        <v>1</v>
      </c>
      <c r="K23" s="2" t="inlineStr">
        <is>
          <t>marker_636_962939.png</t>
        </is>
      </c>
      <c r="L23" s="11">
        <f>HYPERLINK("1\0\" &amp; K23, "Ver Imagen")</f>
        <v/>
      </c>
      <c r="M23" t="inlineStr">
        <is>
          <t>Moda</t>
        </is>
      </c>
    </row>
    <row r="24">
      <c r="A24" t="n">
        <v>23</v>
      </c>
      <c r="B24" t="inlineStr">
        <is>
          <t>A-5052__428</t>
        </is>
      </c>
      <c r="C24" s="1" t="n">
        <v>37.2024198177</v>
      </c>
      <c r="D24" s="1" t="n">
        <v>-7.02200075478</v>
      </c>
      <c r="E24" s="3" t="n">
        <v>1</v>
      </c>
      <c r="F24" s="2" t="n">
        <v>1</v>
      </c>
      <c r="G24" s="4" t="n">
        <v>1</v>
      </c>
      <c r="H24" s="13" t="n"/>
      <c r="I24" s="15" t="n"/>
      <c r="J24" s="19" t="n">
        <v>1</v>
      </c>
      <c r="K24" s="2" t="inlineStr">
        <is>
          <t>marker_988_962947.png</t>
        </is>
      </c>
      <c r="L24" s="11">
        <f>HYPERLINK("1\0\" &amp; K24, "Ver Imagen")</f>
        <v/>
      </c>
      <c r="M24" t="inlineStr">
        <is>
          <t>Moda</t>
        </is>
      </c>
    </row>
    <row r="25">
      <c r="A25" t="n">
        <v>24</v>
      </c>
      <c r="B25" t="inlineStr">
        <is>
          <t>A-5052__431</t>
        </is>
      </c>
      <c r="C25" s="1" t="n">
        <v>37.2021541074</v>
      </c>
      <c r="D25" s="1" t="n">
        <v>-7.02130689422</v>
      </c>
      <c r="E25" s="3" t="n">
        <v>1</v>
      </c>
      <c r="F25" s="2" t="n">
        <v>1</v>
      </c>
      <c r="G25" s="4" t="n">
        <v>1</v>
      </c>
      <c r="H25" s="13" t="n"/>
      <c r="I25" s="15" t="n"/>
      <c r="J25" s="19" t="n">
        <v>1</v>
      </c>
      <c r="K25" s="2" t="inlineStr">
        <is>
          <t>marker_898_962974.png</t>
        </is>
      </c>
      <c r="L25" s="11">
        <f>HYPERLINK("1\0\" &amp; K25, "Ver Imagen")</f>
        <v/>
      </c>
      <c r="M25" t="inlineStr">
        <is>
          <t>Moda</t>
        </is>
      </c>
    </row>
    <row r="26">
      <c r="A26" t="n">
        <v>25</v>
      </c>
      <c r="B26" t="inlineStr">
        <is>
          <t>A-5052__432</t>
        </is>
      </c>
      <c r="C26" s="1" t="n">
        <v>37.2020663522</v>
      </c>
      <c r="D26" s="1" t="n">
        <v>-7.02107645285</v>
      </c>
      <c r="E26" s="3" t="n">
        <v>1</v>
      </c>
      <c r="F26" s="2" t="n">
        <v>1</v>
      </c>
      <c r="G26" s="4" t="n">
        <v>1</v>
      </c>
      <c r="H26" s="13" t="n"/>
      <c r="I26" s="15" t="n"/>
      <c r="J26" s="19" t="n">
        <v>1</v>
      </c>
      <c r="K26" s="2" t="inlineStr">
        <is>
          <t>marker_839_962996.png</t>
        </is>
      </c>
      <c r="L26" s="11">
        <f>HYPERLINK("1\0\" &amp; K26, "Ver Imagen")</f>
        <v/>
      </c>
      <c r="M26" t="inlineStr">
        <is>
          <t>Moda</t>
        </is>
      </c>
    </row>
    <row r="27">
      <c r="A27" t="n">
        <v>26</v>
      </c>
      <c r="B27" t="inlineStr">
        <is>
          <t>A-5052__433</t>
        </is>
      </c>
      <c r="C27" s="1" t="n">
        <v>37.2019807667</v>
      </c>
      <c r="D27" s="1" t="n">
        <v>-7.02085271098</v>
      </c>
      <c r="E27" s="3" t="n">
        <v>1</v>
      </c>
      <c r="F27" s="2" t="n">
        <v>1</v>
      </c>
      <c r="G27" s="4" t="n">
        <v>1</v>
      </c>
      <c r="H27" s="13" t="n"/>
      <c r="I27" s="15" t="n"/>
      <c r="J27" s="19" t="n">
        <v>1</v>
      </c>
      <c r="K27" s="2" t="inlineStr">
        <is>
          <t>marker_439_963006.png</t>
        </is>
      </c>
      <c r="L27" s="11">
        <f>HYPERLINK("1\0\" &amp; K27, "Ver Imagen")</f>
        <v/>
      </c>
      <c r="M27" t="inlineStr">
        <is>
          <t>Moda</t>
        </is>
      </c>
    </row>
    <row r="28">
      <c r="A28" t="n">
        <v>27</v>
      </c>
      <c r="B28" t="inlineStr">
        <is>
          <t>A-5052__436</t>
        </is>
      </c>
      <c r="C28" s="1" t="n">
        <v>37.2017139417</v>
      </c>
      <c r="D28" s="1" t="n">
        <v>-7.02015977536</v>
      </c>
      <c r="E28" s="3" t="n">
        <v>1</v>
      </c>
      <c r="F28" s="2" t="n">
        <v>1</v>
      </c>
      <c r="G28" s="4" t="n">
        <v>1</v>
      </c>
      <c r="H28" s="13" t="n"/>
      <c r="I28" s="15" t="n"/>
      <c r="J28" s="19" t="n">
        <v>1</v>
      </c>
      <c r="K28" s="2" t="inlineStr">
        <is>
          <t>marker_455_963038.png</t>
        </is>
      </c>
      <c r="L28" s="11">
        <f>HYPERLINK("1\0\" &amp; K28, "Ver Imagen")</f>
        <v/>
      </c>
      <c r="M28" t="inlineStr">
        <is>
          <t>Moda</t>
        </is>
      </c>
    </row>
    <row r="29">
      <c r="A29" t="n">
        <v>28</v>
      </c>
      <c r="B29" t="inlineStr">
        <is>
          <t>A-5052__452</t>
        </is>
      </c>
      <c r="C29" s="1" t="n">
        <v>37.2003086704</v>
      </c>
      <c r="D29" s="1" t="n">
        <v>-7.0165034045</v>
      </c>
      <c r="E29" s="3" t="n">
        <v>1</v>
      </c>
      <c r="F29" s="2" t="n">
        <v>1</v>
      </c>
      <c r="G29" s="4" t="n">
        <v>1</v>
      </c>
      <c r="H29" s="13" t="n"/>
      <c r="I29" s="15" t="n"/>
      <c r="J29" s="19" t="n">
        <v>1</v>
      </c>
      <c r="K29" s="2" t="inlineStr">
        <is>
          <t>marker_490_963199.png</t>
        </is>
      </c>
      <c r="L29" s="11">
        <f>HYPERLINK("1\0\" &amp; K29, "Ver Imagen")</f>
        <v/>
      </c>
      <c r="M29" t="inlineStr">
        <is>
          <t>Moda</t>
        </is>
      </c>
    </row>
    <row r="30">
      <c r="A30" t="n">
        <v>29</v>
      </c>
      <c r="B30" t="inlineStr">
        <is>
          <t>A-5052__453</t>
        </is>
      </c>
      <c r="C30" s="1" t="n">
        <v>37.2002272942</v>
      </c>
      <c r="D30" s="1" t="n">
        <v>-7.01629366525</v>
      </c>
      <c r="E30" s="3" t="n">
        <v>1</v>
      </c>
      <c r="F30" s="2" t="n">
        <v>1</v>
      </c>
      <c r="G30" s="4" t="n">
        <v>1</v>
      </c>
      <c r="H30" s="13" t="n"/>
      <c r="I30" s="15" t="n"/>
      <c r="J30" s="19" t="n">
        <v>1</v>
      </c>
      <c r="K30" s="2" t="inlineStr">
        <is>
          <t>marker_439_963207.png</t>
        </is>
      </c>
      <c r="L30" s="11">
        <f>HYPERLINK("1\0\" &amp; K30, "Ver Imagen")</f>
        <v/>
      </c>
      <c r="M30" t="inlineStr">
        <is>
          <t>Moda</t>
        </is>
      </c>
    </row>
    <row r="31">
      <c r="A31" t="n">
        <v>30</v>
      </c>
      <c r="B31" t="inlineStr">
        <is>
          <t>A-5052__458</t>
        </is>
      </c>
      <c r="C31" s="1" t="n">
        <v>37.1997810481</v>
      </c>
      <c r="D31" s="1" t="n">
        <v>-7.01511430093</v>
      </c>
      <c r="E31" s="3" t="n">
        <v>1</v>
      </c>
      <c r="F31" s="2" t="n">
        <v>1</v>
      </c>
      <c r="G31" s="4" t="n">
        <v>1</v>
      </c>
      <c r="H31" s="13" t="n"/>
      <c r="I31" s="15" t="n"/>
      <c r="J31" s="19" t="n">
        <v>1</v>
      </c>
      <c r="K31" s="2" t="inlineStr">
        <is>
          <t>marker_545_963261.png</t>
        </is>
      </c>
      <c r="L31" s="11">
        <f>HYPERLINK("1\0\" &amp; K31, "Ver Imagen")</f>
        <v/>
      </c>
      <c r="M31" t="inlineStr">
        <is>
          <t>Moda</t>
        </is>
      </c>
    </row>
    <row r="32">
      <c r="A32" t="n">
        <v>31</v>
      </c>
      <c r="B32" t="inlineStr">
        <is>
          <t>A-5052__463</t>
        </is>
      </c>
      <c r="C32" s="1" t="n">
        <v>37.1993582295</v>
      </c>
      <c r="D32" s="1" t="n">
        <v>-7.01401269849</v>
      </c>
      <c r="E32" s="3" t="n">
        <v>1</v>
      </c>
      <c r="F32" s="2" t="n">
        <v>1</v>
      </c>
      <c r="G32" s="4" t="n">
        <v>1</v>
      </c>
      <c r="H32" s="13" t="n"/>
      <c r="I32" s="15" t="n"/>
      <c r="J32" s="19" t="n">
        <v>1</v>
      </c>
      <c r="K32" s="2" t="inlineStr">
        <is>
          <t>marker_563_963306.png</t>
        </is>
      </c>
      <c r="L32" s="11">
        <f>HYPERLINK("1\0\" &amp; K32, "Ver Imagen")</f>
        <v/>
      </c>
      <c r="M32" t="inlineStr">
        <is>
          <t>Moda</t>
        </is>
      </c>
    </row>
    <row r="33">
      <c r="A33" t="n">
        <v>32</v>
      </c>
      <c r="B33" t="inlineStr">
        <is>
          <t>A-5052__464</t>
        </is>
      </c>
      <c r="C33" s="1" t="n">
        <v>37.199265428</v>
      </c>
      <c r="D33" s="1" t="n">
        <v>-7.01377104109</v>
      </c>
      <c r="E33" s="3" t="n">
        <v>1</v>
      </c>
      <c r="F33" s="2" t="n">
        <v>1</v>
      </c>
      <c r="G33" s="4" t="n">
        <v>1</v>
      </c>
      <c r="H33" s="13" t="n"/>
      <c r="I33" s="15" t="n"/>
      <c r="J33" s="19" t="n">
        <v>1</v>
      </c>
      <c r="K33" s="2" t="inlineStr">
        <is>
          <t>marker_843_963316.png</t>
        </is>
      </c>
      <c r="L33" s="11">
        <f>HYPERLINK("1\0\" &amp; K33, "Ver Imagen")</f>
        <v/>
      </c>
      <c r="M33" t="inlineStr">
        <is>
          <t>Moda</t>
        </is>
      </c>
    </row>
    <row r="34">
      <c r="A34" t="n">
        <v>33</v>
      </c>
      <c r="B34" t="inlineStr">
        <is>
          <t>A-5052__465</t>
        </is>
      </c>
      <c r="C34" s="1" t="n">
        <v>37.1991744016</v>
      </c>
      <c r="D34" s="1" t="n">
        <v>-7.01353512154</v>
      </c>
      <c r="E34" s="3" t="n">
        <v>1</v>
      </c>
      <c r="F34" s="2" t="n">
        <v>1</v>
      </c>
      <c r="G34" s="4" t="n">
        <v>1</v>
      </c>
      <c r="H34" s="13" t="n"/>
      <c r="I34" s="15" t="n"/>
      <c r="J34" s="19" t="n">
        <v>1</v>
      </c>
      <c r="K34" s="2" t="inlineStr">
        <is>
          <t>marker_224_963344.png</t>
        </is>
      </c>
      <c r="L34" s="11">
        <f>HYPERLINK("1\0\" &amp; K34, "Ver Imagen")</f>
        <v/>
      </c>
      <c r="M34" t="inlineStr">
        <is>
          <t>Moda</t>
        </is>
      </c>
    </row>
    <row r="35">
      <c r="A35" t="n">
        <v>34</v>
      </c>
      <c r="B35" t="inlineStr">
        <is>
          <t>A-5052__485</t>
        </is>
      </c>
      <c r="C35" s="1" t="n">
        <v>37.1974462202</v>
      </c>
      <c r="D35" s="1" t="n">
        <v>-7.00898306179</v>
      </c>
      <c r="E35" s="3" t="n">
        <v>1</v>
      </c>
      <c r="F35" s="2" t="n">
        <v>1</v>
      </c>
      <c r="G35" s="4" t="n">
        <v>1</v>
      </c>
      <c r="H35" s="13" t="n"/>
      <c r="I35" s="15" t="n"/>
      <c r="J35" s="19" t="n">
        <v>1</v>
      </c>
      <c r="K35" s="2" t="inlineStr">
        <is>
          <t>marker_345_963541.png</t>
        </is>
      </c>
      <c r="L35" s="11">
        <f>HYPERLINK("1\0\" &amp; K35, "Ver Imagen")</f>
        <v/>
      </c>
      <c r="M35" t="inlineStr">
        <is>
          <t>Moda</t>
        </is>
      </c>
    </row>
    <row r="36">
      <c r="A36" t="n">
        <v>35</v>
      </c>
      <c r="B36" t="inlineStr">
        <is>
          <t>A-5052__486</t>
        </is>
      </c>
      <c r="C36" s="1" t="n">
        <v>37.1973939036</v>
      </c>
      <c r="D36" s="1" t="n">
        <v>-7.0087512994</v>
      </c>
      <c r="E36" s="3" t="n">
        <v>1</v>
      </c>
      <c r="F36" s="2" t="n">
        <v>1</v>
      </c>
      <c r="G36" s="4" t="n">
        <v>1</v>
      </c>
      <c r="H36" s="13" t="n"/>
      <c r="I36" s="15" t="n"/>
      <c r="J36" s="19" t="n">
        <v>1</v>
      </c>
      <c r="K36" s="2" t="inlineStr">
        <is>
          <t>marker_546_963550.png</t>
        </is>
      </c>
      <c r="L36" s="11">
        <f>HYPERLINK("1\0\" &amp; K36, "Ver Imagen")</f>
        <v/>
      </c>
      <c r="M36" t="inlineStr">
        <is>
          <t>Moda</t>
        </is>
      </c>
    </row>
    <row r="37">
      <c r="A37" t="n">
        <v>36</v>
      </c>
      <c r="B37" t="inlineStr">
        <is>
          <t>A-5052__488</t>
        </is>
      </c>
      <c r="C37" s="1" t="n">
        <v>37.1973261495</v>
      </c>
      <c r="D37" s="1" t="n">
        <v>-7.00825405601</v>
      </c>
      <c r="E37" s="3" t="n">
        <v>1</v>
      </c>
      <c r="F37" s="2" t="n">
        <v>1</v>
      </c>
      <c r="G37" s="4" t="n">
        <v>1</v>
      </c>
      <c r="H37" s="13" t="n"/>
      <c r="I37" s="15" t="n"/>
      <c r="J37" s="19" t="n">
        <v>1</v>
      </c>
      <c r="K37" s="2" t="inlineStr">
        <is>
          <t>marker_401_963569.png</t>
        </is>
      </c>
      <c r="L37" s="11">
        <f>HYPERLINK("1\0\" &amp; K37, "Ver Imagen")</f>
        <v/>
      </c>
      <c r="M37" t="inlineStr">
        <is>
          <t>Moda</t>
        </is>
      </c>
    </row>
    <row r="38">
      <c r="A38" t="n">
        <v>37</v>
      </c>
      <c r="B38" t="inlineStr">
        <is>
          <t>A-5052__494</t>
        </is>
      </c>
      <c r="C38" s="1" t="n">
        <v>37.1971769668</v>
      </c>
      <c r="D38" s="1" t="n">
        <v>-7.00670160414</v>
      </c>
      <c r="E38" s="3" t="n">
        <v>1</v>
      </c>
      <c r="F38" s="2" t="n">
        <v>1</v>
      </c>
      <c r="G38" s="4" t="n">
        <v>1</v>
      </c>
      <c r="H38" s="13" t="n"/>
      <c r="I38" s="15" t="n"/>
      <c r="J38" s="19" t="n">
        <v>1</v>
      </c>
      <c r="K38" s="2" t="inlineStr">
        <is>
          <t>marker_626_963624.png</t>
        </is>
      </c>
      <c r="L38" s="11">
        <f>HYPERLINK("1\0\" &amp; K38, "Ver Imagen")</f>
        <v/>
      </c>
      <c r="M38" t="inlineStr">
        <is>
          <t>Moda</t>
        </is>
      </c>
    </row>
    <row r="39">
      <c r="A39" t="n">
        <v>38</v>
      </c>
      <c r="B39" t="inlineStr">
        <is>
          <t>A-495_1__88</t>
        </is>
      </c>
      <c r="C39" s="1" t="n">
        <v>37.465212517</v>
      </c>
      <c r="D39" s="1" t="n">
        <v>-7.12307771163</v>
      </c>
      <c r="E39" s="3" t="n">
        <v>1</v>
      </c>
      <c r="F39" s="2" t="n">
        <v>1</v>
      </c>
      <c r="G39" s="4" t="n">
        <v>1</v>
      </c>
      <c r="H39" s="13" t="n"/>
      <c r="I39" s="15" t="n"/>
      <c r="J39" s="19" t="n">
        <v>1</v>
      </c>
      <c r="K39" s="2" t="inlineStr">
        <is>
          <t>marker_291_385165.png</t>
        </is>
      </c>
      <c r="L39" s="11">
        <f>HYPERLINK("1\0\" &amp; K39, "Ver Imagen")</f>
        <v/>
      </c>
      <c r="M39" t="inlineStr">
        <is>
          <t>Moda</t>
        </is>
      </c>
    </row>
    <row r="40">
      <c r="A40" t="n">
        <v>39</v>
      </c>
      <c r="B40" t="inlineStr">
        <is>
          <t>A-495_1__51</t>
        </is>
      </c>
      <c r="C40" s="1" t="n">
        <v>37.4580456355</v>
      </c>
      <c r="D40" s="1" t="n">
        <v>-7.12560935351</v>
      </c>
      <c r="E40" s="3" t="n">
        <v>1</v>
      </c>
      <c r="F40" s="2" t="n">
        <v>1</v>
      </c>
      <c r="G40" s="4" t="n">
        <v>1</v>
      </c>
      <c r="H40" s="13" t="n"/>
      <c r="I40" s="15" t="n"/>
      <c r="J40" s="19" t="n">
        <v>1</v>
      </c>
      <c r="K40" s="2" t="inlineStr">
        <is>
          <t>marker_539_385553.png</t>
        </is>
      </c>
      <c r="L40" s="11">
        <f>HYPERLINK("1\0\" &amp; K40, "Ver Imagen")</f>
        <v/>
      </c>
      <c r="M40" t="inlineStr">
        <is>
          <t>Moda</t>
        </is>
      </c>
    </row>
    <row r="41">
      <c r="A41" t="n">
        <v>40</v>
      </c>
      <c r="B41" t="inlineStr">
        <is>
          <t>A-495_1__29</t>
        </is>
      </c>
      <c r="C41" s="1" t="n">
        <v>37.4537768802</v>
      </c>
      <c r="D41" s="1" t="n">
        <v>-7.12715749496</v>
      </c>
      <c r="E41" s="3" t="n">
        <v>1</v>
      </c>
      <c r="F41" s="2" t="n">
        <v>1</v>
      </c>
      <c r="G41" s="4" t="n">
        <v>1</v>
      </c>
      <c r="H41" s="13" t="n"/>
      <c r="I41" s="15" t="n"/>
      <c r="J41" s="19" t="n">
        <v>1</v>
      </c>
      <c r="K41" s="2" t="inlineStr">
        <is>
          <t>marker_667_385889.png</t>
        </is>
      </c>
      <c r="L41" s="11">
        <f>HYPERLINK("1\0\" &amp; K41, "Ver Imagen")</f>
        <v/>
      </c>
      <c r="M41" t="inlineStr">
        <is>
          <t>Moda</t>
        </is>
      </c>
    </row>
    <row r="42">
      <c r="A42" t="n">
        <v>41</v>
      </c>
      <c r="B42" t="inlineStr">
        <is>
          <t>A-497_2C__173</t>
        </is>
      </c>
      <c r="C42" s="1" t="n">
        <v>37.265425982</v>
      </c>
      <c r="D42" s="1" t="n">
        <v>-6.99644846224</v>
      </c>
      <c r="E42" s="3" t="n">
        <v>1</v>
      </c>
      <c r="F42" s="2" t="n">
        <v>1</v>
      </c>
      <c r="G42" s="4" t="n">
        <v>1</v>
      </c>
      <c r="H42" s="13" t="n"/>
      <c r="I42" s="15" t="n"/>
      <c r="J42" s="19" t="n">
        <v>1</v>
      </c>
      <c r="K42" s="2" t="inlineStr">
        <is>
          <t>marker_618_656226.png</t>
        </is>
      </c>
      <c r="L42" s="11">
        <f>HYPERLINK("1\0\" &amp; K42, "Ver Imagen")</f>
        <v/>
      </c>
      <c r="M42" t="inlineStr">
        <is>
          <t>Moda</t>
        </is>
      </c>
    </row>
    <row r="43">
      <c r="A43" t="n">
        <v>42</v>
      </c>
      <c r="B43" t="inlineStr">
        <is>
          <t>A-497_2C__174</t>
        </is>
      </c>
      <c r="C43" s="1" t="n">
        <v>37.2653737997</v>
      </c>
      <c r="D43" s="1" t="n">
        <v>-6.99670619432</v>
      </c>
      <c r="E43" s="3" t="n">
        <v>1</v>
      </c>
      <c r="F43" s="2" t="n">
        <v>1</v>
      </c>
      <c r="G43" s="4" t="n">
        <v>1</v>
      </c>
      <c r="H43" s="13" t="n"/>
      <c r="I43" s="15" t="n"/>
      <c r="J43" s="19" t="n">
        <v>1</v>
      </c>
      <c r="K43" s="2" t="inlineStr">
        <is>
          <t>marker_487_656235.png</t>
        </is>
      </c>
      <c r="L43" s="11">
        <f>HYPERLINK("1\0\" &amp; K43, "Ver Imagen")</f>
        <v/>
      </c>
      <c r="M43" t="inlineStr">
        <is>
          <t>Moda</t>
        </is>
      </c>
    </row>
    <row r="44">
      <c r="A44" t="n">
        <v>43</v>
      </c>
      <c r="B44" t="inlineStr">
        <is>
          <t>A-497_2C__175</t>
        </is>
      </c>
      <c r="C44" s="1" t="n">
        <v>37.2653284645</v>
      </c>
      <c r="D44" s="1" t="n">
        <v>-6.99693628005</v>
      </c>
      <c r="E44" s="3" t="n">
        <v>1</v>
      </c>
      <c r="F44" s="2" t="n">
        <v>1</v>
      </c>
      <c r="G44" s="4" t="n">
        <v>1</v>
      </c>
      <c r="H44" s="13" t="n"/>
      <c r="I44" s="15" t="n"/>
      <c r="J44" s="19" t="n">
        <v>1</v>
      </c>
      <c r="K44" s="2" t="inlineStr">
        <is>
          <t>marker_686_656246.png</t>
        </is>
      </c>
      <c r="L44" s="11">
        <f>HYPERLINK("1\0\" &amp; K44, "Ver Imagen")</f>
        <v/>
      </c>
      <c r="M44" t="inlineStr">
        <is>
          <t>Moda</t>
        </is>
      </c>
    </row>
    <row r="45">
      <c r="A45" t="n">
        <v>44</v>
      </c>
      <c r="B45" t="inlineStr">
        <is>
          <t>A-497_2C__507</t>
        </is>
      </c>
      <c r="C45" s="1" t="n">
        <v>37.208885279</v>
      </c>
      <c r="D45" s="1" t="n">
        <v>-7.02317399888</v>
      </c>
      <c r="E45" s="3" t="n">
        <v>1</v>
      </c>
      <c r="F45" s="2" t="n">
        <v>1</v>
      </c>
      <c r="G45" s="4" t="n">
        <v>1</v>
      </c>
      <c r="H45" s="13" t="n"/>
      <c r="I45" s="15" t="n"/>
      <c r="J45" s="19" t="n">
        <v>1</v>
      </c>
      <c r="K45" s="2" t="inlineStr">
        <is>
          <t>marker_495_364130.png</t>
        </is>
      </c>
      <c r="L45" s="11">
        <f>HYPERLINK("1\0\" &amp; K45, "Ver Imagen")</f>
        <v/>
      </c>
      <c r="M45" t="inlineStr">
        <is>
          <t>Moda</t>
        </is>
      </c>
    </row>
    <row r="46">
      <c r="A46" t="n">
        <v>45</v>
      </c>
      <c r="B46" t="inlineStr">
        <is>
          <t>A-497__412</t>
        </is>
      </c>
      <c r="C46" s="1" t="n">
        <v>37.2285615402</v>
      </c>
      <c r="D46" s="1" t="n">
        <v>-7.02135240554</v>
      </c>
      <c r="E46" s="3" t="n">
        <v>1</v>
      </c>
      <c r="F46" s="2" t="n">
        <v>1</v>
      </c>
      <c r="G46" s="4" t="n">
        <v>1</v>
      </c>
      <c r="H46" s="13" t="n"/>
      <c r="I46" s="15" t="n"/>
      <c r="J46" s="19" t="n">
        <v>1</v>
      </c>
      <c r="K46" s="2" t="inlineStr">
        <is>
          <t>marker_583_377084.png</t>
        </is>
      </c>
      <c r="L46" s="11">
        <f>HYPERLINK("1\0\" &amp; K46, "Ver Imagen")</f>
        <v/>
      </c>
      <c r="M46" t="inlineStr">
        <is>
          <t>Moda</t>
        </is>
      </c>
    </row>
    <row r="47">
      <c r="A47" t="n">
        <v>46</v>
      </c>
      <c r="B47" t="inlineStr">
        <is>
          <t>A-497__411</t>
        </is>
      </c>
      <c r="C47" s="1" t="n">
        <v>37.228707952</v>
      </c>
      <c r="D47" s="1" t="n">
        <v>-7.02123956101</v>
      </c>
      <c r="E47" s="3" t="n">
        <v>1</v>
      </c>
      <c r="F47" s="2" t="n">
        <v>1</v>
      </c>
      <c r="G47" s="4" t="n">
        <v>1</v>
      </c>
      <c r="H47" s="13" t="n"/>
      <c r="I47" s="15" t="n"/>
      <c r="J47" s="19" t="n">
        <v>1</v>
      </c>
      <c r="K47" s="2" t="inlineStr">
        <is>
          <t>marker_448_377091.png</t>
        </is>
      </c>
      <c r="L47" s="11">
        <f>HYPERLINK("1\0\" &amp; K47, "Ver Imagen")</f>
        <v/>
      </c>
      <c r="M47" t="inlineStr">
        <is>
          <t>Moda</t>
        </is>
      </c>
    </row>
    <row r="48">
      <c r="A48" t="n">
        <v>47</v>
      </c>
      <c r="B48" t="inlineStr">
        <is>
          <t>A-497__410</t>
        </is>
      </c>
      <c r="C48" s="1" t="n">
        <v>37.2288344918</v>
      </c>
      <c r="D48" s="1" t="n">
        <v>-7.02114249645</v>
      </c>
      <c r="E48" s="3" t="n">
        <v>1</v>
      </c>
      <c r="F48" s="2" t="n">
        <v>1</v>
      </c>
      <c r="G48" s="4" t="n">
        <v>1</v>
      </c>
      <c r="H48" s="13" t="n"/>
      <c r="I48" s="15" t="n"/>
      <c r="J48" s="19" t="n">
        <v>1</v>
      </c>
      <c r="K48" s="2" t="inlineStr">
        <is>
          <t>marker_622_377099.png</t>
        </is>
      </c>
      <c r="L48" s="11">
        <f>HYPERLINK("1\0\" &amp; K48, "Ver Imagen")</f>
        <v/>
      </c>
      <c r="M48" t="inlineStr">
        <is>
          <t>Moda</t>
        </is>
      </c>
    </row>
    <row r="49">
      <c r="A49" t="n">
        <v>48</v>
      </c>
      <c r="B49" t="inlineStr">
        <is>
          <t>A-497__409</t>
        </is>
      </c>
      <c r="C49" s="1" t="n">
        <v>37.2290287006</v>
      </c>
      <c r="D49" s="1" t="n">
        <v>-7.02099454952</v>
      </c>
      <c r="E49" s="3" t="n">
        <v>1</v>
      </c>
      <c r="F49" s="2" t="n">
        <v>1</v>
      </c>
      <c r="G49" s="4" t="n">
        <v>1</v>
      </c>
      <c r="H49" s="13" t="n"/>
      <c r="I49" s="15" t="n"/>
      <c r="J49" s="19" t="n">
        <v>1</v>
      </c>
      <c r="K49" s="2" t="inlineStr">
        <is>
          <t>marker_820_377108.png</t>
        </is>
      </c>
      <c r="L49" s="11">
        <f>HYPERLINK("1\0\" &amp; K49, "Ver Imagen")</f>
        <v/>
      </c>
      <c r="M49" t="inlineStr">
        <is>
          <t>Moda</t>
        </is>
      </c>
    </row>
    <row r="50">
      <c r="A50" t="n">
        <v>49</v>
      </c>
      <c r="B50" t="inlineStr">
        <is>
          <t>A-490__265</t>
        </is>
      </c>
      <c r="C50" s="1" t="n">
        <v>37.4675281888</v>
      </c>
      <c r="D50" s="1" t="n">
        <v>-7.18509304357</v>
      </c>
      <c r="E50" s="3" t="n">
        <v>1</v>
      </c>
      <c r="F50" s="2" t="n">
        <v>2</v>
      </c>
      <c r="G50" s="4" t="n">
        <v>1</v>
      </c>
      <c r="H50" s="13" t="n"/>
      <c r="I50" s="15" t="n"/>
      <c r="J50" s="19" t="n">
        <v>1</v>
      </c>
      <c r="K50" s="2" t="inlineStr">
        <is>
          <t>marker_134_749807.png</t>
        </is>
      </c>
      <c r="L50" s="11">
        <f>HYPERLINK("1\1\" &amp; K50, "Ver Imagen")</f>
        <v/>
      </c>
      <c r="M50" t="inlineStr">
        <is>
          <t>Moda</t>
        </is>
      </c>
    </row>
    <row r="51">
      <c r="A51" t="n">
        <v>50</v>
      </c>
      <c r="B51" t="inlineStr">
        <is>
          <t>A-490__266</t>
        </is>
      </c>
      <c r="C51" s="1" t="n">
        <v>37.4676189867</v>
      </c>
      <c r="D51" s="1" t="n">
        <v>-7.18526211163</v>
      </c>
      <c r="E51" s="3" t="n">
        <v>1</v>
      </c>
      <c r="F51" s="2" t="n">
        <v>2</v>
      </c>
      <c r="G51" s="4" t="n">
        <v>1</v>
      </c>
      <c r="H51" s="13" t="n"/>
      <c r="I51" s="15" t="n"/>
      <c r="J51" s="19" t="n">
        <v>1</v>
      </c>
      <c r="K51" s="2" t="inlineStr">
        <is>
          <t>marker_933_749826.png</t>
        </is>
      </c>
      <c r="L51" s="11">
        <f>HYPERLINK("1\1\" &amp; K51, "Ver Imagen")</f>
        <v/>
      </c>
      <c r="M51" t="inlineStr">
        <is>
          <t>Moda</t>
        </is>
      </c>
    </row>
    <row r="52">
      <c r="A52" t="n">
        <v>51</v>
      </c>
      <c r="B52" t="inlineStr">
        <is>
          <t>A-490__267</t>
        </is>
      </c>
      <c r="C52" s="1" t="n">
        <v>37.4677631108</v>
      </c>
      <c r="D52" s="1" t="n">
        <v>-7.1855302332</v>
      </c>
      <c r="E52" s="3" t="n">
        <v>1</v>
      </c>
      <c r="F52" s="2" t="n">
        <v>2</v>
      </c>
      <c r="G52" s="4" t="n">
        <v>1</v>
      </c>
      <c r="H52" s="13" t="n"/>
      <c r="I52" s="15" t="n"/>
      <c r="J52" s="19" t="n">
        <v>1</v>
      </c>
      <c r="K52" s="2" t="inlineStr">
        <is>
          <t>marker_333_749843.png</t>
        </is>
      </c>
      <c r="L52" s="11">
        <f>HYPERLINK("1\1\" &amp; K52, "Ver Imagen")</f>
        <v/>
      </c>
      <c r="M52" t="inlineStr">
        <is>
          <t>Moda</t>
        </is>
      </c>
    </row>
    <row r="53">
      <c r="A53" t="n">
        <v>52</v>
      </c>
      <c r="B53" t="inlineStr">
        <is>
          <t>A-490__268</t>
        </is>
      </c>
      <c r="C53" s="1" t="n">
        <v>37.4678336006</v>
      </c>
      <c r="D53" s="1" t="n">
        <v>-7.18566131994</v>
      </c>
      <c r="E53" s="3" t="n">
        <v>1</v>
      </c>
      <c r="F53" s="2" t="n">
        <v>2</v>
      </c>
      <c r="G53" s="4" t="n">
        <v>1</v>
      </c>
      <c r="H53" s="13" t="n"/>
      <c r="I53" s="15" t="n"/>
      <c r="J53" s="19" t="n">
        <v>1</v>
      </c>
      <c r="K53" s="2" t="inlineStr">
        <is>
          <t>marker_690_749857.png</t>
        </is>
      </c>
      <c r="L53" s="11">
        <f>HYPERLINK("1\1\" &amp; K53, "Ver Imagen")</f>
        <v/>
      </c>
      <c r="M53" t="inlineStr">
        <is>
          <t>Moda</t>
        </is>
      </c>
    </row>
    <row r="54">
      <c r="A54" t="n">
        <v>53</v>
      </c>
      <c r="B54" t="inlineStr">
        <is>
          <t>A-490__544</t>
        </is>
      </c>
      <c r="C54" s="1" t="n">
        <v>37.4900800952</v>
      </c>
      <c r="D54" s="1" t="n">
        <v>-7.24887074819</v>
      </c>
      <c r="E54" s="3" t="n">
        <v>1</v>
      </c>
      <c r="F54" s="2" t="n">
        <v>2</v>
      </c>
      <c r="G54" s="4" t="n">
        <v>1</v>
      </c>
      <c r="H54" s="13" t="n"/>
      <c r="I54" s="15" t="n"/>
      <c r="J54" s="19" t="n">
        <v>1</v>
      </c>
      <c r="K54" s="2" t="inlineStr">
        <is>
          <t>marker_218_818404.png</t>
        </is>
      </c>
      <c r="L54" s="11">
        <f>HYPERLINK("1\1\" &amp; K54, "Ver Imagen")</f>
        <v/>
      </c>
      <c r="M54" t="inlineStr">
        <is>
          <t>Moda</t>
        </is>
      </c>
    </row>
    <row r="55">
      <c r="A55" t="n">
        <v>54</v>
      </c>
      <c r="B55" t="inlineStr">
        <is>
          <t>A-490__583</t>
        </is>
      </c>
      <c r="C55" s="1" t="n">
        <v>37.4900871614</v>
      </c>
      <c r="D55" s="1" t="n">
        <v>-7.25853909259</v>
      </c>
      <c r="E55" s="3" t="n">
        <v>1</v>
      </c>
      <c r="F55" s="2" t="n">
        <v>2</v>
      </c>
      <c r="G55" s="4" t="n">
        <v>1</v>
      </c>
      <c r="H55" s="13" t="n"/>
      <c r="I55" s="15" t="n"/>
      <c r="J55" s="19" t="n">
        <v>1</v>
      </c>
      <c r="K55" s="2" t="inlineStr">
        <is>
          <t>marker_219_819513.png</t>
        </is>
      </c>
      <c r="L55" s="11">
        <f>HYPERLINK("1\1\" &amp; K55, "Ver Imagen")</f>
        <v/>
      </c>
      <c r="M55" t="inlineStr">
        <is>
          <t>Moda</t>
        </is>
      </c>
    </row>
    <row r="56">
      <c r="A56" t="n">
        <v>55</v>
      </c>
      <c r="B56" t="inlineStr">
        <is>
          <t>A-490__584</t>
        </is>
      </c>
      <c r="C56" s="1" t="n">
        <v>37.4900720883</v>
      </c>
      <c r="D56" s="1" t="n">
        <v>-7.2587693282</v>
      </c>
      <c r="E56" s="3" t="n">
        <v>1</v>
      </c>
      <c r="F56" s="2" t="n">
        <v>2</v>
      </c>
      <c r="G56" s="4" t="n">
        <v>1</v>
      </c>
      <c r="H56" s="13" t="n"/>
      <c r="I56" s="15" t="n"/>
      <c r="J56" s="19" t="n">
        <v>1</v>
      </c>
      <c r="K56" s="2" t="inlineStr">
        <is>
          <t>marker_703_819536.png</t>
        </is>
      </c>
      <c r="L56" s="11">
        <f>HYPERLINK("1\1\" &amp; K56, "Ver Imagen")</f>
        <v/>
      </c>
      <c r="M56" t="inlineStr">
        <is>
          <t>Moda</t>
        </is>
      </c>
    </row>
    <row r="57">
      <c r="A57" t="n">
        <v>56</v>
      </c>
      <c r="B57" t="inlineStr">
        <is>
          <t>A-490__347</t>
        </is>
      </c>
      <c r="C57" s="1" t="n">
        <v>37.4766149282</v>
      </c>
      <c r="D57" s="1" t="n">
        <v>-7.20249479934</v>
      </c>
      <c r="E57" s="3" t="n">
        <v>1</v>
      </c>
      <c r="F57" s="2" t="n">
        <v>2</v>
      </c>
      <c r="G57" s="4" t="n">
        <v>1</v>
      </c>
      <c r="H57" s="13" t="n"/>
      <c r="I57" s="15" t="n"/>
      <c r="J57" s="19" t="n">
        <v>1</v>
      </c>
      <c r="K57" s="2" t="inlineStr">
        <is>
          <t>marker_213_751630.png</t>
        </is>
      </c>
      <c r="L57" s="11">
        <f>HYPERLINK("1\1\" &amp; K57, "Ver Imagen")</f>
        <v/>
      </c>
      <c r="M57" t="inlineStr">
        <is>
          <t>Moda</t>
        </is>
      </c>
    </row>
    <row r="58">
      <c r="A58" t="n">
        <v>57</v>
      </c>
      <c r="B58" t="inlineStr">
        <is>
          <t>A-490__370</t>
        </is>
      </c>
      <c r="C58" s="1" t="n">
        <v>37.4788071864</v>
      </c>
      <c r="D58" s="1" t="n">
        <v>-7.2075822944</v>
      </c>
      <c r="E58" s="3" t="n">
        <v>1</v>
      </c>
      <c r="F58" s="2" t="n">
        <v>2</v>
      </c>
      <c r="G58" s="4" t="n">
        <v>1</v>
      </c>
      <c r="H58" s="13" t="n"/>
      <c r="I58" s="15" t="n"/>
      <c r="J58" s="19" t="n">
        <v>1</v>
      </c>
      <c r="K58" s="2" t="inlineStr">
        <is>
          <t>marker_809_752101.png</t>
        </is>
      </c>
      <c r="L58" s="11">
        <f>HYPERLINK("1\1\" &amp; K58, "Ver Imagen")</f>
        <v/>
      </c>
      <c r="M58" t="inlineStr">
        <is>
          <t>Moda</t>
        </is>
      </c>
    </row>
    <row r="59">
      <c r="A59" t="n">
        <v>58</v>
      </c>
      <c r="B59" t="inlineStr">
        <is>
          <t>A-490__406</t>
        </is>
      </c>
      <c r="C59" s="1" t="n">
        <v>37.4820793343</v>
      </c>
      <c r="D59" s="1" t="n">
        <v>-7.21579079085</v>
      </c>
      <c r="E59" s="3" t="n">
        <v>1</v>
      </c>
      <c r="F59" s="2" t="n">
        <v>2</v>
      </c>
      <c r="G59" s="4" t="n">
        <v>1</v>
      </c>
      <c r="H59" s="13" t="n"/>
      <c r="I59" s="15" t="n"/>
      <c r="J59" s="19" t="n">
        <v>1</v>
      </c>
      <c r="K59" s="2" t="inlineStr">
        <is>
          <t>marker_900_753151.png</t>
        </is>
      </c>
      <c r="L59" s="11">
        <f>HYPERLINK("1\1\" &amp; K59, "Ver Imagen")</f>
        <v/>
      </c>
      <c r="M59" t="inlineStr">
        <is>
          <t>Moda</t>
        </is>
      </c>
    </row>
    <row r="60">
      <c r="A60" t="n">
        <v>59</v>
      </c>
      <c r="B60" t="inlineStr">
        <is>
          <t>A-490__433</t>
        </is>
      </c>
      <c r="C60" s="1" t="n">
        <v>37.4834507808</v>
      </c>
      <c r="D60" s="1" t="n">
        <v>-7.22245668305</v>
      </c>
      <c r="E60" s="3" t="n">
        <v>1</v>
      </c>
      <c r="F60" s="2" t="n">
        <v>2</v>
      </c>
      <c r="G60" s="4" t="n">
        <v>1</v>
      </c>
      <c r="H60" s="13" t="n"/>
      <c r="I60" s="15" t="n"/>
      <c r="J60" s="19" t="n">
        <v>1</v>
      </c>
      <c r="K60" s="2" t="inlineStr">
        <is>
          <t>marker_423_754540.png</t>
        </is>
      </c>
      <c r="L60" s="11">
        <f>HYPERLINK("1\1\" &amp; K60, "Ver Imagen")</f>
        <v/>
      </c>
      <c r="M60" t="inlineStr">
        <is>
          <t>Moda</t>
        </is>
      </c>
    </row>
    <row r="61">
      <c r="A61" t="n">
        <v>60</v>
      </c>
      <c r="B61" t="inlineStr">
        <is>
          <t>A-490__434</t>
        </is>
      </c>
      <c r="C61" s="1" t="n">
        <v>37.4834862685</v>
      </c>
      <c r="D61" s="1" t="n">
        <v>-7.22264086824</v>
      </c>
      <c r="E61" s="3" t="n">
        <v>1</v>
      </c>
      <c r="F61" s="2" t="n">
        <v>2</v>
      </c>
      <c r="G61" s="4" t="n">
        <v>1</v>
      </c>
      <c r="H61" s="13" t="n"/>
      <c r="I61" s="15" t="n"/>
      <c r="J61" s="19" t="n">
        <v>1</v>
      </c>
      <c r="K61" s="2" t="inlineStr">
        <is>
          <t>marker_752_754560.png</t>
        </is>
      </c>
      <c r="L61" s="11">
        <f>HYPERLINK("1\1\" &amp; K61, "Ver Imagen")</f>
        <v/>
      </c>
      <c r="M61" t="inlineStr">
        <is>
          <t>Moda</t>
        </is>
      </c>
    </row>
    <row r="62">
      <c r="A62" t="n">
        <v>61</v>
      </c>
      <c r="B62" t="inlineStr">
        <is>
          <t>A-490__480</t>
        </is>
      </c>
      <c r="C62" s="1" t="n">
        <v>37.4856830774</v>
      </c>
      <c r="D62" s="1" t="n">
        <v>-7.23403411734</v>
      </c>
      <c r="E62" s="3" t="n">
        <v>1</v>
      </c>
      <c r="F62" s="2" t="n">
        <v>2</v>
      </c>
      <c r="G62" s="4" t="n">
        <v>1</v>
      </c>
      <c r="H62" s="13" t="n"/>
      <c r="I62" s="15" t="n"/>
      <c r="J62" s="19" t="n">
        <v>1</v>
      </c>
      <c r="K62" s="2" t="inlineStr">
        <is>
          <t>marker_905_755589.png</t>
        </is>
      </c>
      <c r="L62" s="11">
        <f>HYPERLINK("1\1\" &amp; K62, "Ver Imagen")</f>
        <v/>
      </c>
      <c r="M62" t="inlineStr">
        <is>
          <t>Moda</t>
        </is>
      </c>
    </row>
    <row r="63">
      <c r="A63" t="n">
        <v>62</v>
      </c>
      <c r="B63" t="inlineStr">
        <is>
          <t>A-490__481</t>
        </is>
      </c>
      <c r="C63" s="1" t="n">
        <v>37.4857262399</v>
      </c>
      <c r="D63" s="1" t="n">
        <v>-7.23426446896</v>
      </c>
      <c r="E63" s="3" t="n">
        <v>1</v>
      </c>
      <c r="F63" s="2" t="n">
        <v>2</v>
      </c>
      <c r="G63" s="4" t="n">
        <v>1</v>
      </c>
      <c r="H63" s="13" t="n"/>
      <c r="I63" s="15" t="n"/>
      <c r="J63" s="19" t="n">
        <v>1</v>
      </c>
      <c r="K63" s="2" t="inlineStr">
        <is>
          <t>marker_230_755606.png</t>
        </is>
      </c>
      <c r="L63" s="11">
        <f>HYPERLINK("1\1\" &amp; K63, "Ver Imagen")</f>
        <v/>
      </c>
      <c r="M63" t="inlineStr">
        <is>
          <t>Moda</t>
        </is>
      </c>
    </row>
    <row r="64">
      <c r="A64" t="n">
        <v>63</v>
      </c>
      <c r="B64" t="inlineStr">
        <is>
          <t>A-490__528</t>
        </is>
      </c>
      <c r="C64" s="1" t="n">
        <v>37.4881311842</v>
      </c>
      <c r="D64" s="1" t="n">
        <v>-7.24573575377</v>
      </c>
      <c r="E64" s="3" t="n">
        <v>1</v>
      </c>
      <c r="F64" s="2" t="n">
        <v>2</v>
      </c>
      <c r="G64" s="4" t="n">
        <v>1</v>
      </c>
      <c r="H64" s="13" t="n"/>
      <c r="I64" s="15" t="n"/>
      <c r="J64" s="19" t="n">
        <v>1</v>
      </c>
      <c r="K64" s="2" t="inlineStr">
        <is>
          <t>marker_897_818180.png</t>
        </is>
      </c>
      <c r="L64" s="11">
        <f>HYPERLINK("1\1\" &amp; K64, "Ver Imagen")</f>
        <v/>
      </c>
      <c r="M64" t="inlineStr">
        <is>
          <t>Moda</t>
        </is>
      </c>
    </row>
    <row r="65">
      <c r="A65" t="n">
        <v>64</v>
      </c>
      <c r="B65" t="inlineStr">
        <is>
          <t>A-490__529</t>
        </is>
      </c>
      <c r="C65" s="1" t="n">
        <v>37.488235333</v>
      </c>
      <c r="D65" s="1" t="n">
        <v>-7.24600414071</v>
      </c>
      <c r="E65" s="3" t="n">
        <v>1</v>
      </c>
      <c r="F65" s="2" t="n">
        <v>2</v>
      </c>
      <c r="G65" s="4" t="n">
        <v>1</v>
      </c>
      <c r="H65" s="13" t="n"/>
      <c r="I65" s="15" t="n"/>
      <c r="J65" s="19" t="n">
        <v>1</v>
      </c>
      <c r="K65" s="2" t="inlineStr">
        <is>
          <t>marker_511_818192.png</t>
        </is>
      </c>
      <c r="L65" s="11">
        <f>HYPERLINK("1\1\" &amp; K65, "Ver Imagen")</f>
        <v/>
      </c>
      <c r="M65" t="inlineStr">
        <is>
          <t>Moda</t>
        </is>
      </c>
    </row>
    <row r="66">
      <c r="A66" t="n">
        <v>65</v>
      </c>
      <c r="B66" t="inlineStr">
        <is>
          <t>A-490__530</t>
        </is>
      </c>
      <c r="C66" s="1" t="n">
        <v>37.488319987</v>
      </c>
      <c r="D66" s="1" t="n">
        <v>-7.24622156689</v>
      </c>
      <c r="E66" s="3" t="n">
        <v>1</v>
      </c>
      <c r="F66" s="2" t="n">
        <v>2</v>
      </c>
      <c r="G66" s="4" t="n">
        <v>1</v>
      </c>
      <c r="H66" s="13" t="n"/>
      <c r="I66" s="15" t="n"/>
      <c r="J66" s="19" t="n">
        <v>1</v>
      </c>
      <c r="K66" s="2" t="inlineStr">
        <is>
          <t>marker_309_818205.png</t>
        </is>
      </c>
      <c r="L66" s="11">
        <f>HYPERLINK("1\1\" &amp; K66, "Ver Imagen")</f>
        <v/>
      </c>
      <c r="M66" t="inlineStr">
        <is>
          <t>Moda</t>
        </is>
      </c>
    </row>
    <row r="67">
      <c r="A67" t="n">
        <v>66</v>
      </c>
      <c r="B67" t="inlineStr">
        <is>
          <t>A-490__531</t>
        </is>
      </c>
      <c r="C67" s="1" t="n">
        <v>37.4884049818</v>
      </c>
      <c r="D67" s="1" t="n">
        <v>-7.24643799521</v>
      </c>
      <c r="E67" s="3" t="n">
        <v>1</v>
      </c>
      <c r="F67" s="2" t="n">
        <v>2</v>
      </c>
      <c r="G67" s="4" t="n">
        <v>1</v>
      </c>
      <c r="H67" s="13" t="n"/>
      <c r="I67" s="15" t="n"/>
      <c r="J67" s="19" t="n">
        <v>1</v>
      </c>
      <c r="K67" s="2" t="inlineStr">
        <is>
          <t>marker_723_818219.png</t>
        </is>
      </c>
      <c r="L67" s="11">
        <f>HYPERLINK("1\1\" &amp; K67, "Ver Imagen")</f>
        <v/>
      </c>
      <c r="M67" t="inlineStr">
        <is>
          <t>Moda</t>
        </is>
      </c>
    </row>
    <row r="68">
      <c r="A68" t="n">
        <v>67</v>
      </c>
      <c r="B68" t="inlineStr">
        <is>
          <t>A-490__555</t>
        </is>
      </c>
      <c r="C68" s="1" t="n">
        <v>37.49070582</v>
      </c>
      <c r="D68" s="1" t="n">
        <v>-7.25142788791</v>
      </c>
      <c r="E68" s="3" t="n">
        <v>1</v>
      </c>
      <c r="F68" s="2" t="n">
        <v>2</v>
      </c>
      <c r="G68" s="4" t="n">
        <v>1</v>
      </c>
      <c r="H68" s="13" t="n"/>
      <c r="I68" s="15" t="n"/>
      <c r="J68" s="19" t="n">
        <v>1</v>
      </c>
      <c r="K68" s="2" t="inlineStr">
        <is>
          <t>marker_529_818698.png</t>
        </is>
      </c>
      <c r="L68" s="11">
        <f>HYPERLINK("1\1\" &amp; K68, "Ver Imagen")</f>
        <v/>
      </c>
      <c r="M68" t="inlineStr">
        <is>
          <t>Moda</t>
        </is>
      </c>
    </row>
    <row r="69">
      <c r="A69" t="n">
        <v>68</v>
      </c>
      <c r="B69" t="inlineStr">
        <is>
          <t>A-490__557</t>
        </is>
      </c>
      <c r="C69" s="1" t="n">
        <v>37.4906901156</v>
      </c>
      <c r="D69" s="1" t="n">
        <v>-7.25196729773</v>
      </c>
      <c r="E69" s="3" t="n">
        <v>1</v>
      </c>
      <c r="F69" s="2" t="n">
        <v>2</v>
      </c>
      <c r="G69" s="4" t="n">
        <v>1</v>
      </c>
      <c r="H69" s="13" t="n"/>
      <c r="I69" s="15" t="n"/>
      <c r="J69" s="19" t="n">
        <v>1</v>
      </c>
      <c r="K69" s="2" t="inlineStr">
        <is>
          <t>marker_749_819120.png</t>
        </is>
      </c>
      <c r="L69" s="11">
        <f>HYPERLINK("1\1\" &amp; K69, "Ver Imagen")</f>
        <v/>
      </c>
      <c r="M69" t="inlineStr">
        <is>
          <t>Moda</t>
        </is>
      </c>
    </row>
    <row r="70">
      <c r="A70" t="n">
        <v>69</v>
      </c>
      <c r="B70" t="inlineStr">
        <is>
          <t>A-490__558</t>
        </is>
      </c>
      <c r="C70" s="1" t="n">
        <v>37.4906799262</v>
      </c>
      <c r="D70" s="1" t="n">
        <v>-7.25225297558</v>
      </c>
      <c r="E70" s="3" t="n">
        <v>1</v>
      </c>
      <c r="F70" s="2" t="n">
        <v>2</v>
      </c>
      <c r="G70" s="4" t="n">
        <v>1</v>
      </c>
      <c r="H70" s="13" t="n"/>
      <c r="I70" s="15" t="n"/>
      <c r="J70" s="19" t="n">
        <v>1</v>
      </c>
      <c r="K70" s="2" t="inlineStr">
        <is>
          <t>marker_919_819141.png</t>
        </is>
      </c>
      <c r="L70" s="11">
        <f>HYPERLINK("1\1\" &amp; K70, "Ver Imagen")</f>
        <v/>
      </c>
      <c r="M70" t="inlineStr">
        <is>
          <t>Moda</t>
        </is>
      </c>
    </row>
    <row r="71">
      <c r="A71" t="n">
        <v>70</v>
      </c>
      <c r="B71" t="inlineStr">
        <is>
          <t>A-490__559</t>
        </is>
      </c>
      <c r="C71" s="1" t="n">
        <v>37.4906682332</v>
      </c>
      <c r="D71" s="1" t="n">
        <v>-7.25251100482</v>
      </c>
      <c r="E71" s="3" t="n">
        <v>1</v>
      </c>
      <c r="F71" s="2" t="n">
        <v>2</v>
      </c>
      <c r="G71" s="4" t="n">
        <v>1</v>
      </c>
      <c r="H71" s="13" t="n"/>
      <c r="I71" s="15" t="n"/>
      <c r="J71" s="19" t="n">
        <v>1</v>
      </c>
      <c r="K71" s="2" t="inlineStr">
        <is>
          <t>marker_863_819158.png</t>
        </is>
      </c>
      <c r="L71" s="11">
        <f>HYPERLINK("1\1\" &amp; K71, "Ver Imagen")</f>
        <v/>
      </c>
      <c r="M71" t="inlineStr">
        <is>
          <t>Moda</t>
        </is>
      </c>
    </row>
    <row r="72">
      <c r="A72" t="n">
        <v>71</v>
      </c>
      <c r="B72" t="inlineStr">
        <is>
          <t>A-490__563</t>
        </is>
      </c>
      <c r="C72" s="1" t="n">
        <v>37.4906034762</v>
      </c>
      <c r="D72" s="1" t="n">
        <v>-7.25346488985</v>
      </c>
      <c r="E72" s="3" t="n">
        <v>1</v>
      </c>
      <c r="F72" s="2" t="n">
        <v>2</v>
      </c>
      <c r="G72" s="4" t="n">
        <v>1</v>
      </c>
      <c r="H72" s="13" t="n"/>
      <c r="I72" s="15" t="n"/>
      <c r="J72" s="19" t="n">
        <v>1</v>
      </c>
      <c r="K72" s="2" t="inlineStr">
        <is>
          <t>marker_146_819219.png</t>
        </is>
      </c>
      <c r="L72" s="11">
        <f>HYPERLINK("1\1\" &amp; K72, "Ver Imagen")</f>
        <v/>
      </c>
      <c r="M72" t="inlineStr">
        <is>
          <t>Moda</t>
        </is>
      </c>
    </row>
    <row r="73">
      <c r="A73" t="n">
        <v>72</v>
      </c>
      <c r="B73" t="inlineStr">
        <is>
          <t>A-490__565</t>
        </is>
      </c>
      <c r="C73" s="1" t="n">
        <v>37.4905625377</v>
      </c>
      <c r="D73" s="1" t="n">
        <v>-7.25395859014</v>
      </c>
      <c r="E73" s="3" t="n">
        <v>1</v>
      </c>
      <c r="F73" s="2" t="n">
        <v>2</v>
      </c>
      <c r="G73" s="4" t="n">
        <v>1</v>
      </c>
      <c r="H73" s="13" t="n"/>
      <c r="I73" s="15" t="n"/>
      <c r="J73" s="19" t="n">
        <v>1</v>
      </c>
      <c r="K73" s="2" t="inlineStr">
        <is>
          <t>marker_423_819248.png</t>
        </is>
      </c>
      <c r="L73" s="11">
        <f>HYPERLINK("1\1\" &amp; K73, "Ver Imagen")</f>
        <v/>
      </c>
      <c r="M73" t="inlineStr">
        <is>
          <t>Moda</t>
        </is>
      </c>
    </row>
    <row r="74">
      <c r="A74" t="n">
        <v>73</v>
      </c>
      <c r="B74" t="inlineStr">
        <is>
          <t>A-490__566</t>
        </is>
      </c>
      <c r="C74" s="1" t="n">
        <v>37.4905407598</v>
      </c>
      <c r="D74" s="1" t="n">
        <v>-7.25420952413</v>
      </c>
      <c r="E74" s="3" t="n">
        <v>1</v>
      </c>
      <c r="F74" s="2" t="n">
        <v>2</v>
      </c>
      <c r="G74" s="4" t="n">
        <v>1</v>
      </c>
      <c r="H74" s="13" t="n"/>
      <c r="I74" s="15" t="n"/>
      <c r="J74" s="19" t="n">
        <v>1</v>
      </c>
      <c r="K74" s="2" t="inlineStr">
        <is>
          <t>marker_845_819262.png</t>
        </is>
      </c>
      <c r="L74" s="11">
        <f>HYPERLINK("1\1\" &amp; K74, "Ver Imagen")</f>
        <v/>
      </c>
      <c r="M74" t="inlineStr">
        <is>
          <t>Moda</t>
        </is>
      </c>
    </row>
    <row r="75">
      <c r="A75" t="n">
        <v>74</v>
      </c>
      <c r="B75" t="inlineStr">
        <is>
          <t>A-490__567</t>
        </is>
      </c>
      <c r="C75" s="1" t="n">
        <v>37.4905137129</v>
      </c>
      <c r="D75" s="1" t="n">
        <v>-7.25451493764</v>
      </c>
      <c r="E75" s="3" t="n">
        <v>1</v>
      </c>
      <c r="F75" s="2" t="n">
        <v>2</v>
      </c>
      <c r="G75" s="4" t="n">
        <v>1</v>
      </c>
      <c r="H75" s="13" t="n"/>
      <c r="I75" s="15" t="n"/>
      <c r="J75" s="19" t="n">
        <v>1</v>
      </c>
      <c r="K75" s="2" t="inlineStr">
        <is>
          <t>marker_896_819277.png</t>
        </is>
      </c>
      <c r="L75" s="11">
        <f>HYPERLINK("1\1\" &amp; K75, "Ver Imagen")</f>
        <v/>
      </c>
      <c r="M75" t="inlineStr">
        <is>
          <t>Moda</t>
        </is>
      </c>
    </row>
    <row r="76">
      <c r="A76" t="n">
        <v>75</v>
      </c>
      <c r="B76" t="inlineStr">
        <is>
          <t>A-490__570</t>
        </is>
      </c>
      <c r="C76" s="1" t="n">
        <v>37.4904484455</v>
      </c>
      <c r="D76" s="1" t="n">
        <v>-7.25527932811</v>
      </c>
      <c r="E76" s="3" t="n">
        <v>1</v>
      </c>
      <c r="F76" s="2" t="n">
        <v>2</v>
      </c>
      <c r="G76" s="4" t="n">
        <v>1</v>
      </c>
      <c r="H76" s="13" t="n"/>
      <c r="I76" s="15" t="n"/>
      <c r="J76" s="19" t="n">
        <v>1</v>
      </c>
      <c r="K76" s="2" t="inlineStr">
        <is>
          <t>marker_480_819328.png</t>
        </is>
      </c>
      <c r="L76" s="11">
        <f>HYPERLINK("1\1\" &amp; K76, "Ver Imagen")</f>
        <v/>
      </c>
      <c r="M76" t="inlineStr">
        <is>
          <t>Moda</t>
        </is>
      </c>
    </row>
    <row r="77">
      <c r="A77" t="n">
        <v>76</v>
      </c>
      <c r="B77" t="inlineStr">
        <is>
          <t>A-490__574</t>
        </is>
      </c>
      <c r="C77" s="1" t="n">
        <v>37.4903636894</v>
      </c>
      <c r="D77" s="1" t="n">
        <v>-7.25624204678</v>
      </c>
      <c r="E77" s="3" t="n">
        <v>1</v>
      </c>
      <c r="F77" s="2" t="n">
        <v>2</v>
      </c>
      <c r="G77" s="4" t="n">
        <v>1</v>
      </c>
      <c r="H77" s="13" t="n"/>
      <c r="I77" s="15" t="n"/>
      <c r="J77" s="19" t="n">
        <v>1</v>
      </c>
      <c r="K77" s="2" t="inlineStr">
        <is>
          <t>marker_114_819394.png</t>
        </is>
      </c>
      <c r="L77" s="11">
        <f>HYPERLINK("1\1\" &amp; K77, "Ver Imagen")</f>
        <v/>
      </c>
      <c r="M77" t="inlineStr">
        <is>
          <t>Moda</t>
        </is>
      </c>
    </row>
    <row r="78">
      <c r="A78" t="n">
        <v>77</v>
      </c>
      <c r="B78" t="inlineStr">
        <is>
          <t>A-490__575</t>
        </is>
      </c>
      <c r="C78" s="1" t="n">
        <v>37.4903406611</v>
      </c>
      <c r="D78" s="1" t="n">
        <v>-7.25649779728</v>
      </c>
      <c r="E78" s="3" t="n">
        <v>1</v>
      </c>
      <c r="F78" s="2" t="n">
        <v>2</v>
      </c>
      <c r="G78" s="4" t="n">
        <v>1</v>
      </c>
      <c r="H78" s="13" t="n"/>
      <c r="I78" s="15" t="n"/>
      <c r="J78" s="19" t="n">
        <v>1</v>
      </c>
      <c r="K78" s="2" t="inlineStr">
        <is>
          <t>marker_297_819408.png</t>
        </is>
      </c>
      <c r="L78" s="11">
        <f>HYPERLINK("1\1\" &amp; K78, "Ver Imagen")</f>
        <v/>
      </c>
      <c r="M78" t="inlineStr">
        <is>
          <t>Moda</t>
        </is>
      </c>
    </row>
    <row r="79">
      <c r="A79" t="n">
        <v>78</v>
      </c>
      <c r="B79" t="inlineStr">
        <is>
          <t>A-490__576</t>
        </is>
      </c>
      <c r="C79" s="1" t="n">
        <v>37.4903124966</v>
      </c>
      <c r="D79" s="1" t="n">
        <v>-7.25677384026</v>
      </c>
      <c r="E79" s="3" t="n">
        <v>1</v>
      </c>
      <c r="F79" s="2" t="n">
        <v>2</v>
      </c>
      <c r="G79" s="4" t="n">
        <v>1</v>
      </c>
      <c r="H79" s="13" t="n"/>
      <c r="I79" s="15" t="n"/>
      <c r="J79" s="19" t="n">
        <v>1</v>
      </c>
      <c r="K79" s="2" t="inlineStr">
        <is>
          <t>marker_376_819420.png</t>
        </is>
      </c>
      <c r="L79" s="11">
        <f>HYPERLINK("1\1\" &amp; K79, "Ver Imagen")</f>
        <v/>
      </c>
      <c r="M79" t="inlineStr">
        <is>
          <t>Moda</t>
        </is>
      </c>
    </row>
    <row r="80">
      <c r="A80" t="n">
        <v>79</v>
      </c>
      <c r="B80" t="inlineStr">
        <is>
          <t>A-490__578</t>
        </is>
      </c>
      <c r="C80" s="1" t="n">
        <v>37.4902549898</v>
      </c>
      <c r="D80" s="1" t="n">
        <v>-7.25724185951</v>
      </c>
      <c r="E80" s="3" t="n">
        <v>1</v>
      </c>
      <c r="F80" s="2" t="n">
        <v>2</v>
      </c>
      <c r="G80" s="4" t="n">
        <v>1</v>
      </c>
      <c r="H80" s="13" t="n"/>
      <c r="I80" s="15" t="n"/>
      <c r="J80" s="19" t="n">
        <v>1</v>
      </c>
      <c r="K80" s="2" t="inlineStr">
        <is>
          <t>marker_464_819445.png</t>
        </is>
      </c>
      <c r="L80" s="11">
        <f>HYPERLINK("1\1\" &amp; K80, "Ver Imagen")</f>
        <v/>
      </c>
      <c r="M80" t="inlineStr">
        <is>
          <t>Moda</t>
        </is>
      </c>
    </row>
    <row r="81">
      <c r="A81" t="n">
        <v>80</v>
      </c>
      <c r="B81" t="inlineStr">
        <is>
          <t>A-490__579</t>
        </is>
      </c>
      <c r="C81" s="1" t="n">
        <v>37.490220811</v>
      </c>
      <c r="D81" s="1" t="n">
        <v>-7.25748971784</v>
      </c>
      <c r="E81" s="3" t="n">
        <v>1</v>
      </c>
      <c r="F81" s="2" t="n">
        <v>2</v>
      </c>
      <c r="G81" s="4" t="n">
        <v>1</v>
      </c>
      <c r="H81" s="13" t="n"/>
      <c r="I81" s="15" t="n"/>
      <c r="J81" s="19" t="n">
        <v>1</v>
      </c>
      <c r="K81" s="2" t="inlineStr">
        <is>
          <t>marker_145_819457.png</t>
        </is>
      </c>
      <c r="L81" s="11">
        <f>HYPERLINK("1\1\" &amp; K81, "Ver Imagen")</f>
        <v/>
      </c>
      <c r="M81" t="inlineStr">
        <is>
          <t>Moda</t>
        </is>
      </c>
    </row>
    <row r="82">
      <c r="A82" t="n">
        <v>81</v>
      </c>
      <c r="B82" t="inlineStr">
        <is>
          <t>A-490__581</t>
        </is>
      </c>
      <c r="C82" s="1" t="n">
        <v>37.4901525975</v>
      </c>
      <c r="D82" s="1" t="n">
        <v>-7.2579835317</v>
      </c>
      <c r="E82" s="3" t="n">
        <v>1</v>
      </c>
      <c r="F82" s="2" t="n">
        <v>2</v>
      </c>
      <c r="G82" s="4" t="n">
        <v>1</v>
      </c>
      <c r="H82" s="13" t="n"/>
      <c r="I82" s="15" t="n"/>
      <c r="J82" s="19" t="n">
        <v>1</v>
      </c>
      <c r="K82" s="2" t="inlineStr">
        <is>
          <t>marker_443_819486.png</t>
        </is>
      </c>
      <c r="L82" s="11">
        <f>HYPERLINK("1\1\" &amp; K82, "Ver Imagen")</f>
        <v/>
      </c>
      <c r="M82" t="inlineStr">
        <is>
          <t>Moda</t>
        </is>
      </c>
    </row>
    <row r="83">
      <c r="A83" t="n">
        <v>82</v>
      </c>
      <c r="B83" t="inlineStr">
        <is>
          <t>A-490__609</t>
        </is>
      </c>
      <c r="C83" s="1" t="n">
        <v>37.493137106</v>
      </c>
      <c r="D83" s="1" t="n">
        <v>-7.26348380423</v>
      </c>
      <c r="E83" s="3" t="n">
        <v>1</v>
      </c>
      <c r="F83" s="2" t="n">
        <v>2</v>
      </c>
      <c r="G83" s="4" t="n">
        <v>1</v>
      </c>
      <c r="H83" s="13" t="n"/>
      <c r="I83" s="15" t="n"/>
      <c r="J83" s="19" t="n">
        <v>1</v>
      </c>
      <c r="K83" s="2" t="inlineStr">
        <is>
          <t>marker_729_820194.png</t>
        </is>
      </c>
      <c r="L83" s="11">
        <f>HYPERLINK("1\1\" &amp; K83, "Ver Imagen")</f>
        <v/>
      </c>
      <c r="M83" t="inlineStr">
        <is>
          <t>Moda</t>
        </is>
      </c>
    </row>
    <row r="84">
      <c r="A84" t="n">
        <v>83</v>
      </c>
      <c r="B84" t="inlineStr">
        <is>
          <t>A-495R__115</t>
        </is>
      </c>
      <c r="C84" s="1" t="n">
        <v>37.4649742369</v>
      </c>
      <c r="D84" s="1" t="n">
        <v>-7.12105081921</v>
      </c>
      <c r="E84" s="3" t="n">
        <v>1</v>
      </c>
      <c r="F84" s="2" t="n">
        <v>1</v>
      </c>
      <c r="G84" s="4" t="n">
        <v>2</v>
      </c>
      <c r="H84" s="13" t="n"/>
      <c r="I84" s="15" t="n"/>
      <c r="J84" s="19" t="n">
        <v>1</v>
      </c>
      <c r="K84" s="2" t="inlineStr">
        <is>
          <t>marker_472_895631.png</t>
        </is>
      </c>
      <c r="L84" s="11">
        <f>HYPERLINK("1\1\" &amp; K84, "Ver Imagen")</f>
        <v/>
      </c>
      <c r="M84" t="inlineStr">
        <is>
          <t>Moda</t>
        </is>
      </c>
    </row>
    <row r="85">
      <c r="A85" t="n">
        <v>84</v>
      </c>
      <c r="B85" t="inlineStr">
        <is>
          <t>A-495R__108</t>
        </is>
      </c>
      <c r="C85" s="1" t="n">
        <v>37.4644311572</v>
      </c>
      <c r="D85" s="1" t="n">
        <v>-7.11939034558</v>
      </c>
      <c r="E85" s="3" t="n">
        <v>1</v>
      </c>
      <c r="F85" s="2" t="n">
        <v>1</v>
      </c>
      <c r="G85" s="4" t="n">
        <v>2</v>
      </c>
      <c r="H85" s="13" t="n"/>
      <c r="I85" s="15" t="n"/>
      <c r="J85" s="19" t="n">
        <v>1</v>
      </c>
      <c r="K85" s="2" t="inlineStr">
        <is>
          <t>marker_608_895773.png</t>
        </is>
      </c>
      <c r="L85" s="11">
        <f>HYPERLINK("1\1\" &amp; K85, "Ver Imagen")</f>
        <v/>
      </c>
      <c r="M85" t="inlineStr">
        <is>
          <t>Moda</t>
        </is>
      </c>
    </row>
    <row r="86">
      <c r="A86" t="n">
        <v>85</v>
      </c>
      <c r="B86" t="inlineStr">
        <is>
          <t>A-495R__107</t>
        </is>
      </c>
      <c r="C86" s="1" t="n">
        <v>37.464353826</v>
      </c>
      <c r="D86" s="1" t="n">
        <v>-7.11919464858</v>
      </c>
      <c r="E86" s="3" t="n">
        <v>1</v>
      </c>
      <c r="F86" s="2" t="n">
        <v>1</v>
      </c>
      <c r="G86" s="4" t="n">
        <v>2</v>
      </c>
      <c r="H86" s="13" t="n"/>
      <c r="I86" s="15" t="n"/>
      <c r="J86" s="19" t="n">
        <v>1</v>
      </c>
      <c r="K86" s="2" t="inlineStr">
        <is>
          <t>marker_305_895782.png</t>
        </is>
      </c>
      <c r="L86" s="11">
        <f>HYPERLINK("1\1\" &amp; K86, "Ver Imagen")</f>
        <v/>
      </c>
      <c r="M86" t="inlineStr">
        <is>
          <t>Moda</t>
        </is>
      </c>
    </row>
    <row r="87">
      <c r="A87" t="n">
        <v>86</v>
      </c>
      <c r="B87" t="inlineStr">
        <is>
          <t>A-495R__101</t>
        </is>
      </c>
      <c r="C87" s="1" t="n">
        <v>37.4634974456</v>
      </c>
      <c r="D87" s="1" t="n">
        <v>-7.11814461727</v>
      </c>
      <c r="E87" s="3" t="n">
        <v>1</v>
      </c>
      <c r="F87" s="2" t="n">
        <v>1</v>
      </c>
      <c r="G87" s="4" t="n">
        <v>2</v>
      </c>
      <c r="H87" s="13" t="n"/>
      <c r="I87" s="15" t="n"/>
      <c r="J87" s="19" t="n">
        <v>1</v>
      </c>
      <c r="K87" s="2" t="inlineStr">
        <is>
          <t>marker_866_896585.png</t>
        </is>
      </c>
      <c r="L87" s="11">
        <f>HYPERLINK("1\1\" &amp; K87, "Ver Imagen")</f>
        <v/>
      </c>
      <c r="M87" t="inlineStr">
        <is>
          <t>Moda</t>
        </is>
      </c>
    </row>
    <row r="88">
      <c r="A88" t="n">
        <v>87</v>
      </c>
      <c r="B88" t="inlineStr">
        <is>
          <t>A-495R__100</t>
        </is>
      </c>
      <c r="C88" s="1" t="n">
        <v>37.4633182928</v>
      </c>
      <c r="D88" s="1" t="n">
        <v>-7.1179926809</v>
      </c>
      <c r="E88" s="3" t="n">
        <v>1</v>
      </c>
      <c r="F88" s="2" t="n">
        <v>1</v>
      </c>
      <c r="G88" s="4" t="n">
        <v>2</v>
      </c>
      <c r="H88" s="13" t="n"/>
      <c r="I88" s="15" t="n"/>
      <c r="J88" s="19" t="n">
        <v>1</v>
      </c>
      <c r="K88" s="2" t="inlineStr">
        <is>
          <t>marker_420_896595.png</t>
        </is>
      </c>
      <c r="L88" s="11">
        <f>HYPERLINK("1\1\" &amp; K88, "Ver Imagen")</f>
        <v/>
      </c>
      <c r="M88" t="inlineStr">
        <is>
          <t>Moda</t>
        </is>
      </c>
    </row>
    <row r="89">
      <c r="A89" t="n">
        <v>88</v>
      </c>
      <c r="B89" t="inlineStr">
        <is>
          <t>A-495R__99</t>
        </is>
      </c>
      <c r="C89" s="1" t="n">
        <v>37.4631548118</v>
      </c>
      <c r="D89" s="1" t="n">
        <v>-7.11787171418</v>
      </c>
      <c r="E89" s="3" t="n">
        <v>1</v>
      </c>
      <c r="F89" s="2" t="n">
        <v>1</v>
      </c>
      <c r="G89" s="4" t="n">
        <v>2</v>
      </c>
      <c r="H89" s="13" t="n"/>
      <c r="I89" s="15" t="n"/>
      <c r="J89" s="19" t="n">
        <v>1</v>
      </c>
      <c r="K89" s="2" t="inlineStr">
        <is>
          <t>marker_390_896605.png</t>
        </is>
      </c>
      <c r="L89" s="11">
        <f>HYPERLINK("1\1\" &amp; K89, "Ver Imagen")</f>
        <v/>
      </c>
      <c r="M89" t="inlineStr">
        <is>
          <t>Moda</t>
        </is>
      </c>
    </row>
    <row r="90">
      <c r="A90" t="n">
        <v>89</v>
      </c>
      <c r="B90" t="inlineStr">
        <is>
          <t>A-495R__97</t>
        </is>
      </c>
      <c r="C90" s="1" t="n">
        <v>37.462790816</v>
      </c>
      <c r="D90" s="1" t="n">
        <v>-7.11763364354</v>
      </c>
      <c r="E90" s="3" t="n">
        <v>1</v>
      </c>
      <c r="F90" s="2" t="n">
        <v>1</v>
      </c>
      <c r="G90" s="4" t="n">
        <v>2</v>
      </c>
      <c r="H90" s="13" t="n"/>
      <c r="I90" s="15" t="n"/>
      <c r="J90" s="19" t="n">
        <v>1</v>
      </c>
      <c r="K90" s="2" t="inlineStr">
        <is>
          <t>marker_279_906537.png</t>
        </is>
      </c>
      <c r="L90" s="11">
        <f>HYPERLINK("1\1\" &amp; K90, "Ver Imagen")</f>
        <v/>
      </c>
      <c r="M90" t="inlineStr">
        <is>
          <t>Moda</t>
        </is>
      </c>
    </row>
    <row r="91">
      <c r="A91" t="n">
        <v>90</v>
      </c>
      <c r="B91" t="inlineStr">
        <is>
          <t>A-495R__95</t>
        </is>
      </c>
      <c r="C91" s="1" t="n">
        <v>37.46241035</v>
      </c>
      <c r="D91" s="1" t="n">
        <v>-7.11738555144</v>
      </c>
      <c r="E91" s="3" t="n">
        <v>1</v>
      </c>
      <c r="F91" s="2" t="n">
        <v>1</v>
      </c>
      <c r="G91" s="4" t="n">
        <v>2</v>
      </c>
      <c r="H91" s="13" t="n"/>
      <c r="I91" s="15" t="n"/>
      <c r="J91" s="19" t="n">
        <v>1</v>
      </c>
      <c r="K91" s="2" t="inlineStr">
        <is>
          <t>marker_485_906559.png</t>
        </is>
      </c>
      <c r="L91" s="11">
        <f>HYPERLINK("1\1\" &amp; K91, "Ver Imagen")</f>
        <v/>
      </c>
      <c r="M91" t="inlineStr">
        <is>
          <t>Moda</t>
        </is>
      </c>
    </row>
    <row r="92">
      <c r="A92" t="n">
        <v>91</v>
      </c>
      <c r="B92" t="inlineStr">
        <is>
          <t>A-495R__94</t>
        </is>
      </c>
      <c r="C92" s="1" t="n">
        <v>37.4622247597</v>
      </c>
      <c r="D92" s="1" t="n">
        <v>-7.11724534198</v>
      </c>
      <c r="E92" s="3" t="n">
        <v>1</v>
      </c>
      <c r="F92" s="2" t="n">
        <v>1</v>
      </c>
      <c r="G92" s="4" t="n">
        <v>2</v>
      </c>
      <c r="H92" s="13" t="n"/>
      <c r="I92" s="15" t="n"/>
      <c r="J92" s="19" t="n">
        <v>1</v>
      </c>
      <c r="K92" s="2" t="inlineStr">
        <is>
          <t>marker_195_906570.png</t>
        </is>
      </c>
      <c r="L92" s="11">
        <f>HYPERLINK("1\1\" &amp; K92, "Ver Imagen")</f>
        <v/>
      </c>
      <c r="M92" t="inlineStr">
        <is>
          <t>Moda</t>
        </is>
      </c>
    </row>
    <row r="93">
      <c r="A93" t="n">
        <v>92</v>
      </c>
      <c r="B93" t="inlineStr">
        <is>
          <t>A-495R__93</t>
        </is>
      </c>
      <c r="C93" s="1" t="n">
        <v>37.4620967702</v>
      </c>
      <c r="D93" s="1" t="n">
        <v>-7.11713713557</v>
      </c>
      <c r="E93" s="3" t="n">
        <v>1</v>
      </c>
      <c r="F93" s="2" t="n">
        <v>1</v>
      </c>
      <c r="G93" s="4" t="n">
        <v>2</v>
      </c>
      <c r="H93" s="13" t="n"/>
      <c r="I93" s="15" t="n"/>
      <c r="J93" s="19" t="n">
        <v>1</v>
      </c>
      <c r="K93" s="2" t="inlineStr">
        <is>
          <t>marker_845_906580.png</t>
        </is>
      </c>
      <c r="L93" s="11">
        <f>HYPERLINK("1\1\" &amp; K93, "Ver Imagen")</f>
        <v/>
      </c>
      <c r="M93" t="inlineStr">
        <is>
          <t>Moda</t>
        </is>
      </c>
    </row>
    <row r="94">
      <c r="A94" t="n">
        <v>93</v>
      </c>
      <c r="B94" t="inlineStr">
        <is>
          <t>A-495R__92</t>
        </is>
      </c>
      <c r="C94" s="1" t="n">
        <v>37.4619249239</v>
      </c>
      <c r="D94" s="1" t="n">
        <v>-7.11697666199</v>
      </c>
      <c r="E94" s="3" t="n">
        <v>1</v>
      </c>
      <c r="F94" s="2" t="n">
        <v>1</v>
      </c>
      <c r="G94" s="4" t="n">
        <v>2</v>
      </c>
      <c r="H94" s="13" t="n"/>
      <c r="I94" s="15" t="n"/>
      <c r="J94" s="19" t="n">
        <v>1</v>
      </c>
      <c r="K94" s="2" t="inlineStr">
        <is>
          <t>marker_229_906591.png</t>
        </is>
      </c>
      <c r="L94" s="11">
        <f>HYPERLINK("1\1\" &amp; K94, "Ver Imagen")</f>
        <v/>
      </c>
      <c r="M94" t="inlineStr">
        <is>
          <t>Moda</t>
        </is>
      </c>
    </row>
    <row r="95">
      <c r="A95" t="n">
        <v>94</v>
      </c>
      <c r="B95" t="inlineStr">
        <is>
          <t>A-495R__91</t>
        </is>
      </c>
      <c r="C95" s="1" t="n">
        <v>37.4617411926</v>
      </c>
      <c r="D95" s="1" t="n">
        <v>-7.11677741959</v>
      </c>
      <c r="E95" s="3" t="n">
        <v>1</v>
      </c>
      <c r="F95" s="2" t="n">
        <v>1</v>
      </c>
      <c r="G95" s="4" t="n">
        <v>2</v>
      </c>
      <c r="H95" s="13" t="n"/>
      <c r="I95" s="15" t="n"/>
      <c r="J95" s="19" t="n">
        <v>1</v>
      </c>
      <c r="K95" s="2" t="inlineStr">
        <is>
          <t>marker_181_906607.png</t>
        </is>
      </c>
      <c r="L95" s="11">
        <f>HYPERLINK("1\1\" &amp; K95, "Ver Imagen")</f>
        <v/>
      </c>
      <c r="M95" t="inlineStr">
        <is>
          <t>Moda</t>
        </is>
      </c>
    </row>
    <row r="96">
      <c r="A96" t="n">
        <v>95</v>
      </c>
      <c r="B96" t="inlineStr">
        <is>
          <t>A-495R__90</t>
        </is>
      </c>
      <c r="C96" s="1" t="n">
        <v>37.4616146761</v>
      </c>
      <c r="D96" s="1" t="n">
        <v>-7.11662385056</v>
      </c>
      <c r="E96" s="3" t="n">
        <v>1</v>
      </c>
      <c r="F96" s="2" t="n">
        <v>1</v>
      </c>
      <c r="G96" s="4" t="n">
        <v>2</v>
      </c>
      <c r="H96" s="13" t="n"/>
      <c r="I96" s="15" t="n"/>
      <c r="J96" s="19" t="n">
        <v>1</v>
      </c>
      <c r="K96" s="2" t="inlineStr">
        <is>
          <t>marker_565_906617.png</t>
        </is>
      </c>
      <c r="L96" s="11">
        <f>HYPERLINK("1\1\" &amp; K96, "Ver Imagen")</f>
        <v/>
      </c>
      <c r="M96" t="inlineStr">
        <is>
          <t>Moda</t>
        </is>
      </c>
    </row>
    <row r="97">
      <c r="A97" t="n">
        <v>96</v>
      </c>
      <c r="B97" t="inlineStr">
        <is>
          <t>A-495R__88</t>
        </is>
      </c>
      <c r="C97" s="1" t="n">
        <v>37.4613371829</v>
      </c>
      <c r="D97" s="1" t="n">
        <v>-7.1162764876</v>
      </c>
      <c r="E97" s="3" t="n">
        <v>1</v>
      </c>
      <c r="F97" s="2" t="n">
        <v>1</v>
      </c>
      <c r="G97" s="4" t="n">
        <v>2</v>
      </c>
      <c r="H97" s="13" t="n"/>
      <c r="I97" s="15" t="n"/>
      <c r="J97" s="19" t="n">
        <v>1</v>
      </c>
      <c r="K97" s="2" t="inlineStr">
        <is>
          <t>marker_907_906638.png</t>
        </is>
      </c>
      <c r="L97" s="11">
        <f>HYPERLINK("1\1\" &amp; K97, "Ver Imagen")</f>
        <v/>
      </c>
      <c r="M97" t="inlineStr">
        <is>
          <t>Moda</t>
        </is>
      </c>
    </row>
    <row r="98">
      <c r="A98" t="n">
        <v>97</v>
      </c>
      <c r="B98" t="inlineStr">
        <is>
          <t>A-495R__87</t>
        </is>
      </c>
      <c r="C98" s="1" t="n">
        <v>37.4611926819</v>
      </c>
      <c r="D98" s="1" t="n">
        <v>-7.11610156661</v>
      </c>
      <c r="E98" s="3" t="n">
        <v>1</v>
      </c>
      <c r="F98" s="2" t="n">
        <v>1</v>
      </c>
      <c r="G98" s="4" t="n">
        <v>2</v>
      </c>
      <c r="H98" s="13" t="n"/>
      <c r="I98" s="15" t="n"/>
      <c r="J98" s="19" t="n">
        <v>1</v>
      </c>
      <c r="K98" s="2" t="inlineStr">
        <is>
          <t>marker_942_906648.png</t>
        </is>
      </c>
      <c r="L98" s="11">
        <f>HYPERLINK("1\1\" &amp; K98, "Ver Imagen")</f>
        <v/>
      </c>
      <c r="M98" t="inlineStr">
        <is>
          <t>Moda</t>
        </is>
      </c>
    </row>
    <row r="99">
      <c r="A99" t="n">
        <v>98</v>
      </c>
      <c r="B99" t="inlineStr">
        <is>
          <t>A-495R__80</t>
        </is>
      </c>
      <c r="C99" s="1" t="n">
        <v>37.4600184025</v>
      </c>
      <c r="D99" s="1" t="n">
        <v>-7.11512885871</v>
      </c>
      <c r="E99" s="3" t="n">
        <v>1</v>
      </c>
      <c r="F99" s="2" t="n">
        <v>1</v>
      </c>
      <c r="G99" s="4" t="n">
        <v>2</v>
      </c>
      <c r="H99" s="13" t="n"/>
      <c r="I99" s="15" t="n"/>
      <c r="J99" s="19" t="n">
        <v>1</v>
      </c>
      <c r="K99" s="2" t="inlineStr">
        <is>
          <t>marker_550_906714.png</t>
        </is>
      </c>
      <c r="L99" s="11">
        <f>HYPERLINK("1\1\" &amp; K99, "Ver Imagen")</f>
        <v/>
      </c>
      <c r="M99" t="inlineStr">
        <is>
          <t>Moda</t>
        </is>
      </c>
    </row>
    <row r="100">
      <c r="A100" t="n">
        <v>99</v>
      </c>
      <c r="B100" t="inlineStr">
        <is>
          <t>A-5052__38</t>
        </is>
      </c>
      <c r="C100" s="1" t="n">
        <v>37.2178367628</v>
      </c>
      <c r="D100" s="1" t="n">
        <v>-7.11651172589</v>
      </c>
      <c r="E100" s="3" t="n">
        <v>1</v>
      </c>
      <c r="F100" s="2" t="n">
        <v>1</v>
      </c>
      <c r="G100" s="4" t="n">
        <v>2</v>
      </c>
      <c r="H100" s="13" t="n"/>
      <c r="I100" s="15" t="n"/>
      <c r="J100" s="19" t="n">
        <v>1</v>
      </c>
      <c r="K100" s="2" t="inlineStr">
        <is>
          <t>marker_346_956781.png</t>
        </is>
      </c>
      <c r="L100" s="11">
        <f>HYPERLINK("1\1\" &amp; K100, "Ver Imagen")</f>
        <v/>
      </c>
      <c r="M100" t="inlineStr">
        <is>
          <t>Moda</t>
        </is>
      </c>
    </row>
    <row r="101">
      <c r="A101" t="n">
        <v>100</v>
      </c>
      <c r="B101" t="inlineStr">
        <is>
          <t>A-5052__39</t>
        </is>
      </c>
      <c r="C101" s="1" t="n">
        <v>37.2178006167</v>
      </c>
      <c r="D101" s="1" t="n">
        <v>-7.11625119402</v>
      </c>
      <c r="E101" s="3" t="n">
        <v>1</v>
      </c>
      <c r="F101" s="2" t="n">
        <v>1</v>
      </c>
      <c r="G101" s="4" t="n">
        <v>2</v>
      </c>
      <c r="H101" s="13" t="n"/>
      <c r="I101" s="15" t="n"/>
      <c r="J101" s="19" t="n">
        <v>1</v>
      </c>
      <c r="K101" s="2" t="inlineStr">
        <is>
          <t>marker_237_956791.png</t>
        </is>
      </c>
      <c r="L101" s="11">
        <f>HYPERLINK("1\1\" &amp; K101, "Ver Imagen")</f>
        <v/>
      </c>
      <c r="M101" t="inlineStr">
        <is>
          <t>Moda</t>
        </is>
      </c>
    </row>
    <row r="102">
      <c r="A102" t="n">
        <v>101</v>
      </c>
      <c r="B102" t="inlineStr">
        <is>
          <t>A-5052__40</t>
        </is>
      </c>
      <c r="C102" s="1" t="n">
        <v>37.2177680803</v>
      </c>
      <c r="D102" s="1" t="n">
        <v>-7.11600838226</v>
      </c>
      <c r="E102" s="3" t="n">
        <v>1</v>
      </c>
      <c r="F102" s="2" t="n">
        <v>1</v>
      </c>
      <c r="G102" s="4" t="n">
        <v>2</v>
      </c>
      <c r="H102" s="13" t="n"/>
      <c r="I102" s="15" t="n"/>
      <c r="J102" s="19" t="n">
        <v>1</v>
      </c>
      <c r="K102" s="2" t="inlineStr">
        <is>
          <t>marker_121_956809.png</t>
        </is>
      </c>
      <c r="L102" s="11">
        <f>HYPERLINK("1\1\" &amp; K102, "Ver Imagen")</f>
        <v/>
      </c>
      <c r="M102" t="inlineStr">
        <is>
          <t>Moda</t>
        </is>
      </c>
    </row>
    <row r="103">
      <c r="A103" t="n">
        <v>102</v>
      </c>
      <c r="B103" t="inlineStr">
        <is>
          <t>A-5052__41</t>
        </is>
      </c>
      <c r="C103" s="1" t="n">
        <v>37.2177325906</v>
      </c>
      <c r="D103" s="1" t="n">
        <v>-7.1157445933</v>
      </c>
      <c r="E103" s="3" t="n">
        <v>1</v>
      </c>
      <c r="F103" s="2" t="n">
        <v>1</v>
      </c>
      <c r="G103" s="4" t="n">
        <v>2</v>
      </c>
      <c r="H103" s="13" t="n"/>
      <c r="I103" s="15" t="n"/>
      <c r="J103" s="19" t="n">
        <v>1</v>
      </c>
      <c r="K103" s="2" t="inlineStr">
        <is>
          <t>marker_644_956821.png</t>
        </is>
      </c>
      <c r="L103" s="11">
        <f>HYPERLINK("1\1\" &amp; K103, "Ver Imagen")</f>
        <v/>
      </c>
      <c r="M103" t="inlineStr">
        <is>
          <t>Moda</t>
        </is>
      </c>
    </row>
    <row r="104">
      <c r="A104" t="n">
        <v>103</v>
      </c>
      <c r="B104" t="inlineStr">
        <is>
          <t>A-5052__45</t>
        </is>
      </c>
      <c r="C104" s="1" t="n">
        <v>37.2175929427</v>
      </c>
      <c r="D104" s="1" t="n">
        <v>-7.11470679473</v>
      </c>
      <c r="E104" s="3" t="n">
        <v>1</v>
      </c>
      <c r="F104" s="2" t="n">
        <v>1</v>
      </c>
      <c r="G104" s="4" t="n">
        <v>2</v>
      </c>
      <c r="H104" s="13" t="n"/>
      <c r="I104" s="15" t="n"/>
      <c r="J104" s="19" t="n">
        <v>1</v>
      </c>
      <c r="K104" s="2" t="inlineStr">
        <is>
          <t>marker_734_956868.png</t>
        </is>
      </c>
      <c r="L104" s="11">
        <f>HYPERLINK("1\1\" &amp; K104, "Ver Imagen")</f>
        <v/>
      </c>
      <c r="M104" t="inlineStr">
        <is>
          <t>Moda</t>
        </is>
      </c>
    </row>
    <row r="105">
      <c r="A105" t="n">
        <v>104</v>
      </c>
      <c r="B105" t="inlineStr">
        <is>
          <t>A-5052__62</t>
        </is>
      </c>
      <c r="C105" s="1" t="n">
        <v>37.2176408009</v>
      </c>
      <c r="D105" s="1" t="n">
        <v>-7.11044826286</v>
      </c>
      <c r="E105" s="3" t="n">
        <v>1</v>
      </c>
      <c r="F105" s="2" t="n">
        <v>1</v>
      </c>
      <c r="G105" s="4" t="n">
        <v>2</v>
      </c>
      <c r="H105" s="13" t="n"/>
      <c r="I105" s="15" t="n"/>
      <c r="J105" s="19" t="n">
        <v>1</v>
      </c>
      <c r="K105" s="2" t="inlineStr">
        <is>
          <t>marker_421_957088.png</t>
        </is>
      </c>
      <c r="L105" s="11">
        <f>HYPERLINK("1\1\" &amp; K105, "Ver Imagen")</f>
        <v/>
      </c>
      <c r="M105" t="inlineStr">
        <is>
          <t>Moda</t>
        </is>
      </c>
    </row>
    <row r="106">
      <c r="A106" t="n">
        <v>105</v>
      </c>
      <c r="B106" t="inlineStr">
        <is>
          <t>A-5052__63</t>
        </is>
      </c>
      <c r="C106" s="1" t="n">
        <v>37.2176500686</v>
      </c>
      <c r="D106" s="1" t="n">
        <v>-7.1101947003</v>
      </c>
      <c r="E106" s="3" t="n">
        <v>1</v>
      </c>
      <c r="F106" s="2" t="n">
        <v>1</v>
      </c>
      <c r="G106" s="4" t="n">
        <v>2</v>
      </c>
      <c r="H106" s="13" t="n"/>
      <c r="I106" s="15" t="n"/>
      <c r="J106" s="19" t="n">
        <v>1</v>
      </c>
      <c r="K106" s="2" t="inlineStr">
        <is>
          <t>marker_195_957100.png</t>
        </is>
      </c>
      <c r="L106" s="11">
        <f>HYPERLINK("1\1\" &amp; K106, "Ver Imagen")</f>
        <v/>
      </c>
      <c r="M106" t="inlineStr">
        <is>
          <t>Moda</t>
        </is>
      </c>
    </row>
    <row r="107">
      <c r="A107" t="n">
        <v>106</v>
      </c>
      <c r="B107" t="inlineStr">
        <is>
          <t>A-5052__72</t>
        </is>
      </c>
      <c r="C107" s="1" t="n">
        <v>37.2174492556</v>
      </c>
      <c r="D107" s="1" t="n">
        <v>-7.10793322836</v>
      </c>
      <c r="E107" s="3" t="n">
        <v>1</v>
      </c>
      <c r="F107" s="2" t="n">
        <v>1</v>
      </c>
      <c r="G107" s="4" t="n">
        <v>2</v>
      </c>
      <c r="H107" s="13" t="n"/>
      <c r="I107" s="15" t="n"/>
      <c r="J107" s="19" t="n">
        <v>1</v>
      </c>
      <c r="K107" s="2" t="inlineStr">
        <is>
          <t>marker_832_957198.png</t>
        </is>
      </c>
      <c r="L107" s="11">
        <f>HYPERLINK("1\1\" &amp; K107, "Ver Imagen")</f>
        <v/>
      </c>
      <c r="M107" t="inlineStr">
        <is>
          <t>Moda</t>
        </is>
      </c>
    </row>
    <row r="108">
      <c r="A108" t="n">
        <v>107</v>
      </c>
      <c r="B108" t="inlineStr">
        <is>
          <t>A-5052__77</t>
        </is>
      </c>
      <c r="C108" s="1" t="n">
        <v>37.2172629376</v>
      </c>
      <c r="D108" s="1" t="n">
        <v>-7.10667926807</v>
      </c>
      <c r="E108" s="3" t="n">
        <v>1</v>
      </c>
      <c r="F108" s="2" t="n">
        <v>1</v>
      </c>
      <c r="G108" s="4" t="n">
        <v>2</v>
      </c>
      <c r="H108" s="13" t="n"/>
      <c r="I108" s="15" t="n"/>
      <c r="J108" s="19" t="n">
        <v>1</v>
      </c>
      <c r="K108" s="2" t="inlineStr">
        <is>
          <t>marker_475_957254.png</t>
        </is>
      </c>
      <c r="L108" s="11">
        <f>HYPERLINK("1\1\" &amp; K108, "Ver Imagen")</f>
        <v/>
      </c>
      <c r="M108" t="inlineStr">
        <is>
          <t>Moda</t>
        </is>
      </c>
    </row>
    <row r="109">
      <c r="A109" t="n">
        <v>108</v>
      </c>
      <c r="B109" t="inlineStr">
        <is>
          <t>A-5052__79</t>
        </is>
      </c>
      <c r="C109" s="1" t="n">
        <v>37.217196227</v>
      </c>
      <c r="D109" s="1" t="n">
        <v>-7.10620071707</v>
      </c>
      <c r="E109" s="3" t="n">
        <v>1</v>
      </c>
      <c r="F109" s="2" t="n">
        <v>1</v>
      </c>
      <c r="G109" s="4" t="n">
        <v>2</v>
      </c>
      <c r="H109" s="13" t="n"/>
      <c r="I109" s="15" t="n"/>
      <c r="J109" s="19" t="n">
        <v>1</v>
      </c>
      <c r="K109" s="2" t="inlineStr">
        <is>
          <t>marker_987_957274.png</t>
        </is>
      </c>
      <c r="L109" s="11">
        <f>HYPERLINK("1\1\" &amp; K109, "Ver Imagen")</f>
        <v/>
      </c>
      <c r="M109" t="inlineStr">
        <is>
          <t>Moda</t>
        </is>
      </c>
    </row>
    <row r="110">
      <c r="A110" t="n">
        <v>109</v>
      </c>
      <c r="B110" t="inlineStr">
        <is>
          <t>A-5052__80</t>
        </is>
      </c>
      <c r="C110" s="1" t="n">
        <v>37.2171610132</v>
      </c>
      <c r="D110" s="1" t="n">
        <v>-7.10594204263</v>
      </c>
      <c r="E110" s="3" t="n">
        <v>1</v>
      </c>
      <c r="F110" s="2" t="n">
        <v>1</v>
      </c>
      <c r="G110" s="4" t="n">
        <v>2</v>
      </c>
      <c r="H110" s="13" t="n"/>
      <c r="I110" s="15" t="n"/>
      <c r="J110" s="19" t="n">
        <v>1</v>
      </c>
      <c r="K110" s="2" t="inlineStr">
        <is>
          <t>marker_570_957286.png</t>
        </is>
      </c>
      <c r="L110" s="11">
        <f>HYPERLINK("1\1\" &amp; K110, "Ver Imagen")</f>
        <v/>
      </c>
      <c r="M110" t="inlineStr">
        <is>
          <t>Moda</t>
        </is>
      </c>
    </row>
    <row r="111">
      <c r="A111" t="n">
        <v>110</v>
      </c>
      <c r="B111" t="inlineStr">
        <is>
          <t>A-5052__89</t>
        </is>
      </c>
      <c r="C111" s="1" t="n">
        <v>37.2169441095</v>
      </c>
      <c r="D111" s="1" t="n">
        <v>-7.10368038064</v>
      </c>
      <c r="E111" s="3" t="n">
        <v>1</v>
      </c>
      <c r="F111" s="2" t="n">
        <v>1</v>
      </c>
      <c r="G111" s="4" t="n">
        <v>2</v>
      </c>
      <c r="H111" s="13" t="n"/>
      <c r="I111" s="15" t="n"/>
      <c r="J111" s="19" t="n">
        <v>1</v>
      </c>
      <c r="K111" s="2" t="inlineStr">
        <is>
          <t>marker_134_957487.png</t>
        </is>
      </c>
      <c r="L111" s="11">
        <f>HYPERLINK("1\1\" &amp; K111, "Ver Imagen")</f>
        <v/>
      </c>
      <c r="M111" t="inlineStr">
        <is>
          <t>Moda</t>
        </is>
      </c>
    </row>
    <row r="112">
      <c r="A112" t="n">
        <v>111</v>
      </c>
      <c r="B112" t="inlineStr">
        <is>
          <t>A-5052__90</t>
        </is>
      </c>
      <c r="C112" s="1" t="n">
        <v>37.2169227654</v>
      </c>
      <c r="D112" s="1" t="n">
        <v>-7.10344312843</v>
      </c>
      <c r="E112" s="3" t="n">
        <v>1</v>
      </c>
      <c r="F112" s="2" t="n">
        <v>1</v>
      </c>
      <c r="G112" s="4" t="n">
        <v>2</v>
      </c>
      <c r="H112" s="13" t="n"/>
      <c r="I112" s="15" t="n"/>
      <c r="J112" s="19" t="n">
        <v>1</v>
      </c>
      <c r="K112" s="2" t="inlineStr">
        <is>
          <t>marker_642_957497.png</t>
        </is>
      </c>
      <c r="L112" s="11">
        <f>HYPERLINK("1\1\" &amp; K112, "Ver Imagen")</f>
        <v/>
      </c>
      <c r="M112" t="inlineStr">
        <is>
          <t>Moda</t>
        </is>
      </c>
    </row>
    <row r="113">
      <c r="A113" t="n">
        <v>112</v>
      </c>
      <c r="B113" t="inlineStr">
        <is>
          <t>A-5052__91</t>
        </is>
      </c>
      <c r="C113" s="1" t="n">
        <v>37.2169024886</v>
      </c>
      <c r="D113" s="1" t="n">
        <v>-7.10320628284</v>
      </c>
      <c r="E113" s="3" t="n">
        <v>1</v>
      </c>
      <c r="F113" s="2" t="n">
        <v>1</v>
      </c>
      <c r="G113" s="4" t="n">
        <v>2</v>
      </c>
      <c r="H113" s="13" t="n"/>
      <c r="I113" s="15" t="n"/>
      <c r="J113" s="19" t="n">
        <v>1</v>
      </c>
      <c r="K113" s="2" t="inlineStr">
        <is>
          <t>marker_932_957508.png</t>
        </is>
      </c>
      <c r="L113" s="11">
        <f>HYPERLINK("1\1\" &amp; K113, "Ver Imagen")</f>
        <v/>
      </c>
      <c r="M113" t="inlineStr">
        <is>
          <t>Moda</t>
        </is>
      </c>
    </row>
    <row r="114">
      <c r="A114" t="n">
        <v>113</v>
      </c>
      <c r="B114" t="inlineStr">
        <is>
          <t>A-5052__96</t>
        </is>
      </c>
      <c r="C114" s="1" t="n">
        <v>37.2167875928</v>
      </c>
      <c r="D114" s="1" t="n">
        <v>-7.10192561734</v>
      </c>
      <c r="E114" s="3" t="n">
        <v>1</v>
      </c>
      <c r="F114" s="2" t="n">
        <v>1</v>
      </c>
      <c r="G114" s="4" t="n">
        <v>2</v>
      </c>
      <c r="H114" s="13" t="n"/>
      <c r="I114" s="15" t="n"/>
      <c r="J114" s="19" t="n">
        <v>1</v>
      </c>
      <c r="K114" s="2" t="inlineStr">
        <is>
          <t>marker_323_957613.png</t>
        </is>
      </c>
      <c r="L114" s="11">
        <f>HYPERLINK("1\1\" &amp; K114, "Ver Imagen")</f>
        <v/>
      </c>
      <c r="M114" t="inlineStr">
        <is>
          <t>Moda</t>
        </is>
      </c>
    </row>
    <row r="115">
      <c r="A115" t="n">
        <v>114</v>
      </c>
      <c r="B115" t="inlineStr">
        <is>
          <t>A-5052__99</t>
        </is>
      </c>
      <c r="C115" s="1" t="n">
        <v>37.2168259709</v>
      </c>
      <c r="D115" s="1" t="n">
        <v>-7.10116289064</v>
      </c>
      <c r="E115" s="3" t="n">
        <v>1</v>
      </c>
      <c r="F115" s="2" t="n">
        <v>1</v>
      </c>
      <c r="G115" s="4" t="n">
        <v>2</v>
      </c>
      <c r="H115" s="13" t="n"/>
      <c r="I115" s="15" t="n"/>
      <c r="J115" s="19" t="n">
        <v>1</v>
      </c>
      <c r="K115" s="2" t="inlineStr">
        <is>
          <t>marker_104_957649.png</t>
        </is>
      </c>
      <c r="L115" s="11">
        <f>HYPERLINK("1\1\" &amp; K115, "Ver Imagen")</f>
        <v/>
      </c>
      <c r="M115" t="inlineStr">
        <is>
          <t>Moda</t>
        </is>
      </c>
    </row>
    <row r="116">
      <c r="A116" t="n">
        <v>115</v>
      </c>
      <c r="B116" t="inlineStr">
        <is>
          <t>A-5052__121</t>
        </is>
      </c>
      <c r="C116" s="1" t="n">
        <v>37.2166573911</v>
      </c>
      <c r="D116" s="1" t="n">
        <v>-7.09565970392</v>
      </c>
      <c r="E116" s="3" t="n">
        <v>1</v>
      </c>
      <c r="F116" s="2" t="n">
        <v>1</v>
      </c>
      <c r="G116" s="4" t="n">
        <v>2</v>
      </c>
      <c r="H116" s="13" t="n"/>
      <c r="I116" s="15" t="n"/>
      <c r="J116" s="19" t="n">
        <v>1</v>
      </c>
      <c r="K116" s="2" t="inlineStr">
        <is>
          <t>marker_532_957950.png</t>
        </is>
      </c>
      <c r="L116" s="11">
        <f>HYPERLINK("1\1\" &amp; K116, "Ver Imagen")</f>
        <v/>
      </c>
      <c r="M116" t="inlineStr">
        <is>
          <t>Moda</t>
        </is>
      </c>
    </row>
    <row r="117">
      <c r="A117" t="n">
        <v>116</v>
      </c>
      <c r="B117" t="inlineStr">
        <is>
          <t>A-5052__153</t>
        </is>
      </c>
      <c r="C117" s="1" t="n">
        <v>37.2160215488</v>
      </c>
      <c r="D117" s="1" t="n">
        <v>-7.08761441804</v>
      </c>
      <c r="E117" s="3" t="n">
        <v>1</v>
      </c>
      <c r="F117" s="2" t="n">
        <v>1</v>
      </c>
      <c r="G117" s="4" t="n">
        <v>2</v>
      </c>
      <c r="H117" s="13" t="n"/>
      <c r="I117" s="15" t="n"/>
      <c r="J117" s="19" t="n">
        <v>1</v>
      </c>
      <c r="K117" s="2" t="inlineStr">
        <is>
          <t>marker_590_958567.png</t>
        </is>
      </c>
      <c r="L117" s="11">
        <f>HYPERLINK("1\1\" &amp; K117, "Ver Imagen")</f>
        <v/>
      </c>
      <c r="M117" t="inlineStr">
        <is>
          <t>Moda</t>
        </is>
      </c>
    </row>
    <row r="118">
      <c r="A118" t="n">
        <v>117</v>
      </c>
      <c r="B118" t="inlineStr">
        <is>
          <t>A-5052__166</t>
        </is>
      </c>
      <c r="C118" s="1" t="n">
        <v>37.216227173</v>
      </c>
      <c r="D118" s="1" t="n">
        <v>-7.08438348384</v>
      </c>
      <c r="E118" s="3" t="n">
        <v>1</v>
      </c>
      <c r="F118" s="2" t="n">
        <v>1</v>
      </c>
      <c r="G118" s="4" t="n">
        <v>2</v>
      </c>
      <c r="H118" s="13" t="n"/>
      <c r="I118" s="15" t="n"/>
      <c r="J118" s="19" t="n">
        <v>1</v>
      </c>
      <c r="K118" s="2" t="inlineStr">
        <is>
          <t>marker_710_958849.png</t>
        </is>
      </c>
      <c r="L118" s="11">
        <f>HYPERLINK("1\1\" &amp; K118, "Ver Imagen")</f>
        <v/>
      </c>
      <c r="M118" t="inlineStr">
        <is>
          <t>Moda</t>
        </is>
      </c>
    </row>
    <row r="119">
      <c r="A119" t="n">
        <v>118</v>
      </c>
      <c r="B119" t="inlineStr">
        <is>
          <t>A-5052__176</t>
        </is>
      </c>
      <c r="C119" s="1" t="n">
        <v>37.215662479</v>
      </c>
      <c r="D119" s="1" t="n">
        <v>-7.08199533654</v>
      </c>
      <c r="E119" s="3" t="n">
        <v>1</v>
      </c>
      <c r="F119" s="2" t="n">
        <v>1</v>
      </c>
      <c r="G119" s="4" t="n">
        <v>2</v>
      </c>
      <c r="H119" s="13" t="n"/>
      <c r="I119" s="15" t="n"/>
      <c r="J119" s="19" t="n">
        <v>1</v>
      </c>
      <c r="K119" s="2" t="inlineStr">
        <is>
          <t>marker_220_959029.png</t>
        </is>
      </c>
      <c r="L119" s="11">
        <f>HYPERLINK("1\1\" &amp; K119, "Ver Imagen")</f>
        <v/>
      </c>
      <c r="M119" t="inlineStr">
        <is>
          <t>Moda</t>
        </is>
      </c>
    </row>
    <row r="120">
      <c r="A120" t="n">
        <v>119</v>
      </c>
      <c r="B120" t="inlineStr">
        <is>
          <t>A-5052__182</t>
        </is>
      </c>
      <c r="C120" s="1" t="n">
        <v>37.2152523853</v>
      </c>
      <c r="D120" s="1" t="n">
        <v>-7.08055046209</v>
      </c>
      <c r="E120" s="3" t="n">
        <v>1</v>
      </c>
      <c r="F120" s="2" t="n">
        <v>1</v>
      </c>
      <c r="G120" s="4" t="n">
        <v>2</v>
      </c>
      <c r="H120" s="13" t="n"/>
      <c r="I120" s="15" t="n"/>
      <c r="J120" s="19" t="n">
        <v>1</v>
      </c>
      <c r="K120" s="2" t="inlineStr">
        <is>
          <t>marker_889_959189.png</t>
        </is>
      </c>
      <c r="L120" s="11">
        <f>HYPERLINK("1\1\" &amp; K120, "Ver Imagen")</f>
        <v/>
      </c>
      <c r="M120" t="inlineStr">
        <is>
          <t>Moda</t>
        </is>
      </c>
    </row>
    <row r="121">
      <c r="A121" t="n">
        <v>120</v>
      </c>
      <c r="B121" t="inlineStr">
        <is>
          <t>A-5052__194</t>
        </is>
      </c>
      <c r="C121" s="1" t="n">
        <v>37.2146018969</v>
      </c>
      <c r="D121" s="1" t="n">
        <v>-7.07757333296</v>
      </c>
      <c r="E121" s="3" t="n">
        <v>1</v>
      </c>
      <c r="F121" s="2" t="n">
        <v>1</v>
      </c>
      <c r="G121" s="4" t="n">
        <v>2</v>
      </c>
      <c r="H121" s="13" t="n"/>
      <c r="I121" s="15" t="n"/>
      <c r="J121" s="19" t="n">
        <v>1</v>
      </c>
      <c r="K121" s="2" t="inlineStr">
        <is>
          <t>marker_834_959393.png</t>
        </is>
      </c>
      <c r="L121" s="11">
        <f>HYPERLINK("1\1\" &amp; K121, "Ver Imagen")</f>
        <v/>
      </c>
      <c r="M121" t="inlineStr">
        <is>
          <t>Moda</t>
        </is>
      </c>
    </row>
    <row r="122">
      <c r="A122" t="n">
        <v>121</v>
      </c>
      <c r="B122" t="inlineStr">
        <is>
          <t>A-5052__195</t>
        </is>
      </c>
      <c r="C122" s="1" t="n">
        <v>37.2145551412</v>
      </c>
      <c r="D122" s="1" t="n">
        <v>-7.07732809825</v>
      </c>
      <c r="E122" s="3" t="n">
        <v>1</v>
      </c>
      <c r="F122" s="2" t="n">
        <v>1</v>
      </c>
      <c r="G122" s="4" t="n">
        <v>2</v>
      </c>
      <c r="H122" s="13" t="n"/>
      <c r="I122" s="15" t="n"/>
      <c r="J122" s="19" t="n">
        <v>1</v>
      </c>
      <c r="K122" s="2" t="inlineStr">
        <is>
          <t>marker_226_959402.png</t>
        </is>
      </c>
      <c r="L122" s="11">
        <f>HYPERLINK("1\1\" &amp; K122, "Ver Imagen")</f>
        <v/>
      </c>
      <c r="M122" t="inlineStr">
        <is>
          <t>Moda</t>
        </is>
      </c>
    </row>
    <row r="123">
      <c r="A123" t="n">
        <v>122</v>
      </c>
      <c r="B123" t="inlineStr">
        <is>
          <t>A-5052__197</t>
        </is>
      </c>
      <c r="C123" s="1" t="n">
        <v>37.2144626147</v>
      </c>
      <c r="D123" s="1" t="n">
        <v>-7.07683664073</v>
      </c>
      <c r="E123" s="3" t="n">
        <v>1</v>
      </c>
      <c r="F123" s="2" t="n">
        <v>1</v>
      </c>
      <c r="G123" s="4" t="n">
        <v>2</v>
      </c>
      <c r="H123" s="13" t="n"/>
      <c r="I123" s="15" t="n"/>
      <c r="J123" s="19" t="n">
        <v>1</v>
      </c>
      <c r="K123" s="2" t="inlineStr">
        <is>
          <t>marker_567_959419.png</t>
        </is>
      </c>
      <c r="L123" s="11">
        <f>HYPERLINK("1\1\" &amp; K123, "Ver Imagen")</f>
        <v/>
      </c>
      <c r="M123" t="inlineStr">
        <is>
          <t>Moda</t>
        </is>
      </c>
    </row>
    <row r="124">
      <c r="A124" t="n">
        <v>123</v>
      </c>
      <c r="B124" t="inlineStr">
        <is>
          <t>A-5052__198</t>
        </is>
      </c>
      <c r="C124" s="1" t="n">
        <v>37.2144095697</v>
      </c>
      <c r="D124" s="1" t="n">
        <v>-7.07655222816</v>
      </c>
      <c r="E124" s="3" t="n">
        <v>1</v>
      </c>
      <c r="F124" s="2" t="n">
        <v>1</v>
      </c>
      <c r="G124" s="4" t="n">
        <v>2</v>
      </c>
      <c r="H124" s="13" t="n"/>
      <c r="I124" s="15" t="n"/>
      <c r="J124" s="19" t="n">
        <v>1</v>
      </c>
      <c r="K124" s="2" t="inlineStr">
        <is>
          <t>marker_155_959442.png</t>
        </is>
      </c>
      <c r="L124" s="11">
        <f>HYPERLINK("1\1\" &amp; K124, "Ver Imagen")</f>
        <v/>
      </c>
      <c r="M124" t="inlineStr">
        <is>
          <t>Moda</t>
        </is>
      </c>
    </row>
    <row r="125">
      <c r="A125" t="n">
        <v>124</v>
      </c>
      <c r="B125" t="inlineStr">
        <is>
          <t>A-5052__199</t>
        </is>
      </c>
      <c r="C125" s="1" t="n">
        <v>37.2143729572</v>
      </c>
      <c r="D125" s="1" t="n">
        <v>-7.07636070397</v>
      </c>
      <c r="E125" s="3" t="n">
        <v>1</v>
      </c>
      <c r="F125" s="2" t="n">
        <v>1</v>
      </c>
      <c r="G125" s="4" t="n">
        <v>2</v>
      </c>
      <c r="H125" s="13" t="n"/>
      <c r="I125" s="15" t="n"/>
      <c r="J125" s="19" t="n">
        <v>1</v>
      </c>
      <c r="K125" s="2" t="inlineStr">
        <is>
          <t>marker_691_959454.png</t>
        </is>
      </c>
      <c r="L125" s="11">
        <f>HYPERLINK("1\1\" &amp; K125, "Ver Imagen")</f>
        <v/>
      </c>
      <c r="M125" t="inlineStr">
        <is>
          <t>Moda</t>
        </is>
      </c>
    </row>
    <row r="126">
      <c r="A126" t="n">
        <v>125</v>
      </c>
      <c r="B126" t="inlineStr">
        <is>
          <t>A-5052__200</t>
        </is>
      </c>
      <c r="C126" s="1" t="n">
        <v>37.2143231282</v>
      </c>
      <c r="D126" s="1" t="n">
        <v>-7.07610883433</v>
      </c>
      <c r="E126" s="3" t="n">
        <v>1</v>
      </c>
      <c r="F126" s="2" t="n">
        <v>1</v>
      </c>
      <c r="G126" s="4" t="n">
        <v>2</v>
      </c>
      <c r="H126" s="13" t="n"/>
      <c r="I126" s="15" t="n"/>
      <c r="J126" s="19" t="n">
        <v>1</v>
      </c>
      <c r="K126" s="2" t="inlineStr">
        <is>
          <t>marker_382_959472.png</t>
        </is>
      </c>
      <c r="L126" s="11">
        <f>HYPERLINK("1\1\" &amp; K126, "Ver Imagen")</f>
        <v/>
      </c>
      <c r="M126" t="inlineStr">
        <is>
          <t>Moda</t>
        </is>
      </c>
    </row>
    <row r="127">
      <c r="A127" t="n">
        <v>126</v>
      </c>
      <c r="B127" t="inlineStr">
        <is>
          <t>A-5052__201</t>
        </is>
      </c>
      <c r="C127" s="1" t="n">
        <v>37.2142803161</v>
      </c>
      <c r="D127" s="1" t="n">
        <v>-7.07589045704</v>
      </c>
      <c r="E127" s="3" t="n">
        <v>1</v>
      </c>
      <c r="F127" s="2" t="n">
        <v>1</v>
      </c>
      <c r="G127" s="4" t="n">
        <v>2</v>
      </c>
      <c r="H127" s="13" t="n"/>
      <c r="I127" s="15" t="n"/>
      <c r="J127" s="19" t="n">
        <v>1</v>
      </c>
      <c r="K127" s="2" t="inlineStr">
        <is>
          <t>marker_906_959482.png</t>
        </is>
      </c>
      <c r="L127" s="11">
        <f>HYPERLINK("1\1\" &amp; K127, "Ver Imagen")</f>
        <v/>
      </c>
      <c r="M127" t="inlineStr">
        <is>
          <t>Moda</t>
        </is>
      </c>
    </row>
    <row r="128">
      <c r="A128" t="n">
        <v>127</v>
      </c>
      <c r="B128" t="inlineStr">
        <is>
          <t>A-5052__202</t>
        </is>
      </c>
      <c r="C128" s="1" t="n">
        <v>37.2142291734</v>
      </c>
      <c r="D128" s="1" t="n">
        <v>-7.0756251793</v>
      </c>
      <c r="E128" s="3" t="n">
        <v>1</v>
      </c>
      <c r="F128" s="2" t="n">
        <v>1</v>
      </c>
      <c r="G128" s="4" t="n">
        <v>2</v>
      </c>
      <c r="H128" s="13" t="n"/>
      <c r="I128" s="15" t="n"/>
      <c r="J128" s="19" t="n">
        <v>1</v>
      </c>
      <c r="K128" s="2" t="inlineStr">
        <is>
          <t>marker_899_959490.png</t>
        </is>
      </c>
      <c r="L128" s="11">
        <f>HYPERLINK("1\1\" &amp; K128, "Ver Imagen")</f>
        <v/>
      </c>
      <c r="M128" t="inlineStr">
        <is>
          <t>Moda</t>
        </is>
      </c>
    </row>
    <row r="129">
      <c r="A129" t="n">
        <v>128</v>
      </c>
      <c r="B129" t="inlineStr">
        <is>
          <t>A-5052__203</t>
        </is>
      </c>
      <c r="C129" s="1" t="n">
        <v>37.2141838384</v>
      </c>
      <c r="D129" s="1" t="n">
        <v>-7.07538416538</v>
      </c>
      <c r="E129" s="3" t="n">
        <v>1</v>
      </c>
      <c r="F129" s="2" t="n">
        <v>1</v>
      </c>
      <c r="G129" s="4" t="n">
        <v>2</v>
      </c>
      <c r="H129" s="13" t="n"/>
      <c r="I129" s="15" t="n"/>
      <c r="J129" s="19" t="n">
        <v>1</v>
      </c>
      <c r="K129" s="2" t="inlineStr">
        <is>
          <t>marker_695_959499.png</t>
        </is>
      </c>
      <c r="L129" s="11">
        <f>HYPERLINK("1\1\" &amp; K129, "Ver Imagen")</f>
        <v/>
      </c>
      <c r="M129" t="inlineStr">
        <is>
          <t>Moda</t>
        </is>
      </c>
    </row>
    <row r="130">
      <c r="A130" t="n">
        <v>129</v>
      </c>
      <c r="B130" t="inlineStr">
        <is>
          <t>A-5052__207</t>
        </is>
      </c>
      <c r="C130" s="1" t="n">
        <v>37.2140094482</v>
      </c>
      <c r="D130" s="1" t="n">
        <v>-7.07440724843</v>
      </c>
      <c r="E130" s="3" t="n">
        <v>1</v>
      </c>
      <c r="F130" s="2" t="n">
        <v>1</v>
      </c>
      <c r="G130" s="4" t="n">
        <v>2</v>
      </c>
      <c r="H130" s="13" t="n"/>
      <c r="I130" s="15" t="n"/>
      <c r="J130" s="19" t="n">
        <v>1</v>
      </c>
      <c r="K130" s="2" t="inlineStr">
        <is>
          <t>marker_473_959556.png</t>
        </is>
      </c>
      <c r="L130" s="11">
        <f>HYPERLINK("1\1\" &amp; K130, "Ver Imagen")</f>
        <v/>
      </c>
      <c r="M130" t="inlineStr">
        <is>
          <t>Moda</t>
        </is>
      </c>
    </row>
    <row r="131">
      <c r="A131" t="n">
        <v>130</v>
      </c>
      <c r="B131" t="inlineStr">
        <is>
          <t>A-5052__220</t>
        </is>
      </c>
      <c r="C131" s="1" t="n">
        <v>37.2136128899</v>
      </c>
      <c r="D131" s="1" t="n">
        <v>-7.07111852193</v>
      </c>
      <c r="E131" s="3" t="n">
        <v>1</v>
      </c>
      <c r="F131" s="2" t="n">
        <v>1</v>
      </c>
      <c r="G131" s="4" t="n">
        <v>2</v>
      </c>
      <c r="H131" s="13" t="n"/>
      <c r="I131" s="15" t="n"/>
      <c r="J131" s="19" t="n">
        <v>1</v>
      </c>
      <c r="K131" s="2" t="inlineStr">
        <is>
          <t>marker_920_959721.png</t>
        </is>
      </c>
      <c r="L131" s="11">
        <f>HYPERLINK("1\1\" &amp; K131, "Ver Imagen")</f>
        <v/>
      </c>
      <c r="M131" t="inlineStr">
        <is>
          <t>Moda</t>
        </is>
      </c>
    </row>
    <row r="132">
      <c r="A132" t="n">
        <v>131</v>
      </c>
      <c r="B132" t="inlineStr">
        <is>
          <t>A-5052__222</t>
        </is>
      </c>
      <c r="C132" s="1" t="n">
        <v>37.213557827</v>
      </c>
      <c r="D132" s="1" t="n">
        <v>-7.07062412477</v>
      </c>
      <c r="E132" s="3" t="n">
        <v>1</v>
      </c>
      <c r="F132" s="2" t="n">
        <v>1</v>
      </c>
      <c r="G132" s="4" t="n">
        <v>2</v>
      </c>
      <c r="H132" s="13" t="n"/>
      <c r="I132" s="15" t="n"/>
      <c r="J132" s="19" t="n">
        <v>1</v>
      </c>
      <c r="K132" s="2" t="inlineStr">
        <is>
          <t>marker_984_959739.png</t>
        </is>
      </c>
      <c r="L132" s="11">
        <f>HYPERLINK("1\1\" &amp; K132, "Ver Imagen")</f>
        <v/>
      </c>
      <c r="M132" t="inlineStr">
        <is>
          <t>Moda</t>
        </is>
      </c>
    </row>
    <row r="133">
      <c r="A133" t="n">
        <v>132</v>
      </c>
      <c r="B133" t="inlineStr">
        <is>
          <t>A-5052__223</t>
        </is>
      </c>
      <c r="C133" s="1" t="n">
        <v>37.2135349726</v>
      </c>
      <c r="D133" s="1" t="n">
        <v>-7.07040359177</v>
      </c>
      <c r="E133" s="3" t="n">
        <v>1</v>
      </c>
      <c r="F133" s="2" t="n">
        <v>1</v>
      </c>
      <c r="G133" s="4" t="n">
        <v>2</v>
      </c>
      <c r="H133" s="13" t="n"/>
      <c r="I133" s="15" t="n"/>
      <c r="J133" s="19" t="n">
        <v>1</v>
      </c>
      <c r="K133" s="2" t="inlineStr">
        <is>
          <t>marker_270_959748.png</t>
        </is>
      </c>
      <c r="L133" s="11">
        <f>HYPERLINK("1\1\" &amp; K133, "Ver Imagen")</f>
        <v/>
      </c>
      <c r="M133" t="inlineStr">
        <is>
          <t>Moda</t>
        </is>
      </c>
    </row>
    <row r="134">
      <c r="A134" t="n">
        <v>133</v>
      </c>
      <c r="B134" t="inlineStr">
        <is>
          <t>A-5052__224</t>
        </is>
      </c>
      <c r="C134" s="1" t="n">
        <v>37.2135124763</v>
      </c>
      <c r="D134" s="1" t="n">
        <v>-7.07014968984</v>
      </c>
      <c r="E134" s="3" t="n">
        <v>1</v>
      </c>
      <c r="F134" s="2" t="n">
        <v>1</v>
      </c>
      <c r="G134" s="4" t="n">
        <v>2</v>
      </c>
      <c r="H134" s="13" t="n"/>
      <c r="I134" s="15" t="n"/>
      <c r="J134" s="19" t="n">
        <v>1</v>
      </c>
      <c r="K134" s="2" t="inlineStr">
        <is>
          <t>marker_434_959757.png</t>
        </is>
      </c>
      <c r="L134" s="11">
        <f>HYPERLINK("1\1\" &amp; K134, "Ver Imagen")</f>
        <v/>
      </c>
      <c r="M134" t="inlineStr">
        <is>
          <t>Moda</t>
        </is>
      </c>
    </row>
    <row r="135">
      <c r="A135" t="n">
        <v>134</v>
      </c>
      <c r="B135" t="inlineStr">
        <is>
          <t>A-5052__225</t>
        </is>
      </c>
      <c r="C135" s="1" t="n">
        <v>37.2134935182</v>
      </c>
      <c r="D135" s="1" t="n">
        <v>-7.0698987902</v>
      </c>
      <c r="E135" s="3" t="n">
        <v>1</v>
      </c>
      <c r="F135" s="2" t="n">
        <v>1</v>
      </c>
      <c r="G135" s="4" t="n">
        <v>2</v>
      </c>
      <c r="H135" s="13" t="n"/>
      <c r="I135" s="15" t="n"/>
      <c r="J135" s="19" t="n">
        <v>1</v>
      </c>
      <c r="K135" s="2" t="inlineStr">
        <is>
          <t>marker_186_959770.png</t>
        </is>
      </c>
      <c r="L135" s="11">
        <f>HYPERLINK("1\1\" &amp; K135, "Ver Imagen")</f>
        <v/>
      </c>
      <c r="M135" t="inlineStr">
        <is>
          <t>Moda</t>
        </is>
      </c>
    </row>
    <row r="136">
      <c r="A136" t="n">
        <v>135</v>
      </c>
      <c r="B136" t="inlineStr">
        <is>
          <t>A-5052__226</t>
        </is>
      </c>
      <c r="C136" s="1" t="n">
        <v>37.2134767298</v>
      </c>
      <c r="D136" s="1" t="n">
        <v>-7.0696145755</v>
      </c>
      <c r="E136" s="3" t="n">
        <v>1</v>
      </c>
      <c r="F136" s="2" t="n">
        <v>1</v>
      </c>
      <c r="G136" s="4" t="n">
        <v>2</v>
      </c>
      <c r="H136" s="13" t="n"/>
      <c r="I136" s="15" t="n"/>
      <c r="J136" s="19" t="n">
        <v>1</v>
      </c>
      <c r="K136" s="2" t="inlineStr">
        <is>
          <t>marker_698_959779.png</t>
        </is>
      </c>
      <c r="L136" s="11">
        <f>HYPERLINK("1\1\" &amp; K136, "Ver Imagen")</f>
        <v/>
      </c>
      <c r="M136" t="inlineStr">
        <is>
          <t>Moda</t>
        </is>
      </c>
    </row>
    <row r="137">
      <c r="A137" t="n">
        <v>136</v>
      </c>
      <c r="B137" t="inlineStr">
        <is>
          <t>A-5052__228</t>
        </is>
      </c>
      <c r="C137" s="1" t="n">
        <v>37.2134582702</v>
      </c>
      <c r="D137" s="1" t="n">
        <v>-7.0691522952</v>
      </c>
      <c r="E137" s="3" t="n">
        <v>1</v>
      </c>
      <c r="F137" s="2" t="n">
        <v>1</v>
      </c>
      <c r="G137" s="4" t="n">
        <v>2</v>
      </c>
      <c r="H137" s="13" t="n"/>
      <c r="I137" s="15" t="n"/>
      <c r="J137" s="19" t="n">
        <v>1</v>
      </c>
      <c r="K137" s="2" t="inlineStr">
        <is>
          <t>marker_428_959800.png</t>
        </is>
      </c>
      <c r="L137" s="11">
        <f>HYPERLINK("1\1\" &amp; K137, "Ver Imagen")</f>
        <v/>
      </c>
      <c r="M137" t="inlineStr">
        <is>
          <t>Moda</t>
        </is>
      </c>
    </row>
    <row r="138">
      <c r="A138" t="n">
        <v>137</v>
      </c>
      <c r="B138" t="inlineStr">
        <is>
          <t>A-5052__231</t>
        </is>
      </c>
      <c r="C138" s="1" t="n">
        <v>37.2134271291</v>
      </c>
      <c r="D138" s="1" t="n">
        <v>-7.06836155255</v>
      </c>
      <c r="E138" s="3" t="n">
        <v>1</v>
      </c>
      <c r="F138" s="2" t="n">
        <v>1</v>
      </c>
      <c r="G138" s="4" t="n">
        <v>2</v>
      </c>
      <c r="H138" s="13" t="n"/>
      <c r="I138" s="15" t="n"/>
      <c r="J138" s="19" t="n">
        <v>1</v>
      </c>
      <c r="K138" s="2" t="inlineStr">
        <is>
          <t>marker_915_959839.png</t>
        </is>
      </c>
      <c r="L138" s="11">
        <f>HYPERLINK("1\1\" &amp; K138, "Ver Imagen")</f>
        <v/>
      </c>
      <c r="M138" t="inlineStr">
        <is>
          <t>Moda</t>
        </is>
      </c>
    </row>
    <row r="139">
      <c r="A139" t="n">
        <v>138</v>
      </c>
      <c r="B139" t="inlineStr">
        <is>
          <t>A-5052__233</t>
        </is>
      </c>
      <c r="C139" s="1" t="n">
        <v>37.2134012635</v>
      </c>
      <c r="D139" s="1" t="n">
        <v>-7.06785302663</v>
      </c>
      <c r="E139" s="3" t="n">
        <v>1</v>
      </c>
      <c r="F139" s="2" t="n">
        <v>1</v>
      </c>
      <c r="G139" s="4" t="n">
        <v>2</v>
      </c>
      <c r="H139" s="13" t="n"/>
      <c r="I139" s="15" t="n"/>
      <c r="J139" s="19" t="n">
        <v>1</v>
      </c>
      <c r="K139" s="2" t="inlineStr">
        <is>
          <t>marker_293_959863.png</t>
        </is>
      </c>
      <c r="L139" s="11">
        <f>HYPERLINK("1\1\" &amp; K139, "Ver Imagen")</f>
        <v/>
      </c>
      <c r="M139" t="inlineStr">
        <is>
          <t>Moda</t>
        </is>
      </c>
    </row>
    <row r="140">
      <c r="A140" t="n">
        <v>139</v>
      </c>
      <c r="B140" t="inlineStr">
        <is>
          <t>A-5052__238</t>
        </is>
      </c>
      <c r="C140" s="1" t="n">
        <v>37.2133488012</v>
      </c>
      <c r="D140" s="1" t="n">
        <v>-7.06663752972</v>
      </c>
      <c r="E140" s="3" t="n">
        <v>1</v>
      </c>
      <c r="F140" s="2" t="n">
        <v>1</v>
      </c>
      <c r="G140" s="4" t="n">
        <v>2</v>
      </c>
      <c r="H140" s="13" t="n"/>
      <c r="I140" s="15" t="n"/>
      <c r="J140" s="19" t="n">
        <v>1</v>
      </c>
      <c r="K140" s="2" t="inlineStr">
        <is>
          <t>marker_915_959925.png</t>
        </is>
      </c>
      <c r="L140" s="11">
        <f>HYPERLINK("1\1\" &amp; K140, "Ver Imagen")</f>
        <v/>
      </c>
      <c r="M140" t="inlineStr">
        <is>
          <t>Moda</t>
        </is>
      </c>
    </row>
    <row r="141">
      <c r="A141" t="n">
        <v>140</v>
      </c>
      <c r="B141" t="inlineStr">
        <is>
          <t>A-5052__243</t>
        </is>
      </c>
      <c r="C141" s="1" t="n">
        <v>37.2133078096</v>
      </c>
      <c r="D141" s="1" t="n">
        <v>-7.06535420364</v>
      </c>
      <c r="E141" s="3" t="n">
        <v>1</v>
      </c>
      <c r="F141" s="2" t="n">
        <v>1</v>
      </c>
      <c r="G141" s="4" t="n">
        <v>2</v>
      </c>
      <c r="H141" s="13" t="n"/>
      <c r="I141" s="15" t="n"/>
      <c r="J141" s="19" t="n">
        <v>1</v>
      </c>
      <c r="K141" s="2" t="inlineStr">
        <is>
          <t>marker_608_959988.png</t>
        </is>
      </c>
      <c r="L141" s="11">
        <f>HYPERLINK("1\1\" &amp; K141, "Ver Imagen")</f>
        <v/>
      </c>
      <c r="M141" t="inlineStr">
        <is>
          <t>Moda</t>
        </is>
      </c>
    </row>
    <row r="142">
      <c r="A142" t="n">
        <v>141</v>
      </c>
      <c r="B142" t="inlineStr">
        <is>
          <t>A-5052__270</t>
        </is>
      </c>
      <c r="C142" s="1" t="n">
        <v>37.2119471503</v>
      </c>
      <c r="D142" s="1" t="n">
        <v>-7.05890510303</v>
      </c>
      <c r="E142" s="3" t="n">
        <v>2</v>
      </c>
      <c r="F142" s="2" t="n">
        <v>1</v>
      </c>
      <c r="G142" s="4" t="n">
        <v>1</v>
      </c>
      <c r="H142" s="13" t="n"/>
      <c r="I142" s="15" t="n"/>
      <c r="J142" s="19" t="n">
        <v>1</v>
      </c>
      <c r="K142" s="2" t="inlineStr">
        <is>
          <t>marker_174_960318.png</t>
        </is>
      </c>
      <c r="L142" s="11">
        <f>HYPERLINK("1\1\" &amp; K142, "Ver Imagen")</f>
        <v/>
      </c>
      <c r="M142" t="inlineStr">
        <is>
          <t>Moda</t>
        </is>
      </c>
    </row>
    <row r="143">
      <c r="A143" t="n">
        <v>142</v>
      </c>
      <c r="B143" t="inlineStr">
        <is>
          <t>A-5052__341</t>
        </is>
      </c>
      <c r="C143" s="1" t="n">
        <v>37.2100283792</v>
      </c>
      <c r="D143" s="1" t="n">
        <v>-7.04180821432</v>
      </c>
      <c r="E143" s="3" t="n">
        <v>2</v>
      </c>
      <c r="F143" s="2" t="n">
        <v>1</v>
      </c>
      <c r="G143" s="4" t="n">
        <v>1</v>
      </c>
      <c r="H143" s="13" t="n"/>
      <c r="I143" s="15" t="n"/>
      <c r="J143" s="19" t="n">
        <v>1</v>
      </c>
      <c r="K143" s="2" t="inlineStr">
        <is>
          <t>marker_639_961636.png</t>
        </is>
      </c>
      <c r="L143" s="11">
        <f>HYPERLINK("1\1\" &amp; K143, "Ver Imagen")</f>
        <v/>
      </c>
      <c r="M143" t="inlineStr">
        <is>
          <t>Moda</t>
        </is>
      </c>
    </row>
    <row r="144">
      <c r="A144" t="n">
        <v>143</v>
      </c>
      <c r="B144" t="inlineStr">
        <is>
          <t>A-5052__411</t>
        </is>
      </c>
      <c r="C144" s="1" t="n">
        <v>37.2039170019</v>
      </c>
      <c r="D144" s="1" t="n">
        <v>-7.02587933634</v>
      </c>
      <c r="E144" s="3" t="n">
        <v>1</v>
      </c>
      <c r="F144" s="2" t="n">
        <v>2</v>
      </c>
      <c r="G144" s="4" t="n">
        <v>1</v>
      </c>
      <c r="H144" s="13" t="n"/>
      <c r="I144" s="15" t="n"/>
      <c r="J144" s="19" t="n">
        <v>1</v>
      </c>
      <c r="K144" s="2" t="inlineStr">
        <is>
          <t>marker_850_962784.png</t>
        </is>
      </c>
      <c r="L144" s="11">
        <f>HYPERLINK("1\1\" &amp; K144, "Ver Imagen")</f>
        <v/>
      </c>
      <c r="M144" t="inlineStr">
        <is>
          <t>Moda</t>
        </is>
      </c>
    </row>
    <row r="145">
      <c r="A145" t="n">
        <v>144</v>
      </c>
      <c r="B145" t="inlineStr">
        <is>
          <t>A-5052__412</t>
        </is>
      </c>
      <c r="C145" s="1" t="n">
        <v>37.2038267807</v>
      </c>
      <c r="D145" s="1" t="n">
        <v>-7.02564514432</v>
      </c>
      <c r="E145" s="3" t="n">
        <v>1</v>
      </c>
      <c r="F145" s="2" t="n">
        <v>2</v>
      </c>
      <c r="G145" s="4" t="n">
        <v>1</v>
      </c>
      <c r="H145" s="13" t="n"/>
      <c r="I145" s="15" t="n"/>
      <c r="J145" s="19" t="n">
        <v>1</v>
      </c>
      <c r="K145" s="2" t="inlineStr">
        <is>
          <t>marker_781_962793.png</t>
        </is>
      </c>
      <c r="L145" s="11">
        <f>HYPERLINK("1\1\" &amp; K145, "Ver Imagen")</f>
        <v/>
      </c>
      <c r="M145" t="inlineStr">
        <is>
          <t>Moda</t>
        </is>
      </c>
    </row>
    <row r="146">
      <c r="A146" t="n">
        <v>145</v>
      </c>
      <c r="B146" t="inlineStr">
        <is>
          <t>A-5052__418</t>
        </is>
      </c>
      <c r="C146" s="1" t="n">
        <v>37.2032857817</v>
      </c>
      <c r="D146" s="1" t="n">
        <v>-7.02425234055</v>
      </c>
      <c r="E146" s="3" t="n">
        <v>1</v>
      </c>
      <c r="F146" s="2" t="n">
        <v>2</v>
      </c>
      <c r="G146" s="4" t="n">
        <v>1</v>
      </c>
      <c r="H146" s="13" t="n"/>
      <c r="I146" s="15" t="n"/>
      <c r="J146" s="19" t="n">
        <v>1</v>
      </c>
      <c r="K146" s="2" t="inlineStr">
        <is>
          <t>marker_262_962857.png</t>
        </is>
      </c>
      <c r="L146" s="11">
        <f>HYPERLINK("1\1\" &amp; K146, "Ver Imagen")</f>
        <v/>
      </c>
      <c r="M146" t="inlineStr">
        <is>
          <t>Moda</t>
        </is>
      </c>
    </row>
    <row r="147">
      <c r="A147" t="n">
        <v>146</v>
      </c>
      <c r="B147" t="inlineStr">
        <is>
          <t>A-5052__423</t>
        </is>
      </c>
      <c r="C147" s="1" t="n">
        <v>37.2028498619</v>
      </c>
      <c r="D147" s="1" t="n">
        <v>-7.02313032383</v>
      </c>
      <c r="E147" s="3" t="n">
        <v>1</v>
      </c>
      <c r="F147" s="2" t="n">
        <v>2</v>
      </c>
      <c r="G147" s="4" t="n">
        <v>1</v>
      </c>
      <c r="H147" s="13" t="n"/>
      <c r="I147" s="15" t="n"/>
      <c r="J147" s="19" t="n">
        <v>1</v>
      </c>
      <c r="K147" s="2" t="inlineStr">
        <is>
          <t>marker_832_962905.png</t>
        </is>
      </c>
      <c r="L147" s="11">
        <f>HYPERLINK("1\1\" &amp; K147, "Ver Imagen")</f>
        <v/>
      </c>
      <c r="M147" t="inlineStr">
        <is>
          <t>Moda</t>
        </is>
      </c>
    </row>
    <row r="148">
      <c r="A148" t="n">
        <v>147</v>
      </c>
      <c r="B148" t="inlineStr">
        <is>
          <t>A-5052__429</t>
        </is>
      </c>
      <c r="C148" s="1" t="n">
        <v>37.2023287627</v>
      </c>
      <c r="D148" s="1" t="n">
        <v>-7.021765552</v>
      </c>
      <c r="E148" s="3" t="n">
        <v>1</v>
      </c>
      <c r="F148" s="2" t="n">
        <v>1</v>
      </c>
      <c r="G148" s="4" t="n">
        <v>2</v>
      </c>
      <c r="H148" s="13" t="n"/>
      <c r="I148" s="15" t="n"/>
      <c r="J148" s="19" t="n">
        <v>1</v>
      </c>
      <c r="K148" s="2" t="inlineStr">
        <is>
          <t>marker_645_962956.png</t>
        </is>
      </c>
      <c r="L148" s="11">
        <f>HYPERLINK("1\1\" &amp; K148, "Ver Imagen")</f>
        <v/>
      </c>
      <c r="M148" t="inlineStr">
        <is>
          <t>Moda</t>
        </is>
      </c>
    </row>
    <row r="149">
      <c r="A149" t="n">
        <v>148</v>
      </c>
      <c r="B149" t="inlineStr">
        <is>
          <t>A-5052__430</t>
        </is>
      </c>
      <c r="C149" s="1" t="n">
        <v>37.2022320669</v>
      </c>
      <c r="D149" s="1" t="n">
        <v>-7.02151297718</v>
      </c>
      <c r="E149" s="3" t="n">
        <v>1</v>
      </c>
      <c r="F149" s="2" t="n">
        <v>2</v>
      </c>
      <c r="G149" s="4" t="n">
        <v>1</v>
      </c>
      <c r="H149" s="13" t="n"/>
      <c r="I149" s="15" t="n"/>
      <c r="J149" s="19" t="n">
        <v>1</v>
      </c>
      <c r="K149" s="2" t="inlineStr">
        <is>
          <t>marker_683_962965.png</t>
        </is>
      </c>
      <c r="L149" s="11">
        <f>HYPERLINK("1\1\" &amp; K149, "Ver Imagen")</f>
        <v/>
      </c>
      <c r="M149" t="inlineStr">
        <is>
          <t>Moda</t>
        </is>
      </c>
    </row>
    <row r="150">
      <c r="A150" t="n">
        <v>149</v>
      </c>
      <c r="B150" t="inlineStr">
        <is>
          <t>A-5052__435</t>
        </is>
      </c>
      <c r="C150" s="1" t="n">
        <v>37.2017954798</v>
      </c>
      <c r="D150" s="1" t="n">
        <v>-7.02037208515</v>
      </c>
      <c r="E150" s="3" t="n">
        <v>1</v>
      </c>
      <c r="F150" s="2" t="n">
        <v>1</v>
      </c>
      <c r="G150" s="4" t="n">
        <v>2</v>
      </c>
      <c r="H150" s="13" t="n"/>
      <c r="I150" s="15" t="n"/>
      <c r="J150" s="19" t="n">
        <v>1</v>
      </c>
      <c r="K150" s="2" t="inlineStr">
        <is>
          <t>marker_313_963026.png</t>
        </is>
      </c>
      <c r="L150" s="11">
        <f>HYPERLINK("1\1\" &amp; K150, "Ver Imagen")</f>
        <v/>
      </c>
      <c r="M150" t="inlineStr">
        <is>
          <t>Moda</t>
        </is>
      </c>
    </row>
    <row r="151">
      <c r="A151" t="n">
        <v>150</v>
      </c>
      <c r="B151" t="inlineStr">
        <is>
          <t>A-5052__450</t>
        </is>
      </c>
      <c r="C151" s="1" t="n">
        <v>37.2004889973</v>
      </c>
      <c r="D151" s="1" t="n">
        <v>-7.01697007404</v>
      </c>
      <c r="E151" s="3" t="n">
        <v>2</v>
      </c>
      <c r="F151" s="2" t="n">
        <v>1</v>
      </c>
      <c r="G151" s="4" t="n">
        <v>1</v>
      </c>
      <c r="H151" s="13" t="n"/>
      <c r="I151" s="15" t="n"/>
      <c r="J151" s="19" t="n">
        <v>1</v>
      </c>
      <c r="K151" s="2" t="inlineStr">
        <is>
          <t>marker_226_963179.png</t>
        </is>
      </c>
      <c r="L151" s="11">
        <f>HYPERLINK("1\1\" &amp; K151, "Ver Imagen")</f>
        <v/>
      </c>
      <c r="M151" t="inlineStr">
        <is>
          <t>Moda</t>
        </is>
      </c>
    </row>
    <row r="152">
      <c r="A152" t="n">
        <v>151</v>
      </c>
      <c r="B152" t="inlineStr">
        <is>
          <t>A-5052__454</t>
        </is>
      </c>
      <c r="C152" s="1" t="n">
        <v>37.2001369134</v>
      </c>
      <c r="D152" s="1" t="n">
        <v>-7.01605741469</v>
      </c>
      <c r="E152" s="3" t="n">
        <v>1</v>
      </c>
      <c r="F152" s="2" t="n">
        <v>1</v>
      </c>
      <c r="G152" s="4" t="n">
        <v>2</v>
      </c>
      <c r="H152" s="13" t="n"/>
      <c r="I152" s="15" t="n"/>
      <c r="J152" s="19" t="n">
        <v>1</v>
      </c>
      <c r="K152" s="2" t="inlineStr">
        <is>
          <t>marker_347_963225.png</t>
        </is>
      </c>
      <c r="L152" s="11">
        <f>HYPERLINK("1\1\" &amp; K152, "Ver Imagen")</f>
        <v/>
      </c>
      <c r="M152" t="inlineStr">
        <is>
          <t>Moda</t>
        </is>
      </c>
    </row>
    <row r="153">
      <c r="A153" t="n">
        <v>152</v>
      </c>
      <c r="B153" t="inlineStr">
        <is>
          <t>A-5052__459</t>
        </is>
      </c>
      <c r="C153" s="1" t="n">
        <v>37.1996929679</v>
      </c>
      <c r="D153" s="1" t="n">
        <v>-7.01488407037</v>
      </c>
      <c r="E153" s="3" t="n">
        <v>1</v>
      </c>
      <c r="F153" s="2" t="n">
        <v>1</v>
      </c>
      <c r="G153" s="4" t="n">
        <v>2</v>
      </c>
      <c r="H153" s="13" t="n"/>
      <c r="I153" s="15" t="n"/>
      <c r="J153" s="19" t="n">
        <v>1</v>
      </c>
      <c r="K153" s="2" t="inlineStr">
        <is>
          <t>marker_803_963271.png</t>
        </is>
      </c>
      <c r="L153" s="11">
        <f>HYPERLINK("1\1\" &amp; K153, "Ver Imagen")</f>
        <v/>
      </c>
      <c r="M153" t="inlineStr">
        <is>
          <t>Moda</t>
        </is>
      </c>
    </row>
    <row r="154">
      <c r="A154" t="n">
        <v>153</v>
      </c>
      <c r="B154" t="inlineStr">
        <is>
          <t>A-5052__460</t>
        </is>
      </c>
      <c r="C154" s="1" t="n">
        <v>37.1996009163</v>
      </c>
      <c r="D154" s="1" t="n">
        <v>-7.01464467076</v>
      </c>
      <c r="E154" s="3" t="n">
        <v>1</v>
      </c>
      <c r="F154" s="2" t="n">
        <v>1</v>
      </c>
      <c r="G154" s="4" t="n">
        <v>2</v>
      </c>
      <c r="H154" s="13" t="n"/>
      <c r="I154" s="15" t="n"/>
      <c r="J154" s="19" t="n">
        <v>1</v>
      </c>
      <c r="K154" s="2" t="inlineStr">
        <is>
          <t>marker_507_963280.png</t>
        </is>
      </c>
      <c r="L154" s="11">
        <f>HYPERLINK("1\1\" &amp; K154, "Ver Imagen")</f>
        <v/>
      </c>
      <c r="M154" t="inlineStr">
        <is>
          <t>Moda</t>
        </is>
      </c>
    </row>
    <row r="155">
      <c r="A155" t="n">
        <v>154</v>
      </c>
      <c r="B155" t="inlineStr">
        <is>
          <t>A-5052__461</t>
        </is>
      </c>
      <c r="C155" s="1" t="n">
        <v>37.1995242898</v>
      </c>
      <c r="D155" s="1" t="n">
        <v>-7.01444456313</v>
      </c>
      <c r="E155" s="3" t="n">
        <v>0</v>
      </c>
      <c r="F155" s="2" t="n">
        <v>1</v>
      </c>
      <c r="G155" s="4" t="n">
        <v>1</v>
      </c>
      <c r="H155" s="13" t="n"/>
      <c r="I155" s="15" t="n"/>
      <c r="J155" s="19" t="n">
        <v>1</v>
      </c>
      <c r="K155" s="2" t="inlineStr">
        <is>
          <t>marker_832_963288.png</t>
        </is>
      </c>
      <c r="L155" s="11">
        <f>HYPERLINK("1\1\" &amp; K155, "Ver Imagen")</f>
        <v/>
      </c>
      <c r="M155" t="inlineStr">
        <is>
          <t>Moda</t>
        </is>
      </c>
    </row>
    <row r="156">
      <c r="A156" t="n">
        <v>155</v>
      </c>
      <c r="B156" t="inlineStr">
        <is>
          <t>A-5052__462</t>
        </is>
      </c>
      <c r="C156" s="1" t="n">
        <v>37.1994402131</v>
      </c>
      <c r="D156" s="1" t="n">
        <v>-7.01422586899</v>
      </c>
      <c r="E156" s="3" t="n">
        <v>1</v>
      </c>
      <c r="F156" s="2" t="n">
        <v>1</v>
      </c>
      <c r="G156" s="4" t="n">
        <v>2</v>
      </c>
      <c r="H156" s="13" t="n"/>
      <c r="I156" s="15" t="n"/>
      <c r="J156" s="19" t="n">
        <v>1</v>
      </c>
      <c r="K156" s="2" t="inlineStr">
        <is>
          <t>marker_921_963297.png</t>
        </is>
      </c>
      <c r="L156" s="11">
        <f>HYPERLINK("1\1\" &amp; K156, "Ver Imagen")</f>
        <v/>
      </c>
      <c r="M156" t="inlineStr">
        <is>
          <t>Moda</t>
        </is>
      </c>
    </row>
    <row r="157">
      <c r="A157" t="n">
        <v>156</v>
      </c>
      <c r="B157" t="inlineStr">
        <is>
          <t>A-5052__489</t>
        </is>
      </c>
      <c r="C157" s="1" t="n">
        <v>37.1973005233</v>
      </c>
      <c r="D157" s="1" t="n">
        <v>-7.00797595758</v>
      </c>
      <c r="E157" s="3" t="n">
        <v>1</v>
      </c>
      <c r="F157" s="2" t="n">
        <v>1</v>
      </c>
      <c r="G157" s="4" t="n">
        <v>2</v>
      </c>
      <c r="H157" s="13" t="n"/>
      <c r="I157" s="15" t="n"/>
      <c r="J157" s="19" t="n">
        <v>1</v>
      </c>
      <c r="K157" s="2" t="inlineStr">
        <is>
          <t>marker_879_963579.png</t>
        </is>
      </c>
      <c r="L157" s="11">
        <f>HYPERLINK("1\1\" &amp; K157, "Ver Imagen")</f>
        <v/>
      </c>
      <c r="M157" t="inlineStr">
        <is>
          <t>Moda</t>
        </is>
      </c>
    </row>
    <row r="158">
      <c r="A158" t="n">
        <v>157</v>
      </c>
      <c r="B158" t="inlineStr">
        <is>
          <t>A-5052__495</t>
        </is>
      </c>
      <c r="C158" s="1" t="n">
        <v>37.1971435952</v>
      </c>
      <c r="D158" s="1" t="n">
        <v>-7.00646385057</v>
      </c>
      <c r="E158" s="3" t="n">
        <v>1</v>
      </c>
      <c r="F158" s="2" t="n">
        <v>2</v>
      </c>
      <c r="G158" s="4" t="n">
        <v>1</v>
      </c>
      <c r="H158" s="13" t="n"/>
      <c r="I158" s="15" t="n"/>
      <c r="J158" s="19" t="n">
        <v>1</v>
      </c>
      <c r="K158" s="2" t="inlineStr">
        <is>
          <t>marker_100_963633.png</t>
        </is>
      </c>
      <c r="L158" s="11">
        <f>HYPERLINK("1\1\" &amp; K158, "Ver Imagen")</f>
        <v/>
      </c>
      <c r="M158" t="inlineStr">
        <is>
          <t>Moda</t>
        </is>
      </c>
    </row>
    <row r="159">
      <c r="A159" t="n">
        <v>158</v>
      </c>
      <c r="B159" t="inlineStr">
        <is>
          <t>A-5053__368</t>
        </is>
      </c>
      <c r="C159" s="1" t="n">
        <v>37.2861301693</v>
      </c>
      <c r="D159" s="1" t="n">
        <v>-7.14176651622</v>
      </c>
      <c r="E159" s="3" t="n">
        <v>1</v>
      </c>
      <c r="F159" s="2" t="n">
        <v>1</v>
      </c>
      <c r="G159" s="4" t="n">
        <v>2</v>
      </c>
      <c r="H159" s="13" t="n"/>
      <c r="I159" s="15" t="n"/>
      <c r="J159" s="19" t="n">
        <v>1</v>
      </c>
      <c r="K159" s="2" t="inlineStr">
        <is>
          <t>marker_847_963978.png</t>
        </is>
      </c>
      <c r="L159" s="11">
        <f>HYPERLINK("1\1\" &amp; K159, "Ver Imagen")</f>
        <v/>
      </c>
      <c r="M159" t="inlineStr">
        <is>
          <t>Moda</t>
        </is>
      </c>
    </row>
    <row r="160">
      <c r="A160" t="n">
        <v>159</v>
      </c>
      <c r="B160" t="inlineStr">
        <is>
          <t>A-5053__345</t>
        </is>
      </c>
      <c r="C160" s="1" t="n">
        <v>37.2821186698</v>
      </c>
      <c r="D160" s="1" t="n">
        <v>-7.14428917118</v>
      </c>
      <c r="E160" s="3" t="n">
        <v>1</v>
      </c>
      <c r="F160" s="2" t="n">
        <v>1</v>
      </c>
      <c r="G160" s="4" t="n">
        <v>2</v>
      </c>
      <c r="H160" s="13" t="n"/>
      <c r="I160" s="15" t="n"/>
      <c r="J160" s="19" t="n">
        <v>1</v>
      </c>
      <c r="K160" s="2" t="inlineStr">
        <is>
          <t>marker_854_964226.png</t>
        </is>
      </c>
      <c r="L160" s="11">
        <f>HYPERLINK("1\1\" &amp; K160, "Ver Imagen")</f>
        <v/>
      </c>
      <c r="M160" t="inlineStr">
        <is>
          <t>Moda</t>
        </is>
      </c>
    </row>
    <row r="161">
      <c r="A161" t="n">
        <v>160</v>
      </c>
      <c r="B161" t="inlineStr">
        <is>
          <t>A-5053__113</t>
        </is>
      </c>
      <c r="C161" s="1" t="n">
        <v>37.2412319249</v>
      </c>
      <c r="D161" s="1" t="n">
        <v>-7.12857217257</v>
      </c>
      <c r="E161" s="3" t="n">
        <v>1</v>
      </c>
      <c r="F161" s="2" t="n">
        <v>1</v>
      </c>
      <c r="G161" s="4" t="n">
        <v>2</v>
      </c>
      <c r="H161" s="13" t="n"/>
      <c r="I161" s="15" t="n"/>
      <c r="J161" s="19" t="n">
        <v>1</v>
      </c>
      <c r="K161" s="2" t="inlineStr">
        <is>
          <t>marker_648_019675.png</t>
        </is>
      </c>
      <c r="L161" s="11">
        <f>HYPERLINK("1\1\" &amp; K161, "Ver Imagen")</f>
        <v/>
      </c>
      <c r="M161" t="inlineStr">
        <is>
          <t>Moda</t>
        </is>
      </c>
    </row>
    <row r="162">
      <c r="A162" t="n">
        <v>161</v>
      </c>
      <c r="B162" t="inlineStr">
        <is>
          <t>A-5053__15</t>
        </is>
      </c>
      <c r="C162" s="1" t="n">
        <v>37.2218070471</v>
      </c>
      <c r="D162" s="1" t="n">
        <v>-7.12521929342</v>
      </c>
      <c r="E162" s="3" t="n">
        <v>1</v>
      </c>
      <c r="F162" s="2" t="n">
        <v>1</v>
      </c>
      <c r="G162" s="4" t="n">
        <v>2</v>
      </c>
      <c r="H162" s="13" t="n"/>
      <c r="I162" s="15" t="n"/>
      <c r="J162" s="19" t="n">
        <v>1</v>
      </c>
      <c r="K162" s="2" t="inlineStr">
        <is>
          <t>marker_544_025051.png</t>
        </is>
      </c>
      <c r="L162" s="11">
        <f>HYPERLINK("1\1\" &amp; K162, "Ver Imagen")</f>
        <v/>
      </c>
      <c r="M162" t="inlineStr">
        <is>
          <t>Moda</t>
        </is>
      </c>
    </row>
    <row r="163">
      <c r="A163" t="n">
        <v>162</v>
      </c>
      <c r="B163" t="inlineStr">
        <is>
          <t>A-495__103</t>
        </is>
      </c>
      <c r="C163" s="1" t="n">
        <v>37.4358876838</v>
      </c>
      <c r="D163" s="1" t="n">
        <v>-7.07694562387</v>
      </c>
      <c r="E163" s="3" t="n">
        <v>2</v>
      </c>
      <c r="F163" s="2" t="n">
        <v>1</v>
      </c>
      <c r="G163" s="4" t="n">
        <v>1</v>
      </c>
      <c r="H163" s="13" t="n"/>
      <c r="I163" s="15" t="n"/>
      <c r="J163" s="19" t="n">
        <v>1</v>
      </c>
      <c r="K163" s="2" t="inlineStr">
        <is>
          <t>marker_159_382185.png</t>
        </is>
      </c>
      <c r="L163" s="11">
        <f>HYPERLINK("1\1\" &amp; K163, "Ver Imagen")</f>
        <v/>
      </c>
      <c r="M163" t="inlineStr">
        <is>
          <t>Moda</t>
        </is>
      </c>
    </row>
    <row r="164">
      <c r="A164" t="n">
        <v>163</v>
      </c>
      <c r="B164" t="inlineStr">
        <is>
          <t>A-495__105</t>
        </is>
      </c>
      <c r="C164" s="1" t="n">
        <v>37.4354684087</v>
      </c>
      <c r="D164" s="1" t="n">
        <v>-7.07668533225</v>
      </c>
      <c r="E164" s="3" t="n">
        <v>1</v>
      </c>
      <c r="F164" s="2" t="n">
        <v>2</v>
      </c>
      <c r="G164" s="4" t="n">
        <v>1</v>
      </c>
      <c r="H164" s="13" t="n"/>
      <c r="I164" s="15" t="n"/>
      <c r="J164" s="19" t="n">
        <v>1</v>
      </c>
      <c r="K164" s="2" t="inlineStr">
        <is>
          <t>marker_995_382211.png</t>
        </is>
      </c>
      <c r="L164" s="11">
        <f>HYPERLINK("1\1\" &amp; K164, "Ver Imagen")</f>
        <v/>
      </c>
      <c r="M164" t="inlineStr">
        <is>
          <t>Moda</t>
        </is>
      </c>
    </row>
    <row r="165">
      <c r="A165" t="n">
        <v>164</v>
      </c>
      <c r="B165" t="inlineStr">
        <is>
          <t>A-495_1__92</t>
        </is>
      </c>
      <c r="C165" s="1" t="n">
        <v>37.4659891746</v>
      </c>
      <c r="D165" s="1" t="n">
        <v>-7.12276074222</v>
      </c>
      <c r="E165" s="3" t="n">
        <v>1</v>
      </c>
      <c r="F165" s="2" t="n">
        <v>2</v>
      </c>
      <c r="G165" s="4" t="n">
        <v>1</v>
      </c>
      <c r="H165" s="13" t="n"/>
      <c r="I165" s="15" t="n"/>
      <c r="J165" s="19" t="n">
        <v>1</v>
      </c>
      <c r="K165" s="2" t="inlineStr">
        <is>
          <t>marker_861_385118.png</t>
        </is>
      </c>
      <c r="L165" s="11">
        <f>HYPERLINK("1\1\" &amp; K165, "Ver Imagen")</f>
        <v/>
      </c>
      <c r="M165" t="inlineStr">
        <is>
          <t>Moda</t>
        </is>
      </c>
    </row>
    <row r="166">
      <c r="A166" t="n">
        <v>165</v>
      </c>
      <c r="B166" t="inlineStr">
        <is>
          <t>A-495_1__91</t>
        </is>
      </c>
      <c r="C166" s="1" t="n">
        <v>37.4658182909</v>
      </c>
      <c r="D166" s="1" t="n">
        <v>-7.12280292175</v>
      </c>
      <c r="E166" s="3" t="n">
        <v>1</v>
      </c>
      <c r="F166" s="2" t="n">
        <v>2</v>
      </c>
      <c r="G166" s="4" t="n">
        <v>1</v>
      </c>
      <c r="H166" s="13" t="n"/>
      <c r="I166" s="15" t="n"/>
      <c r="J166" s="19" t="n">
        <v>1</v>
      </c>
      <c r="K166" s="2" t="inlineStr">
        <is>
          <t>marker_293_385127.png</t>
        </is>
      </c>
      <c r="L166" s="11">
        <f>HYPERLINK("1\1\" &amp; K166, "Ver Imagen")</f>
        <v/>
      </c>
      <c r="M166" t="inlineStr">
        <is>
          <t>Moda</t>
        </is>
      </c>
    </row>
    <row r="167">
      <c r="A167" t="n">
        <v>166</v>
      </c>
      <c r="B167" t="inlineStr">
        <is>
          <t>A-495_1__89</t>
        </is>
      </c>
      <c r="C167" s="1" t="n">
        <v>37.4653986704</v>
      </c>
      <c r="D167" s="1" t="n">
        <v>-7.12297318585</v>
      </c>
      <c r="E167" s="3" t="n">
        <v>1</v>
      </c>
      <c r="F167" s="2" t="n">
        <v>2</v>
      </c>
      <c r="G167" s="4" t="n">
        <v>1</v>
      </c>
      <c r="H167" s="13" t="n"/>
      <c r="I167" s="15" t="n"/>
      <c r="J167" s="19" t="n">
        <v>1</v>
      </c>
      <c r="K167" s="2" t="inlineStr">
        <is>
          <t>marker_711_385153.png</t>
        </is>
      </c>
      <c r="L167" s="11">
        <f>HYPERLINK("1\1\" &amp; K167, "Ver Imagen")</f>
        <v/>
      </c>
      <c r="M167" t="inlineStr">
        <is>
          <t>Moda</t>
        </is>
      </c>
    </row>
    <row r="168">
      <c r="A168" t="n">
        <v>167</v>
      </c>
      <c r="B168" t="inlineStr">
        <is>
          <t>A-495_1__79</t>
        </is>
      </c>
      <c r="C168" s="1" t="n">
        <v>37.463581151</v>
      </c>
      <c r="D168" s="1" t="n">
        <v>-7.12401945032</v>
      </c>
      <c r="E168" s="3" t="n">
        <v>1</v>
      </c>
      <c r="F168" s="2" t="n">
        <v>1</v>
      </c>
      <c r="G168" s="4" t="n">
        <v>2</v>
      </c>
      <c r="H168" s="13" t="n"/>
      <c r="I168" s="15" t="n"/>
      <c r="J168" s="19" t="n">
        <v>1</v>
      </c>
      <c r="K168" s="2" t="inlineStr">
        <is>
          <t>marker_127_385242.png</t>
        </is>
      </c>
      <c r="L168" s="11">
        <f>HYPERLINK("1\1\" &amp; K168, "Ver Imagen")</f>
        <v/>
      </c>
      <c r="M168" t="inlineStr">
        <is>
          <t>Moda</t>
        </is>
      </c>
    </row>
    <row r="169">
      <c r="A169" t="n">
        <v>168</v>
      </c>
      <c r="B169" t="inlineStr">
        <is>
          <t>A-495_1__77</t>
        </is>
      </c>
      <c r="C169" s="1" t="n">
        <v>37.4631909842</v>
      </c>
      <c r="D169" s="1" t="n">
        <v>-7.12413013755</v>
      </c>
      <c r="E169" s="3" t="n">
        <v>1</v>
      </c>
      <c r="F169" s="2" t="n">
        <v>1</v>
      </c>
      <c r="G169" s="4" t="n">
        <v>2</v>
      </c>
      <c r="H169" s="13" t="n"/>
      <c r="I169" s="15" t="n"/>
      <c r="J169" s="19" t="n">
        <v>1</v>
      </c>
      <c r="K169" s="2" t="inlineStr">
        <is>
          <t>marker_316_385260.png</t>
        </is>
      </c>
      <c r="L169" s="11">
        <f>HYPERLINK("1\1\" &amp; K169, "Ver Imagen")</f>
        <v/>
      </c>
      <c r="M169" t="inlineStr">
        <is>
          <t>Moda</t>
        </is>
      </c>
    </row>
    <row r="170">
      <c r="A170" t="n">
        <v>169</v>
      </c>
      <c r="B170" t="inlineStr">
        <is>
          <t>A-495_1__76</t>
        </is>
      </c>
      <c r="C170" s="1" t="n">
        <v>37.4629735848</v>
      </c>
      <c r="D170" s="1" t="n">
        <v>-7.12417326352</v>
      </c>
      <c r="E170" s="3" t="n">
        <v>1</v>
      </c>
      <c r="F170" s="2" t="n">
        <v>2</v>
      </c>
      <c r="G170" s="4" t="n">
        <v>1</v>
      </c>
      <c r="H170" s="13" t="n"/>
      <c r="I170" s="15" t="n"/>
      <c r="J170" s="19" t="n">
        <v>1</v>
      </c>
      <c r="K170" s="2" t="inlineStr">
        <is>
          <t>marker_616_385270.png</t>
        </is>
      </c>
      <c r="L170" s="11">
        <f>HYPERLINK("1\1\" &amp; K170, "Ver Imagen")</f>
        <v/>
      </c>
      <c r="M170" t="inlineStr">
        <is>
          <t>Moda</t>
        </is>
      </c>
    </row>
    <row r="171">
      <c r="A171" t="n">
        <v>170</v>
      </c>
      <c r="B171" t="inlineStr">
        <is>
          <t>A-495_1__59</t>
        </is>
      </c>
      <c r="C171" s="1" t="n">
        <v>37.4596211405</v>
      </c>
      <c r="D171" s="1" t="n">
        <v>-7.12503114057</v>
      </c>
      <c r="E171" s="3" t="n">
        <v>1</v>
      </c>
      <c r="F171" s="2" t="n">
        <v>1</v>
      </c>
      <c r="G171" s="4" t="n">
        <v>2</v>
      </c>
      <c r="H171" s="13" t="n"/>
      <c r="I171" s="15" t="n"/>
      <c r="J171" s="19" t="n">
        <v>1</v>
      </c>
      <c r="K171" s="2" t="inlineStr">
        <is>
          <t>marker_996_385479.png</t>
        </is>
      </c>
      <c r="L171" s="11">
        <f>HYPERLINK("1\1\" &amp; K171, "Ver Imagen")</f>
        <v/>
      </c>
      <c r="M171" t="inlineStr">
        <is>
          <t>Moda</t>
        </is>
      </c>
    </row>
    <row r="172">
      <c r="A172" t="n">
        <v>171</v>
      </c>
      <c r="B172" t="inlineStr">
        <is>
          <t>A-495_1__55</t>
        </is>
      </c>
      <c r="C172" s="1" t="n">
        <v>37.4588342023</v>
      </c>
      <c r="D172" s="1" t="n">
        <v>-7.12532070205</v>
      </c>
      <c r="E172" s="3" t="n">
        <v>1</v>
      </c>
      <c r="F172" s="2" t="n">
        <v>1</v>
      </c>
      <c r="G172" s="4" t="n">
        <v>2</v>
      </c>
      <c r="H172" s="13" t="n"/>
      <c r="I172" s="15" t="n"/>
      <c r="J172" s="19" t="n">
        <v>1</v>
      </c>
      <c r="K172" s="2" t="inlineStr">
        <is>
          <t>marker_683_385518.png</t>
        </is>
      </c>
      <c r="L172" s="11">
        <f>HYPERLINK("1\1\" &amp; K172, "Ver Imagen")</f>
        <v/>
      </c>
      <c r="M172" t="inlineStr">
        <is>
          <t>Moda</t>
        </is>
      </c>
    </row>
    <row r="173">
      <c r="A173" t="n">
        <v>172</v>
      </c>
      <c r="B173" t="inlineStr">
        <is>
          <t>A-495_1__53</t>
        </is>
      </c>
      <c r="C173" s="1" t="n">
        <v>37.4584425802</v>
      </c>
      <c r="D173" s="1" t="n">
        <v>-7.1254625141</v>
      </c>
      <c r="E173" s="3" t="n">
        <v>1</v>
      </c>
      <c r="F173" s="2" t="n">
        <v>1</v>
      </c>
      <c r="G173" s="4" t="n">
        <v>2</v>
      </c>
      <c r="H173" s="13" t="n"/>
      <c r="I173" s="15" t="n"/>
      <c r="J173" s="19" t="n">
        <v>1</v>
      </c>
      <c r="K173" s="2" t="inlineStr">
        <is>
          <t>marker_591_385536.png</t>
        </is>
      </c>
      <c r="L173" s="11">
        <f>HYPERLINK("1\1\" &amp; K173, "Ver Imagen")</f>
        <v/>
      </c>
      <c r="M173" t="inlineStr">
        <is>
          <t>Moda</t>
        </is>
      </c>
    </row>
    <row r="174">
      <c r="A174" t="n">
        <v>173</v>
      </c>
      <c r="B174" t="inlineStr">
        <is>
          <t>A-495_1__52</t>
        </is>
      </c>
      <c r="C174" s="1" t="n">
        <v>37.4582651323</v>
      </c>
      <c r="D174" s="1" t="n">
        <v>-7.12552821004</v>
      </c>
      <c r="E174" s="3" t="n">
        <v>1</v>
      </c>
      <c r="F174" s="2" t="n">
        <v>1</v>
      </c>
      <c r="G174" s="4" t="n">
        <v>2</v>
      </c>
      <c r="H174" s="13" t="n"/>
      <c r="I174" s="15" t="n"/>
      <c r="J174" s="19" t="n">
        <v>1</v>
      </c>
      <c r="K174" s="2" t="inlineStr">
        <is>
          <t>marker_881_385544.png</t>
        </is>
      </c>
      <c r="L174" s="11">
        <f>HYPERLINK("1\1\" &amp; K174, "Ver Imagen")</f>
        <v/>
      </c>
      <c r="M174" t="inlineStr">
        <is>
          <t>Moda</t>
        </is>
      </c>
    </row>
    <row r="175">
      <c r="A175" t="n">
        <v>174</v>
      </c>
      <c r="B175" t="inlineStr">
        <is>
          <t>A-495_1__43</t>
        </is>
      </c>
      <c r="C175" s="1" t="n">
        <v>37.4564930695</v>
      </c>
      <c r="D175" s="1" t="n">
        <v>-7.12617656979</v>
      </c>
      <c r="E175" s="3" t="n">
        <v>1</v>
      </c>
      <c r="F175" s="2" t="n">
        <v>1</v>
      </c>
      <c r="G175" s="4" t="n">
        <v>2</v>
      </c>
      <c r="H175" s="13" t="n"/>
      <c r="I175" s="15" t="n"/>
      <c r="J175" s="19" t="n">
        <v>1</v>
      </c>
      <c r="K175" s="2" t="inlineStr">
        <is>
          <t>marker_776_385627.png</t>
        </is>
      </c>
      <c r="L175" s="11">
        <f>HYPERLINK("1\1\" &amp; K175, "Ver Imagen")</f>
        <v/>
      </c>
      <c r="M175" t="inlineStr">
        <is>
          <t>Moda</t>
        </is>
      </c>
    </row>
    <row r="176">
      <c r="A176" t="n">
        <v>175</v>
      </c>
      <c r="B176" t="inlineStr">
        <is>
          <t>A-495_1__37</t>
        </is>
      </c>
      <c r="C176" s="1" t="n">
        <v>37.4553349116</v>
      </c>
      <c r="D176" s="1" t="n">
        <v>-7.12660319893</v>
      </c>
      <c r="E176" s="3" t="n">
        <v>2</v>
      </c>
      <c r="F176" s="2" t="n">
        <v>1</v>
      </c>
      <c r="G176" s="4" t="n">
        <v>1</v>
      </c>
      <c r="H176" s="13" t="n"/>
      <c r="I176" s="15" t="n"/>
      <c r="J176" s="19" t="n">
        <v>1</v>
      </c>
      <c r="K176" s="2" t="inlineStr">
        <is>
          <t>marker_890_385681.png</t>
        </is>
      </c>
      <c r="L176" s="11">
        <f>HYPERLINK("1\1\" &amp; K176, "Ver Imagen")</f>
        <v/>
      </c>
      <c r="M176" t="inlineStr">
        <is>
          <t>Moda</t>
        </is>
      </c>
    </row>
    <row r="177">
      <c r="A177" t="n">
        <v>176</v>
      </c>
      <c r="B177" t="inlineStr">
        <is>
          <t>A-495_1__35</t>
        </is>
      </c>
      <c r="C177" s="1" t="n">
        <v>37.4549596897</v>
      </c>
      <c r="D177" s="1" t="n">
        <v>-7.12674188543</v>
      </c>
      <c r="E177" s="3" t="n">
        <v>1</v>
      </c>
      <c r="F177" s="2" t="n">
        <v>1</v>
      </c>
      <c r="G177" s="4" t="n">
        <v>2</v>
      </c>
      <c r="H177" s="13" t="n"/>
      <c r="I177" s="15" t="n"/>
      <c r="J177" s="19" t="n">
        <v>1</v>
      </c>
      <c r="K177" s="2" t="inlineStr">
        <is>
          <t>marker_845_385732.png</t>
        </is>
      </c>
      <c r="L177" s="11">
        <f>HYPERLINK("1\1\" &amp; K177, "Ver Imagen")</f>
        <v/>
      </c>
      <c r="M177" t="inlineStr">
        <is>
          <t>Moda</t>
        </is>
      </c>
    </row>
    <row r="178">
      <c r="A178" t="n">
        <v>177</v>
      </c>
      <c r="B178" t="inlineStr">
        <is>
          <t>A-495_1__33</t>
        </is>
      </c>
      <c r="C178" s="1" t="n">
        <v>37.4545779421</v>
      </c>
      <c r="D178" s="1" t="n">
        <v>-7.12688194653</v>
      </c>
      <c r="E178" s="3" t="n">
        <v>1</v>
      </c>
      <c r="F178" s="2" t="n">
        <v>1</v>
      </c>
      <c r="G178" s="4" t="n">
        <v>2</v>
      </c>
      <c r="H178" s="13" t="n"/>
      <c r="I178" s="15" t="n"/>
      <c r="J178" s="19" t="n">
        <v>1</v>
      </c>
      <c r="K178" s="2" t="inlineStr">
        <is>
          <t>marker_372_385845.png</t>
        </is>
      </c>
      <c r="L178" s="11">
        <f>HYPERLINK("1\1\" &amp; K178, "Ver Imagen")</f>
        <v/>
      </c>
      <c r="M178" t="inlineStr">
        <is>
          <t>Moda</t>
        </is>
      </c>
    </row>
    <row r="179">
      <c r="A179" t="n">
        <v>178</v>
      </c>
      <c r="B179" t="inlineStr">
        <is>
          <t>A-495_1__32</t>
        </is>
      </c>
      <c r="C179" s="1" t="n">
        <v>37.4543721689</v>
      </c>
      <c r="D179" s="1" t="n">
        <v>-7.12695617175</v>
      </c>
      <c r="E179" s="3" t="n">
        <v>2</v>
      </c>
      <c r="F179" s="2" t="n">
        <v>1</v>
      </c>
      <c r="G179" s="4" t="n">
        <v>1</v>
      </c>
      <c r="H179" s="13" t="n"/>
      <c r="I179" s="15" t="n"/>
      <c r="J179" s="19" t="n">
        <v>1</v>
      </c>
      <c r="K179" s="2" t="inlineStr">
        <is>
          <t>marker_356_385854.png</t>
        </is>
      </c>
      <c r="L179" s="11">
        <f>HYPERLINK("1\1\" &amp; K179, "Ver Imagen")</f>
        <v/>
      </c>
      <c r="M179" t="inlineStr">
        <is>
          <t>Moda</t>
        </is>
      </c>
    </row>
    <row r="180">
      <c r="A180" t="n">
        <v>179</v>
      </c>
      <c r="B180" t="inlineStr">
        <is>
          <t>A-495_1__26</t>
        </is>
      </c>
      <c r="C180" s="1" t="n">
        <v>37.4532205634</v>
      </c>
      <c r="D180" s="1" t="n">
        <v>-7.12730763019</v>
      </c>
      <c r="E180" s="3" t="n">
        <v>1</v>
      </c>
      <c r="F180" s="2" t="n">
        <v>1</v>
      </c>
      <c r="G180" s="4" t="n">
        <v>2</v>
      </c>
      <c r="H180" s="13" t="n"/>
      <c r="I180" s="15" t="n"/>
      <c r="J180" s="19" t="n">
        <v>1</v>
      </c>
      <c r="K180" s="2" t="inlineStr">
        <is>
          <t>marker_788_385916.png</t>
        </is>
      </c>
      <c r="L180" s="11">
        <f>HYPERLINK("1\1\" &amp; K180, "Ver Imagen")</f>
        <v/>
      </c>
      <c r="M180" t="inlineStr">
        <is>
          <t>Moda</t>
        </is>
      </c>
    </row>
    <row r="181">
      <c r="A181" t="n">
        <v>180</v>
      </c>
      <c r="B181" t="inlineStr">
        <is>
          <t>A-495_1__25</t>
        </is>
      </c>
      <c r="C181" s="1" t="n">
        <v>37.4529835759</v>
      </c>
      <c r="D181" s="1" t="n">
        <v>-7.12735595589</v>
      </c>
      <c r="E181" s="3" t="n">
        <v>1</v>
      </c>
      <c r="F181" s="2" t="n">
        <v>1</v>
      </c>
      <c r="G181" s="4" t="n">
        <v>2</v>
      </c>
      <c r="H181" s="13" t="n"/>
      <c r="I181" s="15" t="n"/>
      <c r="J181" s="19" t="n">
        <v>1</v>
      </c>
      <c r="K181" s="2" t="inlineStr">
        <is>
          <t>marker_427_385924.png</t>
        </is>
      </c>
      <c r="L181" s="11">
        <f>HYPERLINK("1\1\" &amp; K181, "Ver Imagen")</f>
        <v/>
      </c>
      <c r="M181" t="inlineStr">
        <is>
          <t>Moda</t>
        </is>
      </c>
    </row>
    <row r="182">
      <c r="A182" t="n">
        <v>181</v>
      </c>
      <c r="B182" t="inlineStr">
        <is>
          <t>A-495_1__22</t>
        </is>
      </c>
      <c r="C182" s="1" t="n">
        <v>37.4523866515</v>
      </c>
      <c r="D182" s="1" t="n">
        <v>-7.12744031712</v>
      </c>
      <c r="E182" s="3" t="n">
        <v>1</v>
      </c>
      <c r="F182" s="2" t="n">
        <v>1</v>
      </c>
      <c r="G182" s="4" t="n">
        <v>2</v>
      </c>
      <c r="H182" s="13" t="n"/>
      <c r="I182" s="15" t="n"/>
      <c r="J182" s="19" t="n">
        <v>1</v>
      </c>
      <c r="K182" s="2" t="inlineStr">
        <is>
          <t>marker_452_385952.png</t>
        </is>
      </c>
      <c r="L182" s="11">
        <f>HYPERLINK("1\1\" &amp; K182, "Ver Imagen")</f>
        <v/>
      </c>
      <c r="M182" t="inlineStr">
        <is>
          <t>Moda</t>
        </is>
      </c>
    </row>
    <row r="183">
      <c r="A183" t="n">
        <v>182</v>
      </c>
      <c r="B183" t="inlineStr">
        <is>
          <t>A-495_1__21</t>
        </is>
      </c>
      <c r="C183" s="1" t="n">
        <v>37.4522110202</v>
      </c>
      <c r="D183" s="1" t="n">
        <v>-7.12745433268</v>
      </c>
      <c r="E183" s="3" t="n">
        <v>1</v>
      </c>
      <c r="F183" s="2" t="n">
        <v>1</v>
      </c>
      <c r="G183" s="4" t="n">
        <v>2</v>
      </c>
      <c r="H183" s="13" t="n"/>
      <c r="I183" s="15" t="n"/>
      <c r="J183" s="19" t="n">
        <v>1</v>
      </c>
      <c r="K183" s="2" t="inlineStr">
        <is>
          <t>marker_893_385971.png</t>
        </is>
      </c>
      <c r="L183" s="11">
        <f>HYPERLINK("1\1\" &amp; K183, "Ver Imagen")</f>
        <v/>
      </c>
      <c r="M183" t="inlineStr">
        <is>
          <t>Moda</t>
        </is>
      </c>
    </row>
    <row r="184">
      <c r="A184" t="n">
        <v>183</v>
      </c>
      <c r="B184" t="inlineStr">
        <is>
          <t>A-495_1__17</t>
        </is>
      </c>
      <c r="C184" s="1" t="n">
        <v>37.4513859916</v>
      </c>
      <c r="D184" s="1" t="n">
        <v>-7.1274557463</v>
      </c>
      <c r="E184" s="3" t="n">
        <v>1</v>
      </c>
      <c r="F184" s="2" t="n">
        <v>1</v>
      </c>
      <c r="G184" s="4" t="n">
        <v>2</v>
      </c>
      <c r="H184" s="13" t="n"/>
      <c r="I184" s="15" t="n"/>
      <c r="J184" s="19" t="n">
        <v>1</v>
      </c>
      <c r="K184" s="2" t="inlineStr">
        <is>
          <t>marker_955_386161.png</t>
        </is>
      </c>
      <c r="L184" s="11">
        <f>HYPERLINK("1\1\" &amp; K184, "Ver Imagen")</f>
        <v/>
      </c>
      <c r="M184" t="inlineStr">
        <is>
          <t>Moda</t>
        </is>
      </c>
    </row>
    <row r="185">
      <c r="A185" t="n">
        <v>184</v>
      </c>
      <c r="B185" t="inlineStr">
        <is>
          <t>A-499__35</t>
        </is>
      </c>
      <c r="C185" s="1" t="n">
        <v>37.4934203479</v>
      </c>
      <c r="D185" s="1" t="n">
        <v>-7.27717027003</v>
      </c>
      <c r="E185" s="3" t="n">
        <v>1</v>
      </c>
      <c r="F185" s="2" t="n">
        <v>1</v>
      </c>
      <c r="G185" s="4" t="n">
        <v>2</v>
      </c>
      <c r="H185" s="13" t="n"/>
      <c r="I185" s="15" t="n"/>
      <c r="J185" s="19" t="n">
        <v>1</v>
      </c>
      <c r="K185" s="2" t="inlineStr">
        <is>
          <t>marker_249_529975.png</t>
        </is>
      </c>
      <c r="L185" s="11">
        <f>HYPERLINK("1\1\" &amp; K185, "Ver Imagen")</f>
        <v/>
      </c>
      <c r="M185" t="inlineStr">
        <is>
          <t>Moda</t>
        </is>
      </c>
    </row>
    <row r="186">
      <c r="A186" t="n">
        <v>185</v>
      </c>
      <c r="B186" t="inlineStr">
        <is>
          <t>A-499__36</t>
        </is>
      </c>
      <c r="C186" s="1" t="n">
        <v>37.4936086801</v>
      </c>
      <c r="D186" s="1" t="n">
        <v>-7.27710620381</v>
      </c>
      <c r="E186" s="3" t="n">
        <v>1</v>
      </c>
      <c r="F186" s="2" t="n">
        <v>1</v>
      </c>
      <c r="G186" s="4" t="n">
        <v>2</v>
      </c>
      <c r="H186" s="13" t="n"/>
      <c r="I186" s="15" t="n"/>
      <c r="J186" s="19" t="n">
        <v>1</v>
      </c>
      <c r="K186" s="2" t="inlineStr">
        <is>
          <t>marker_385_529986.png</t>
        </is>
      </c>
      <c r="L186" s="11">
        <f>HYPERLINK("1\1\" &amp; K186, "Ver Imagen")</f>
        <v/>
      </c>
      <c r="M186" t="inlineStr">
        <is>
          <t>Moda</t>
        </is>
      </c>
    </row>
    <row r="187">
      <c r="A187" t="n">
        <v>186</v>
      </c>
      <c r="B187" t="inlineStr">
        <is>
          <t>A-499__107</t>
        </is>
      </c>
      <c r="C187" s="1" t="n">
        <v>37.5001695807</v>
      </c>
      <c r="D187" s="1" t="n">
        <v>-7.26704140248</v>
      </c>
      <c r="E187" s="3" t="n">
        <v>1</v>
      </c>
      <c r="F187" s="2" t="n">
        <v>1</v>
      </c>
      <c r="G187" s="4" t="n">
        <v>2</v>
      </c>
      <c r="H187" s="13" t="n"/>
      <c r="I187" s="15" t="n"/>
      <c r="J187" s="19" t="n">
        <v>1</v>
      </c>
      <c r="K187" s="2" t="inlineStr">
        <is>
          <t>marker_598_793336.png</t>
        </is>
      </c>
      <c r="L187" s="11">
        <f>HYPERLINK("1\1\" &amp; K187, "Ver Imagen")</f>
        <v/>
      </c>
      <c r="M187" t="inlineStr">
        <is>
          <t>Moda</t>
        </is>
      </c>
    </row>
    <row r="188">
      <c r="A188" t="n">
        <v>187</v>
      </c>
      <c r="B188" t="inlineStr">
        <is>
          <t>A-499__206</t>
        </is>
      </c>
      <c r="C188" s="1" t="n">
        <v>37.5176889125</v>
      </c>
      <c r="D188" s="1" t="n">
        <v>-7.26451197025</v>
      </c>
      <c r="E188" s="3" t="n">
        <v>1</v>
      </c>
      <c r="F188" s="2" t="n">
        <v>1</v>
      </c>
      <c r="G188" s="4" t="n">
        <v>2</v>
      </c>
      <c r="H188" s="13" t="n"/>
      <c r="I188" s="15" t="n"/>
      <c r="J188" s="19" t="n">
        <v>1</v>
      </c>
      <c r="K188" s="2" t="inlineStr">
        <is>
          <t>marker_164_796224.png</t>
        </is>
      </c>
      <c r="L188" s="11">
        <f>HYPERLINK("1\1\" &amp; K188, "Ver Imagen")</f>
        <v/>
      </c>
      <c r="M188" t="inlineStr">
        <is>
          <t>Moda</t>
        </is>
      </c>
    </row>
    <row r="189">
      <c r="A189" t="n">
        <v>188</v>
      </c>
      <c r="B189" t="inlineStr">
        <is>
          <t>A-499__209</t>
        </is>
      </c>
      <c r="C189" s="1" t="n">
        <v>37.5180136544</v>
      </c>
      <c r="D189" s="1" t="n">
        <v>-7.26387536173</v>
      </c>
      <c r="E189" s="3" t="n">
        <v>1</v>
      </c>
      <c r="F189" s="2" t="n">
        <v>1</v>
      </c>
      <c r="G189" s="4" t="n">
        <v>2</v>
      </c>
      <c r="H189" s="13" t="n"/>
      <c r="I189" s="15" t="n"/>
      <c r="J189" s="19" t="n">
        <v>1</v>
      </c>
      <c r="K189" s="2" t="inlineStr">
        <is>
          <t>marker_331_796299.png</t>
        </is>
      </c>
      <c r="L189" s="11">
        <f>HYPERLINK("1\1\" &amp; K189, "Ver Imagen")</f>
        <v/>
      </c>
      <c r="M189" t="inlineStr">
        <is>
          <t>Moda</t>
        </is>
      </c>
    </row>
    <row r="190">
      <c r="A190" t="n">
        <v>189</v>
      </c>
      <c r="B190" t="inlineStr">
        <is>
          <t>A-497_2C__130</t>
        </is>
      </c>
      <c r="C190" s="1" t="n">
        <v>37.2710080467</v>
      </c>
      <c r="D190" s="1" t="n">
        <v>-6.98886267542</v>
      </c>
      <c r="E190" s="3" t="n">
        <v>2</v>
      </c>
      <c r="F190" s="2" t="n">
        <v>1</v>
      </c>
      <c r="G190" s="4" t="n">
        <v>1</v>
      </c>
      <c r="H190" s="13" t="n"/>
      <c r="I190" s="15" t="n"/>
      <c r="J190" s="19" t="n">
        <v>1</v>
      </c>
      <c r="K190" s="2" t="inlineStr">
        <is>
          <t>marker_697_655773.png</t>
        </is>
      </c>
      <c r="L190" s="11">
        <f>HYPERLINK("1\1\" &amp; K190, "Ver Imagen")</f>
        <v/>
      </c>
      <c r="M190" t="inlineStr">
        <is>
          <t>Moda</t>
        </is>
      </c>
    </row>
    <row r="191">
      <c r="A191" t="n">
        <v>190</v>
      </c>
      <c r="B191" t="inlineStr">
        <is>
          <t>A-497_2C__133</t>
        </is>
      </c>
      <c r="C191" s="1" t="n">
        <v>37.2704768646</v>
      </c>
      <c r="D191" s="1" t="n">
        <v>-6.989315984</v>
      </c>
      <c r="E191" s="3" t="n">
        <v>1</v>
      </c>
      <c r="F191" s="2" t="n">
        <v>1</v>
      </c>
      <c r="G191" s="4" t="n">
        <v>2</v>
      </c>
      <c r="H191" s="13" t="n"/>
      <c r="I191" s="15" t="n"/>
      <c r="J191" s="19" t="n">
        <v>1</v>
      </c>
      <c r="K191" s="2" t="inlineStr">
        <is>
          <t>marker_646_655800.png</t>
        </is>
      </c>
      <c r="L191" s="11">
        <f>HYPERLINK("1\1\" &amp; K191, "Ver Imagen")</f>
        <v/>
      </c>
      <c r="M191" t="inlineStr">
        <is>
          <t>Moda</t>
        </is>
      </c>
    </row>
    <row r="192">
      <c r="A192" t="n">
        <v>191</v>
      </c>
      <c r="B192" t="inlineStr">
        <is>
          <t>A-497_2C__134</t>
        </is>
      </c>
      <c r="C192" s="1" t="n">
        <v>37.2703098992</v>
      </c>
      <c r="D192" s="1" t="n">
        <v>-6.98943285758</v>
      </c>
      <c r="E192" s="3" t="n">
        <v>1</v>
      </c>
      <c r="F192" s="2" t="n">
        <v>1</v>
      </c>
      <c r="G192" s="4" t="n">
        <v>2</v>
      </c>
      <c r="H192" s="13" t="n"/>
      <c r="I192" s="15" t="n"/>
      <c r="J192" s="19" t="n">
        <v>1</v>
      </c>
      <c r="K192" s="2" t="inlineStr">
        <is>
          <t>marker_638_655808.png</t>
        </is>
      </c>
      <c r="L192" s="11">
        <f>HYPERLINK("1\1\" &amp; K192, "Ver Imagen")</f>
        <v/>
      </c>
      <c r="M192" t="inlineStr">
        <is>
          <t>Moda</t>
        </is>
      </c>
    </row>
    <row r="193">
      <c r="A193" t="n">
        <v>192</v>
      </c>
      <c r="B193" t="inlineStr">
        <is>
          <t>A-497_2C__171</t>
        </is>
      </c>
      <c r="C193" s="1" t="n">
        <v>37.2655222438</v>
      </c>
      <c r="D193" s="1" t="n">
        <v>-6.99595348882</v>
      </c>
      <c r="E193" s="3" t="n">
        <v>2</v>
      </c>
      <c r="F193" s="2" t="n">
        <v>1</v>
      </c>
      <c r="G193" s="4" t="n">
        <v>1</v>
      </c>
      <c r="H193" s="13" t="n"/>
      <c r="I193" s="15" t="n"/>
      <c r="J193" s="19" t="n">
        <v>1</v>
      </c>
      <c r="K193" s="2" t="inlineStr">
        <is>
          <t>marker_491_656209.png</t>
        </is>
      </c>
      <c r="L193" s="11">
        <f>HYPERLINK("1\1\" &amp; K193, "Ver Imagen")</f>
        <v/>
      </c>
      <c r="M193" t="inlineStr">
        <is>
          <t>Moda</t>
        </is>
      </c>
    </row>
    <row r="194">
      <c r="A194" t="n">
        <v>193</v>
      </c>
      <c r="B194" t="inlineStr">
        <is>
          <t>A-497_2C__172</t>
        </is>
      </c>
      <c r="C194" s="1" t="n">
        <v>37.265479635</v>
      </c>
      <c r="D194" s="1" t="n">
        <v>-6.99618049027</v>
      </c>
      <c r="E194" s="3" t="n">
        <v>1</v>
      </c>
      <c r="F194" s="2" t="n">
        <v>2</v>
      </c>
      <c r="G194" s="4" t="n">
        <v>1</v>
      </c>
      <c r="H194" s="13" t="n"/>
      <c r="I194" s="15" t="n"/>
      <c r="J194" s="19" t="n">
        <v>1</v>
      </c>
      <c r="K194" s="2" t="inlineStr">
        <is>
          <t>marker_532_656217.png</t>
        </is>
      </c>
      <c r="L194" s="11">
        <f>HYPERLINK("1\1\" &amp; K194, "Ver Imagen")</f>
        <v/>
      </c>
      <c r="M194" t="inlineStr">
        <is>
          <t>Moda</t>
        </is>
      </c>
    </row>
    <row r="195">
      <c r="A195" t="n">
        <v>194</v>
      </c>
      <c r="B195" t="inlineStr">
        <is>
          <t>A-497__488</t>
        </is>
      </c>
      <c r="C195" s="1" t="n">
        <v>37.213597397</v>
      </c>
      <c r="D195" s="1" t="n">
        <v>-7.02365960931</v>
      </c>
      <c r="E195" s="3" t="n">
        <v>1</v>
      </c>
      <c r="F195" s="2" t="n">
        <v>1</v>
      </c>
      <c r="G195" s="4" t="n">
        <v>2</v>
      </c>
      <c r="H195" s="13" t="n"/>
      <c r="I195" s="15" t="n"/>
      <c r="J195" s="19" t="n">
        <v>1</v>
      </c>
      <c r="K195" s="2" t="inlineStr">
        <is>
          <t>marker_654_376217.png</t>
        </is>
      </c>
      <c r="L195" s="11">
        <f>HYPERLINK("1\1\" &amp; K195, "Ver Imagen")</f>
        <v/>
      </c>
      <c r="M195" t="inlineStr">
        <is>
          <t>Moda</t>
        </is>
      </c>
    </row>
    <row r="196">
      <c r="A196" t="n">
        <v>195</v>
      </c>
      <c r="B196" t="inlineStr">
        <is>
          <t>A-497__486</t>
        </is>
      </c>
      <c r="C196" s="1" t="n">
        <v>37.2139729568</v>
      </c>
      <c r="D196" s="1" t="n">
        <v>-7.02359477662</v>
      </c>
      <c r="E196" s="3" t="n">
        <v>1</v>
      </c>
      <c r="F196" s="2" t="n">
        <v>1</v>
      </c>
      <c r="G196" s="4" t="n">
        <v>2</v>
      </c>
      <c r="H196" s="13" t="n"/>
      <c r="I196" s="15" t="n"/>
      <c r="J196" s="19" t="n">
        <v>1</v>
      </c>
      <c r="K196" s="2" t="inlineStr">
        <is>
          <t>marker_664_376239.png</t>
        </is>
      </c>
      <c r="L196" s="11">
        <f>HYPERLINK("1\1\" &amp; K196, "Ver Imagen")</f>
        <v/>
      </c>
      <c r="M196" t="inlineStr">
        <is>
          <t>Moda</t>
        </is>
      </c>
    </row>
    <row r="197">
      <c r="A197" t="n">
        <v>196</v>
      </c>
      <c r="B197" t="inlineStr">
        <is>
          <t>A-497__485</t>
        </is>
      </c>
      <c r="C197" s="1" t="n">
        <v>37.2141546133</v>
      </c>
      <c r="D197" s="1" t="n">
        <v>-7.02356327422</v>
      </c>
      <c r="E197" s="3" t="n">
        <v>1</v>
      </c>
      <c r="F197" s="2" t="n">
        <v>1</v>
      </c>
      <c r="G197" s="4" t="n">
        <v>2</v>
      </c>
      <c r="H197" s="13" t="n"/>
      <c r="I197" s="15" t="n"/>
      <c r="J197" s="19" t="n">
        <v>1</v>
      </c>
      <c r="K197" s="2" t="inlineStr">
        <is>
          <t>marker_443_376249.png</t>
        </is>
      </c>
      <c r="L197" s="11">
        <f>HYPERLINK("1\1\" &amp; K197, "Ver Imagen")</f>
        <v/>
      </c>
      <c r="M197" t="inlineStr">
        <is>
          <t>Moda</t>
        </is>
      </c>
    </row>
    <row r="198">
      <c r="A198" t="n">
        <v>197</v>
      </c>
      <c r="B198" t="inlineStr">
        <is>
          <t>A-497__484</t>
        </is>
      </c>
      <c r="C198" s="1" t="n">
        <v>37.2143521089</v>
      </c>
      <c r="D198" s="1" t="n">
        <v>-7.02352835984</v>
      </c>
      <c r="E198" s="3" t="n">
        <v>1</v>
      </c>
      <c r="F198" s="2" t="n">
        <v>1</v>
      </c>
      <c r="G198" s="4" t="n">
        <v>2</v>
      </c>
      <c r="H198" s="13" t="n"/>
      <c r="I198" s="15" t="n"/>
      <c r="J198" s="19" t="n">
        <v>1</v>
      </c>
      <c r="K198" s="2" t="inlineStr">
        <is>
          <t>marker_874_376259.png</t>
        </is>
      </c>
      <c r="L198" s="11">
        <f>HYPERLINK("1\1\" &amp; K198, "Ver Imagen")</f>
        <v/>
      </c>
      <c r="M198" t="inlineStr">
        <is>
          <t>Moda</t>
        </is>
      </c>
    </row>
    <row r="199">
      <c r="A199" t="n">
        <v>198</v>
      </c>
      <c r="B199" t="inlineStr">
        <is>
          <t>A-497_2C__425</t>
        </is>
      </c>
      <c r="C199" s="1" t="n">
        <v>37.2252934805</v>
      </c>
      <c r="D199" s="1" t="n">
        <v>-7.0233598681</v>
      </c>
      <c r="E199" s="3" t="n">
        <v>1</v>
      </c>
      <c r="F199" s="2" t="n">
        <v>1</v>
      </c>
      <c r="G199" s="4" t="n">
        <v>2</v>
      </c>
      <c r="H199" s="13" t="n"/>
      <c r="I199" s="15" t="n"/>
      <c r="J199" s="19" t="n">
        <v>1</v>
      </c>
      <c r="K199" s="2" t="inlineStr">
        <is>
          <t>marker_526_363160.png</t>
        </is>
      </c>
      <c r="L199" s="11">
        <f>HYPERLINK("1\1\" &amp; K199, "Ver Imagen")</f>
        <v/>
      </c>
      <c r="M199" t="inlineStr">
        <is>
          <t>Moda</t>
        </is>
      </c>
    </row>
    <row r="200">
      <c r="A200" t="n">
        <v>199</v>
      </c>
      <c r="B200" t="inlineStr">
        <is>
          <t>A-497_2C__426</t>
        </is>
      </c>
      <c r="C200" s="1" t="n">
        <v>37.2251181027</v>
      </c>
      <c r="D200" s="1" t="n">
        <v>-7.02337950778</v>
      </c>
      <c r="E200" s="3" t="n">
        <v>1</v>
      </c>
      <c r="F200" s="2" t="n">
        <v>1</v>
      </c>
      <c r="G200" s="4" t="n">
        <v>2</v>
      </c>
      <c r="H200" s="13" t="n"/>
      <c r="I200" s="15" t="n"/>
      <c r="J200" s="19" t="n">
        <v>1</v>
      </c>
      <c r="K200" s="2" t="inlineStr">
        <is>
          <t>marker_205_363169.png</t>
        </is>
      </c>
      <c r="L200" s="11">
        <f>HYPERLINK("1\1\" &amp; K200, "Ver Imagen")</f>
        <v/>
      </c>
      <c r="M200" t="inlineStr">
        <is>
          <t>Moda</t>
        </is>
      </c>
    </row>
    <row r="201">
      <c r="A201" t="n">
        <v>200</v>
      </c>
      <c r="B201" t="inlineStr">
        <is>
          <t>A-497_2C__431</t>
        </is>
      </c>
      <c r="C201" s="1" t="n">
        <v>37.2240967685</v>
      </c>
      <c r="D201" s="1" t="n">
        <v>-7.02335079397</v>
      </c>
      <c r="E201" s="3" t="n">
        <v>1</v>
      </c>
      <c r="F201" s="2" t="n">
        <v>1</v>
      </c>
      <c r="G201" s="4" t="n">
        <v>2</v>
      </c>
      <c r="H201" s="13" t="n"/>
      <c r="I201" s="15" t="n"/>
      <c r="J201" s="19" t="n">
        <v>1</v>
      </c>
      <c r="K201" s="2" t="inlineStr">
        <is>
          <t>marker_230_363215.png</t>
        </is>
      </c>
      <c r="L201" s="11">
        <f>HYPERLINK("1\1\" &amp; K201, "Ver Imagen")</f>
        <v/>
      </c>
      <c r="M201" t="inlineStr">
        <is>
          <t>Moda</t>
        </is>
      </c>
    </row>
    <row r="202">
      <c r="A202" t="n">
        <v>201</v>
      </c>
      <c r="B202" t="inlineStr">
        <is>
          <t>A-497_2C__432</t>
        </is>
      </c>
      <c r="C202" s="1" t="n">
        <v>37.2238980268</v>
      </c>
      <c r="D202" s="1" t="n">
        <v>-7.0233324848</v>
      </c>
      <c r="E202" s="3" t="n">
        <v>1</v>
      </c>
      <c r="F202" s="2" t="n">
        <v>1</v>
      </c>
      <c r="G202" s="4" t="n">
        <v>2</v>
      </c>
      <c r="H202" s="13" t="n"/>
      <c r="I202" s="15" t="n"/>
      <c r="J202" s="19" t="n">
        <v>1</v>
      </c>
      <c r="K202" s="2" t="inlineStr">
        <is>
          <t>marker_822_363224.png</t>
        </is>
      </c>
      <c r="L202" s="11">
        <f>HYPERLINK("1\1\" &amp; K202, "Ver Imagen")</f>
        <v/>
      </c>
      <c r="M202" t="inlineStr">
        <is>
          <t>Moda</t>
        </is>
      </c>
    </row>
    <row r="203">
      <c r="A203" t="n">
        <v>202</v>
      </c>
      <c r="B203" t="inlineStr">
        <is>
          <t>A-497_2C__504</t>
        </is>
      </c>
      <c r="C203" s="1" t="n">
        <v>37.2094067195</v>
      </c>
      <c r="D203" s="1" t="n">
        <v>-7.02346636901</v>
      </c>
      <c r="E203" s="3" t="n">
        <v>1</v>
      </c>
      <c r="F203" s="2" t="n">
        <v>1</v>
      </c>
      <c r="G203" s="4" t="n">
        <v>2</v>
      </c>
      <c r="H203" s="13" t="n"/>
      <c r="I203" s="15" t="n"/>
      <c r="J203" s="19" t="n">
        <v>1</v>
      </c>
      <c r="K203" s="2" t="inlineStr">
        <is>
          <t>marker_809_364100.png</t>
        </is>
      </c>
      <c r="L203" s="11">
        <f>HYPERLINK("1\1\" &amp; K203, "Ver Imagen")</f>
        <v/>
      </c>
      <c r="M203" t="inlineStr">
        <is>
          <t>Moda</t>
        </is>
      </c>
    </row>
    <row r="204">
      <c r="A204" t="n">
        <v>203</v>
      </c>
      <c r="B204" t="inlineStr">
        <is>
          <t>A-497_2C__505</t>
        </is>
      </c>
      <c r="C204" s="1" t="n">
        <v>37.2092259211</v>
      </c>
      <c r="D204" s="1" t="n">
        <v>-7.02337297549</v>
      </c>
      <c r="E204" s="3" t="n">
        <v>1</v>
      </c>
      <c r="F204" s="2" t="n">
        <v>1</v>
      </c>
      <c r="G204" s="4" t="n">
        <v>2</v>
      </c>
      <c r="H204" s="13" t="n"/>
      <c r="I204" s="15" t="n"/>
      <c r="J204" s="19" t="n">
        <v>1</v>
      </c>
      <c r="K204" s="2" t="inlineStr">
        <is>
          <t>marker_679_364110.png</t>
        </is>
      </c>
      <c r="L204" s="11">
        <f>HYPERLINK("1\1\" &amp; K204, "Ver Imagen")</f>
        <v/>
      </c>
      <c r="M204" t="inlineStr">
        <is>
          <t>Moda</t>
        </is>
      </c>
    </row>
    <row r="205">
      <c r="A205" t="n">
        <v>204</v>
      </c>
      <c r="B205" t="inlineStr">
        <is>
          <t>A-497_2C__506</t>
        </is>
      </c>
      <c r="C205" s="1" t="n">
        <v>37.2090523099</v>
      </c>
      <c r="D205" s="1" t="n">
        <v>-7.0232755116</v>
      </c>
      <c r="E205" s="3" t="n">
        <v>1</v>
      </c>
      <c r="F205" s="2" t="n">
        <v>1</v>
      </c>
      <c r="G205" s="4" t="n">
        <v>2</v>
      </c>
      <c r="H205" s="13" t="n"/>
      <c r="I205" s="15" t="n"/>
      <c r="J205" s="19" t="n">
        <v>1</v>
      </c>
      <c r="K205" s="2" t="inlineStr">
        <is>
          <t>marker_569_364120.png</t>
        </is>
      </c>
      <c r="L205" s="11">
        <f>HYPERLINK("1\1\" &amp; K205, "Ver Imagen")</f>
        <v/>
      </c>
      <c r="M205" t="inlineStr">
        <is>
          <t>Moda</t>
        </is>
      </c>
    </row>
    <row r="206">
      <c r="A206" t="n">
        <v>205</v>
      </c>
      <c r="B206" t="inlineStr">
        <is>
          <t>A-497_2C__531</t>
        </is>
      </c>
      <c r="C206" s="1" t="n">
        <v>37.2056282418</v>
      </c>
      <c r="D206" s="1" t="n">
        <v>-7.01869828829</v>
      </c>
      <c r="E206" s="3" t="n">
        <v>1</v>
      </c>
      <c r="F206" s="2" t="n">
        <v>1</v>
      </c>
      <c r="G206" s="4" t="n">
        <v>2</v>
      </c>
      <c r="H206" s="13" t="n"/>
      <c r="I206" s="15" t="n"/>
      <c r="J206" s="19" t="n">
        <v>1</v>
      </c>
      <c r="K206" s="2" t="inlineStr">
        <is>
          <t>marker_430_364444.png</t>
        </is>
      </c>
      <c r="L206" s="11">
        <f>HYPERLINK("1\1\" &amp; K206, "Ver Imagen")</f>
        <v/>
      </c>
      <c r="M206" t="inlineStr">
        <is>
          <t>Moda</t>
        </is>
      </c>
    </row>
    <row r="207">
      <c r="A207" t="n">
        <v>206</v>
      </c>
      <c r="B207" t="inlineStr">
        <is>
          <t>A-497_2C__534</t>
        </is>
      </c>
      <c r="C207" s="1" t="n">
        <v>37.2054353088</v>
      </c>
      <c r="D207" s="1" t="n">
        <v>-7.01808255262</v>
      </c>
      <c r="E207" s="3" t="n">
        <v>1</v>
      </c>
      <c r="F207" s="2" t="n">
        <v>1</v>
      </c>
      <c r="G207" s="4" t="n">
        <v>2</v>
      </c>
      <c r="H207" s="13" t="n"/>
      <c r="I207" s="15" t="n"/>
      <c r="J207" s="19" t="n">
        <v>1</v>
      </c>
      <c r="K207" s="2" t="inlineStr">
        <is>
          <t>marker_457_364474.png</t>
        </is>
      </c>
      <c r="L207" s="11">
        <f>HYPERLINK("1\1\" &amp; K207, "Ver Imagen")</f>
        <v/>
      </c>
      <c r="M207" t="inlineStr">
        <is>
          <t>Moda</t>
        </is>
      </c>
    </row>
    <row r="208">
      <c r="A208" t="n">
        <v>207</v>
      </c>
      <c r="B208" t="inlineStr">
        <is>
          <t>A-497_2C__536</t>
        </is>
      </c>
      <c r="C208" s="1" t="n">
        <v>37.2052894381</v>
      </c>
      <c r="D208" s="1" t="n">
        <v>-7.01756356003</v>
      </c>
      <c r="E208" s="3" t="n">
        <v>1</v>
      </c>
      <c r="F208" s="2" t="n">
        <v>1</v>
      </c>
      <c r="G208" s="4" t="n">
        <v>2</v>
      </c>
      <c r="H208" s="13" t="n"/>
      <c r="I208" s="15" t="n"/>
      <c r="J208" s="19" t="n">
        <v>1</v>
      </c>
      <c r="K208" s="2" t="inlineStr">
        <is>
          <t>marker_551_364492.png</t>
        </is>
      </c>
      <c r="L208" s="11">
        <f>HYPERLINK("1\1\" &amp; K208, "Ver Imagen")</f>
        <v/>
      </c>
      <c r="M208" t="inlineStr">
        <is>
          <t>Moda</t>
        </is>
      </c>
    </row>
    <row r="209">
      <c r="A209" t="n">
        <v>208</v>
      </c>
      <c r="B209" t="inlineStr">
        <is>
          <t>A-497_2C__537</t>
        </is>
      </c>
      <c r="C209" s="1" t="n">
        <v>37.2052325344</v>
      </c>
      <c r="D209" s="1" t="n">
        <v>-7.01734578742</v>
      </c>
      <c r="E209" s="3" t="n">
        <v>1</v>
      </c>
      <c r="F209" s="2" t="n">
        <v>1</v>
      </c>
      <c r="G209" s="4" t="n">
        <v>2</v>
      </c>
      <c r="H209" s="13" t="n"/>
      <c r="I209" s="15" t="n"/>
      <c r="J209" s="19" t="n">
        <v>1</v>
      </c>
      <c r="K209" s="2" t="inlineStr">
        <is>
          <t>marker_734_364511.png</t>
        </is>
      </c>
      <c r="L209" s="11">
        <f>HYPERLINK("1\1\" &amp; K209, "Ver Imagen")</f>
        <v/>
      </c>
      <c r="M209" t="inlineStr">
        <is>
          <t>Moda</t>
        </is>
      </c>
    </row>
    <row r="210">
      <c r="A210" t="n">
        <v>209</v>
      </c>
      <c r="B210" t="inlineStr">
        <is>
          <t>A-497__448</t>
        </is>
      </c>
      <c r="C210" s="1" t="n">
        <v>37.2216489259</v>
      </c>
      <c r="D210" s="1" t="n">
        <v>-7.02293178401</v>
      </c>
      <c r="E210" s="3" t="n">
        <v>1</v>
      </c>
      <c r="F210" s="2" t="n">
        <v>1</v>
      </c>
      <c r="G210" s="4" t="n">
        <v>2</v>
      </c>
      <c r="H210" s="13" t="n"/>
      <c r="I210" s="15" t="n"/>
      <c r="J210" s="19" t="n">
        <v>1</v>
      </c>
      <c r="K210" s="2" t="inlineStr">
        <is>
          <t>marker_907_376709.png</t>
        </is>
      </c>
      <c r="L210" s="11">
        <f>HYPERLINK("1\1\" &amp; K210, "Ver Imagen")</f>
        <v/>
      </c>
      <c r="M210" t="inlineStr">
        <is>
          <t>Moda</t>
        </is>
      </c>
    </row>
    <row r="211">
      <c r="A211" t="n">
        <v>210</v>
      </c>
      <c r="B211" t="inlineStr">
        <is>
          <t>A-497__443</t>
        </is>
      </c>
      <c r="C211" s="1" t="n">
        <v>37.2226225195</v>
      </c>
      <c r="D211" s="1" t="n">
        <v>-7.02302601904</v>
      </c>
      <c r="E211" s="3" t="n">
        <v>1</v>
      </c>
      <c r="F211" s="2" t="n">
        <v>1</v>
      </c>
      <c r="G211" s="4" t="n">
        <v>2</v>
      </c>
      <c r="H211" s="13" t="n"/>
      <c r="I211" s="15" t="n"/>
      <c r="J211" s="19" t="n">
        <v>1</v>
      </c>
      <c r="K211" s="2" t="inlineStr">
        <is>
          <t>marker_704_376774.png</t>
        </is>
      </c>
      <c r="L211" s="11">
        <f>HYPERLINK("1\1\" &amp; K211, "Ver Imagen")</f>
        <v/>
      </c>
      <c r="M211" t="inlineStr">
        <is>
          <t>Moda</t>
        </is>
      </c>
    </row>
    <row r="212">
      <c r="A212" t="n">
        <v>211</v>
      </c>
      <c r="B212" t="inlineStr">
        <is>
          <t>A-497__419</t>
        </is>
      </c>
      <c r="C212" s="1" t="n">
        <v>37.2273351676</v>
      </c>
      <c r="D212" s="1" t="n">
        <v>-7.02227432904</v>
      </c>
      <c r="E212" s="3" t="n">
        <v>2</v>
      </c>
      <c r="F212" s="2" t="n">
        <v>1</v>
      </c>
      <c r="G212" s="4" t="n">
        <v>1</v>
      </c>
      <c r="H212" s="13" t="n"/>
      <c r="I212" s="15" t="n"/>
      <c r="J212" s="19" t="n">
        <v>1</v>
      </c>
      <c r="K212" s="2" t="inlineStr">
        <is>
          <t>marker_990_377021.png</t>
        </is>
      </c>
      <c r="L212" s="11">
        <f>HYPERLINK("1\1\" &amp; K212, "Ver Imagen")</f>
        <v/>
      </c>
      <c r="M212" t="inlineStr">
        <is>
          <t>Moda</t>
        </is>
      </c>
    </row>
    <row r="213">
      <c r="A213" t="n">
        <v>212</v>
      </c>
      <c r="B213" t="inlineStr">
        <is>
          <t>A-497__417</t>
        </is>
      </c>
      <c r="C213" s="1" t="n">
        <v>37.2276250433</v>
      </c>
      <c r="D213" s="1" t="n">
        <v>-7.02205868186</v>
      </c>
      <c r="E213" s="3" t="n">
        <v>2</v>
      </c>
      <c r="F213" s="2" t="n">
        <v>1</v>
      </c>
      <c r="G213" s="4" t="n">
        <v>1</v>
      </c>
      <c r="H213" s="13" t="n"/>
      <c r="I213" s="15" t="n"/>
      <c r="J213" s="19" t="n">
        <v>1</v>
      </c>
      <c r="K213" s="2" t="inlineStr">
        <is>
          <t>marker_986_377040.png</t>
        </is>
      </c>
      <c r="L213" s="11">
        <f>HYPERLINK("1\1\" &amp; K213, "Ver Imagen")</f>
        <v/>
      </c>
      <c r="M213" t="inlineStr">
        <is>
          <t>Moda</t>
        </is>
      </c>
    </row>
    <row r="214">
      <c r="A214" t="n">
        <v>213</v>
      </c>
      <c r="B214" t="inlineStr">
        <is>
          <t>A-497__413</t>
        </is>
      </c>
      <c r="C214" s="1" t="n">
        <v>37.2283785917</v>
      </c>
      <c r="D214" s="1" t="n">
        <v>-7.02149246304</v>
      </c>
      <c r="E214" s="3" t="n">
        <v>1</v>
      </c>
      <c r="F214" s="2" t="n">
        <v>1</v>
      </c>
      <c r="G214" s="4" t="n">
        <v>2</v>
      </c>
      <c r="H214" s="13" t="n"/>
      <c r="I214" s="15" t="n"/>
      <c r="J214" s="19" t="n">
        <v>1</v>
      </c>
      <c r="K214" s="2" t="inlineStr">
        <is>
          <t>marker_689_377075.png</t>
        </is>
      </c>
      <c r="L214" s="11">
        <f>HYPERLINK("1\1\" &amp; K214, "Ver Imagen")</f>
        <v/>
      </c>
      <c r="M214" t="inlineStr">
        <is>
          <t>Moda</t>
        </is>
      </c>
    </row>
    <row r="215">
      <c r="A215" t="n">
        <v>214</v>
      </c>
      <c r="B215" t="inlineStr">
        <is>
          <t>A-497__408</t>
        </is>
      </c>
      <c r="C215" s="1" t="n">
        <v>37.2292101764</v>
      </c>
      <c r="D215" s="1" t="n">
        <v>-7.02085702326</v>
      </c>
      <c r="E215" s="3" t="n">
        <v>1</v>
      </c>
      <c r="F215" s="2" t="n">
        <v>1</v>
      </c>
      <c r="G215" s="4" t="n">
        <v>2</v>
      </c>
      <c r="H215" s="13" t="n"/>
      <c r="I215" s="15" t="n"/>
      <c r="J215" s="19" t="n">
        <v>1</v>
      </c>
      <c r="K215" s="2" t="inlineStr">
        <is>
          <t>marker_961_377117.png</t>
        </is>
      </c>
      <c r="L215" s="11">
        <f>HYPERLINK("1\1\" &amp; K215, "Ver Imagen")</f>
        <v/>
      </c>
      <c r="M215" t="inlineStr">
        <is>
          <t>Moda</t>
        </is>
      </c>
    </row>
    <row r="216">
      <c r="A216" t="n">
        <v>215</v>
      </c>
      <c r="B216" t="inlineStr">
        <is>
          <t>A-497__188</t>
        </is>
      </c>
      <c r="C216" s="1" t="n">
        <v>37.2648821431</v>
      </c>
      <c r="D216" s="1" t="n">
        <v>-6.99890172409</v>
      </c>
      <c r="E216" s="3" t="n">
        <v>1</v>
      </c>
      <c r="F216" s="2" t="n">
        <v>2</v>
      </c>
      <c r="G216" s="4" t="n">
        <v>1</v>
      </c>
      <c r="H216" s="13" t="n"/>
      <c r="I216" s="15" t="n"/>
      <c r="J216" s="19" t="n">
        <v>1</v>
      </c>
      <c r="K216" s="2" t="inlineStr">
        <is>
          <t>marker_566_379542.png</t>
        </is>
      </c>
      <c r="L216" s="11">
        <f>HYPERLINK("1\1\" &amp; K216, "Ver Imagen")</f>
        <v/>
      </c>
      <c r="M216" t="inlineStr">
        <is>
          <t>Moda</t>
        </is>
      </c>
    </row>
    <row r="217">
      <c r="A217" t="n">
        <v>216</v>
      </c>
      <c r="B217" t="inlineStr">
        <is>
          <t>A-497__185</t>
        </is>
      </c>
      <c r="C217" s="1" t="n">
        <v>37.2650146792</v>
      </c>
      <c r="D217" s="1" t="n">
        <v>-6.99814422857</v>
      </c>
      <c r="E217" s="3" t="n">
        <v>1</v>
      </c>
      <c r="F217" s="2" t="n">
        <v>2</v>
      </c>
      <c r="G217" s="4" t="n">
        <v>1</v>
      </c>
      <c r="H217" s="13" t="n"/>
      <c r="I217" s="15" t="n"/>
      <c r="J217" s="19" t="n">
        <v>1</v>
      </c>
      <c r="K217" s="2" t="inlineStr">
        <is>
          <t>marker_506_379584.png</t>
        </is>
      </c>
      <c r="L217" s="11">
        <f>HYPERLINK("1\1\" &amp; K217, "Ver Imagen")</f>
        <v/>
      </c>
      <c r="M217" t="inlineStr">
        <is>
          <t>Moda</t>
        </is>
      </c>
    </row>
    <row r="218">
      <c r="A218" t="n">
        <v>217</v>
      </c>
      <c r="B218" t="inlineStr">
        <is>
          <t>A-497__179</t>
        </is>
      </c>
      <c r="C218" s="1" t="n">
        <v>37.2652846739</v>
      </c>
      <c r="D218" s="1" t="n">
        <v>-6.99664990496</v>
      </c>
      <c r="E218" s="3" t="n">
        <v>1</v>
      </c>
      <c r="F218" s="2" t="n">
        <v>2</v>
      </c>
      <c r="G218" s="4" t="n">
        <v>1</v>
      </c>
      <c r="H218" s="13" t="n"/>
      <c r="I218" s="15" t="n"/>
      <c r="J218" s="19" t="n">
        <v>1</v>
      </c>
      <c r="K218" s="2" t="inlineStr">
        <is>
          <t>marker_940_379652.png</t>
        </is>
      </c>
      <c r="L218" s="11">
        <f>HYPERLINK("1\1\" &amp; K218, "Ver Imagen")</f>
        <v/>
      </c>
      <c r="M218" t="inlineStr">
        <is>
          <t>Moda</t>
        </is>
      </c>
    </row>
    <row r="219">
      <c r="A219" t="n">
        <v>218</v>
      </c>
      <c r="B219" t="inlineStr">
        <is>
          <t>A-497__174</t>
        </is>
      </c>
      <c r="C219" s="1" t="n">
        <v>37.2655055725</v>
      </c>
      <c r="D219" s="1" t="n">
        <v>-6.99539286519</v>
      </c>
      <c r="E219" s="3" t="n">
        <v>1</v>
      </c>
      <c r="F219" s="2" t="n">
        <v>2</v>
      </c>
      <c r="G219" s="4" t="n">
        <v>1</v>
      </c>
      <c r="H219" s="13" t="n"/>
      <c r="I219" s="15" t="n"/>
      <c r="J219" s="19" t="n">
        <v>1</v>
      </c>
      <c r="K219" s="2" t="inlineStr">
        <is>
          <t>marker_434_379714.png</t>
        </is>
      </c>
      <c r="L219" s="11">
        <f>HYPERLINK("1\1\" &amp; K219, "Ver Imagen")</f>
        <v/>
      </c>
      <c r="M219" t="inlineStr">
        <is>
          <t>Moda</t>
        </is>
      </c>
    </row>
    <row r="220">
      <c r="A220" t="n">
        <v>219</v>
      </c>
      <c r="B220" t="inlineStr">
        <is>
          <t>A-490__515</t>
        </is>
      </c>
      <c r="C220" s="1" t="n">
        <v>37.4871447966</v>
      </c>
      <c r="D220" s="1" t="n">
        <v>-7.24268274272</v>
      </c>
      <c r="E220" s="3" t="n">
        <v>1</v>
      </c>
      <c r="F220" s="2" t="n">
        <v>1</v>
      </c>
      <c r="G220" s="4" t="n">
        <v>2</v>
      </c>
      <c r="H220" s="13" t="n"/>
      <c r="I220" s="15" t="n"/>
      <c r="J220" s="19" t="n">
        <v>1</v>
      </c>
      <c r="K220" s="2" t="inlineStr">
        <is>
          <t>marker_269_817901.png</t>
        </is>
      </c>
      <c r="L220" s="11">
        <f>HYPERLINK("1\1\" &amp; K220, "Ver Imagen")</f>
        <v/>
      </c>
      <c r="M220" t="inlineStr">
        <is>
          <t>Moda</t>
        </is>
      </c>
    </row>
    <row r="221">
      <c r="A221" t="n">
        <v>220</v>
      </c>
      <c r="B221" t="inlineStr">
        <is>
          <t>A-490__443</t>
        </is>
      </c>
      <c r="C221" s="1" t="n">
        <v>37.4839254581</v>
      </c>
      <c r="D221" s="1" t="n">
        <v>-7.22493053017</v>
      </c>
      <c r="E221" s="3" t="n">
        <v>1</v>
      </c>
      <c r="F221" s="2" t="n">
        <v>1</v>
      </c>
      <c r="G221" s="4" t="n">
        <v>2</v>
      </c>
      <c r="H221" s="13" t="n"/>
      <c r="I221" s="15" t="n"/>
      <c r="J221" s="19" t="n">
        <v>1</v>
      </c>
      <c r="K221" s="2" t="inlineStr">
        <is>
          <t>marker_155_754718.png</t>
        </is>
      </c>
      <c r="L221" s="11">
        <f>HYPERLINK("1\1\" &amp; K221, "Ver Imagen")</f>
        <v/>
      </c>
      <c r="M221" t="inlineStr">
        <is>
          <t>Moda</t>
        </is>
      </c>
    </row>
    <row r="222">
      <c r="A222" t="n">
        <v>221</v>
      </c>
      <c r="B222" t="inlineStr">
        <is>
          <t>A-490__444</t>
        </is>
      </c>
      <c r="C222" s="1" t="n">
        <v>37.4839712286</v>
      </c>
      <c r="D222" s="1" t="n">
        <v>-7.22516622673</v>
      </c>
      <c r="E222" s="3" t="n">
        <v>1</v>
      </c>
      <c r="F222" s="2" t="n">
        <v>1</v>
      </c>
      <c r="G222" s="4" t="n">
        <v>2</v>
      </c>
      <c r="H222" s="13" t="n"/>
      <c r="I222" s="15" t="n"/>
      <c r="J222" s="19" t="n">
        <v>1</v>
      </c>
      <c r="K222" s="2" t="inlineStr">
        <is>
          <t>marker_742_754738.png</t>
        </is>
      </c>
      <c r="L222" s="11">
        <f>HYPERLINK("1\1\" &amp; K222, "Ver Imagen")</f>
        <v/>
      </c>
      <c r="M222" t="inlineStr">
        <is>
          <t>Moda</t>
        </is>
      </c>
    </row>
    <row r="223">
      <c r="A223" t="n">
        <v>222</v>
      </c>
      <c r="B223" t="inlineStr">
        <is>
          <t>A-490__450</t>
        </is>
      </c>
      <c r="C223" s="1" t="n">
        <v>37.4842434589</v>
      </c>
      <c r="D223" s="1" t="n">
        <v>-7.22658213172</v>
      </c>
      <c r="E223" s="3" t="n">
        <v>1</v>
      </c>
      <c r="F223" s="2" t="n">
        <v>1</v>
      </c>
      <c r="G223" s="4" t="n">
        <v>2</v>
      </c>
      <c r="H223" s="13" t="n"/>
      <c r="I223" s="15" t="n"/>
      <c r="J223" s="19" t="n">
        <v>1</v>
      </c>
      <c r="K223" s="2" t="inlineStr">
        <is>
          <t>marker_301_755035.png</t>
        </is>
      </c>
      <c r="L223" s="11">
        <f>HYPERLINK("1\1\" &amp; K223, "Ver Imagen")</f>
        <v/>
      </c>
      <c r="M223" t="inlineStr">
        <is>
          <t>Moda</t>
        </is>
      </c>
    </row>
    <row r="224">
      <c r="A224" t="n">
        <v>223</v>
      </c>
      <c r="B224" t="inlineStr">
        <is>
          <t>A-490__451</t>
        </is>
      </c>
      <c r="C224" s="1" t="n">
        <v>37.4843163953</v>
      </c>
      <c r="D224" s="1" t="n">
        <v>-7.22695551447</v>
      </c>
      <c r="E224" s="3" t="n">
        <v>1</v>
      </c>
      <c r="F224" s="2" t="n">
        <v>1</v>
      </c>
      <c r="G224" s="4" t="n">
        <v>2</v>
      </c>
      <c r="H224" s="13" t="n"/>
      <c r="I224" s="15" t="n"/>
      <c r="J224" s="19" t="n">
        <v>1</v>
      </c>
      <c r="K224" s="2" t="inlineStr">
        <is>
          <t>marker_943_755051.png</t>
        </is>
      </c>
      <c r="L224" s="11">
        <f>HYPERLINK("1\1\" &amp; K224, "Ver Imagen")</f>
        <v/>
      </c>
      <c r="M224" t="inlineStr">
        <is>
          <t>Moda</t>
        </is>
      </c>
    </row>
    <row r="225">
      <c r="A225" t="n">
        <v>224</v>
      </c>
      <c r="B225" t="inlineStr">
        <is>
          <t>A-490__453</t>
        </is>
      </c>
      <c r="C225" s="1" t="n">
        <v>37.4843929002</v>
      </c>
      <c r="D225" s="1" t="n">
        <v>-7.22733997354</v>
      </c>
      <c r="E225" s="3" t="n">
        <v>1</v>
      </c>
      <c r="F225" s="2" t="n">
        <v>1</v>
      </c>
      <c r="G225" s="4" t="n">
        <v>2</v>
      </c>
      <c r="H225" s="13" t="n"/>
      <c r="I225" s="15" t="n"/>
      <c r="J225" s="19" t="n">
        <v>1</v>
      </c>
      <c r="K225" s="2" t="inlineStr">
        <is>
          <t>marker_156_755097.png</t>
        </is>
      </c>
      <c r="L225" s="11">
        <f>HYPERLINK("1\1\" &amp; K225, "Ver Imagen")</f>
        <v/>
      </c>
      <c r="M225" t="inlineStr">
        <is>
          <t>Moda</t>
        </is>
      </c>
    </row>
    <row r="226">
      <c r="A226" t="n">
        <v>225</v>
      </c>
      <c r="B226" t="inlineStr">
        <is>
          <t>A-490__463</t>
        </is>
      </c>
      <c r="C226" s="1" t="n">
        <v>37.4848786675</v>
      </c>
      <c r="D226" s="1" t="n">
        <v>-7.22982237332</v>
      </c>
      <c r="E226" s="3" t="n">
        <v>1</v>
      </c>
      <c r="F226" s="2" t="n">
        <v>1</v>
      </c>
      <c r="G226" s="4" t="n">
        <v>2</v>
      </c>
      <c r="H226" s="13" t="n"/>
      <c r="I226" s="15" t="n"/>
      <c r="J226" s="19" t="n">
        <v>1</v>
      </c>
      <c r="K226" s="2" t="inlineStr">
        <is>
          <t>marker_465_755271.png</t>
        </is>
      </c>
      <c r="L226" s="11">
        <f>HYPERLINK("1\1\" &amp; K226, "Ver Imagen")</f>
        <v/>
      </c>
      <c r="M226" t="inlineStr">
        <is>
          <t>Moda</t>
        </is>
      </c>
    </row>
    <row r="227">
      <c r="A227" t="n">
        <v>226</v>
      </c>
      <c r="B227" t="inlineStr">
        <is>
          <t>A-490__468</t>
        </is>
      </c>
      <c r="C227" s="1" t="n">
        <v>37.4851193975</v>
      </c>
      <c r="D227" s="1" t="n">
        <v>-7.23106448122</v>
      </c>
      <c r="E227" s="3" t="n">
        <v>1</v>
      </c>
      <c r="F227" s="2" t="n">
        <v>1</v>
      </c>
      <c r="G227" s="4" t="n">
        <v>2</v>
      </c>
      <c r="H227" s="13" t="n"/>
      <c r="I227" s="15" t="n"/>
      <c r="J227" s="19" t="n">
        <v>1</v>
      </c>
      <c r="K227" s="2" t="inlineStr">
        <is>
          <t>marker_273_755360.png</t>
        </is>
      </c>
      <c r="L227" s="11">
        <f>HYPERLINK("1\1\" &amp; K227, "Ver Imagen")</f>
        <v/>
      </c>
      <c r="M227" t="inlineStr">
        <is>
          <t>Moda</t>
        </is>
      </c>
    </row>
    <row r="228">
      <c r="A228" t="n">
        <v>227</v>
      </c>
      <c r="B228" t="inlineStr">
        <is>
          <t>A-490__469</t>
        </is>
      </c>
      <c r="C228" s="1" t="n">
        <v>37.4851589039</v>
      </c>
      <c r="D228" s="1" t="n">
        <v>-7.23126900745</v>
      </c>
      <c r="E228" s="3" t="n">
        <v>1</v>
      </c>
      <c r="F228" s="2" t="n">
        <v>1</v>
      </c>
      <c r="G228" s="4" t="n">
        <v>2</v>
      </c>
      <c r="H228" s="13" t="n"/>
      <c r="I228" s="15" t="n"/>
      <c r="J228" s="19" t="n">
        <v>1</v>
      </c>
      <c r="K228" s="2" t="inlineStr">
        <is>
          <t>marker_521_755378.png</t>
        </is>
      </c>
      <c r="L228" s="11">
        <f>HYPERLINK("1\1\" &amp; K228, "Ver Imagen")</f>
        <v/>
      </c>
      <c r="M228" t="inlineStr">
        <is>
          <t>Moda</t>
        </is>
      </c>
    </row>
    <row r="229">
      <c r="A229" t="n">
        <v>228</v>
      </c>
      <c r="B229" t="inlineStr">
        <is>
          <t>A-490__473</t>
        </is>
      </c>
      <c r="C229" s="1" t="n">
        <v>37.485354665</v>
      </c>
      <c r="D229" s="1" t="n">
        <v>-7.23230115944</v>
      </c>
      <c r="E229" s="3" t="n">
        <v>1</v>
      </c>
      <c r="F229" s="2" t="n">
        <v>1</v>
      </c>
      <c r="G229" s="4" t="n">
        <v>2</v>
      </c>
      <c r="H229" s="13" t="n"/>
      <c r="I229" s="15" t="n"/>
      <c r="J229" s="19" t="n">
        <v>1</v>
      </c>
      <c r="K229" s="2" t="inlineStr">
        <is>
          <t>marker_562_755450.png</t>
        </is>
      </c>
      <c r="L229" s="11">
        <f>HYPERLINK("1\1\" &amp; K229, "Ver Imagen")</f>
        <v/>
      </c>
      <c r="M229" t="inlineStr">
        <is>
          <t>Moda</t>
        </is>
      </c>
    </row>
    <row r="230">
      <c r="A230" t="n">
        <v>229</v>
      </c>
      <c r="B230" t="inlineStr">
        <is>
          <t>A-490__492</t>
        </is>
      </c>
      <c r="C230" s="1" t="n">
        <v>37.4862564151</v>
      </c>
      <c r="D230" s="1" t="n">
        <v>-7.2369854072</v>
      </c>
      <c r="E230" s="3" t="n">
        <v>1</v>
      </c>
      <c r="F230" s="2" t="n">
        <v>1</v>
      </c>
      <c r="G230" s="4" t="n">
        <v>2</v>
      </c>
      <c r="H230" s="13" t="n"/>
      <c r="I230" s="15" t="n"/>
      <c r="J230" s="19" t="n">
        <v>1</v>
      </c>
      <c r="K230" s="2" t="inlineStr">
        <is>
          <t>marker_481_755796.png</t>
        </is>
      </c>
      <c r="L230" s="11">
        <f>HYPERLINK("1\1\" &amp; K230, "Ver Imagen")</f>
        <v/>
      </c>
      <c r="M230" t="inlineStr">
        <is>
          <t>Moda</t>
        </is>
      </c>
    </row>
    <row r="231">
      <c r="A231" t="n">
        <v>230</v>
      </c>
      <c r="B231" t="inlineStr">
        <is>
          <t>A-490__539</t>
        </is>
      </c>
      <c r="C231" s="1" t="n">
        <v>37.4893515618</v>
      </c>
      <c r="D231" s="1" t="n">
        <v>-7.24804590351</v>
      </c>
      <c r="E231" s="3" t="n">
        <v>1</v>
      </c>
      <c r="F231" s="2" t="n">
        <v>1</v>
      </c>
      <c r="G231" s="4" t="n">
        <v>2</v>
      </c>
      <c r="H231" s="13" t="n"/>
      <c r="I231" s="15" t="n"/>
      <c r="J231" s="19" t="n">
        <v>1</v>
      </c>
      <c r="K231" s="2" t="inlineStr">
        <is>
          <t>marker_175_818333.png</t>
        </is>
      </c>
      <c r="L231" s="11">
        <f>HYPERLINK("1\1\" &amp; K231, "Ver Imagen")</f>
        <v/>
      </c>
      <c r="M231" t="inlineStr">
        <is>
          <t>Moda</t>
        </is>
      </c>
    </row>
    <row r="232">
      <c r="A232" t="n">
        <v>231</v>
      </c>
      <c r="B232" t="inlineStr">
        <is>
          <t>A-490__547</t>
        </is>
      </c>
      <c r="C232" s="1" t="n">
        <v>37.4905306565</v>
      </c>
      <c r="D232" s="1" t="n">
        <v>-7.24946375203</v>
      </c>
      <c r="E232" s="3" t="n">
        <v>1</v>
      </c>
      <c r="F232" s="2" t="n">
        <v>1</v>
      </c>
      <c r="G232" s="4" t="n">
        <v>2</v>
      </c>
      <c r="H232" s="13" t="n"/>
      <c r="I232" s="15" t="n"/>
      <c r="J232" s="19" t="n">
        <v>1</v>
      </c>
      <c r="K232" s="2" t="inlineStr">
        <is>
          <t>marker_636_818479.png</t>
        </is>
      </c>
      <c r="L232" s="11">
        <f>HYPERLINK("1\1\" &amp; K232, "Ver Imagen")</f>
        <v/>
      </c>
      <c r="M232" t="inlineStr">
        <is>
          <t>Moda</t>
        </is>
      </c>
    </row>
    <row r="233">
      <c r="A233" t="n">
        <v>232</v>
      </c>
      <c r="B233" t="inlineStr">
        <is>
          <t>A-490__591</t>
        </is>
      </c>
      <c r="C233" s="1" t="n">
        <v>37.4906821749</v>
      </c>
      <c r="D233" s="1" t="n">
        <v>-7.26020025126</v>
      </c>
      <c r="E233" s="3" t="n">
        <v>1</v>
      </c>
      <c r="F233" s="2" t="n">
        <v>1</v>
      </c>
      <c r="G233" s="4" t="n">
        <v>2</v>
      </c>
      <c r="H233" s="13" t="n"/>
      <c r="I233" s="15" t="n"/>
      <c r="J233" s="19" t="n">
        <v>1</v>
      </c>
      <c r="K233" s="2" t="inlineStr">
        <is>
          <t>marker_483_819640.png</t>
        </is>
      </c>
      <c r="L233" s="11">
        <f>HYPERLINK("1\1\" &amp; K233, "Ver Imagen")</f>
        <v/>
      </c>
      <c r="M233" t="inlineStr">
        <is>
          <t>Moda</t>
        </is>
      </c>
    </row>
    <row r="234">
      <c r="A234" t="n">
        <v>233</v>
      </c>
      <c r="B234" t="inlineStr">
        <is>
          <t>A-490__610</t>
        </is>
      </c>
      <c r="C234" s="1" t="n">
        <v>37.4932226273</v>
      </c>
      <c r="D234" s="1" t="n">
        <v>-7.26371030414</v>
      </c>
      <c r="E234" s="3" t="n">
        <v>1</v>
      </c>
      <c r="F234" s="2" t="n">
        <v>1</v>
      </c>
      <c r="G234" s="4" t="n">
        <v>2</v>
      </c>
      <c r="H234" s="13" t="n"/>
      <c r="I234" s="15" t="n"/>
      <c r="J234" s="19" t="n">
        <v>1</v>
      </c>
      <c r="K234" s="2" t="inlineStr">
        <is>
          <t>marker_572_820205.png</t>
        </is>
      </c>
      <c r="L234" s="11">
        <f>HYPERLINK("1\1\" &amp; K234, "Ver Imagen")</f>
        <v/>
      </c>
      <c r="M234" t="inlineStr">
        <is>
          <t>Moda</t>
        </is>
      </c>
    </row>
    <row r="235">
      <c r="A235" t="n">
        <v>234</v>
      </c>
      <c r="B235" t="inlineStr">
        <is>
          <t>A-492__203</t>
        </is>
      </c>
      <c r="C235" s="1" t="n">
        <v>37.2789952435</v>
      </c>
      <c r="D235" s="1" t="n">
        <v>-7.03042812589</v>
      </c>
      <c r="E235" s="3" t="n">
        <v>1</v>
      </c>
      <c r="F235" s="2" t="n">
        <v>1</v>
      </c>
      <c r="G235" s="4" t="n">
        <v>2</v>
      </c>
      <c r="H235" s="13" t="n"/>
      <c r="I235" s="15" t="n"/>
      <c r="J235" s="19" t="n">
        <v>1</v>
      </c>
      <c r="K235" s="2" t="inlineStr">
        <is>
          <t>marker_331_831958.png</t>
        </is>
      </c>
      <c r="L235" s="11">
        <f>HYPERLINK("1\1\" &amp; K235, "Ver Imagen")</f>
        <v/>
      </c>
      <c r="M235" t="inlineStr">
        <is>
          <t>Moda</t>
        </is>
      </c>
    </row>
    <row r="236">
      <c r="A236" t="n">
        <v>235</v>
      </c>
      <c r="B236" t="inlineStr">
        <is>
          <t>A-492__238</t>
        </is>
      </c>
      <c r="C236" s="1" t="n">
        <v>37.2841039243</v>
      </c>
      <c r="D236" s="1" t="n">
        <v>-7.03583984014</v>
      </c>
      <c r="E236" s="3" t="n">
        <v>1</v>
      </c>
      <c r="F236" s="2" t="n">
        <v>1</v>
      </c>
      <c r="G236" s="4" t="n">
        <v>2</v>
      </c>
      <c r="H236" s="13" t="n"/>
      <c r="I236" s="15" t="n"/>
      <c r="J236" s="19" t="n">
        <v>1</v>
      </c>
      <c r="K236" s="2" t="inlineStr">
        <is>
          <t>marker_993_835921.png</t>
        </is>
      </c>
      <c r="L236" s="11">
        <f>HYPERLINK("1\1\" &amp; K236, "Ver Imagen")</f>
        <v/>
      </c>
      <c r="M236" t="inlineStr">
        <is>
          <t>Moda</t>
        </is>
      </c>
    </row>
    <row r="237">
      <c r="A237" t="n">
        <v>236</v>
      </c>
      <c r="B237" t="inlineStr">
        <is>
          <t>A-492__245</t>
        </is>
      </c>
      <c r="C237" s="1" t="n">
        <v>37.284227425</v>
      </c>
      <c r="D237" s="1" t="n">
        <v>-7.03760289554</v>
      </c>
      <c r="E237" s="3" t="n">
        <v>1</v>
      </c>
      <c r="F237" s="2" t="n">
        <v>1</v>
      </c>
      <c r="G237" s="4" t="n">
        <v>2</v>
      </c>
      <c r="H237" s="13" t="n"/>
      <c r="I237" s="15" t="n"/>
      <c r="J237" s="19" t="n">
        <v>1</v>
      </c>
      <c r="K237" s="2" t="inlineStr">
        <is>
          <t>marker_605_836032.png</t>
        </is>
      </c>
      <c r="L237" s="11">
        <f>HYPERLINK("1\1\" &amp; K237, "Ver Imagen")</f>
        <v/>
      </c>
      <c r="M237" t="inlineStr">
        <is>
          <t>Moda</t>
        </is>
      </c>
    </row>
    <row r="238">
      <c r="A238" t="n">
        <v>237</v>
      </c>
      <c r="B238" t="inlineStr">
        <is>
          <t>A-492__247</t>
        </is>
      </c>
      <c r="C238" s="1" t="n">
        <v>37.2843356131</v>
      </c>
      <c r="D238" s="1" t="n">
        <v>-7.03805521116</v>
      </c>
      <c r="E238" s="3" t="n">
        <v>1</v>
      </c>
      <c r="F238" s="2" t="n">
        <v>1</v>
      </c>
      <c r="G238" s="4" t="n">
        <v>2</v>
      </c>
      <c r="H238" s="13" t="n"/>
      <c r="I238" s="15" t="n"/>
      <c r="J238" s="19" t="n">
        <v>1</v>
      </c>
      <c r="K238" s="2" t="inlineStr">
        <is>
          <t>marker_275_836056.png</t>
        </is>
      </c>
      <c r="L238" s="11">
        <f>HYPERLINK("1\1\" &amp; K238, "Ver Imagen")</f>
        <v/>
      </c>
      <c r="M238" t="inlineStr">
        <is>
          <t>Moda</t>
        </is>
      </c>
    </row>
    <row r="239">
      <c r="A239" t="n">
        <v>238</v>
      </c>
      <c r="B239" t="inlineStr">
        <is>
          <t>A-492__248</t>
        </is>
      </c>
      <c r="C239" s="1" t="n">
        <v>37.2843948222</v>
      </c>
      <c r="D239" s="1" t="n">
        <v>-7.03828970217</v>
      </c>
      <c r="E239" s="3" t="n">
        <v>1</v>
      </c>
      <c r="F239" s="2" t="n">
        <v>1</v>
      </c>
      <c r="G239" s="4" t="n">
        <v>2</v>
      </c>
      <c r="H239" s="13" t="n"/>
      <c r="I239" s="15" t="n"/>
      <c r="J239" s="19" t="n">
        <v>1</v>
      </c>
      <c r="K239" s="2" t="inlineStr">
        <is>
          <t>marker_940_836074.png</t>
        </is>
      </c>
      <c r="L239" s="11">
        <f>HYPERLINK("1\1\" &amp; K239, "Ver Imagen")</f>
        <v/>
      </c>
      <c r="M239" t="inlineStr">
        <is>
          <t>Moda</t>
        </is>
      </c>
    </row>
    <row r="240">
      <c r="A240" t="n">
        <v>239</v>
      </c>
      <c r="B240" t="inlineStr">
        <is>
          <t>A-492__261</t>
        </is>
      </c>
      <c r="C240" s="1" t="n">
        <v>37.2856848167</v>
      </c>
      <c r="D240" s="1" t="n">
        <v>-7.04112571008</v>
      </c>
      <c r="E240" s="3" t="n">
        <v>1</v>
      </c>
      <c r="F240" s="2" t="n">
        <v>1</v>
      </c>
      <c r="G240" s="4" t="n">
        <v>2</v>
      </c>
      <c r="H240" s="13" t="n"/>
      <c r="I240" s="15" t="n"/>
      <c r="J240" s="19" t="n">
        <v>1</v>
      </c>
      <c r="K240" s="2" t="inlineStr">
        <is>
          <t>marker_761_836595.png</t>
        </is>
      </c>
      <c r="L240" s="11">
        <f>HYPERLINK("1\1\" &amp; K240, "Ver Imagen")</f>
        <v/>
      </c>
      <c r="M240" t="inlineStr">
        <is>
          <t>Moda</t>
        </is>
      </c>
    </row>
    <row r="241">
      <c r="A241" t="n">
        <v>240</v>
      </c>
      <c r="B241" t="inlineStr">
        <is>
          <t>A-492__262</t>
        </is>
      </c>
      <c r="C241" s="1" t="n">
        <v>37.2858226484</v>
      </c>
      <c r="D241" s="1" t="n">
        <v>-7.0412578183</v>
      </c>
      <c r="E241" s="3" t="n">
        <v>1</v>
      </c>
      <c r="F241" s="2" t="n">
        <v>1</v>
      </c>
      <c r="G241" s="4" t="n">
        <v>2</v>
      </c>
      <c r="H241" s="13" t="n"/>
      <c r="I241" s="15" t="n"/>
      <c r="J241" s="19" t="n">
        <v>1</v>
      </c>
      <c r="K241" s="2" t="inlineStr">
        <is>
          <t>marker_410_836609.png</t>
        </is>
      </c>
      <c r="L241" s="11">
        <f>HYPERLINK("1\1\" &amp; K241, "Ver Imagen")</f>
        <v/>
      </c>
      <c r="M241" t="inlineStr">
        <is>
          <t>Moda</t>
        </is>
      </c>
    </row>
    <row r="242">
      <c r="A242" t="n">
        <v>241</v>
      </c>
      <c r="B242" t="inlineStr">
        <is>
          <t>A-492__283</t>
        </is>
      </c>
      <c r="C242" s="1" t="n">
        <v>37.2893614867</v>
      </c>
      <c r="D242" s="1" t="n">
        <v>-7.04401660296</v>
      </c>
      <c r="E242" s="3" t="n">
        <v>1</v>
      </c>
      <c r="F242" s="2" t="n">
        <v>1</v>
      </c>
      <c r="G242" s="4" t="n">
        <v>2</v>
      </c>
      <c r="H242" s="13" t="n"/>
      <c r="I242" s="15" t="n"/>
      <c r="J242" s="19" t="n">
        <v>1</v>
      </c>
      <c r="K242" s="2" t="inlineStr">
        <is>
          <t>marker_341_837338.png</t>
        </is>
      </c>
      <c r="L242" s="11">
        <f>HYPERLINK("1\1\" &amp; K242, "Ver Imagen")</f>
        <v/>
      </c>
      <c r="M242" t="inlineStr">
        <is>
          <t>Moda</t>
        </is>
      </c>
    </row>
    <row r="243">
      <c r="A243" t="n">
        <v>242</v>
      </c>
      <c r="B243" t="inlineStr">
        <is>
          <t>A-492__315</t>
        </is>
      </c>
      <c r="C243" s="1" t="n">
        <v>37.294643174</v>
      </c>
      <c r="D243" s="1" t="n">
        <v>-7.04815605967</v>
      </c>
      <c r="E243" s="3" t="n">
        <v>1</v>
      </c>
      <c r="F243" s="2" t="n">
        <v>1</v>
      </c>
      <c r="G243" s="4" t="n">
        <v>2</v>
      </c>
      <c r="H243" s="13" t="n"/>
      <c r="I243" s="15" t="n"/>
      <c r="J243" s="19" t="n">
        <v>1</v>
      </c>
      <c r="K243" s="2" t="inlineStr">
        <is>
          <t>marker_795_837727.png</t>
        </is>
      </c>
      <c r="L243" s="11">
        <f>HYPERLINK("1\1\" &amp; K243, "Ver Imagen")</f>
        <v/>
      </c>
      <c r="M243" t="inlineStr">
        <is>
          <t>Moda</t>
        </is>
      </c>
    </row>
    <row r="244">
      <c r="A244" t="n">
        <v>243</v>
      </c>
      <c r="B244" t="inlineStr">
        <is>
          <t>A-492__370</t>
        </is>
      </c>
      <c r="C244" s="1" t="n">
        <v>37.3028933211</v>
      </c>
      <c r="D244" s="1" t="n">
        <v>-7.05662122262</v>
      </c>
      <c r="E244" s="3" t="n">
        <v>1</v>
      </c>
      <c r="F244" s="2" t="n">
        <v>1</v>
      </c>
      <c r="G244" s="4" t="n">
        <v>2</v>
      </c>
      <c r="H244" s="13" t="n"/>
      <c r="I244" s="15" t="n"/>
      <c r="J244" s="19" t="n">
        <v>1</v>
      </c>
      <c r="K244" s="2" t="inlineStr">
        <is>
          <t>marker_651_838758.png</t>
        </is>
      </c>
      <c r="L244" s="11">
        <f>HYPERLINK("1\1\" &amp; K244, "Ver Imagen")</f>
        <v/>
      </c>
      <c r="M244" t="inlineStr">
        <is>
          <t>Moda</t>
        </is>
      </c>
    </row>
    <row r="245">
      <c r="A245" t="n">
        <v>244</v>
      </c>
      <c r="B245" t="inlineStr">
        <is>
          <t>A-492__373</t>
        </is>
      </c>
      <c r="C245" s="1" t="n">
        <v>37.3034567897</v>
      </c>
      <c r="D245" s="1" t="n">
        <v>-7.05671069204</v>
      </c>
      <c r="E245" s="3" t="n">
        <v>1</v>
      </c>
      <c r="F245" s="2" t="n">
        <v>1</v>
      </c>
      <c r="G245" s="4" t="n">
        <v>2</v>
      </c>
      <c r="H245" s="13" t="n"/>
      <c r="I245" s="15" t="n"/>
      <c r="J245" s="19" t="n">
        <v>1</v>
      </c>
      <c r="K245" s="2" t="inlineStr">
        <is>
          <t>marker_861_838793.png</t>
        </is>
      </c>
      <c r="L245" s="11">
        <f>HYPERLINK("1\1\" &amp; K245, "Ver Imagen")</f>
        <v/>
      </c>
      <c r="M245" t="inlineStr">
        <is>
          <t>Moda</t>
        </is>
      </c>
    </row>
    <row r="246">
      <c r="A246" t="n">
        <v>245</v>
      </c>
      <c r="B246" t="inlineStr">
        <is>
          <t>A-492__380</t>
        </is>
      </c>
      <c r="C246" s="1" t="n">
        <v>37.3049026577</v>
      </c>
      <c r="D246" s="1" t="n">
        <v>-7.05674004601</v>
      </c>
      <c r="E246" s="3" t="n">
        <v>1</v>
      </c>
      <c r="F246" s="2" t="n">
        <v>1</v>
      </c>
      <c r="G246" s="4" t="n">
        <v>2</v>
      </c>
      <c r="H246" s="13" t="n"/>
      <c r="I246" s="15" t="n"/>
      <c r="J246" s="19" t="n">
        <v>1</v>
      </c>
      <c r="K246" s="2" t="inlineStr">
        <is>
          <t>marker_348_838891.png</t>
        </is>
      </c>
      <c r="L246" s="11">
        <f>HYPERLINK("1\1\" &amp; K246, "Ver Imagen")</f>
        <v/>
      </c>
      <c r="M246" t="inlineStr">
        <is>
          <t>Moda</t>
        </is>
      </c>
    </row>
    <row r="247">
      <c r="A247" t="n">
        <v>246</v>
      </c>
      <c r="B247" t="inlineStr">
        <is>
          <t>A-492__381</t>
        </is>
      </c>
      <c r="C247" s="1" t="n">
        <v>37.3050946954</v>
      </c>
      <c r="D247" s="1" t="n">
        <v>-7.0567362267</v>
      </c>
      <c r="E247" s="3" t="n">
        <v>1</v>
      </c>
      <c r="F247" s="2" t="n">
        <v>1</v>
      </c>
      <c r="G247" s="4" t="n">
        <v>2</v>
      </c>
      <c r="H247" s="13" t="n"/>
      <c r="I247" s="15" t="n"/>
      <c r="J247" s="19" t="n">
        <v>1</v>
      </c>
      <c r="K247" s="2" t="inlineStr">
        <is>
          <t>marker_579_838903.png</t>
        </is>
      </c>
      <c r="L247" s="11">
        <f>HYPERLINK("1\1\" &amp; K247, "Ver Imagen")</f>
        <v/>
      </c>
      <c r="M247" t="inlineStr">
        <is>
          <t>Moda</t>
        </is>
      </c>
    </row>
    <row r="248">
      <c r="A248" t="n">
        <v>247</v>
      </c>
      <c r="B248" t="inlineStr">
        <is>
          <t>A-492__407</t>
        </is>
      </c>
      <c r="C248" s="1" t="n">
        <v>37.3100827353</v>
      </c>
      <c r="D248" s="1" t="n">
        <v>-7.0583043278</v>
      </c>
      <c r="E248" s="3" t="n">
        <v>1</v>
      </c>
      <c r="F248" s="2" t="n">
        <v>1</v>
      </c>
      <c r="G248" s="4" t="n">
        <v>2</v>
      </c>
      <c r="H248" s="13" t="n"/>
      <c r="I248" s="15" t="n"/>
      <c r="J248" s="19" t="n">
        <v>1</v>
      </c>
      <c r="K248" s="2" t="inlineStr">
        <is>
          <t>marker_455_839258.png</t>
        </is>
      </c>
      <c r="L248" s="11">
        <f>HYPERLINK("1\1\" &amp; K248, "Ver Imagen")</f>
        <v/>
      </c>
      <c r="M248" t="inlineStr">
        <is>
          <t>Moda</t>
        </is>
      </c>
    </row>
    <row r="249">
      <c r="A249" t="n">
        <v>248</v>
      </c>
      <c r="B249" t="inlineStr">
        <is>
          <t>A-492__435</t>
        </is>
      </c>
      <c r="C249" s="1" t="n">
        <v>37.3139435427</v>
      </c>
      <c r="D249" s="1" t="n">
        <v>-7.06348773163</v>
      </c>
      <c r="E249" s="3" t="n">
        <v>1</v>
      </c>
      <c r="F249" s="2" t="n">
        <v>1</v>
      </c>
      <c r="G249" s="4" t="n">
        <v>2</v>
      </c>
      <c r="H249" s="13" t="n"/>
      <c r="I249" s="15" t="n"/>
      <c r="J249" s="19" t="n">
        <v>1</v>
      </c>
      <c r="K249" s="2" t="inlineStr">
        <is>
          <t>marker_596_839586.png</t>
        </is>
      </c>
      <c r="L249" s="11">
        <f>HYPERLINK("1\1\" &amp; K249, "Ver Imagen")</f>
        <v/>
      </c>
      <c r="M249" t="inlineStr">
        <is>
          <t>Moda</t>
        </is>
      </c>
    </row>
    <row r="250">
      <c r="A250" t="n">
        <v>249</v>
      </c>
      <c r="B250" t="inlineStr">
        <is>
          <t>A-492__437</t>
        </is>
      </c>
      <c r="C250" s="1" t="n">
        <v>37.3141400177</v>
      </c>
      <c r="D250" s="1" t="n">
        <v>-7.06385801686</v>
      </c>
      <c r="E250" s="3" t="n">
        <v>1</v>
      </c>
      <c r="F250" s="2" t="n">
        <v>1</v>
      </c>
      <c r="G250" s="4" t="n">
        <v>2</v>
      </c>
      <c r="H250" s="13" t="n"/>
      <c r="I250" s="15" t="n"/>
      <c r="J250" s="19" t="n">
        <v>1</v>
      </c>
      <c r="K250" s="2" t="inlineStr">
        <is>
          <t>marker_994_839617.png</t>
        </is>
      </c>
      <c r="L250" s="11">
        <f>HYPERLINK("1\1\" &amp; K250, "Ver Imagen")</f>
        <v/>
      </c>
      <c r="M250" t="inlineStr">
        <is>
          <t>Moda</t>
        </is>
      </c>
    </row>
    <row r="251">
      <c r="A251" t="n">
        <v>250</v>
      </c>
      <c r="B251" t="inlineStr">
        <is>
          <t>A-492__439</t>
        </is>
      </c>
      <c r="C251" s="1" t="n">
        <v>37.3143827941</v>
      </c>
      <c r="D251" s="1" t="n">
        <v>-7.06431034611</v>
      </c>
      <c r="E251" s="3" t="n">
        <v>1</v>
      </c>
      <c r="F251" s="2" t="n">
        <v>1</v>
      </c>
      <c r="G251" s="4" t="n">
        <v>2</v>
      </c>
      <c r="H251" s="13" t="n"/>
      <c r="I251" s="15" t="n"/>
      <c r="J251" s="19" t="n">
        <v>1</v>
      </c>
      <c r="K251" s="2" t="inlineStr">
        <is>
          <t>marker_471_839642.png</t>
        </is>
      </c>
      <c r="L251" s="11">
        <f>HYPERLINK("1\1\" &amp; K251, "Ver Imagen")</f>
        <v/>
      </c>
      <c r="M251" t="inlineStr">
        <is>
          <t>Moda</t>
        </is>
      </c>
    </row>
    <row r="252">
      <c r="A252" t="n">
        <v>251</v>
      </c>
      <c r="B252" t="inlineStr">
        <is>
          <t>A-492__446</t>
        </is>
      </c>
      <c r="C252" s="1" t="n">
        <v>37.3151130136</v>
      </c>
      <c r="D252" s="1" t="n">
        <v>-7.06579998385</v>
      </c>
      <c r="E252" s="3" t="n">
        <v>1</v>
      </c>
      <c r="F252" s="2" t="n">
        <v>1</v>
      </c>
      <c r="G252" s="4" t="n">
        <v>2</v>
      </c>
      <c r="H252" s="13" t="n"/>
      <c r="I252" s="15" t="n"/>
      <c r="J252" s="19" t="n">
        <v>1</v>
      </c>
      <c r="K252" s="2" t="inlineStr">
        <is>
          <t>marker_877_839774.png</t>
        </is>
      </c>
      <c r="L252" s="11">
        <f>HYPERLINK("1\1\" &amp; K252, "Ver Imagen")</f>
        <v/>
      </c>
      <c r="M252" t="inlineStr">
        <is>
          <t>Moda</t>
        </is>
      </c>
    </row>
    <row r="253">
      <c r="A253" t="n">
        <v>252</v>
      </c>
      <c r="B253" t="inlineStr">
        <is>
          <t>A-492__447</t>
        </is>
      </c>
      <c r="C253" s="1" t="n">
        <v>37.3151885288</v>
      </c>
      <c r="D253" s="1" t="n">
        <v>-7.0660510212</v>
      </c>
      <c r="E253" s="3" t="n">
        <v>1</v>
      </c>
      <c r="F253" s="2" t="n">
        <v>1</v>
      </c>
      <c r="G253" s="4" t="n">
        <v>2</v>
      </c>
      <c r="H253" s="13" t="n"/>
      <c r="I253" s="15" t="n"/>
      <c r="J253" s="19" t="n">
        <v>1</v>
      </c>
      <c r="K253" s="2" t="inlineStr">
        <is>
          <t>marker_508_839784.png</t>
        </is>
      </c>
      <c r="L253" s="11">
        <f>HYPERLINK("1\1\" &amp; K253, "Ver Imagen")</f>
        <v/>
      </c>
      <c r="M253" t="inlineStr">
        <is>
          <t>Moda</t>
        </is>
      </c>
    </row>
    <row r="254">
      <c r="A254" t="n">
        <v>253</v>
      </c>
      <c r="B254" t="inlineStr">
        <is>
          <t>A-492__448</t>
        </is>
      </c>
      <c r="C254" s="1" t="n">
        <v>37.3152448568</v>
      </c>
      <c r="D254" s="1" t="n">
        <v>-7.06626954712</v>
      </c>
      <c r="E254" s="3" t="n">
        <v>1</v>
      </c>
      <c r="F254" s="2" t="n">
        <v>1</v>
      </c>
      <c r="G254" s="4" t="n">
        <v>2</v>
      </c>
      <c r="H254" s="13" t="n"/>
      <c r="I254" s="15" t="n"/>
      <c r="J254" s="19" t="n">
        <v>1</v>
      </c>
      <c r="K254" s="2" t="inlineStr">
        <is>
          <t>marker_542_839794.png</t>
        </is>
      </c>
      <c r="L254" s="11">
        <f>HYPERLINK("1\1\" &amp; K254, "Ver Imagen")</f>
        <v/>
      </c>
      <c r="M254" t="inlineStr">
        <is>
          <t>Moda</t>
        </is>
      </c>
    </row>
    <row r="255">
      <c r="A255" t="n">
        <v>254</v>
      </c>
      <c r="B255" t="inlineStr">
        <is>
          <t>A-492__449</t>
        </is>
      </c>
      <c r="C255" s="1" t="n">
        <v>37.3153120401</v>
      </c>
      <c r="D255" s="1" t="n">
        <v>-7.06654845964</v>
      </c>
      <c r="E255" s="3" t="n">
        <v>1</v>
      </c>
      <c r="F255" s="2" t="n">
        <v>1</v>
      </c>
      <c r="G255" s="4" t="n">
        <v>2</v>
      </c>
      <c r="H255" s="13" t="n"/>
      <c r="I255" s="15" t="n"/>
      <c r="J255" s="19" t="n">
        <v>1</v>
      </c>
      <c r="K255" s="2" t="inlineStr">
        <is>
          <t>marker_594_839804.png</t>
        </is>
      </c>
      <c r="L255" s="11">
        <f>HYPERLINK("1\1\" &amp; K255, "Ver Imagen")</f>
        <v/>
      </c>
      <c r="M255" t="inlineStr">
        <is>
          <t>Moda</t>
        </is>
      </c>
    </row>
    <row r="256">
      <c r="A256" t="n">
        <v>255</v>
      </c>
      <c r="B256" t="inlineStr">
        <is>
          <t>A-492__450</t>
        </is>
      </c>
      <c r="C256" s="1" t="n">
        <v>37.3153734357</v>
      </c>
      <c r="D256" s="1" t="n">
        <v>-7.06681175384</v>
      </c>
      <c r="E256" s="3" t="n">
        <v>1</v>
      </c>
      <c r="F256" s="2" t="n">
        <v>1</v>
      </c>
      <c r="G256" s="4" t="n">
        <v>2</v>
      </c>
      <c r="H256" s="13" t="n"/>
      <c r="I256" s="15" t="n"/>
      <c r="J256" s="19" t="n">
        <v>1</v>
      </c>
      <c r="K256" s="2" t="inlineStr">
        <is>
          <t>marker_243_839814.png</t>
        </is>
      </c>
      <c r="L256" s="11">
        <f>HYPERLINK("1\1\" &amp; K256, "Ver Imagen")</f>
        <v/>
      </c>
      <c r="M256" t="inlineStr">
        <is>
          <t>Moda</t>
        </is>
      </c>
    </row>
    <row r="257">
      <c r="A257" t="n">
        <v>256</v>
      </c>
      <c r="B257" t="inlineStr">
        <is>
          <t>A-495R__79</t>
        </is>
      </c>
      <c r="C257" s="1" t="n">
        <v>37.4598334199</v>
      </c>
      <c r="D257" s="1" t="n">
        <v>-7.11505064855</v>
      </c>
      <c r="E257" s="3" t="n">
        <v>1</v>
      </c>
      <c r="F257" s="2" t="n">
        <v>1</v>
      </c>
      <c r="G257" s="4" t="n">
        <v>2</v>
      </c>
      <c r="H257" s="13" t="n"/>
      <c r="I257" s="15" t="n"/>
      <c r="J257" s="19" t="n">
        <v>1</v>
      </c>
      <c r="K257" s="2" t="inlineStr">
        <is>
          <t>marker_298_935106.png</t>
        </is>
      </c>
      <c r="L257" s="11">
        <f>HYPERLINK("1\1\" &amp; K257, "Ver Imagen")</f>
        <v/>
      </c>
      <c r="M257" t="inlineStr">
        <is>
          <t>Moda</t>
        </is>
      </c>
    </row>
    <row r="258">
      <c r="A258" t="n">
        <v>257</v>
      </c>
      <c r="B258" t="inlineStr">
        <is>
          <t>A-495R__77</t>
        </is>
      </c>
      <c r="C258" s="1" t="n">
        <v>37.459407171</v>
      </c>
      <c r="D258" s="1" t="n">
        <v>-7.11492347357</v>
      </c>
      <c r="E258" s="3" t="n">
        <v>1</v>
      </c>
      <c r="F258" s="2" t="n">
        <v>1</v>
      </c>
      <c r="G258" s="4" t="n">
        <v>2</v>
      </c>
      <c r="H258" s="13" t="n"/>
      <c r="I258" s="15" t="n"/>
      <c r="J258" s="19" t="n">
        <v>1</v>
      </c>
      <c r="K258" s="2" t="inlineStr">
        <is>
          <t>marker_756_935135.png</t>
        </is>
      </c>
      <c r="L258" s="11">
        <f>HYPERLINK("1\1\" &amp; K258, "Ver Imagen")</f>
        <v/>
      </c>
      <c r="M258" t="inlineStr">
        <is>
          <t>Moda</t>
        </is>
      </c>
    </row>
    <row r="259">
      <c r="A259" t="n">
        <v>258</v>
      </c>
      <c r="B259" t="inlineStr">
        <is>
          <t>A-495R__76</t>
        </is>
      </c>
      <c r="C259" s="1" t="n">
        <v>37.4592190973</v>
      </c>
      <c r="D259" s="1" t="n">
        <v>-7.11487127413</v>
      </c>
      <c r="E259" s="3" t="n">
        <v>1</v>
      </c>
      <c r="F259" s="2" t="n">
        <v>1</v>
      </c>
      <c r="G259" s="4" t="n">
        <v>2</v>
      </c>
      <c r="H259" s="13" t="n"/>
      <c r="I259" s="15" t="n"/>
      <c r="J259" s="19" t="n">
        <v>1</v>
      </c>
      <c r="K259" s="2" t="inlineStr">
        <is>
          <t>marker_690_935145.png</t>
        </is>
      </c>
      <c r="L259" s="11">
        <f>HYPERLINK("1\1\" &amp; K259, "Ver Imagen")</f>
        <v/>
      </c>
      <c r="M259" t="inlineStr">
        <is>
          <t>Moda</t>
        </is>
      </c>
    </row>
    <row r="260">
      <c r="A260" t="n">
        <v>259</v>
      </c>
      <c r="B260" t="inlineStr">
        <is>
          <t>A-495R__75</t>
        </is>
      </c>
      <c r="C260" s="1" t="n">
        <v>37.4590435811</v>
      </c>
      <c r="D260" s="1" t="n">
        <v>-7.11481909506</v>
      </c>
      <c r="E260" s="3" t="n">
        <v>1</v>
      </c>
      <c r="F260" s="2" t="n">
        <v>1</v>
      </c>
      <c r="G260" s="4" t="n">
        <v>2</v>
      </c>
      <c r="H260" s="13" t="n"/>
      <c r="I260" s="15" t="n"/>
      <c r="J260" s="19" t="n">
        <v>1</v>
      </c>
      <c r="K260" s="2" t="inlineStr">
        <is>
          <t>marker_376_935159.png</t>
        </is>
      </c>
      <c r="L260" s="11">
        <f>HYPERLINK("1\1\" &amp; K260, "Ver Imagen")</f>
        <v/>
      </c>
      <c r="M260" t="inlineStr">
        <is>
          <t>Moda</t>
        </is>
      </c>
    </row>
    <row r="261">
      <c r="A261" t="n">
        <v>260</v>
      </c>
      <c r="B261" t="inlineStr">
        <is>
          <t>A-5052__116</t>
        </is>
      </c>
      <c r="C261" s="1" t="n">
        <v>37.2167797197</v>
      </c>
      <c r="D261" s="1" t="n">
        <v>-7.09692212907</v>
      </c>
      <c r="E261" s="3" t="n">
        <v>1</v>
      </c>
      <c r="F261" s="2" t="n">
        <v>1</v>
      </c>
      <c r="G261" s="4" t="n">
        <v>2</v>
      </c>
      <c r="H261" s="13" t="n"/>
      <c r="I261" s="15" t="n"/>
      <c r="J261" s="19" t="n">
        <v>1</v>
      </c>
      <c r="K261" s="2" t="inlineStr">
        <is>
          <t>marker_459_957895.png</t>
        </is>
      </c>
      <c r="L261" s="11">
        <f>HYPERLINK("1\1\" &amp; K261, "Ver Imagen")</f>
        <v/>
      </c>
      <c r="M261" t="inlineStr">
        <is>
          <t>Moda</t>
        </is>
      </c>
    </row>
    <row r="262">
      <c r="A262" t="n">
        <v>261</v>
      </c>
      <c r="B262" t="inlineStr">
        <is>
          <t>A-5052__241</t>
        </is>
      </c>
      <c r="C262" s="1" t="n">
        <v>37.2133168525</v>
      </c>
      <c r="D262" s="1" t="n">
        <v>-7.06583851517</v>
      </c>
      <c r="E262" s="3" t="n">
        <v>1</v>
      </c>
      <c r="F262" s="2" t="n">
        <v>1</v>
      </c>
      <c r="G262" s="4" t="n">
        <v>2</v>
      </c>
      <c r="H262" s="13" t="n"/>
      <c r="I262" s="15" t="n"/>
      <c r="J262" s="19" t="n">
        <v>1</v>
      </c>
      <c r="K262" s="2" t="inlineStr">
        <is>
          <t>marker_347_959965.png</t>
        </is>
      </c>
      <c r="L262" s="11">
        <f>HYPERLINK("1\1\" &amp; K262, "Ver Imagen")</f>
        <v/>
      </c>
      <c r="M262" t="inlineStr">
        <is>
          <t>Moda</t>
        </is>
      </c>
    </row>
    <row r="263">
      <c r="A263" t="n">
        <v>262</v>
      </c>
      <c r="B263" t="inlineStr">
        <is>
          <t>A-5052__324</t>
        </is>
      </c>
      <c r="C263" s="1" t="n">
        <v>37.2113819218</v>
      </c>
      <c r="D263" s="1" t="n">
        <v>-7.04575107624</v>
      </c>
      <c r="E263" s="3" t="n">
        <v>1</v>
      </c>
      <c r="F263" s="2" t="n">
        <v>1</v>
      </c>
      <c r="G263" s="4" t="n">
        <v>2</v>
      </c>
      <c r="H263" s="13" t="n"/>
      <c r="I263" s="15" t="n"/>
      <c r="J263" s="19" t="n">
        <v>1</v>
      </c>
      <c r="K263" s="2" t="inlineStr">
        <is>
          <t>marker_294_961314.png</t>
        </is>
      </c>
      <c r="L263" s="11">
        <f>HYPERLINK("1\1\" &amp; K263, "Ver Imagen")</f>
        <v/>
      </c>
      <c r="M263" t="inlineStr">
        <is>
          <t>Moda</t>
        </is>
      </c>
    </row>
    <row r="264">
      <c r="A264" t="n">
        <v>263</v>
      </c>
      <c r="B264" t="inlineStr">
        <is>
          <t>A-495_1__133</t>
        </is>
      </c>
      <c r="C264" s="1" t="n">
        <v>37.4735585683</v>
      </c>
      <c r="D264" s="1" t="n">
        <v>-7.12631792804</v>
      </c>
      <c r="E264" s="3" t="n">
        <v>2</v>
      </c>
      <c r="F264" s="2" t="n">
        <v>1</v>
      </c>
      <c r="G264" s="4" t="n">
        <v>1</v>
      </c>
      <c r="H264" s="13" t="n"/>
      <c r="I264" s="15" t="n"/>
      <c r="J264" s="19" t="n">
        <v>1</v>
      </c>
      <c r="K264" s="2" t="inlineStr">
        <is>
          <t>marker_791_384440.png</t>
        </is>
      </c>
      <c r="L264" s="11">
        <f>HYPERLINK("1\1\" &amp; K264, "Ver Imagen")</f>
        <v/>
      </c>
      <c r="M264" t="inlineStr">
        <is>
          <t>Moda</t>
        </is>
      </c>
    </row>
    <row r="265">
      <c r="A265" t="n">
        <v>264</v>
      </c>
      <c r="B265" t="inlineStr">
        <is>
          <t>A-490__68</t>
        </is>
      </c>
      <c r="C265" s="1" t="n">
        <v>37.448423712</v>
      </c>
      <c r="D265" s="1" t="n">
        <v>-7.14264618638</v>
      </c>
      <c r="E265" s="3" t="n">
        <v>2</v>
      </c>
      <c r="F265" s="2" t="n">
        <v>2</v>
      </c>
      <c r="G265" s="4" t="n">
        <v>2</v>
      </c>
      <c r="H265" s="13" t="n"/>
      <c r="I265" s="15" t="n"/>
      <c r="J265" s="19" t="n">
        <v>2</v>
      </c>
      <c r="K265" s="2" t="inlineStr">
        <is>
          <t>marker_512_738103.png</t>
        </is>
      </c>
      <c r="L265" s="11">
        <f>HYPERLINK("2\0\" &amp; K265, "Ver Imagen")</f>
        <v/>
      </c>
      <c r="M265" t="inlineStr">
        <is>
          <t>Moda</t>
        </is>
      </c>
    </row>
    <row r="266">
      <c r="A266" t="n">
        <v>265</v>
      </c>
      <c r="B266" t="inlineStr">
        <is>
          <t>A-490__269</t>
        </is>
      </c>
      <c r="C266" s="1" t="n">
        <v>37.4679609874</v>
      </c>
      <c r="D266" s="1" t="n">
        <v>-7.18589862007</v>
      </c>
      <c r="E266" s="3" t="n">
        <v>2</v>
      </c>
      <c r="F266" s="2" t="n">
        <v>2</v>
      </c>
      <c r="G266" s="4" t="n">
        <v>2</v>
      </c>
      <c r="H266" s="13" t="n"/>
      <c r="I266" s="15" t="n"/>
      <c r="J266" s="19" t="n">
        <v>2</v>
      </c>
      <c r="K266" s="2" t="inlineStr">
        <is>
          <t>marker_724_749880.png</t>
        </is>
      </c>
      <c r="L266" s="11">
        <f>HYPERLINK("2\0\" &amp; K266, "Ver Imagen")</f>
        <v/>
      </c>
      <c r="M266" t="inlineStr">
        <is>
          <t>Moda</t>
        </is>
      </c>
    </row>
    <row r="267">
      <c r="A267" t="n">
        <v>266</v>
      </c>
      <c r="B267" t="inlineStr">
        <is>
          <t>A-490__363</t>
        </is>
      </c>
      <c r="C267" s="1" t="n">
        <v>37.4781623426</v>
      </c>
      <c r="D267" s="1" t="n">
        <v>-7.20608171505</v>
      </c>
      <c r="E267" s="3" t="n">
        <v>2</v>
      </c>
      <c r="F267" s="2" t="n">
        <v>2</v>
      </c>
      <c r="G267" s="4" t="n">
        <v>2</v>
      </c>
      <c r="H267" s="13" t="n"/>
      <c r="I267" s="15" t="n"/>
      <c r="J267" s="19" t="n">
        <v>2</v>
      </c>
      <c r="K267" s="2" t="inlineStr">
        <is>
          <t>marker_518_751962.png</t>
        </is>
      </c>
      <c r="L267" s="11">
        <f>HYPERLINK("2\0\" &amp; K267, "Ver Imagen")</f>
        <v/>
      </c>
      <c r="M267" t="inlineStr">
        <is>
          <t>Moda</t>
        </is>
      </c>
    </row>
    <row r="268">
      <c r="A268" t="n">
        <v>267</v>
      </c>
      <c r="B268" t="inlineStr">
        <is>
          <t>A-490__418</t>
        </is>
      </c>
      <c r="C268" s="1" t="n">
        <v>37.4827287986</v>
      </c>
      <c r="D268" s="1" t="n">
        <v>-7.21878945837</v>
      </c>
      <c r="E268" s="3" t="n">
        <v>2</v>
      </c>
      <c r="F268" s="2" t="n">
        <v>2</v>
      </c>
      <c r="G268" s="4" t="n">
        <v>2</v>
      </c>
      <c r="H268" s="13" t="n"/>
      <c r="I268" s="15" t="n"/>
      <c r="J268" s="19" t="n">
        <v>2</v>
      </c>
      <c r="K268" s="2" t="inlineStr">
        <is>
          <t>marker_329_754266.png</t>
        </is>
      </c>
      <c r="L268" s="11">
        <f>HYPERLINK("2\0\" &amp; K268, "Ver Imagen")</f>
        <v/>
      </c>
      <c r="M268" t="inlineStr">
        <is>
          <t>Moda</t>
        </is>
      </c>
    </row>
    <row r="269">
      <c r="A269" t="n">
        <v>268</v>
      </c>
      <c r="B269" t="inlineStr">
        <is>
          <t>A-490__439</t>
        </is>
      </c>
      <c r="C269" s="1" t="n">
        <v>37.4837397814</v>
      </c>
      <c r="D269" s="1" t="n">
        <v>-7.22395911839</v>
      </c>
      <c r="E269" s="3" t="n">
        <v>2</v>
      </c>
      <c r="F269" s="2" t="n">
        <v>2</v>
      </c>
      <c r="G269" s="4" t="n">
        <v>2</v>
      </c>
      <c r="H269" s="13" t="n"/>
      <c r="I269" s="15" t="n"/>
      <c r="J269" s="19" t="n">
        <v>2</v>
      </c>
      <c r="K269" s="2" t="inlineStr">
        <is>
          <t>marker_633_754637.png</t>
        </is>
      </c>
      <c r="L269" s="11">
        <f>HYPERLINK("2\0\" &amp; K269, "Ver Imagen")</f>
        <v/>
      </c>
      <c r="M269" t="inlineStr">
        <is>
          <t>Moda</t>
        </is>
      </c>
    </row>
    <row r="270">
      <c r="A270" t="n">
        <v>269</v>
      </c>
      <c r="B270" t="inlineStr">
        <is>
          <t>A-490__446</t>
        </is>
      </c>
      <c r="C270" s="1" t="n">
        <v>37.4840611264</v>
      </c>
      <c r="D270" s="1" t="n">
        <v>-7.22562426692</v>
      </c>
      <c r="E270" s="3" t="n">
        <v>2</v>
      </c>
      <c r="F270" s="2" t="n">
        <v>2</v>
      </c>
      <c r="G270" s="4" t="n">
        <v>2</v>
      </c>
      <c r="H270" s="13" t="n"/>
      <c r="I270" s="15" t="n"/>
      <c r="J270" s="19" t="n">
        <v>2</v>
      </c>
      <c r="K270" s="2" t="inlineStr">
        <is>
          <t>marker_242_754904.png</t>
        </is>
      </c>
      <c r="L270" s="11">
        <f>HYPERLINK("2\0\" &amp; K270, "Ver Imagen")</f>
        <v/>
      </c>
      <c r="M270" t="inlineStr">
        <is>
          <t>Moda</t>
        </is>
      </c>
    </row>
    <row r="271">
      <c r="A271" t="n">
        <v>270</v>
      </c>
      <c r="B271" t="inlineStr">
        <is>
          <t>A-490__448</t>
        </is>
      </c>
      <c r="C271" s="1" t="n">
        <v>37.4841493276</v>
      </c>
      <c r="D271" s="1" t="n">
        <v>-7.22608015338</v>
      </c>
      <c r="E271" s="3" t="n">
        <v>2</v>
      </c>
      <c r="F271" s="2" t="n">
        <v>2</v>
      </c>
      <c r="G271" s="4" t="n">
        <v>2</v>
      </c>
      <c r="H271" s="13" t="n"/>
      <c r="I271" s="15" t="n"/>
      <c r="J271" s="19" t="n">
        <v>2</v>
      </c>
      <c r="K271" s="2" t="inlineStr">
        <is>
          <t>marker_282_754987.png</t>
        </is>
      </c>
      <c r="L271" s="11">
        <f>HYPERLINK("2\0\" &amp; K271, "Ver Imagen")</f>
        <v/>
      </c>
      <c r="M271" t="inlineStr">
        <is>
          <t>Moda</t>
        </is>
      </c>
    </row>
    <row r="272">
      <c r="A272" t="n">
        <v>271</v>
      </c>
      <c r="B272" t="inlineStr">
        <is>
          <t>A-490__449</t>
        </is>
      </c>
      <c r="C272" s="1" t="n">
        <v>37.4842006509</v>
      </c>
      <c r="D272" s="1" t="n">
        <v>-7.22635336184</v>
      </c>
      <c r="E272" s="3" t="n">
        <v>2</v>
      </c>
      <c r="F272" s="2" t="n">
        <v>2</v>
      </c>
      <c r="G272" s="4" t="n">
        <v>2</v>
      </c>
      <c r="H272" s="13" t="n"/>
      <c r="I272" s="15" t="n"/>
      <c r="J272" s="19" t="n">
        <v>2</v>
      </c>
      <c r="K272" s="2" t="inlineStr">
        <is>
          <t>marker_386_755003.png</t>
        </is>
      </c>
      <c r="L272" s="11">
        <f>HYPERLINK("2\0\" &amp; K272, "Ver Imagen")</f>
        <v/>
      </c>
      <c r="M272" t="inlineStr">
        <is>
          <t>Moda</t>
        </is>
      </c>
    </row>
    <row r="273">
      <c r="A273" t="n">
        <v>272</v>
      </c>
      <c r="B273" t="inlineStr">
        <is>
          <t>A-490__457</t>
        </is>
      </c>
      <c r="C273" s="1" t="n">
        <v>37.4846006899</v>
      </c>
      <c r="D273" s="1" t="n">
        <v>-7.22839225504</v>
      </c>
      <c r="E273" s="3" t="n">
        <v>2</v>
      </c>
      <c r="F273" s="2" t="n">
        <v>2</v>
      </c>
      <c r="G273" s="4" t="n">
        <v>2</v>
      </c>
      <c r="H273" s="13" t="n"/>
      <c r="I273" s="15" t="n"/>
      <c r="J273" s="19" t="n">
        <v>2</v>
      </c>
      <c r="K273" s="2" t="inlineStr">
        <is>
          <t>marker_349_755165.png</t>
        </is>
      </c>
      <c r="L273" s="11">
        <f>HYPERLINK("2\0\" &amp; K273, "Ver Imagen")</f>
        <v/>
      </c>
      <c r="M273" t="inlineStr">
        <is>
          <t>Moda</t>
        </is>
      </c>
    </row>
    <row r="274">
      <c r="A274" t="n">
        <v>273</v>
      </c>
      <c r="B274" t="inlineStr">
        <is>
          <t>A-490__459</t>
        </is>
      </c>
      <c r="C274" s="1" t="n">
        <v>37.484683681</v>
      </c>
      <c r="D274" s="1" t="n">
        <v>-7.22881641769</v>
      </c>
      <c r="E274" s="3" t="n">
        <v>2</v>
      </c>
      <c r="F274" s="2" t="n">
        <v>2</v>
      </c>
      <c r="G274" s="4" t="n">
        <v>2</v>
      </c>
      <c r="H274" s="13" t="n"/>
      <c r="I274" s="15" t="n"/>
      <c r="J274" s="19" t="n">
        <v>2</v>
      </c>
      <c r="K274" s="2" t="inlineStr">
        <is>
          <t>marker_154_755199.png</t>
        </is>
      </c>
      <c r="L274" s="11">
        <f>HYPERLINK("2\0\" &amp; K274, "Ver Imagen")</f>
        <v/>
      </c>
      <c r="M274" t="inlineStr">
        <is>
          <t>Moda</t>
        </is>
      </c>
    </row>
    <row r="275">
      <c r="A275" t="n">
        <v>274</v>
      </c>
      <c r="B275" t="inlineStr">
        <is>
          <t>A-490__461</t>
        </is>
      </c>
      <c r="C275" s="1" t="n">
        <v>37.4847802852</v>
      </c>
      <c r="D275" s="1" t="n">
        <v>-7.22931698332</v>
      </c>
      <c r="E275" s="3" t="n">
        <v>2</v>
      </c>
      <c r="F275" s="2" t="n">
        <v>2</v>
      </c>
      <c r="G275" s="4" t="n">
        <v>2</v>
      </c>
      <c r="H275" s="13" t="n"/>
      <c r="I275" s="15" t="n"/>
      <c r="J275" s="19" t="n">
        <v>2</v>
      </c>
      <c r="K275" s="2" t="inlineStr">
        <is>
          <t>marker_680_755233.png</t>
        </is>
      </c>
      <c r="L275" s="11">
        <f>HYPERLINK("2\0\" &amp; K275, "Ver Imagen")</f>
        <v/>
      </c>
      <c r="M275" t="inlineStr">
        <is>
          <t>Moda</t>
        </is>
      </c>
    </row>
    <row r="276">
      <c r="A276" t="n">
        <v>275</v>
      </c>
      <c r="B276" t="inlineStr">
        <is>
          <t>A-490__471</t>
        </is>
      </c>
      <c r="C276" s="1" t="n">
        <v>37.4852683887</v>
      </c>
      <c r="D276" s="1" t="n">
        <v>-7.23184713925</v>
      </c>
      <c r="E276" s="3" t="n">
        <v>2</v>
      </c>
      <c r="F276" s="2" t="n">
        <v>2</v>
      </c>
      <c r="G276" s="4" t="n">
        <v>2</v>
      </c>
      <c r="H276" s="13" t="n"/>
      <c r="I276" s="15" t="n"/>
      <c r="J276" s="19" t="n">
        <v>2</v>
      </c>
      <c r="K276" s="2" t="inlineStr">
        <is>
          <t>marker_143_755416.png</t>
        </is>
      </c>
      <c r="L276" s="11">
        <f>HYPERLINK("2\0\" &amp; K276, "Ver Imagen")</f>
        <v/>
      </c>
      <c r="M276" t="inlineStr">
        <is>
          <t>Moda</t>
        </is>
      </c>
    </row>
    <row r="277">
      <c r="A277" t="n">
        <v>276</v>
      </c>
      <c r="B277" t="inlineStr">
        <is>
          <t>A-490__482</t>
        </is>
      </c>
      <c r="C277" s="1" t="n">
        <v>37.4857774625</v>
      </c>
      <c r="D277" s="1" t="n">
        <v>-7.23453318716</v>
      </c>
      <c r="E277" s="3" t="n">
        <v>2</v>
      </c>
      <c r="F277" s="2" t="n">
        <v>2</v>
      </c>
      <c r="G277" s="4" t="n">
        <v>2</v>
      </c>
      <c r="H277" s="13" t="n"/>
      <c r="I277" s="15" t="n"/>
      <c r="J277" s="19" t="n">
        <v>2</v>
      </c>
      <c r="K277" s="2" t="inlineStr">
        <is>
          <t>marker_228_755620.png</t>
        </is>
      </c>
      <c r="L277" s="11">
        <f>HYPERLINK("2\0\" &amp; K277, "Ver Imagen")</f>
        <v/>
      </c>
      <c r="M277" t="inlineStr">
        <is>
          <t>Moda</t>
        </is>
      </c>
    </row>
    <row r="278">
      <c r="A278" t="n">
        <v>277</v>
      </c>
      <c r="B278" t="inlineStr">
        <is>
          <t>A-490__483</t>
        </is>
      </c>
      <c r="C278" s="1" t="n">
        <v>37.4858302279</v>
      </c>
      <c r="D278" s="1" t="n">
        <v>-7.23480409484</v>
      </c>
      <c r="E278" s="3" t="n">
        <v>2</v>
      </c>
      <c r="F278" s="2" t="n">
        <v>2</v>
      </c>
      <c r="G278" s="4" t="n">
        <v>2</v>
      </c>
      <c r="H278" s="13" t="n"/>
      <c r="I278" s="15" t="n"/>
      <c r="J278" s="19" t="n">
        <v>2</v>
      </c>
      <c r="K278" s="2" t="inlineStr">
        <is>
          <t>marker_472_755634.png</t>
        </is>
      </c>
      <c r="L278" s="11">
        <f>HYPERLINK("2\0\" &amp; K278, "Ver Imagen")</f>
        <v/>
      </c>
      <c r="M278" t="inlineStr">
        <is>
          <t>Moda</t>
        </is>
      </c>
    </row>
    <row r="279">
      <c r="A279" t="n">
        <v>278</v>
      </c>
      <c r="B279" t="inlineStr">
        <is>
          <t>A-490__485</t>
        </is>
      </c>
      <c r="C279" s="1" t="n">
        <v>37.4859207909</v>
      </c>
      <c r="D279" s="1" t="n">
        <v>-7.23526307682</v>
      </c>
      <c r="E279" s="3" t="n">
        <v>2</v>
      </c>
      <c r="F279" s="2" t="n">
        <v>2</v>
      </c>
      <c r="G279" s="4" t="n">
        <v>2</v>
      </c>
      <c r="H279" s="13" t="n"/>
      <c r="I279" s="15" t="n"/>
      <c r="J279" s="19" t="n">
        <v>2</v>
      </c>
      <c r="K279" s="2" t="inlineStr">
        <is>
          <t>marker_553_755672.png</t>
        </is>
      </c>
      <c r="L279" s="11">
        <f>HYPERLINK("2\0\" &amp; K279, "Ver Imagen")</f>
        <v/>
      </c>
      <c r="M279" t="inlineStr">
        <is>
          <t>Moda</t>
        </is>
      </c>
    </row>
    <row r="280">
      <c r="A280" t="n">
        <v>279</v>
      </c>
      <c r="B280" t="inlineStr">
        <is>
          <t>A-490__486</t>
        </is>
      </c>
      <c r="C280" s="1" t="n">
        <v>37.4859643936</v>
      </c>
      <c r="D280" s="1" t="n">
        <v>-7.23548255156</v>
      </c>
      <c r="E280" s="3" t="n">
        <v>2</v>
      </c>
      <c r="F280" s="2" t="n">
        <v>2</v>
      </c>
      <c r="G280" s="4" t="n">
        <v>2</v>
      </c>
      <c r="H280" s="13" t="n"/>
      <c r="I280" s="15" t="n"/>
      <c r="J280" s="19" t="n">
        <v>2</v>
      </c>
      <c r="K280" s="2" t="inlineStr">
        <is>
          <t>marker_161_755689.png</t>
        </is>
      </c>
      <c r="L280" s="11">
        <f>HYPERLINK("2\0\" &amp; K280, "Ver Imagen")</f>
        <v/>
      </c>
      <c r="M280" t="inlineStr">
        <is>
          <t>Moda</t>
        </is>
      </c>
    </row>
    <row r="281">
      <c r="A281" t="n">
        <v>280</v>
      </c>
      <c r="B281" t="inlineStr">
        <is>
          <t>A-490__499</t>
        </is>
      </c>
      <c r="C281" s="1" t="n">
        <v>37.4865876247</v>
      </c>
      <c r="D281" s="1" t="n">
        <v>-7.23872835192</v>
      </c>
      <c r="E281" s="3" t="n">
        <v>2</v>
      </c>
      <c r="F281" s="2" t="n">
        <v>2</v>
      </c>
      <c r="G281" s="4" t="n">
        <v>2</v>
      </c>
      <c r="H281" s="13" t="n"/>
      <c r="I281" s="15" t="n"/>
      <c r="J281" s="19" t="n">
        <v>2</v>
      </c>
      <c r="K281" s="2" t="inlineStr">
        <is>
          <t>marker_154_817552.png</t>
        </is>
      </c>
      <c r="L281" s="11">
        <f>HYPERLINK("2\0\" &amp; K281, "Ver Imagen")</f>
        <v/>
      </c>
      <c r="M281" t="inlineStr">
        <is>
          <t>Moda</t>
        </is>
      </c>
    </row>
    <row r="282">
      <c r="A282" t="n">
        <v>281</v>
      </c>
      <c r="B282" t="inlineStr">
        <is>
          <t>A-490__510</t>
        </is>
      </c>
      <c r="C282" s="1" t="n">
        <v>37.4870336287</v>
      </c>
      <c r="D282" s="1" t="n">
        <v>-7.24145796569</v>
      </c>
      <c r="E282" s="3" t="n">
        <v>2</v>
      </c>
      <c r="F282" s="2" t="n">
        <v>2</v>
      </c>
      <c r="G282" s="4" t="n">
        <v>2</v>
      </c>
      <c r="H282" s="13" t="n"/>
      <c r="I282" s="15" t="n"/>
      <c r="J282" s="19" t="n">
        <v>2</v>
      </c>
      <c r="K282" s="2" t="inlineStr">
        <is>
          <t>marker_168_817773.png</t>
        </is>
      </c>
      <c r="L282" s="11">
        <f>HYPERLINK("2\0\" &amp; K282, "Ver Imagen")</f>
        <v/>
      </c>
      <c r="M282" t="inlineStr">
        <is>
          <t>Moda</t>
        </is>
      </c>
    </row>
    <row r="283">
      <c r="A283" t="n">
        <v>282</v>
      </c>
      <c r="B283" t="inlineStr">
        <is>
          <t>A-490__513</t>
        </is>
      </c>
      <c r="C283" s="1" t="n">
        <v>37.4871008081</v>
      </c>
      <c r="D283" s="1" t="n">
        <v>-7.24219832721</v>
      </c>
      <c r="E283" s="3" t="n">
        <v>2</v>
      </c>
      <c r="F283" s="2" t="n">
        <v>2</v>
      </c>
      <c r="G283" s="4" t="n">
        <v>2</v>
      </c>
      <c r="H283" s="13" t="n"/>
      <c r="I283" s="15" t="n"/>
      <c r="J283" s="19" t="n">
        <v>2</v>
      </c>
      <c r="K283" s="2" t="inlineStr">
        <is>
          <t>marker_509_817870.png</t>
        </is>
      </c>
      <c r="L283" s="11">
        <f>HYPERLINK("2\0\" &amp; K283, "Ver Imagen")</f>
        <v/>
      </c>
      <c r="M283" t="inlineStr">
        <is>
          <t>Moda</t>
        </is>
      </c>
    </row>
    <row r="284">
      <c r="A284" t="n">
        <v>283</v>
      </c>
      <c r="B284" t="inlineStr">
        <is>
          <t>A-490__522</t>
        </is>
      </c>
      <c r="C284" s="1" t="n">
        <v>37.4875929047</v>
      </c>
      <c r="D284" s="1" t="n">
        <v>-7.24437575193</v>
      </c>
      <c r="E284" s="3" t="n">
        <v>2</v>
      </c>
      <c r="F284" s="2" t="n">
        <v>2</v>
      </c>
      <c r="G284" s="4" t="n">
        <v>2</v>
      </c>
      <c r="H284" s="13" t="n"/>
      <c r="I284" s="15" t="n"/>
      <c r="J284" s="19" t="n">
        <v>2</v>
      </c>
      <c r="K284" s="2" t="inlineStr">
        <is>
          <t>marker_864_818086.png</t>
        </is>
      </c>
      <c r="L284" s="11">
        <f>HYPERLINK("2\0\" &amp; K284, "Ver Imagen")</f>
        <v/>
      </c>
      <c r="M284" t="inlineStr">
        <is>
          <t>Moda</t>
        </is>
      </c>
    </row>
    <row r="285">
      <c r="A285" t="n">
        <v>284</v>
      </c>
      <c r="B285" t="inlineStr">
        <is>
          <t>A-490__541</t>
        </is>
      </c>
      <c r="C285" s="1" t="n">
        <v>37.4896609185</v>
      </c>
      <c r="D285" s="1" t="n">
        <v>-7.24839515687</v>
      </c>
      <c r="E285" s="3" t="n">
        <v>2</v>
      </c>
      <c r="F285" s="2" t="n">
        <v>2</v>
      </c>
      <c r="G285" s="4" t="n">
        <v>2</v>
      </c>
      <c r="H285" s="13" t="n"/>
      <c r="I285" s="15" t="n"/>
      <c r="J285" s="19" t="n">
        <v>2</v>
      </c>
      <c r="K285" s="2" t="inlineStr">
        <is>
          <t>marker_448_818359.png</t>
        </is>
      </c>
      <c r="L285" s="11">
        <f>HYPERLINK("2\0\" &amp; K285, "Ver Imagen")</f>
        <v/>
      </c>
      <c r="M285" t="inlineStr">
        <is>
          <t>Moda</t>
        </is>
      </c>
    </row>
    <row r="286">
      <c r="A286" t="n">
        <v>285</v>
      </c>
      <c r="B286" t="inlineStr">
        <is>
          <t>A-490__593</t>
        </is>
      </c>
      <c r="C286" s="1" t="n">
        <v>37.4910080403</v>
      </c>
      <c r="D286" s="1" t="n">
        <v>-7.26052994375</v>
      </c>
      <c r="E286" s="3" t="n">
        <v>2</v>
      </c>
      <c r="F286" s="2" t="n">
        <v>2</v>
      </c>
      <c r="G286" s="4" t="n">
        <v>2</v>
      </c>
      <c r="H286" s="13" t="n"/>
      <c r="I286" s="15" t="n"/>
      <c r="J286" s="19" t="n">
        <v>2</v>
      </c>
      <c r="K286" s="2" t="inlineStr">
        <is>
          <t>marker_790_819665.png</t>
        </is>
      </c>
      <c r="L286" s="11">
        <f>HYPERLINK("2\0\" &amp; K286, "Ver Imagen")</f>
        <v/>
      </c>
      <c r="M286" t="inlineStr">
        <is>
          <t>Moda</t>
        </is>
      </c>
    </row>
    <row r="287">
      <c r="A287" t="n">
        <v>286</v>
      </c>
      <c r="B287" t="inlineStr">
        <is>
          <t>A-492__48</t>
        </is>
      </c>
      <c r="C287" s="1" t="n">
        <v>37.2791732547</v>
      </c>
      <c r="D287" s="1" t="n">
        <v>-6.99510404562</v>
      </c>
      <c r="E287" s="3" t="n">
        <v>2</v>
      </c>
      <c r="F287" s="2" t="n">
        <v>2</v>
      </c>
      <c r="G287" s="4" t="n">
        <v>2</v>
      </c>
      <c r="H287" s="13" t="n"/>
      <c r="I287" s="15" t="n"/>
      <c r="J287" s="19" t="n">
        <v>2</v>
      </c>
      <c r="K287" s="2" t="inlineStr">
        <is>
          <t>marker_456_822972.png</t>
        </is>
      </c>
      <c r="L287" s="11">
        <f>HYPERLINK("2\0\" &amp; K287, "Ver Imagen")</f>
        <v/>
      </c>
      <c r="M287" t="inlineStr">
        <is>
          <t>Moda</t>
        </is>
      </c>
    </row>
    <row r="288">
      <c r="A288" t="n">
        <v>287</v>
      </c>
      <c r="B288" t="inlineStr">
        <is>
          <t>A-492__49</t>
        </is>
      </c>
      <c r="C288" s="1" t="n">
        <v>37.2792358625</v>
      </c>
      <c r="D288" s="1" t="n">
        <v>-6.99535624059</v>
      </c>
      <c r="E288" s="3" t="n">
        <v>2</v>
      </c>
      <c r="F288" s="2" t="n">
        <v>2</v>
      </c>
      <c r="G288" s="4" t="n">
        <v>2</v>
      </c>
      <c r="H288" s="13" t="n"/>
      <c r="I288" s="15" t="n"/>
      <c r="J288" s="19" t="n">
        <v>2</v>
      </c>
      <c r="K288" s="2" t="inlineStr">
        <is>
          <t>marker_570_822991.png</t>
        </is>
      </c>
      <c r="L288" s="11">
        <f>HYPERLINK("2\0\" &amp; K288, "Ver Imagen")</f>
        <v/>
      </c>
      <c r="M288" t="inlineStr">
        <is>
          <t>Moda</t>
        </is>
      </c>
    </row>
    <row r="289">
      <c r="A289" t="n">
        <v>288</v>
      </c>
      <c r="B289" t="inlineStr">
        <is>
          <t>A-492__81</t>
        </is>
      </c>
      <c r="C289" s="1" t="n">
        <v>37.2806625701</v>
      </c>
      <c r="D289" s="1" t="n">
        <v>-7.0027589523</v>
      </c>
      <c r="E289" s="3" t="n">
        <v>2</v>
      </c>
      <c r="F289" s="2" t="n">
        <v>2</v>
      </c>
      <c r="G289" s="4" t="n">
        <v>2</v>
      </c>
      <c r="H289" s="13" t="n"/>
      <c r="I289" s="15" t="n"/>
      <c r="J289" s="19" t="n">
        <v>2</v>
      </c>
      <c r="K289" s="2" t="inlineStr">
        <is>
          <t>marker_282_823501.png</t>
        </is>
      </c>
      <c r="L289" s="11">
        <f>HYPERLINK("2\0\" &amp; K289, "Ver Imagen")</f>
        <v/>
      </c>
      <c r="M289" t="inlineStr">
        <is>
          <t>Moda</t>
        </is>
      </c>
    </row>
    <row r="290">
      <c r="A290" t="n">
        <v>289</v>
      </c>
      <c r="B290" t="inlineStr">
        <is>
          <t>A-492__144</t>
        </is>
      </c>
      <c r="C290" s="1" t="n">
        <v>37.2753580363</v>
      </c>
      <c r="D290" s="1" t="n">
        <v>-7.01672993536</v>
      </c>
      <c r="E290" s="3" t="n">
        <v>2</v>
      </c>
      <c r="F290" s="2" t="n">
        <v>2</v>
      </c>
      <c r="G290" s="4" t="n">
        <v>2</v>
      </c>
      <c r="H290" s="13" t="n"/>
      <c r="I290" s="15" t="n"/>
      <c r="J290" s="19" t="n">
        <v>2</v>
      </c>
      <c r="K290" s="2" t="inlineStr">
        <is>
          <t>marker_917_824724.png</t>
        </is>
      </c>
      <c r="L290" s="11">
        <f>HYPERLINK("2\0\" &amp; K290, "Ver Imagen")</f>
        <v/>
      </c>
      <c r="M290" t="inlineStr">
        <is>
          <t>Moda</t>
        </is>
      </c>
    </row>
    <row r="291">
      <c r="A291" t="n">
        <v>290</v>
      </c>
      <c r="B291" t="inlineStr">
        <is>
          <t>A-492__204</t>
        </is>
      </c>
      <c r="C291" s="1" t="n">
        <v>37.27917279</v>
      </c>
      <c r="D291" s="1" t="n">
        <v>-7.03059207396</v>
      </c>
      <c r="E291" s="3" t="n">
        <v>2</v>
      </c>
      <c r="F291" s="2" t="n">
        <v>2</v>
      </c>
      <c r="G291" s="4" t="n">
        <v>2</v>
      </c>
      <c r="H291" s="13" t="n"/>
      <c r="I291" s="15" t="n"/>
      <c r="J291" s="19" t="n">
        <v>2</v>
      </c>
      <c r="K291" s="2" t="inlineStr">
        <is>
          <t>marker_137_831968.png</t>
        </is>
      </c>
      <c r="L291" s="11">
        <f>HYPERLINK("2\0\" &amp; K291, "Ver Imagen")</f>
        <v/>
      </c>
      <c r="M291" t="inlineStr">
        <is>
          <t>Moda</t>
        </is>
      </c>
    </row>
    <row r="292">
      <c r="A292" t="n">
        <v>291</v>
      </c>
      <c r="B292" t="inlineStr">
        <is>
          <t>A-492__207</t>
        </is>
      </c>
      <c r="C292" s="1" t="n">
        <v>37.2796356629</v>
      </c>
      <c r="D292" s="1" t="n">
        <v>-7.0310154924</v>
      </c>
      <c r="E292" s="3" t="n">
        <v>2</v>
      </c>
      <c r="F292" s="2" t="n">
        <v>2</v>
      </c>
      <c r="G292" s="4" t="n">
        <v>2</v>
      </c>
      <c r="H292" s="13" t="n"/>
      <c r="I292" s="15" t="n"/>
      <c r="J292" s="19" t="n">
        <v>2</v>
      </c>
      <c r="K292" s="2" t="inlineStr">
        <is>
          <t>marker_132_832006.png</t>
        </is>
      </c>
      <c r="L292" s="11">
        <f>HYPERLINK("2\0\" &amp; K292, "Ver Imagen")</f>
        <v/>
      </c>
      <c r="M292" t="inlineStr">
        <is>
          <t>Moda</t>
        </is>
      </c>
    </row>
    <row r="293">
      <c r="A293" t="n">
        <v>292</v>
      </c>
      <c r="B293" t="inlineStr">
        <is>
          <t>A-492__208</t>
        </is>
      </c>
      <c r="C293" s="1" t="n">
        <v>37.2798401967</v>
      </c>
      <c r="D293" s="1" t="n">
        <v>-7.03119666723</v>
      </c>
      <c r="E293" s="3" t="n">
        <v>2</v>
      </c>
      <c r="F293" s="2" t="n">
        <v>2</v>
      </c>
      <c r="G293" s="4" t="n">
        <v>2</v>
      </c>
      <c r="H293" s="13" t="n"/>
      <c r="I293" s="15" t="n"/>
      <c r="J293" s="19" t="n">
        <v>2</v>
      </c>
      <c r="K293" s="2" t="inlineStr">
        <is>
          <t>marker_822_832017.png</t>
        </is>
      </c>
      <c r="L293" s="11">
        <f>HYPERLINK("2\0\" &amp; K293, "Ver Imagen")</f>
        <v/>
      </c>
      <c r="M293" t="inlineStr">
        <is>
          <t>Moda</t>
        </is>
      </c>
    </row>
    <row r="294">
      <c r="A294" t="n">
        <v>293</v>
      </c>
      <c r="B294" t="inlineStr">
        <is>
          <t>A-492__226</t>
        </is>
      </c>
      <c r="C294" s="1" t="n">
        <v>37.2830703631</v>
      </c>
      <c r="D294" s="1" t="n">
        <v>-7.033156645</v>
      </c>
      <c r="E294" s="3" t="n">
        <v>2</v>
      </c>
      <c r="F294" s="2" t="n">
        <v>2</v>
      </c>
      <c r="G294" s="4" t="n">
        <v>2</v>
      </c>
      <c r="H294" s="13" t="n"/>
      <c r="I294" s="15" t="n"/>
      <c r="J294" s="19" t="n">
        <v>2</v>
      </c>
      <c r="K294" s="2" t="inlineStr">
        <is>
          <t>marker_268_835726.png</t>
        </is>
      </c>
      <c r="L294" s="11">
        <f>HYPERLINK("2\0\" &amp; K294, "Ver Imagen")</f>
        <v/>
      </c>
      <c r="M294" t="inlineStr">
        <is>
          <t>Moda</t>
        </is>
      </c>
    </row>
    <row r="295">
      <c r="A295" t="n">
        <v>294</v>
      </c>
      <c r="B295" t="inlineStr">
        <is>
          <t>A-492__256</t>
        </is>
      </c>
      <c r="C295" s="1" t="n">
        <v>37.2850090245</v>
      </c>
      <c r="D295" s="1" t="n">
        <v>-7.04018263233</v>
      </c>
      <c r="E295" s="3" t="n">
        <v>2</v>
      </c>
      <c r="F295" s="2" t="n">
        <v>2</v>
      </c>
      <c r="G295" s="4" t="n">
        <v>2</v>
      </c>
      <c r="H295" s="13" t="n"/>
      <c r="I295" s="15" t="n"/>
      <c r="J295" s="19" t="n">
        <v>2</v>
      </c>
      <c r="K295" s="2" t="inlineStr">
        <is>
          <t>marker_746_836185.png</t>
        </is>
      </c>
      <c r="L295" s="11">
        <f>HYPERLINK("2\0\" &amp; K295, "Ver Imagen")</f>
        <v/>
      </c>
      <c r="M295" t="inlineStr">
        <is>
          <t>Moda</t>
        </is>
      </c>
    </row>
    <row r="296">
      <c r="A296" t="n">
        <v>295</v>
      </c>
      <c r="B296" t="inlineStr">
        <is>
          <t>A-492__257</t>
        </is>
      </c>
      <c r="C296" s="1" t="n">
        <v>37.2851096447</v>
      </c>
      <c r="D296" s="1" t="n">
        <v>-7.04036555956</v>
      </c>
      <c r="E296" s="3" t="n">
        <v>2</v>
      </c>
      <c r="F296" s="2" t="n">
        <v>2</v>
      </c>
      <c r="G296" s="4" t="n">
        <v>2</v>
      </c>
      <c r="H296" s="13" t="n"/>
      <c r="I296" s="15" t="n"/>
      <c r="J296" s="19" t="n">
        <v>2</v>
      </c>
      <c r="K296" s="2" t="inlineStr">
        <is>
          <t>marker_536_836229.png</t>
        </is>
      </c>
      <c r="L296" s="11">
        <f>HYPERLINK("2\0\" &amp; K296, "Ver Imagen")</f>
        <v/>
      </c>
      <c r="M296" t="inlineStr">
        <is>
          <t>Moda</t>
        </is>
      </c>
    </row>
    <row r="297">
      <c r="A297" t="n">
        <v>296</v>
      </c>
      <c r="B297" t="inlineStr">
        <is>
          <t>A-492__309</t>
        </is>
      </c>
      <c r="C297" s="1" t="n">
        <v>37.2938491494</v>
      </c>
      <c r="D297" s="1" t="n">
        <v>-7.04707226432</v>
      </c>
      <c r="E297" s="3" t="n">
        <v>2</v>
      </c>
      <c r="F297" s="2" t="n">
        <v>2</v>
      </c>
      <c r="G297" s="4" t="n">
        <v>2</v>
      </c>
      <c r="H297" s="13" t="n"/>
      <c r="I297" s="15" t="n"/>
      <c r="J297" s="19" t="n">
        <v>2</v>
      </c>
      <c r="K297" s="2" t="inlineStr">
        <is>
          <t>marker_486_837660.png</t>
        </is>
      </c>
      <c r="L297" s="11">
        <f>HYPERLINK("2\0\" &amp; K297, "Ver Imagen")</f>
        <v/>
      </c>
      <c r="M297" t="inlineStr">
        <is>
          <t>Moda</t>
        </is>
      </c>
    </row>
    <row r="298">
      <c r="A298" t="n">
        <v>297</v>
      </c>
      <c r="B298" t="inlineStr">
        <is>
          <t>A-492__313</t>
        </is>
      </c>
      <c r="C298" s="1" t="n">
        <v>37.2943679532</v>
      </c>
      <c r="D298" s="1" t="n">
        <v>-7.04778574505</v>
      </c>
      <c r="E298" s="3" t="n">
        <v>2</v>
      </c>
      <c r="F298" s="2" t="n">
        <v>2</v>
      </c>
      <c r="G298" s="4" t="n">
        <v>2</v>
      </c>
      <c r="H298" s="13" t="n"/>
      <c r="I298" s="15" t="n"/>
      <c r="J298" s="19" t="n">
        <v>2</v>
      </c>
      <c r="K298" s="2" t="inlineStr">
        <is>
          <t>marker_575_837705.png</t>
        </is>
      </c>
      <c r="L298" s="11">
        <f>HYPERLINK("2\0\" &amp; K298, "Ver Imagen")</f>
        <v/>
      </c>
      <c r="M298" t="inlineStr">
        <is>
          <t>Moda</t>
        </is>
      </c>
    </row>
    <row r="299">
      <c r="A299" t="n">
        <v>298</v>
      </c>
      <c r="B299" t="inlineStr">
        <is>
          <t>A-492__314</t>
        </is>
      </c>
      <c r="C299" s="1" t="n">
        <v>37.2945018619</v>
      </c>
      <c r="D299" s="1" t="n">
        <v>-7.04796621242</v>
      </c>
      <c r="E299" s="3" t="n">
        <v>2</v>
      </c>
      <c r="F299" s="2" t="n">
        <v>2</v>
      </c>
      <c r="G299" s="4" t="n">
        <v>2</v>
      </c>
      <c r="H299" s="13" t="n"/>
      <c r="I299" s="15" t="n"/>
      <c r="J299" s="19" t="n">
        <v>2</v>
      </c>
      <c r="K299" s="2" t="inlineStr">
        <is>
          <t>marker_375_837717.png</t>
        </is>
      </c>
      <c r="L299" s="11">
        <f>HYPERLINK("2\0\" &amp; K299, "Ver Imagen")</f>
        <v/>
      </c>
      <c r="M299" t="inlineStr">
        <is>
          <t>Moda</t>
        </is>
      </c>
    </row>
    <row r="300">
      <c r="A300" t="n">
        <v>299</v>
      </c>
      <c r="B300" t="inlineStr">
        <is>
          <t>A-492__327</t>
        </is>
      </c>
      <c r="C300" s="1" t="n">
        <v>37.2964078702</v>
      </c>
      <c r="D300" s="1" t="n">
        <v>-7.05025742072</v>
      </c>
      <c r="E300" s="3" t="n">
        <v>2</v>
      </c>
      <c r="F300" s="2" t="n">
        <v>2</v>
      </c>
      <c r="G300" s="4" t="n">
        <v>2</v>
      </c>
      <c r="H300" s="13" t="n"/>
      <c r="I300" s="15" t="n"/>
      <c r="J300" s="19" t="n">
        <v>2</v>
      </c>
      <c r="K300" s="2" t="inlineStr">
        <is>
          <t>marker_432_838045.png</t>
        </is>
      </c>
      <c r="L300" s="11">
        <f>HYPERLINK("2\0\" &amp; K300, "Ver Imagen")</f>
        <v/>
      </c>
      <c r="M300" t="inlineStr">
        <is>
          <t>Moda</t>
        </is>
      </c>
    </row>
    <row r="301">
      <c r="A301" t="n">
        <v>300</v>
      </c>
      <c r="B301" t="inlineStr">
        <is>
          <t>A-492__331</t>
        </is>
      </c>
      <c r="C301" s="1" t="n">
        <v>37.2969201782</v>
      </c>
      <c r="D301" s="1" t="n">
        <v>-7.05111600859</v>
      </c>
      <c r="E301" s="3" t="n">
        <v>2</v>
      </c>
      <c r="F301" s="2" t="n">
        <v>2</v>
      </c>
      <c r="G301" s="4" t="n">
        <v>2</v>
      </c>
      <c r="H301" s="13" t="n"/>
      <c r="I301" s="15" t="n"/>
      <c r="J301" s="19" t="n">
        <v>2</v>
      </c>
      <c r="K301" s="2" t="inlineStr">
        <is>
          <t>marker_894_838096.png</t>
        </is>
      </c>
      <c r="L301" s="11">
        <f>HYPERLINK("2\0\" &amp; K301, "Ver Imagen")</f>
        <v/>
      </c>
      <c r="M301" t="inlineStr">
        <is>
          <t>Moda</t>
        </is>
      </c>
    </row>
    <row r="302">
      <c r="A302" t="n">
        <v>301</v>
      </c>
      <c r="B302" t="inlineStr">
        <is>
          <t>A-492__332</t>
        </is>
      </c>
      <c r="C302" s="1" t="n">
        <v>37.2970052408</v>
      </c>
      <c r="D302" s="1" t="n">
        <v>-7.0513168243</v>
      </c>
      <c r="E302" s="3" t="n">
        <v>2</v>
      </c>
      <c r="F302" s="2" t="n">
        <v>2</v>
      </c>
      <c r="G302" s="4" t="n">
        <v>2</v>
      </c>
      <c r="H302" s="13" t="n"/>
      <c r="I302" s="15" t="n"/>
      <c r="J302" s="19" t="n">
        <v>2</v>
      </c>
      <c r="K302" s="2" t="inlineStr">
        <is>
          <t>marker_356_838109.png</t>
        </is>
      </c>
      <c r="L302" s="11">
        <f>HYPERLINK("2\0\" &amp; K302, "Ver Imagen")</f>
        <v/>
      </c>
      <c r="M302" t="inlineStr">
        <is>
          <t>Moda</t>
        </is>
      </c>
    </row>
    <row r="303">
      <c r="A303" t="n">
        <v>302</v>
      </c>
      <c r="B303" t="inlineStr">
        <is>
          <t>A-492__345</t>
        </is>
      </c>
      <c r="C303" s="1" t="n">
        <v>37.2984185272</v>
      </c>
      <c r="D303" s="1" t="n">
        <v>-7.05392510126</v>
      </c>
      <c r="E303" s="3" t="n">
        <v>2</v>
      </c>
      <c r="F303" s="2" t="n">
        <v>2</v>
      </c>
      <c r="G303" s="4" t="n">
        <v>2</v>
      </c>
      <c r="H303" s="13" t="n"/>
      <c r="I303" s="15" t="n"/>
      <c r="J303" s="19" t="n">
        <v>2</v>
      </c>
      <c r="K303" s="2" t="inlineStr">
        <is>
          <t>marker_320_838297.png</t>
        </is>
      </c>
      <c r="L303" s="11">
        <f>HYPERLINK("2\0\" &amp; K303, "Ver Imagen")</f>
        <v/>
      </c>
      <c r="M303" t="inlineStr">
        <is>
          <t>Moda</t>
        </is>
      </c>
    </row>
    <row r="304">
      <c r="A304" t="n">
        <v>303</v>
      </c>
      <c r="B304" t="inlineStr">
        <is>
          <t>A-492__348</t>
        </is>
      </c>
      <c r="C304" s="1" t="n">
        <v>37.298973885</v>
      </c>
      <c r="D304" s="1" t="n">
        <v>-7.05427702237</v>
      </c>
      <c r="E304" s="3" t="n">
        <v>2</v>
      </c>
      <c r="F304" s="2" t="n">
        <v>2</v>
      </c>
      <c r="G304" s="4" t="n">
        <v>2</v>
      </c>
      <c r="H304" s="13" t="n"/>
      <c r="I304" s="15" t="n"/>
      <c r="J304" s="19" t="n">
        <v>2</v>
      </c>
      <c r="K304" s="2" t="inlineStr">
        <is>
          <t>marker_104_838337.png</t>
        </is>
      </c>
      <c r="L304" s="11">
        <f>HYPERLINK("2\0\" &amp; K304, "Ver Imagen")</f>
        <v/>
      </c>
      <c r="M304" t="inlineStr">
        <is>
          <t>Moda</t>
        </is>
      </c>
    </row>
    <row r="305">
      <c r="A305" t="n">
        <v>304</v>
      </c>
      <c r="B305" t="inlineStr">
        <is>
          <t>A-492__350</t>
        </is>
      </c>
      <c r="C305" s="1" t="n">
        <v>37.2993093758</v>
      </c>
      <c r="D305" s="1" t="n">
        <v>-7.05450514158</v>
      </c>
      <c r="E305" s="3" t="n">
        <v>2</v>
      </c>
      <c r="F305" s="2" t="n">
        <v>2</v>
      </c>
      <c r="G305" s="4" t="n">
        <v>2</v>
      </c>
      <c r="H305" s="13" t="n"/>
      <c r="I305" s="15" t="n"/>
      <c r="J305" s="19" t="n">
        <v>2</v>
      </c>
      <c r="K305" s="2" t="inlineStr">
        <is>
          <t>marker_321_838366.png</t>
        </is>
      </c>
      <c r="L305" s="11">
        <f>HYPERLINK("2\0\" &amp; K305, "Ver Imagen")</f>
        <v/>
      </c>
      <c r="M305" t="inlineStr">
        <is>
          <t>Moda</t>
        </is>
      </c>
    </row>
    <row r="306">
      <c r="A306" t="n">
        <v>305</v>
      </c>
      <c r="B306" t="inlineStr">
        <is>
          <t>A-492__352</t>
        </is>
      </c>
      <c r="C306" s="1" t="n">
        <v>37.2996360172</v>
      </c>
      <c r="D306" s="1" t="n">
        <v>-7.05480195805</v>
      </c>
      <c r="E306" s="3" t="n">
        <v>2</v>
      </c>
      <c r="F306" s="2" t="n">
        <v>2</v>
      </c>
      <c r="G306" s="4" t="n">
        <v>2</v>
      </c>
      <c r="H306" s="13" t="n"/>
      <c r="I306" s="15" t="n"/>
      <c r="J306" s="19" t="n">
        <v>2</v>
      </c>
      <c r="K306" s="2" t="inlineStr">
        <is>
          <t>marker_891_838385.png</t>
        </is>
      </c>
      <c r="L306" s="11">
        <f>HYPERLINK("2\0\" &amp; K306, "Ver Imagen")</f>
        <v/>
      </c>
      <c r="M306" t="inlineStr">
        <is>
          <t>Moda</t>
        </is>
      </c>
    </row>
    <row r="307">
      <c r="A307" t="n">
        <v>306</v>
      </c>
      <c r="B307" t="inlineStr">
        <is>
          <t>A-492__355</t>
        </is>
      </c>
      <c r="C307" s="1" t="n">
        <v>37.30009858</v>
      </c>
      <c r="D307" s="1" t="n">
        <v>-7.05535223307</v>
      </c>
      <c r="E307" s="3" t="n">
        <v>2</v>
      </c>
      <c r="F307" s="2" t="n">
        <v>2</v>
      </c>
      <c r="G307" s="4" t="n">
        <v>2</v>
      </c>
      <c r="H307" s="13" t="n"/>
      <c r="I307" s="15" t="n"/>
      <c r="J307" s="19" t="n">
        <v>2</v>
      </c>
      <c r="K307" s="2" t="inlineStr">
        <is>
          <t>marker_521_838576.png</t>
        </is>
      </c>
      <c r="L307" s="11">
        <f>HYPERLINK("2\0\" &amp; K307, "Ver Imagen")</f>
        <v/>
      </c>
      <c r="M307" t="inlineStr">
        <is>
          <t>Moda</t>
        </is>
      </c>
    </row>
    <row r="308">
      <c r="A308" t="n">
        <v>307</v>
      </c>
      <c r="B308" t="inlineStr">
        <is>
          <t>A-492__405</t>
        </is>
      </c>
      <c r="C308" s="1" t="n">
        <v>37.3097695649</v>
      </c>
      <c r="D308" s="1" t="n">
        <v>-7.05804899079</v>
      </c>
      <c r="E308" s="3" t="n">
        <v>2</v>
      </c>
      <c r="F308" s="2" t="n">
        <v>2</v>
      </c>
      <c r="G308" s="4" t="n">
        <v>2</v>
      </c>
      <c r="H308" s="13" t="n"/>
      <c r="I308" s="15" t="n"/>
      <c r="J308" s="19" t="n">
        <v>2</v>
      </c>
      <c r="K308" s="2" t="inlineStr">
        <is>
          <t>marker_334_839237.png</t>
        </is>
      </c>
      <c r="L308" s="11">
        <f>HYPERLINK("2\0\" &amp; K308, "Ver Imagen")</f>
        <v/>
      </c>
      <c r="M308" t="inlineStr">
        <is>
          <t>Moda</t>
        </is>
      </c>
    </row>
    <row r="309">
      <c r="A309" t="n">
        <v>308</v>
      </c>
      <c r="B309" t="inlineStr">
        <is>
          <t>A-492__418</t>
        </is>
      </c>
      <c r="C309" s="1" t="n">
        <v>37.3118790455</v>
      </c>
      <c r="D309" s="1" t="n">
        <v>-7.06001541352</v>
      </c>
      <c r="E309" s="3" t="n">
        <v>2</v>
      </c>
      <c r="F309" s="2" t="n">
        <v>2</v>
      </c>
      <c r="G309" s="4" t="n">
        <v>2</v>
      </c>
      <c r="H309" s="13" t="n"/>
      <c r="I309" s="15" t="n"/>
      <c r="J309" s="19" t="n">
        <v>2</v>
      </c>
      <c r="K309" s="2" t="inlineStr">
        <is>
          <t>marker_782_839377.png</t>
        </is>
      </c>
      <c r="L309" s="11">
        <f>HYPERLINK("2\0\" &amp; K309, "Ver Imagen")</f>
        <v/>
      </c>
      <c r="M309" t="inlineStr">
        <is>
          <t>Moda</t>
        </is>
      </c>
    </row>
    <row r="310">
      <c r="A310" t="n">
        <v>309</v>
      </c>
      <c r="B310" t="inlineStr">
        <is>
          <t>A-492__434</t>
        </is>
      </c>
      <c r="C310" s="1" t="n">
        <v>37.3138468155</v>
      </c>
      <c r="D310" s="1" t="n">
        <v>-7.06330573705</v>
      </c>
      <c r="E310" s="3" t="n">
        <v>2</v>
      </c>
      <c r="F310" s="2" t="n">
        <v>2</v>
      </c>
      <c r="G310" s="4" t="n">
        <v>2</v>
      </c>
      <c r="H310" s="13" t="n"/>
      <c r="I310" s="15" t="n"/>
      <c r="J310" s="19" t="n">
        <v>2</v>
      </c>
      <c r="K310" s="2" t="inlineStr">
        <is>
          <t>marker_563_839575.png</t>
        </is>
      </c>
      <c r="L310" s="11">
        <f>HYPERLINK("2\0\" &amp; K310, "Ver Imagen")</f>
        <v/>
      </c>
      <c r="M310" t="inlineStr">
        <is>
          <t>Moda</t>
        </is>
      </c>
    </row>
    <row r="311">
      <c r="A311" t="n">
        <v>310</v>
      </c>
      <c r="B311" t="inlineStr">
        <is>
          <t>A-492__438</t>
        </is>
      </c>
      <c r="C311" s="1" t="n">
        <v>37.3142771088</v>
      </c>
      <c r="D311" s="1" t="n">
        <v>-7.06411449224</v>
      </c>
      <c r="E311" s="3" t="n">
        <v>2</v>
      </c>
      <c r="F311" s="2" t="n">
        <v>2</v>
      </c>
      <c r="G311" s="4" t="n">
        <v>2</v>
      </c>
      <c r="H311" s="13" t="n"/>
      <c r="I311" s="15" t="n"/>
      <c r="J311" s="19" t="n">
        <v>2</v>
      </c>
      <c r="K311" s="2" t="inlineStr">
        <is>
          <t>marker_653_839629.png</t>
        </is>
      </c>
      <c r="L311" s="11">
        <f>HYPERLINK("2\0\" &amp; K311, "Ver Imagen")</f>
        <v/>
      </c>
      <c r="M311" t="inlineStr">
        <is>
          <t>Moda</t>
        </is>
      </c>
    </row>
    <row r="312">
      <c r="A312" t="n">
        <v>311</v>
      </c>
      <c r="B312" t="inlineStr">
        <is>
          <t>A-492__451</t>
        </is>
      </c>
      <c r="C312" s="1" t="n">
        <v>37.3154254025</v>
      </c>
      <c r="D312" s="1" t="n">
        <v>-7.06703982642</v>
      </c>
      <c r="E312" s="3" t="n">
        <v>2</v>
      </c>
      <c r="F312" s="2" t="n">
        <v>2</v>
      </c>
      <c r="G312" s="4" t="n">
        <v>2</v>
      </c>
      <c r="H312" s="13" t="n"/>
      <c r="I312" s="15" t="n"/>
      <c r="J312" s="19" t="n">
        <v>2</v>
      </c>
      <c r="K312" s="2" t="inlineStr">
        <is>
          <t>marker_380_839829.png</t>
        </is>
      </c>
      <c r="L312" s="11">
        <f>HYPERLINK("2\0\" &amp; K312, "Ver Imagen")</f>
        <v/>
      </c>
      <c r="M312" t="inlineStr">
        <is>
          <t>Moda</t>
        </is>
      </c>
    </row>
    <row r="313">
      <c r="A313" t="n">
        <v>312</v>
      </c>
      <c r="B313" t="inlineStr">
        <is>
          <t>A-492__455</t>
        </is>
      </c>
      <c r="C313" s="1" t="n">
        <v>37.315654531</v>
      </c>
      <c r="D313" s="1" t="n">
        <v>-7.06803394631</v>
      </c>
      <c r="E313" s="3" t="n">
        <v>2</v>
      </c>
      <c r="F313" s="2" t="n">
        <v>2</v>
      </c>
      <c r="G313" s="4" t="n">
        <v>2</v>
      </c>
      <c r="H313" s="13" t="n"/>
      <c r="I313" s="15" t="n"/>
      <c r="J313" s="19" t="n">
        <v>2</v>
      </c>
      <c r="K313" s="2" t="inlineStr">
        <is>
          <t>marker_425_839868.png</t>
        </is>
      </c>
      <c r="L313" s="11">
        <f>HYPERLINK("2\0\" &amp; K313, "Ver Imagen")</f>
        <v/>
      </c>
      <c r="M313" t="inlineStr">
        <is>
          <t>Moda</t>
        </is>
      </c>
    </row>
    <row r="314">
      <c r="A314" t="n">
        <v>313</v>
      </c>
      <c r="B314" t="inlineStr">
        <is>
          <t>A-492__476</t>
        </is>
      </c>
      <c r="C314" s="1" t="n">
        <v>37.3185657897</v>
      </c>
      <c r="D314" s="1" t="n">
        <v>-7.07135394474</v>
      </c>
      <c r="E314" s="3" t="n">
        <v>2</v>
      </c>
      <c r="F314" s="2" t="n">
        <v>2</v>
      </c>
      <c r="G314" s="4" t="n">
        <v>2</v>
      </c>
      <c r="H314" s="13" t="n"/>
      <c r="I314" s="15" t="n"/>
      <c r="J314" s="19" t="n">
        <v>2</v>
      </c>
      <c r="K314" s="2" t="inlineStr">
        <is>
          <t>marker_147_840112.png</t>
        </is>
      </c>
      <c r="L314" s="11">
        <f>HYPERLINK("2\0\" &amp; K314, "Ver Imagen")</f>
        <v/>
      </c>
      <c r="M314" t="inlineStr">
        <is>
          <t>Moda</t>
        </is>
      </c>
    </row>
    <row r="315">
      <c r="A315" t="n">
        <v>314</v>
      </c>
      <c r="B315" t="inlineStr">
        <is>
          <t>A-497__23</t>
        </is>
      </c>
      <c r="C315" s="1" t="n">
        <v>37.2674654213</v>
      </c>
      <c r="D315" s="1" t="n">
        <v>-6.96150475179</v>
      </c>
      <c r="E315" s="3" t="n">
        <v>2</v>
      </c>
      <c r="F315" s="2" t="n">
        <v>2</v>
      </c>
      <c r="G315" s="4" t="n">
        <v>2</v>
      </c>
      <c r="H315" s="13" t="n"/>
      <c r="I315" s="15" t="n"/>
      <c r="J315" s="19" t="n">
        <v>2</v>
      </c>
      <c r="K315" s="2" t="inlineStr">
        <is>
          <t>marker_931_943740.png</t>
        </is>
      </c>
      <c r="L315" s="11">
        <f>HYPERLINK("2\0\" &amp; K315, "Ver Imagen")</f>
        <v/>
      </c>
      <c r="M315" t="inlineStr">
        <is>
          <t>Moda</t>
        </is>
      </c>
    </row>
    <row r="316">
      <c r="A316" t="n">
        <v>315</v>
      </c>
      <c r="B316" t="inlineStr">
        <is>
          <t>A-497__20</t>
        </is>
      </c>
      <c r="C316" s="1" t="n">
        <v>37.2674099937</v>
      </c>
      <c r="D316" s="1" t="n">
        <v>-6.96075382507</v>
      </c>
      <c r="E316" s="3" t="n">
        <v>2</v>
      </c>
      <c r="F316" s="2" t="n">
        <v>2</v>
      </c>
      <c r="G316" s="4" t="n">
        <v>2</v>
      </c>
      <c r="H316" s="13" t="n"/>
      <c r="I316" s="15" t="n"/>
      <c r="J316" s="19" t="n">
        <v>2</v>
      </c>
      <c r="K316" s="2" t="inlineStr">
        <is>
          <t>marker_529_943777.png</t>
        </is>
      </c>
      <c r="L316" s="11">
        <f>HYPERLINK("2\0\" &amp; K316, "Ver Imagen")</f>
        <v/>
      </c>
      <c r="M316" t="inlineStr">
        <is>
          <t>Moda</t>
        </is>
      </c>
    </row>
    <row r="317">
      <c r="A317" t="n">
        <v>316</v>
      </c>
      <c r="B317" t="inlineStr">
        <is>
          <t>A-497__18</t>
        </is>
      </c>
      <c r="C317" s="1" t="n">
        <v>37.2673318683</v>
      </c>
      <c r="D317" s="1" t="n">
        <v>-6.96026609421</v>
      </c>
      <c r="E317" s="3" t="n">
        <v>2</v>
      </c>
      <c r="F317" s="2" t="n">
        <v>2</v>
      </c>
      <c r="G317" s="4" t="n">
        <v>2</v>
      </c>
      <c r="H317" s="13" t="n"/>
      <c r="I317" s="15" t="n"/>
      <c r="J317" s="19" t="n">
        <v>2</v>
      </c>
      <c r="K317" s="2" t="inlineStr">
        <is>
          <t>marker_198_943797.png</t>
        </is>
      </c>
      <c r="L317" s="11">
        <f>HYPERLINK("2\0\" &amp; K317, "Ver Imagen")</f>
        <v/>
      </c>
      <c r="M317" t="inlineStr">
        <is>
          <t>Moda</t>
        </is>
      </c>
    </row>
    <row r="318">
      <c r="A318" t="n">
        <v>317</v>
      </c>
      <c r="B318" t="inlineStr">
        <is>
          <t>A-5050__147</t>
        </is>
      </c>
      <c r="C318" s="1" t="n">
        <v>37.1933785279</v>
      </c>
      <c r="D318" s="1" t="n">
        <v>-6.99623215348</v>
      </c>
      <c r="E318" s="3" t="n">
        <v>2</v>
      </c>
      <c r="F318" s="2" t="n">
        <v>2</v>
      </c>
      <c r="G318" s="4" t="n">
        <v>2</v>
      </c>
      <c r="H318" s="13" t="n"/>
      <c r="I318" s="15" t="n"/>
      <c r="J318" s="19" t="n">
        <v>2</v>
      </c>
      <c r="K318" s="2" t="inlineStr">
        <is>
          <t>marker_369_945433.png</t>
        </is>
      </c>
      <c r="L318" s="11">
        <f>HYPERLINK("2\0\" &amp; K318, "Ver Imagen")</f>
        <v/>
      </c>
      <c r="M318" t="inlineStr">
        <is>
          <t>Moda</t>
        </is>
      </c>
    </row>
    <row r="319">
      <c r="A319" t="n">
        <v>318</v>
      </c>
      <c r="B319" t="inlineStr">
        <is>
          <t>A-5050__145</t>
        </is>
      </c>
      <c r="C319" s="1" t="n">
        <v>37.1935640796</v>
      </c>
      <c r="D319" s="1" t="n">
        <v>-6.99665717127</v>
      </c>
      <c r="E319" s="3" t="n">
        <v>2</v>
      </c>
      <c r="F319" s="2" t="n">
        <v>2</v>
      </c>
      <c r="G319" s="4" t="n">
        <v>2</v>
      </c>
      <c r="H319" s="13" t="n"/>
      <c r="I319" s="15" t="n"/>
      <c r="J319" s="19" t="n">
        <v>2</v>
      </c>
      <c r="K319" s="2" t="inlineStr">
        <is>
          <t>marker_340_945513.png</t>
        </is>
      </c>
      <c r="L319" s="11">
        <f>HYPERLINK("2\0\" &amp; K319, "Ver Imagen")</f>
        <v/>
      </c>
      <c r="M319" t="inlineStr">
        <is>
          <t>Moda</t>
        </is>
      </c>
    </row>
    <row r="320">
      <c r="A320" t="n">
        <v>319</v>
      </c>
      <c r="B320" t="inlineStr">
        <is>
          <t>A-5050__140</t>
        </is>
      </c>
      <c r="C320" s="1" t="n">
        <v>37.194048099</v>
      </c>
      <c r="D320" s="1" t="n">
        <v>-6.99782554332</v>
      </c>
      <c r="E320" s="3" t="n">
        <v>2</v>
      </c>
      <c r="F320" s="2" t="n">
        <v>2</v>
      </c>
      <c r="G320" s="4" t="n">
        <v>2</v>
      </c>
      <c r="H320" s="13" t="n"/>
      <c r="I320" s="15" t="n"/>
      <c r="J320" s="19" t="n">
        <v>2</v>
      </c>
      <c r="K320" s="2" t="inlineStr">
        <is>
          <t>marker_381_945839.png</t>
        </is>
      </c>
      <c r="L320" s="11">
        <f>HYPERLINK("2\0\" &amp; K320, "Ver Imagen")</f>
        <v/>
      </c>
      <c r="M320" t="inlineStr">
        <is>
          <t>Moda</t>
        </is>
      </c>
    </row>
    <row r="321">
      <c r="A321" t="n">
        <v>320</v>
      </c>
      <c r="B321" t="inlineStr">
        <is>
          <t>A-5050__139</t>
        </is>
      </c>
      <c r="C321" s="1" t="n">
        <v>37.1941437971</v>
      </c>
      <c r="D321" s="1" t="n">
        <v>-6.99805769661</v>
      </c>
      <c r="E321" s="3" t="n">
        <v>2</v>
      </c>
      <c r="F321" s="2" t="n">
        <v>2</v>
      </c>
      <c r="G321" s="4" t="n">
        <v>2</v>
      </c>
      <c r="H321" s="13" t="n"/>
      <c r="I321" s="15" t="n"/>
      <c r="J321" s="19" t="n">
        <v>2</v>
      </c>
      <c r="K321" s="2" t="inlineStr">
        <is>
          <t>marker_602_945848.png</t>
        </is>
      </c>
      <c r="L321" s="11">
        <f>HYPERLINK("2\0\" &amp; K321, "Ver Imagen")</f>
        <v/>
      </c>
      <c r="M321" t="inlineStr">
        <is>
          <t>Moda</t>
        </is>
      </c>
    </row>
    <row r="322">
      <c r="A322" t="n">
        <v>321</v>
      </c>
      <c r="B322" t="inlineStr">
        <is>
          <t>A-5050__137</t>
        </is>
      </c>
      <c r="C322" s="1" t="n">
        <v>37.1943309</v>
      </c>
      <c r="D322" s="1" t="n">
        <v>-6.99850778507</v>
      </c>
      <c r="E322" s="3" t="n">
        <v>2</v>
      </c>
      <c r="F322" s="2" t="n">
        <v>2</v>
      </c>
      <c r="G322" s="4" t="n">
        <v>2</v>
      </c>
      <c r="H322" s="13" t="n"/>
      <c r="I322" s="15" t="n"/>
      <c r="J322" s="19" t="n">
        <v>2</v>
      </c>
      <c r="K322" s="2" t="inlineStr">
        <is>
          <t>marker_437_945873.png</t>
        </is>
      </c>
      <c r="L322" s="11">
        <f>HYPERLINK("2\0\" &amp; K322, "Ver Imagen")</f>
        <v/>
      </c>
      <c r="M322" t="inlineStr">
        <is>
          <t>Moda</t>
        </is>
      </c>
    </row>
    <row r="323">
      <c r="A323" t="n">
        <v>322</v>
      </c>
      <c r="B323" t="inlineStr">
        <is>
          <t>A-5050__136</t>
        </is>
      </c>
      <c r="C323" s="1" t="n">
        <v>37.1944251923</v>
      </c>
      <c r="D323" s="1" t="n">
        <v>-6.99873586921</v>
      </c>
      <c r="E323" s="3" t="n">
        <v>2</v>
      </c>
      <c r="F323" s="2" t="n">
        <v>2</v>
      </c>
      <c r="G323" s="4" t="n">
        <v>2</v>
      </c>
      <c r="H323" s="13" t="n"/>
      <c r="I323" s="15" t="n"/>
      <c r="J323" s="19" t="n">
        <v>2</v>
      </c>
      <c r="K323" s="2" t="inlineStr">
        <is>
          <t>marker_136_945885.png</t>
        </is>
      </c>
      <c r="L323" s="11">
        <f>HYPERLINK("2\0\" &amp; K323, "Ver Imagen")</f>
        <v/>
      </c>
      <c r="M323" t="inlineStr">
        <is>
          <t>Moda</t>
        </is>
      </c>
    </row>
    <row r="324">
      <c r="A324" t="n">
        <v>323</v>
      </c>
      <c r="B324" t="inlineStr">
        <is>
          <t>A-5050__134</t>
        </is>
      </c>
      <c r="C324" s="1" t="n">
        <v>37.1946073008</v>
      </c>
      <c r="D324" s="1" t="n">
        <v>-6.99917660888</v>
      </c>
      <c r="E324" s="3" t="n">
        <v>2</v>
      </c>
      <c r="F324" s="2" t="n">
        <v>2</v>
      </c>
      <c r="G324" s="4" t="n">
        <v>2</v>
      </c>
      <c r="H324" s="13" t="n"/>
      <c r="I324" s="15" t="n"/>
      <c r="J324" s="19" t="n">
        <v>2</v>
      </c>
      <c r="K324" s="2" t="inlineStr">
        <is>
          <t>marker_493_945905.png</t>
        </is>
      </c>
      <c r="L324" s="11">
        <f>HYPERLINK("2\0\" &amp; K324, "Ver Imagen")</f>
        <v/>
      </c>
      <c r="M324" t="inlineStr">
        <is>
          <t>Moda</t>
        </is>
      </c>
    </row>
    <row r="325">
      <c r="A325" t="n">
        <v>324</v>
      </c>
      <c r="B325" t="inlineStr">
        <is>
          <t>A-5050__129</t>
        </is>
      </c>
      <c r="C325" s="1" t="n">
        <v>37.1950634812</v>
      </c>
      <c r="D325" s="1" t="n">
        <v>-7.00030277652</v>
      </c>
      <c r="E325" s="3" t="n">
        <v>2</v>
      </c>
      <c r="F325" s="2" t="n">
        <v>2</v>
      </c>
      <c r="G325" s="4" t="n">
        <v>2</v>
      </c>
      <c r="H325" s="13" t="n"/>
      <c r="I325" s="15" t="n"/>
      <c r="J325" s="19" t="n">
        <v>2</v>
      </c>
      <c r="K325" s="2" t="inlineStr">
        <is>
          <t>marker_522_945957.png</t>
        </is>
      </c>
      <c r="L325" s="11">
        <f>HYPERLINK("2\0\" &amp; K325, "Ver Imagen")</f>
        <v/>
      </c>
      <c r="M325" t="inlineStr">
        <is>
          <t>Moda</t>
        </is>
      </c>
    </row>
    <row r="326">
      <c r="A326" t="n">
        <v>325</v>
      </c>
      <c r="B326" t="inlineStr">
        <is>
          <t>A-5050__125</t>
        </is>
      </c>
      <c r="C326" s="1" t="n">
        <v>37.1954363856</v>
      </c>
      <c r="D326" s="1" t="n">
        <v>-7.00120715736</v>
      </c>
      <c r="E326" s="3" t="n">
        <v>2</v>
      </c>
      <c r="F326" s="2" t="n">
        <v>2</v>
      </c>
      <c r="G326" s="4" t="n">
        <v>2</v>
      </c>
      <c r="H326" s="13" t="n"/>
      <c r="I326" s="15" t="n"/>
      <c r="J326" s="19" t="n">
        <v>2</v>
      </c>
      <c r="K326" s="2" t="inlineStr">
        <is>
          <t>marker_976_946364.png</t>
        </is>
      </c>
      <c r="L326" s="11">
        <f>HYPERLINK("2\0\" &amp; K326, "Ver Imagen")</f>
        <v/>
      </c>
      <c r="M326" t="inlineStr">
        <is>
          <t>Moda</t>
        </is>
      </c>
    </row>
    <row r="327">
      <c r="A327" t="n">
        <v>326</v>
      </c>
      <c r="B327" t="inlineStr">
        <is>
          <t>A-5050__65</t>
        </is>
      </c>
      <c r="C327" s="1" t="n">
        <v>37.202033041</v>
      </c>
      <c r="D327" s="1" t="n">
        <v>-7.0138701088</v>
      </c>
      <c r="E327" s="3" t="n">
        <v>2</v>
      </c>
      <c r="F327" s="2" t="n">
        <v>2</v>
      </c>
      <c r="G327" s="4" t="n">
        <v>2</v>
      </c>
      <c r="H327" s="13" t="n"/>
      <c r="I327" s="15" t="n"/>
      <c r="J327" s="19" t="n">
        <v>2</v>
      </c>
      <c r="K327" s="2" t="inlineStr">
        <is>
          <t>marker_656_948975.png</t>
        </is>
      </c>
      <c r="L327" s="11">
        <f>HYPERLINK("2\0\" &amp; K327, "Ver Imagen")</f>
        <v/>
      </c>
      <c r="M327" t="inlineStr">
        <is>
          <t>Moda</t>
        </is>
      </c>
    </row>
    <row r="328">
      <c r="A328" t="n">
        <v>327</v>
      </c>
      <c r="B328" t="inlineStr">
        <is>
          <t>A-5050__48</t>
        </is>
      </c>
      <c r="C328" s="1" t="n">
        <v>37.2042073625</v>
      </c>
      <c r="D328" s="1" t="n">
        <v>-7.01721276543</v>
      </c>
      <c r="E328" s="3" t="n">
        <v>2</v>
      </c>
      <c r="F328" s="2" t="n">
        <v>2</v>
      </c>
      <c r="G328" s="4" t="n">
        <v>2</v>
      </c>
      <c r="H328" s="13" t="n"/>
      <c r="I328" s="15" t="n"/>
      <c r="J328" s="19" t="n">
        <v>2</v>
      </c>
      <c r="K328" s="2" t="inlineStr">
        <is>
          <t>marker_528_949172.png</t>
        </is>
      </c>
      <c r="L328" s="11">
        <f>HYPERLINK("2\0\" &amp; K328, "Ver Imagen")</f>
        <v/>
      </c>
      <c r="M328" t="inlineStr">
        <is>
          <t>Moda</t>
        </is>
      </c>
    </row>
    <row r="329">
      <c r="A329" t="n">
        <v>328</v>
      </c>
      <c r="B329" t="inlineStr">
        <is>
          <t>A-5050__19</t>
        </is>
      </c>
      <c r="C329" s="1" t="n">
        <v>37.2080157454</v>
      </c>
      <c r="D329" s="1" t="n">
        <v>-7.02275194111</v>
      </c>
      <c r="E329" s="3" t="n">
        <v>2</v>
      </c>
      <c r="F329" s="2" t="n">
        <v>2</v>
      </c>
      <c r="G329" s="4" t="n">
        <v>2</v>
      </c>
      <c r="H329" s="13" t="n"/>
      <c r="I329" s="15" t="n"/>
      <c r="J329" s="19" t="n">
        <v>2</v>
      </c>
      <c r="K329" s="2" t="inlineStr">
        <is>
          <t>marker_778_949468.png</t>
        </is>
      </c>
      <c r="L329" s="11">
        <f>HYPERLINK("2\0\" &amp; K329, "Ver Imagen")</f>
        <v/>
      </c>
      <c r="M329" t="inlineStr">
        <is>
          <t>Moda</t>
        </is>
      </c>
    </row>
    <row r="330">
      <c r="A330" t="n">
        <v>329</v>
      </c>
      <c r="B330" t="inlineStr">
        <is>
          <t>A-5050__18</t>
        </is>
      </c>
      <c r="C330" s="1" t="n">
        <v>37.2081176211</v>
      </c>
      <c r="D330" s="1" t="n">
        <v>-7.02296429249</v>
      </c>
      <c r="E330" s="3" t="n">
        <v>2</v>
      </c>
      <c r="F330" s="2" t="n">
        <v>2</v>
      </c>
      <c r="G330" s="4" t="n">
        <v>2</v>
      </c>
      <c r="H330" s="13" t="n"/>
      <c r="I330" s="15" t="n"/>
      <c r="J330" s="19" t="n">
        <v>2</v>
      </c>
      <c r="K330" s="2" t="inlineStr">
        <is>
          <t>marker_397_949514.png</t>
        </is>
      </c>
      <c r="L330" s="11">
        <f>HYPERLINK("2\0\" &amp; K330, "Ver Imagen")</f>
        <v/>
      </c>
      <c r="M330" t="inlineStr">
        <is>
          <t>Moda</t>
        </is>
      </c>
    </row>
    <row r="331">
      <c r="A331" t="n">
        <v>330</v>
      </c>
      <c r="B331" t="inlineStr">
        <is>
          <t>A-5052__15</t>
        </is>
      </c>
      <c r="C331" s="1" t="n">
        <v>37.2179892476</v>
      </c>
      <c r="D331" s="1" t="n">
        <v>-7.12226186187</v>
      </c>
      <c r="E331" s="3" t="n">
        <v>2</v>
      </c>
      <c r="F331" s="2" t="n">
        <v>2</v>
      </c>
      <c r="G331" s="4" t="n">
        <v>2</v>
      </c>
      <c r="H331" s="13" t="n"/>
      <c r="I331" s="15" t="n"/>
      <c r="J331" s="19" t="n">
        <v>2</v>
      </c>
      <c r="K331" s="2" t="inlineStr">
        <is>
          <t>marker_917_950157.png</t>
        </is>
      </c>
      <c r="L331" s="11">
        <f>HYPERLINK("2\0\" &amp; K331, "Ver Imagen")</f>
        <v/>
      </c>
      <c r="M331" t="inlineStr">
        <is>
          <t>Moda</t>
        </is>
      </c>
    </row>
    <row r="332">
      <c r="A332" t="n">
        <v>331</v>
      </c>
      <c r="B332" t="inlineStr">
        <is>
          <t>A-5052__17</t>
        </is>
      </c>
      <c r="C332" s="1" t="n">
        <v>37.2178971399</v>
      </c>
      <c r="D332" s="1" t="n">
        <v>-7.12178579769</v>
      </c>
      <c r="E332" s="3" t="n">
        <v>2</v>
      </c>
      <c r="F332" s="2" t="n">
        <v>2</v>
      </c>
      <c r="G332" s="4" t="n">
        <v>2</v>
      </c>
      <c r="H332" s="13" t="n"/>
      <c r="I332" s="15" t="n"/>
      <c r="J332" s="19" t="n">
        <v>2</v>
      </c>
      <c r="K332" s="2" t="inlineStr">
        <is>
          <t>marker_259_950185.png</t>
        </is>
      </c>
      <c r="L332" s="11">
        <f>HYPERLINK("2\0\" &amp; K332, "Ver Imagen")</f>
        <v/>
      </c>
      <c r="M332" t="inlineStr">
        <is>
          <t>Moda</t>
        </is>
      </c>
    </row>
    <row r="333">
      <c r="A333" t="n">
        <v>332</v>
      </c>
      <c r="B333" t="inlineStr">
        <is>
          <t>A-5052__28</t>
        </is>
      </c>
      <c r="C333" s="1" t="n">
        <v>37.2181311539</v>
      </c>
      <c r="D333" s="1" t="n">
        <v>-7.11900182533</v>
      </c>
      <c r="E333" s="3" t="n">
        <v>2</v>
      </c>
      <c r="F333" s="2" t="n">
        <v>2</v>
      </c>
      <c r="G333" s="4" t="n">
        <v>2</v>
      </c>
      <c r="H333" s="13" t="n"/>
      <c r="I333" s="15" t="n"/>
      <c r="J333" s="19" t="n">
        <v>2</v>
      </c>
      <c r="K333" s="2" t="inlineStr">
        <is>
          <t>marker_576_951575.png</t>
        </is>
      </c>
      <c r="L333" s="11">
        <f>HYPERLINK("2\0\" &amp; K333, "Ver Imagen")</f>
        <v/>
      </c>
      <c r="M333" t="inlineStr">
        <is>
          <t>Moda</t>
        </is>
      </c>
    </row>
    <row r="334">
      <c r="A334" t="n">
        <v>333</v>
      </c>
      <c r="B334" t="inlineStr">
        <is>
          <t>A-5052__48</t>
        </is>
      </c>
      <c r="C334" s="1" t="n">
        <v>37.2175156969</v>
      </c>
      <c r="D334" s="1" t="n">
        <v>-7.1140023929</v>
      </c>
      <c r="E334" s="3" t="n">
        <v>2</v>
      </c>
      <c r="F334" s="2" t="n">
        <v>2</v>
      </c>
      <c r="G334" s="4" t="n">
        <v>2</v>
      </c>
      <c r="H334" s="13" t="n"/>
      <c r="I334" s="15" t="n"/>
      <c r="J334" s="19" t="n">
        <v>2</v>
      </c>
      <c r="K334" s="2" t="inlineStr">
        <is>
          <t>marker_602_956903.png</t>
        </is>
      </c>
      <c r="L334" s="11">
        <f>HYPERLINK("2\0\" &amp; K334, "Ver Imagen")</f>
        <v/>
      </c>
      <c r="M334" t="inlineStr">
        <is>
          <t>Moda</t>
        </is>
      </c>
    </row>
    <row r="335">
      <c r="A335" t="n">
        <v>334</v>
      </c>
      <c r="B335" t="inlineStr">
        <is>
          <t>A-5052__49</t>
        </is>
      </c>
      <c r="C335" s="1" t="n">
        <v>37.2175035662</v>
      </c>
      <c r="D335" s="1" t="n">
        <v>-7.11378196786</v>
      </c>
      <c r="E335" s="3" t="n">
        <v>2</v>
      </c>
      <c r="F335" s="2" t="n">
        <v>2</v>
      </c>
      <c r="G335" s="4" t="n">
        <v>2</v>
      </c>
      <c r="H335" s="13" t="n"/>
      <c r="I335" s="15" t="n"/>
      <c r="J335" s="19" t="n">
        <v>2</v>
      </c>
      <c r="K335" s="2" t="inlineStr">
        <is>
          <t>marker_253_956913.png</t>
        </is>
      </c>
      <c r="L335" s="11">
        <f>HYPERLINK("2\0\" &amp; K335, "Ver Imagen")</f>
        <v/>
      </c>
      <c r="M335" t="inlineStr">
        <is>
          <t>Moda</t>
        </is>
      </c>
    </row>
    <row r="336">
      <c r="A336" t="n">
        <v>335</v>
      </c>
      <c r="B336" t="inlineStr">
        <is>
          <t>A-5052__50</t>
        </is>
      </c>
      <c r="C336" s="1" t="n">
        <v>37.217502368</v>
      </c>
      <c r="D336" s="1" t="n">
        <v>-7.1135175574</v>
      </c>
      <c r="E336" s="3" t="n">
        <v>2</v>
      </c>
      <c r="F336" s="2" t="n">
        <v>2</v>
      </c>
      <c r="G336" s="4" t="n">
        <v>2</v>
      </c>
      <c r="H336" s="13" t="n"/>
      <c r="I336" s="15" t="n"/>
      <c r="J336" s="19" t="n">
        <v>2</v>
      </c>
      <c r="K336" s="2" t="inlineStr">
        <is>
          <t>marker_412_956923.png</t>
        </is>
      </c>
      <c r="L336" s="11">
        <f>HYPERLINK("2\0\" &amp; K336, "Ver Imagen")</f>
        <v/>
      </c>
      <c r="M336" t="inlineStr">
        <is>
          <t>Moda</t>
        </is>
      </c>
    </row>
    <row r="337">
      <c r="A337" t="n">
        <v>336</v>
      </c>
      <c r="B337" t="inlineStr">
        <is>
          <t>A-5052__51</t>
        </is>
      </c>
      <c r="C337" s="1" t="n">
        <v>37.217510964</v>
      </c>
      <c r="D337" s="1" t="n">
        <v>-7.11323750294</v>
      </c>
      <c r="E337" s="3" t="n">
        <v>2</v>
      </c>
      <c r="F337" s="2" t="n">
        <v>2</v>
      </c>
      <c r="G337" s="4" t="n">
        <v>2</v>
      </c>
      <c r="H337" s="13" t="n"/>
      <c r="I337" s="15" t="n"/>
      <c r="J337" s="19" t="n">
        <v>2</v>
      </c>
      <c r="K337" s="2" t="inlineStr">
        <is>
          <t>marker_196_956934.png</t>
        </is>
      </c>
      <c r="L337" s="11">
        <f>HYPERLINK("2\0\" &amp; K337, "Ver Imagen")</f>
        <v/>
      </c>
      <c r="M337" t="inlineStr">
        <is>
          <t>Moda</t>
        </is>
      </c>
    </row>
    <row r="338">
      <c r="A338" t="n">
        <v>337</v>
      </c>
      <c r="B338" t="inlineStr">
        <is>
          <t>A-5052__52</t>
        </is>
      </c>
      <c r="C338" s="1" t="n">
        <v>37.2175238765</v>
      </c>
      <c r="D338" s="1" t="n">
        <v>-7.11297957337</v>
      </c>
      <c r="E338" s="3" t="n">
        <v>2</v>
      </c>
      <c r="F338" s="2" t="n">
        <v>2</v>
      </c>
      <c r="G338" s="4" t="n">
        <v>2</v>
      </c>
      <c r="H338" s="13" t="n"/>
      <c r="I338" s="15" t="n"/>
      <c r="J338" s="19" t="n">
        <v>2</v>
      </c>
      <c r="K338" s="2" t="inlineStr">
        <is>
          <t>marker_137_956945.png</t>
        </is>
      </c>
      <c r="L338" s="11">
        <f>HYPERLINK("2\0\" &amp; K338, "Ver Imagen")</f>
        <v/>
      </c>
      <c r="M338" t="inlineStr">
        <is>
          <t>Moda</t>
        </is>
      </c>
    </row>
    <row r="339">
      <c r="A339" t="n">
        <v>338</v>
      </c>
      <c r="B339" t="inlineStr">
        <is>
          <t>A-5052__54</t>
        </is>
      </c>
      <c r="C339" s="1" t="n">
        <v>37.2175491574</v>
      </c>
      <c r="D339" s="1" t="n">
        <v>-7.11248287213</v>
      </c>
      <c r="E339" s="3" t="n">
        <v>2</v>
      </c>
      <c r="F339" s="2" t="n">
        <v>2</v>
      </c>
      <c r="G339" s="4" t="n">
        <v>2</v>
      </c>
      <c r="H339" s="13" t="n"/>
      <c r="I339" s="15" t="n"/>
      <c r="J339" s="19" t="n">
        <v>2</v>
      </c>
      <c r="K339" s="2" t="inlineStr">
        <is>
          <t>marker_266_956969.png</t>
        </is>
      </c>
      <c r="L339" s="11">
        <f>HYPERLINK("2\0\" &amp; K339, "Ver Imagen")</f>
        <v/>
      </c>
      <c r="M339" t="inlineStr">
        <is>
          <t>Moda</t>
        </is>
      </c>
    </row>
    <row r="340">
      <c r="A340" t="n">
        <v>339</v>
      </c>
      <c r="B340" t="inlineStr">
        <is>
          <t>A-5052__58</t>
        </is>
      </c>
      <c r="C340" s="1" t="n">
        <v>37.2175937949</v>
      </c>
      <c r="D340" s="1" t="n">
        <v>-7.11145760135</v>
      </c>
      <c r="E340" s="3" t="n">
        <v>2</v>
      </c>
      <c r="F340" s="2" t="n">
        <v>2</v>
      </c>
      <c r="G340" s="4" t="n">
        <v>2</v>
      </c>
      <c r="H340" s="13" t="n"/>
      <c r="I340" s="15" t="n"/>
      <c r="J340" s="19" t="n">
        <v>2</v>
      </c>
      <c r="K340" s="2" t="inlineStr">
        <is>
          <t>marker_368_957017.png</t>
        </is>
      </c>
      <c r="L340" s="11">
        <f>HYPERLINK("2\0\" &amp; K340, "Ver Imagen")</f>
        <v/>
      </c>
      <c r="M340" t="inlineStr">
        <is>
          <t>Moda</t>
        </is>
      </c>
    </row>
    <row r="341">
      <c r="A341" t="n">
        <v>340</v>
      </c>
      <c r="B341" t="inlineStr">
        <is>
          <t>A-5052__69</t>
        </is>
      </c>
      <c r="C341" s="1" t="n">
        <v>37.2175636072</v>
      </c>
      <c r="D341" s="1" t="n">
        <v>-7.10870962551</v>
      </c>
      <c r="E341" s="3" t="n">
        <v>2</v>
      </c>
      <c r="F341" s="2" t="n">
        <v>2</v>
      </c>
      <c r="G341" s="4" t="n">
        <v>2</v>
      </c>
      <c r="H341" s="13" t="n"/>
      <c r="I341" s="15" t="n"/>
      <c r="J341" s="19" t="n">
        <v>2</v>
      </c>
      <c r="K341" s="2" t="inlineStr">
        <is>
          <t>marker_938_957166.png</t>
        </is>
      </c>
      <c r="L341" s="11">
        <f>HYPERLINK("2\0\" &amp; K341, "Ver Imagen")</f>
        <v/>
      </c>
      <c r="M341" t="inlineStr">
        <is>
          <t>Moda</t>
        </is>
      </c>
    </row>
    <row r="342">
      <c r="A342" t="n">
        <v>341</v>
      </c>
      <c r="B342" t="inlineStr">
        <is>
          <t>A-5052__76</t>
        </is>
      </c>
      <c r="C342" s="1" t="n">
        <v>37.2173022666</v>
      </c>
      <c r="D342" s="1" t="n">
        <v>-7.10694147429</v>
      </c>
      <c r="E342" s="3" t="n">
        <v>2</v>
      </c>
      <c r="F342" s="2" t="n">
        <v>2</v>
      </c>
      <c r="G342" s="4" t="n">
        <v>2</v>
      </c>
      <c r="H342" s="13" t="n"/>
      <c r="I342" s="15" t="n"/>
      <c r="J342" s="19" t="n">
        <v>2</v>
      </c>
      <c r="K342" s="2" t="inlineStr">
        <is>
          <t>marker_243_957244.png</t>
        </is>
      </c>
      <c r="L342" s="11">
        <f>HYPERLINK("2\0\" &amp; K342, "Ver Imagen")</f>
        <v/>
      </c>
      <c r="M342" t="inlineStr">
        <is>
          <t>Moda</t>
        </is>
      </c>
    </row>
    <row r="343">
      <c r="A343" t="n">
        <v>342</v>
      </c>
      <c r="B343" t="inlineStr">
        <is>
          <t>A-5052__82</t>
        </is>
      </c>
      <c r="C343" s="1" t="n">
        <v>37.2171043096</v>
      </c>
      <c r="D343" s="1" t="n">
        <v>-7.1054224056</v>
      </c>
      <c r="E343" s="3" t="n">
        <v>2</v>
      </c>
      <c r="F343" s="2" t="n">
        <v>2</v>
      </c>
      <c r="G343" s="4" t="n">
        <v>2</v>
      </c>
      <c r="H343" s="13" t="n"/>
      <c r="I343" s="15" t="n"/>
      <c r="J343" s="19" t="n">
        <v>2</v>
      </c>
      <c r="K343" s="2" t="inlineStr">
        <is>
          <t>marker_917_957310.png</t>
        </is>
      </c>
      <c r="L343" s="11">
        <f>HYPERLINK("2\0\" &amp; K343, "Ver Imagen")</f>
        <v/>
      </c>
      <c r="M343" t="inlineStr">
        <is>
          <t>Moda</t>
        </is>
      </c>
    </row>
    <row r="344">
      <c r="A344" t="n">
        <v>343</v>
      </c>
      <c r="B344" t="inlineStr">
        <is>
          <t>A-5052__83</t>
        </is>
      </c>
      <c r="C344" s="1" t="n">
        <v>37.2170827938</v>
      </c>
      <c r="D344" s="1" t="n">
        <v>-7.10520836079</v>
      </c>
      <c r="E344" s="3" t="n">
        <v>2</v>
      </c>
      <c r="F344" s="2" t="n">
        <v>2</v>
      </c>
      <c r="G344" s="4" t="n">
        <v>2</v>
      </c>
      <c r="H344" s="13" t="n"/>
      <c r="I344" s="15" t="n"/>
      <c r="J344" s="19" t="n">
        <v>2</v>
      </c>
      <c r="K344" s="2" t="inlineStr">
        <is>
          <t>marker_329_957322.png</t>
        </is>
      </c>
      <c r="L344" s="11">
        <f>HYPERLINK("2\0\" &amp; K344, "Ver Imagen")</f>
        <v/>
      </c>
      <c r="M344" t="inlineStr">
        <is>
          <t>Moda</t>
        </is>
      </c>
    </row>
    <row r="345">
      <c r="A345" t="n">
        <v>344</v>
      </c>
      <c r="B345" t="inlineStr">
        <is>
          <t>A-5052__98</t>
        </is>
      </c>
      <c r="C345" s="1" t="n">
        <v>37.2167911148</v>
      </c>
      <c r="D345" s="1" t="n">
        <v>-7.10143628798</v>
      </c>
      <c r="E345" s="3" t="n">
        <v>2</v>
      </c>
      <c r="F345" s="2" t="n">
        <v>2</v>
      </c>
      <c r="G345" s="4" t="n">
        <v>2</v>
      </c>
      <c r="H345" s="13" t="n"/>
      <c r="I345" s="15" t="n"/>
      <c r="J345" s="19" t="n">
        <v>2</v>
      </c>
      <c r="K345" s="2" t="inlineStr">
        <is>
          <t>marker_492_957635.png</t>
        </is>
      </c>
      <c r="L345" s="11">
        <f>HYPERLINK("2\0\" &amp; K345, "Ver Imagen")</f>
        <v/>
      </c>
      <c r="M345" t="inlineStr">
        <is>
          <t>Moda</t>
        </is>
      </c>
    </row>
    <row r="346">
      <c r="A346" t="n">
        <v>345</v>
      </c>
      <c r="B346" t="inlineStr">
        <is>
          <t>A-5052__102</t>
        </is>
      </c>
      <c r="C346" s="1" t="n">
        <v>37.2169750801</v>
      </c>
      <c r="D346" s="1" t="n">
        <v>-7.1004355094</v>
      </c>
      <c r="E346" s="3" t="n">
        <v>2</v>
      </c>
      <c r="F346" s="2" t="n">
        <v>2</v>
      </c>
      <c r="G346" s="4" t="n">
        <v>2</v>
      </c>
      <c r="H346" s="13" t="n"/>
      <c r="I346" s="15" t="n"/>
      <c r="J346" s="19" t="n">
        <v>2</v>
      </c>
      <c r="K346" s="2" t="inlineStr">
        <is>
          <t>marker_801_957690.png</t>
        </is>
      </c>
      <c r="L346" s="11">
        <f>HYPERLINK("2\0\" &amp; K346, "Ver Imagen")</f>
        <v/>
      </c>
      <c r="M346" t="inlineStr">
        <is>
          <t>Moda</t>
        </is>
      </c>
    </row>
    <row r="347">
      <c r="A347" t="n">
        <v>346</v>
      </c>
      <c r="B347" t="inlineStr">
        <is>
          <t>A-5052__105</t>
        </is>
      </c>
      <c r="C347" s="1" t="n">
        <v>37.2170460368</v>
      </c>
      <c r="D347" s="1" t="n">
        <v>-7.09968711039</v>
      </c>
      <c r="E347" s="3" t="n">
        <v>2</v>
      </c>
      <c r="F347" s="2" t="n">
        <v>2</v>
      </c>
      <c r="G347" s="4" t="n">
        <v>2</v>
      </c>
      <c r="H347" s="13" t="n"/>
      <c r="I347" s="15" t="n"/>
      <c r="J347" s="19" t="n">
        <v>2</v>
      </c>
      <c r="K347" s="2" t="inlineStr">
        <is>
          <t>marker_277_957733.png</t>
        </is>
      </c>
      <c r="L347" s="11">
        <f>HYPERLINK("2\0\" &amp; K347, "Ver Imagen")</f>
        <v/>
      </c>
      <c r="M347" t="inlineStr">
        <is>
          <t>Moda</t>
        </is>
      </c>
    </row>
    <row r="348">
      <c r="A348" t="n">
        <v>347</v>
      </c>
      <c r="B348" t="inlineStr">
        <is>
          <t>A-5052__112</t>
        </is>
      </c>
      <c r="C348" s="1" t="n">
        <v>37.2168833951</v>
      </c>
      <c r="D348" s="1" t="n">
        <v>-7.09794443032</v>
      </c>
      <c r="E348" s="3" t="n">
        <v>2</v>
      </c>
      <c r="F348" s="2" t="n">
        <v>2</v>
      </c>
      <c r="G348" s="4" t="n">
        <v>2</v>
      </c>
      <c r="H348" s="13" t="n"/>
      <c r="I348" s="15" t="n"/>
      <c r="J348" s="19" t="n">
        <v>2</v>
      </c>
      <c r="K348" s="2" t="inlineStr">
        <is>
          <t>marker_251_957819.png</t>
        </is>
      </c>
      <c r="L348" s="11">
        <f>HYPERLINK("2\0\" &amp; K348, "Ver Imagen")</f>
        <v/>
      </c>
      <c r="M348" t="inlineStr">
        <is>
          <t>Moda</t>
        </is>
      </c>
    </row>
    <row r="349">
      <c r="A349" t="n">
        <v>348</v>
      </c>
      <c r="B349" t="inlineStr">
        <is>
          <t>A-5052__119</t>
        </is>
      </c>
      <c r="C349" s="1" t="n">
        <v>37.216710484</v>
      </c>
      <c r="D349" s="1" t="n">
        <v>-7.0961581775</v>
      </c>
      <c r="E349" s="3" t="n">
        <v>2</v>
      </c>
      <c r="F349" s="2" t="n">
        <v>2</v>
      </c>
      <c r="G349" s="4" t="n">
        <v>2</v>
      </c>
      <c r="H349" s="13" t="n"/>
      <c r="I349" s="15" t="n"/>
      <c r="J349" s="19" t="n">
        <v>2</v>
      </c>
      <c r="K349" s="2" t="inlineStr">
        <is>
          <t>marker_903_957924.png</t>
        </is>
      </c>
      <c r="L349" s="11">
        <f>HYPERLINK("2\0\" &amp; K349, "Ver Imagen")</f>
        <v/>
      </c>
      <c r="M349" t="inlineStr">
        <is>
          <t>Moda</t>
        </is>
      </c>
    </row>
    <row r="350">
      <c r="A350" t="n">
        <v>349</v>
      </c>
      <c r="B350" t="inlineStr">
        <is>
          <t>A-5052__127</t>
        </is>
      </c>
      <c r="C350" s="1" t="n">
        <v>37.2166445141</v>
      </c>
      <c r="D350" s="1" t="n">
        <v>-7.09415185846</v>
      </c>
      <c r="E350" s="3" t="n">
        <v>2</v>
      </c>
      <c r="F350" s="2" t="n">
        <v>2</v>
      </c>
      <c r="G350" s="4" t="n">
        <v>2</v>
      </c>
      <c r="H350" s="13" t="n"/>
      <c r="I350" s="15" t="n"/>
      <c r="J350" s="19" t="n">
        <v>2</v>
      </c>
      <c r="K350" s="2" t="inlineStr">
        <is>
          <t>marker_841_958048.png</t>
        </is>
      </c>
      <c r="L350" s="11">
        <f>HYPERLINK("2\0\" &amp; K350, "Ver Imagen")</f>
        <v/>
      </c>
      <c r="M350" t="inlineStr">
        <is>
          <t>Moda</t>
        </is>
      </c>
    </row>
    <row r="351">
      <c r="A351" t="n">
        <v>350</v>
      </c>
      <c r="B351" t="inlineStr">
        <is>
          <t>A-5052__129</t>
        </is>
      </c>
      <c r="C351" s="1" t="n">
        <v>37.2166332885</v>
      </c>
      <c r="D351" s="1" t="n">
        <v>-7.09363553386</v>
      </c>
      <c r="E351" s="3" t="n">
        <v>2</v>
      </c>
      <c r="F351" s="2" t="n">
        <v>2</v>
      </c>
      <c r="G351" s="4" t="n">
        <v>2</v>
      </c>
      <c r="H351" s="13" t="n"/>
      <c r="I351" s="15" t="n"/>
      <c r="J351" s="19" t="n">
        <v>2</v>
      </c>
      <c r="K351" s="2" t="inlineStr">
        <is>
          <t>marker_961_958083.png</t>
        </is>
      </c>
      <c r="L351" s="11">
        <f>HYPERLINK("2\0\" &amp; K351, "Ver Imagen")</f>
        <v/>
      </c>
      <c r="M351" t="inlineStr">
        <is>
          <t>Moda</t>
        </is>
      </c>
    </row>
    <row r="352">
      <c r="A352" t="n">
        <v>351</v>
      </c>
      <c r="B352" t="inlineStr">
        <is>
          <t>A-5052__132</t>
        </is>
      </c>
      <c r="C352" s="1" t="n">
        <v>37.2165337042</v>
      </c>
      <c r="D352" s="1" t="n">
        <v>-7.09289485836</v>
      </c>
      <c r="E352" s="3" t="n">
        <v>2</v>
      </c>
      <c r="F352" s="2" t="n">
        <v>2</v>
      </c>
      <c r="G352" s="4" t="n">
        <v>2</v>
      </c>
      <c r="H352" s="13" t="n"/>
      <c r="I352" s="15" t="n"/>
      <c r="J352" s="19" t="n">
        <v>2</v>
      </c>
      <c r="K352" s="2" t="inlineStr">
        <is>
          <t>marker_568_958132.png</t>
        </is>
      </c>
      <c r="L352" s="11">
        <f>HYPERLINK("2\0\" &amp; K352, "Ver Imagen")</f>
        <v/>
      </c>
      <c r="M352" t="inlineStr">
        <is>
          <t>Moda</t>
        </is>
      </c>
    </row>
    <row r="353">
      <c r="A353" t="n">
        <v>352</v>
      </c>
      <c r="B353" t="inlineStr">
        <is>
          <t>A-5052__156</t>
        </is>
      </c>
      <c r="C353" s="1" t="n">
        <v>37.2160189524</v>
      </c>
      <c r="D353" s="1" t="n">
        <v>-7.08689279101</v>
      </c>
      <c r="E353" s="3" t="n">
        <v>2</v>
      </c>
      <c r="F353" s="2" t="n">
        <v>2</v>
      </c>
      <c r="G353" s="4" t="n">
        <v>2</v>
      </c>
      <c r="H353" s="13" t="n"/>
      <c r="I353" s="15" t="n"/>
      <c r="J353" s="19" t="n">
        <v>2</v>
      </c>
      <c r="K353" s="2" t="inlineStr">
        <is>
          <t>marker_184_958619.png</t>
        </is>
      </c>
      <c r="L353" s="11">
        <f>HYPERLINK("2\0\" &amp; K353, "Ver Imagen")</f>
        <v/>
      </c>
      <c r="M353" t="inlineStr">
        <is>
          <t>Moda</t>
        </is>
      </c>
    </row>
    <row r="354">
      <c r="A354" t="n">
        <v>353</v>
      </c>
      <c r="B354" t="inlineStr">
        <is>
          <t>A-5052__157</t>
        </is>
      </c>
      <c r="C354" s="1" t="n">
        <v>37.2160231172</v>
      </c>
      <c r="D354" s="1" t="n">
        <v>-7.08659855065</v>
      </c>
      <c r="E354" s="3" t="n">
        <v>2</v>
      </c>
      <c r="F354" s="2" t="n">
        <v>2</v>
      </c>
      <c r="G354" s="4" t="n">
        <v>2</v>
      </c>
      <c r="H354" s="13" t="n"/>
      <c r="I354" s="15" t="n"/>
      <c r="J354" s="19" t="n">
        <v>2</v>
      </c>
      <c r="K354" s="2" t="inlineStr">
        <is>
          <t>marker_348_958629.png</t>
        </is>
      </c>
      <c r="L354" s="11">
        <f>HYPERLINK("2\0\" &amp; K354, "Ver Imagen")</f>
        <v/>
      </c>
      <c r="M354" t="inlineStr">
        <is>
          <t>Moda</t>
        </is>
      </c>
    </row>
    <row r="355">
      <c r="A355" t="n">
        <v>354</v>
      </c>
      <c r="B355" t="inlineStr">
        <is>
          <t>A-5052__159</t>
        </is>
      </c>
      <c r="C355" s="1" t="n">
        <v>37.2160535866</v>
      </c>
      <c r="D355" s="1" t="n">
        <v>-7.08610182083</v>
      </c>
      <c r="E355" s="3" t="n">
        <v>2</v>
      </c>
      <c r="F355" s="2" t="n">
        <v>2</v>
      </c>
      <c r="G355" s="4" t="n">
        <v>2</v>
      </c>
      <c r="H355" s="13" t="n"/>
      <c r="I355" s="15" t="n"/>
      <c r="J355" s="19" t="n">
        <v>2</v>
      </c>
      <c r="K355" s="2" t="inlineStr">
        <is>
          <t>marker_444_958672.png</t>
        </is>
      </c>
      <c r="L355" s="11">
        <f>HYPERLINK("2\0\" &amp; K355, "Ver Imagen")</f>
        <v/>
      </c>
      <c r="M355" t="inlineStr">
        <is>
          <t>Moda</t>
        </is>
      </c>
    </row>
    <row r="356">
      <c r="A356" t="n">
        <v>355</v>
      </c>
      <c r="B356" t="inlineStr">
        <is>
          <t>A-5052__163</t>
        </is>
      </c>
      <c r="C356" s="1" t="n">
        <v>37.2161766835</v>
      </c>
      <c r="D356" s="1" t="n">
        <v>-7.08513422696</v>
      </c>
      <c r="E356" s="3" t="n">
        <v>2</v>
      </c>
      <c r="F356" s="2" t="n">
        <v>2</v>
      </c>
      <c r="G356" s="4" t="n">
        <v>2</v>
      </c>
      <c r="H356" s="13" t="n"/>
      <c r="I356" s="15" t="n"/>
      <c r="J356" s="19" t="n">
        <v>2</v>
      </c>
      <c r="K356" s="2" t="inlineStr">
        <is>
          <t>marker_788_958713.png</t>
        </is>
      </c>
      <c r="L356" s="11">
        <f>HYPERLINK("2\0\" &amp; K356, "Ver Imagen")</f>
        <v/>
      </c>
      <c r="M356" t="inlineStr">
        <is>
          <t>Moda</t>
        </is>
      </c>
    </row>
    <row r="357">
      <c r="A357" t="n">
        <v>356</v>
      </c>
      <c r="B357" t="inlineStr">
        <is>
          <t>A-5052__177</t>
        </is>
      </c>
      <c r="C357" s="1" t="n">
        <v>37.2155940344</v>
      </c>
      <c r="D357" s="1" t="n">
        <v>-7.08173651753</v>
      </c>
      <c r="E357" s="3" t="n">
        <v>2</v>
      </c>
      <c r="F357" s="2" t="n">
        <v>2</v>
      </c>
      <c r="G357" s="4" t="n">
        <v>2</v>
      </c>
      <c r="H357" s="13" t="n"/>
      <c r="I357" s="15" t="n"/>
      <c r="J357" s="19" t="n">
        <v>2</v>
      </c>
      <c r="K357" s="2" t="inlineStr">
        <is>
          <t>marker_202_959044.png</t>
        </is>
      </c>
      <c r="L357" s="11">
        <f>HYPERLINK("2\0\" &amp; K357, "Ver Imagen")</f>
        <v/>
      </c>
      <c r="M357" t="inlineStr">
        <is>
          <t>Moda</t>
        </is>
      </c>
    </row>
    <row r="358">
      <c r="A358" t="n">
        <v>357</v>
      </c>
      <c r="B358" t="inlineStr">
        <is>
          <t>A-5052__178</t>
        </is>
      </c>
      <c r="C358" s="1" t="n">
        <v>37.2155234357</v>
      </c>
      <c r="D358" s="1" t="n">
        <v>-7.08148231761</v>
      </c>
      <c r="E358" s="3" t="n">
        <v>2</v>
      </c>
      <c r="F358" s="2" t="n">
        <v>2</v>
      </c>
      <c r="G358" s="4" t="n">
        <v>2</v>
      </c>
      <c r="H358" s="13" t="n"/>
      <c r="I358" s="15" t="n"/>
      <c r="J358" s="19" t="n">
        <v>2</v>
      </c>
      <c r="K358" s="2" t="inlineStr">
        <is>
          <t>marker_984_959053.png</t>
        </is>
      </c>
      <c r="L358" s="11">
        <f>HYPERLINK("2\0\" &amp; K358, "Ver Imagen")</f>
        <v/>
      </c>
      <c r="M358" t="inlineStr">
        <is>
          <t>Moda</t>
        </is>
      </c>
    </row>
    <row r="359">
      <c r="A359" t="n">
        <v>358</v>
      </c>
      <c r="B359" t="inlineStr">
        <is>
          <t>A-5052__183</t>
        </is>
      </c>
      <c r="C359" s="1" t="n">
        <v>37.2151881614</v>
      </c>
      <c r="D359" s="1" t="n">
        <v>-7.08032007</v>
      </c>
      <c r="E359" s="3" t="n">
        <v>2</v>
      </c>
      <c r="F359" s="2" t="n">
        <v>2</v>
      </c>
      <c r="G359" s="4" t="n">
        <v>2</v>
      </c>
      <c r="H359" s="13" t="n"/>
      <c r="I359" s="15" t="n"/>
      <c r="J359" s="19" t="n">
        <v>2</v>
      </c>
      <c r="K359" s="2" t="inlineStr">
        <is>
          <t>marker_941_959200.png</t>
        </is>
      </c>
      <c r="L359" s="11">
        <f>HYPERLINK("2\0\" &amp; K359, "Ver Imagen")</f>
        <v/>
      </c>
      <c r="M359" t="inlineStr">
        <is>
          <t>Moda</t>
        </is>
      </c>
    </row>
    <row r="360">
      <c r="A360" t="n">
        <v>359</v>
      </c>
      <c r="B360" t="inlineStr">
        <is>
          <t>A-5052__184</t>
        </is>
      </c>
      <c r="C360" s="1" t="n">
        <v>37.2151114895</v>
      </c>
      <c r="D360" s="1" t="n">
        <v>-7.08003806805</v>
      </c>
      <c r="E360" s="3" t="n">
        <v>2</v>
      </c>
      <c r="F360" s="2" t="n">
        <v>2</v>
      </c>
      <c r="G360" s="4" t="n">
        <v>2</v>
      </c>
      <c r="H360" s="13" t="n"/>
      <c r="I360" s="15" t="n"/>
      <c r="J360" s="19" t="n">
        <v>2</v>
      </c>
      <c r="K360" s="2" t="inlineStr">
        <is>
          <t>marker_445_959209.png</t>
        </is>
      </c>
      <c r="L360" s="11">
        <f>HYPERLINK("2\0\" &amp; K360, "Ver Imagen")</f>
        <v/>
      </c>
      <c r="M360" t="inlineStr">
        <is>
          <t>Moda</t>
        </is>
      </c>
    </row>
    <row r="361">
      <c r="A361" t="n">
        <v>360</v>
      </c>
      <c r="B361" t="inlineStr">
        <is>
          <t>A-5052__185</t>
        </is>
      </c>
      <c r="C361" s="1" t="n">
        <v>37.2150443926</v>
      </c>
      <c r="D361" s="1" t="n">
        <v>-7.07977839136</v>
      </c>
      <c r="E361" s="3" t="n">
        <v>2</v>
      </c>
      <c r="F361" s="2" t="n">
        <v>2</v>
      </c>
      <c r="G361" s="4" t="n">
        <v>2</v>
      </c>
      <c r="H361" s="13" t="n"/>
      <c r="I361" s="15" t="n"/>
      <c r="J361" s="19" t="n">
        <v>2</v>
      </c>
      <c r="K361" s="2" t="inlineStr">
        <is>
          <t>marker_952_959226.png</t>
        </is>
      </c>
      <c r="L361" s="11">
        <f>HYPERLINK("2\0\" &amp; K361, "Ver Imagen")</f>
        <v/>
      </c>
      <c r="M361" t="inlineStr">
        <is>
          <t>Moda</t>
        </is>
      </c>
    </row>
    <row r="362">
      <c r="A362" t="n">
        <v>361</v>
      </c>
      <c r="B362" t="inlineStr">
        <is>
          <t>A-5052__186</t>
        </is>
      </c>
      <c r="C362" s="1" t="n">
        <v>37.2149920756</v>
      </c>
      <c r="D362" s="1" t="n">
        <v>-7.07955583802</v>
      </c>
      <c r="E362" s="3" t="n">
        <v>2</v>
      </c>
      <c r="F362" s="2" t="n">
        <v>2</v>
      </c>
      <c r="G362" s="4" t="n">
        <v>2</v>
      </c>
      <c r="H362" s="13" t="n"/>
      <c r="I362" s="15" t="n"/>
      <c r="J362" s="19" t="n">
        <v>2</v>
      </c>
      <c r="K362" s="2" t="inlineStr">
        <is>
          <t>marker_637_959268.png</t>
        </is>
      </c>
      <c r="L362" s="11">
        <f>HYPERLINK("2\0\" &amp; K362, "Ver Imagen")</f>
        <v/>
      </c>
      <c r="M362" t="inlineStr">
        <is>
          <t>Moda</t>
        </is>
      </c>
    </row>
    <row r="363">
      <c r="A363" t="n">
        <v>362</v>
      </c>
      <c r="B363" t="inlineStr">
        <is>
          <t>A-5052__235</t>
        </is>
      </c>
      <c r="C363" s="1" t="n">
        <v>37.2133777287</v>
      </c>
      <c r="D363" s="1" t="n">
        <v>-7.06736797335</v>
      </c>
      <c r="E363" s="3" t="n">
        <v>2</v>
      </c>
      <c r="F363" s="2" t="n">
        <v>2</v>
      </c>
      <c r="G363" s="4" t="n">
        <v>2</v>
      </c>
      <c r="H363" s="13" t="n"/>
      <c r="I363" s="15" t="n"/>
      <c r="J363" s="19" t="n">
        <v>2</v>
      </c>
      <c r="K363" s="2" t="inlineStr">
        <is>
          <t>marker_408_959884.png</t>
        </is>
      </c>
      <c r="L363" s="11">
        <f>HYPERLINK("2\0\" &amp; K363, "Ver Imagen")</f>
        <v/>
      </c>
      <c r="M363" t="inlineStr">
        <is>
          <t>Moda</t>
        </is>
      </c>
    </row>
    <row r="364">
      <c r="A364" t="n">
        <v>363</v>
      </c>
      <c r="B364" t="inlineStr">
        <is>
          <t>A-5052__237</t>
        </is>
      </c>
      <c r="C364" s="1" t="n">
        <v>37.2133571755</v>
      </c>
      <c r="D364" s="1" t="n">
        <v>-7.06686498174</v>
      </c>
      <c r="E364" s="3" t="n">
        <v>2</v>
      </c>
      <c r="F364" s="2" t="n">
        <v>2</v>
      </c>
      <c r="G364" s="4" t="n">
        <v>2</v>
      </c>
      <c r="H364" s="13" t="n"/>
      <c r="I364" s="15" t="n"/>
      <c r="J364" s="19" t="n">
        <v>2</v>
      </c>
      <c r="K364" s="2" t="inlineStr">
        <is>
          <t>marker_182_959915.png</t>
        </is>
      </c>
      <c r="L364" s="11">
        <f>HYPERLINK("2\0\" &amp; K364, "Ver Imagen")</f>
        <v/>
      </c>
      <c r="M364" t="inlineStr">
        <is>
          <t>Moda</t>
        </is>
      </c>
    </row>
    <row r="365">
      <c r="A365" t="n">
        <v>364</v>
      </c>
      <c r="B365" t="inlineStr">
        <is>
          <t>A-5052__254</t>
        </is>
      </c>
      <c r="C365" s="1" t="n">
        <v>37.2131748753</v>
      </c>
      <c r="D365" s="1" t="n">
        <v>-7.06267194525</v>
      </c>
      <c r="E365" s="3" t="n">
        <v>2</v>
      </c>
      <c r="F365" s="2" t="n">
        <v>2</v>
      </c>
      <c r="G365" s="4" t="n">
        <v>2</v>
      </c>
      <c r="H365" s="13" t="n"/>
      <c r="I365" s="15" t="n"/>
      <c r="J365" s="19" t="n">
        <v>2</v>
      </c>
      <c r="K365" s="2" t="inlineStr">
        <is>
          <t>marker_703_960135.png</t>
        </is>
      </c>
      <c r="L365" s="11">
        <f>HYPERLINK("2\0\" &amp; K365, "Ver Imagen")</f>
        <v/>
      </c>
      <c r="M365" t="inlineStr">
        <is>
          <t>Moda</t>
        </is>
      </c>
    </row>
    <row r="366">
      <c r="A366" t="n">
        <v>365</v>
      </c>
      <c r="B366" t="inlineStr">
        <is>
          <t>A-5052__259</t>
        </is>
      </c>
      <c r="C366" s="1" t="n">
        <v>37.2128946629</v>
      </c>
      <c r="D366" s="1" t="n">
        <v>-7.06146139097</v>
      </c>
      <c r="E366" s="3" t="n">
        <v>2</v>
      </c>
      <c r="F366" s="2" t="n">
        <v>2</v>
      </c>
      <c r="G366" s="4" t="n">
        <v>2</v>
      </c>
      <c r="H366" s="13" t="n"/>
      <c r="I366" s="15" t="n"/>
      <c r="J366" s="19" t="n">
        <v>2</v>
      </c>
      <c r="K366" s="2" t="inlineStr">
        <is>
          <t>marker_501_960188.png</t>
        </is>
      </c>
      <c r="L366" s="11">
        <f>HYPERLINK("2\0\" &amp; K366, "Ver Imagen")</f>
        <v/>
      </c>
      <c r="M366" t="inlineStr">
        <is>
          <t>Moda</t>
        </is>
      </c>
    </row>
    <row r="367">
      <c r="A367" t="n">
        <v>366</v>
      </c>
      <c r="B367" t="inlineStr">
        <is>
          <t>A-5052__262</t>
        </is>
      </c>
      <c r="C367" s="1" t="n">
        <v>37.2126270339</v>
      </c>
      <c r="D367" s="1" t="n">
        <v>-7.06072434074</v>
      </c>
      <c r="E367" s="3" t="n">
        <v>2</v>
      </c>
      <c r="F367" s="2" t="n">
        <v>2</v>
      </c>
      <c r="G367" s="4" t="n">
        <v>2</v>
      </c>
      <c r="H367" s="13" t="n"/>
      <c r="I367" s="15" t="n"/>
      <c r="J367" s="19" t="n">
        <v>2</v>
      </c>
      <c r="K367" s="2" t="inlineStr">
        <is>
          <t>marker_721_960224.png</t>
        </is>
      </c>
      <c r="L367" s="11">
        <f>HYPERLINK("2\0\" &amp; K367, "Ver Imagen")</f>
        <v/>
      </c>
      <c r="M367" t="inlineStr">
        <is>
          <t>Moda</t>
        </is>
      </c>
    </row>
    <row r="368">
      <c r="A368" t="n">
        <v>367</v>
      </c>
      <c r="B368" t="inlineStr">
        <is>
          <t>A-5052__265</t>
        </is>
      </c>
      <c r="C368" s="1" t="n">
        <v>37.2123793718</v>
      </c>
      <c r="D368" s="1" t="n">
        <v>-7.06005907452</v>
      </c>
      <c r="E368" s="3" t="n">
        <v>2</v>
      </c>
      <c r="F368" s="2" t="n">
        <v>2</v>
      </c>
      <c r="G368" s="4" t="n">
        <v>2</v>
      </c>
      <c r="H368" s="13" t="n"/>
      <c r="I368" s="15" t="n"/>
      <c r="J368" s="19" t="n">
        <v>2</v>
      </c>
      <c r="K368" s="2" t="inlineStr">
        <is>
          <t>marker_468_960259.png</t>
        </is>
      </c>
      <c r="L368" s="11">
        <f>HYPERLINK("2\0\" &amp; K368, "Ver Imagen")</f>
        <v/>
      </c>
      <c r="M368" t="inlineStr">
        <is>
          <t>Moda</t>
        </is>
      </c>
    </row>
    <row r="369">
      <c r="A369" t="n">
        <v>368</v>
      </c>
      <c r="B369" t="inlineStr">
        <is>
          <t>A-5052__268</t>
        </is>
      </c>
      <c r="C369" s="1" t="n">
        <v>37.2121235269</v>
      </c>
      <c r="D369" s="1" t="n">
        <v>-7.05937562621</v>
      </c>
      <c r="E369" s="3" t="n">
        <v>2</v>
      </c>
      <c r="F369" s="2" t="n">
        <v>2</v>
      </c>
      <c r="G369" s="4" t="n">
        <v>2</v>
      </c>
      <c r="H369" s="13" t="n"/>
      <c r="I369" s="15" t="n"/>
      <c r="J369" s="19" t="n">
        <v>2</v>
      </c>
      <c r="K369" s="2" t="inlineStr">
        <is>
          <t>marker_328_960294.png</t>
        </is>
      </c>
      <c r="L369" s="11">
        <f>HYPERLINK("2\0\" &amp; K369, "Ver Imagen")</f>
        <v/>
      </c>
      <c r="M369" t="inlineStr">
        <is>
          <t>Moda</t>
        </is>
      </c>
    </row>
    <row r="370">
      <c r="A370" t="n">
        <v>369</v>
      </c>
      <c r="B370" t="inlineStr">
        <is>
          <t>A-5052__281</t>
        </is>
      </c>
      <c r="C370" s="1" t="n">
        <v>37.2112500387</v>
      </c>
      <c r="D370" s="1" t="n">
        <v>-7.05627745116</v>
      </c>
      <c r="E370" s="3" t="n">
        <v>2</v>
      </c>
      <c r="F370" s="2" t="n">
        <v>2</v>
      </c>
      <c r="G370" s="4" t="n">
        <v>2</v>
      </c>
      <c r="H370" s="13" t="n"/>
      <c r="I370" s="15" t="n"/>
      <c r="J370" s="19" t="n">
        <v>2</v>
      </c>
      <c r="K370" s="2" t="inlineStr">
        <is>
          <t>marker_967_960526.png</t>
        </is>
      </c>
      <c r="L370" s="11">
        <f>HYPERLINK("2\0\" &amp; K370, "Ver Imagen")</f>
        <v/>
      </c>
      <c r="M370" t="inlineStr">
        <is>
          <t>Moda</t>
        </is>
      </c>
    </row>
    <row r="371">
      <c r="A371" t="n">
        <v>370</v>
      </c>
      <c r="B371" t="inlineStr">
        <is>
          <t>A-5052__283</t>
        </is>
      </c>
      <c r="C371" s="1" t="n">
        <v>37.2111919563</v>
      </c>
      <c r="D371" s="1" t="n">
        <v>-7.0557783951</v>
      </c>
      <c r="E371" s="3" t="n">
        <v>2</v>
      </c>
      <c r="F371" s="2" t="n">
        <v>2</v>
      </c>
      <c r="G371" s="4" t="n">
        <v>2</v>
      </c>
      <c r="H371" s="13" t="n"/>
      <c r="I371" s="15" t="n"/>
      <c r="J371" s="19" t="n">
        <v>2</v>
      </c>
      <c r="K371" s="2" t="inlineStr">
        <is>
          <t>marker_116_960561.png</t>
        </is>
      </c>
      <c r="L371" s="11">
        <f>HYPERLINK("2\0\" &amp; K371, "Ver Imagen")</f>
        <v/>
      </c>
      <c r="M371" t="inlineStr">
        <is>
          <t>Moda</t>
        </is>
      </c>
    </row>
    <row r="372">
      <c r="A372" t="n">
        <v>371</v>
      </c>
      <c r="B372" t="inlineStr">
        <is>
          <t>A-5052__290</t>
        </is>
      </c>
      <c r="C372" s="1" t="n">
        <v>37.2109544858</v>
      </c>
      <c r="D372" s="1" t="n">
        <v>-7.05402409766</v>
      </c>
      <c r="E372" s="3" t="n">
        <v>2</v>
      </c>
      <c r="F372" s="2" t="n">
        <v>2</v>
      </c>
      <c r="G372" s="4" t="n">
        <v>2</v>
      </c>
      <c r="H372" s="13" t="n"/>
      <c r="I372" s="15" t="n"/>
      <c r="J372" s="19" t="n">
        <v>2</v>
      </c>
      <c r="K372" s="2" t="inlineStr">
        <is>
          <t>marker_871_960653.png</t>
        </is>
      </c>
      <c r="L372" s="11">
        <f>HYPERLINK("2\0\" &amp; K372, "Ver Imagen")</f>
        <v/>
      </c>
      <c r="M372" t="inlineStr">
        <is>
          <t>Moda</t>
        </is>
      </c>
    </row>
    <row r="373">
      <c r="A373" t="n">
        <v>372</v>
      </c>
      <c r="B373" t="inlineStr">
        <is>
          <t>A-5052__302</t>
        </is>
      </c>
      <c r="C373" s="1" t="n">
        <v>37.2109358187</v>
      </c>
      <c r="D373" s="1" t="n">
        <v>-7.05104161112</v>
      </c>
      <c r="E373" s="3" t="n">
        <v>2</v>
      </c>
      <c r="F373" s="2" t="n">
        <v>2</v>
      </c>
      <c r="G373" s="4" t="n">
        <v>2</v>
      </c>
      <c r="H373" s="13" t="n"/>
      <c r="I373" s="15" t="n"/>
      <c r="J373" s="19" t="n">
        <v>2</v>
      </c>
      <c r="K373" s="2" t="inlineStr">
        <is>
          <t>marker_302_960944.png</t>
        </is>
      </c>
      <c r="L373" s="11">
        <f>HYPERLINK("2\0\" &amp; K373, "Ver Imagen")</f>
        <v/>
      </c>
      <c r="M373" t="inlineStr">
        <is>
          <t>Moda</t>
        </is>
      </c>
    </row>
    <row r="374">
      <c r="A374" t="n">
        <v>373</v>
      </c>
      <c r="B374" t="inlineStr">
        <is>
          <t>A-5052__303</t>
        </is>
      </c>
      <c r="C374" s="1" t="n">
        <v>37.211000702</v>
      </c>
      <c r="D374" s="1" t="n">
        <v>-7.05082896519</v>
      </c>
      <c r="E374" s="3" t="n">
        <v>2</v>
      </c>
      <c r="F374" s="2" t="n">
        <v>2</v>
      </c>
      <c r="G374" s="4" t="n">
        <v>2</v>
      </c>
      <c r="H374" s="13" t="n"/>
      <c r="I374" s="15" t="n"/>
      <c r="J374" s="19" t="n">
        <v>2</v>
      </c>
      <c r="K374" s="2" t="inlineStr">
        <is>
          <t>marker_293_960957.png</t>
        </is>
      </c>
      <c r="L374" s="11">
        <f>HYPERLINK("2\0\" &amp; K374, "Ver Imagen")</f>
        <v/>
      </c>
      <c r="M374" t="inlineStr">
        <is>
          <t>Moda</t>
        </is>
      </c>
    </row>
    <row r="375">
      <c r="A375" t="n">
        <v>374</v>
      </c>
      <c r="B375" t="inlineStr">
        <is>
          <t>A-5052__308</t>
        </is>
      </c>
      <c r="C375" s="1" t="n">
        <v>37.2115000426</v>
      </c>
      <c r="D375" s="1" t="n">
        <v>-7.04969746569</v>
      </c>
      <c r="E375" s="3" t="n">
        <v>2</v>
      </c>
      <c r="F375" s="2" t="n">
        <v>2</v>
      </c>
      <c r="G375" s="4" t="n">
        <v>2</v>
      </c>
      <c r="H375" s="13" t="n"/>
      <c r="I375" s="15" t="n"/>
      <c r="J375" s="19" t="n">
        <v>2</v>
      </c>
      <c r="K375" s="2" t="inlineStr">
        <is>
          <t>marker_146_961067.png</t>
        </is>
      </c>
      <c r="L375" s="11">
        <f>HYPERLINK("2\0\" &amp; K375, "Ver Imagen")</f>
        <v/>
      </c>
      <c r="M375" t="inlineStr">
        <is>
          <t>Moda</t>
        </is>
      </c>
    </row>
    <row r="376">
      <c r="A376" t="n">
        <v>375</v>
      </c>
      <c r="B376" t="inlineStr">
        <is>
          <t>A-5052__309</t>
        </is>
      </c>
      <c r="C376" s="1" t="n">
        <v>37.2115754744</v>
      </c>
      <c r="D376" s="1" t="n">
        <v>-7.04947796728</v>
      </c>
      <c r="E376" s="3" t="n">
        <v>2</v>
      </c>
      <c r="F376" s="2" t="n">
        <v>2</v>
      </c>
      <c r="G376" s="4" t="n">
        <v>2</v>
      </c>
      <c r="H376" s="13" t="n"/>
      <c r="I376" s="15" t="n"/>
      <c r="J376" s="19" t="n">
        <v>2</v>
      </c>
      <c r="K376" s="2" t="inlineStr">
        <is>
          <t>marker_718_961087.png</t>
        </is>
      </c>
      <c r="L376" s="11">
        <f>HYPERLINK("2\0\" &amp; K376, "Ver Imagen")</f>
        <v/>
      </c>
      <c r="M376" t="inlineStr">
        <is>
          <t>Moda</t>
        </is>
      </c>
    </row>
    <row r="377">
      <c r="A377" t="n">
        <v>376</v>
      </c>
      <c r="B377" t="inlineStr">
        <is>
          <t>A-5052__310</t>
        </is>
      </c>
      <c r="C377" s="1" t="n">
        <v>37.211648704</v>
      </c>
      <c r="D377" s="1" t="n">
        <v>-7.04921425881</v>
      </c>
      <c r="E377" s="3" t="n">
        <v>2</v>
      </c>
      <c r="F377" s="2" t="n">
        <v>2</v>
      </c>
      <c r="G377" s="4" t="n">
        <v>2</v>
      </c>
      <c r="H377" s="13" t="n"/>
      <c r="I377" s="15" t="n"/>
      <c r="J377" s="19" t="n">
        <v>2</v>
      </c>
      <c r="K377" s="2" t="inlineStr">
        <is>
          <t>marker_689_961109.png</t>
        </is>
      </c>
      <c r="L377" s="11">
        <f>HYPERLINK("2\0\" &amp; K377, "Ver Imagen")</f>
        <v/>
      </c>
      <c r="M377" t="inlineStr">
        <is>
          <t>Moda</t>
        </is>
      </c>
    </row>
    <row r="378">
      <c r="A378" t="n">
        <v>377</v>
      </c>
      <c r="B378" t="inlineStr">
        <is>
          <t>A-5052__318</t>
        </is>
      </c>
      <c r="C378" s="1" t="n">
        <v>37.2116569339</v>
      </c>
      <c r="D378" s="1" t="n">
        <v>-7.04722897597</v>
      </c>
      <c r="E378" s="3" t="n">
        <v>2</v>
      </c>
      <c r="F378" s="2" t="n">
        <v>2</v>
      </c>
      <c r="G378" s="4" t="n">
        <v>2</v>
      </c>
      <c r="H378" s="13" t="n"/>
      <c r="I378" s="15" t="n"/>
      <c r="J378" s="19" t="n">
        <v>2</v>
      </c>
      <c r="K378" s="2" t="inlineStr">
        <is>
          <t>marker_411_961230.png</t>
        </is>
      </c>
      <c r="L378" s="11">
        <f>HYPERLINK("2\0\" &amp; K378, "Ver Imagen")</f>
        <v/>
      </c>
      <c r="M378" t="inlineStr">
        <is>
          <t>Moda</t>
        </is>
      </c>
    </row>
    <row r="379">
      <c r="A379" t="n">
        <v>378</v>
      </c>
      <c r="B379" t="inlineStr">
        <is>
          <t>A-5052__321</t>
        </is>
      </c>
      <c r="C379" s="1" t="n">
        <v>37.211520651</v>
      </c>
      <c r="D379" s="1" t="n">
        <v>-7.0465041837</v>
      </c>
      <c r="E379" s="3" t="n">
        <v>2</v>
      </c>
      <c r="F379" s="2" t="n">
        <v>2</v>
      </c>
      <c r="G379" s="4" t="n">
        <v>2</v>
      </c>
      <c r="H379" s="13" t="n"/>
      <c r="I379" s="15" t="n"/>
      <c r="J379" s="19" t="n">
        <v>2</v>
      </c>
      <c r="K379" s="2" t="inlineStr">
        <is>
          <t>marker_815_961281.png</t>
        </is>
      </c>
      <c r="L379" s="11">
        <f>HYPERLINK("2\0\" &amp; K379, "Ver Imagen")</f>
        <v/>
      </c>
      <c r="M379" t="inlineStr">
        <is>
          <t>Moda</t>
        </is>
      </c>
    </row>
    <row r="380">
      <c r="A380" t="n">
        <v>379</v>
      </c>
      <c r="B380" t="inlineStr">
        <is>
          <t>A-5052__332</t>
        </is>
      </c>
      <c r="C380" s="1" t="n">
        <v>37.2107810119</v>
      </c>
      <c r="D380" s="1" t="n">
        <v>-7.0438400084</v>
      </c>
      <c r="E380" s="3" t="n">
        <v>2</v>
      </c>
      <c r="F380" s="2" t="n">
        <v>2</v>
      </c>
      <c r="G380" s="4" t="n">
        <v>2</v>
      </c>
      <c r="H380" s="13" t="n"/>
      <c r="I380" s="15" t="n"/>
      <c r="J380" s="19" t="n">
        <v>2</v>
      </c>
      <c r="K380" s="2" t="inlineStr">
        <is>
          <t>marker_397_961521.png</t>
        </is>
      </c>
      <c r="L380" s="11">
        <f>HYPERLINK("2\0\" &amp; K380, "Ver Imagen")</f>
        <v/>
      </c>
      <c r="M380" t="inlineStr">
        <is>
          <t>Moda</t>
        </is>
      </c>
    </row>
    <row r="381">
      <c r="A381" t="n">
        <v>380</v>
      </c>
      <c r="B381" t="inlineStr">
        <is>
          <t>A-5052__339</t>
        </is>
      </c>
      <c r="C381" s="1" t="n">
        <v>37.2101876904</v>
      </c>
      <c r="D381" s="1" t="n">
        <v>-7.04224664669</v>
      </c>
      <c r="E381" s="3" t="n">
        <v>2</v>
      </c>
      <c r="F381" s="2" t="n">
        <v>2</v>
      </c>
      <c r="G381" s="4" t="n">
        <v>2</v>
      </c>
      <c r="H381" s="13" t="n"/>
      <c r="I381" s="15" t="n"/>
      <c r="J381" s="19" t="n">
        <v>2</v>
      </c>
      <c r="K381" s="2" t="inlineStr">
        <is>
          <t>marker_932_961609.png</t>
        </is>
      </c>
      <c r="L381" s="11">
        <f>HYPERLINK("2\0\" &amp; K381, "Ver Imagen")</f>
        <v/>
      </c>
      <c r="M381" t="inlineStr">
        <is>
          <t>Moda</t>
        </is>
      </c>
    </row>
    <row r="382">
      <c r="A382" t="n">
        <v>381</v>
      </c>
      <c r="B382" t="inlineStr">
        <is>
          <t>A-5052__343</t>
        </is>
      </c>
      <c r="C382" s="1" t="n">
        <v>37.209853896</v>
      </c>
      <c r="D382" s="1" t="n">
        <v>-7.04134701979</v>
      </c>
      <c r="E382" s="3" t="n">
        <v>2</v>
      </c>
      <c r="F382" s="2" t="n">
        <v>2</v>
      </c>
      <c r="G382" s="4" t="n">
        <v>2</v>
      </c>
      <c r="H382" s="13" t="n"/>
      <c r="I382" s="15" t="n"/>
      <c r="J382" s="19" t="n">
        <v>2</v>
      </c>
      <c r="K382" s="2" t="inlineStr">
        <is>
          <t>marker_219_961656.png</t>
        </is>
      </c>
      <c r="L382" s="11">
        <f>HYPERLINK("2\0\" &amp; K382, "Ver Imagen")</f>
        <v/>
      </c>
      <c r="M382" t="inlineStr">
        <is>
          <t>Moda</t>
        </is>
      </c>
    </row>
    <row r="383">
      <c r="A383" t="n">
        <v>382</v>
      </c>
      <c r="B383" t="inlineStr">
        <is>
          <t>A-5052__345</t>
        </is>
      </c>
      <c r="C383" s="1" t="n">
        <v>37.2096779666</v>
      </c>
      <c r="D383" s="1" t="n">
        <v>-7.04088586639</v>
      </c>
      <c r="E383" s="3" t="n">
        <v>2</v>
      </c>
      <c r="F383" s="2" t="n">
        <v>2</v>
      </c>
      <c r="G383" s="4" t="n">
        <v>2</v>
      </c>
      <c r="H383" s="13" t="n"/>
      <c r="I383" s="15" t="n"/>
      <c r="J383" s="19" t="n">
        <v>2</v>
      </c>
      <c r="K383" s="2" t="inlineStr">
        <is>
          <t>marker_861_961676.png</t>
        </is>
      </c>
      <c r="L383" s="11">
        <f>HYPERLINK("2\0\" &amp; K383, "Ver Imagen")</f>
        <v/>
      </c>
      <c r="M383" t="inlineStr">
        <is>
          <t>Moda</t>
        </is>
      </c>
    </row>
    <row r="384">
      <c r="A384" t="n">
        <v>383</v>
      </c>
      <c r="B384" t="inlineStr">
        <is>
          <t>A-5052__347</t>
        </is>
      </c>
      <c r="C384" s="1" t="n">
        <v>37.2095244594</v>
      </c>
      <c r="D384" s="1" t="n">
        <v>-7.04047391424</v>
      </c>
      <c r="E384" s="3" t="n">
        <v>2</v>
      </c>
      <c r="F384" s="2" t="n">
        <v>2</v>
      </c>
      <c r="G384" s="4" t="n">
        <v>2</v>
      </c>
      <c r="H384" s="13" t="n"/>
      <c r="I384" s="15" t="n"/>
      <c r="J384" s="19" t="n">
        <v>2</v>
      </c>
      <c r="K384" s="2" t="inlineStr">
        <is>
          <t>marker_985_961714.png</t>
        </is>
      </c>
      <c r="L384" s="11">
        <f>HYPERLINK("2\0\" &amp; K384, "Ver Imagen")</f>
        <v/>
      </c>
      <c r="M384" t="inlineStr">
        <is>
          <t>Moda</t>
        </is>
      </c>
    </row>
    <row r="385">
      <c r="A385" t="n">
        <v>384</v>
      </c>
      <c r="B385" t="inlineStr">
        <is>
          <t>A-5052__420</t>
        </is>
      </c>
      <c r="C385" s="1" t="n">
        <v>37.20311067</v>
      </c>
      <c r="D385" s="1" t="n">
        <v>-7.02381001747</v>
      </c>
      <c r="E385" s="3" t="n">
        <v>2</v>
      </c>
      <c r="F385" s="2" t="n">
        <v>2</v>
      </c>
      <c r="G385" s="4" t="n">
        <v>2</v>
      </c>
      <c r="H385" s="13" t="n"/>
      <c r="I385" s="15" t="n"/>
      <c r="J385" s="19" t="n">
        <v>2</v>
      </c>
      <c r="K385" s="2" t="inlineStr">
        <is>
          <t>marker_837_962875.png</t>
        </is>
      </c>
      <c r="L385" s="11">
        <f>HYPERLINK("2\0\" &amp; K385, "Ver Imagen")</f>
        <v/>
      </c>
      <c r="M385" t="inlineStr">
        <is>
          <t>Moda</t>
        </is>
      </c>
    </row>
    <row r="386">
      <c r="A386" t="n">
        <v>385</v>
      </c>
      <c r="B386" t="inlineStr">
        <is>
          <t>A-5052__457</t>
        </is>
      </c>
      <c r="C386" s="1" t="n">
        <v>37.1998753303</v>
      </c>
      <c r="D386" s="1" t="n">
        <v>-7.01536193219</v>
      </c>
      <c r="E386" s="3" t="n">
        <v>2</v>
      </c>
      <c r="F386" s="2" t="n">
        <v>2</v>
      </c>
      <c r="G386" s="4" t="n">
        <v>2</v>
      </c>
      <c r="H386" s="13" t="n"/>
      <c r="I386" s="15" t="n"/>
      <c r="J386" s="19" t="n">
        <v>2</v>
      </c>
      <c r="K386" s="2" t="inlineStr">
        <is>
          <t>marker_730_963252.png</t>
        </is>
      </c>
      <c r="L386" s="11">
        <f>HYPERLINK("2\0\" &amp; K386, "Ver Imagen")</f>
        <v/>
      </c>
      <c r="M386" t="inlineStr">
        <is>
          <t>Moda</t>
        </is>
      </c>
    </row>
    <row r="387">
      <c r="A387" t="n">
        <v>386</v>
      </c>
      <c r="B387" t="inlineStr">
        <is>
          <t>A-5052__469</t>
        </is>
      </c>
      <c r="C387" s="1" t="n">
        <v>37.1988230341</v>
      </c>
      <c r="D387" s="1" t="n">
        <v>-7.01262495912</v>
      </c>
      <c r="E387" s="3" t="n">
        <v>2</v>
      </c>
      <c r="F387" s="2" t="n">
        <v>2</v>
      </c>
      <c r="G387" s="4" t="n">
        <v>2</v>
      </c>
      <c r="H387" s="13" t="n"/>
      <c r="I387" s="15" t="n"/>
      <c r="J387" s="19" t="n">
        <v>2</v>
      </c>
      <c r="K387" s="2" t="inlineStr">
        <is>
          <t>marker_977_963382.png</t>
        </is>
      </c>
      <c r="L387" s="11">
        <f>HYPERLINK("2\0\" &amp; K387, "Ver Imagen")</f>
        <v/>
      </c>
      <c r="M387" t="inlineStr">
        <is>
          <t>Moda</t>
        </is>
      </c>
    </row>
    <row r="388">
      <c r="A388" t="n">
        <v>387</v>
      </c>
      <c r="B388" t="inlineStr">
        <is>
          <t>A-5052__470</t>
        </is>
      </c>
      <c r="C388" s="1" t="n">
        <v>37.198737503</v>
      </c>
      <c r="D388" s="1" t="n">
        <v>-7.0124110669</v>
      </c>
      <c r="E388" s="3" t="n">
        <v>2</v>
      </c>
      <c r="F388" s="2" t="n">
        <v>2</v>
      </c>
      <c r="G388" s="4" t="n">
        <v>2</v>
      </c>
      <c r="H388" s="13" t="n"/>
      <c r="I388" s="15" t="n"/>
      <c r="J388" s="19" t="n">
        <v>2</v>
      </c>
      <c r="K388" s="2" t="inlineStr">
        <is>
          <t>marker_795_963390.png</t>
        </is>
      </c>
      <c r="L388" s="11">
        <f>HYPERLINK("2\0\" &amp; K388, "Ver Imagen")</f>
        <v/>
      </c>
      <c r="M388" t="inlineStr">
        <is>
          <t>Moda</t>
        </is>
      </c>
    </row>
    <row r="389">
      <c r="A389" t="n">
        <v>388</v>
      </c>
      <c r="B389" t="inlineStr">
        <is>
          <t>A-5052__472</t>
        </is>
      </c>
      <c r="C389" s="1" t="n">
        <v>37.1985579572</v>
      </c>
      <c r="D389" s="1" t="n">
        <v>-7.01194910985</v>
      </c>
      <c r="E389" s="3" t="n">
        <v>2</v>
      </c>
      <c r="F389" s="2" t="n">
        <v>2</v>
      </c>
      <c r="G389" s="4" t="n">
        <v>2</v>
      </c>
      <c r="H389" s="13" t="n"/>
      <c r="I389" s="15" t="n"/>
      <c r="J389" s="19" t="n">
        <v>2</v>
      </c>
      <c r="K389" s="2" t="inlineStr">
        <is>
          <t>marker_355_963408.png</t>
        </is>
      </c>
      <c r="L389" s="11">
        <f>HYPERLINK("2\0\" &amp; K389, "Ver Imagen")</f>
        <v/>
      </c>
      <c r="M389" t="inlineStr">
        <is>
          <t>Moda</t>
        </is>
      </c>
    </row>
    <row r="390">
      <c r="A390" t="n">
        <v>389</v>
      </c>
      <c r="B390" t="inlineStr">
        <is>
          <t>A-5052__473</t>
        </is>
      </c>
      <c r="C390" s="1" t="n">
        <v>37.1984690844</v>
      </c>
      <c r="D390" s="1" t="n">
        <v>-7.01171804037</v>
      </c>
      <c r="E390" s="3" t="n">
        <v>2</v>
      </c>
      <c r="F390" s="2" t="n">
        <v>2</v>
      </c>
      <c r="G390" s="4" t="n">
        <v>2</v>
      </c>
      <c r="H390" s="13" t="n"/>
      <c r="I390" s="15" t="n"/>
      <c r="J390" s="19" t="n">
        <v>2</v>
      </c>
      <c r="K390" s="2" t="inlineStr">
        <is>
          <t>marker_652_963422.png</t>
        </is>
      </c>
      <c r="L390" s="11">
        <f>HYPERLINK("2\0\" &amp; K390, "Ver Imagen")</f>
        <v/>
      </c>
      <c r="M390" t="inlineStr">
        <is>
          <t>Moda</t>
        </is>
      </c>
    </row>
    <row r="391">
      <c r="A391" t="n">
        <v>390</v>
      </c>
      <c r="B391" t="inlineStr">
        <is>
          <t>A-5052__477</t>
        </is>
      </c>
      <c r="C391" s="1" t="n">
        <v>37.1981065359</v>
      </c>
      <c r="D391" s="1" t="n">
        <v>-7.0107820947</v>
      </c>
      <c r="E391" s="3" t="n">
        <v>2</v>
      </c>
      <c r="F391" s="2" t="n">
        <v>2</v>
      </c>
      <c r="G391" s="4" t="n">
        <v>2</v>
      </c>
      <c r="H391" s="13" t="n"/>
      <c r="I391" s="15" t="n"/>
      <c r="J391" s="19" t="n">
        <v>2</v>
      </c>
      <c r="K391" s="2" t="inlineStr">
        <is>
          <t>marker_761_963459.png</t>
        </is>
      </c>
      <c r="L391" s="11">
        <f>HYPERLINK("2\0\" &amp; K391, "Ver Imagen")</f>
        <v/>
      </c>
      <c r="M391" t="inlineStr">
        <is>
          <t>Moda</t>
        </is>
      </c>
    </row>
    <row r="392">
      <c r="A392" t="n">
        <v>391</v>
      </c>
      <c r="B392" t="inlineStr">
        <is>
          <t>A-5052__482</t>
        </is>
      </c>
      <c r="C392" s="1" t="n">
        <v>37.1976828241</v>
      </c>
      <c r="D392" s="1" t="n">
        <v>-7.00968656361</v>
      </c>
      <c r="E392" s="3" t="n">
        <v>2</v>
      </c>
      <c r="F392" s="2" t="n">
        <v>2</v>
      </c>
      <c r="G392" s="4" t="n">
        <v>2</v>
      </c>
      <c r="H392" s="13" t="n"/>
      <c r="I392" s="15" t="n"/>
      <c r="J392" s="19" t="n">
        <v>2</v>
      </c>
      <c r="K392" s="2" t="inlineStr">
        <is>
          <t>marker_343_963512.png</t>
        </is>
      </c>
      <c r="L392" s="11">
        <f>HYPERLINK("2\0\" &amp; K392, "Ver Imagen")</f>
        <v/>
      </c>
      <c r="M392" t="inlineStr">
        <is>
          <t>Moda</t>
        </is>
      </c>
    </row>
    <row r="393">
      <c r="A393" t="n">
        <v>392</v>
      </c>
      <c r="B393" t="inlineStr">
        <is>
          <t>A-5052__484</t>
        </is>
      </c>
      <c r="C393" s="1" t="n">
        <v>37.1975057039</v>
      </c>
      <c r="D393" s="1" t="n">
        <v>-7.0091928487</v>
      </c>
      <c r="E393" s="3" t="n">
        <v>2</v>
      </c>
      <c r="F393" s="2" t="n">
        <v>2</v>
      </c>
      <c r="G393" s="4" t="n">
        <v>2</v>
      </c>
      <c r="H393" s="13" t="n"/>
      <c r="I393" s="15" t="n"/>
      <c r="J393" s="19" t="n">
        <v>2</v>
      </c>
      <c r="K393" s="2" t="inlineStr">
        <is>
          <t>marker_952_963532.png</t>
        </is>
      </c>
      <c r="L393" s="11">
        <f>HYPERLINK("2\0\" &amp; K393, "Ver Imagen")</f>
        <v/>
      </c>
      <c r="M393" t="inlineStr">
        <is>
          <t>Moda</t>
        </is>
      </c>
    </row>
    <row r="394">
      <c r="A394" t="n">
        <v>393</v>
      </c>
      <c r="B394" t="inlineStr">
        <is>
          <t>A-5052__490</t>
        </is>
      </c>
      <c r="C394" s="1" t="n">
        <v>37.1972787343</v>
      </c>
      <c r="D394" s="1" t="n">
        <v>-7.00772036934</v>
      </c>
      <c r="E394" s="3" t="n">
        <v>2</v>
      </c>
      <c r="F394" s="2" t="n">
        <v>2</v>
      </c>
      <c r="G394" s="4" t="n">
        <v>2</v>
      </c>
      <c r="H394" s="13" t="n"/>
      <c r="I394" s="15" t="n"/>
      <c r="J394" s="19" t="n">
        <v>2</v>
      </c>
      <c r="K394" s="2" t="inlineStr">
        <is>
          <t>marker_170_963589.png</t>
        </is>
      </c>
      <c r="L394" s="11">
        <f>HYPERLINK("2\0\" &amp; K394, "Ver Imagen")</f>
        <v/>
      </c>
      <c r="M394" t="inlineStr">
        <is>
          <t>Moda</t>
        </is>
      </c>
    </row>
    <row r="395">
      <c r="A395" t="n">
        <v>394</v>
      </c>
      <c r="B395" t="inlineStr">
        <is>
          <t>A-5052__491</t>
        </is>
      </c>
      <c r="C395" s="1" t="n">
        <v>37.197255701</v>
      </c>
      <c r="D395" s="1" t="n">
        <v>-7.00745893514</v>
      </c>
      <c r="E395" s="3" t="n">
        <v>2</v>
      </c>
      <c r="F395" s="2" t="n">
        <v>2</v>
      </c>
      <c r="G395" s="4" t="n">
        <v>2</v>
      </c>
      <c r="H395" s="13" t="n"/>
      <c r="I395" s="15" t="n"/>
      <c r="J395" s="19" t="n">
        <v>2</v>
      </c>
      <c r="K395" s="2" t="inlineStr">
        <is>
          <t>marker_236_963597.png</t>
        </is>
      </c>
      <c r="L395" s="11">
        <f>HYPERLINK("2\0\" &amp; K395, "Ver Imagen")</f>
        <v/>
      </c>
      <c r="M395" t="inlineStr">
        <is>
          <t>Moda</t>
        </is>
      </c>
    </row>
    <row r="396">
      <c r="A396" t="n">
        <v>395</v>
      </c>
      <c r="B396" t="inlineStr">
        <is>
          <t>A-5052__492</t>
        </is>
      </c>
      <c r="C396" s="1" t="n">
        <v>37.1972321064</v>
      </c>
      <c r="D396" s="1" t="n">
        <v>-7.00721039834</v>
      </c>
      <c r="E396" s="3" t="n">
        <v>2</v>
      </c>
      <c r="F396" s="2" t="n">
        <v>2</v>
      </c>
      <c r="G396" s="4" t="n">
        <v>2</v>
      </c>
      <c r="H396" s="13" t="n"/>
      <c r="I396" s="15" t="n"/>
      <c r="J396" s="19" t="n">
        <v>2</v>
      </c>
      <c r="K396" s="2" t="inlineStr">
        <is>
          <t>marker_754_963606.png</t>
        </is>
      </c>
      <c r="L396" s="11">
        <f>HYPERLINK("2\0\" &amp; K396, "Ver Imagen")</f>
        <v/>
      </c>
      <c r="M396" t="inlineStr">
        <is>
          <t>Moda</t>
        </is>
      </c>
    </row>
    <row r="397">
      <c r="A397" t="n">
        <v>396</v>
      </c>
      <c r="B397" t="inlineStr">
        <is>
          <t>A-5052__496</t>
        </is>
      </c>
      <c r="C397" s="1" t="n">
        <v>37.1971049624</v>
      </c>
      <c r="D397" s="1" t="n">
        <v>-7.00623753647</v>
      </c>
      <c r="E397" s="3" t="n">
        <v>2</v>
      </c>
      <c r="F397" s="2" t="n">
        <v>2</v>
      </c>
      <c r="G397" s="4" t="n">
        <v>2</v>
      </c>
      <c r="H397" s="13" t="n"/>
      <c r="I397" s="15" t="n"/>
      <c r="J397" s="19" t="n">
        <v>2</v>
      </c>
      <c r="K397" s="2" t="inlineStr">
        <is>
          <t>marker_118_963642.png</t>
        </is>
      </c>
      <c r="L397" s="11">
        <f>HYPERLINK("2\0\" &amp; K397, "Ver Imagen")</f>
        <v/>
      </c>
      <c r="M397" t="inlineStr">
        <is>
          <t>Moda</t>
        </is>
      </c>
    </row>
    <row r="398">
      <c r="A398" t="n">
        <v>397</v>
      </c>
      <c r="B398" t="inlineStr">
        <is>
          <t>A-5053__375</t>
        </is>
      </c>
      <c r="C398" s="1" t="n">
        <v>37.2874602768</v>
      </c>
      <c r="D398" s="1" t="n">
        <v>-7.14121038098</v>
      </c>
      <c r="E398" s="3" t="n">
        <v>2</v>
      </c>
      <c r="F398" s="2" t="n">
        <v>2</v>
      </c>
      <c r="G398" s="4" t="n">
        <v>2</v>
      </c>
      <c r="H398" s="13" t="n"/>
      <c r="I398" s="15" t="n"/>
      <c r="J398" s="19" t="n">
        <v>2</v>
      </c>
      <c r="K398" s="2" t="inlineStr">
        <is>
          <t>marker_113_963908.png</t>
        </is>
      </c>
      <c r="L398" s="11">
        <f>HYPERLINK("2\0\" &amp; K398, "Ver Imagen")</f>
        <v/>
      </c>
      <c r="M398" t="inlineStr">
        <is>
          <t>Moda</t>
        </is>
      </c>
    </row>
    <row r="399">
      <c r="A399" t="n">
        <v>398</v>
      </c>
      <c r="B399" t="inlineStr">
        <is>
          <t>A-5053__374</t>
        </is>
      </c>
      <c r="C399" s="1" t="n">
        <v>37.2872598744</v>
      </c>
      <c r="D399" s="1" t="n">
        <v>-7.14122270222</v>
      </c>
      <c r="E399" s="3" t="n">
        <v>2</v>
      </c>
      <c r="F399" s="2" t="n">
        <v>2</v>
      </c>
      <c r="G399" s="4" t="n">
        <v>2</v>
      </c>
      <c r="H399" s="13" t="n"/>
      <c r="I399" s="15" t="n"/>
      <c r="J399" s="19" t="n">
        <v>2</v>
      </c>
      <c r="K399" s="2" t="inlineStr">
        <is>
          <t>marker_702_963918.png</t>
        </is>
      </c>
      <c r="L399" s="11">
        <f>HYPERLINK("2\0\" &amp; K399, "Ver Imagen")</f>
        <v/>
      </c>
      <c r="M399" t="inlineStr">
        <is>
          <t>Moda</t>
        </is>
      </c>
    </row>
    <row r="400">
      <c r="A400" t="n">
        <v>399</v>
      </c>
      <c r="B400" t="inlineStr">
        <is>
          <t>A-5053__372</t>
        </is>
      </c>
      <c r="C400" s="1" t="n">
        <v>37.2868544604</v>
      </c>
      <c r="D400" s="1" t="n">
        <v>-7.14132494453</v>
      </c>
      <c r="E400" s="3" t="n">
        <v>2</v>
      </c>
      <c r="F400" s="2" t="n">
        <v>2</v>
      </c>
      <c r="G400" s="4" t="n">
        <v>2</v>
      </c>
      <c r="H400" s="13" t="n"/>
      <c r="I400" s="15" t="n"/>
      <c r="J400" s="19" t="n">
        <v>2</v>
      </c>
      <c r="K400" s="2" t="inlineStr">
        <is>
          <t>marker_552_963936.png</t>
        </is>
      </c>
      <c r="L400" s="11">
        <f>HYPERLINK("2\0\" &amp; K400, "Ver Imagen")</f>
        <v/>
      </c>
      <c r="M400" t="inlineStr">
        <is>
          <t>Moda</t>
        </is>
      </c>
    </row>
    <row r="401">
      <c r="A401" t="n">
        <v>400</v>
      </c>
      <c r="B401" t="inlineStr">
        <is>
          <t>A-5053__370</t>
        </is>
      </c>
      <c r="C401" s="1" t="n">
        <v>37.2864964625</v>
      </c>
      <c r="D401" s="1" t="n">
        <v>-7.14149633478</v>
      </c>
      <c r="E401" s="3" t="n">
        <v>2</v>
      </c>
      <c r="F401" s="2" t="n">
        <v>2</v>
      </c>
      <c r="G401" s="4" t="n">
        <v>2</v>
      </c>
      <c r="H401" s="13" t="n"/>
      <c r="I401" s="15" t="n"/>
      <c r="J401" s="19" t="n">
        <v>2</v>
      </c>
      <c r="K401" s="2" t="inlineStr">
        <is>
          <t>marker_546_963958.png</t>
        </is>
      </c>
      <c r="L401" s="11">
        <f>HYPERLINK("2\0\" &amp; K401, "Ver Imagen")</f>
        <v/>
      </c>
      <c r="M401" t="inlineStr">
        <is>
          <t>Moda</t>
        </is>
      </c>
    </row>
    <row r="402">
      <c r="A402" t="n">
        <v>401</v>
      </c>
      <c r="B402" t="inlineStr">
        <is>
          <t>A-5053__357</t>
        </is>
      </c>
      <c r="C402" s="1" t="n">
        <v>37.2843735271</v>
      </c>
      <c r="D402" s="1" t="n">
        <v>-7.14320895636</v>
      </c>
      <c r="E402" s="3" t="n">
        <v>2</v>
      </c>
      <c r="F402" s="2" t="n">
        <v>2</v>
      </c>
      <c r="G402" s="4" t="n">
        <v>2</v>
      </c>
      <c r="H402" s="13" t="n"/>
      <c r="I402" s="15" t="n"/>
      <c r="J402" s="19" t="n">
        <v>2</v>
      </c>
      <c r="K402" s="2" t="inlineStr">
        <is>
          <t>marker_154_964103.png</t>
        </is>
      </c>
      <c r="L402" s="11">
        <f>HYPERLINK("2\0\" &amp; K402, "Ver Imagen")</f>
        <v/>
      </c>
      <c r="M402" t="inlineStr">
        <is>
          <t>Moda</t>
        </is>
      </c>
    </row>
    <row r="403">
      <c r="A403" t="n">
        <v>402</v>
      </c>
      <c r="B403" t="inlineStr">
        <is>
          <t>A-5053__356</t>
        </is>
      </c>
      <c r="C403" s="1" t="n">
        <v>37.2841973642</v>
      </c>
      <c r="D403" s="1" t="n">
        <v>-7.14331837462</v>
      </c>
      <c r="E403" s="3" t="n">
        <v>2</v>
      </c>
      <c r="F403" s="2" t="n">
        <v>2</v>
      </c>
      <c r="G403" s="4" t="n">
        <v>2</v>
      </c>
      <c r="H403" s="13" t="n"/>
      <c r="I403" s="15" t="n"/>
      <c r="J403" s="19" t="n">
        <v>2</v>
      </c>
      <c r="K403" s="2" t="inlineStr">
        <is>
          <t>marker_611_964112.png</t>
        </is>
      </c>
      <c r="L403" s="11">
        <f>HYPERLINK("2\0\" &amp; K403, "Ver Imagen")</f>
        <v/>
      </c>
      <c r="M403" t="inlineStr">
        <is>
          <t>Moda</t>
        </is>
      </c>
    </row>
    <row r="404">
      <c r="A404" t="n">
        <v>403</v>
      </c>
      <c r="B404" t="inlineStr">
        <is>
          <t>A-5053__355</t>
        </is>
      </c>
      <c r="C404" s="1" t="n">
        <v>37.2840037426</v>
      </c>
      <c r="D404" s="1" t="n">
        <v>-7.14343604805</v>
      </c>
      <c r="E404" s="3" t="n">
        <v>2</v>
      </c>
      <c r="F404" s="2" t="n">
        <v>2</v>
      </c>
      <c r="G404" s="4" t="n">
        <v>2</v>
      </c>
      <c r="H404" s="13" t="n"/>
      <c r="I404" s="15" t="n"/>
      <c r="J404" s="19" t="n">
        <v>2</v>
      </c>
      <c r="K404" s="2" t="inlineStr">
        <is>
          <t>marker_816_964123.png</t>
        </is>
      </c>
      <c r="L404" s="11">
        <f>HYPERLINK("2\0\" &amp; K404, "Ver Imagen")</f>
        <v/>
      </c>
      <c r="M404" t="inlineStr">
        <is>
          <t>Moda</t>
        </is>
      </c>
    </row>
    <row r="405">
      <c r="A405" t="n">
        <v>404</v>
      </c>
      <c r="B405" t="inlineStr">
        <is>
          <t>A-5053__353</t>
        </is>
      </c>
      <c r="C405" s="1" t="n">
        <v>37.2836347323</v>
      </c>
      <c r="D405" s="1" t="n">
        <v>-7.14364064097</v>
      </c>
      <c r="E405" s="3" t="n">
        <v>2</v>
      </c>
      <c r="F405" s="2" t="n">
        <v>2</v>
      </c>
      <c r="G405" s="4" t="n">
        <v>2</v>
      </c>
      <c r="H405" s="13" t="n"/>
      <c r="I405" s="15" t="n"/>
      <c r="J405" s="19" t="n">
        <v>2</v>
      </c>
      <c r="K405" s="2" t="inlineStr">
        <is>
          <t>marker_672_964145.png</t>
        </is>
      </c>
      <c r="L405" s="11">
        <f>HYPERLINK("2\0\" &amp; K405, "Ver Imagen")</f>
        <v/>
      </c>
      <c r="M405" t="inlineStr">
        <is>
          <t>Moda</t>
        </is>
      </c>
    </row>
    <row r="406">
      <c r="A406" t="n">
        <v>405</v>
      </c>
      <c r="B406" t="inlineStr">
        <is>
          <t>A-5053__352</t>
        </is>
      </c>
      <c r="C406" s="1" t="n">
        <v>37.2834531997</v>
      </c>
      <c r="D406" s="1" t="n">
        <v>-7.14373112853</v>
      </c>
      <c r="E406" s="3" t="n">
        <v>2</v>
      </c>
      <c r="F406" s="2" t="n">
        <v>2</v>
      </c>
      <c r="G406" s="4" t="n">
        <v>2</v>
      </c>
      <c r="H406" s="13" t="n"/>
      <c r="I406" s="15" t="n"/>
      <c r="J406" s="19" t="n">
        <v>2</v>
      </c>
      <c r="K406" s="2" t="inlineStr">
        <is>
          <t>marker_189_964154.png</t>
        </is>
      </c>
      <c r="L406" s="11">
        <f>HYPERLINK("2\0\" &amp; K406, "Ver Imagen")</f>
        <v/>
      </c>
      <c r="M406" t="inlineStr">
        <is>
          <t>Moda</t>
        </is>
      </c>
    </row>
    <row r="407">
      <c r="A407" t="n">
        <v>406</v>
      </c>
      <c r="B407" t="inlineStr">
        <is>
          <t>A-5053__350</t>
        </is>
      </c>
      <c r="C407" s="1" t="n">
        <v>37.2830851964</v>
      </c>
      <c r="D407" s="1" t="n">
        <v>-7.14389718548</v>
      </c>
      <c r="E407" s="3" t="n">
        <v>2</v>
      </c>
      <c r="F407" s="2" t="n">
        <v>2</v>
      </c>
      <c r="G407" s="4" t="n">
        <v>2</v>
      </c>
      <c r="H407" s="13" t="n"/>
      <c r="I407" s="15" t="n"/>
      <c r="J407" s="19" t="n">
        <v>2</v>
      </c>
      <c r="K407" s="2" t="inlineStr">
        <is>
          <t>marker_878_964174.png</t>
        </is>
      </c>
      <c r="L407" s="11">
        <f>HYPERLINK("2\0\" &amp; K407, "Ver Imagen")</f>
        <v/>
      </c>
      <c r="M407" t="inlineStr">
        <is>
          <t>Moda</t>
        </is>
      </c>
    </row>
    <row r="408">
      <c r="A408" t="n">
        <v>407</v>
      </c>
      <c r="B408" t="inlineStr">
        <is>
          <t>A-5053__349</t>
        </is>
      </c>
      <c r="C408" s="1" t="n">
        <v>37.2828897493</v>
      </c>
      <c r="D408" s="1" t="n">
        <v>-7.14397668771</v>
      </c>
      <c r="E408" s="3" t="n">
        <v>2</v>
      </c>
      <c r="F408" s="2" t="n">
        <v>2</v>
      </c>
      <c r="G408" s="4" t="n">
        <v>2</v>
      </c>
      <c r="H408" s="13" t="n"/>
      <c r="I408" s="15" t="n"/>
      <c r="J408" s="19" t="n">
        <v>2</v>
      </c>
      <c r="K408" s="2" t="inlineStr">
        <is>
          <t>marker_643_964184.png</t>
        </is>
      </c>
      <c r="L408" s="11">
        <f>HYPERLINK("2\0\" &amp; K408, "Ver Imagen")</f>
        <v/>
      </c>
      <c r="M408" t="inlineStr">
        <is>
          <t>Moda</t>
        </is>
      </c>
    </row>
    <row r="409">
      <c r="A409" t="n">
        <v>408</v>
      </c>
      <c r="B409" t="inlineStr">
        <is>
          <t>A-5053__347</t>
        </is>
      </c>
      <c r="C409" s="1" t="n">
        <v>37.2824867555</v>
      </c>
      <c r="D409" s="1" t="n">
        <v>-7.1441391957</v>
      </c>
      <c r="E409" s="3" t="n">
        <v>2</v>
      </c>
      <c r="F409" s="2" t="n">
        <v>2</v>
      </c>
      <c r="G409" s="4" t="n">
        <v>2</v>
      </c>
      <c r="H409" s="13" t="n"/>
      <c r="I409" s="15" t="n"/>
      <c r="J409" s="19" t="n">
        <v>2</v>
      </c>
      <c r="K409" s="2" t="inlineStr">
        <is>
          <t>marker_916_964203.png</t>
        </is>
      </c>
      <c r="L409" s="11">
        <f>HYPERLINK("2\0\" &amp; K409, "Ver Imagen")</f>
        <v/>
      </c>
      <c r="M409" t="inlineStr">
        <is>
          <t>Moda</t>
        </is>
      </c>
    </row>
    <row r="410">
      <c r="A410" t="n">
        <v>409</v>
      </c>
      <c r="B410" t="inlineStr">
        <is>
          <t>A-5053__346</t>
        </is>
      </c>
      <c r="C410" s="1" t="n">
        <v>37.2823062192</v>
      </c>
      <c r="D410" s="1" t="n">
        <v>-7.14421226969</v>
      </c>
      <c r="E410" s="3" t="n">
        <v>2</v>
      </c>
      <c r="F410" s="2" t="n">
        <v>2</v>
      </c>
      <c r="G410" s="4" t="n">
        <v>2</v>
      </c>
      <c r="H410" s="13" t="n"/>
      <c r="I410" s="15" t="n"/>
      <c r="J410" s="19" t="n">
        <v>2</v>
      </c>
      <c r="K410" s="2" t="inlineStr">
        <is>
          <t>marker_484_964213.png</t>
        </is>
      </c>
      <c r="L410" s="11">
        <f>HYPERLINK("2\0\" &amp; K410, "Ver Imagen")</f>
        <v/>
      </c>
      <c r="M410" t="inlineStr">
        <is>
          <t>Moda</t>
        </is>
      </c>
    </row>
    <row r="411">
      <c r="A411" t="n">
        <v>410</v>
      </c>
      <c r="B411" t="inlineStr">
        <is>
          <t>A-5053__343</t>
        </is>
      </c>
      <c r="C411" s="1" t="n">
        <v>37.2817262166</v>
      </c>
      <c r="D411" s="1" t="n">
        <v>-7.14446389888</v>
      </c>
      <c r="E411" s="3" t="n">
        <v>2</v>
      </c>
      <c r="F411" s="2" t="n">
        <v>2</v>
      </c>
      <c r="G411" s="4" t="n">
        <v>2</v>
      </c>
      <c r="H411" s="13" t="n"/>
      <c r="I411" s="15" t="n"/>
      <c r="J411" s="19" t="n">
        <v>2</v>
      </c>
      <c r="K411" s="2" t="inlineStr">
        <is>
          <t>marker_392_964243.png</t>
        </is>
      </c>
      <c r="L411" s="11">
        <f>HYPERLINK("2\0\" &amp; K411, "Ver Imagen")</f>
        <v/>
      </c>
      <c r="M411" t="inlineStr">
        <is>
          <t>Moda</t>
        </is>
      </c>
    </row>
    <row r="412">
      <c r="A412" t="n">
        <v>411</v>
      </c>
      <c r="B412" t="inlineStr">
        <is>
          <t>A-5053__342</t>
        </is>
      </c>
      <c r="C412" s="1" t="n">
        <v>37.2815477542</v>
      </c>
      <c r="D412" s="1" t="n">
        <v>-7.14455403887</v>
      </c>
      <c r="E412" s="3" t="n">
        <v>2</v>
      </c>
      <c r="F412" s="2" t="n">
        <v>2</v>
      </c>
      <c r="G412" s="4" t="n">
        <v>2</v>
      </c>
      <c r="H412" s="13" t="n"/>
      <c r="I412" s="15" t="n"/>
      <c r="J412" s="19" t="n">
        <v>2</v>
      </c>
      <c r="K412" s="2" t="inlineStr">
        <is>
          <t>marker_868_964252.png</t>
        </is>
      </c>
      <c r="L412" s="11">
        <f>HYPERLINK("2\0\" &amp; K412, "Ver Imagen")</f>
        <v/>
      </c>
      <c r="M412" t="inlineStr">
        <is>
          <t>Moda</t>
        </is>
      </c>
    </row>
    <row r="413">
      <c r="A413" t="n">
        <v>412</v>
      </c>
      <c r="B413" t="inlineStr">
        <is>
          <t>A-5053__340</t>
        </is>
      </c>
      <c r="C413" s="1" t="n">
        <v>37.2811522849</v>
      </c>
      <c r="D413" s="1" t="n">
        <v>-7.1447825649</v>
      </c>
      <c r="E413" s="3" t="n">
        <v>2</v>
      </c>
      <c r="F413" s="2" t="n">
        <v>2</v>
      </c>
      <c r="G413" s="4" t="n">
        <v>2</v>
      </c>
      <c r="H413" s="13" t="n"/>
      <c r="I413" s="15" t="n"/>
      <c r="J413" s="19" t="n">
        <v>2</v>
      </c>
      <c r="K413" s="2" t="inlineStr">
        <is>
          <t>marker_912_964273.png</t>
        </is>
      </c>
      <c r="L413" s="11">
        <f>HYPERLINK("2\0\" &amp; K413, "Ver Imagen")</f>
        <v/>
      </c>
      <c r="M413" t="inlineStr">
        <is>
          <t>Moda</t>
        </is>
      </c>
    </row>
    <row r="414">
      <c r="A414" t="n">
        <v>413</v>
      </c>
      <c r="B414" t="inlineStr">
        <is>
          <t>A-5053__334</t>
        </is>
      </c>
      <c r="C414" s="1" t="n">
        <v>37.2801706014</v>
      </c>
      <c r="D414" s="1" t="n">
        <v>-7.14561329228</v>
      </c>
      <c r="E414" s="3" t="n">
        <v>2</v>
      </c>
      <c r="F414" s="2" t="n">
        <v>2</v>
      </c>
      <c r="G414" s="4" t="n">
        <v>2</v>
      </c>
      <c r="H414" s="13" t="n"/>
      <c r="I414" s="15" t="n"/>
      <c r="J414" s="19" t="n">
        <v>2</v>
      </c>
      <c r="K414" s="2" t="inlineStr">
        <is>
          <t>marker_825_964411.png</t>
        </is>
      </c>
      <c r="L414" s="11">
        <f>HYPERLINK("2\0\" &amp; K414, "Ver Imagen")</f>
        <v/>
      </c>
      <c r="M414" t="inlineStr">
        <is>
          <t>Moda</t>
        </is>
      </c>
    </row>
    <row r="415">
      <c r="A415" t="n">
        <v>414</v>
      </c>
      <c r="B415" t="inlineStr">
        <is>
          <t>A-5053__317</t>
        </is>
      </c>
      <c r="C415" s="1" t="n">
        <v>37.2775434651</v>
      </c>
      <c r="D415" s="1" t="n">
        <v>-7.14353014318</v>
      </c>
      <c r="E415" s="3" t="n">
        <v>2</v>
      </c>
      <c r="F415" s="2" t="n">
        <v>2</v>
      </c>
      <c r="G415" s="4" t="n">
        <v>2</v>
      </c>
      <c r="H415" s="13" t="n"/>
      <c r="I415" s="15" t="n"/>
      <c r="J415" s="19" t="n">
        <v>2</v>
      </c>
      <c r="K415" s="2" t="inlineStr">
        <is>
          <t>marker_954_964606.png</t>
        </is>
      </c>
      <c r="L415" s="11">
        <f>HYPERLINK("2\0\" &amp; K415, "Ver Imagen")</f>
        <v/>
      </c>
      <c r="M415" t="inlineStr">
        <is>
          <t>Moda</t>
        </is>
      </c>
    </row>
    <row r="416">
      <c r="A416" t="n">
        <v>415</v>
      </c>
      <c r="B416" t="inlineStr">
        <is>
          <t>A-5053__312</t>
        </is>
      </c>
      <c r="C416" s="1" t="n">
        <v>37.2766457878</v>
      </c>
      <c r="D416" s="1" t="n">
        <v>-7.1430983416</v>
      </c>
      <c r="E416" s="3" t="n">
        <v>2</v>
      </c>
      <c r="F416" s="2" t="n">
        <v>2</v>
      </c>
      <c r="G416" s="4" t="n">
        <v>2</v>
      </c>
      <c r="H416" s="13" t="n"/>
      <c r="I416" s="15" t="n"/>
      <c r="J416" s="19" t="n">
        <v>2</v>
      </c>
      <c r="K416" s="2" t="inlineStr">
        <is>
          <t>marker_221_964653.png</t>
        </is>
      </c>
      <c r="L416" s="11">
        <f>HYPERLINK("2\0\" &amp; K416, "Ver Imagen")</f>
        <v/>
      </c>
      <c r="M416" t="inlineStr">
        <is>
          <t>Moda</t>
        </is>
      </c>
    </row>
    <row r="417">
      <c r="A417" t="n">
        <v>416</v>
      </c>
      <c r="B417" t="inlineStr">
        <is>
          <t>A-5053__311</t>
        </is>
      </c>
      <c r="C417" s="1" t="n">
        <v>37.2764051704</v>
      </c>
      <c r="D417" s="1" t="n">
        <v>-7.14301967871</v>
      </c>
      <c r="E417" s="3" t="n">
        <v>2</v>
      </c>
      <c r="F417" s="2" t="n">
        <v>2</v>
      </c>
      <c r="G417" s="4" t="n">
        <v>2</v>
      </c>
      <c r="H417" s="13" t="n"/>
      <c r="I417" s="15" t="n"/>
      <c r="J417" s="19" t="n">
        <v>2</v>
      </c>
      <c r="K417" s="2" t="inlineStr">
        <is>
          <t>marker_814_964662.png</t>
        </is>
      </c>
      <c r="L417" s="11">
        <f>HYPERLINK("2\0\" &amp; K417, "Ver Imagen")</f>
        <v/>
      </c>
      <c r="M417" t="inlineStr">
        <is>
          <t>Moda</t>
        </is>
      </c>
    </row>
    <row r="418">
      <c r="A418" t="n">
        <v>417</v>
      </c>
      <c r="B418" t="inlineStr">
        <is>
          <t>A-5053__310</t>
        </is>
      </c>
      <c r="C418" s="1" t="n">
        <v>37.2762261293</v>
      </c>
      <c r="D418" s="1" t="n">
        <v>-7.14296833599</v>
      </c>
      <c r="E418" s="3" t="n">
        <v>2</v>
      </c>
      <c r="F418" s="2" t="n">
        <v>2</v>
      </c>
      <c r="G418" s="4" t="n">
        <v>2</v>
      </c>
      <c r="H418" s="13" t="n"/>
      <c r="I418" s="15" t="n"/>
      <c r="J418" s="19" t="n">
        <v>2</v>
      </c>
      <c r="K418" s="2" t="inlineStr">
        <is>
          <t>marker_131_964670.png</t>
        </is>
      </c>
      <c r="L418" s="11">
        <f>HYPERLINK("2\0\" &amp; K418, "Ver Imagen")</f>
        <v/>
      </c>
      <c r="M418" t="inlineStr">
        <is>
          <t>Moda</t>
        </is>
      </c>
    </row>
    <row r="419">
      <c r="A419" t="n">
        <v>418</v>
      </c>
      <c r="B419" t="inlineStr">
        <is>
          <t>A-5053__309</t>
        </is>
      </c>
      <c r="C419" s="1" t="n">
        <v>37.2760229734</v>
      </c>
      <c r="D419" s="1" t="n">
        <v>-7.1429136245</v>
      </c>
      <c r="E419" s="3" t="n">
        <v>2</v>
      </c>
      <c r="F419" s="2" t="n">
        <v>2</v>
      </c>
      <c r="G419" s="4" t="n">
        <v>2</v>
      </c>
      <c r="H419" s="13" t="n"/>
      <c r="I419" s="15" t="n"/>
      <c r="J419" s="19" t="n">
        <v>2</v>
      </c>
      <c r="K419" s="2" t="inlineStr">
        <is>
          <t>marker_686_964680.png</t>
        </is>
      </c>
      <c r="L419" s="11">
        <f>HYPERLINK("2\0\" &amp; K419, "Ver Imagen")</f>
        <v/>
      </c>
      <c r="M419" t="inlineStr">
        <is>
          <t>Moda</t>
        </is>
      </c>
    </row>
    <row r="420">
      <c r="A420" t="n">
        <v>419</v>
      </c>
      <c r="B420" t="inlineStr">
        <is>
          <t>A-5053__308</t>
        </is>
      </c>
      <c r="C420" s="1" t="n">
        <v>37.2758548593</v>
      </c>
      <c r="D420" s="1" t="n">
        <v>-7.14286939485</v>
      </c>
      <c r="E420" s="3" t="n">
        <v>2</v>
      </c>
      <c r="F420" s="2" t="n">
        <v>2</v>
      </c>
      <c r="G420" s="4" t="n">
        <v>2</v>
      </c>
      <c r="H420" s="13" t="n"/>
      <c r="I420" s="15" t="n"/>
      <c r="J420" s="19" t="n">
        <v>2</v>
      </c>
      <c r="K420" s="2" t="inlineStr">
        <is>
          <t>marker_472_964689.png</t>
        </is>
      </c>
      <c r="L420" s="11">
        <f>HYPERLINK("2\0\" &amp; K420, "Ver Imagen")</f>
        <v/>
      </c>
      <c r="M420" t="inlineStr">
        <is>
          <t>Moda</t>
        </is>
      </c>
    </row>
    <row r="421">
      <c r="A421" t="n">
        <v>420</v>
      </c>
      <c r="B421" t="inlineStr">
        <is>
          <t>A-5053__307</t>
        </is>
      </c>
      <c r="C421" s="1" t="n">
        <v>37.2756465164</v>
      </c>
      <c r="D421" s="1" t="n">
        <v>-7.14281543734</v>
      </c>
      <c r="E421" s="3" t="n">
        <v>2</v>
      </c>
      <c r="F421" s="2" t="n">
        <v>2</v>
      </c>
      <c r="G421" s="4" t="n">
        <v>2</v>
      </c>
      <c r="H421" s="13" t="n"/>
      <c r="I421" s="15" t="n"/>
      <c r="J421" s="19" t="n">
        <v>2</v>
      </c>
      <c r="K421" s="2" t="inlineStr">
        <is>
          <t>marker_723_964698.png</t>
        </is>
      </c>
      <c r="L421" s="11">
        <f>HYPERLINK("2\0\" &amp; K421, "Ver Imagen")</f>
        <v/>
      </c>
      <c r="M421" t="inlineStr">
        <is>
          <t>Moda</t>
        </is>
      </c>
    </row>
    <row r="422">
      <c r="A422" t="n">
        <v>421</v>
      </c>
      <c r="B422" t="inlineStr">
        <is>
          <t>A-5053__304</t>
        </is>
      </c>
      <c r="C422" s="1" t="n">
        <v>37.2750290216</v>
      </c>
      <c r="D422" s="1" t="n">
        <v>-7.14265266562</v>
      </c>
      <c r="E422" s="3" t="n">
        <v>2</v>
      </c>
      <c r="F422" s="2" t="n">
        <v>2</v>
      </c>
      <c r="G422" s="4" t="n">
        <v>2</v>
      </c>
      <c r="H422" s="13" t="n"/>
      <c r="I422" s="15" t="n"/>
      <c r="J422" s="19" t="n">
        <v>2</v>
      </c>
      <c r="K422" s="2" t="inlineStr">
        <is>
          <t>marker_348_964731.png</t>
        </is>
      </c>
      <c r="L422" s="11">
        <f>HYPERLINK("2\0\" &amp; K422, "Ver Imagen")</f>
        <v/>
      </c>
      <c r="M422" t="inlineStr">
        <is>
          <t>Moda</t>
        </is>
      </c>
    </row>
    <row r="423">
      <c r="A423" t="n">
        <v>422</v>
      </c>
      <c r="B423" t="inlineStr">
        <is>
          <t>A-5053__289</t>
        </is>
      </c>
      <c r="C423" s="1" t="n">
        <v>37.2722332853</v>
      </c>
      <c r="D423" s="1" t="n">
        <v>-7.1413302444</v>
      </c>
      <c r="E423" s="3" t="n">
        <v>2</v>
      </c>
      <c r="F423" s="2" t="n">
        <v>2</v>
      </c>
      <c r="G423" s="4" t="n">
        <v>2</v>
      </c>
      <c r="H423" s="13" t="n"/>
      <c r="I423" s="15" t="n"/>
      <c r="J423" s="19" t="n">
        <v>2</v>
      </c>
      <c r="K423" s="2" t="inlineStr">
        <is>
          <t>marker_705_964967.png</t>
        </is>
      </c>
      <c r="L423" s="11">
        <f>HYPERLINK("2\0\" &amp; K423, "Ver Imagen")</f>
        <v/>
      </c>
      <c r="M423" t="inlineStr">
        <is>
          <t>Moda</t>
        </is>
      </c>
    </row>
    <row r="424">
      <c r="A424" t="n">
        <v>423</v>
      </c>
      <c r="B424" t="inlineStr">
        <is>
          <t>A-5053__241</t>
        </is>
      </c>
      <c r="C424" s="1" t="n">
        <v>37.2659105985</v>
      </c>
      <c r="D424" s="1" t="n">
        <v>-7.13279459613</v>
      </c>
      <c r="E424" s="3" t="n">
        <v>2</v>
      </c>
      <c r="F424" s="2" t="n">
        <v>2</v>
      </c>
      <c r="G424" s="4" t="n">
        <v>2</v>
      </c>
      <c r="H424" s="13" t="n"/>
      <c r="I424" s="15" t="n"/>
      <c r="J424" s="19" t="n">
        <v>2</v>
      </c>
      <c r="K424" s="2" t="inlineStr">
        <is>
          <t>marker_493_965490.png</t>
        </is>
      </c>
      <c r="L424" s="11">
        <f>HYPERLINK("2\0\" &amp; K424, "Ver Imagen")</f>
        <v/>
      </c>
      <c r="M424" t="inlineStr">
        <is>
          <t>Moda</t>
        </is>
      </c>
    </row>
    <row r="425">
      <c r="A425" t="n">
        <v>424</v>
      </c>
      <c r="B425" t="inlineStr">
        <is>
          <t>A-5053__238</t>
        </is>
      </c>
      <c r="C425" s="1" t="n">
        <v>37.265382946</v>
      </c>
      <c r="D425" s="1" t="n">
        <v>-7.13246071192</v>
      </c>
      <c r="E425" s="3" t="n">
        <v>2</v>
      </c>
      <c r="F425" s="2" t="n">
        <v>2</v>
      </c>
      <c r="G425" s="4" t="n">
        <v>2</v>
      </c>
      <c r="H425" s="13" t="n"/>
      <c r="I425" s="15" t="n"/>
      <c r="J425" s="19" t="n">
        <v>2</v>
      </c>
      <c r="K425" s="2" t="inlineStr">
        <is>
          <t>marker_656_965518.png</t>
        </is>
      </c>
      <c r="L425" s="11">
        <f>HYPERLINK("2\0\" &amp; K425, "Ver Imagen")</f>
        <v/>
      </c>
      <c r="M425" t="inlineStr">
        <is>
          <t>Moda</t>
        </is>
      </c>
    </row>
    <row r="426">
      <c r="A426" t="n">
        <v>425</v>
      </c>
      <c r="B426" t="inlineStr">
        <is>
          <t>A-5053__232</t>
        </is>
      </c>
      <c r="C426" s="1" t="n">
        <v>37.2642980952</v>
      </c>
      <c r="D426" s="1" t="n">
        <v>-7.13178288359</v>
      </c>
      <c r="E426" s="3" t="n">
        <v>2</v>
      </c>
      <c r="F426" s="2" t="n">
        <v>2</v>
      </c>
      <c r="G426" s="4" t="n">
        <v>2</v>
      </c>
      <c r="H426" s="13" t="n"/>
      <c r="I426" s="15" t="n"/>
      <c r="J426" s="19" t="n">
        <v>2</v>
      </c>
      <c r="K426" s="2" t="inlineStr">
        <is>
          <t>marker_735_965576.png</t>
        </is>
      </c>
      <c r="L426" s="11">
        <f>HYPERLINK("2\0\" &amp; K426, "Ver Imagen")</f>
        <v/>
      </c>
      <c r="M426" t="inlineStr">
        <is>
          <t>Moda</t>
        </is>
      </c>
    </row>
    <row r="427">
      <c r="A427" t="n">
        <v>426</v>
      </c>
      <c r="B427" t="inlineStr">
        <is>
          <t>A-5053__228</t>
        </is>
      </c>
      <c r="C427" s="1" t="n">
        <v>37.2635950957</v>
      </c>
      <c r="D427" s="1" t="n">
        <v>-7.13134017392</v>
      </c>
      <c r="E427" s="3" t="n">
        <v>2</v>
      </c>
      <c r="F427" s="2" t="n">
        <v>2</v>
      </c>
      <c r="G427" s="4" t="n">
        <v>2</v>
      </c>
      <c r="H427" s="13" t="n"/>
      <c r="I427" s="15" t="n"/>
      <c r="J427" s="19" t="n">
        <v>2</v>
      </c>
      <c r="K427" s="2" t="inlineStr">
        <is>
          <t>marker_479_965611.png</t>
        </is>
      </c>
      <c r="L427" s="11">
        <f>HYPERLINK("2\0\" &amp; K427, "Ver Imagen")</f>
        <v/>
      </c>
      <c r="M427" t="inlineStr">
        <is>
          <t>Moda</t>
        </is>
      </c>
    </row>
    <row r="428">
      <c r="A428" t="n">
        <v>427</v>
      </c>
      <c r="B428" t="inlineStr">
        <is>
          <t>A-5053__226</t>
        </is>
      </c>
      <c r="C428" s="1" t="n">
        <v>37.2632441296</v>
      </c>
      <c r="D428" s="1" t="n">
        <v>-7.1311171315</v>
      </c>
      <c r="E428" s="3" t="n">
        <v>2</v>
      </c>
      <c r="F428" s="2" t="n">
        <v>2</v>
      </c>
      <c r="G428" s="4" t="n">
        <v>2</v>
      </c>
      <c r="H428" s="13" t="n"/>
      <c r="I428" s="15" t="n"/>
      <c r="J428" s="19" t="n">
        <v>2</v>
      </c>
      <c r="K428" s="2" t="inlineStr">
        <is>
          <t>marker_513_965637.png</t>
        </is>
      </c>
      <c r="L428" s="11">
        <f>HYPERLINK("2\0\" &amp; K428, "Ver Imagen")</f>
        <v/>
      </c>
      <c r="M428" t="inlineStr">
        <is>
          <t>Moda</t>
        </is>
      </c>
    </row>
    <row r="429">
      <c r="A429" t="n">
        <v>428</v>
      </c>
      <c r="B429" t="inlineStr">
        <is>
          <t>A-5053__225</t>
        </is>
      </c>
      <c r="C429" s="1" t="n">
        <v>37.2630347276</v>
      </c>
      <c r="D429" s="1" t="n">
        <v>-7.13098556477</v>
      </c>
      <c r="E429" s="3" t="n">
        <v>2</v>
      </c>
      <c r="F429" s="2" t="n">
        <v>2</v>
      </c>
      <c r="G429" s="4" t="n">
        <v>2</v>
      </c>
      <c r="H429" s="13" t="n"/>
      <c r="I429" s="15" t="n"/>
      <c r="J429" s="19" t="n">
        <v>2</v>
      </c>
      <c r="K429" s="2" t="inlineStr">
        <is>
          <t>marker_600_965646.png</t>
        </is>
      </c>
      <c r="L429" s="11">
        <f>HYPERLINK("2\0\" &amp; K429, "Ver Imagen")</f>
        <v/>
      </c>
      <c r="M429" t="inlineStr">
        <is>
          <t>Moda</t>
        </is>
      </c>
    </row>
    <row r="430">
      <c r="A430" t="n">
        <v>429</v>
      </c>
      <c r="B430" t="inlineStr">
        <is>
          <t>A-5053__202</t>
        </is>
      </c>
      <c r="C430" s="1" t="n">
        <v>37.2588865609</v>
      </c>
      <c r="D430" s="1" t="n">
        <v>-7.12838498143</v>
      </c>
      <c r="E430" s="3" t="n">
        <v>2</v>
      </c>
      <c r="F430" s="2" t="n">
        <v>2</v>
      </c>
      <c r="G430" s="4" t="n">
        <v>2</v>
      </c>
      <c r="H430" s="13" t="n"/>
      <c r="I430" s="15" t="n"/>
      <c r="J430" s="19" t="n">
        <v>2</v>
      </c>
      <c r="K430" s="2" t="inlineStr">
        <is>
          <t>marker_869_965868.png</t>
        </is>
      </c>
      <c r="L430" s="11">
        <f>HYPERLINK("2\0\" &amp; K430, "Ver Imagen")</f>
        <v/>
      </c>
      <c r="M430" t="inlineStr">
        <is>
          <t>Moda</t>
        </is>
      </c>
    </row>
    <row r="431">
      <c r="A431" t="n">
        <v>430</v>
      </c>
      <c r="B431" t="inlineStr">
        <is>
          <t>A-5053__200</t>
        </is>
      </c>
      <c r="C431" s="1" t="n">
        <v>37.2585148345</v>
      </c>
      <c r="D431" s="1" t="n">
        <v>-7.12814715836</v>
      </c>
      <c r="E431" s="3" t="n">
        <v>2</v>
      </c>
      <c r="F431" s="2" t="n">
        <v>2</v>
      </c>
      <c r="G431" s="4" t="n">
        <v>2</v>
      </c>
      <c r="H431" s="13" t="n"/>
      <c r="I431" s="15" t="n"/>
      <c r="J431" s="19" t="n">
        <v>2</v>
      </c>
      <c r="K431" s="2" t="inlineStr">
        <is>
          <t>marker_507_965884.png</t>
        </is>
      </c>
      <c r="L431" s="11">
        <f>HYPERLINK("2\0\" &amp; K431, "Ver Imagen")</f>
        <v/>
      </c>
      <c r="M431" t="inlineStr">
        <is>
          <t>Moda</t>
        </is>
      </c>
    </row>
    <row r="432">
      <c r="A432" t="n">
        <v>431</v>
      </c>
      <c r="B432" t="inlineStr">
        <is>
          <t>A-5053__198</t>
        </is>
      </c>
      <c r="C432" s="1" t="n">
        <v>37.2581698076</v>
      </c>
      <c r="D432" s="1" t="n">
        <v>-7.12792699872</v>
      </c>
      <c r="E432" s="3" t="n">
        <v>2</v>
      </c>
      <c r="F432" s="2" t="n">
        <v>2</v>
      </c>
      <c r="G432" s="4" t="n">
        <v>2</v>
      </c>
      <c r="H432" s="13" t="n"/>
      <c r="I432" s="15" t="n"/>
      <c r="J432" s="19" t="n">
        <v>2</v>
      </c>
      <c r="K432" s="2" t="inlineStr">
        <is>
          <t>marker_290_965902.png</t>
        </is>
      </c>
      <c r="L432" s="11">
        <f>HYPERLINK("2\0\" &amp; K432, "Ver Imagen")</f>
        <v/>
      </c>
      <c r="M432" t="inlineStr">
        <is>
          <t>Moda</t>
        </is>
      </c>
    </row>
    <row r="433">
      <c r="A433" t="n">
        <v>432</v>
      </c>
      <c r="B433" t="inlineStr">
        <is>
          <t>A-5053__196</t>
        </is>
      </c>
      <c r="C433" s="1" t="n">
        <v>37.2578076883</v>
      </c>
      <c r="D433" s="1" t="n">
        <v>-7.12769821338</v>
      </c>
      <c r="E433" s="3" t="n">
        <v>2</v>
      </c>
      <c r="F433" s="2" t="n">
        <v>2</v>
      </c>
      <c r="G433" s="4" t="n">
        <v>2</v>
      </c>
      <c r="H433" s="13" t="n"/>
      <c r="I433" s="15" t="n"/>
      <c r="J433" s="19" t="n">
        <v>2</v>
      </c>
      <c r="K433" s="2" t="inlineStr">
        <is>
          <t>marker_165_965931.png</t>
        </is>
      </c>
      <c r="L433" s="11">
        <f>HYPERLINK("2\0\" &amp; K433, "Ver Imagen")</f>
        <v/>
      </c>
      <c r="M433" t="inlineStr">
        <is>
          <t>Moda</t>
        </is>
      </c>
    </row>
    <row r="434">
      <c r="A434" t="n">
        <v>433</v>
      </c>
      <c r="B434" t="inlineStr">
        <is>
          <t>A-5053__195</t>
        </is>
      </c>
      <c r="C434" s="1" t="n">
        <v>37.2575957928</v>
      </c>
      <c r="D434" s="1" t="n">
        <v>-7.12756508846</v>
      </c>
      <c r="E434" s="3" t="n">
        <v>2</v>
      </c>
      <c r="F434" s="2" t="n">
        <v>2</v>
      </c>
      <c r="G434" s="4" t="n">
        <v>2</v>
      </c>
      <c r="H434" s="13" t="n"/>
      <c r="I434" s="15" t="n"/>
      <c r="J434" s="19" t="n">
        <v>2</v>
      </c>
      <c r="K434" s="2" t="inlineStr">
        <is>
          <t>marker_260_965941.png</t>
        </is>
      </c>
      <c r="L434" s="11">
        <f>HYPERLINK("2\0\" &amp; K434, "Ver Imagen")</f>
        <v/>
      </c>
      <c r="M434" t="inlineStr">
        <is>
          <t>Moda</t>
        </is>
      </c>
    </row>
    <row r="435">
      <c r="A435" t="n">
        <v>434</v>
      </c>
      <c r="B435" t="inlineStr">
        <is>
          <t>A-5053__194</t>
        </is>
      </c>
      <c r="C435" s="1" t="n">
        <v>37.2574553601</v>
      </c>
      <c r="D435" s="1" t="n">
        <v>-7.12747625637</v>
      </c>
      <c r="E435" s="3" t="n">
        <v>2</v>
      </c>
      <c r="F435" s="2" t="n">
        <v>2</v>
      </c>
      <c r="G435" s="4" t="n">
        <v>2</v>
      </c>
      <c r="H435" s="13" t="n"/>
      <c r="I435" s="15" t="n"/>
      <c r="J435" s="19" t="n">
        <v>2</v>
      </c>
      <c r="K435" s="2" t="inlineStr">
        <is>
          <t>marker_500_965949.png</t>
        </is>
      </c>
      <c r="L435" s="11">
        <f>HYPERLINK("2\0\" &amp; K435, "Ver Imagen")</f>
        <v/>
      </c>
      <c r="M435" t="inlineStr">
        <is>
          <t>Moda</t>
        </is>
      </c>
    </row>
    <row r="436">
      <c r="A436" t="n">
        <v>435</v>
      </c>
      <c r="B436" t="inlineStr">
        <is>
          <t>A-5053__193</t>
        </is>
      </c>
      <c r="C436" s="1" t="n">
        <v>37.2572645127</v>
      </c>
      <c r="D436" s="1" t="n">
        <v>-7.12735579956</v>
      </c>
      <c r="E436" s="3" t="n">
        <v>2</v>
      </c>
      <c r="F436" s="2" t="n">
        <v>2</v>
      </c>
      <c r="G436" s="4" t="n">
        <v>2</v>
      </c>
      <c r="H436" s="13" t="n"/>
      <c r="I436" s="15" t="n"/>
      <c r="J436" s="19" t="n">
        <v>2</v>
      </c>
      <c r="K436" s="2" t="inlineStr">
        <is>
          <t>marker_720_965957.png</t>
        </is>
      </c>
      <c r="L436" s="11">
        <f>HYPERLINK("2\0\" &amp; K436, "Ver Imagen")</f>
        <v/>
      </c>
      <c r="M436" t="inlineStr">
        <is>
          <t>Moda</t>
        </is>
      </c>
    </row>
    <row r="437">
      <c r="A437" t="n">
        <v>436</v>
      </c>
      <c r="B437" t="inlineStr">
        <is>
          <t>A-5053__192</t>
        </is>
      </c>
      <c r="C437" s="1" t="n">
        <v>37.2570975534</v>
      </c>
      <c r="D437" s="1" t="n">
        <v>-7.1272521368</v>
      </c>
      <c r="E437" s="3" t="n">
        <v>2</v>
      </c>
      <c r="F437" s="2" t="n">
        <v>2</v>
      </c>
      <c r="G437" s="4" t="n">
        <v>2</v>
      </c>
      <c r="H437" s="13" t="n"/>
      <c r="I437" s="15" t="n"/>
      <c r="J437" s="19" t="n">
        <v>2</v>
      </c>
      <c r="K437" s="2" t="inlineStr">
        <is>
          <t>marker_332_965967.png</t>
        </is>
      </c>
      <c r="L437" s="11">
        <f>HYPERLINK("2\0\" &amp; K437, "Ver Imagen")</f>
        <v/>
      </c>
      <c r="M437" t="inlineStr">
        <is>
          <t>Moda</t>
        </is>
      </c>
    </row>
    <row r="438">
      <c r="A438" t="n">
        <v>437</v>
      </c>
      <c r="B438" t="inlineStr">
        <is>
          <t>A-5053__191</t>
        </is>
      </c>
      <c r="C438" s="1" t="n">
        <v>37.2568985247</v>
      </c>
      <c r="D438" s="1" t="n">
        <v>-7.12713340138</v>
      </c>
      <c r="E438" s="3" t="n">
        <v>2</v>
      </c>
      <c r="F438" s="2" t="n">
        <v>2</v>
      </c>
      <c r="G438" s="4" t="n">
        <v>2</v>
      </c>
      <c r="H438" s="13" t="n"/>
      <c r="I438" s="15" t="n"/>
      <c r="J438" s="19" t="n">
        <v>2</v>
      </c>
      <c r="K438" s="2" t="inlineStr">
        <is>
          <t>marker_305_965975.png</t>
        </is>
      </c>
      <c r="L438" s="11">
        <f>HYPERLINK("2\0\" &amp; K438, "Ver Imagen")</f>
        <v/>
      </c>
      <c r="M438" t="inlineStr">
        <is>
          <t>Moda</t>
        </is>
      </c>
    </row>
    <row r="439">
      <c r="A439" t="n">
        <v>438</v>
      </c>
      <c r="B439" t="inlineStr">
        <is>
          <t>A-5053__190</t>
        </is>
      </c>
      <c r="C439" s="1" t="n">
        <v>37.2567073897</v>
      </c>
      <c r="D439" s="1" t="n">
        <v>-7.12702839723</v>
      </c>
      <c r="E439" s="3" t="n">
        <v>2</v>
      </c>
      <c r="F439" s="2" t="n">
        <v>2</v>
      </c>
      <c r="G439" s="4" t="n">
        <v>2</v>
      </c>
      <c r="H439" s="13" t="n"/>
      <c r="I439" s="15" t="n"/>
      <c r="J439" s="19" t="n">
        <v>2</v>
      </c>
      <c r="K439" s="2" t="inlineStr">
        <is>
          <t>marker_403_965986.png</t>
        </is>
      </c>
      <c r="L439" s="11">
        <f>HYPERLINK("2\0\" &amp; K439, "Ver Imagen")</f>
        <v/>
      </c>
      <c r="M439" t="inlineStr">
        <is>
          <t>Moda</t>
        </is>
      </c>
    </row>
    <row r="440">
      <c r="A440" t="n">
        <v>439</v>
      </c>
      <c r="B440" t="inlineStr">
        <is>
          <t>A-5053__189</t>
        </is>
      </c>
      <c r="C440" s="1" t="n">
        <v>37.2564811036</v>
      </c>
      <c r="D440" s="1" t="n">
        <v>-7.12691831712</v>
      </c>
      <c r="E440" s="3" t="n">
        <v>2</v>
      </c>
      <c r="F440" s="2" t="n">
        <v>2</v>
      </c>
      <c r="G440" s="4" t="n">
        <v>2</v>
      </c>
      <c r="H440" s="13" t="n"/>
      <c r="I440" s="15" t="n"/>
      <c r="J440" s="19" t="n">
        <v>2</v>
      </c>
      <c r="K440" s="2" t="inlineStr">
        <is>
          <t>marker_352_965996.png</t>
        </is>
      </c>
      <c r="L440" s="11">
        <f>HYPERLINK("2\0\" &amp; K440, "Ver Imagen")</f>
        <v/>
      </c>
      <c r="M440" t="inlineStr">
        <is>
          <t>Moda</t>
        </is>
      </c>
    </row>
    <row r="441">
      <c r="A441" t="n">
        <v>440</v>
      </c>
      <c r="B441" t="inlineStr">
        <is>
          <t>A-5053__188</t>
        </is>
      </c>
      <c r="C441" s="1" t="n">
        <v>37.2563147065</v>
      </c>
      <c r="D441" s="1" t="n">
        <v>-7.1268461712</v>
      </c>
      <c r="E441" s="3" t="n">
        <v>2</v>
      </c>
      <c r="F441" s="2" t="n">
        <v>2</v>
      </c>
      <c r="G441" s="4" t="n">
        <v>2</v>
      </c>
      <c r="H441" s="13" t="n"/>
      <c r="I441" s="15" t="n"/>
      <c r="J441" s="19" t="n">
        <v>2</v>
      </c>
      <c r="K441" s="2" t="inlineStr">
        <is>
          <t>marker_528_966005.png</t>
        </is>
      </c>
      <c r="L441" s="11">
        <f>HYPERLINK("2\0\" &amp; K441, "Ver Imagen")</f>
        <v/>
      </c>
      <c r="M441" t="inlineStr">
        <is>
          <t>Moda</t>
        </is>
      </c>
    </row>
    <row r="442">
      <c r="A442" t="n">
        <v>441</v>
      </c>
      <c r="B442" t="inlineStr">
        <is>
          <t>A-5053__187</t>
        </is>
      </c>
      <c r="C442" s="1" t="n">
        <v>37.2561424332</v>
      </c>
      <c r="D442" s="1" t="n">
        <v>-7.12677918591</v>
      </c>
      <c r="E442" s="3" t="n">
        <v>2</v>
      </c>
      <c r="F442" s="2" t="n">
        <v>2</v>
      </c>
      <c r="G442" s="4" t="n">
        <v>2</v>
      </c>
      <c r="H442" s="13" t="n"/>
      <c r="I442" s="15" t="n"/>
      <c r="J442" s="19" t="n">
        <v>2</v>
      </c>
      <c r="K442" s="2" t="inlineStr">
        <is>
          <t>marker_352_966017.png</t>
        </is>
      </c>
      <c r="L442" s="11">
        <f>HYPERLINK("2\0\" &amp; K442, "Ver Imagen")</f>
        <v/>
      </c>
      <c r="M442" t="inlineStr">
        <is>
          <t>Moda</t>
        </is>
      </c>
    </row>
    <row r="443">
      <c r="A443" t="n">
        <v>442</v>
      </c>
      <c r="B443" t="inlineStr">
        <is>
          <t>A-5053__186</t>
        </is>
      </c>
      <c r="C443" s="1" t="n">
        <v>37.2559179486</v>
      </c>
      <c r="D443" s="1" t="n">
        <v>-7.12670481717</v>
      </c>
      <c r="E443" s="3" t="n">
        <v>2</v>
      </c>
      <c r="F443" s="2" t="n">
        <v>2</v>
      </c>
      <c r="G443" s="4" t="n">
        <v>2</v>
      </c>
      <c r="H443" s="13" t="n"/>
      <c r="I443" s="15" t="n"/>
      <c r="J443" s="19" t="n">
        <v>2</v>
      </c>
      <c r="K443" s="2" t="inlineStr">
        <is>
          <t>marker_788_966031.png</t>
        </is>
      </c>
      <c r="L443" s="11">
        <f>HYPERLINK("2\0\" &amp; K443, "Ver Imagen")</f>
        <v/>
      </c>
      <c r="M443" t="inlineStr">
        <is>
          <t>Moda</t>
        </is>
      </c>
    </row>
    <row r="444">
      <c r="A444" t="n">
        <v>443</v>
      </c>
      <c r="B444" t="inlineStr">
        <is>
          <t>A-5053__185</t>
        </is>
      </c>
      <c r="C444" s="1" t="n">
        <v>37.2557504989</v>
      </c>
      <c r="D444" s="1" t="n">
        <v>-7.12665964054</v>
      </c>
      <c r="E444" s="3" t="n">
        <v>2</v>
      </c>
      <c r="F444" s="2" t="n">
        <v>2</v>
      </c>
      <c r="G444" s="4" t="n">
        <v>2</v>
      </c>
      <c r="H444" s="13" t="n"/>
      <c r="I444" s="15" t="n"/>
      <c r="J444" s="19" t="n">
        <v>2</v>
      </c>
      <c r="K444" s="2" t="inlineStr">
        <is>
          <t>marker_343_966040.png</t>
        </is>
      </c>
      <c r="L444" s="11">
        <f>HYPERLINK("2\0\" &amp; K444, "Ver Imagen")</f>
        <v/>
      </c>
      <c r="M444" t="inlineStr">
        <is>
          <t>Moda</t>
        </is>
      </c>
    </row>
    <row r="445">
      <c r="A445" t="n">
        <v>444</v>
      </c>
      <c r="B445" t="inlineStr">
        <is>
          <t>A-5053__184</t>
        </is>
      </c>
      <c r="C445" s="1" t="n">
        <v>37.2555414774</v>
      </c>
      <c r="D445" s="1" t="n">
        <v>-7.1266177918</v>
      </c>
      <c r="E445" s="3" t="n">
        <v>2</v>
      </c>
      <c r="F445" s="2" t="n">
        <v>2</v>
      </c>
      <c r="G445" s="4" t="n">
        <v>2</v>
      </c>
      <c r="H445" s="13" t="n"/>
      <c r="I445" s="15" t="n"/>
      <c r="J445" s="19" t="n">
        <v>2</v>
      </c>
      <c r="K445" s="2" t="inlineStr">
        <is>
          <t>marker_718_966050.png</t>
        </is>
      </c>
      <c r="L445" s="11">
        <f>HYPERLINK("2\0\" &amp; K445, "Ver Imagen")</f>
        <v/>
      </c>
      <c r="M445" t="inlineStr">
        <is>
          <t>Moda</t>
        </is>
      </c>
    </row>
    <row r="446">
      <c r="A446" t="n">
        <v>445</v>
      </c>
      <c r="B446" t="inlineStr">
        <is>
          <t>A-5053__183</t>
        </is>
      </c>
      <c r="C446" s="1" t="n">
        <v>37.2553743248</v>
      </c>
      <c r="D446" s="1" t="n">
        <v>-7.12659500204</v>
      </c>
      <c r="E446" s="3" t="n">
        <v>2</v>
      </c>
      <c r="F446" s="2" t="n">
        <v>2</v>
      </c>
      <c r="G446" s="4" t="n">
        <v>2</v>
      </c>
      <c r="H446" s="13" t="n"/>
      <c r="I446" s="15" t="n"/>
      <c r="J446" s="19" t="n">
        <v>2</v>
      </c>
      <c r="K446" s="2" t="inlineStr">
        <is>
          <t>marker_248_966061.png</t>
        </is>
      </c>
      <c r="L446" s="11">
        <f>HYPERLINK("2\0\" &amp; K446, "Ver Imagen")</f>
        <v/>
      </c>
      <c r="M446" t="inlineStr">
        <is>
          <t>Moda</t>
        </is>
      </c>
    </row>
    <row r="447">
      <c r="A447" t="n">
        <v>446</v>
      </c>
      <c r="B447" t="inlineStr">
        <is>
          <t>A-5053__182</t>
        </is>
      </c>
      <c r="C447" s="1" t="n">
        <v>37.2551595154</v>
      </c>
      <c r="D447" s="1" t="n">
        <v>-7.12657782862</v>
      </c>
      <c r="E447" s="3" t="n">
        <v>2</v>
      </c>
      <c r="F447" s="2" t="n">
        <v>2</v>
      </c>
      <c r="G447" s="4" t="n">
        <v>2</v>
      </c>
      <c r="H447" s="13" t="n"/>
      <c r="I447" s="15" t="n"/>
      <c r="J447" s="19" t="n">
        <v>2</v>
      </c>
      <c r="K447" s="2" t="inlineStr">
        <is>
          <t>marker_478_966070.png</t>
        </is>
      </c>
      <c r="L447" s="11">
        <f>HYPERLINK("2\0\" &amp; K447, "Ver Imagen")</f>
        <v/>
      </c>
      <c r="M447" t="inlineStr">
        <is>
          <t>Moda</t>
        </is>
      </c>
    </row>
    <row r="448">
      <c r="A448" t="n">
        <v>447</v>
      </c>
      <c r="B448" t="inlineStr">
        <is>
          <t>A-5053__181</t>
        </is>
      </c>
      <c r="C448" s="1" t="n">
        <v>37.254935169</v>
      </c>
      <c r="D448" s="1" t="n">
        <v>-7.1265747494</v>
      </c>
      <c r="E448" s="3" t="n">
        <v>2</v>
      </c>
      <c r="F448" s="2" t="n">
        <v>2</v>
      </c>
      <c r="G448" s="4" t="n">
        <v>2</v>
      </c>
      <c r="H448" s="13" t="n"/>
      <c r="I448" s="15" t="n"/>
      <c r="J448" s="19" t="n">
        <v>2</v>
      </c>
      <c r="K448" s="2" t="inlineStr">
        <is>
          <t>marker_555_966079.png</t>
        </is>
      </c>
      <c r="L448" s="11">
        <f>HYPERLINK("2\0\" &amp; K448, "Ver Imagen")</f>
        <v/>
      </c>
      <c r="M448" t="inlineStr">
        <is>
          <t>Moda</t>
        </is>
      </c>
    </row>
    <row r="449">
      <c r="A449" t="n">
        <v>448</v>
      </c>
      <c r="B449" t="inlineStr">
        <is>
          <t>A-5053__180</t>
        </is>
      </c>
      <c r="C449" s="1" t="n">
        <v>37.254754631</v>
      </c>
      <c r="D449" s="1" t="n">
        <v>-7.12658355974</v>
      </c>
      <c r="E449" s="3" t="n">
        <v>2</v>
      </c>
      <c r="F449" s="2" t="n">
        <v>2</v>
      </c>
      <c r="G449" s="4" t="n">
        <v>2</v>
      </c>
      <c r="H449" s="13" t="n"/>
      <c r="I449" s="15" t="n"/>
      <c r="J449" s="19" t="n">
        <v>2</v>
      </c>
      <c r="K449" s="2" t="inlineStr">
        <is>
          <t>marker_523_966089.png</t>
        </is>
      </c>
      <c r="L449" s="11">
        <f>HYPERLINK("2\0\" &amp; K449, "Ver Imagen")</f>
        <v/>
      </c>
      <c r="M449" t="inlineStr">
        <is>
          <t>Moda</t>
        </is>
      </c>
    </row>
    <row r="450">
      <c r="A450" t="n">
        <v>449</v>
      </c>
      <c r="B450" t="inlineStr">
        <is>
          <t>A-5053__179</t>
        </is>
      </c>
      <c r="C450" s="1" t="n">
        <v>37.2545491791</v>
      </c>
      <c r="D450" s="1" t="n">
        <v>-7.12660293983</v>
      </c>
      <c r="E450" s="3" t="n">
        <v>2</v>
      </c>
      <c r="F450" s="2" t="n">
        <v>2</v>
      </c>
      <c r="G450" s="4" t="n">
        <v>2</v>
      </c>
      <c r="H450" s="13" t="n"/>
      <c r="I450" s="15" t="n"/>
      <c r="J450" s="19" t="n">
        <v>2</v>
      </c>
      <c r="K450" s="2" t="inlineStr">
        <is>
          <t>marker_268_966099.png</t>
        </is>
      </c>
      <c r="L450" s="11">
        <f>HYPERLINK("2\0\" &amp; K450, "Ver Imagen")</f>
        <v/>
      </c>
      <c r="M450" t="inlineStr">
        <is>
          <t>Moda</t>
        </is>
      </c>
    </row>
    <row r="451">
      <c r="A451" t="n">
        <v>450</v>
      </c>
      <c r="B451" t="inlineStr">
        <is>
          <t>A-5053__177</t>
        </is>
      </c>
      <c r="C451" s="1" t="n">
        <v>37.2541133734</v>
      </c>
      <c r="D451" s="1" t="n">
        <v>-7.12665960972</v>
      </c>
      <c r="E451" s="3" t="n">
        <v>2</v>
      </c>
      <c r="F451" s="2" t="n">
        <v>2</v>
      </c>
      <c r="G451" s="4" t="n">
        <v>2</v>
      </c>
      <c r="H451" s="13" t="n"/>
      <c r="I451" s="15" t="n"/>
      <c r="J451" s="19" t="n">
        <v>2</v>
      </c>
      <c r="K451" s="2" t="inlineStr">
        <is>
          <t>marker_321_966119.png</t>
        </is>
      </c>
      <c r="L451" s="11">
        <f>HYPERLINK("2\0\" &amp; K451, "Ver Imagen")</f>
        <v/>
      </c>
      <c r="M451" t="inlineStr">
        <is>
          <t>Moda</t>
        </is>
      </c>
    </row>
    <row r="452">
      <c r="A452" t="n">
        <v>451</v>
      </c>
      <c r="B452" t="inlineStr">
        <is>
          <t>A-5053__176</t>
        </is>
      </c>
      <c r="C452" s="1" t="n">
        <v>37.253922476</v>
      </c>
      <c r="D452" s="1" t="n">
        <v>-7.12668720837</v>
      </c>
      <c r="E452" s="3" t="n">
        <v>2</v>
      </c>
      <c r="F452" s="2" t="n">
        <v>2</v>
      </c>
      <c r="G452" s="4" t="n">
        <v>2</v>
      </c>
      <c r="H452" s="13" t="n"/>
      <c r="I452" s="15" t="n"/>
      <c r="J452" s="19" t="n">
        <v>2</v>
      </c>
      <c r="K452" s="2" t="inlineStr">
        <is>
          <t>marker_298_966128.png</t>
        </is>
      </c>
      <c r="L452" s="11">
        <f>HYPERLINK("2\0\" &amp; K452, "Ver Imagen")</f>
        <v/>
      </c>
      <c r="M452" t="inlineStr">
        <is>
          <t>Moda</t>
        </is>
      </c>
    </row>
    <row r="453">
      <c r="A453" t="n">
        <v>452</v>
      </c>
      <c r="B453" t="inlineStr">
        <is>
          <t>A-5053__175</t>
        </is>
      </c>
      <c r="C453" s="1" t="n">
        <v>37.2537585716</v>
      </c>
      <c r="D453" s="1" t="n">
        <v>-7.12671117421</v>
      </c>
      <c r="E453" s="3" t="n">
        <v>2</v>
      </c>
      <c r="F453" s="2" t="n">
        <v>2</v>
      </c>
      <c r="G453" s="4" t="n">
        <v>2</v>
      </c>
      <c r="H453" s="13" t="n"/>
      <c r="I453" s="15" t="n"/>
      <c r="J453" s="19" t="n">
        <v>2</v>
      </c>
      <c r="K453" s="2" t="inlineStr">
        <is>
          <t>marker_339_966143.png</t>
        </is>
      </c>
      <c r="L453" s="11">
        <f>HYPERLINK("2\0\" &amp; K453, "Ver Imagen")</f>
        <v/>
      </c>
      <c r="M453" t="inlineStr">
        <is>
          <t>Moda</t>
        </is>
      </c>
    </row>
    <row r="454">
      <c r="A454" t="n">
        <v>453</v>
      </c>
      <c r="B454" t="inlineStr">
        <is>
          <t>A-5053__173</t>
        </is>
      </c>
      <c r="C454" s="1" t="n">
        <v>37.253339343</v>
      </c>
      <c r="D454" s="1" t="n">
        <v>-7.12677342987</v>
      </c>
      <c r="E454" s="3" t="n">
        <v>2</v>
      </c>
      <c r="F454" s="2" t="n">
        <v>2</v>
      </c>
      <c r="G454" s="4" t="n">
        <v>2</v>
      </c>
      <c r="H454" s="13" t="n"/>
      <c r="I454" s="15" t="n"/>
      <c r="J454" s="19" t="n">
        <v>2</v>
      </c>
      <c r="K454" s="2" t="inlineStr">
        <is>
          <t>marker_929_966160.png</t>
        </is>
      </c>
      <c r="L454" s="11">
        <f>HYPERLINK("2\0\" &amp; K454, "Ver Imagen")</f>
        <v/>
      </c>
      <c r="M454" t="inlineStr">
        <is>
          <t>Moda</t>
        </is>
      </c>
    </row>
    <row r="455">
      <c r="A455" t="n">
        <v>454</v>
      </c>
      <c r="B455" t="inlineStr">
        <is>
          <t>A-5053__172</t>
        </is>
      </c>
      <c r="C455" s="1" t="n">
        <v>37.253121652</v>
      </c>
      <c r="D455" s="1" t="n">
        <v>-7.12680723642</v>
      </c>
      <c r="E455" s="3" t="n">
        <v>2</v>
      </c>
      <c r="F455" s="2" t="n">
        <v>2</v>
      </c>
      <c r="G455" s="4" t="n">
        <v>2</v>
      </c>
      <c r="H455" s="13" t="n"/>
      <c r="I455" s="15" t="n"/>
      <c r="J455" s="19" t="n">
        <v>2</v>
      </c>
      <c r="K455" s="2" t="inlineStr">
        <is>
          <t>marker_209_966169.png</t>
        </is>
      </c>
      <c r="L455" s="11">
        <f>HYPERLINK("2\0\" &amp; K455, "Ver Imagen")</f>
        <v/>
      </c>
      <c r="M455" t="inlineStr">
        <is>
          <t>Moda</t>
        </is>
      </c>
    </row>
    <row r="456">
      <c r="A456" t="n">
        <v>455</v>
      </c>
      <c r="B456" t="inlineStr">
        <is>
          <t>A-5053__171</t>
        </is>
      </c>
      <c r="C456" s="1" t="n">
        <v>37.2529046029</v>
      </c>
      <c r="D456" s="1" t="n">
        <v>-7.1268418021</v>
      </c>
      <c r="E456" s="3" t="n">
        <v>2</v>
      </c>
      <c r="F456" s="2" t="n">
        <v>2</v>
      </c>
      <c r="G456" s="4" t="n">
        <v>2</v>
      </c>
      <c r="H456" s="13" t="n"/>
      <c r="I456" s="15" t="n"/>
      <c r="J456" s="19" t="n">
        <v>2</v>
      </c>
      <c r="K456" s="2" t="inlineStr">
        <is>
          <t>marker_622_966178.png</t>
        </is>
      </c>
      <c r="L456" s="11">
        <f>HYPERLINK("2\0\" &amp; K456, "Ver Imagen")</f>
        <v/>
      </c>
      <c r="M456" t="inlineStr">
        <is>
          <t>Moda</t>
        </is>
      </c>
    </row>
    <row r="457">
      <c r="A457" t="n">
        <v>456</v>
      </c>
      <c r="B457" t="inlineStr">
        <is>
          <t>A-5053__170</t>
        </is>
      </c>
      <c r="C457" s="1" t="n">
        <v>37.2527289633</v>
      </c>
      <c r="D457" s="1" t="n">
        <v>-7.12686942943</v>
      </c>
      <c r="E457" s="3" t="n">
        <v>2</v>
      </c>
      <c r="F457" s="2" t="n">
        <v>2</v>
      </c>
      <c r="G457" s="4" t="n">
        <v>2</v>
      </c>
      <c r="H457" s="13" t="n"/>
      <c r="I457" s="15" t="n"/>
      <c r="J457" s="19" t="n">
        <v>2</v>
      </c>
      <c r="K457" s="2" t="inlineStr">
        <is>
          <t>marker_576_966187.png</t>
        </is>
      </c>
      <c r="L457" s="11">
        <f>HYPERLINK("2\0\" &amp; K457, "Ver Imagen")</f>
        <v/>
      </c>
      <c r="M457" t="inlineStr">
        <is>
          <t>Moda</t>
        </is>
      </c>
    </row>
    <row r="458">
      <c r="A458" t="n">
        <v>457</v>
      </c>
      <c r="B458" t="inlineStr">
        <is>
          <t>A-5053__169</t>
        </is>
      </c>
      <c r="C458" s="1" t="n">
        <v>37.2525588788</v>
      </c>
      <c r="D458" s="1" t="n">
        <v>-7.12689534229</v>
      </c>
      <c r="E458" s="3" t="n">
        <v>2</v>
      </c>
      <c r="F458" s="2" t="n">
        <v>2</v>
      </c>
      <c r="G458" s="4" t="n">
        <v>2</v>
      </c>
      <c r="H458" s="13" t="n"/>
      <c r="I458" s="15" t="n"/>
      <c r="J458" s="19" t="n">
        <v>2</v>
      </c>
      <c r="K458" s="2" t="inlineStr">
        <is>
          <t>marker_288_966197.png</t>
        </is>
      </c>
      <c r="L458" s="11">
        <f>HYPERLINK("2\0\" &amp; K458, "Ver Imagen")</f>
        <v/>
      </c>
      <c r="M458" t="inlineStr">
        <is>
          <t>Moda</t>
        </is>
      </c>
    </row>
    <row r="459">
      <c r="A459" t="n">
        <v>458</v>
      </c>
      <c r="B459" t="inlineStr">
        <is>
          <t>A-5053__168</t>
        </is>
      </c>
      <c r="C459" s="1" t="n">
        <v>37.2523334219</v>
      </c>
      <c r="D459" s="1" t="n">
        <v>-7.12692899232</v>
      </c>
      <c r="E459" s="3" t="n">
        <v>2</v>
      </c>
      <c r="F459" s="2" t="n">
        <v>2</v>
      </c>
      <c r="G459" s="4" t="n">
        <v>2</v>
      </c>
      <c r="H459" s="13" t="n"/>
      <c r="I459" s="15" t="n"/>
      <c r="J459" s="19" t="n">
        <v>2</v>
      </c>
      <c r="K459" s="2" t="inlineStr">
        <is>
          <t>marker_714_966206.png</t>
        </is>
      </c>
      <c r="L459" s="11">
        <f>HYPERLINK("2\0\" &amp; K459, "Ver Imagen")</f>
        <v/>
      </c>
      <c r="M459" t="inlineStr">
        <is>
          <t>Moda</t>
        </is>
      </c>
    </row>
    <row r="460">
      <c r="A460" t="n">
        <v>459</v>
      </c>
      <c r="B460" t="inlineStr">
        <is>
          <t>A-5053__167</t>
        </is>
      </c>
      <c r="C460" s="1" t="n">
        <v>37.2521218754</v>
      </c>
      <c r="D460" s="1" t="n">
        <v>-7.12696015101</v>
      </c>
      <c r="E460" s="3" t="n">
        <v>2</v>
      </c>
      <c r="F460" s="2" t="n">
        <v>2</v>
      </c>
      <c r="G460" s="4" t="n">
        <v>2</v>
      </c>
      <c r="H460" s="13" t="n"/>
      <c r="I460" s="15" t="n"/>
      <c r="J460" s="19" t="n">
        <v>2</v>
      </c>
      <c r="K460" s="2" t="inlineStr">
        <is>
          <t>marker_781_966221.png</t>
        </is>
      </c>
      <c r="L460" s="11">
        <f>HYPERLINK("2\0\" &amp; K460, "Ver Imagen")</f>
        <v/>
      </c>
      <c r="M460" t="inlineStr">
        <is>
          <t>Moda</t>
        </is>
      </c>
    </row>
    <row r="461">
      <c r="A461" t="n">
        <v>460</v>
      </c>
      <c r="B461" t="inlineStr">
        <is>
          <t>A-5053__166</t>
        </is>
      </c>
      <c r="C461" s="1" t="n">
        <v>37.2519070597</v>
      </c>
      <c r="D461" s="1" t="n">
        <v>-7.12699199881</v>
      </c>
      <c r="E461" s="3" t="n">
        <v>2</v>
      </c>
      <c r="F461" s="2" t="n">
        <v>2</v>
      </c>
      <c r="G461" s="4" t="n">
        <v>2</v>
      </c>
      <c r="H461" s="13" t="n"/>
      <c r="I461" s="15" t="n"/>
      <c r="J461" s="19" t="n">
        <v>2</v>
      </c>
      <c r="K461" s="2" t="inlineStr">
        <is>
          <t>marker_463_966231.png</t>
        </is>
      </c>
      <c r="L461" s="11">
        <f>HYPERLINK("2\0\" &amp; K461, "Ver Imagen")</f>
        <v/>
      </c>
      <c r="M461" t="inlineStr">
        <is>
          <t>Moda</t>
        </is>
      </c>
    </row>
    <row r="462">
      <c r="A462" t="n">
        <v>461</v>
      </c>
      <c r="B462" t="inlineStr">
        <is>
          <t>A-5053__164</t>
        </is>
      </c>
      <c r="C462" s="1" t="n">
        <v>37.2515579653</v>
      </c>
      <c r="D462" s="1" t="n">
        <v>-7.12704561918</v>
      </c>
      <c r="E462" s="3" t="n">
        <v>2</v>
      </c>
      <c r="F462" s="2" t="n">
        <v>2</v>
      </c>
      <c r="G462" s="4" t="n">
        <v>2</v>
      </c>
      <c r="H462" s="13" t="n"/>
      <c r="I462" s="15" t="n"/>
      <c r="J462" s="19" t="n">
        <v>2</v>
      </c>
      <c r="K462" s="2" t="inlineStr">
        <is>
          <t>marker_910_966248.png</t>
        </is>
      </c>
      <c r="L462" s="11">
        <f>HYPERLINK("2\0\" &amp; K462, "Ver Imagen")</f>
        <v/>
      </c>
      <c r="M462" t="inlineStr">
        <is>
          <t>Moda</t>
        </is>
      </c>
    </row>
    <row r="463">
      <c r="A463" t="n">
        <v>462</v>
      </c>
      <c r="B463" t="inlineStr">
        <is>
          <t>A-5053__163</t>
        </is>
      </c>
      <c r="C463" s="1" t="n">
        <v>37.2513383126</v>
      </c>
      <c r="D463" s="1" t="n">
        <v>-7.12707881397</v>
      </c>
      <c r="E463" s="3" t="n">
        <v>2</v>
      </c>
      <c r="F463" s="2" t="n">
        <v>2</v>
      </c>
      <c r="G463" s="4" t="n">
        <v>2</v>
      </c>
      <c r="H463" s="13" t="n"/>
      <c r="I463" s="15" t="n"/>
      <c r="J463" s="19" t="n">
        <v>2</v>
      </c>
      <c r="K463" s="2" t="inlineStr">
        <is>
          <t>marker_112_966257.png</t>
        </is>
      </c>
      <c r="L463" s="11">
        <f>HYPERLINK("2\0\" &amp; K463, "Ver Imagen")</f>
        <v/>
      </c>
      <c r="M463" t="inlineStr">
        <is>
          <t>Moda</t>
        </is>
      </c>
    </row>
    <row r="464">
      <c r="A464" t="n">
        <v>463</v>
      </c>
      <c r="B464" t="inlineStr">
        <is>
          <t>A-5053__162</t>
        </is>
      </c>
      <c r="C464" s="1" t="n">
        <v>37.2511213843</v>
      </c>
      <c r="D464" s="1" t="n">
        <v>-7.12711075535</v>
      </c>
      <c r="E464" s="3" t="n">
        <v>2</v>
      </c>
      <c r="F464" s="2" t="n">
        <v>2</v>
      </c>
      <c r="G464" s="4" t="n">
        <v>2</v>
      </c>
      <c r="H464" s="13" t="n"/>
      <c r="I464" s="15" t="n"/>
      <c r="J464" s="19" t="n">
        <v>2</v>
      </c>
      <c r="K464" s="2" t="inlineStr">
        <is>
          <t>marker_400_966267.png</t>
        </is>
      </c>
      <c r="L464" s="11">
        <f>HYPERLINK("2\0\" &amp; K464, "Ver Imagen")</f>
        <v/>
      </c>
      <c r="M464" t="inlineStr">
        <is>
          <t>Moda</t>
        </is>
      </c>
    </row>
    <row r="465">
      <c r="A465" t="n">
        <v>464</v>
      </c>
      <c r="B465" t="inlineStr">
        <is>
          <t>A-5053__161</t>
        </is>
      </c>
      <c r="C465" s="1" t="n">
        <v>37.2509019479</v>
      </c>
      <c r="D465" s="1" t="n">
        <v>-7.12714303236</v>
      </c>
      <c r="E465" s="3" t="n">
        <v>2</v>
      </c>
      <c r="F465" s="2" t="n">
        <v>2</v>
      </c>
      <c r="G465" s="4" t="n">
        <v>2</v>
      </c>
      <c r="H465" s="13" t="n"/>
      <c r="I465" s="15" t="n"/>
      <c r="J465" s="19" t="n">
        <v>2</v>
      </c>
      <c r="K465" s="2" t="inlineStr">
        <is>
          <t>marker_254_966278.png</t>
        </is>
      </c>
      <c r="L465" s="11">
        <f>HYPERLINK("2\0\" &amp; K465, "Ver Imagen")</f>
        <v/>
      </c>
      <c r="M465" t="inlineStr">
        <is>
          <t>Moda</t>
        </is>
      </c>
    </row>
    <row r="466">
      <c r="A466" t="n">
        <v>465</v>
      </c>
      <c r="B466" t="inlineStr">
        <is>
          <t>A-5053__160</t>
        </is>
      </c>
      <c r="C466" s="1" t="n">
        <v>37.2506977829</v>
      </c>
      <c r="D466" s="1" t="n">
        <v>-7.12717355185</v>
      </c>
      <c r="E466" s="3" t="n">
        <v>2</v>
      </c>
      <c r="F466" s="2" t="n">
        <v>2</v>
      </c>
      <c r="G466" s="4" t="n">
        <v>2</v>
      </c>
      <c r="H466" s="13" t="n"/>
      <c r="I466" s="15" t="n"/>
      <c r="J466" s="19" t="n">
        <v>2</v>
      </c>
      <c r="K466" s="2" t="inlineStr">
        <is>
          <t>marker_767_966286.png</t>
        </is>
      </c>
      <c r="L466" s="11">
        <f>HYPERLINK("2\0\" &amp; K466, "Ver Imagen")</f>
        <v/>
      </c>
      <c r="M466" t="inlineStr">
        <is>
          <t>Moda</t>
        </is>
      </c>
    </row>
    <row r="467">
      <c r="A467" t="n">
        <v>466</v>
      </c>
      <c r="B467" t="inlineStr">
        <is>
          <t>A-5053__158</t>
        </is>
      </c>
      <c r="C467" s="1" t="n">
        <v>37.2502904975</v>
      </c>
      <c r="D467" s="1" t="n">
        <v>-7.12723470609</v>
      </c>
      <c r="E467" s="3" t="n">
        <v>2</v>
      </c>
      <c r="F467" s="2" t="n">
        <v>2</v>
      </c>
      <c r="G467" s="4" t="n">
        <v>2</v>
      </c>
      <c r="H467" s="13" t="n"/>
      <c r="I467" s="15" t="n"/>
      <c r="J467" s="19" t="n">
        <v>2</v>
      </c>
      <c r="K467" s="2" t="inlineStr">
        <is>
          <t>marker_616_966304.png</t>
        </is>
      </c>
      <c r="L467" s="11">
        <f>HYPERLINK("2\0\" &amp; K467, "Ver Imagen")</f>
        <v/>
      </c>
      <c r="M467" t="inlineStr">
        <is>
          <t>Moda</t>
        </is>
      </c>
    </row>
    <row r="468">
      <c r="A468" t="n">
        <v>467</v>
      </c>
      <c r="B468" t="inlineStr">
        <is>
          <t>A-5053__155</t>
        </is>
      </c>
      <c r="C468" s="1" t="n">
        <v>37.2497011534</v>
      </c>
      <c r="D468" s="1" t="n">
        <v>-7.12732583037</v>
      </c>
      <c r="E468" s="3" t="n">
        <v>2</v>
      </c>
      <c r="F468" s="2" t="n">
        <v>2</v>
      </c>
      <c r="G468" s="4" t="n">
        <v>2</v>
      </c>
      <c r="H468" s="13" t="n"/>
      <c r="I468" s="15" t="n"/>
      <c r="J468" s="19" t="n">
        <v>2</v>
      </c>
      <c r="K468" s="2" t="inlineStr">
        <is>
          <t>marker_438_966332.png</t>
        </is>
      </c>
      <c r="L468" s="11">
        <f>HYPERLINK("2\0\" &amp; K468, "Ver Imagen")</f>
        <v/>
      </c>
      <c r="M468" t="inlineStr">
        <is>
          <t>Moda</t>
        </is>
      </c>
    </row>
    <row r="469">
      <c r="A469" t="n">
        <v>468</v>
      </c>
      <c r="B469" t="inlineStr">
        <is>
          <t>A-5053__151</t>
        </is>
      </c>
      <c r="C469" s="1" t="n">
        <v>37.2488939985</v>
      </c>
      <c r="D469" s="1" t="n">
        <v>-7.12744854839</v>
      </c>
      <c r="E469" s="3" t="n">
        <v>2</v>
      </c>
      <c r="F469" s="2" t="n">
        <v>2</v>
      </c>
      <c r="G469" s="4" t="n">
        <v>2</v>
      </c>
      <c r="H469" s="13" t="n"/>
      <c r="I469" s="15" t="n"/>
      <c r="J469" s="19" t="n">
        <v>2</v>
      </c>
      <c r="K469" s="2" t="inlineStr">
        <is>
          <t>marker_518_966380.png</t>
        </is>
      </c>
      <c r="L469" s="11">
        <f>HYPERLINK("2\0\" &amp; K469, "Ver Imagen")</f>
        <v/>
      </c>
      <c r="M469" t="inlineStr">
        <is>
          <t>Moda</t>
        </is>
      </c>
    </row>
    <row r="470">
      <c r="A470" t="n">
        <v>469</v>
      </c>
      <c r="B470" t="inlineStr">
        <is>
          <t>A-5053__150</t>
        </is>
      </c>
      <c r="C470" s="1" t="n">
        <v>37.2487121766</v>
      </c>
      <c r="D470" s="1" t="n">
        <v>-7.12747540777</v>
      </c>
      <c r="E470" s="3" t="n">
        <v>2</v>
      </c>
      <c r="F470" s="2" t="n">
        <v>2</v>
      </c>
      <c r="G470" s="4" t="n">
        <v>2</v>
      </c>
      <c r="H470" s="13" t="n"/>
      <c r="I470" s="15" t="n"/>
      <c r="J470" s="19" t="n">
        <v>2</v>
      </c>
      <c r="K470" s="2" t="inlineStr">
        <is>
          <t>marker_747_966387.png</t>
        </is>
      </c>
      <c r="L470" s="11">
        <f>HYPERLINK("2\0\" &amp; K470, "Ver Imagen")</f>
        <v/>
      </c>
      <c r="M470" t="inlineStr">
        <is>
          <t>Moda</t>
        </is>
      </c>
    </row>
    <row r="471">
      <c r="A471" t="n">
        <v>470</v>
      </c>
      <c r="B471" t="inlineStr">
        <is>
          <t>A-5053__137</t>
        </is>
      </c>
      <c r="C471" s="1" t="n">
        <v>37.2460949938</v>
      </c>
      <c r="D471" s="1" t="n">
        <v>-7.12786096745</v>
      </c>
      <c r="E471" s="3" t="n">
        <v>2</v>
      </c>
      <c r="F471" s="2" t="n">
        <v>2</v>
      </c>
      <c r="G471" s="4" t="n">
        <v>2</v>
      </c>
      <c r="H471" s="13" t="n"/>
      <c r="I471" s="15" t="n"/>
      <c r="J471" s="19" t="n">
        <v>2</v>
      </c>
      <c r="K471" s="2" t="inlineStr">
        <is>
          <t>marker_320_966513.png</t>
        </is>
      </c>
      <c r="L471" s="11">
        <f>HYPERLINK("2\0\" &amp; K471, "Ver Imagen")</f>
        <v/>
      </c>
      <c r="M471" t="inlineStr">
        <is>
          <t>Moda</t>
        </is>
      </c>
    </row>
    <row r="472">
      <c r="A472" t="n">
        <v>471</v>
      </c>
      <c r="B472" t="inlineStr">
        <is>
          <t>A-5053__136</t>
        </is>
      </c>
      <c r="C472" s="1" t="n">
        <v>37.2458987123</v>
      </c>
      <c r="D472" s="1" t="n">
        <v>-7.12788957835</v>
      </c>
      <c r="E472" s="3" t="n">
        <v>2</v>
      </c>
      <c r="F472" s="2" t="n">
        <v>2</v>
      </c>
      <c r="G472" s="4" t="n">
        <v>2</v>
      </c>
      <c r="H472" s="13" t="n"/>
      <c r="I472" s="15" t="n"/>
      <c r="J472" s="19" t="n">
        <v>2</v>
      </c>
      <c r="K472" s="2" t="inlineStr">
        <is>
          <t>marker_267_966521.png</t>
        </is>
      </c>
      <c r="L472" s="11">
        <f>HYPERLINK("2\0\" &amp; K472, "Ver Imagen")</f>
        <v/>
      </c>
      <c r="M472" t="inlineStr">
        <is>
          <t>Moda</t>
        </is>
      </c>
    </row>
    <row r="473">
      <c r="A473" t="n">
        <v>472</v>
      </c>
      <c r="B473" t="inlineStr">
        <is>
          <t>A-5053__135</t>
        </is>
      </c>
      <c r="C473" s="1" t="n">
        <v>37.2456749232</v>
      </c>
      <c r="D473" s="1" t="n">
        <v>-7.12792232426</v>
      </c>
      <c r="E473" s="3" t="n">
        <v>2</v>
      </c>
      <c r="F473" s="2" t="n">
        <v>2</v>
      </c>
      <c r="G473" s="4" t="n">
        <v>2</v>
      </c>
      <c r="H473" s="13" t="n"/>
      <c r="I473" s="15" t="n"/>
      <c r="J473" s="19" t="n">
        <v>2</v>
      </c>
      <c r="K473" s="2" t="inlineStr">
        <is>
          <t>marker_976_966528.png</t>
        </is>
      </c>
      <c r="L473" s="11">
        <f>HYPERLINK("2\0\" &amp; K473, "Ver Imagen")</f>
        <v/>
      </c>
      <c r="M473" t="inlineStr">
        <is>
          <t>Moda</t>
        </is>
      </c>
    </row>
    <row r="474">
      <c r="A474" t="n">
        <v>473</v>
      </c>
      <c r="B474" t="inlineStr">
        <is>
          <t>A-5053__133</t>
        </is>
      </c>
      <c r="C474" s="1" t="n">
        <v>37.2452911963</v>
      </c>
      <c r="D474" s="1" t="n">
        <v>-7.12797907952</v>
      </c>
      <c r="E474" s="3" t="n">
        <v>2</v>
      </c>
      <c r="F474" s="2" t="n">
        <v>2</v>
      </c>
      <c r="G474" s="4" t="n">
        <v>2</v>
      </c>
      <c r="H474" s="13" t="n"/>
      <c r="I474" s="15" t="n"/>
      <c r="J474" s="19" t="n">
        <v>2</v>
      </c>
      <c r="K474" s="2" t="inlineStr">
        <is>
          <t>marker_504_966547.png</t>
        </is>
      </c>
      <c r="L474" s="11">
        <f>HYPERLINK("2\0\" &amp; K474, "Ver Imagen")</f>
        <v/>
      </c>
      <c r="M474" t="inlineStr">
        <is>
          <t>Moda</t>
        </is>
      </c>
    </row>
    <row r="475">
      <c r="A475" t="n">
        <v>474</v>
      </c>
      <c r="B475" t="inlineStr">
        <is>
          <t>A-5053__132</t>
        </is>
      </c>
      <c r="C475" s="1" t="n">
        <v>37.2450580373</v>
      </c>
      <c r="D475" s="1" t="n">
        <v>-7.12801342587</v>
      </c>
      <c r="E475" s="3" t="n">
        <v>2</v>
      </c>
      <c r="F475" s="2" t="n">
        <v>2</v>
      </c>
      <c r="G475" s="4" t="n">
        <v>2</v>
      </c>
      <c r="H475" s="13" t="n"/>
      <c r="I475" s="15" t="n"/>
      <c r="J475" s="19" t="n">
        <v>2</v>
      </c>
      <c r="K475" s="2" t="inlineStr">
        <is>
          <t>marker_666_966555.png</t>
        </is>
      </c>
      <c r="L475" s="11">
        <f>HYPERLINK("2\0\" &amp; K475, "Ver Imagen")</f>
        <v/>
      </c>
      <c r="M475" t="inlineStr">
        <is>
          <t>Moda</t>
        </is>
      </c>
    </row>
    <row r="476">
      <c r="A476" t="n">
        <v>475</v>
      </c>
      <c r="B476" t="inlineStr">
        <is>
          <t>A-5053__131</t>
        </is>
      </c>
      <c r="C476" s="1" t="n">
        <v>37.2448907596</v>
      </c>
      <c r="D476" s="1" t="n">
        <v>-7.12803802033</v>
      </c>
      <c r="E476" s="3" t="n">
        <v>2</v>
      </c>
      <c r="F476" s="2" t="n">
        <v>2</v>
      </c>
      <c r="G476" s="4" t="n">
        <v>2</v>
      </c>
      <c r="H476" s="13" t="n"/>
      <c r="I476" s="15" t="n"/>
      <c r="J476" s="19" t="n">
        <v>2</v>
      </c>
      <c r="K476" s="2" t="inlineStr">
        <is>
          <t>marker_533_966563.png</t>
        </is>
      </c>
      <c r="L476" s="11">
        <f>HYPERLINK("2\0\" &amp; K476, "Ver Imagen")</f>
        <v/>
      </c>
      <c r="M476" t="inlineStr">
        <is>
          <t>Moda</t>
        </is>
      </c>
    </row>
    <row r="477">
      <c r="A477" t="n">
        <v>476</v>
      </c>
      <c r="B477" t="inlineStr">
        <is>
          <t>A-5053__127</t>
        </is>
      </c>
      <c r="C477" s="1" t="n">
        <v>37.2440768316</v>
      </c>
      <c r="D477" s="1" t="n">
        <v>-7.1281533926</v>
      </c>
      <c r="E477" s="3" t="n">
        <v>2</v>
      </c>
      <c r="F477" s="2" t="n">
        <v>2</v>
      </c>
      <c r="G477" s="4" t="n">
        <v>2</v>
      </c>
      <c r="H477" s="13" t="n"/>
      <c r="I477" s="15" t="n"/>
      <c r="J477" s="19" t="n">
        <v>2</v>
      </c>
      <c r="K477" s="2" t="inlineStr">
        <is>
          <t>marker_377_019497.png</t>
        </is>
      </c>
      <c r="L477" s="11">
        <f>HYPERLINK("2\0\" &amp; K477, "Ver Imagen")</f>
        <v/>
      </c>
      <c r="M477" t="inlineStr">
        <is>
          <t>Moda</t>
        </is>
      </c>
    </row>
    <row r="478">
      <c r="A478" t="n">
        <v>477</v>
      </c>
      <c r="B478" t="inlineStr">
        <is>
          <t>A-5053__126</t>
        </is>
      </c>
      <c r="C478" s="1" t="n">
        <v>37.2438707772</v>
      </c>
      <c r="D478" s="1" t="n">
        <v>-7.12818350503</v>
      </c>
      <c r="E478" s="3" t="n">
        <v>2</v>
      </c>
      <c r="F478" s="2" t="n">
        <v>2</v>
      </c>
      <c r="G478" s="4" t="n">
        <v>2</v>
      </c>
      <c r="H478" s="13" t="n"/>
      <c r="I478" s="15" t="n"/>
      <c r="J478" s="19" t="n">
        <v>2</v>
      </c>
      <c r="K478" s="2" t="inlineStr">
        <is>
          <t>marker_674_019532.png</t>
        </is>
      </c>
      <c r="L478" s="11">
        <f>HYPERLINK("2\0\" &amp; K478, "Ver Imagen")</f>
        <v/>
      </c>
      <c r="M478" t="inlineStr">
        <is>
          <t>Moda</t>
        </is>
      </c>
    </row>
    <row r="479">
      <c r="A479" t="n">
        <v>478</v>
      </c>
      <c r="B479" t="inlineStr">
        <is>
          <t>A-5053__125</t>
        </is>
      </c>
      <c r="C479" s="1" t="n">
        <v>37.2436626832</v>
      </c>
      <c r="D479" s="1" t="n">
        <v>-7.12821489675</v>
      </c>
      <c r="E479" s="3" t="n">
        <v>2</v>
      </c>
      <c r="F479" s="2" t="n">
        <v>2</v>
      </c>
      <c r="G479" s="4" t="n">
        <v>2</v>
      </c>
      <c r="H479" s="13" t="n"/>
      <c r="I479" s="15" t="n"/>
      <c r="J479" s="19" t="n">
        <v>2</v>
      </c>
      <c r="K479" s="2" t="inlineStr">
        <is>
          <t>marker_304_019541.png</t>
        </is>
      </c>
      <c r="L479" s="11">
        <f>HYPERLINK("2\0\" &amp; K479, "Ver Imagen")</f>
        <v/>
      </c>
      <c r="M479" t="inlineStr">
        <is>
          <t>Moda</t>
        </is>
      </c>
    </row>
    <row r="480">
      <c r="A480" t="n">
        <v>479</v>
      </c>
      <c r="B480" t="inlineStr">
        <is>
          <t>A-5053__119</t>
        </is>
      </c>
      <c r="C480" s="1" t="n">
        <v>37.2424500769</v>
      </c>
      <c r="D480" s="1" t="n">
        <v>-7.12839897439</v>
      </c>
      <c r="E480" s="3" t="n">
        <v>2</v>
      </c>
      <c r="F480" s="2" t="n">
        <v>2</v>
      </c>
      <c r="G480" s="4" t="n">
        <v>2</v>
      </c>
      <c r="H480" s="13" t="n"/>
      <c r="I480" s="15" t="n"/>
      <c r="J480" s="19" t="n">
        <v>2</v>
      </c>
      <c r="K480" s="2" t="inlineStr">
        <is>
          <t>marker_523_019612.png</t>
        </is>
      </c>
      <c r="L480" s="11">
        <f>HYPERLINK("2\0\" &amp; K480, "Ver Imagen")</f>
        <v/>
      </c>
      <c r="M480" t="inlineStr">
        <is>
          <t>Moda</t>
        </is>
      </c>
    </row>
    <row r="481">
      <c r="A481" t="n">
        <v>480</v>
      </c>
      <c r="B481" t="inlineStr">
        <is>
          <t>A-5053__116</t>
        </is>
      </c>
      <c r="C481" s="1" t="n">
        <v>37.2418773805</v>
      </c>
      <c r="D481" s="1" t="n">
        <v>-7.12848734361</v>
      </c>
      <c r="E481" s="3" t="n">
        <v>2</v>
      </c>
      <c r="F481" s="2" t="n">
        <v>2</v>
      </c>
      <c r="G481" s="4" t="n">
        <v>2</v>
      </c>
      <c r="H481" s="13" t="n"/>
      <c r="I481" s="15" t="n"/>
      <c r="J481" s="19" t="n">
        <v>2</v>
      </c>
      <c r="K481" s="2" t="inlineStr">
        <is>
          <t>marker_984_019641.png</t>
        </is>
      </c>
      <c r="L481" s="11">
        <f>HYPERLINK("2\0\" &amp; K481, "Ver Imagen")</f>
        <v/>
      </c>
      <c r="M481" t="inlineStr">
        <is>
          <t>Moda</t>
        </is>
      </c>
    </row>
    <row r="482">
      <c r="A482" t="n">
        <v>481</v>
      </c>
      <c r="B482" t="inlineStr">
        <is>
          <t>A-5053__115</t>
        </is>
      </c>
      <c r="C482" s="1" t="n">
        <v>37.2416686037</v>
      </c>
      <c r="D482" s="1" t="n">
        <v>-7.12851787006</v>
      </c>
      <c r="E482" s="3" t="n">
        <v>2</v>
      </c>
      <c r="F482" s="2" t="n">
        <v>2</v>
      </c>
      <c r="G482" s="4" t="n">
        <v>2</v>
      </c>
      <c r="H482" s="13" t="n"/>
      <c r="I482" s="15" t="n"/>
      <c r="J482" s="19" t="n">
        <v>2</v>
      </c>
      <c r="K482" s="2" t="inlineStr">
        <is>
          <t>marker_889_019653.png</t>
        </is>
      </c>
      <c r="L482" s="11">
        <f>HYPERLINK("2\0\" &amp; K482, "Ver Imagen")</f>
        <v/>
      </c>
      <c r="M482" t="inlineStr">
        <is>
          <t>Moda</t>
        </is>
      </c>
    </row>
    <row r="483">
      <c r="A483" t="n">
        <v>482</v>
      </c>
      <c r="B483" t="inlineStr">
        <is>
          <t>A-5053__114</t>
        </is>
      </c>
      <c r="C483" s="1" t="n">
        <v>37.2414802511</v>
      </c>
      <c r="D483" s="1" t="n">
        <v>-7.12854337793</v>
      </c>
      <c r="E483" s="3" t="n">
        <v>2</v>
      </c>
      <c r="F483" s="2" t="n">
        <v>2</v>
      </c>
      <c r="G483" s="4" t="n">
        <v>2</v>
      </c>
      <c r="H483" s="13" t="n"/>
      <c r="I483" s="15" t="n"/>
      <c r="J483" s="19" t="n">
        <v>2</v>
      </c>
      <c r="K483" s="2" t="inlineStr">
        <is>
          <t>marker_513_019665.png</t>
        </is>
      </c>
      <c r="L483" s="11">
        <f>HYPERLINK("2\0\" &amp; K483, "Ver Imagen")</f>
        <v/>
      </c>
      <c r="M483" t="inlineStr">
        <is>
          <t>Moda</t>
        </is>
      </c>
    </row>
    <row r="484">
      <c r="A484" t="n">
        <v>483</v>
      </c>
      <c r="B484" t="inlineStr">
        <is>
          <t>A-5053__107</t>
        </is>
      </c>
      <c r="C484" s="1" t="n">
        <v>37.2400313195</v>
      </c>
      <c r="D484" s="1" t="n">
        <v>-7.12856896959</v>
      </c>
      <c r="E484" s="3" t="n">
        <v>2</v>
      </c>
      <c r="F484" s="2" t="n">
        <v>2</v>
      </c>
      <c r="G484" s="4" t="n">
        <v>2</v>
      </c>
      <c r="H484" s="13" t="n"/>
      <c r="I484" s="15" t="n"/>
      <c r="J484" s="19" t="n">
        <v>2</v>
      </c>
      <c r="K484" s="2" t="inlineStr">
        <is>
          <t>marker_349_019734.png</t>
        </is>
      </c>
      <c r="L484" s="11">
        <f>HYPERLINK("2\0\" &amp; K484, "Ver Imagen")</f>
        <v/>
      </c>
      <c r="M484" t="inlineStr">
        <is>
          <t>Moda</t>
        </is>
      </c>
    </row>
    <row r="485">
      <c r="A485" t="n">
        <v>484</v>
      </c>
      <c r="B485" t="inlineStr">
        <is>
          <t>A-5053__106</t>
        </is>
      </c>
      <c r="C485" s="1" t="n">
        <v>37.239849725</v>
      </c>
      <c r="D485" s="1" t="n">
        <v>-7.12855428261</v>
      </c>
      <c r="E485" s="3" t="n">
        <v>2</v>
      </c>
      <c r="F485" s="2" t="n">
        <v>2</v>
      </c>
      <c r="G485" s="4" t="n">
        <v>2</v>
      </c>
      <c r="H485" s="13" t="n"/>
      <c r="I485" s="15" t="n"/>
      <c r="J485" s="19" t="n">
        <v>2</v>
      </c>
      <c r="K485" s="2" t="inlineStr">
        <is>
          <t>marker_389_019758.png</t>
        </is>
      </c>
      <c r="L485" s="11">
        <f>HYPERLINK("2\0\" &amp; K485, "Ver Imagen")</f>
        <v/>
      </c>
      <c r="M485" t="inlineStr">
        <is>
          <t>Moda</t>
        </is>
      </c>
    </row>
    <row r="486">
      <c r="A486" t="n">
        <v>485</v>
      </c>
      <c r="B486" t="inlineStr">
        <is>
          <t>A-5053__104</t>
        </is>
      </c>
      <c r="C486" s="1" t="n">
        <v>37.2394444708</v>
      </c>
      <c r="D486" s="1" t="n">
        <v>-7.12851982229</v>
      </c>
      <c r="E486" s="3" t="n">
        <v>2</v>
      </c>
      <c r="F486" s="2" t="n">
        <v>2</v>
      </c>
      <c r="G486" s="4" t="n">
        <v>2</v>
      </c>
      <c r="H486" s="13" t="n"/>
      <c r="I486" s="15" t="n"/>
      <c r="J486" s="19" t="n">
        <v>2</v>
      </c>
      <c r="K486" s="2" t="inlineStr">
        <is>
          <t>marker_790_019777.png</t>
        </is>
      </c>
      <c r="L486" s="11">
        <f>HYPERLINK("2\0\" &amp; K486, "Ver Imagen")</f>
        <v/>
      </c>
      <c r="M486" t="inlineStr">
        <is>
          <t>Moda</t>
        </is>
      </c>
    </row>
    <row r="487">
      <c r="A487" t="n">
        <v>486</v>
      </c>
      <c r="B487" t="inlineStr">
        <is>
          <t>A-5053__103</t>
        </is>
      </c>
      <c r="C487" s="1" t="n">
        <v>37.2392706066</v>
      </c>
      <c r="D487" s="1" t="n">
        <v>-7.12850333216</v>
      </c>
      <c r="E487" s="3" t="n">
        <v>2</v>
      </c>
      <c r="F487" s="2" t="n">
        <v>2</v>
      </c>
      <c r="G487" s="4" t="n">
        <v>2</v>
      </c>
      <c r="H487" s="13" t="n"/>
      <c r="I487" s="15" t="n"/>
      <c r="J487" s="19" t="n">
        <v>2</v>
      </c>
      <c r="K487" s="2" t="inlineStr">
        <is>
          <t>marker_841_019786.png</t>
        </is>
      </c>
      <c r="L487" s="11">
        <f>HYPERLINK("2\0\" &amp; K487, "Ver Imagen")</f>
        <v/>
      </c>
      <c r="M487" t="inlineStr">
        <is>
          <t>Moda</t>
        </is>
      </c>
    </row>
    <row r="488">
      <c r="A488" t="n">
        <v>487</v>
      </c>
      <c r="B488" t="inlineStr">
        <is>
          <t>A-5053__102</t>
        </is>
      </c>
      <c r="C488" s="1" t="n">
        <v>37.239037026</v>
      </c>
      <c r="D488" s="1" t="n">
        <v>-7.12847911291</v>
      </c>
      <c r="E488" s="3" t="n">
        <v>2</v>
      </c>
      <c r="F488" s="2" t="n">
        <v>2</v>
      </c>
      <c r="G488" s="4" t="n">
        <v>2</v>
      </c>
      <c r="H488" s="13" t="n"/>
      <c r="I488" s="15" t="n"/>
      <c r="J488" s="19" t="n">
        <v>2</v>
      </c>
      <c r="K488" s="2" t="inlineStr">
        <is>
          <t>marker_740_019794.png</t>
        </is>
      </c>
      <c r="L488" s="11">
        <f>HYPERLINK("2\0\" &amp; K488, "Ver Imagen")</f>
        <v/>
      </c>
      <c r="M488" t="inlineStr">
        <is>
          <t>Moda</t>
        </is>
      </c>
    </row>
    <row r="489">
      <c r="A489" t="n">
        <v>488</v>
      </c>
      <c r="B489" t="inlineStr">
        <is>
          <t>A-5053__101</t>
        </is>
      </c>
      <c r="C489" s="1" t="n">
        <v>37.2388544517</v>
      </c>
      <c r="D489" s="1" t="n">
        <v>-7.12845971616</v>
      </c>
      <c r="E489" s="3" t="n">
        <v>2</v>
      </c>
      <c r="F489" s="2" t="n">
        <v>2</v>
      </c>
      <c r="G489" s="4" t="n">
        <v>2</v>
      </c>
      <c r="H489" s="13" t="n"/>
      <c r="I489" s="15" t="n"/>
      <c r="J489" s="19" t="n">
        <v>2</v>
      </c>
      <c r="K489" s="2" t="inlineStr">
        <is>
          <t>marker_311_019803.png</t>
        </is>
      </c>
      <c r="L489" s="11">
        <f>HYPERLINK("2\0\" &amp; K489, "Ver Imagen")</f>
        <v/>
      </c>
      <c r="M489" t="inlineStr">
        <is>
          <t>Moda</t>
        </is>
      </c>
    </row>
    <row r="490">
      <c r="A490" t="n">
        <v>489</v>
      </c>
      <c r="B490" t="inlineStr">
        <is>
          <t>A-5053__92</t>
        </is>
      </c>
      <c r="C490" s="1" t="n">
        <v>37.2370056734</v>
      </c>
      <c r="D490" s="1" t="n">
        <v>-7.1282790658</v>
      </c>
      <c r="E490" s="3" t="n">
        <v>2</v>
      </c>
      <c r="F490" s="2" t="n">
        <v>2</v>
      </c>
      <c r="G490" s="4" t="n">
        <v>2</v>
      </c>
      <c r="H490" s="13" t="n"/>
      <c r="I490" s="15" t="n"/>
      <c r="J490" s="19" t="n">
        <v>2</v>
      </c>
      <c r="K490" s="2" t="inlineStr">
        <is>
          <t>marker_712_019888.png</t>
        </is>
      </c>
      <c r="L490" s="11">
        <f>HYPERLINK("2\0\" &amp; K490, "Ver Imagen")</f>
        <v/>
      </c>
      <c r="M490" t="inlineStr">
        <is>
          <t>Moda</t>
        </is>
      </c>
    </row>
    <row r="491">
      <c r="A491" t="n">
        <v>490</v>
      </c>
      <c r="B491" t="inlineStr">
        <is>
          <t>A-5053__91</t>
        </is>
      </c>
      <c r="C491" s="1" t="n">
        <v>37.236817738</v>
      </c>
      <c r="D491" s="1" t="n">
        <v>-7.12826193059</v>
      </c>
      <c r="E491" s="3" t="n">
        <v>2</v>
      </c>
      <c r="F491" s="2" t="n">
        <v>2</v>
      </c>
      <c r="G491" s="4" t="n">
        <v>2</v>
      </c>
      <c r="H491" s="13" t="n"/>
      <c r="I491" s="15" t="n"/>
      <c r="J491" s="19" t="n">
        <v>2</v>
      </c>
      <c r="K491" s="2" t="inlineStr">
        <is>
          <t>marker_419_019902.png</t>
        </is>
      </c>
      <c r="L491" s="11">
        <f>HYPERLINK("2\0\" &amp; K491, "Ver Imagen")</f>
        <v/>
      </c>
      <c r="M491" t="inlineStr">
        <is>
          <t>Moda</t>
        </is>
      </c>
    </row>
    <row r="492">
      <c r="A492" t="n">
        <v>491</v>
      </c>
      <c r="B492" t="inlineStr">
        <is>
          <t>A-5053__87</t>
        </is>
      </c>
      <c r="C492" s="1" t="n">
        <v>37.2360035579</v>
      </c>
      <c r="D492" s="1" t="n">
        <v>-7.12818524117</v>
      </c>
      <c r="E492" s="3" t="n">
        <v>2</v>
      </c>
      <c r="F492" s="2" t="n">
        <v>2</v>
      </c>
      <c r="G492" s="4" t="n">
        <v>2</v>
      </c>
      <c r="H492" s="13" t="n"/>
      <c r="I492" s="15" t="n"/>
      <c r="J492" s="19" t="n">
        <v>2</v>
      </c>
      <c r="K492" s="2" t="inlineStr">
        <is>
          <t>marker_153_019943.png</t>
        </is>
      </c>
      <c r="L492" s="11">
        <f>HYPERLINK("2\0\" &amp; K492, "Ver Imagen")</f>
        <v/>
      </c>
      <c r="M492" t="inlineStr">
        <is>
          <t>Moda</t>
        </is>
      </c>
    </row>
    <row r="493">
      <c r="A493" t="n">
        <v>492</v>
      </c>
      <c r="B493" t="inlineStr">
        <is>
          <t>A-5053__86</t>
        </is>
      </c>
      <c r="C493" s="1" t="n">
        <v>37.2358004273</v>
      </c>
      <c r="D493" s="1" t="n">
        <v>-7.12816137231</v>
      </c>
      <c r="E493" s="3" t="n">
        <v>2</v>
      </c>
      <c r="F493" s="2" t="n">
        <v>2</v>
      </c>
      <c r="G493" s="4" t="n">
        <v>2</v>
      </c>
      <c r="H493" s="13" t="n"/>
      <c r="I493" s="15" t="n"/>
      <c r="J493" s="19" t="n">
        <v>2</v>
      </c>
      <c r="K493" s="2" t="inlineStr">
        <is>
          <t>marker_117_019954.png</t>
        </is>
      </c>
      <c r="L493" s="11">
        <f>HYPERLINK("2\0\" &amp; K493, "Ver Imagen")</f>
        <v/>
      </c>
      <c r="M493" t="inlineStr">
        <is>
          <t>Moda</t>
        </is>
      </c>
    </row>
    <row r="494">
      <c r="A494" t="n">
        <v>493</v>
      </c>
      <c r="B494" t="inlineStr">
        <is>
          <t>A-5053__85</t>
        </is>
      </c>
      <c r="C494" s="1" t="n">
        <v>37.2356274405</v>
      </c>
      <c r="D494" s="1" t="n">
        <v>-7.12813649885</v>
      </c>
      <c r="E494" s="3" t="n">
        <v>2</v>
      </c>
      <c r="F494" s="2" t="n">
        <v>2</v>
      </c>
      <c r="G494" s="4" t="n">
        <v>2</v>
      </c>
      <c r="H494" s="13" t="n"/>
      <c r="I494" s="15" t="n"/>
      <c r="J494" s="19" t="n">
        <v>2</v>
      </c>
      <c r="K494" s="2" t="inlineStr">
        <is>
          <t>marker_665_019965.png</t>
        </is>
      </c>
      <c r="L494" s="11">
        <f>HYPERLINK("2\0\" &amp; K494, "Ver Imagen")</f>
        <v/>
      </c>
      <c r="M494" t="inlineStr">
        <is>
          <t>Moda</t>
        </is>
      </c>
    </row>
    <row r="495">
      <c r="A495" t="n">
        <v>494</v>
      </c>
      <c r="B495" t="inlineStr">
        <is>
          <t>A-5053__83</t>
        </is>
      </c>
      <c r="C495" s="1" t="n">
        <v>37.2352189137</v>
      </c>
      <c r="D495" s="1" t="n">
        <v>-7.1280424194</v>
      </c>
      <c r="E495" s="3" t="n">
        <v>2</v>
      </c>
      <c r="F495" s="2" t="n">
        <v>2</v>
      </c>
      <c r="G495" s="4" t="n">
        <v>2</v>
      </c>
      <c r="H495" s="13" t="n"/>
      <c r="I495" s="15" t="n"/>
      <c r="J495" s="19" t="n">
        <v>2</v>
      </c>
      <c r="K495" s="2" t="inlineStr">
        <is>
          <t>marker_122_019983.png</t>
        </is>
      </c>
      <c r="L495" s="11">
        <f>HYPERLINK("2\0\" &amp; K495, "Ver Imagen")</f>
        <v/>
      </c>
      <c r="M495" t="inlineStr">
        <is>
          <t>Moda</t>
        </is>
      </c>
    </row>
    <row r="496">
      <c r="A496" t="n">
        <v>495</v>
      </c>
      <c r="B496" t="inlineStr">
        <is>
          <t>A-5053__82</t>
        </is>
      </c>
      <c r="C496" s="1" t="n">
        <v>37.2350069682</v>
      </c>
      <c r="D496" s="1" t="n">
        <v>-7.12796663062</v>
      </c>
      <c r="E496" s="3" t="n">
        <v>2</v>
      </c>
      <c r="F496" s="2" t="n">
        <v>2</v>
      </c>
      <c r="G496" s="4" t="n">
        <v>2</v>
      </c>
      <c r="H496" s="13" t="n"/>
      <c r="I496" s="15" t="n"/>
      <c r="J496" s="19" t="n">
        <v>2</v>
      </c>
      <c r="K496" s="2" t="inlineStr">
        <is>
          <t>marker_123_019992.png</t>
        </is>
      </c>
      <c r="L496" s="11">
        <f>HYPERLINK("2\0\" &amp; K496, "Ver Imagen")</f>
        <v/>
      </c>
      <c r="M496" t="inlineStr">
        <is>
          <t>Moda</t>
        </is>
      </c>
    </row>
    <row r="497">
      <c r="A497" t="n">
        <v>496</v>
      </c>
      <c r="B497" t="inlineStr">
        <is>
          <t>A-5053__79</t>
        </is>
      </c>
      <c r="C497" s="1" t="n">
        <v>37.23443027</v>
      </c>
      <c r="D497" s="1" t="n">
        <v>-7.12770813553</v>
      </c>
      <c r="E497" s="3" t="n">
        <v>2</v>
      </c>
      <c r="F497" s="2" t="n">
        <v>2</v>
      </c>
      <c r="G497" s="4" t="n">
        <v>2</v>
      </c>
      <c r="H497" s="13" t="n"/>
      <c r="I497" s="15" t="n"/>
      <c r="J497" s="19" t="n">
        <v>2</v>
      </c>
      <c r="K497" s="2" t="inlineStr">
        <is>
          <t>marker_969_020020.png</t>
        </is>
      </c>
      <c r="L497" s="11">
        <f>HYPERLINK("2\0\" &amp; K497, "Ver Imagen")</f>
        <v/>
      </c>
      <c r="M497" t="inlineStr">
        <is>
          <t>Moda</t>
        </is>
      </c>
    </row>
    <row r="498">
      <c r="A498" t="n">
        <v>497</v>
      </c>
      <c r="B498" t="inlineStr">
        <is>
          <t>A-5053__78</t>
        </is>
      </c>
      <c r="C498" s="1" t="n">
        <v>37.2342616602</v>
      </c>
      <c r="D498" s="1" t="n">
        <v>-7.12762922738</v>
      </c>
      <c r="E498" s="3" t="n">
        <v>2</v>
      </c>
      <c r="F498" s="2" t="n">
        <v>2</v>
      </c>
      <c r="G498" s="4" t="n">
        <v>2</v>
      </c>
      <c r="H498" s="13" t="n"/>
      <c r="I498" s="15" t="n"/>
      <c r="J498" s="19" t="n">
        <v>2</v>
      </c>
      <c r="K498" s="2" t="inlineStr">
        <is>
          <t>marker_922_020029.png</t>
        </is>
      </c>
      <c r="L498" s="11">
        <f>HYPERLINK("2\0\" &amp; K498, "Ver Imagen")</f>
        <v/>
      </c>
      <c r="M498" t="inlineStr">
        <is>
          <t>Moda</t>
        </is>
      </c>
    </row>
    <row r="499">
      <c r="A499" t="n">
        <v>498</v>
      </c>
      <c r="B499" t="inlineStr">
        <is>
          <t>A-5053__77</t>
        </is>
      </c>
      <c r="C499" s="1" t="n">
        <v>37.2340598454</v>
      </c>
      <c r="D499" s="1" t="n">
        <v>-7.12753814612</v>
      </c>
      <c r="E499" s="3" t="n">
        <v>2</v>
      </c>
      <c r="F499" s="2" t="n">
        <v>2</v>
      </c>
      <c r="G499" s="4" t="n">
        <v>2</v>
      </c>
      <c r="H499" s="13" t="n"/>
      <c r="I499" s="15" t="n"/>
      <c r="J499" s="19" t="n">
        <v>2</v>
      </c>
      <c r="K499" s="2" t="inlineStr">
        <is>
          <t>marker_329_020040.png</t>
        </is>
      </c>
      <c r="L499" s="11">
        <f>HYPERLINK("2\0\" &amp; K499, "Ver Imagen")</f>
        <v/>
      </c>
      <c r="M499" t="inlineStr">
        <is>
          <t>Moda</t>
        </is>
      </c>
    </row>
    <row r="500">
      <c r="A500" t="n">
        <v>499</v>
      </c>
      <c r="B500" t="inlineStr">
        <is>
          <t>A-5053__76</t>
        </is>
      </c>
      <c r="C500" s="1" t="n">
        <v>37.2338494468</v>
      </c>
      <c r="D500" s="1" t="n">
        <v>-7.12745244614</v>
      </c>
      <c r="E500" s="3" t="n">
        <v>2</v>
      </c>
      <c r="F500" s="2" t="n">
        <v>2</v>
      </c>
      <c r="G500" s="4" t="n">
        <v>2</v>
      </c>
      <c r="H500" s="13" t="n"/>
      <c r="I500" s="15" t="n"/>
      <c r="J500" s="19" t="n">
        <v>2</v>
      </c>
      <c r="K500" s="2" t="inlineStr">
        <is>
          <t>marker_419_020246.png</t>
        </is>
      </c>
      <c r="L500" s="11">
        <f>HYPERLINK("2\0\" &amp; K500, "Ver Imagen")</f>
        <v/>
      </c>
      <c r="M500" t="inlineStr">
        <is>
          <t>Moda</t>
        </is>
      </c>
    </row>
    <row r="501">
      <c r="A501" t="n">
        <v>500</v>
      </c>
      <c r="B501" t="inlineStr">
        <is>
          <t>A-5053__75</t>
        </is>
      </c>
      <c r="C501" s="1" t="n">
        <v>37.2337044386</v>
      </c>
      <c r="D501" s="1" t="n">
        <v>-7.12740180636</v>
      </c>
      <c r="E501" s="3" t="n">
        <v>2</v>
      </c>
      <c r="F501" s="2" t="n">
        <v>2</v>
      </c>
      <c r="G501" s="4" t="n">
        <v>2</v>
      </c>
      <c r="H501" s="13" t="n"/>
      <c r="I501" s="15" t="n"/>
      <c r="J501" s="19" t="n">
        <v>2</v>
      </c>
      <c r="K501" s="2" t="inlineStr">
        <is>
          <t>marker_273_020256.png</t>
        </is>
      </c>
      <c r="L501" s="11">
        <f>HYPERLINK("2\0\" &amp; K501, "Ver Imagen")</f>
        <v/>
      </c>
      <c r="M501" t="inlineStr">
        <is>
          <t>Moda</t>
        </is>
      </c>
    </row>
    <row r="502">
      <c r="A502" t="n">
        <v>501</v>
      </c>
      <c r="B502" t="inlineStr">
        <is>
          <t>A-5053__74</t>
        </is>
      </c>
      <c r="C502" s="1" t="n">
        <v>37.2334856634</v>
      </c>
      <c r="D502" s="1" t="n">
        <v>-7.12733834307</v>
      </c>
      <c r="E502" s="3" t="n">
        <v>2</v>
      </c>
      <c r="F502" s="2" t="n">
        <v>2</v>
      </c>
      <c r="G502" s="4" t="n">
        <v>2</v>
      </c>
      <c r="H502" s="13" t="n"/>
      <c r="I502" s="15" t="n"/>
      <c r="J502" s="19" t="n">
        <v>2</v>
      </c>
      <c r="K502" s="2" t="inlineStr">
        <is>
          <t>marker_470_020265.png</t>
        </is>
      </c>
      <c r="L502" s="11">
        <f>HYPERLINK("2\0\" &amp; K502, "Ver Imagen")</f>
        <v/>
      </c>
      <c r="M502" t="inlineStr">
        <is>
          <t>Moda</t>
        </is>
      </c>
    </row>
    <row r="503">
      <c r="A503" t="n">
        <v>502</v>
      </c>
      <c r="B503" t="inlineStr">
        <is>
          <t>A-5053__73</t>
        </is>
      </c>
      <c r="C503" s="1" t="n">
        <v>37.2332892417</v>
      </c>
      <c r="D503" s="1" t="n">
        <v>-7.12729269379</v>
      </c>
      <c r="E503" s="3" t="n">
        <v>2</v>
      </c>
      <c r="F503" s="2" t="n">
        <v>2</v>
      </c>
      <c r="G503" s="4" t="n">
        <v>2</v>
      </c>
      <c r="H503" s="13" t="n"/>
      <c r="I503" s="15" t="n"/>
      <c r="J503" s="19" t="n">
        <v>2</v>
      </c>
      <c r="K503" s="2" t="inlineStr">
        <is>
          <t>marker_881_020275.png</t>
        </is>
      </c>
      <c r="L503" s="11">
        <f>HYPERLINK("2\0\" &amp; K503, "Ver Imagen")</f>
        <v/>
      </c>
      <c r="M503" t="inlineStr">
        <is>
          <t>Moda</t>
        </is>
      </c>
    </row>
    <row r="504">
      <c r="A504" t="n">
        <v>503</v>
      </c>
      <c r="B504" t="inlineStr">
        <is>
          <t>A-5053__72</t>
        </is>
      </c>
      <c r="C504" s="1" t="n">
        <v>37.2331158318</v>
      </c>
      <c r="D504" s="1" t="n">
        <v>-7.12726023358</v>
      </c>
      <c r="E504" s="3" t="n">
        <v>2</v>
      </c>
      <c r="F504" s="2" t="n">
        <v>2</v>
      </c>
      <c r="G504" s="4" t="n">
        <v>2</v>
      </c>
      <c r="H504" s="13" t="n"/>
      <c r="I504" s="15" t="n"/>
      <c r="J504" s="19" t="n">
        <v>2</v>
      </c>
      <c r="K504" s="2" t="inlineStr">
        <is>
          <t>marker_733_020283.png</t>
        </is>
      </c>
      <c r="L504" s="11">
        <f>HYPERLINK("2\0\" &amp; K504, "Ver Imagen")</f>
        <v/>
      </c>
      <c r="M504" t="inlineStr">
        <is>
          <t>Moda</t>
        </is>
      </c>
    </row>
    <row r="505">
      <c r="A505" t="n">
        <v>504</v>
      </c>
      <c r="B505" t="inlineStr">
        <is>
          <t>A-5053__70</t>
        </is>
      </c>
      <c r="C505" s="1" t="n">
        <v>37.2326797121</v>
      </c>
      <c r="D505" s="1" t="n">
        <v>-7.12720156018</v>
      </c>
      <c r="E505" s="3" t="n">
        <v>2</v>
      </c>
      <c r="F505" s="2" t="n">
        <v>2</v>
      </c>
      <c r="G505" s="4" t="n">
        <v>2</v>
      </c>
      <c r="H505" s="13" t="n"/>
      <c r="I505" s="15" t="n"/>
      <c r="J505" s="19" t="n">
        <v>2</v>
      </c>
      <c r="K505" s="2" t="inlineStr">
        <is>
          <t>marker_480_020304.png</t>
        </is>
      </c>
      <c r="L505" s="11">
        <f>HYPERLINK("2\0\" &amp; K505, "Ver Imagen")</f>
        <v/>
      </c>
      <c r="M505" t="inlineStr">
        <is>
          <t>Moda</t>
        </is>
      </c>
    </row>
    <row r="506">
      <c r="A506" t="n">
        <v>505</v>
      </c>
      <c r="B506" t="inlineStr">
        <is>
          <t>A-5053__69</t>
        </is>
      </c>
      <c r="C506" s="1" t="n">
        <v>37.2324985633</v>
      </c>
      <c r="D506" s="1" t="n">
        <v>-7.12718260581</v>
      </c>
      <c r="E506" s="3" t="n">
        <v>2</v>
      </c>
      <c r="F506" s="2" t="n">
        <v>2</v>
      </c>
      <c r="G506" s="4" t="n">
        <v>2</v>
      </c>
      <c r="H506" s="13" t="n"/>
      <c r="I506" s="15" t="n"/>
      <c r="J506" s="19" t="n">
        <v>2</v>
      </c>
      <c r="K506" s="2" t="inlineStr">
        <is>
          <t>marker_288_020717.png</t>
        </is>
      </c>
      <c r="L506" s="11">
        <f>HYPERLINK("2\0\" &amp; K506, "Ver Imagen")</f>
        <v/>
      </c>
      <c r="M506" t="inlineStr">
        <is>
          <t>Moda</t>
        </is>
      </c>
    </row>
    <row r="507">
      <c r="A507" t="n">
        <v>506</v>
      </c>
      <c r="B507" t="inlineStr">
        <is>
          <t>A-5053__68</t>
        </is>
      </c>
      <c r="C507" s="1" t="n">
        <v>37.2322901955</v>
      </c>
      <c r="D507" s="1" t="n">
        <v>-7.12716383246</v>
      </c>
      <c r="E507" s="3" t="n">
        <v>2</v>
      </c>
      <c r="F507" s="2" t="n">
        <v>2</v>
      </c>
      <c r="G507" s="4" t="n">
        <v>2</v>
      </c>
      <c r="H507" s="13" t="n"/>
      <c r="I507" s="15" t="n"/>
      <c r="J507" s="19" t="n">
        <v>2</v>
      </c>
      <c r="K507" s="2" t="inlineStr">
        <is>
          <t>marker_929_020726.png</t>
        </is>
      </c>
      <c r="L507" s="11">
        <f>HYPERLINK("2\0\" &amp; K507, "Ver Imagen")</f>
        <v/>
      </c>
      <c r="M507" t="inlineStr">
        <is>
          <t>Moda</t>
        </is>
      </c>
    </row>
    <row r="508">
      <c r="A508" t="n">
        <v>507</v>
      </c>
      <c r="B508" t="inlineStr">
        <is>
          <t>A-5053__67</t>
        </is>
      </c>
      <c r="C508" s="1" t="n">
        <v>37.2320471985</v>
      </c>
      <c r="D508" s="1" t="n">
        <v>-7.12714333265</v>
      </c>
      <c r="E508" s="3" t="n">
        <v>2</v>
      </c>
      <c r="F508" s="2" t="n">
        <v>2</v>
      </c>
      <c r="G508" s="4" t="n">
        <v>2</v>
      </c>
      <c r="H508" s="13" t="n"/>
      <c r="I508" s="15" t="n"/>
      <c r="J508" s="19" t="n">
        <v>2</v>
      </c>
      <c r="K508" s="2" t="inlineStr">
        <is>
          <t>marker_350_020735.png</t>
        </is>
      </c>
      <c r="L508" s="11">
        <f>HYPERLINK("2\0\" &amp; K508, "Ver Imagen")</f>
        <v/>
      </c>
      <c r="M508" t="inlineStr">
        <is>
          <t>Moda</t>
        </is>
      </c>
    </row>
    <row r="509">
      <c r="A509" t="n">
        <v>508</v>
      </c>
      <c r="B509" t="inlineStr">
        <is>
          <t>A-5053__66</t>
        </is>
      </c>
      <c r="C509" s="1" t="n">
        <v>37.2318654786</v>
      </c>
      <c r="D509" s="1" t="n">
        <v>-7.1271281702</v>
      </c>
      <c r="E509" s="3" t="n">
        <v>2</v>
      </c>
      <c r="F509" s="2" t="n">
        <v>2</v>
      </c>
      <c r="G509" s="4" t="n">
        <v>2</v>
      </c>
      <c r="H509" s="13" t="n"/>
      <c r="I509" s="15" t="n"/>
      <c r="J509" s="19" t="n">
        <v>2</v>
      </c>
      <c r="K509" s="2" t="inlineStr">
        <is>
          <t>marker_443_020745.png</t>
        </is>
      </c>
      <c r="L509" s="11">
        <f>HYPERLINK("2\0\" &amp; K509, "Ver Imagen")</f>
        <v/>
      </c>
      <c r="M509" t="inlineStr">
        <is>
          <t>Moda</t>
        </is>
      </c>
    </row>
    <row r="510">
      <c r="A510" t="n">
        <v>509</v>
      </c>
      <c r="B510" t="inlineStr">
        <is>
          <t>A-5053__58</t>
        </is>
      </c>
      <c r="C510" s="1" t="n">
        <v>37.2302141295</v>
      </c>
      <c r="D510" s="1" t="n">
        <v>-7.12698120007</v>
      </c>
      <c r="E510" s="3" t="n">
        <v>2</v>
      </c>
      <c r="F510" s="2" t="n">
        <v>2</v>
      </c>
      <c r="G510" s="4" t="n">
        <v>2</v>
      </c>
      <c r="H510" s="13" t="n"/>
      <c r="I510" s="15" t="n"/>
      <c r="J510" s="19" t="n">
        <v>2</v>
      </c>
      <c r="K510" s="2" t="inlineStr">
        <is>
          <t>marker_267_020903.png</t>
        </is>
      </c>
      <c r="L510" s="11">
        <f>HYPERLINK("2\0\" &amp; K510, "Ver Imagen")</f>
        <v/>
      </c>
      <c r="M510" t="inlineStr">
        <is>
          <t>Moda</t>
        </is>
      </c>
    </row>
    <row r="511">
      <c r="A511" t="n">
        <v>510</v>
      </c>
      <c r="B511" t="inlineStr">
        <is>
          <t>A-5053__57</t>
        </is>
      </c>
      <c r="C511" s="1" t="n">
        <v>37.2300422473</v>
      </c>
      <c r="D511" s="1" t="n">
        <v>-7.12696493883</v>
      </c>
      <c r="E511" s="3" t="n">
        <v>2</v>
      </c>
      <c r="F511" s="2" t="n">
        <v>2</v>
      </c>
      <c r="G511" s="4" t="n">
        <v>2</v>
      </c>
      <c r="H511" s="13" t="n"/>
      <c r="I511" s="15" t="n"/>
      <c r="J511" s="19" t="n">
        <v>2</v>
      </c>
      <c r="K511" s="2" t="inlineStr">
        <is>
          <t>marker_120_020913.png</t>
        </is>
      </c>
      <c r="L511" s="11">
        <f>HYPERLINK("2\0\" &amp; K511, "Ver Imagen")</f>
        <v/>
      </c>
      <c r="M511" t="inlineStr">
        <is>
          <t>Moda</t>
        </is>
      </c>
    </row>
    <row r="512">
      <c r="A512" t="n">
        <v>511</v>
      </c>
      <c r="B512" t="inlineStr">
        <is>
          <t>A-5053__21</t>
        </is>
      </c>
      <c r="C512" s="1" t="n">
        <v>37.2229911163</v>
      </c>
      <c r="D512" s="1" t="n">
        <v>-7.12501178291</v>
      </c>
      <c r="E512" s="3" t="n">
        <v>2</v>
      </c>
      <c r="F512" s="2" t="n">
        <v>2</v>
      </c>
      <c r="G512" s="4" t="n">
        <v>2</v>
      </c>
      <c r="H512" s="13" t="n"/>
      <c r="I512" s="15" t="n"/>
      <c r="J512" s="19" t="n">
        <v>2</v>
      </c>
      <c r="K512" s="2" t="inlineStr">
        <is>
          <t>marker_337_022893.png</t>
        </is>
      </c>
      <c r="L512" s="11">
        <f>HYPERLINK("2\0\" &amp; K512, "Ver Imagen")</f>
        <v/>
      </c>
      <c r="M512" t="inlineStr">
        <is>
          <t>Moda</t>
        </is>
      </c>
    </row>
    <row r="513">
      <c r="A513" t="n">
        <v>512</v>
      </c>
      <c r="B513" t="inlineStr">
        <is>
          <t>A-5053__18</t>
        </is>
      </c>
      <c r="C513" s="1" t="n">
        <v>37.2223679059</v>
      </c>
      <c r="D513" s="1" t="n">
        <v>-7.12506603434</v>
      </c>
      <c r="E513" s="3" t="n">
        <v>2</v>
      </c>
      <c r="F513" s="2" t="n">
        <v>2</v>
      </c>
      <c r="G513" s="4" t="n">
        <v>2</v>
      </c>
      <c r="H513" s="13" t="n"/>
      <c r="I513" s="15" t="n"/>
      <c r="J513" s="19" t="n">
        <v>2</v>
      </c>
      <c r="K513" s="2" t="inlineStr">
        <is>
          <t>marker_162_025019.png</t>
        </is>
      </c>
      <c r="L513" s="11">
        <f>HYPERLINK("2\0\" &amp; K513, "Ver Imagen")</f>
        <v/>
      </c>
      <c r="M513" t="inlineStr">
        <is>
          <t>Moda</t>
        </is>
      </c>
    </row>
    <row r="514">
      <c r="A514" t="n">
        <v>513</v>
      </c>
      <c r="B514" t="inlineStr">
        <is>
          <t>A-5053__17</t>
        </is>
      </c>
      <c r="C514" s="1" t="n">
        <v>37.2221683981</v>
      </c>
      <c r="D514" s="1" t="n">
        <v>-7.1251072002</v>
      </c>
      <c r="E514" s="3" t="n">
        <v>2</v>
      </c>
      <c r="F514" s="2" t="n">
        <v>2</v>
      </c>
      <c r="G514" s="4" t="n">
        <v>2</v>
      </c>
      <c r="H514" s="13" t="n"/>
      <c r="I514" s="15" t="n"/>
      <c r="J514" s="19" t="n">
        <v>2</v>
      </c>
      <c r="K514" s="2" t="inlineStr">
        <is>
          <t>marker_178_025031.png</t>
        </is>
      </c>
      <c r="L514" s="11">
        <f>HYPERLINK("2\0\" &amp; K514, "Ver Imagen")</f>
        <v/>
      </c>
      <c r="M514" t="inlineStr">
        <is>
          <t>Moda</t>
        </is>
      </c>
    </row>
    <row r="515">
      <c r="A515" t="n">
        <v>514</v>
      </c>
      <c r="B515" t="inlineStr">
        <is>
          <t>A-495__15</t>
        </is>
      </c>
      <c r="C515" s="1" t="n">
        <v>37.4438234144</v>
      </c>
      <c r="D515" s="1" t="n">
        <v>-7.09669797566</v>
      </c>
      <c r="E515" s="3" t="n">
        <v>2</v>
      </c>
      <c r="F515" s="2" t="n">
        <v>2</v>
      </c>
      <c r="G515" s="4" t="n">
        <v>2</v>
      </c>
      <c r="H515" s="13" t="n"/>
      <c r="I515" s="15" t="n"/>
      <c r="J515" s="19" t="n">
        <v>2</v>
      </c>
      <c r="K515" s="2" t="inlineStr">
        <is>
          <t>marker_284_381213.png</t>
        </is>
      </c>
      <c r="L515" s="11">
        <f>HYPERLINK("2\0\" &amp; K515, "Ver Imagen")</f>
        <v/>
      </c>
      <c r="M515" t="inlineStr">
        <is>
          <t>Moda</t>
        </is>
      </c>
    </row>
    <row r="516">
      <c r="A516" t="n">
        <v>515</v>
      </c>
      <c r="B516" t="inlineStr">
        <is>
          <t>A-495__23</t>
        </is>
      </c>
      <c r="C516" s="1" t="n">
        <v>37.4431503028</v>
      </c>
      <c r="D516" s="1" t="n">
        <v>-7.09484888193</v>
      </c>
      <c r="E516" s="3" t="n">
        <v>2</v>
      </c>
      <c r="F516" s="2" t="n">
        <v>2</v>
      </c>
      <c r="G516" s="4" t="n">
        <v>2</v>
      </c>
      <c r="H516" s="13" t="n"/>
      <c r="I516" s="15" t="n"/>
      <c r="J516" s="19" t="n">
        <v>2</v>
      </c>
      <c r="K516" s="2" t="inlineStr">
        <is>
          <t>marker_526_381326.png</t>
        </is>
      </c>
      <c r="L516" s="11">
        <f>HYPERLINK("2\0\" &amp; K516, "Ver Imagen")</f>
        <v/>
      </c>
      <c r="M516" t="inlineStr">
        <is>
          <t>Moda</t>
        </is>
      </c>
    </row>
    <row r="517">
      <c r="A517" t="n">
        <v>516</v>
      </c>
      <c r="B517" t="inlineStr">
        <is>
          <t>A-495__30</t>
        </is>
      </c>
      <c r="C517" s="1" t="n">
        <v>37.4425382929</v>
      </c>
      <c r="D517" s="1" t="n">
        <v>-7.09325377364</v>
      </c>
      <c r="E517" s="3" t="n">
        <v>2</v>
      </c>
      <c r="F517" s="2" t="n">
        <v>2</v>
      </c>
      <c r="G517" s="4" t="n">
        <v>2</v>
      </c>
      <c r="H517" s="13" t="n"/>
      <c r="I517" s="15" t="n"/>
      <c r="J517" s="19" t="n">
        <v>2</v>
      </c>
      <c r="K517" s="2" t="inlineStr">
        <is>
          <t>marker_370_381396.png</t>
        </is>
      </c>
      <c r="L517" s="11">
        <f>HYPERLINK("2\0\" &amp; K517, "Ver Imagen")</f>
        <v/>
      </c>
      <c r="M517" t="inlineStr">
        <is>
          <t>Moda</t>
        </is>
      </c>
    </row>
    <row r="518">
      <c r="A518" t="n">
        <v>517</v>
      </c>
      <c r="B518" t="inlineStr">
        <is>
          <t>A-495__33</t>
        </is>
      </c>
      <c r="C518" s="1" t="n">
        <v>37.4422795214</v>
      </c>
      <c r="D518" s="1" t="n">
        <v>-7.09259031694</v>
      </c>
      <c r="E518" s="3" t="n">
        <v>2</v>
      </c>
      <c r="F518" s="2" t="n">
        <v>2</v>
      </c>
      <c r="G518" s="4" t="n">
        <v>2</v>
      </c>
      <c r="H518" s="13" t="n"/>
      <c r="I518" s="15" t="n"/>
      <c r="J518" s="19" t="n">
        <v>2</v>
      </c>
      <c r="K518" s="2" t="inlineStr">
        <is>
          <t>marker_540_381436.png</t>
        </is>
      </c>
      <c r="L518" s="11">
        <f>HYPERLINK("2\0\" &amp; K518, "Ver Imagen")</f>
        <v/>
      </c>
      <c r="M518" t="inlineStr">
        <is>
          <t>Moda</t>
        </is>
      </c>
    </row>
    <row r="519">
      <c r="A519" t="n">
        <v>518</v>
      </c>
      <c r="B519" t="inlineStr">
        <is>
          <t>A-495__97</t>
        </is>
      </c>
      <c r="C519" s="1" t="n">
        <v>37.4364338712</v>
      </c>
      <c r="D519" s="1" t="n">
        <v>-7.07823276683</v>
      </c>
      <c r="E519" s="3" t="n">
        <v>2</v>
      </c>
      <c r="F519" s="2" t="n">
        <v>2</v>
      </c>
      <c r="G519" s="4" t="n">
        <v>2</v>
      </c>
      <c r="H519" s="13" t="n"/>
      <c r="I519" s="15" t="n"/>
      <c r="J519" s="19" t="n">
        <v>2</v>
      </c>
      <c r="K519" s="2" t="inlineStr">
        <is>
          <t>marker_163_382127.png</t>
        </is>
      </c>
      <c r="L519" s="11">
        <f>HYPERLINK("2\0\" &amp; K519, "Ver Imagen")</f>
        <v/>
      </c>
      <c r="M519" t="inlineStr">
        <is>
          <t>Moda</t>
        </is>
      </c>
    </row>
    <row r="520">
      <c r="A520" t="n">
        <v>519</v>
      </c>
      <c r="B520" t="inlineStr">
        <is>
          <t>A-495__99</t>
        </is>
      </c>
      <c r="C520" s="1" t="n">
        <v>37.4362778963</v>
      </c>
      <c r="D520" s="1" t="n">
        <v>-7.07779012968</v>
      </c>
      <c r="E520" s="3" t="n">
        <v>2</v>
      </c>
      <c r="F520" s="2" t="n">
        <v>2</v>
      </c>
      <c r="G520" s="4" t="n">
        <v>2</v>
      </c>
      <c r="H520" s="13" t="n"/>
      <c r="I520" s="15" t="n"/>
      <c r="J520" s="19" t="n">
        <v>2</v>
      </c>
      <c r="K520" s="2" t="inlineStr">
        <is>
          <t>marker_155_382145.png</t>
        </is>
      </c>
      <c r="L520" s="11">
        <f>HYPERLINK("2\0\" &amp; K520, "Ver Imagen")</f>
        <v/>
      </c>
      <c r="M520" t="inlineStr">
        <is>
          <t>Moda</t>
        </is>
      </c>
    </row>
    <row r="521">
      <c r="A521" t="n">
        <v>520</v>
      </c>
      <c r="B521" t="inlineStr">
        <is>
          <t>A-495__100</t>
        </is>
      </c>
      <c r="C521" s="1" t="n">
        <v>37.4362007321</v>
      </c>
      <c r="D521" s="1" t="n">
        <v>-7.07756880101</v>
      </c>
      <c r="E521" s="3" t="n">
        <v>2</v>
      </c>
      <c r="F521" s="2" t="n">
        <v>2</v>
      </c>
      <c r="G521" s="4" t="n">
        <v>2</v>
      </c>
      <c r="H521" s="13" t="n"/>
      <c r="I521" s="15" t="n"/>
      <c r="J521" s="19" t="n">
        <v>2</v>
      </c>
      <c r="K521" s="2" t="inlineStr">
        <is>
          <t>marker_307_382154.png</t>
        </is>
      </c>
      <c r="L521" s="11">
        <f>HYPERLINK("2\0\" &amp; K521, "Ver Imagen")</f>
        <v/>
      </c>
      <c r="M521" t="inlineStr">
        <is>
          <t>Moda</t>
        </is>
      </c>
    </row>
    <row r="522">
      <c r="A522" t="n">
        <v>521</v>
      </c>
      <c r="B522" t="inlineStr">
        <is>
          <t>A-5059__77</t>
        </is>
      </c>
      <c r="C522" s="1" t="n">
        <v>37.2218048181</v>
      </c>
      <c r="D522" s="1" t="n">
        <v>-7.05494013698</v>
      </c>
      <c r="E522" s="3" t="n">
        <v>2</v>
      </c>
      <c r="F522" s="2" t="n">
        <v>2</v>
      </c>
      <c r="G522" s="4" t="n">
        <v>2</v>
      </c>
      <c r="H522" s="13" t="n"/>
      <c r="I522" s="15" t="n"/>
      <c r="J522" s="19" t="n">
        <v>2</v>
      </c>
      <c r="K522" s="2" t="inlineStr">
        <is>
          <t>marker_915_378778.png</t>
        </is>
      </c>
      <c r="L522" s="11">
        <f>HYPERLINK("2\0\" &amp; K522, "Ver Imagen")</f>
        <v/>
      </c>
      <c r="M522" t="inlineStr">
        <is>
          <t>Moda</t>
        </is>
      </c>
    </row>
    <row r="523">
      <c r="A523" t="n">
        <v>522</v>
      </c>
      <c r="B523" t="inlineStr">
        <is>
          <t>A-5059__75</t>
        </is>
      </c>
      <c r="C523" s="1" t="n">
        <v>37.2220986624</v>
      </c>
      <c r="D523" s="1" t="n">
        <v>-7.055281388</v>
      </c>
      <c r="E523" s="3" t="n">
        <v>2</v>
      </c>
      <c r="F523" s="2" t="n">
        <v>2</v>
      </c>
      <c r="G523" s="4" t="n">
        <v>2</v>
      </c>
      <c r="H523" s="13" t="n"/>
      <c r="I523" s="15" t="n"/>
      <c r="J523" s="19" t="n">
        <v>2</v>
      </c>
      <c r="K523" s="2" t="inlineStr">
        <is>
          <t>marker_898_378801.png</t>
        </is>
      </c>
      <c r="L523" s="11">
        <f>HYPERLINK("2\0\" &amp; K523, "Ver Imagen")</f>
        <v/>
      </c>
      <c r="M523" t="inlineStr">
        <is>
          <t>Moda</t>
        </is>
      </c>
    </row>
    <row r="524">
      <c r="A524" t="n">
        <v>523</v>
      </c>
      <c r="B524" t="inlineStr">
        <is>
          <t>A-5059__69</t>
        </is>
      </c>
      <c r="C524" s="1" t="n">
        <v>37.2232112244</v>
      </c>
      <c r="D524" s="1" t="n">
        <v>-7.05589478691</v>
      </c>
      <c r="E524" s="3" t="n">
        <v>2</v>
      </c>
      <c r="F524" s="2" t="n">
        <v>2</v>
      </c>
      <c r="G524" s="4" t="n">
        <v>2</v>
      </c>
      <c r="H524" s="13" t="n"/>
      <c r="I524" s="15" t="n"/>
      <c r="J524" s="19" t="n">
        <v>2</v>
      </c>
      <c r="K524" s="2" t="inlineStr">
        <is>
          <t>marker_933_378856.png</t>
        </is>
      </c>
      <c r="L524" s="11">
        <f>HYPERLINK("2\0\" &amp; K524, "Ver Imagen")</f>
        <v/>
      </c>
      <c r="M524" t="inlineStr">
        <is>
          <t>Moda</t>
        </is>
      </c>
    </row>
    <row r="525">
      <c r="A525" t="n">
        <v>524</v>
      </c>
      <c r="B525" t="inlineStr">
        <is>
          <t>A-5059__66</t>
        </is>
      </c>
      <c r="C525" s="1" t="n">
        <v>37.2237814203</v>
      </c>
      <c r="D525" s="1" t="n">
        <v>-7.05615941728</v>
      </c>
      <c r="E525" s="3" t="n">
        <v>2</v>
      </c>
      <c r="F525" s="2" t="n">
        <v>2</v>
      </c>
      <c r="G525" s="4" t="n">
        <v>2</v>
      </c>
      <c r="H525" s="13" t="n"/>
      <c r="I525" s="15" t="n"/>
      <c r="J525" s="19" t="n">
        <v>2</v>
      </c>
      <c r="K525" s="2" t="inlineStr">
        <is>
          <t>marker_883_378884.png</t>
        </is>
      </c>
      <c r="L525" s="11">
        <f>HYPERLINK("2\0\" &amp; K525, "Ver Imagen")</f>
        <v/>
      </c>
      <c r="M525" t="inlineStr">
        <is>
          <t>Moda</t>
        </is>
      </c>
    </row>
    <row r="526">
      <c r="A526" t="n">
        <v>525</v>
      </c>
      <c r="B526" t="inlineStr">
        <is>
          <t>A-5059__59</t>
        </is>
      </c>
      <c r="C526" s="1" t="n">
        <v>37.2247923319</v>
      </c>
      <c r="D526" s="1" t="n">
        <v>-7.05735756225</v>
      </c>
      <c r="E526" s="3" t="n">
        <v>2</v>
      </c>
      <c r="F526" s="2" t="n">
        <v>2</v>
      </c>
      <c r="G526" s="4" t="n">
        <v>2</v>
      </c>
      <c r="H526" s="13" t="n"/>
      <c r="I526" s="15" t="n"/>
      <c r="J526" s="19" t="n">
        <v>2</v>
      </c>
      <c r="K526" s="2" t="inlineStr">
        <is>
          <t>marker_750_378956.png</t>
        </is>
      </c>
      <c r="L526" s="11">
        <f>HYPERLINK("2\0\" &amp; K526, "Ver Imagen")</f>
        <v/>
      </c>
      <c r="M526" t="inlineStr">
        <is>
          <t>Moda</t>
        </is>
      </c>
    </row>
    <row r="527">
      <c r="A527" t="n">
        <v>526</v>
      </c>
      <c r="B527" t="inlineStr">
        <is>
          <t>A-5059__58</t>
        </is>
      </c>
      <c r="C527" s="1" t="n">
        <v>37.2249087306</v>
      </c>
      <c r="D527" s="1" t="n">
        <v>-7.05755307278</v>
      </c>
      <c r="E527" s="3" t="n">
        <v>2</v>
      </c>
      <c r="F527" s="2" t="n">
        <v>2</v>
      </c>
      <c r="G527" s="4" t="n">
        <v>2</v>
      </c>
      <c r="H527" s="13" t="n"/>
      <c r="I527" s="15" t="n"/>
      <c r="J527" s="19" t="n">
        <v>2</v>
      </c>
      <c r="K527" s="2" t="inlineStr">
        <is>
          <t>marker_713_378964.png</t>
        </is>
      </c>
      <c r="L527" s="11">
        <f>HYPERLINK("2\0\" &amp; K527, "Ver Imagen")</f>
        <v/>
      </c>
      <c r="M527" t="inlineStr">
        <is>
          <t>Moda</t>
        </is>
      </c>
    </row>
    <row r="528">
      <c r="A528" t="n">
        <v>527</v>
      </c>
      <c r="B528" t="inlineStr">
        <is>
          <t>A-5059__54</t>
        </is>
      </c>
      <c r="C528" s="1" t="n">
        <v>37.2253989862</v>
      </c>
      <c r="D528" s="1" t="n">
        <v>-7.05838127619</v>
      </c>
      <c r="E528" s="3" t="n">
        <v>2</v>
      </c>
      <c r="F528" s="2" t="n">
        <v>2</v>
      </c>
      <c r="G528" s="4" t="n">
        <v>2</v>
      </c>
      <c r="H528" s="13" t="n"/>
      <c r="I528" s="15" t="n"/>
      <c r="J528" s="19" t="n">
        <v>2</v>
      </c>
      <c r="K528" s="2" t="inlineStr">
        <is>
          <t>marker_709_379054.png</t>
        </is>
      </c>
      <c r="L528" s="11">
        <f>HYPERLINK("2\0\" &amp; K528, "Ver Imagen")</f>
        <v/>
      </c>
      <c r="M528" t="inlineStr">
        <is>
          <t>Moda</t>
        </is>
      </c>
    </row>
    <row r="529">
      <c r="A529" t="n">
        <v>528</v>
      </c>
      <c r="B529" t="inlineStr">
        <is>
          <t>A-5059__53</t>
        </is>
      </c>
      <c r="C529" s="1" t="n">
        <v>37.2255180126</v>
      </c>
      <c r="D529" s="1" t="n">
        <v>-7.05858243765</v>
      </c>
      <c r="E529" s="3" t="n">
        <v>2</v>
      </c>
      <c r="F529" s="2" t="n">
        <v>2</v>
      </c>
      <c r="G529" s="4" t="n">
        <v>2</v>
      </c>
      <c r="H529" s="13" t="n"/>
      <c r="I529" s="15" t="n"/>
      <c r="J529" s="19" t="n">
        <v>2</v>
      </c>
      <c r="K529" s="2" t="inlineStr">
        <is>
          <t>marker_775_379066.png</t>
        </is>
      </c>
      <c r="L529" s="11">
        <f>HYPERLINK("2\0\" &amp; K529, "Ver Imagen")</f>
        <v/>
      </c>
      <c r="M529" t="inlineStr">
        <is>
          <t>Moda</t>
        </is>
      </c>
    </row>
    <row r="530">
      <c r="A530" t="n">
        <v>529</v>
      </c>
      <c r="B530" t="inlineStr">
        <is>
          <t>A-5059__52</t>
        </is>
      </c>
      <c r="C530" s="1" t="n">
        <v>37.2256360867</v>
      </c>
      <c r="D530" s="1" t="n">
        <v>-7.05878241248</v>
      </c>
      <c r="E530" s="3" t="n">
        <v>2</v>
      </c>
      <c r="F530" s="2" t="n">
        <v>2</v>
      </c>
      <c r="G530" s="4" t="n">
        <v>2</v>
      </c>
      <c r="H530" s="13" t="n"/>
      <c r="I530" s="15" t="n"/>
      <c r="J530" s="19" t="n">
        <v>2</v>
      </c>
      <c r="K530" s="2" t="inlineStr">
        <is>
          <t>marker_860_379075.png</t>
        </is>
      </c>
      <c r="L530" s="11">
        <f>HYPERLINK("2\0\" &amp; K530, "Ver Imagen")</f>
        <v/>
      </c>
      <c r="M530" t="inlineStr">
        <is>
          <t>Moda</t>
        </is>
      </c>
    </row>
    <row r="531">
      <c r="A531" t="n">
        <v>530</v>
      </c>
      <c r="B531" t="inlineStr">
        <is>
          <t>A-5059__51</t>
        </is>
      </c>
      <c r="C531" s="1" t="n">
        <v>37.2257600547</v>
      </c>
      <c r="D531" s="1" t="n">
        <v>-7.0589930421</v>
      </c>
      <c r="E531" s="3" t="n">
        <v>2</v>
      </c>
      <c r="F531" s="2" t="n">
        <v>2</v>
      </c>
      <c r="G531" s="4" t="n">
        <v>2</v>
      </c>
      <c r="H531" s="13" t="n"/>
      <c r="I531" s="15" t="n"/>
      <c r="J531" s="19" t="n">
        <v>2</v>
      </c>
      <c r="K531" s="2" t="inlineStr">
        <is>
          <t>marker_812_379084.png</t>
        </is>
      </c>
      <c r="L531" s="11">
        <f>HYPERLINK("2\0\" &amp; K531, "Ver Imagen")</f>
        <v/>
      </c>
      <c r="M531" t="inlineStr">
        <is>
          <t>Moda</t>
        </is>
      </c>
    </row>
    <row r="532">
      <c r="A532" t="n">
        <v>531</v>
      </c>
      <c r="B532" t="inlineStr">
        <is>
          <t>A-5059__48</t>
        </is>
      </c>
      <c r="C532" s="1" t="n">
        <v>37.2261206347</v>
      </c>
      <c r="D532" s="1" t="n">
        <v>-7.05960526612</v>
      </c>
      <c r="E532" s="3" t="n">
        <v>2</v>
      </c>
      <c r="F532" s="2" t="n">
        <v>2</v>
      </c>
      <c r="G532" s="4" t="n">
        <v>2</v>
      </c>
      <c r="H532" s="13" t="n"/>
      <c r="I532" s="15" t="n"/>
      <c r="J532" s="19" t="n">
        <v>2</v>
      </c>
      <c r="K532" s="2" t="inlineStr">
        <is>
          <t>marker_687_379114.png</t>
        </is>
      </c>
      <c r="L532" s="11">
        <f>HYPERLINK("2\0\" &amp; K532, "Ver Imagen")</f>
        <v/>
      </c>
      <c r="M532" t="inlineStr">
        <is>
          <t>Moda</t>
        </is>
      </c>
    </row>
    <row r="533">
      <c r="A533" t="n">
        <v>532</v>
      </c>
      <c r="B533" t="inlineStr">
        <is>
          <t>A-5059__47</t>
        </is>
      </c>
      <c r="C533" s="1" t="n">
        <v>37.2262402166</v>
      </c>
      <c r="D533" s="1" t="n">
        <v>-7.05980960118</v>
      </c>
      <c r="E533" s="3" t="n">
        <v>2</v>
      </c>
      <c r="F533" s="2" t="n">
        <v>2</v>
      </c>
      <c r="G533" s="4" t="n">
        <v>2</v>
      </c>
      <c r="H533" s="13" t="n"/>
      <c r="I533" s="15" t="n"/>
      <c r="J533" s="19" t="n">
        <v>2</v>
      </c>
      <c r="K533" s="2" t="inlineStr">
        <is>
          <t>marker_867_379123.png</t>
        </is>
      </c>
      <c r="L533" s="11">
        <f>HYPERLINK("2\0\" &amp; K533, "Ver Imagen")</f>
        <v/>
      </c>
      <c r="M533" t="inlineStr">
        <is>
          <t>Moda</t>
        </is>
      </c>
    </row>
    <row r="534">
      <c r="A534" t="n">
        <v>533</v>
      </c>
      <c r="B534" t="inlineStr">
        <is>
          <t>A-495__139</t>
        </is>
      </c>
      <c r="C534" s="1" t="n">
        <v>37.4345108432</v>
      </c>
      <c r="D534" s="1" t="n">
        <v>-7.06836220707</v>
      </c>
      <c r="E534" s="3" t="n">
        <v>2</v>
      </c>
      <c r="F534" s="2" t="n">
        <v>2</v>
      </c>
      <c r="G534" s="4" t="n">
        <v>2</v>
      </c>
      <c r="H534" s="13" t="n"/>
      <c r="I534" s="15" t="n"/>
      <c r="J534" s="19" t="n">
        <v>2</v>
      </c>
      <c r="K534" s="2" t="inlineStr">
        <is>
          <t>marker_983_382569.png</t>
        </is>
      </c>
      <c r="L534" s="11">
        <f>HYPERLINK("2\0\" &amp; K534, "Ver Imagen")</f>
        <v/>
      </c>
      <c r="M534" t="inlineStr">
        <is>
          <t>Moda</t>
        </is>
      </c>
    </row>
    <row r="535">
      <c r="A535" t="n">
        <v>534</v>
      </c>
      <c r="B535" t="inlineStr">
        <is>
          <t>A-5059__37</t>
        </is>
      </c>
      <c r="C535" s="1" t="n">
        <v>37.2278750521</v>
      </c>
      <c r="D535" s="1" t="n">
        <v>-7.06116877749</v>
      </c>
      <c r="E535" s="3" t="n">
        <v>2</v>
      </c>
      <c r="F535" s="2" t="n">
        <v>2</v>
      </c>
      <c r="G535" s="4" t="n">
        <v>2</v>
      </c>
      <c r="H535" s="13" t="n"/>
      <c r="I535" s="15" t="n"/>
      <c r="J535" s="19" t="n">
        <v>2</v>
      </c>
      <c r="K535" s="2" t="inlineStr">
        <is>
          <t>marker_685_379340.png</t>
        </is>
      </c>
      <c r="L535" s="11">
        <f>HYPERLINK("2\0\" &amp; K535, "Ver Imagen")</f>
        <v/>
      </c>
      <c r="M535" t="inlineStr">
        <is>
          <t>Moda</t>
        </is>
      </c>
    </row>
    <row r="536">
      <c r="A536" t="n">
        <v>535</v>
      </c>
      <c r="B536" t="inlineStr">
        <is>
          <t>A-5059__36</t>
        </is>
      </c>
      <c r="C536" s="1" t="n">
        <v>37.2280411057</v>
      </c>
      <c r="D536" s="1" t="n">
        <v>-7.0612999717</v>
      </c>
      <c r="E536" s="3" t="n">
        <v>2</v>
      </c>
      <c r="F536" s="2" t="n">
        <v>2</v>
      </c>
      <c r="G536" s="4" t="n">
        <v>2</v>
      </c>
      <c r="H536" s="13" t="n"/>
      <c r="I536" s="15" t="n"/>
      <c r="J536" s="19" t="n">
        <v>2</v>
      </c>
      <c r="K536" s="2" t="inlineStr">
        <is>
          <t>marker_438_379348.png</t>
        </is>
      </c>
      <c r="L536" s="11">
        <f>HYPERLINK("2\0\" &amp; K536, "Ver Imagen")</f>
        <v/>
      </c>
      <c r="M536" t="inlineStr">
        <is>
          <t>Moda</t>
        </is>
      </c>
    </row>
    <row r="537">
      <c r="A537" t="n">
        <v>536</v>
      </c>
      <c r="B537" t="inlineStr">
        <is>
          <t>A-5059__32</t>
        </is>
      </c>
      <c r="C537" s="1" t="n">
        <v>37.2286454674</v>
      </c>
      <c r="D537" s="1" t="n">
        <v>-7.06197728921</v>
      </c>
      <c r="E537" s="3" t="n">
        <v>2</v>
      </c>
      <c r="F537" s="2" t="n">
        <v>2</v>
      </c>
      <c r="G537" s="4" t="n">
        <v>2</v>
      </c>
      <c r="H537" s="13" t="n"/>
      <c r="I537" s="15" t="n"/>
      <c r="J537" s="19" t="n">
        <v>2</v>
      </c>
      <c r="K537" s="2" t="inlineStr">
        <is>
          <t>marker_652_379387.png</t>
        </is>
      </c>
      <c r="L537" s="11">
        <f>HYPERLINK("2\0\" &amp; K537, "Ver Imagen")</f>
        <v/>
      </c>
      <c r="M537" t="inlineStr">
        <is>
          <t>Moda</t>
        </is>
      </c>
    </row>
    <row r="538">
      <c r="A538" t="n">
        <v>537</v>
      </c>
      <c r="B538" t="inlineStr">
        <is>
          <t>A-5059__31</t>
        </is>
      </c>
      <c r="C538" s="1" t="n">
        <v>37.2287918156</v>
      </c>
      <c r="D538" s="1" t="n">
        <v>-7.06215264338</v>
      </c>
      <c r="E538" s="3" t="n">
        <v>2</v>
      </c>
      <c r="F538" s="2" t="n">
        <v>2</v>
      </c>
      <c r="G538" s="4" t="n">
        <v>2</v>
      </c>
      <c r="H538" s="13" t="n"/>
      <c r="I538" s="15" t="n"/>
      <c r="J538" s="19" t="n">
        <v>2</v>
      </c>
      <c r="K538" s="2" t="inlineStr">
        <is>
          <t>marker_417_379395.png</t>
        </is>
      </c>
      <c r="L538" s="11">
        <f>HYPERLINK("2\0\" &amp; K538, "Ver Imagen")</f>
        <v/>
      </c>
      <c r="M538" t="inlineStr">
        <is>
          <t>Moda</t>
        </is>
      </c>
    </row>
    <row r="539">
      <c r="A539" t="n">
        <v>538</v>
      </c>
      <c r="B539" t="inlineStr">
        <is>
          <t>A-495__146</t>
        </is>
      </c>
      <c r="C539" s="1" t="n">
        <v>37.4338231166</v>
      </c>
      <c r="D539" s="1" t="n">
        <v>-7.06682025858</v>
      </c>
      <c r="E539" s="3" t="n">
        <v>2</v>
      </c>
      <c r="F539" s="2" t="n">
        <v>2</v>
      </c>
      <c r="G539" s="4" t="n">
        <v>2</v>
      </c>
      <c r="H539" s="13" t="n"/>
      <c r="I539" s="15" t="n"/>
      <c r="J539" s="19" t="n">
        <v>2</v>
      </c>
      <c r="K539" s="2" t="inlineStr">
        <is>
          <t>marker_547_382633.png</t>
        </is>
      </c>
      <c r="L539" s="11">
        <f>HYPERLINK("2\0\" &amp; K539, "Ver Imagen")</f>
        <v/>
      </c>
      <c r="M539" t="inlineStr">
        <is>
          <t>Moda</t>
        </is>
      </c>
    </row>
    <row r="540">
      <c r="A540" t="n">
        <v>539</v>
      </c>
      <c r="B540" t="inlineStr">
        <is>
          <t>A-495__155</t>
        </is>
      </c>
      <c r="C540" s="1" t="n">
        <v>37.4328996419</v>
      </c>
      <c r="D540" s="1" t="n">
        <v>-7.06480518302</v>
      </c>
      <c r="E540" s="3" t="n">
        <v>2</v>
      </c>
      <c r="F540" s="2" t="n">
        <v>2</v>
      </c>
      <c r="G540" s="4" t="n">
        <v>2</v>
      </c>
      <c r="H540" s="13" t="n"/>
      <c r="I540" s="15" t="n"/>
      <c r="J540" s="19" t="n">
        <v>2</v>
      </c>
      <c r="K540" s="2" t="inlineStr">
        <is>
          <t>marker_619_382732.png</t>
        </is>
      </c>
      <c r="L540" s="11">
        <f>HYPERLINK("2\0\" &amp; K540, "Ver Imagen")</f>
        <v/>
      </c>
      <c r="M540" t="inlineStr">
        <is>
          <t>Moda</t>
        </is>
      </c>
    </row>
    <row r="541">
      <c r="A541" t="n">
        <v>540</v>
      </c>
      <c r="B541" t="inlineStr">
        <is>
          <t>A-5058__2</t>
        </is>
      </c>
      <c r="C541" s="1" t="n">
        <v>37.2252480303</v>
      </c>
      <c r="D541" s="1" t="n">
        <v>-7.0277473525</v>
      </c>
      <c r="E541" s="3" t="n">
        <v>2</v>
      </c>
      <c r="F541" s="2" t="n">
        <v>2</v>
      </c>
      <c r="G541" s="4" t="n">
        <v>2</v>
      </c>
      <c r="H541" s="13" t="n"/>
      <c r="I541" s="15" t="n"/>
      <c r="J541" s="19" t="n">
        <v>2</v>
      </c>
      <c r="K541" s="2" t="inlineStr">
        <is>
          <t>marker_149_379799.png</t>
        </is>
      </c>
      <c r="L541" s="11">
        <f>HYPERLINK("2\0\" &amp; K541, "Ver Imagen")</f>
        <v/>
      </c>
      <c r="M541" t="inlineStr">
        <is>
          <t>Moda</t>
        </is>
      </c>
    </row>
    <row r="542">
      <c r="A542" t="n">
        <v>541</v>
      </c>
      <c r="B542" t="inlineStr">
        <is>
          <t>A-5058__5</t>
        </is>
      </c>
      <c r="C542" s="1" t="n">
        <v>37.2252910756</v>
      </c>
      <c r="D542" s="1" t="n">
        <v>-7.0285056531</v>
      </c>
      <c r="E542" s="3" t="n">
        <v>2</v>
      </c>
      <c r="F542" s="2" t="n">
        <v>2</v>
      </c>
      <c r="G542" s="4" t="n">
        <v>2</v>
      </c>
      <c r="H542" s="13" t="n"/>
      <c r="I542" s="15" t="n"/>
      <c r="J542" s="19" t="n">
        <v>2</v>
      </c>
      <c r="K542" s="2" t="inlineStr">
        <is>
          <t>marker_145_379851.png</t>
        </is>
      </c>
      <c r="L542" s="11">
        <f>HYPERLINK("2\0\" &amp; K542, "Ver Imagen")</f>
        <v/>
      </c>
      <c r="M542" t="inlineStr">
        <is>
          <t>Moda</t>
        </is>
      </c>
    </row>
    <row r="543">
      <c r="A543" t="n">
        <v>542</v>
      </c>
      <c r="B543" t="inlineStr">
        <is>
          <t>A-5058__6</t>
        </is>
      </c>
      <c r="C543" s="1" t="n">
        <v>37.22530782</v>
      </c>
      <c r="D543" s="1" t="n">
        <v>-7.02878231786</v>
      </c>
      <c r="E543" s="3" t="n">
        <v>2</v>
      </c>
      <c r="F543" s="2" t="n">
        <v>2</v>
      </c>
      <c r="G543" s="4" t="n">
        <v>2</v>
      </c>
      <c r="H543" s="13" t="n"/>
      <c r="I543" s="15" t="n"/>
      <c r="J543" s="19" t="n">
        <v>2</v>
      </c>
      <c r="K543" s="2" t="inlineStr">
        <is>
          <t>marker_924_379860.png</t>
        </is>
      </c>
      <c r="L543" s="11">
        <f>HYPERLINK("2\0\" &amp; K543, "Ver Imagen")</f>
        <v/>
      </c>
      <c r="M543" t="inlineStr">
        <is>
          <t>Moda</t>
        </is>
      </c>
    </row>
    <row r="544">
      <c r="A544" t="n">
        <v>543</v>
      </c>
      <c r="B544" t="inlineStr">
        <is>
          <t>A-5058__26</t>
        </is>
      </c>
      <c r="C544" s="1" t="n">
        <v>37.2248306718</v>
      </c>
      <c r="D544" s="1" t="n">
        <v>-7.03373858799</v>
      </c>
      <c r="E544" s="3" t="n">
        <v>2</v>
      </c>
      <c r="F544" s="2" t="n">
        <v>2</v>
      </c>
      <c r="G544" s="4" t="n">
        <v>2</v>
      </c>
      <c r="H544" s="13" t="n"/>
      <c r="I544" s="15" t="n"/>
      <c r="J544" s="19" t="n">
        <v>2</v>
      </c>
      <c r="K544" s="2" t="inlineStr">
        <is>
          <t>marker_497_380147.png</t>
        </is>
      </c>
      <c r="L544" s="11">
        <f>HYPERLINK("2\0\" &amp; K544, "Ver Imagen")</f>
        <v/>
      </c>
      <c r="M544" t="inlineStr">
        <is>
          <t>Moda</t>
        </is>
      </c>
    </row>
    <row r="545">
      <c r="A545" t="n">
        <v>544</v>
      </c>
      <c r="B545" t="inlineStr">
        <is>
          <t>A-495__163</t>
        </is>
      </c>
      <c r="C545" s="1" t="n">
        <v>37.4321037257</v>
      </c>
      <c r="D545" s="1" t="n">
        <v>-7.06308269402</v>
      </c>
      <c r="E545" s="3" t="n">
        <v>2</v>
      </c>
      <c r="F545" s="2" t="n">
        <v>2</v>
      </c>
      <c r="G545" s="4" t="n">
        <v>2</v>
      </c>
      <c r="H545" s="13" t="n"/>
      <c r="I545" s="15" t="n"/>
      <c r="J545" s="19" t="n">
        <v>2</v>
      </c>
      <c r="K545" s="2" t="inlineStr">
        <is>
          <t>marker_795_382840.png</t>
        </is>
      </c>
      <c r="L545" s="11">
        <f>HYPERLINK("2\0\" &amp; K545, "Ver Imagen")</f>
        <v/>
      </c>
      <c r="M545" t="inlineStr">
        <is>
          <t>Moda</t>
        </is>
      </c>
    </row>
    <row r="546">
      <c r="A546" t="n">
        <v>545</v>
      </c>
      <c r="B546" t="inlineStr">
        <is>
          <t>A-5058__29</t>
        </is>
      </c>
      <c r="C546" s="1" t="n">
        <v>37.2246155848</v>
      </c>
      <c r="D546" s="1" t="n">
        <v>-7.03444720452</v>
      </c>
      <c r="E546" s="3" t="n">
        <v>2</v>
      </c>
      <c r="F546" s="2" t="n">
        <v>2</v>
      </c>
      <c r="G546" s="4" t="n">
        <v>2</v>
      </c>
      <c r="H546" s="13" t="n"/>
      <c r="I546" s="15" t="n"/>
      <c r="J546" s="19" t="n">
        <v>2</v>
      </c>
      <c r="K546" s="2" t="inlineStr">
        <is>
          <t>marker_398_380181.png</t>
        </is>
      </c>
      <c r="L546" s="11">
        <f>HYPERLINK("2\0\" &amp; K546, "Ver Imagen")</f>
        <v/>
      </c>
      <c r="M546" t="inlineStr">
        <is>
          <t>Moda</t>
        </is>
      </c>
    </row>
    <row r="547">
      <c r="A547" t="n">
        <v>546</v>
      </c>
      <c r="B547" t="inlineStr">
        <is>
          <t>A-5058__38</t>
        </is>
      </c>
      <c r="C547" s="1" t="n">
        <v>37.224575943</v>
      </c>
      <c r="D547" s="1" t="n">
        <v>-7.03648997683</v>
      </c>
      <c r="E547" s="3" t="n">
        <v>2</v>
      </c>
      <c r="F547" s="2" t="n">
        <v>2</v>
      </c>
      <c r="G547" s="4" t="n">
        <v>2</v>
      </c>
      <c r="H547" s="13" t="n"/>
      <c r="I547" s="15" t="n"/>
      <c r="J547" s="19" t="n">
        <v>2</v>
      </c>
      <c r="K547" s="2" t="inlineStr">
        <is>
          <t>marker_619_380274.png</t>
        </is>
      </c>
      <c r="L547" s="11">
        <f>HYPERLINK("2\0\" &amp; K547, "Ver Imagen")</f>
        <v/>
      </c>
      <c r="M547" t="inlineStr">
        <is>
          <t>Moda</t>
        </is>
      </c>
    </row>
    <row r="548">
      <c r="A548" t="n">
        <v>547</v>
      </c>
      <c r="B548" t="inlineStr">
        <is>
          <t>A-5058__39</t>
        </is>
      </c>
      <c r="C548" s="1" t="n">
        <v>37.2245866652</v>
      </c>
      <c r="D548" s="1" t="n">
        <v>-7.03672925335</v>
      </c>
      <c r="E548" s="3" t="n">
        <v>2</v>
      </c>
      <c r="F548" s="2" t="n">
        <v>2</v>
      </c>
      <c r="G548" s="4" t="n">
        <v>2</v>
      </c>
      <c r="H548" s="13" t="n"/>
      <c r="I548" s="15" t="n"/>
      <c r="J548" s="19" t="n">
        <v>2</v>
      </c>
      <c r="K548" s="2" t="inlineStr">
        <is>
          <t>marker_610_380286.png</t>
        </is>
      </c>
      <c r="L548" s="11">
        <f>HYPERLINK("2\0\" &amp; K548, "Ver Imagen")</f>
        <v/>
      </c>
      <c r="M548" t="inlineStr">
        <is>
          <t>Moda</t>
        </is>
      </c>
    </row>
    <row r="549">
      <c r="A549" t="n">
        <v>548</v>
      </c>
      <c r="B549" t="inlineStr">
        <is>
          <t>A-5058__40</t>
        </is>
      </c>
      <c r="C549" s="1" t="n">
        <v>37.2245994083</v>
      </c>
      <c r="D549" s="1" t="n">
        <v>-7.03699825878</v>
      </c>
      <c r="E549" s="3" t="n">
        <v>2</v>
      </c>
      <c r="F549" s="2" t="n">
        <v>2</v>
      </c>
      <c r="G549" s="4" t="n">
        <v>2</v>
      </c>
      <c r="H549" s="13" t="n"/>
      <c r="I549" s="15" t="n"/>
      <c r="J549" s="19" t="n">
        <v>2</v>
      </c>
      <c r="K549" s="2" t="inlineStr">
        <is>
          <t>marker_154_380296.png</t>
        </is>
      </c>
      <c r="L549" s="11">
        <f>HYPERLINK("2\0\" &amp; K549, "Ver Imagen")</f>
        <v/>
      </c>
      <c r="M549" t="inlineStr">
        <is>
          <t>Moda</t>
        </is>
      </c>
    </row>
    <row r="550">
      <c r="A550" t="n">
        <v>549</v>
      </c>
      <c r="B550" t="inlineStr">
        <is>
          <t>A-495__170</t>
        </is>
      </c>
      <c r="C550" s="1" t="n">
        <v>37.4313819344</v>
      </c>
      <c r="D550" s="1" t="n">
        <v>-7.06151426692</v>
      </c>
      <c r="E550" s="3" t="n">
        <v>2</v>
      </c>
      <c r="F550" s="2" t="n">
        <v>2</v>
      </c>
      <c r="G550" s="4" t="n">
        <v>2</v>
      </c>
      <c r="H550" s="13" t="n"/>
      <c r="I550" s="15" t="n"/>
      <c r="J550" s="19" t="n">
        <v>2</v>
      </c>
      <c r="K550" s="2" t="inlineStr">
        <is>
          <t>marker_887_382911.png</t>
        </is>
      </c>
      <c r="L550" s="11">
        <f>HYPERLINK("2\0\" &amp; K550, "Ver Imagen")</f>
        <v/>
      </c>
      <c r="M550" t="inlineStr">
        <is>
          <t>Moda</t>
        </is>
      </c>
    </row>
    <row r="551">
      <c r="A551" t="n">
        <v>550</v>
      </c>
      <c r="B551" t="inlineStr">
        <is>
          <t>A-5058__45</t>
        </is>
      </c>
      <c r="C551" s="1" t="n">
        <v>37.2246684183</v>
      </c>
      <c r="D551" s="1" t="n">
        <v>-7.03827123131</v>
      </c>
      <c r="E551" s="3" t="n">
        <v>2</v>
      </c>
      <c r="F551" s="2" t="n">
        <v>2</v>
      </c>
      <c r="G551" s="4" t="n">
        <v>2</v>
      </c>
      <c r="H551" s="13" t="n"/>
      <c r="I551" s="15" t="n"/>
      <c r="J551" s="19" t="n">
        <v>2</v>
      </c>
      <c r="K551" s="2" t="inlineStr">
        <is>
          <t>marker_610_380473.png</t>
        </is>
      </c>
      <c r="L551" s="11">
        <f>HYPERLINK("2\0\" &amp; K551, "Ver Imagen")</f>
        <v/>
      </c>
      <c r="M551" t="inlineStr">
        <is>
          <t>Moda</t>
        </is>
      </c>
    </row>
    <row r="552">
      <c r="A552" t="n">
        <v>551</v>
      </c>
      <c r="B552" t="inlineStr">
        <is>
          <t>A-5058__46</t>
        </is>
      </c>
      <c r="C552" s="1" t="n">
        <v>37.224690285</v>
      </c>
      <c r="D552" s="1" t="n">
        <v>-7.03851704007</v>
      </c>
      <c r="E552" s="3" t="n">
        <v>2</v>
      </c>
      <c r="F552" s="2" t="n">
        <v>2</v>
      </c>
      <c r="G552" s="4" t="n">
        <v>2</v>
      </c>
      <c r="H552" s="13" t="n"/>
      <c r="I552" s="15" t="n"/>
      <c r="J552" s="19" t="n">
        <v>2</v>
      </c>
      <c r="K552" s="2" t="inlineStr">
        <is>
          <t>marker_536_380488.png</t>
        </is>
      </c>
      <c r="L552" s="11">
        <f>HYPERLINK("2\0\" &amp; K552, "Ver Imagen")</f>
        <v/>
      </c>
      <c r="M552" t="inlineStr">
        <is>
          <t>Moda</t>
        </is>
      </c>
    </row>
    <row r="553">
      <c r="A553" t="n">
        <v>552</v>
      </c>
      <c r="B553" t="inlineStr">
        <is>
          <t>A-5058__51</t>
        </is>
      </c>
      <c r="C553" s="1" t="n">
        <v>37.2249064789</v>
      </c>
      <c r="D553" s="1" t="n">
        <v>-7.03975251656</v>
      </c>
      <c r="E553" s="3" t="n">
        <v>2</v>
      </c>
      <c r="F553" s="2" t="n">
        <v>2</v>
      </c>
      <c r="G553" s="4" t="n">
        <v>2</v>
      </c>
      <c r="H553" s="13" t="n"/>
      <c r="I553" s="15" t="n"/>
      <c r="J553" s="19" t="n">
        <v>2</v>
      </c>
      <c r="K553" s="2" t="inlineStr">
        <is>
          <t>marker_178_380543.png</t>
        </is>
      </c>
      <c r="L553" s="11">
        <f>HYPERLINK("2\0\" &amp; K553, "Ver Imagen")</f>
        <v/>
      </c>
      <c r="M553" t="inlineStr">
        <is>
          <t>Moda</t>
        </is>
      </c>
    </row>
    <row r="554">
      <c r="A554" t="n">
        <v>553</v>
      </c>
      <c r="B554" t="inlineStr">
        <is>
          <t>A-5058__53</t>
        </is>
      </c>
      <c r="C554" s="1" t="n">
        <v>37.225028771</v>
      </c>
      <c r="D554" s="1" t="n">
        <v>-7.04025401857</v>
      </c>
      <c r="E554" s="3" t="n">
        <v>2</v>
      </c>
      <c r="F554" s="2" t="n">
        <v>2</v>
      </c>
      <c r="G554" s="4" t="n">
        <v>2</v>
      </c>
      <c r="H554" s="13" t="n"/>
      <c r="I554" s="15" t="n"/>
      <c r="J554" s="19" t="n">
        <v>2</v>
      </c>
      <c r="K554" s="2" t="inlineStr">
        <is>
          <t>marker_280_380560.png</t>
        </is>
      </c>
      <c r="L554" s="11">
        <f>HYPERLINK("2\0\" &amp; K554, "Ver Imagen")</f>
        <v/>
      </c>
      <c r="M554" t="inlineStr">
        <is>
          <t>Moda</t>
        </is>
      </c>
    </row>
    <row r="555">
      <c r="A555" t="n">
        <v>554</v>
      </c>
      <c r="B555" t="inlineStr">
        <is>
          <t>A-5058__54</t>
        </is>
      </c>
      <c r="C555" s="1" t="n">
        <v>37.22508697</v>
      </c>
      <c r="D555" s="1" t="n">
        <v>-7.04047692088</v>
      </c>
      <c r="E555" s="3" t="n">
        <v>2</v>
      </c>
      <c r="F555" s="2" t="n">
        <v>2</v>
      </c>
      <c r="G555" s="4" t="n">
        <v>2</v>
      </c>
      <c r="H555" s="13" t="n"/>
      <c r="I555" s="15" t="n"/>
      <c r="J555" s="19" t="n">
        <v>2</v>
      </c>
      <c r="K555" s="2" t="inlineStr">
        <is>
          <t>marker_354_380579.png</t>
        </is>
      </c>
      <c r="L555" s="11">
        <f>HYPERLINK("2\0\" &amp; K555, "Ver Imagen")</f>
        <v/>
      </c>
      <c r="M555" t="inlineStr">
        <is>
          <t>Moda</t>
        </is>
      </c>
    </row>
    <row r="556">
      <c r="A556" t="n">
        <v>555</v>
      </c>
      <c r="B556" t="inlineStr">
        <is>
          <t>A-5058__55</t>
        </is>
      </c>
      <c r="C556" s="1" t="n">
        <v>37.2251477688</v>
      </c>
      <c r="D556" s="1" t="n">
        <v>-7.04069393086</v>
      </c>
      <c r="E556" s="3" t="n">
        <v>2</v>
      </c>
      <c r="F556" s="2" t="n">
        <v>2</v>
      </c>
      <c r="G556" s="4" t="n">
        <v>2</v>
      </c>
      <c r="H556" s="13" t="n"/>
      <c r="I556" s="15" t="n"/>
      <c r="J556" s="19" t="n">
        <v>2</v>
      </c>
      <c r="K556" s="2" t="inlineStr">
        <is>
          <t>marker_748_380589.png</t>
        </is>
      </c>
      <c r="L556" s="11">
        <f>HYPERLINK("2\0\" &amp; K556, "Ver Imagen")</f>
        <v/>
      </c>
      <c r="M556" t="inlineStr">
        <is>
          <t>Moda</t>
        </is>
      </c>
    </row>
    <row r="557">
      <c r="A557" t="n">
        <v>556</v>
      </c>
      <c r="B557" t="inlineStr">
        <is>
          <t>A-5058__155</t>
        </is>
      </c>
      <c r="C557" s="1" t="n">
        <v>37.2340742055</v>
      </c>
      <c r="D557" s="1" t="n">
        <v>-7.06256255485</v>
      </c>
      <c r="E557" s="3" t="n">
        <v>2</v>
      </c>
      <c r="F557" s="2" t="n">
        <v>2</v>
      </c>
      <c r="G557" s="4" t="n">
        <v>2</v>
      </c>
      <c r="H557" s="13" t="n"/>
      <c r="I557" s="15" t="n"/>
      <c r="J557" s="19" t="n">
        <v>2</v>
      </c>
      <c r="K557" s="2" t="inlineStr">
        <is>
          <t>marker_312_381759.png</t>
        </is>
      </c>
      <c r="L557" s="11">
        <f>HYPERLINK("2\0\" &amp; K557, "Ver Imagen")</f>
        <v/>
      </c>
      <c r="M557" t="inlineStr">
        <is>
          <t>Moda</t>
        </is>
      </c>
    </row>
    <row r="558">
      <c r="A558" t="n">
        <v>557</v>
      </c>
      <c r="B558" t="inlineStr">
        <is>
          <t>A-5058__187</t>
        </is>
      </c>
      <c r="C558" s="1" t="n">
        <v>37.2341744169</v>
      </c>
      <c r="D558" s="1" t="n">
        <v>-7.0702943755</v>
      </c>
      <c r="E558" s="3" t="n">
        <v>2</v>
      </c>
      <c r="F558" s="2" t="n">
        <v>2</v>
      </c>
      <c r="G558" s="4" t="n">
        <v>2</v>
      </c>
      <c r="H558" s="13" t="n"/>
      <c r="I558" s="15" t="n"/>
      <c r="J558" s="19" t="n">
        <v>2</v>
      </c>
      <c r="K558" s="2" t="inlineStr">
        <is>
          <t>marker_212_382749.png</t>
        </is>
      </c>
      <c r="L558" s="11">
        <f>HYPERLINK("2\0\" &amp; K558, "Ver Imagen")</f>
        <v/>
      </c>
      <c r="M558" t="inlineStr">
        <is>
          <t>Moda</t>
        </is>
      </c>
    </row>
    <row r="559">
      <c r="A559" t="n">
        <v>558</v>
      </c>
      <c r="B559" t="inlineStr">
        <is>
          <t>A-5058__355</t>
        </is>
      </c>
      <c r="C559" s="1" t="n">
        <v>37.252324204</v>
      </c>
      <c r="D559" s="1" t="n">
        <v>-7.10448330142</v>
      </c>
      <c r="E559" s="3" t="n">
        <v>2</v>
      </c>
      <c r="F559" s="2" t="n">
        <v>2</v>
      </c>
      <c r="G559" s="4" t="n">
        <v>2</v>
      </c>
      <c r="H559" s="13" t="n"/>
      <c r="I559" s="15" t="n"/>
      <c r="J559" s="19" t="n">
        <v>2</v>
      </c>
      <c r="K559" s="2" t="inlineStr">
        <is>
          <t>marker_606_384916.png</t>
        </is>
      </c>
      <c r="L559" s="11">
        <f>HYPERLINK("2\0\" &amp; K559, "Ver Imagen")</f>
        <v/>
      </c>
      <c r="M559" t="inlineStr">
        <is>
          <t>Moda</t>
        </is>
      </c>
    </row>
    <row r="560">
      <c r="A560" t="n">
        <v>559</v>
      </c>
      <c r="B560" t="inlineStr">
        <is>
          <t>A-495_1__189</t>
        </is>
      </c>
      <c r="C560" s="1" t="n">
        <v>37.4837549312</v>
      </c>
      <c r="D560" s="1" t="n">
        <v>-7.12966778717</v>
      </c>
      <c r="E560" s="3" t="n">
        <v>2</v>
      </c>
      <c r="F560" s="2" t="n">
        <v>2</v>
      </c>
      <c r="G560" s="4" t="n">
        <v>2</v>
      </c>
      <c r="H560" s="13" t="n"/>
      <c r="I560" s="15" t="n"/>
      <c r="J560" s="19" t="n">
        <v>2</v>
      </c>
      <c r="K560" s="2" t="inlineStr">
        <is>
          <t>marker_832_383736.png</t>
        </is>
      </c>
      <c r="L560" s="11">
        <f>HYPERLINK("2\0\" &amp; K560, "Ver Imagen")</f>
        <v/>
      </c>
      <c r="M560" t="inlineStr">
        <is>
          <t>Moda</t>
        </is>
      </c>
    </row>
    <row r="561">
      <c r="A561" t="n">
        <v>560</v>
      </c>
      <c r="B561" t="inlineStr">
        <is>
          <t>A-495_1__184</t>
        </is>
      </c>
      <c r="C561" s="1" t="n">
        <v>37.4829816521</v>
      </c>
      <c r="D561" s="1" t="n">
        <v>-7.12891321393</v>
      </c>
      <c r="E561" s="3" t="n">
        <v>2</v>
      </c>
      <c r="F561" s="2" t="n">
        <v>2</v>
      </c>
      <c r="G561" s="4" t="n">
        <v>2</v>
      </c>
      <c r="H561" s="13" t="n"/>
      <c r="I561" s="15" t="n"/>
      <c r="J561" s="19" t="n">
        <v>2</v>
      </c>
      <c r="K561" s="2" t="inlineStr">
        <is>
          <t>marker_827_383784.png</t>
        </is>
      </c>
      <c r="L561" s="11">
        <f>HYPERLINK("2\0\" &amp; K561, "Ver Imagen")</f>
        <v/>
      </c>
      <c r="M561" t="inlineStr">
        <is>
          <t>Moda</t>
        </is>
      </c>
    </row>
    <row r="562">
      <c r="A562" t="n">
        <v>561</v>
      </c>
      <c r="B562" t="inlineStr">
        <is>
          <t>A-495_1__180</t>
        </is>
      </c>
      <c r="C562" s="1" t="n">
        <v>37.4822583253</v>
      </c>
      <c r="D562" s="1" t="n">
        <v>-7.12842244541</v>
      </c>
      <c r="E562" s="3" t="n">
        <v>2</v>
      </c>
      <c r="F562" s="2" t="n">
        <v>2</v>
      </c>
      <c r="G562" s="4" t="n">
        <v>2</v>
      </c>
      <c r="H562" s="13" t="n"/>
      <c r="I562" s="15" t="n"/>
      <c r="J562" s="19" t="n">
        <v>2</v>
      </c>
      <c r="K562" s="2" t="inlineStr">
        <is>
          <t>marker_594_383820.png</t>
        </is>
      </c>
      <c r="L562" s="11">
        <f>HYPERLINK("2\0\" &amp; K562, "Ver Imagen")</f>
        <v/>
      </c>
      <c r="M562" t="inlineStr">
        <is>
          <t>Moda</t>
        </is>
      </c>
    </row>
    <row r="563">
      <c r="A563" t="n">
        <v>562</v>
      </c>
      <c r="B563" t="inlineStr">
        <is>
          <t>A-495_1__175</t>
        </is>
      </c>
      <c r="C563" s="1" t="n">
        <v>37.4813257898</v>
      </c>
      <c r="D563" s="1" t="n">
        <v>-7.12791568247</v>
      </c>
      <c r="E563" s="3" t="n">
        <v>2</v>
      </c>
      <c r="F563" s="2" t="n">
        <v>2</v>
      </c>
      <c r="G563" s="4" t="n">
        <v>2</v>
      </c>
      <c r="H563" s="13" t="n"/>
      <c r="I563" s="15" t="n"/>
      <c r="J563" s="19" t="n">
        <v>2</v>
      </c>
      <c r="K563" s="2" t="inlineStr">
        <is>
          <t>marker_213_383943.png</t>
        </is>
      </c>
      <c r="L563" s="11">
        <f>HYPERLINK("2\0\" &amp; K563, "Ver Imagen")</f>
        <v/>
      </c>
      <c r="M563" t="inlineStr">
        <is>
          <t>Moda</t>
        </is>
      </c>
    </row>
    <row r="564">
      <c r="A564" t="n">
        <v>563</v>
      </c>
      <c r="B564" t="inlineStr">
        <is>
          <t>A-495_1__173</t>
        </is>
      </c>
      <c r="C564" s="1" t="n">
        <v>37.4809360266</v>
      </c>
      <c r="D564" s="1" t="n">
        <v>-7.12779956441</v>
      </c>
      <c r="E564" s="3" t="n">
        <v>2</v>
      </c>
      <c r="F564" s="2" t="n">
        <v>2</v>
      </c>
      <c r="G564" s="4" t="n">
        <v>2</v>
      </c>
      <c r="H564" s="13" t="n"/>
      <c r="I564" s="15" t="n"/>
      <c r="J564" s="19" t="n">
        <v>2</v>
      </c>
      <c r="K564" s="2" t="inlineStr">
        <is>
          <t>marker_641_383960.png</t>
        </is>
      </c>
      <c r="L564" s="11">
        <f>HYPERLINK("2\0\" &amp; K564, "Ver Imagen")</f>
        <v/>
      </c>
      <c r="M564" t="inlineStr">
        <is>
          <t>Moda</t>
        </is>
      </c>
    </row>
    <row r="565">
      <c r="A565" t="n">
        <v>564</v>
      </c>
      <c r="B565" t="inlineStr">
        <is>
          <t>A-495_1__85</t>
        </is>
      </c>
      <c r="C565" s="1" t="n">
        <v>37.4646988984</v>
      </c>
      <c r="D565" s="1" t="n">
        <v>-7.12341941892</v>
      </c>
      <c r="E565" s="3" t="n">
        <v>2</v>
      </c>
      <c r="F565" s="2" t="n">
        <v>2</v>
      </c>
      <c r="G565" s="4" t="n">
        <v>2</v>
      </c>
      <c r="H565" s="13" t="n"/>
      <c r="I565" s="15" t="n"/>
      <c r="J565" s="19" t="n">
        <v>2</v>
      </c>
      <c r="K565" s="2" t="inlineStr">
        <is>
          <t>marker_568_385192.png</t>
        </is>
      </c>
      <c r="L565" s="11">
        <f>HYPERLINK("2\0\" &amp; K565, "Ver Imagen")</f>
        <v/>
      </c>
      <c r="M565" t="inlineStr">
        <is>
          <t>Moda</t>
        </is>
      </c>
    </row>
    <row r="566">
      <c r="A566" t="n">
        <v>565</v>
      </c>
      <c r="B566" t="inlineStr">
        <is>
          <t>A-495_1__72</t>
        </is>
      </c>
      <c r="C566" s="1" t="n">
        <v>37.4621907929</v>
      </c>
      <c r="D566" s="1" t="n">
        <v>-7.1243069922</v>
      </c>
      <c r="E566" s="3" t="n">
        <v>2</v>
      </c>
      <c r="F566" s="2" t="n">
        <v>2</v>
      </c>
      <c r="G566" s="4" t="n">
        <v>2</v>
      </c>
      <c r="H566" s="13" t="n"/>
      <c r="I566" s="15" t="n"/>
      <c r="J566" s="19" t="n">
        <v>2</v>
      </c>
      <c r="K566" s="2" t="inlineStr">
        <is>
          <t>marker_737_385309.png</t>
        </is>
      </c>
      <c r="L566" s="11">
        <f>HYPERLINK("2\0\" &amp; K566, "Ver Imagen")</f>
        <v/>
      </c>
      <c r="M566" t="inlineStr">
        <is>
          <t>Moda</t>
        </is>
      </c>
    </row>
    <row r="567">
      <c r="A567" t="n">
        <v>566</v>
      </c>
      <c r="B567" t="inlineStr">
        <is>
          <t>A-495_1__65</t>
        </is>
      </c>
      <c r="C567" s="1" t="n">
        <v>37.4608015763</v>
      </c>
      <c r="D567" s="1" t="n">
        <v>-7.12464476614</v>
      </c>
      <c r="E567" s="3" t="n">
        <v>2</v>
      </c>
      <c r="F567" s="2" t="n">
        <v>2</v>
      </c>
      <c r="G567" s="4" t="n">
        <v>2</v>
      </c>
      <c r="H567" s="13" t="n"/>
      <c r="I567" s="15" t="n"/>
      <c r="J567" s="19" t="n">
        <v>2</v>
      </c>
      <c r="K567" s="2" t="inlineStr">
        <is>
          <t>marker_342_385373.png</t>
        </is>
      </c>
      <c r="L567" s="11">
        <f>HYPERLINK("2\0\" &amp; K567, "Ver Imagen")</f>
        <v/>
      </c>
      <c r="M567" t="inlineStr">
        <is>
          <t>Moda</t>
        </is>
      </c>
    </row>
    <row r="568">
      <c r="A568" t="n">
        <v>567</v>
      </c>
      <c r="B568" t="inlineStr">
        <is>
          <t>A-495_1__64</t>
        </is>
      </c>
      <c r="C568" s="1" t="n">
        <v>37.460572504</v>
      </c>
      <c r="D568" s="1" t="n">
        <v>-7.12471259685</v>
      </c>
      <c r="E568" s="3" t="n">
        <v>2</v>
      </c>
      <c r="F568" s="2" t="n">
        <v>2</v>
      </c>
      <c r="G568" s="4" t="n">
        <v>2</v>
      </c>
      <c r="H568" s="13" t="n"/>
      <c r="I568" s="15" t="n"/>
      <c r="J568" s="19" t="n">
        <v>2</v>
      </c>
      <c r="K568" s="2" t="inlineStr">
        <is>
          <t>marker_842_385382.png</t>
        </is>
      </c>
      <c r="L568" s="11">
        <f>HYPERLINK("2\0\" &amp; K568, "Ver Imagen")</f>
        <v/>
      </c>
      <c r="M568" t="inlineStr">
        <is>
          <t>Moda</t>
        </is>
      </c>
    </row>
    <row r="569">
      <c r="A569" t="n">
        <v>568</v>
      </c>
      <c r="B569" t="inlineStr">
        <is>
          <t>A-495_1__63</t>
        </is>
      </c>
      <c r="C569" s="1" t="n">
        <v>37.4603461712</v>
      </c>
      <c r="D569" s="1" t="n">
        <v>-7.12478335314</v>
      </c>
      <c r="E569" s="3" t="n">
        <v>2</v>
      </c>
      <c r="F569" s="2" t="n">
        <v>2</v>
      </c>
      <c r="G569" s="4" t="n">
        <v>2</v>
      </c>
      <c r="H569" s="13" t="n"/>
      <c r="I569" s="15" t="n"/>
      <c r="J569" s="19" t="n">
        <v>2</v>
      </c>
      <c r="K569" s="2" t="inlineStr">
        <is>
          <t>marker_973_385391.png</t>
        </is>
      </c>
      <c r="L569" s="11">
        <f>HYPERLINK("2\0\" &amp; K569, "Ver Imagen")</f>
        <v/>
      </c>
      <c r="M569" t="inlineStr">
        <is>
          <t>Moda</t>
        </is>
      </c>
    </row>
    <row r="570">
      <c r="A570" t="n">
        <v>569</v>
      </c>
      <c r="B570" t="inlineStr">
        <is>
          <t>A-495_1__57</t>
        </is>
      </c>
      <c r="C570" s="1" t="n">
        <v>37.4591767065</v>
      </c>
      <c r="D570" s="1" t="n">
        <v>-7.12519665313</v>
      </c>
      <c r="E570" s="3" t="n">
        <v>2</v>
      </c>
      <c r="F570" s="2" t="n">
        <v>2</v>
      </c>
      <c r="G570" s="4" t="n">
        <v>2</v>
      </c>
      <c r="H570" s="13" t="n"/>
      <c r="I570" s="15" t="n"/>
      <c r="J570" s="19" t="n">
        <v>2</v>
      </c>
      <c r="K570" s="2" t="inlineStr">
        <is>
          <t>marker_833_385499.png</t>
        </is>
      </c>
      <c r="L570" s="11">
        <f>HYPERLINK("2\0\" &amp; K570, "Ver Imagen")</f>
        <v/>
      </c>
      <c r="M570" t="inlineStr">
        <is>
          <t>Moda</t>
        </is>
      </c>
    </row>
    <row r="571">
      <c r="A571" t="n">
        <v>570</v>
      </c>
      <c r="B571" t="inlineStr">
        <is>
          <t>A-495_1__56</t>
        </is>
      </c>
      <c r="C571" s="1" t="n">
        <v>37.4589741402</v>
      </c>
      <c r="D571" s="1" t="n">
        <v>-7.12527034953</v>
      </c>
      <c r="E571" s="3" t="n">
        <v>2</v>
      </c>
      <c r="F571" s="2" t="n">
        <v>2</v>
      </c>
      <c r="G571" s="4" t="n">
        <v>2</v>
      </c>
      <c r="H571" s="13" t="n"/>
      <c r="I571" s="15" t="n"/>
      <c r="J571" s="19" t="n">
        <v>2</v>
      </c>
      <c r="K571" s="2" t="inlineStr">
        <is>
          <t>marker_203_385509.png</t>
        </is>
      </c>
      <c r="L571" s="11">
        <f>HYPERLINK("2\0\" &amp; K571, "Ver Imagen")</f>
        <v/>
      </c>
      <c r="M571" t="inlineStr">
        <is>
          <t>Moda</t>
        </is>
      </c>
    </row>
    <row r="572">
      <c r="A572" t="n">
        <v>571</v>
      </c>
      <c r="B572" t="inlineStr">
        <is>
          <t>A-495_1__54</t>
        </is>
      </c>
      <c r="C572" s="1" t="n">
        <v>37.4586526525</v>
      </c>
      <c r="D572" s="1" t="n">
        <v>-7.125385956</v>
      </c>
      <c r="E572" s="3" t="n">
        <v>2</v>
      </c>
      <c r="F572" s="2" t="n">
        <v>2</v>
      </c>
      <c r="G572" s="4" t="n">
        <v>2</v>
      </c>
      <c r="H572" s="13" t="n"/>
      <c r="I572" s="15" t="n"/>
      <c r="J572" s="19" t="n">
        <v>2</v>
      </c>
      <c r="K572" s="2" t="inlineStr">
        <is>
          <t>marker_987_385527.png</t>
        </is>
      </c>
      <c r="L572" s="11">
        <f>HYPERLINK("2\0\" &amp; K572, "Ver Imagen")</f>
        <v/>
      </c>
      <c r="M572" t="inlineStr">
        <is>
          <t>Moda</t>
        </is>
      </c>
    </row>
    <row r="573">
      <c r="A573" t="n">
        <v>572</v>
      </c>
      <c r="B573" t="inlineStr">
        <is>
          <t>A-495_1__50</t>
        </is>
      </c>
      <c r="C573" s="1" t="n">
        <v>37.457853999</v>
      </c>
      <c r="D573" s="1" t="n">
        <v>-7.12567812547</v>
      </c>
      <c r="E573" s="3" t="n">
        <v>2</v>
      </c>
      <c r="F573" s="2" t="n">
        <v>2</v>
      </c>
      <c r="G573" s="4" t="n">
        <v>2</v>
      </c>
      <c r="H573" s="13" t="n"/>
      <c r="I573" s="15" t="n"/>
      <c r="J573" s="19" t="n">
        <v>2</v>
      </c>
      <c r="K573" s="2" t="inlineStr">
        <is>
          <t>marker_518_385561.png</t>
        </is>
      </c>
      <c r="L573" s="11">
        <f>HYPERLINK("2\0\" &amp; K573, "Ver Imagen")</f>
        <v/>
      </c>
      <c r="M573" t="inlineStr">
        <is>
          <t>Moda</t>
        </is>
      </c>
    </row>
    <row r="574">
      <c r="A574" t="n">
        <v>573</v>
      </c>
      <c r="B574" t="inlineStr">
        <is>
          <t>A-495_1__48</t>
        </is>
      </c>
      <c r="C574" s="1" t="n">
        <v>37.4574552001</v>
      </c>
      <c r="D574" s="1" t="n">
        <v>-7.12581919618</v>
      </c>
      <c r="E574" s="3" t="n">
        <v>2</v>
      </c>
      <c r="F574" s="2" t="n">
        <v>2</v>
      </c>
      <c r="G574" s="4" t="n">
        <v>2</v>
      </c>
      <c r="H574" s="13" t="n"/>
      <c r="I574" s="15" t="n"/>
      <c r="J574" s="19" t="n">
        <v>2</v>
      </c>
      <c r="K574" s="2" t="inlineStr">
        <is>
          <t>marker_921_385579.png</t>
        </is>
      </c>
      <c r="L574" s="11">
        <f>HYPERLINK("2\0\" &amp; K574, "Ver Imagen")</f>
        <v/>
      </c>
      <c r="M574" t="inlineStr">
        <is>
          <t>Moda</t>
        </is>
      </c>
    </row>
    <row r="575">
      <c r="A575" t="n">
        <v>574</v>
      </c>
      <c r="B575" t="inlineStr">
        <is>
          <t>A-495_1__47</t>
        </is>
      </c>
      <c r="C575" s="1" t="n">
        <v>37.4572872634</v>
      </c>
      <c r="D575" s="1" t="n">
        <v>-7.12588017273</v>
      </c>
      <c r="E575" s="3" t="n">
        <v>2</v>
      </c>
      <c r="F575" s="2" t="n">
        <v>2</v>
      </c>
      <c r="G575" s="4" t="n">
        <v>2</v>
      </c>
      <c r="H575" s="13" t="n"/>
      <c r="I575" s="15" t="n"/>
      <c r="J575" s="19" t="n">
        <v>2</v>
      </c>
      <c r="K575" s="2" t="inlineStr">
        <is>
          <t>marker_136_385588.png</t>
        </is>
      </c>
      <c r="L575" s="11">
        <f>HYPERLINK("2\0\" &amp; K575, "Ver Imagen")</f>
        <v/>
      </c>
      <c r="M575" t="inlineStr">
        <is>
          <t>Moda</t>
        </is>
      </c>
    </row>
    <row r="576">
      <c r="A576" t="n">
        <v>575</v>
      </c>
      <c r="B576" t="inlineStr">
        <is>
          <t>A-495_1__39</t>
        </is>
      </c>
      <c r="C576" s="1" t="n">
        <v>37.455712431</v>
      </c>
      <c r="D576" s="1" t="n">
        <v>-7.12646446694</v>
      </c>
      <c r="E576" s="3" t="n">
        <v>2</v>
      </c>
      <c r="F576" s="2" t="n">
        <v>2</v>
      </c>
      <c r="G576" s="4" t="n">
        <v>2</v>
      </c>
      <c r="H576" s="13" t="n"/>
      <c r="I576" s="15" t="n"/>
      <c r="J576" s="19" t="n">
        <v>2</v>
      </c>
      <c r="K576" s="2" t="inlineStr">
        <is>
          <t>marker_319_385664.png</t>
        </is>
      </c>
      <c r="L576" s="11">
        <f>HYPERLINK("2\0\" &amp; K576, "Ver Imagen")</f>
        <v/>
      </c>
      <c r="M576" t="inlineStr">
        <is>
          <t>Moda</t>
        </is>
      </c>
    </row>
    <row r="577">
      <c r="A577" t="n">
        <v>576</v>
      </c>
      <c r="B577" t="inlineStr">
        <is>
          <t>A-495_1__36</t>
        </is>
      </c>
      <c r="C577" s="1" t="n">
        <v>37.4551647546</v>
      </c>
      <c r="D577" s="1" t="n">
        <v>-7.12666611016</v>
      </c>
      <c r="E577" s="3" t="n">
        <v>2</v>
      </c>
      <c r="F577" s="2" t="n">
        <v>2</v>
      </c>
      <c r="G577" s="4" t="n">
        <v>2</v>
      </c>
      <c r="H577" s="13" t="n"/>
      <c r="I577" s="15" t="n"/>
      <c r="J577" s="19" t="n">
        <v>2</v>
      </c>
      <c r="K577" s="2" t="inlineStr">
        <is>
          <t>marker_165_385692.png</t>
        </is>
      </c>
      <c r="L577" s="11">
        <f>HYPERLINK("2\0\" &amp; K577, "Ver Imagen")</f>
        <v/>
      </c>
      <c r="M577" t="inlineStr">
        <is>
          <t>Moda</t>
        </is>
      </c>
    </row>
    <row r="578">
      <c r="A578" t="n">
        <v>577</v>
      </c>
      <c r="B578" t="inlineStr">
        <is>
          <t>A-495_1__31</t>
        </is>
      </c>
      <c r="C578" s="1" t="n">
        <v>37.4541493593</v>
      </c>
      <c r="D578" s="1" t="n">
        <v>-7.12703510884</v>
      </c>
      <c r="E578" s="3" t="n">
        <v>2</v>
      </c>
      <c r="F578" s="2" t="n">
        <v>2</v>
      </c>
      <c r="G578" s="4" t="n">
        <v>2</v>
      </c>
      <c r="H578" s="13" t="n"/>
      <c r="I578" s="15" t="n"/>
      <c r="J578" s="19" t="n">
        <v>2</v>
      </c>
      <c r="K578" s="2" t="inlineStr">
        <is>
          <t>marker_366_385862.png</t>
        </is>
      </c>
      <c r="L578" s="11">
        <f>HYPERLINK("2\0\" &amp; K578, "Ver Imagen")</f>
        <v/>
      </c>
      <c r="M578" t="inlineStr">
        <is>
          <t>Moda</t>
        </is>
      </c>
    </row>
    <row r="579">
      <c r="A579" t="n">
        <v>578</v>
      </c>
      <c r="B579" t="inlineStr">
        <is>
          <t>A-495_1__27</t>
        </is>
      </c>
      <c r="C579" s="1" t="n">
        <v>37.4533974866</v>
      </c>
      <c r="D579" s="1" t="n">
        <v>-7.1272650498</v>
      </c>
      <c r="E579" s="3" t="n">
        <v>2</v>
      </c>
      <c r="F579" s="2" t="n">
        <v>2</v>
      </c>
      <c r="G579" s="4" t="n">
        <v>2</v>
      </c>
      <c r="H579" s="13" t="n"/>
      <c r="I579" s="15" t="n"/>
      <c r="J579" s="19" t="n">
        <v>2</v>
      </c>
      <c r="K579" s="2" t="inlineStr">
        <is>
          <t>marker_975_385908.png</t>
        </is>
      </c>
      <c r="L579" s="11">
        <f>HYPERLINK("2\0\" &amp; K579, "Ver Imagen")</f>
        <v/>
      </c>
      <c r="M579" t="inlineStr">
        <is>
          <t>Moda</t>
        </is>
      </c>
    </row>
    <row r="580">
      <c r="A580" t="n">
        <v>579</v>
      </c>
      <c r="B580" t="inlineStr">
        <is>
          <t>A-495_1__19</t>
        </is>
      </c>
      <c r="C580" s="1" t="n">
        <v>37.4518016038</v>
      </c>
      <c r="D580" s="1" t="n">
        <v>-7.12746726119</v>
      </c>
      <c r="E580" s="3" t="n">
        <v>2</v>
      </c>
      <c r="F580" s="2" t="n">
        <v>2</v>
      </c>
      <c r="G580" s="4" t="n">
        <v>2</v>
      </c>
      <c r="H580" s="13" t="n"/>
      <c r="I580" s="15" t="n"/>
      <c r="J580" s="19" t="n">
        <v>2</v>
      </c>
      <c r="K580" s="2" t="inlineStr">
        <is>
          <t>marker_410_386134.png</t>
        </is>
      </c>
      <c r="L580" s="11">
        <f>HYPERLINK("2\0\" &amp; K580, "Ver Imagen")</f>
        <v/>
      </c>
      <c r="M580" t="inlineStr">
        <is>
          <t>Moda</t>
        </is>
      </c>
    </row>
    <row r="581">
      <c r="A581" t="n">
        <v>580</v>
      </c>
      <c r="B581" t="inlineStr">
        <is>
          <t>A-495_1__18</t>
        </is>
      </c>
      <c r="C581" s="1" t="n">
        <v>37.4515725938</v>
      </c>
      <c r="D581" s="1" t="n">
        <v>-7.12746362102</v>
      </c>
      <c r="E581" s="3" t="n">
        <v>2</v>
      </c>
      <c r="F581" s="2" t="n">
        <v>2</v>
      </c>
      <c r="G581" s="4" t="n">
        <v>2</v>
      </c>
      <c r="H581" s="13" t="n"/>
      <c r="I581" s="15" t="n"/>
      <c r="J581" s="19" t="n">
        <v>2</v>
      </c>
      <c r="K581" s="2" t="inlineStr">
        <is>
          <t>marker_277_386142.png</t>
        </is>
      </c>
      <c r="L581" s="11">
        <f>HYPERLINK("2\0\" &amp; K581, "Ver Imagen")</f>
        <v/>
      </c>
      <c r="M581" t="inlineStr">
        <is>
          <t>Moda</t>
        </is>
      </c>
    </row>
    <row r="582">
      <c r="A582" t="n">
        <v>581</v>
      </c>
      <c r="B582" t="inlineStr">
        <is>
          <t>A-499__1</t>
        </is>
      </c>
      <c r="C582" s="1" t="n">
        <v>37.4869648967</v>
      </c>
      <c r="D582" s="1" t="n">
        <v>-7.28020417248</v>
      </c>
      <c r="E582" s="3" t="n">
        <v>2</v>
      </c>
      <c r="F582" s="2" t="n">
        <v>2</v>
      </c>
      <c r="G582" s="4" t="n">
        <v>2</v>
      </c>
      <c r="H582" s="13" t="n"/>
      <c r="I582" s="15" t="n"/>
      <c r="J582" s="19" t="n">
        <v>2</v>
      </c>
      <c r="K582" s="2" t="inlineStr">
        <is>
          <t>marker_119_529185.png</t>
        </is>
      </c>
      <c r="L582" s="11">
        <f>HYPERLINK("2\0\" &amp; K582, "Ver Imagen")</f>
        <v/>
      </c>
      <c r="M582" t="inlineStr">
        <is>
          <t>Moda</t>
        </is>
      </c>
    </row>
    <row r="583">
      <c r="A583" t="n">
        <v>582</v>
      </c>
      <c r="B583" t="inlineStr">
        <is>
          <t>A-499__2</t>
        </is>
      </c>
      <c r="C583" s="1" t="n">
        <v>37.4871421812</v>
      </c>
      <c r="D583" s="1" t="n">
        <v>-7.28011070816</v>
      </c>
      <c r="E583" s="3" t="n">
        <v>2</v>
      </c>
      <c r="F583" s="2" t="n">
        <v>2</v>
      </c>
      <c r="G583" s="4" t="n">
        <v>2</v>
      </c>
      <c r="H583" s="13" t="n"/>
      <c r="I583" s="15" t="n"/>
      <c r="J583" s="19" t="n">
        <v>2</v>
      </c>
      <c r="K583" s="2" t="inlineStr">
        <is>
          <t>marker_388_529195.png</t>
        </is>
      </c>
      <c r="L583" s="11">
        <f>HYPERLINK("2\0\" &amp; K583, "Ver Imagen")</f>
        <v/>
      </c>
      <c r="M583" t="inlineStr">
        <is>
          <t>Moda</t>
        </is>
      </c>
    </row>
    <row r="584">
      <c r="A584" t="n">
        <v>583</v>
      </c>
      <c r="B584" t="inlineStr">
        <is>
          <t>A-499__5</t>
        </is>
      </c>
      <c r="C584" s="1" t="n">
        <v>37.4877433537</v>
      </c>
      <c r="D584" s="1" t="n">
        <v>-7.27979843945</v>
      </c>
      <c r="E584" s="3" t="n">
        <v>2</v>
      </c>
      <c r="F584" s="2" t="n">
        <v>2</v>
      </c>
      <c r="G584" s="4" t="n">
        <v>2</v>
      </c>
      <c r="H584" s="13" t="n"/>
      <c r="I584" s="15" t="n"/>
      <c r="J584" s="19" t="n">
        <v>2</v>
      </c>
      <c r="K584" s="2" t="inlineStr">
        <is>
          <t>marker_421_529223.png</t>
        </is>
      </c>
      <c r="L584" s="11">
        <f>HYPERLINK("2\0\" &amp; K584, "Ver Imagen")</f>
        <v/>
      </c>
      <c r="M584" t="inlineStr">
        <is>
          <t>Moda</t>
        </is>
      </c>
    </row>
    <row r="585">
      <c r="A585" t="n">
        <v>584</v>
      </c>
      <c r="B585" t="inlineStr">
        <is>
          <t>A-499__6</t>
        </is>
      </c>
      <c r="C585" s="1" t="n">
        <v>37.4879175556</v>
      </c>
      <c r="D585" s="1" t="n">
        <v>-7.27970792768</v>
      </c>
      <c r="E585" s="3" t="n">
        <v>2</v>
      </c>
      <c r="F585" s="2" t="n">
        <v>2</v>
      </c>
      <c r="G585" s="4" t="n">
        <v>2</v>
      </c>
      <c r="H585" s="13" t="n"/>
      <c r="I585" s="15" t="n"/>
      <c r="J585" s="19" t="n">
        <v>2</v>
      </c>
      <c r="K585" s="2" t="inlineStr">
        <is>
          <t>marker_504_529237.png</t>
        </is>
      </c>
      <c r="L585" s="11">
        <f>HYPERLINK("2\0\" &amp; K585, "Ver Imagen")</f>
        <v/>
      </c>
      <c r="M585" t="inlineStr">
        <is>
          <t>Moda</t>
        </is>
      </c>
    </row>
    <row r="586">
      <c r="A586" t="n">
        <v>585</v>
      </c>
      <c r="B586" t="inlineStr">
        <is>
          <t>A-499__8</t>
        </is>
      </c>
      <c r="C586" s="1" t="n">
        <v>37.4882973864</v>
      </c>
      <c r="D586" s="1" t="n">
        <v>-7.27950911768</v>
      </c>
      <c r="E586" s="3" t="n">
        <v>2</v>
      </c>
      <c r="F586" s="2" t="n">
        <v>2</v>
      </c>
      <c r="G586" s="4" t="n">
        <v>2</v>
      </c>
      <c r="H586" s="13" t="n"/>
      <c r="I586" s="15" t="n"/>
      <c r="J586" s="19" t="n">
        <v>2</v>
      </c>
      <c r="K586" s="2" t="inlineStr">
        <is>
          <t>marker_595_529282.png</t>
        </is>
      </c>
      <c r="L586" s="11">
        <f>HYPERLINK("2\0\" &amp; K586, "Ver Imagen")</f>
        <v/>
      </c>
      <c r="M586" t="inlineStr">
        <is>
          <t>Moda</t>
        </is>
      </c>
    </row>
    <row r="587">
      <c r="A587" t="n">
        <v>586</v>
      </c>
      <c r="B587" t="inlineStr">
        <is>
          <t>A-499__9</t>
        </is>
      </c>
      <c r="C587" s="1" t="n">
        <v>37.4884876855</v>
      </c>
      <c r="D587" s="1" t="n">
        <v>-7.27940983213</v>
      </c>
      <c r="E587" s="3" t="n">
        <v>2</v>
      </c>
      <c r="F587" s="2" t="n">
        <v>2</v>
      </c>
      <c r="G587" s="4" t="n">
        <v>2</v>
      </c>
      <c r="H587" s="13" t="n"/>
      <c r="I587" s="15" t="n"/>
      <c r="J587" s="19" t="n">
        <v>2</v>
      </c>
      <c r="K587" s="2" t="inlineStr">
        <is>
          <t>marker_333_529294.png</t>
        </is>
      </c>
      <c r="L587" s="11">
        <f>HYPERLINK("2\0\" &amp; K587, "Ver Imagen")</f>
        <v/>
      </c>
      <c r="M587" t="inlineStr">
        <is>
          <t>Moda</t>
        </is>
      </c>
    </row>
    <row r="588">
      <c r="A588" t="n">
        <v>587</v>
      </c>
      <c r="B588" t="inlineStr">
        <is>
          <t>A-499__13</t>
        </is>
      </c>
      <c r="C588" s="1" t="n">
        <v>37.4892002552</v>
      </c>
      <c r="D588" s="1" t="n">
        <v>-7.27904030256</v>
      </c>
      <c r="E588" s="3" t="n">
        <v>2</v>
      </c>
      <c r="F588" s="2" t="n">
        <v>2</v>
      </c>
      <c r="G588" s="4" t="n">
        <v>2</v>
      </c>
      <c r="H588" s="13" t="n"/>
      <c r="I588" s="15" t="n"/>
      <c r="J588" s="19" t="n">
        <v>2</v>
      </c>
      <c r="K588" s="2" t="inlineStr">
        <is>
          <t>marker_432_529330.png</t>
        </is>
      </c>
      <c r="L588" s="11">
        <f>HYPERLINK("2\0\" &amp; K588, "Ver Imagen")</f>
        <v/>
      </c>
      <c r="M588" t="inlineStr">
        <is>
          <t>Moda</t>
        </is>
      </c>
    </row>
    <row r="589">
      <c r="A589" t="n">
        <v>588</v>
      </c>
      <c r="B589" t="inlineStr">
        <is>
          <t>A-499__14</t>
        </is>
      </c>
      <c r="C589" s="1" t="n">
        <v>37.4893922792</v>
      </c>
      <c r="D589" s="1" t="n">
        <v>-7.27893909539</v>
      </c>
      <c r="E589" s="3" t="n">
        <v>2</v>
      </c>
      <c r="F589" s="2" t="n">
        <v>2</v>
      </c>
      <c r="G589" s="4" t="n">
        <v>2</v>
      </c>
      <c r="H589" s="13" t="n"/>
      <c r="I589" s="15" t="n"/>
      <c r="J589" s="19" t="n">
        <v>2</v>
      </c>
      <c r="K589" s="2" t="inlineStr">
        <is>
          <t>marker_978_529343.png</t>
        </is>
      </c>
      <c r="L589" s="11">
        <f>HYPERLINK("2\0\" &amp; K589, "Ver Imagen")</f>
        <v/>
      </c>
      <c r="M589" t="inlineStr">
        <is>
          <t>Moda</t>
        </is>
      </c>
    </row>
    <row r="590">
      <c r="A590" t="n">
        <v>589</v>
      </c>
      <c r="B590" t="inlineStr">
        <is>
          <t>A-499__15</t>
        </is>
      </c>
      <c r="C590" s="1" t="n">
        <v>37.4895675975</v>
      </c>
      <c r="D590" s="1" t="n">
        <v>-7.27884625695</v>
      </c>
      <c r="E590" s="3" t="n">
        <v>2</v>
      </c>
      <c r="F590" s="2" t="n">
        <v>2</v>
      </c>
      <c r="G590" s="4" t="n">
        <v>2</v>
      </c>
      <c r="H590" s="13" t="n"/>
      <c r="I590" s="15" t="n"/>
      <c r="J590" s="19" t="n">
        <v>2</v>
      </c>
      <c r="K590" s="2" t="inlineStr">
        <is>
          <t>marker_854_529357.png</t>
        </is>
      </c>
      <c r="L590" s="11">
        <f>HYPERLINK("2\0\" &amp; K590, "Ver Imagen")</f>
        <v/>
      </c>
      <c r="M590" t="inlineStr">
        <is>
          <t>Moda</t>
        </is>
      </c>
    </row>
    <row r="591">
      <c r="A591" t="n">
        <v>590</v>
      </c>
      <c r="B591" t="inlineStr">
        <is>
          <t>A-499__16</t>
        </is>
      </c>
      <c r="C591" s="1" t="n">
        <v>37.4898042138</v>
      </c>
      <c r="D591" s="1" t="n">
        <v>-7.27872193491</v>
      </c>
      <c r="E591" s="3" t="n">
        <v>2</v>
      </c>
      <c r="F591" s="2" t="n">
        <v>2</v>
      </c>
      <c r="G591" s="4" t="n">
        <v>2</v>
      </c>
      <c r="H591" s="13" t="n"/>
      <c r="I591" s="15" t="n"/>
      <c r="J591" s="19" t="n">
        <v>2</v>
      </c>
      <c r="K591" s="2" t="inlineStr">
        <is>
          <t>marker_181_529395.png</t>
        </is>
      </c>
      <c r="L591" s="11">
        <f>HYPERLINK("2\0\" &amp; K591, "Ver Imagen")</f>
        <v/>
      </c>
      <c r="M591" t="inlineStr">
        <is>
          <t>Moda</t>
        </is>
      </c>
    </row>
    <row r="592">
      <c r="A592" t="n">
        <v>591</v>
      </c>
      <c r="B592" t="inlineStr">
        <is>
          <t>A-499__17</t>
        </is>
      </c>
      <c r="C592" s="1" t="n">
        <v>37.4899746598</v>
      </c>
      <c r="D592" s="1" t="n">
        <v>-7.27863224077</v>
      </c>
      <c r="E592" s="3" t="n">
        <v>2</v>
      </c>
      <c r="F592" s="2" t="n">
        <v>2</v>
      </c>
      <c r="G592" s="4" t="n">
        <v>2</v>
      </c>
      <c r="H592" s="13" t="n"/>
      <c r="I592" s="15" t="n"/>
      <c r="J592" s="19" t="n">
        <v>2</v>
      </c>
      <c r="K592" s="2" t="inlineStr">
        <is>
          <t>marker_433_529405.png</t>
        </is>
      </c>
      <c r="L592" s="11">
        <f>HYPERLINK("2\0\" &amp; K592, "Ver Imagen")</f>
        <v/>
      </c>
      <c r="M592" t="inlineStr">
        <is>
          <t>Moda</t>
        </is>
      </c>
    </row>
    <row r="593">
      <c r="A593" t="n">
        <v>592</v>
      </c>
      <c r="B593" t="inlineStr">
        <is>
          <t>A-499__18</t>
        </is>
      </c>
      <c r="C593" s="1" t="n">
        <v>37.4901442008</v>
      </c>
      <c r="D593" s="1" t="n">
        <v>-7.27854297462</v>
      </c>
      <c r="E593" s="3" t="n">
        <v>2</v>
      </c>
      <c r="F593" s="2" t="n">
        <v>2</v>
      </c>
      <c r="G593" s="4" t="n">
        <v>2</v>
      </c>
      <c r="H593" s="13" t="n"/>
      <c r="I593" s="15" t="n"/>
      <c r="J593" s="19" t="n">
        <v>2</v>
      </c>
      <c r="K593" s="2" t="inlineStr">
        <is>
          <t>marker_192_529413.png</t>
        </is>
      </c>
      <c r="L593" s="11">
        <f>HYPERLINK("2\0\" &amp; K593, "Ver Imagen")</f>
        <v/>
      </c>
      <c r="M593" t="inlineStr">
        <is>
          <t>Moda</t>
        </is>
      </c>
    </row>
    <row r="594">
      <c r="A594" t="n">
        <v>593</v>
      </c>
      <c r="B594" t="inlineStr">
        <is>
          <t>A-499__19</t>
        </is>
      </c>
      <c r="C594" s="1" t="n">
        <v>37.4903148137</v>
      </c>
      <c r="D594" s="1" t="n">
        <v>-7.2784538187</v>
      </c>
      <c r="E594" s="3" t="n">
        <v>2</v>
      </c>
      <c r="F594" s="2" t="n">
        <v>2</v>
      </c>
      <c r="G594" s="4" t="n">
        <v>2</v>
      </c>
      <c r="H594" s="13" t="n"/>
      <c r="I594" s="15" t="n"/>
      <c r="J594" s="19" t="n">
        <v>2</v>
      </c>
      <c r="K594" s="2" t="inlineStr">
        <is>
          <t>marker_181_529422.png</t>
        </is>
      </c>
      <c r="L594" s="11">
        <f>HYPERLINK("2\0\" &amp; K594, "Ver Imagen")</f>
        <v/>
      </c>
      <c r="M594" t="inlineStr">
        <is>
          <t>Moda</t>
        </is>
      </c>
    </row>
    <row r="595">
      <c r="A595" t="n">
        <v>594</v>
      </c>
      <c r="B595" t="inlineStr">
        <is>
          <t>A-499__20</t>
        </is>
      </c>
      <c r="C595" s="1" t="n">
        <v>37.4905229019</v>
      </c>
      <c r="D595" s="1" t="n">
        <v>-7.27834664421</v>
      </c>
      <c r="E595" s="3" t="n">
        <v>2</v>
      </c>
      <c r="F595" s="2" t="n">
        <v>2</v>
      </c>
      <c r="G595" s="4" t="n">
        <v>2</v>
      </c>
      <c r="H595" s="13" t="n"/>
      <c r="I595" s="15" t="n"/>
      <c r="J595" s="19" t="n">
        <v>2</v>
      </c>
      <c r="K595" s="2" t="inlineStr">
        <is>
          <t>marker_290_529430.png</t>
        </is>
      </c>
      <c r="L595" s="11">
        <f>HYPERLINK("2\0\" &amp; K595, "Ver Imagen")</f>
        <v/>
      </c>
      <c r="M595" t="inlineStr">
        <is>
          <t>Moda</t>
        </is>
      </c>
    </row>
    <row r="596">
      <c r="A596" t="n">
        <v>595</v>
      </c>
      <c r="B596" t="inlineStr">
        <is>
          <t>A-499__21</t>
        </is>
      </c>
      <c r="C596" s="1" t="n">
        <v>37.4907262886</v>
      </c>
      <c r="D596" s="1" t="n">
        <v>-7.27824520355</v>
      </c>
      <c r="E596" s="3" t="n">
        <v>2</v>
      </c>
      <c r="F596" s="2" t="n">
        <v>2</v>
      </c>
      <c r="G596" s="4" t="n">
        <v>2</v>
      </c>
      <c r="H596" s="13" t="n"/>
      <c r="I596" s="15" t="n"/>
      <c r="J596" s="19" t="n">
        <v>2</v>
      </c>
      <c r="K596" s="2" t="inlineStr">
        <is>
          <t>marker_136_529439.png</t>
        </is>
      </c>
      <c r="L596" s="11">
        <f>HYPERLINK("2\0\" &amp; K596, "Ver Imagen")</f>
        <v/>
      </c>
      <c r="M596" t="inlineStr">
        <is>
          <t>Moda</t>
        </is>
      </c>
    </row>
    <row r="597">
      <c r="A597" t="n">
        <v>596</v>
      </c>
      <c r="B597" t="inlineStr">
        <is>
          <t>A-499__22</t>
        </is>
      </c>
      <c r="C597" s="1" t="n">
        <v>37.4908940481</v>
      </c>
      <c r="D597" s="1" t="n">
        <v>-7.2781646929</v>
      </c>
      <c r="E597" s="3" t="n">
        <v>2</v>
      </c>
      <c r="F597" s="2" t="n">
        <v>2</v>
      </c>
      <c r="G597" s="4" t="n">
        <v>2</v>
      </c>
      <c r="H597" s="13" t="n"/>
      <c r="I597" s="15" t="n"/>
      <c r="J597" s="19" t="n">
        <v>2</v>
      </c>
      <c r="K597" s="2" t="inlineStr">
        <is>
          <t>marker_596_529446.png</t>
        </is>
      </c>
      <c r="L597" s="11">
        <f>HYPERLINK("2\0\" &amp; K597, "Ver Imagen")</f>
        <v/>
      </c>
      <c r="M597" t="inlineStr">
        <is>
          <t>Moda</t>
        </is>
      </c>
    </row>
    <row r="598">
      <c r="A598" t="n">
        <v>597</v>
      </c>
      <c r="B598" t="inlineStr">
        <is>
          <t>A-499__23</t>
        </is>
      </c>
      <c r="C598" s="1" t="n">
        <v>37.4910908981</v>
      </c>
      <c r="D598" s="1" t="n">
        <v>-7.2780739283</v>
      </c>
      <c r="E598" s="3" t="n">
        <v>2</v>
      </c>
      <c r="F598" s="2" t="n">
        <v>2</v>
      </c>
      <c r="G598" s="4" t="n">
        <v>2</v>
      </c>
      <c r="H598" s="13" t="n"/>
      <c r="I598" s="15" t="n"/>
      <c r="J598" s="19" t="n">
        <v>2</v>
      </c>
      <c r="K598" s="2" t="inlineStr">
        <is>
          <t>marker_137_529454.png</t>
        </is>
      </c>
      <c r="L598" s="11">
        <f>HYPERLINK("2\0\" &amp; K598, "Ver Imagen")</f>
        <v/>
      </c>
      <c r="M598" t="inlineStr">
        <is>
          <t>Moda</t>
        </is>
      </c>
    </row>
    <row r="599">
      <c r="A599" t="n">
        <v>598</v>
      </c>
      <c r="B599" t="inlineStr">
        <is>
          <t>A-499__24</t>
        </is>
      </c>
      <c r="C599" s="1" t="n">
        <v>37.4912992615</v>
      </c>
      <c r="D599" s="1" t="n">
        <v>-7.27798113999</v>
      </c>
      <c r="E599" s="3" t="n">
        <v>2</v>
      </c>
      <c r="F599" s="2" t="n">
        <v>2</v>
      </c>
      <c r="G599" s="4" t="n">
        <v>2</v>
      </c>
      <c r="H599" s="13" t="n"/>
      <c r="I599" s="15" t="n"/>
      <c r="J599" s="19" t="n">
        <v>2</v>
      </c>
      <c r="K599" s="2" t="inlineStr">
        <is>
          <t>marker_192_529464.png</t>
        </is>
      </c>
      <c r="L599" s="11">
        <f>HYPERLINK("2\0\" &amp; K599, "Ver Imagen")</f>
        <v/>
      </c>
      <c r="M599" t="inlineStr">
        <is>
          <t>Moda</t>
        </is>
      </c>
    </row>
    <row r="600">
      <c r="A600" t="n">
        <v>599</v>
      </c>
      <c r="B600" t="inlineStr">
        <is>
          <t>A-499__26</t>
        </is>
      </c>
      <c r="C600" s="1" t="n">
        <v>37.4916809412</v>
      </c>
      <c r="D600" s="1" t="n">
        <v>-7.27781565676</v>
      </c>
      <c r="E600" s="3" t="n">
        <v>2</v>
      </c>
      <c r="F600" s="2" t="n">
        <v>2</v>
      </c>
      <c r="G600" s="4" t="n">
        <v>2</v>
      </c>
      <c r="H600" s="13" t="n"/>
      <c r="I600" s="15" t="n"/>
      <c r="J600" s="19" t="n">
        <v>2</v>
      </c>
      <c r="K600" s="2" t="inlineStr">
        <is>
          <t>marker_568_529503.png</t>
        </is>
      </c>
      <c r="L600" s="11">
        <f>HYPERLINK("2\0\" &amp; K600, "Ver Imagen")</f>
        <v/>
      </c>
      <c r="M600" t="inlineStr">
        <is>
          <t>Moda</t>
        </is>
      </c>
    </row>
    <row r="601">
      <c r="A601" t="n">
        <v>600</v>
      </c>
      <c r="B601" t="inlineStr">
        <is>
          <t>A-499__27</t>
        </is>
      </c>
      <c r="C601" s="1" t="n">
        <v>37.491870467</v>
      </c>
      <c r="D601" s="1" t="n">
        <v>-7.27773575579</v>
      </c>
      <c r="E601" s="3" t="n">
        <v>2</v>
      </c>
      <c r="F601" s="2" t="n">
        <v>2</v>
      </c>
      <c r="G601" s="4" t="n">
        <v>2</v>
      </c>
      <c r="H601" s="13" t="n"/>
      <c r="I601" s="15" t="n"/>
      <c r="J601" s="19" t="n">
        <v>2</v>
      </c>
      <c r="K601" s="2" t="inlineStr">
        <is>
          <t>marker_893_529510.png</t>
        </is>
      </c>
      <c r="L601" s="11">
        <f>HYPERLINK("2\0\" &amp; K601, "Ver Imagen")</f>
        <v/>
      </c>
      <c r="M601" t="inlineStr">
        <is>
          <t>Moda</t>
        </is>
      </c>
    </row>
    <row r="602">
      <c r="A602" t="n">
        <v>601</v>
      </c>
      <c r="B602" t="inlineStr">
        <is>
          <t>A-499__29</t>
        </is>
      </c>
      <c r="C602" s="1" t="n">
        <v>37.4922288943</v>
      </c>
      <c r="D602" s="1" t="n">
        <v>-7.27758932546</v>
      </c>
      <c r="E602" s="3" t="n">
        <v>2</v>
      </c>
      <c r="F602" s="2" t="n">
        <v>2</v>
      </c>
      <c r="G602" s="4" t="n">
        <v>2</v>
      </c>
      <c r="H602" s="13" t="n"/>
      <c r="I602" s="15" t="n"/>
      <c r="J602" s="19" t="n">
        <v>2</v>
      </c>
      <c r="K602" s="2" t="inlineStr">
        <is>
          <t>marker_117_529535.png</t>
        </is>
      </c>
      <c r="L602" s="11">
        <f>HYPERLINK("2\0\" &amp; K602, "Ver Imagen")</f>
        <v/>
      </c>
      <c r="M602" t="inlineStr">
        <is>
          <t>Moda</t>
        </is>
      </c>
    </row>
    <row r="603">
      <c r="A603" t="n">
        <v>602</v>
      </c>
      <c r="B603" t="inlineStr">
        <is>
          <t>A-499__30</t>
        </is>
      </c>
      <c r="C603" s="1" t="n">
        <v>37.4924202598</v>
      </c>
      <c r="D603" s="1" t="n">
        <v>-7.27751440636</v>
      </c>
      <c r="E603" s="3" t="n">
        <v>2</v>
      </c>
      <c r="F603" s="2" t="n">
        <v>2</v>
      </c>
      <c r="G603" s="4" t="n">
        <v>2</v>
      </c>
      <c r="H603" s="13" t="n"/>
      <c r="I603" s="15" t="n"/>
      <c r="J603" s="19" t="n">
        <v>2</v>
      </c>
      <c r="K603" s="2" t="inlineStr">
        <is>
          <t>marker_786_529544.png</t>
        </is>
      </c>
      <c r="L603" s="11">
        <f>HYPERLINK("2\0\" &amp; K603, "Ver Imagen")</f>
        <v/>
      </c>
      <c r="M603" t="inlineStr">
        <is>
          <t>Moda</t>
        </is>
      </c>
    </row>
    <row r="604">
      <c r="A604" t="n">
        <v>603</v>
      </c>
      <c r="B604" t="inlineStr">
        <is>
          <t>A-499__34</t>
        </is>
      </c>
      <c r="C604" s="1" t="n">
        <v>37.4932186378</v>
      </c>
      <c r="D604" s="1" t="n">
        <v>-7.27723699683</v>
      </c>
      <c r="E604" s="3" t="n">
        <v>2</v>
      </c>
      <c r="F604" s="2" t="n">
        <v>2</v>
      </c>
      <c r="G604" s="4" t="n">
        <v>2</v>
      </c>
      <c r="H604" s="13" t="n"/>
      <c r="I604" s="15" t="n"/>
      <c r="J604" s="19" t="n">
        <v>2</v>
      </c>
      <c r="K604" s="2" t="inlineStr">
        <is>
          <t>marker_262_529963.png</t>
        </is>
      </c>
      <c r="L604" s="11">
        <f>HYPERLINK("2\0\" &amp; K604, "Ver Imagen")</f>
        <v/>
      </c>
      <c r="M604" t="inlineStr">
        <is>
          <t>Moda</t>
        </is>
      </c>
    </row>
    <row r="605">
      <c r="A605" t="n">
        <v>604</v>
      </c>
      <c r="B605" t="inlineStr">
        <is>
          <t>A-499__38</t>
        </is>
      </c>
      <c r="C605" s="1" t="n">
        <v>37.4940022377</v>
      </c>
      <c r="D605" s="1" t="n">
        <v>-7.27697373377</v>
      </c>
      <c r="E605" s="3" t="n">
        <v>2</v>
      </c>
      <c r="F605" s="2" t="n">
        <v>2</v>
      </c>
      <c r="G605" s="4" t="n">
        <v>2</v>
      </c>
      <c r="H605" s="13" t="n"/>
      <c r="I605" s="15" t="n"/>
      <c r="J605" s="19" t="n">
        <v>2</v>
      </c>
      <c r="K605" s="2" t="inlineStr">
        <is>
          <t>marker_930_530004.png</t>
        </is>
      </c>
      <c r="L605" s="11">
        <f>HYPERLINK("2\0\" &amp; K605, "Ver Imagen")</f>
        <v/>
      </c>
      <c r="M605" t="inlineStr">
        <is>
          <t>Moda</t>
        </is>
      </c>
    </row>
    <row r="606">
      <c r="A606" t="n">
        <v>605</v>
      </c>
      <c r="B606" t="inlineStr">
        <is>
          <t>A-499__39</t>
        </is>
      </c>
      <c r="C606" s="1" t="n">
        <v>37.4941744293</v>
      </c>
      <c r="D606" s="1" t="n">
        <v>-7.27691698071</v>
      </c>
      <c r="E606" s="3" t="n">
        <v>2</v>
      </c>
      <c r="F606" s="2" t="n">
        <v>2</v>
      </c>
      <c r="G606" s="4" t="n">
        <v>2</v>
      </c>
      <c r="H606" s="13" t="n"/>
      <c r="I606" s="15" t="n"/>
      <c r="J606" s="19" t="n">
        <v>2</v>
      </c>
      <c r="K606" s="2" t="inlineStr">
        <is>
          <t>marker_172_530011.png</t>
        </is>
      </c>
      <c r="L606" s="11">
        <f>HYPERLINK("2\0\" &amp; K606, "Ver Imagen")</f>
        <v/>
      </c>
      <c r="M606" t="inlineStr">
        <is>
          <t>Moda</t>
        </is>
      </c>
    </row>
    <row r="607">
      <c r="A607" t="n">
        <v>606</v>
      </c>
      <c r="B607" t="inlineStr">
        <is>
          <t>A-499__41</t>
        </is>
      </c>
      <c r="C607" s="1" t="n">
        <v>37.4945802078</v>
      </c>
      <c r="D607" s="1" t="n">
        <v>-7.27678475173</v>
      </c>
      <c r="E607" s="3" t="n">
        <v>2</v>
      </c>
      <c r="F607" s="2" t="n">
        <v>2</v>
      </c>
      <c r="G607" s="4" t="n">
        <v>2</v>
      </c>
      <c r="H607" s="13" t="n"/>
      <c r="I607" s="15" t="n"/>
      <c r="J607" s="19" t="n">
        <v>2</v>
      </c>
      <c r="K607" s="2" t="inlineStr">
        <is>
          <t>marker_680_530033.png</t>
        </is>
      </c>
      <c r="L607" s="11">
        <f>HYPERLINK("2\0\" &amp; K607, "Ver Imagen")</f>
        <v/>
      </c>
      <c r="M607" t="inlineStr">
        <is>
          <t>Moda</t>
        </is>
      </c>
    </row>
    <row r="608">
      <c r="A608" t="n">
        <v>607</v>
      </c>
      <c r="B608" t="inlineStr">
        <is>
          <t>A-499__48</t>
        </is>
      </c>
      <c r="C608" s="1" t="n">
        <v>37.4955840257</v>
      </c>
      <c r="D608" s="1" t="n">
        <v>-7.27577461047</v>
      </c>
      <c r="E608" s="3" t="n">
        <v>2</v>
      </c>
      <c r="F608" s="2" t="n">
        <v>2</v>
      </c>
      <c r="G608" s="4" t="n">
        <v>2</v>
      </c>
      <c r="H608" s="13" t="n"/>
      <c r="I608" s="15" t="n"/>
      <c r="J608" s="19" t="n">
        <v>2</v>
      </c>
      <c r="K608" s="2" t="inlineStr">
        <is>
          <t>marker_461_534843.png</t>
        </is>
      </c>
      <c r="L608" s="11">
        <f>HYPERLINK("2\0\" &amp; K608, "Ver Imagen")</f>
        <v/>
      </c>
      <c r="M608" t="inlineStr">
        <is>
          <t>Moda</t>
        </is>
      </c>
    </row>
    <row r="609">
      <c r="A609" t="n">
        <v>608</v>
      </c>
      <c r="B609" t="inlineStr">
        <is>
          <t>A-499__55</t>
        </is>
      </c>
      <c r="C609" s="1" t="n">
        <v>37.4957018354</v>
      </c>
      <c r="D609" s="1" t="n">
        <v>-7.27400619493</v>
      </c>
      <c r="E609" s="3" t="n">
        <v>2</v>
      </c>
      <c r="F609" s="2" t="n">
        <v>2</v>
      </c>
      <c r="G609" s="4" t="n">
        <v>2</v>
      </c>
      <c r="H609" s="13" t="n"/>
      <c r="I609" s="15" t="n"/>
      <c r="J609" s="19" t="n">
        <v>2</v>
      </c>
      <c r="K609" s="2" t="inlineStr">
        <is>
          <t>marker_868_534945.png</t>
        </is>
      </c>
      <c r="L609" s="11">
        <f>HYPERLINK("2\0\" &amp; K609, "Ver Imagen")</f>
        <v/>
      </c>
      <c r="M609" t="inlineStr">
        <is>
          <t>Moda</t>
        </is>
      </c>
    </row>
    <row r="610">
      <c r="A610" t="n">
        <v>609</v>
      </c>
      <c r="B610" t="inlineStr">
        <is>
          <t>A-499__62</t>
        </is>
      </c>
      <c r="C610" s="1" t="n">
        <v>37.4954299356</v>
      </c>
      <c r="D610" s="1" t="n">
        <v>-7.27226593936</v>
      </c>
      <c r="E610" s="3" t="n">
        <v>2</v>
      </c>
      <c r="F610" s="2" t="n">
        <v>2</v>
      </c>
      <c r="G610" s="4" t="n">
        <v>2</v>
      </c>
      <c r="H610" s="13" t="n"/>
      <c r="I610" s="15" t="n"/>
      <c r="J610" s="19" t="n">
        <v>2</v>
      </c>
      <c r="K610" s="2" t="inlineStr">
        <is>
          <t>marker_142_535089.png</t>
        </is>
      </c>
      <c r="L610" s="11">
        <f>HYPERLINK("2\0\" &amp; K610, "Ver Imagen")</f>
        <v/>
      </c>
      <c r="M610" t="inlineStr">
        <is>
          <t>Moda</t>
        </is>
      </c>
    </row>
    <row r="611">
      <c r="A611" t="n">
        <v>610</v>
      </c>
      <c r="B611" t="inlineStr">
        <is>
          <t>A-499__63</t>
        </is>
      </c>
      <c r="C611" s="1" t="n">
        <v>37.4953932655</v>
      </c>
      <c r="D611" s="1" t="n">
        <v>-7.27201943087</v>
      </c>
      <c r="E611" s="3" t="n">
        <v>2</v>
      </c>
      <c r="F611" s="2" t="n">
        <v>2</v>
      </c>
      <c r="G611" s="4" t="n">
        <v>2</v>
      </c>
      <c r="H611" s="13" t="n"/>
      <c r="I611" s="15" t="n"/>
      <c r="J611" s="19" t="n">
        <v>2</v>
      </c>
      <c r="K611" s="2" t="inlineStr">
        <is>
          <t>marker_510_535099.png</t>
        </is>
      </c>
      <c r="L611" s="11">
        <f>HYPERLINK("2\0\" &amp; K611, "Ver Imagen")</f>
        <v/>
      </c>
      <c r="M611" t="inlineStr">
        <is>
          <t>Moda</t>
        </is>
      </c>
    </row>
    <row r="612">
      <c r="A612" t="n">
        <v>611</v>
      </c>
      <c r="B612" t="inlineStr">
        <is>
          <t>A-499__64</t>
        </is>
      </c>
      <c r="C612" s="1" t="n">
        <v>37.4953541945</v>
      </c>
      <c r="D612" s="1" t="n">
        <v>-7.27171484407</v>
      </c>
      <c r="E612" s="3" t="n">
        <v>2</v>
      </c>
      <c r="F612" s="2" t="n">
        <v>2</v>
      </c>
      <c r="G612" s="4" t="n">
        <v>2</v>
      </c>
      <c r="H612" s="13" t="n"/>
      <c r="I612" s="15" t="n"/>
      <c r="J612" s="19" t="n">
        <v>2</v>
      </c>
      <c r="K612" s="2" t="inlineStr">
        <is>
          <t>marker_271_535115.png</t>
        </is>
      </c>
      <c r="L612" s="11">
        <f>HYPERLINK("2\0\" &amp; K612, "Ver Imagen")</f>
        <v/>
      </c>
      <c r="M612" t="inlineStr">
        <is>
          <t>Moda</t>
        </is>
      </c>
    </row>
    <row r="613">
      <c r="A613" t="n">
        <v>612</v>
      </c>
      <c r="B613" t="inlineStr">
        <is>
          <t>A-499__97</t>
        </is>
      </c>
      <c r="C613" s="1" t="n">
        <v>37.498215201</v>
      </c>
      <c r="D613" s="1" t="n">
        <v>-7.2677137218</v>
      </c>
      <c r="E613" s="3" t="n">
        <v>2</v>
      </c>
      <c r="F613" s="2" t="n">
        <v>2</v>
      </c>
      <c r="G613" s="4" t="n">
        <v>2</v>
      </c>
      <c r="H613" s="13" t="n"/>
      <c r="I613" s="15" t="n"/>
      <c r="J613" s="19" t="n">
        <v>2</v>
      </c>
      <c r="K613" s="2" t="inlineStr">
        <is>
          <t>marker_612_793164.png</t>
        </is>
      </c>
      <c r="L613" s="11">
        <f>HYPERLINK("2\0\" &amp; K613, "Ver Imagen")</f>
        <v/>
      </c>
      <c r="M613" t="inlineStr">
        <is>
          <t>Moda</t>
        </is>
      </c>
    </row>
    <row r="614">
      <c r="A614" t="n">
        <v>613</v>
      </c>
      <c r="B614" t="inlineStr">
        <is>
          <t>A-499__98</t>
        </is>
      </c>
      <c r="C614" s="1" t="n">
        <v>37.4984057998</v>
      </c>
      <c r="D614" s="1" t="n">
        <v>-7.26764846377</v>
      </c>
      <c r="E614" s="3" t="n">
        <v>2</v>
      </c>
      <c r="F614" s="2" t="n">
        <v>2</v>
      </c>
      <c r="G614" s="4" t="n">
        <v>2</v>
      </c>
      <c r="H614" s="13" t="n"/>
      <c r="I614" s="15" t="n"/>
      <c r="J614" s="19" t="n">
        <v>2</v>
      </c>
      <c r="K614" s="2" t="inlineStr">
        <is>
          <t>marker_606_793179.png</t>
        </is>
      </c>
      <c r="L614" s="11">
        <f>HYPERLINK("2\0\" &amp; K614, "Ver Imagen")</f>
        <v/>
      </c>
      <c r="M614" t="inlineStr">
        <is>
          <t>Moda</t>
        </is>
      </c>
    </row>
    <row r="615">
      <c r="A615" t="n">
        <v>614</v>
      </c>
      <c r="B615" t="inlineStr">
        <is>
          <t>A-499__102</t>
        </is>
      </c>
      <c r="C615" s="1" t="n">
        <v>37.4991813975</v>
      </c>
      <c r="D615" s="1" t="n">
        <v>-7.26738040902</v>
      </c>
      <c r="E615" s="3" t="n">
        <v>2</v>
      </c>
      <c r="F615" s="2" t="n">
        <v>2</v>
      </c>
      <c r="G615" s="4" t="n">
        <v>2</v>
      </c>
      <c r="H615" s="13" t="n"/>
      <c r="I615" s="15" t="n"/>
      <c r="J615" s="19" t="n">
        <v>2</v>
      </c>
      <c r="K615" s="2" t="inlineStr">
        <is>
          <t>marker_605_793257.png</t>
        </is>
      </c>
      <c r="L615" s="11">
        <f>HYPERLINK("2\0\" &amp; K615, "Ver Imagen")</f>
        <v/>
      </c>
      <c r="M615" t="inlineStr">
        <is>
          <t>Moda</t>
        </is>
      </c>
    </row>
    <row r="616">
      <c r="A616" t="n">
        <v>615</v>
      </c>
      <c r="B616" t="inlineStr">
        <is>
          <t>A-499__103</t>
        </is>
      </c>
      <c r="C616" s="1" t="n">
        <v>37.4993996374</v>
      </c>
      <c r="D616" s="1" t="n">
        <v>-7.26730589565</v>
      </c>
      <c r="E616" s="3" t="n">
        <v>2</v>
      </c>
      <c r="F616" s="2" t="n">
        <v>2</v>
      </c>
      <c r="G616" s="4" t="n">
        <v>2</v>
      </c>
      <c r="H616" s="13" t="n"/>
      <c r="I616" s="15" t="n"/>
      <c r="J616" s="19" t="n">
        <v>2</v>
      </c>
      <c r="K616" s="2" t="inlineStr">
        <is>
          <t>marker_539_793279.png</t>
        </is>
      </c>
      <c r="L616" s="11">
        <f>HYPERLINK("2\0\" &amp; K616, "Ver Imagen")</f>
        <v/>
      </c>
      <c r="M616" t="inlineStr">
        <is>
          <t>Moda</t>
        </is>
      </c>
    </row>
    <row r="617">
      <c r="A617" t="n">
        <v>616</v>
      </c>
      <c r="B617" t="inlineStr">
        <is>
          <t>A-499__105</t>
        </is>
      </c>
      <c r="C617" s="1" t="n">
        <v>37.4997757312</v>
      </c>
      <c r="D617" s="1" t="n">
        <v>-7.26717723937</v>
      </c>
      <c r="E617" s="3" t="n">
        <v>2</v>
      </c>
      <c r="F617" s="2" t="n">
        <v>2</v>
      </c>
      <c r="G617" s="4" t="n">
        <v>2</v>
      </c>
      <c r="H617" s="13" t="n"/>
      <c r="I617" s="15" t="n"/>
      <c r="J617" s="19" t="n">
        <v>2</v>
      </c>
      <c r="K617" s="2" t="inlineStr">
        <is>
          <t>marker_929_793306.png</t>
        </is>
      </c>
      <c r="L617" s="11">
        <f>HYPERLINK("2\0\" &amp; K617, "Ver Imagen")</f>
        <v/>
      </c>
      <c r="M617" t="inlineStr">
        <is>
          <t>Moda</t>
        </is>
      </c>
    </row>
    <row r="618">
      <c r="A618" t="n">
        <v>617</v>
      </c>
      <c r="B618" t="inlineStr">
        <is>
          <t>A-499__106</t>
        </is>
      </c>
      <c r="C618" s="1" t="n">
        <v>37.4999860664</v>
      </c>
      <c r="D618" s="1" t="n">
        <v>-7.26710506435</v>
      </c>
      <c r="E618" s="3" t="n">
        <v>2</v>
      </c>
      <c r="F618" s="2" t="n">
        <v>2</v>
      </c>
      <c r="G618" s="4" t="n">
        <v>2</v>
      </c>
      <c r="H618" s="13" t="n"/>
      <c r="I618" s="15" t="n"/>
      <c r="J618" s="19" t="n">
        <v>2</v>
      </c>
      <c r="K618" s="2" t="inlineStr">
        <is>
          <t>marker_497_793317.png</t>
        </is>
      </c>
      <c r="L618" s="11">
        <f>HYPERLINK("2\0\" &amp; K618, "Ver Imagen")</f>
        <v/>
      </c>
      <c r="M618" t="inlineStr">
        <is>
          <t>Moda</t>
        </is>
      </c>
    </row>
    <row r="619">
      <c r="A619" t="n">
        <v>618</v>
      </c>
      <c r="B619" t="inlineStr">
        <is>
          <t>A-497__844</t>
        </is>
      </c>
      <c r="C619" s="1" t="n">
        <v>37.1995505486</v>
      </c>
      <c r="D619" s="1" t="n">
        <v>-6.98468250616</v>
      </c>
      <c r="E619" s="3" t="n">
        <v>2</v>
      </c>
      <c r="F619" s="2" t="n">
        <v>2</v>
      </c>
      <c r="G619" s="4" t="n">
        <v>2</v>
      </c>
      <c r="H619" s="13" t="n"/>
      <c r="I619" s="15" t="n"/>
      <c r="J619" s="19" t="n">
        <v>2</v>
      </c>
      <c r="K619" s="2" t="inlineStr">
        <is>
          <t>marker_304_367502.png</t>
        </is>
      </c>
      <c r="L619" s="11">
        <f>HYPERLINK("2\0\" &amp; K619, "Ver Imagen")</f>
        <v/>
      </c>
      <c r="M619" t="inlineStr">
        <is>
          <t>Moda</t>
        </is>
      </c>
    </row>
    <row r="620">
      <c r="A620" t="n">
        <v>619</v>
      </c>
      <c r="B620" t="inlineStr">
        <is>
          <t>A-497__843</t>
        </is>
      </c>
      <c r="C620" s="1" t="n">
        <v>37.1994836571</v>
      </c>
      <c r="D620" s="1" t="n">
        <v>-6.98443486555</v>
      </c>
      <c r="E620" s="3" t="n">
        <v>2</v>
      </c>
      <c r="F620" s="2" t="n">
        <v>2</v>
      </c>
      <c r="G620" s="4" t="n">
        <v>2</v>
      </c>
      <c r="H620" s="13" t="n"/>
      <c r="I620" s="15" t="n"/>
      <c r="J620" s="19" t="n">
        <v>2</v>
      </c>
      <c r="K620" s="2" t="inlineStr">
        <is>
          <t>marker_165_367511.png</t>
        </is>
      </c>
      <c r="L620" s="11">
        <f>HYPERLINK("2\0\" &amp; K620, "Ver Imagen")</f>
        <v/>
      </c>
      <c r="M620" t="inlineStr">
        <is>
          <t>Moda</t>
        </is>
      </c>
    </row>
    <row r="621">
      <c r="A621" t="n">
        <v>620</v>
      </c>
      <c r="B621" t="inlineStr">
        <is>
          <t>A-497__842</t>
        </is>
      </c>
      <c r="C621" s="1" t="n">
        <v>37.1994167839</v>
      </c>
      <c r="D621" s="1" t="n">
        <v>-6.98419229602</v>
      </c>
      <c r="E621" s="3" t="n">
        <v>2</v>
      </c>
      <c r="F621" s="2" t="n">
        <v>2</v>
      </c>
      <c r="G621" s="4" t="n">
        <v>2</v>
      </c>
      <c r="H621" s="13" t="n"/>
      <c r="I621" s="15" t="n"/>
      <c r="J621" s="19" t="n">
        <v>2</v>
      </c>
      <c r="K621" s="2" t="inlineStr">
        <is>
          <t>marker_862_367521.png</t>
        </is>
      </c>
      <c r="L621" s="11">
        <f>HYPERLINK("2\0\" &amp; K621, "Ver Imagen")</f>
        <v/>
      </c>
      <c r="M621" t="inlineStr">
        <is>
          <t>Moda</t>
        </is>
      </c>
    </row>
    <row r="622">
      <c r="A622" t="n">
        <v>621</v>
      </c>
      <c r="B622" t="inlineStr">
        <is>
          <t>A-497__837</t>
        </is>
      </c>
      <c r="C622" s="1" t="n">
        <v>37.1990590878</v>
      </c>
      <c r="D622" s="1" t="n">
        <v>-6.98302553245</v>
      </c>
      <c r="E622" s="3" t="n">
        <v>2</v>
      </c>
      <c r="F622" s="2" t="n">
        <v>2</v>
      </c>
      <c r="G622" s="4" t="n">
        <v>2</v>
      </c>
      <c r="H622" s="13" t="n"/>
      <c r="I622" s="15" t="n"/>
      <c r="J622" s="19" t="n">
        <v>2</v>
      </c>
      <c r="K622" s="2" t="inlineStr">
        <is>
          <t>marker_192_367577.png</t>
        </is>
      </c>
      <c r="L622" s="11">
        <f>HYPERLINK("2\0\" &amp; K622, "Ver Imagen")</f>
        <v/>
      </c>
      <c r="M622" t="inlineStr">
        <is>
          <t>Moda</t>
        </is>
      </c>
    </row>
    <row r="623">
      <c r="A623" t="n">
        <v>622</v>
      </c>
      <c r="B623" t="inlineStr">
        <is>
          <t>A-497__773</t>
        </is>
      </c>
      <c r="C623" s="1" t="n">
        <v>37.1881190403</v>
      </c>
      <c r="D623" s="1" t="n">
        <v>-6.97896409876</v>
      </c>
      <c r="E623" s="3" t="n">
        <v>2</v>
      </c>
      <c r="F623" s="2" t="n">
        <v>2</v>
      </c>
      <c r="G623" s="4" t="n">
        <v>2</v>
      </c>
      <c r="H623" s="13" t="n"/>
      <c r="I623" s="15" t="n"/>
      <c r="J623" s="19" t="n">
        <v>2</v>
      </c>
      <c r="K623" s="2" t="inlineStr">
        <is>
          <t>marker_401_368260.png</t>
        </is>
      </c>
      <c r="L623" s="11">
        <f>HYPERLINK("2\0\" &amp; K623, "Ver Imagen")</f>
        <v/>
      </c>
      <c r="M623" t="inlineStr">
        <is>
          <t>Moda</t>
        </is>
      </c>
    </row>
    <row r="624">
      <c r="A624" t="n">
        <v>623</v>
      </c>
      <c r="B624" t="inlineStr">
        <is>
          <t>A-497__772</t>
        </is>
      </c>
      <c r="C624" s="1" t="n">
        <v>37.187968173</v>
      </c>
      <c r="D624" s="1" t="n">
        <v>-6.9790709148</v>
      </c>
      <c r="E624" s="3" t="n">
        <v>2</v>
      </c>
      <c r="F624" s="2" t="n">
        <v>2</v>
      </c>
      <c r="G624" s="4" t="n">
        <v>2</v>
      </c>
      <c r="H624" s="13" t="n"/>
      <c r="I624" s="15" t="n"/>
      <c r="J624" s="19" t="n">
        <v>2</v>
      </c>
      <c r="K624" s="2" t="inlineStr">
        <is>
          <t>marker_144_368277.png</t>
        </is>
      </c>
      <c r="L624" s="11">
        <f>HYPERLINK("2\0\" &amp; K624, "Ver Imagen")</f>
        <v/>
      </c>
      <c r="M624" t="inlineStr">
        <is>
          <t>Moda</t>
        </is>
      </c>
    </row>
    <row r="625">
      <c r="A625" t="n">
        <v>624</v>
      </c>
      <c r="B625" t="inlineStr">
        <is>
          <t>A-499__108</t>
        </is>
      </c>
      <c r="C625" s="1" t="n">
        <v>37.5003642919</v>
      </c>
      <c r="D625" s="1" t="n">
        <v>-7.26697370348</v>
      </c>
      <c r="E625" s="3" t="n">
        <v>2</v>
      </c>
      <c r="F625" s="2" t="n">
        <v>2</v>
      </c>
      <c r="G625" s="4" t="n">
        <v>2</v>
      </c>
      <c r="H625" s="13" t="n"/>
      <c r="I625" s="15" t="n"/>
      <c r="J625" s="19" t="n">
        <v>2</v>
      </c>
      <c r="K625" s="2" t="inlineStr">
        <is>
          <t>marker_612_793346.png</t>
        </is>
      </c>
      <c r="L625" s="11">
        <f>HYPERLINK("2\0\" &amp; K625, "Ver Imagen")</f>
        <v/>
      </c>
      <c r="M625" t="inlineStr">
        <is>
          <t>Moda</t>
        </is>
      </c>
    </row>
    <row r="626">
      <c r="A626" t="n">
        <v>625</v>
      </c>
      <c r="B626" t="inlineStr">
        <is>
          <t>A-499__109</t>
        </is>
      </c>
      <c r="C626" s="1" t="n">
        <v>37.5005650882</v>
      </c>
      <c r="D626" s="1" t="n">
        <v>-7.26690434516</v>
      </c>
      <c r="E626" s="3" t="n">
        <v>2</v>
      </c>
      <c r="F626" s="2" t="n">
        <v>2</v>
      </c>
      <c r="G626" s="4" t="n">
        <v>2</v>
      </c>
      <c r="H626" s="13" t="n"/>
      <c r="I626" s="15" t="n"/>
      <c r="J626" s="19" t="n">
        <v>2</v>
      </c>
      <c r="K626" s="2" t="inlineStr">
        <is>
          <t>marker_215_793387.png</t>
        </is>
      </c>
      <c r="L626" s="11">
        <f>HYPERLINK("2\0\" &amp; K626, "Ver Imagen")</f>
        <v/>
      </c>
      <c r="M626" t="inlineStr">
        <is>
          <t>Moda</t>
        </is>
      </c>
    </row>
    <row r="627">
      <c r="A627" t="n">
        <v>626</v>
      </c>
      <c r="B627" t="inlineStr">
        <is>
          <t>A-499__110</t>
        </is>
      </c>
      <c r="C627" s="1" t="n">
        <v>37.5007825227</v>
      </c>
      <c r="D627" s="1" t="n">
        <v>-7.26683081768</v>
      </c>
      <c r="E627" s="3" t="n">
        <v>2</v>
      </c>
      <c r="F627" s="2" t="n">
        <v>2</v>
      </c>
      <c r="G627" s="4" t="n">
        <v>2</v>
      </c>
      <c r="H627" s="13" t="n"/>
      <c r="I627" s="15" t="n"/>
      <c r="J627" s="19" t="n">
        <v>2</v>
      </c>
      <c r="K627" s="2" t="inlineStr">
        <is>
          <t>marker_255_793402.png</t>
        </is>
      </c>
      <c r="L627" s="11">
        <f>HYPERLINK("2\0\" &amp; K627, "Ver Imagen")</f>
        <v/>
      </c>
      <c r="M627" t="inlineStr">
        <is>
          <t>Moda</t>
        </is>
      </c>
    </row>
    <row r="628">
      <c r="A628" t="n">
        <v>627</v>
      </c>
      <c r="B628" t="inlineStr">
        <is>
          <t>A-497_2C__10</t>
        </is>
      </c>
      <c r="C628" s="1" t="n">
        <v>37.2674379838</v>
      </c>
      <c r="D628" s="1" t="n">
        <v>-6.95950455725</v>
      </c>
      <c r="E628" s="3" t="n">
        <v>2</v>
      </c>
      <c r="F628" s="2" t="n">
        <v>2</v>
      </c>
      <c r="G628" s="4" t="n">
        <v>2</v>
      </c>
      <c r="H628" s="13" t="n"/>
      <c r="I628" s="15" t="n"/>
      <c r="J628" s="19" t="n">
        <v>2</v>
      </c>
      <c r="K628" s="2" t="inlineStr">
        <is>
          <t>marker_361_653985.png</t>
        </is>
      </c>
      <c r="L628" s="11">
        <f>HYPERLINK("2\0\" &amp; K628, "Ver Imagen")</f>
        <v/>
      </c>
      <c r="M628" t="inlineStr">
        <is>
          <t>Moda</t>
        </is>
      </c>
    </row>
    <row r="629">
      <c r="A629" t="n">
        <v>628</v>
      </c>
      <c r="B629" t="inlineStr">
        <is>
          <t>A-499__124</t>
        </is>
      </c>
      <c r="C629" s="1" t="n">
        <v>37.5034810907</v>
      </c>
      <c r="D629" s="1" t="n">
        <v>-7.26591310989</v>
      </c>
      <c r="E629" s="3" t="n">
        <v>2</v>
      </c>
      <c r="F629" s="2" t="n">
        <v>2</v>
      </c>
      <c r="G629" s="4" t="n">
        <v>2</v>
      </c>
      <c r="H629" s="13" t="n"/>
      <c r="I629" s="15" t="n"/>
      <c r="J629" s="19" t="n">
        <v>2</v>
      </c>
      <c r="K629" s="2" t="inlineStr">
        <is>
          <t>marker_717_793677.png</t>
        </is>
      </c>
      <c r="L629" s="11">
        <f>HYPERLINK("2\0\" &amp; K629, "Ver Imagen")</f>
        <v/>
      </c>
      <c r="M629" t="inlineStr">
        <is>
          <t>Moda</t>
        </is>
      </c>
    </row>
    <row r="630">
      <c r="A630" t="n">
        <v>629</v>
      </c>
      <c r="B630" t="inlineStr">
        <is>
          <t>A-499__125</t>
        </is>
      </c>
      <c r="C630" s="1" t="n">
        <v>37.5036881107</v>
      </c>
      <c r="D630" s="1" t="n">
        <v>-7.26584257702</v>
      </c>
      <c r="E630" s="3" t="n">
        <v>2</v>
      </c>
      <c r="F630" s="2" t="n">
        <v>2</v>
      </c>
      <c r="G630" s="4" t="n">
        <v>2</v>
      </c>
      <c r="H630" s="13" t="n"/>
      <c r="I630" s="15" t="n"/>
      <c r="J630" s="19" t="n">
        <v>2</v>
      </c>
      <c r="K630" s="2" t="inlineStr">
        <is>
          <t>marker_401_793696.png</t>
        </is>
      </c>
      <c r="L630" s="11">
        <f>HYPERLINK("2\0\" &amp; K630, "Ver Imagen")</f>
        <v/>
      </c>
      <c r="M630" t="inlineStr">
        <is>
          <t>Moda</t>
        </is>
      </c>
    </row>
    <row r="631">
      <c r="A631" t="n">
        <v>630</v>
      </c>
      <c r="B631" t="inlineStr">
        <is>
          <t>A-499__126</t>
        </is>
      </c>
      <c r="C631" s="1" t="n">
        <v>37.5038674685</v>
      </c>
      <c r="D631" s="1" t="n">
        <v>-7.26578182155</v>
      </c>
      <c r="E631" s="3" t="n">
        <v>2</v>
      </c>
      <c r="F631" s="2" t="n">
        <v>2</v>
      </c>
      <c r="G631" s="4" t="n">
        <v>2</v>
      </c>
      <c r="H631" s="13" t="n"/>
      <c r="I631" s="15" t="n"/>
      <c r="J631" s="19" t="n">
        <v>2</v>
      </c>
      <c r="K631" s="2" t="inlineStr">
        <is>
          <t>marker_175_793710.png</t>
        </is>
      </c>
      <c r="L631" s="11">
        <f>HYPERLINK("2\0\" &amp; K631, "Ver Imagen")</f>
        <v/>
      </c>
      <c r="M631" t="inlineStr">
        <is>
          <t>Moda</t>
        </is>
      </c>
    </row>
    <row r="632">
      <c r="A632" t="n">
        <v>631</v>
      </c>
      <c r="B632" t="inlineStr">
        <is>
          <t>A-499__127</t>
        </is>
      </c>
      <c r="C632" s="1" t="n">
        <v>37.504058019</v>
      </c>
      <c r="D632" s="1" t="n">
        <v>-7.2657176394</v>
      </c>
      <c r="E632" s="3" t="n">
        <v>2</v>
      </c>
      <c r="F632" s="2" t="n">
        <v>2</v>
      </c>
      <c r="G632" s="4" t="n">
        <v>2</v>
      </c>
      <c r="H632" s="13" t="n"/>
      <c r="I632" s="15" t="n"/>
      <c r="J632" s="19" t="n">
        <v>2</v>
      </c>
      <c r="K632" s="2" t="inlineStr">
        <is>
          <t>marker_550_793724.png</t>
        </is>
      </c>
      <c r="L632" s="11">
        <f>HYPERLINK("2\0\" &amp; K632, "Ver Imagen")</f>
        <v/>
      </c>
      <c r="M632" t="inlineStr">
        <is>
          <t>Moda</t>
        </is>
      </c>
    </row>
    <row r="633">
      <c r="A633" t="n">
        <v>632</v>
      </c>
      <c r="B633" t="inlineStr">
        <is>
          <t>A-499__133</t>
        </is>
      </c>
      <c r="C633" s="1" t="n">
        <v>37.5052506694</v>
      </c>
      <c r="D633" s="1" t="n">
        <v>-7.26532381858</v>
      </c>
      <c r="E633" s="3" t="n">
        <v>2</v>
      </c>
      <c r="F633" s="2" t="n">
        <v>2</v>
      </c>
      <c r="G633" s="4" t="n">
        <v>2</v>
      </c>
      <c r="H633" s="13" t="n"/>
      <c r="I633" s="15" t="n"/>
      <c r="J633" s="19" t="n">
        <v>2</v>
      </c>
      <c r="K633" s="2" t="inlineStr">
        <is>
          <t>marker_930_793847.png</t>
        </is>
      </c>
      <c r="L633" s="11">
        <f>HYPERLINK("2\0\" &amp; K633, "Ver Imagen")</f>
        <v/>
      </c>
      <c r="M633" t="inlineStr">
        <is>
          <t>Moda</t>
        </is>
      </c>
    </row>
    <row r="634">
      <c r="A634" t="n">
        <v>633</v>
      </c>
      <c r="B634" t="inlineStr">
        <is>
          <t>A-499__134</t>
        </is>
      </c>
      <c r="C634" s="1" t="n">
        <v>37.5054388825</v>
      </c>
      <c r="D634" s="1" t="n">
        <v>-7.26528506563</v>
      </c>
      <c r="E634" s="3" t="n">
        <v>2</v>
      </c>
      <c r="F634" s="2" t="n">
        <v>2</v>
      </c>
      <c r="G634" s="4" t="n">
        <v>2</v>
      </c>
      <c r="H634" s="13" t="n"/>
      <c r="I634" s="15" t="n"/>
      <c r="J634" s="19" t="n">
        <v>2</v>
      </c>
      <c r="K634" s="2" t="inlineStr">
        <is>
          <t>marker_182_793866.png</t>
        </is>
      </c>
      <c r="L634" s="11">
        <f>HYPERLINK("2\0\" &amp; K634, "Ver Imagen")</f>
        <v/>
      </c>
      <c r="M634" t="inlineStr">
        <is>
          <t>Moda</t>
        </is>
      </c>
    </row>
    <row r="635">
      <c r="A635" t="n">
        <v>634</v>
      </c>
      <c r="B635" t="inlineStr">
        <is>
          <t>A-499__135</t>
        </is>
      </c>
      <c r="C635" s="1" t="n">
        <v>37.5056540127</v>
      </c>
      <c r="D635" s="1" t="n">
        <v>-7.2652592967</v>
      </c>
      <c r="E635" s="3" t="n">
        <v>2</v>
      </c>
      <c r="F635" s="2" t="n">
        <v>2</v>
      </c>
      <c r="G635" s="4" t="n">
        <v>2</v>
      </c>
      <c r="H635" s="13" t="n"/>
      <c r="I635" s="15" t="n"/>
      <c r="J635" s="19" t="n">
        <v>2</v>
      </c>
      <c r="K635" s="2" t="inlineStr">
        <is>
          <t>marker_174_793910.png</t>
        </is>
      </c>
      <c r="L635" s="11">
        <f>HYPERLINK("2\0\" &amp; K635, "Ver Imagen")</f>
        <v/>
      </c>
      <c r="M635" t="inlineStr">
        <is>
          <t>Moda</t>
        </is>
      </c>
    </row>
    <row r="636">
      <c r="A636" t="n">
        <v>635</v>
      </c>
      <c r="B636" t="inlineStr">
        <is>
          <t>A-499__136</t>
        </is>
      </c>
      <c r="C636" s="1" t="n">
        <v>37.5058621955</v>
      </c>
      <c r="D636" s="1" t="n">
        <v>-7.26525386194</v>
      </c>
      <c r="E636" s="3" t="n">
        <v>2</v>
      </c>
      <c r="F636" s="2" t="n">
        <v>2</v>
      </c>
      <c r="G636" s="4" t="n">
        <v>2</v>
      </c>
      <c r="H636" s="13" t="n"/>
      <c r="I636" s="15" t="n"/>
      <c r="J636" s="19" t="n">
        <v>2</v>
      </c>
      <c r="K636" s="2" t="inlineStr">
        <is>
          <t>marker_749_793924.png</t>
        </is>
      </c>
      <c r="L636" s="11">
        <f>HYPERLINK("2\0\" &amp; K636, "Ver Imagen")</f>
        <v/>
      </c>
      <c r="M636" t="inlineStr">
        <is>
          <t>Moda</t>
        </is>
      </c>
    </row>
    <row r="637">
      <c r="A637" t="n">
        <v>636</v>
      </c>
      <c r="B637" t="inlineStr">
        <is>
          <t>A-499__138</t>
        </is>
      </c>
      <c r="C637" s="1" t="n">
        <v>37.5062343596</v>
      </c>
      <c r="D637" s="1" t="n">
        <v>-7.26529463964</v>
      </c>
      <c r="E637" s="3" t="n">
        <v>2</v>
      </c>
      <c r="F637" s="2" t="n">
        <v>2</v>
      </c>
      <c r="G637" s="4" t="n">
        <v>2</v>
      </c>
      <c r="H637" s="13" t="n"/>
      <c r="I637" s="15" t="n"/>
      <c r="J637" s="19" t="n">
        <v>2</v>
      </c>
      <c r="K637" s="2" t="inlineStr">
        <is>
          <t>marker_341_794038.png</t>
        </is>
      </c>
      <c r="L637" s="11">
        <f>HYPERLINK("2\0\" &amp; K637, "Ver Imagen")</f>
        <v/>
      </c>
      <c r="M637" t="inlineStr">
        <is>
          <t>Moda</t>
        </is>
      </c>
    </row>
    <row r="638">
      <c r="A638" t="n">
        <v>637</v>
      </c>
      <c r="B638" t="inlineStr">
        <is>
          <t>A-499__141</t>
        </is>
      </c>
      <c r="C638" s="1" t="n">
        <v>37.5068474271</v>
      </c>
      <c r="D638" s="1" t="n">
        <v>-7.26550748788</v>
      </c>
      <c r="E638" s="3" t="n">
        <v>2</v>
      </c>
      <c r="F638" s="2" t="n">
        <v>2</v>
      </c>
      <c r="G638" s="4" t="n">
        <v>2</v>
      </c>
      <c r="H638" s="13" t="n"/>
      <c r="I638" s="15" t="n"/>
      <c r="J638" s="19" t="n">
        <v>2</v>
      </c>
      <c r="K638" s="2" t="inlineStr">
        <is>
          <t>marker_974_794098.png</t>
        </is>
      </c>
      <c r="L638" s="11">
        <f>HYPERLINK("2\0\" &amp; K638, "Ver Imagen")</f>
        <v/>
      </c>
      <c r="M638" t="inlineStr">
        <is>
          <t>Moda</t>
        </is>
      </c>
    </row>
    <row r="639">
      <c r="A639" t="n">
        <v>638</v>
      </c>
      <c r="B639" t="inlineStr">
        <is>
          <t>A-499__143</t>
        </is>
      </c>
      <c r="C639" s="1" t="n">
        <v>37.507207549</v>
      </c>
      <c r="D639" s="1" t="n">
        <v>-7.26572957571</v>
      </c>
      <c r="E639" s="3" t="n">
        <v>2</v>
      </c>
      <c r="F639" s="2" t="n">
        <v>2</v>
      </c>
      <c r="G639" s="4" t="n">
        <v>2</v>
      </c>
      <c r="H639" s="13" t="n"/>
      <c r="I639" s="15" t="n"/>
      <c r="J639" s="19" t="n">
        <v>2</v>
      </c>
      <c r="K639" s="2" t="inlineStr">
        <is>
          <t>marker_629_794126.png</t>
        </is>
      </c>
      <c r="L639" s="11">
        <f>HYPERLINK("2\0\" &amp; K639, "Ver Imagen")</f>
        <v/>
      </c>
      <c r="M639" t="inlineStr">
        <is>
          <t>Moda</t>
        </is>
      </c>
    </row>
    <row r="640">
      <c r="A640" t="n">
        <v>639</v>
      </c>
      <c r="B640" t="inlineStr">
        <is>
          <t>A-499__150</t>
        </is>
      </c>
      <c r="C640" s="1" t="n">
        <v>37.5083960855</v>
      </c>
      <c r="D640" s="1" t="n">
        <v>-7.26667776598</v>
      </c>
      <c r="E640" s="3" t="n">
        <v>2</v>
      </c>
      <c r="F640" s="2" t="n">
        <v>2</v>
      </c>
      <c r="G640" s="4" t="n">
        <v>2</v>
      </c>
      <c r="H640" s="13" t="n"/>
      <c r="I640" s="15" t="n"/>
      <c r="J640" s="19" t="n">
        <v>2</v>
      </c>
      <c r="K640" s="2" t="inlineStr">
        <is>
          <t>marker_852_794308.png</t>
        </is>
      </c>
      <c r="L640" s="11">
        <f>HYPERLINK("2\0\" &amp; K640, "Ver Imagen")</f>
        <v/>
      </c>
      <c r="M640" t="inlineStr">
        <is>
          <t>Moda</t>
        </is>
      </c>
    </row>
    <row r="641">
      <c r="A641" t="n">
        <v>640</v>
      </c>
      <c r="B641" t="inlineStr">
        <is>
          <t>A-499__151</t>
        </is>
      </c>
      <c r="C641" s="1" t="n">
        <v>37.5085724862</v>
      </c>
      <c r="D641" s="1" t="n">
        <v>-7.26681210939</v>
      </c>
      <c r="E641" s="3" t="n">
        <v>2</v>
      </c>
      <c r="F641" s="2" t="n">
        <v>2</v>
      </c>
      <c r="G641" s="4" t="n">
        <v>2</v>
      </c>
      <c r="H641" s="13" t="n"/>
      <c r="I641" s="15" t="n"/>
      <c r="J641" s="19" t="n">
        <v>2</v>
      </c>
      <c r="K641" s="2" t="inlineStr">
        <is>
          <t>marker_297_794321.png</t>
        </is>
      </c>
      <c r="L641" s="11">
        <f>HYPERLINK("2\0\" &amp; K641, "Ver Imagen")</f>
        <v/>
      </c>
      <c r="M641" t="inlineStr">
        <is>
          <t>Moda</t>
        </is>
      </c>
    </row>
    <row r="642">
      <c r="A642" t="n">
        <v>641</v>
      </c>
      <c r="B642" t="inlineStr">
        <is>
          <t>A-499__152</t>
        </is>
      </c>
      <c r="C642" s="1" t="n">
        <v>37.5087369045</v>
      </c>
      <c r="D642" s="1" t="n">
        <v>-7.26693147884</v>
      </c>
      <c r="E642" s="3" t="n">
        <v>2</v>
      </c>
      <c r="F642" s="2" t="n">
        <v>2</v>
      </c>
      <c r="G642" s="4" t="n">
        <v>2</v>
      </c>
      <c r="H642" s="13" t="n"/>
      <c r="I642" s="15" t="n"/>
      <c r="J642" s="19" t="n">
        <v>2</v>
      </c>
      <c r="K642" s="2" t="inlineStr">
        <is>
          <t>marker_713_794336.png</t>
        </is>
      </c>
      <c r="L642" s="11">
        <f>HYPERLINK("2\0\" &amp; K642, "Ver Imagen")</f>
        <v/>
      </c>
      <c r="M642" t="inlineStr">
        <is>
          <t>Moda</t>
        </is>
      </c>
    </row>
    <row r="643">
      <c r="A643" t="n">
        <v>642</v>
      </c>
      <c r="B643" t="inlineStr">
        <is>
          <t>A-499__157</t>
        </is>
      </c>
      <c r="C643" s="1" t="n">
        <v>37.5096676531</v>
      </c>
      <c r="D643" s="1" t="n">
        <v>-7.26745290372</v>
      </c>
      <c r="E643" s="3" t="n">
        <v>2</v>
      </c>
      <c r="F643" s="2" t="n">
        <v>2</v>
      </c>
      <c r="G643" s="4" t="n">
        <v>2</v>
      </c>
      <c r="H643" s="13" t="n"/>
      <c r="I643" s="15" t="n"/>
      <c r="J643" s="19" t="n">
        <v>2</v>
      </c>
      <c r="K643" s="2" t="inlineStr">
        <is>
          <t>marker_278_794538.png</t>
        </is>
      </c>
      <c r="L643" s="11">
        <f>HYPERLINK("2\0\" &amp; K643, "Ver Imagen")</f>
        <v/>
      </c>
      <c r="M643" t="inlineStr">
        <is>
          <t>Moda</t>
        </is>
      </c>
    </row>
    <row r="644">
      <c r="A644" t="n">
        <v>643</v>
      </c>
      <c r="B644" t="inlineStr">
        <is>
          <t>A-499__167</t>
        </is>
      </c>
      <c r="C644" s="1" t="n">
        <v>37.511608316</v>
      </c>
      <c r="D644" s="1" t="n">
        <v>-7.26821021764</v>
      </c>
      <c r="E644" s="3" t="n">
        <v>2</v>
      </c>
      <c r="F644" s="2" t="n">
        <v>2</v>
      </c>
      <c r="G644" s="4" t="n">
        <v>2</v>
      </c>
      <c r="H644" s="13" t="n"/>
      <c r="I644" s="15" t="n"/>
      <c r="J644" s="19" t="n">
        <v>2</v>
      </c>
      <c r="K644" s="2" t="inlineStr">
        <is>
          <t>marker_315_794715.png</t>
        </is>
      </c>
      <c r="L644" s="11">
        <f>HYPERLINK("2\0\" &amp; K644, "Ver Imagen")</f>
        <v/>
      </c>
      <c r="M644" t="inlineStr">
        <is>
          <t>Moda</t>
        </is>
      </c>
    </row>
    <row r="645">
      <c r="A645" t="n">
        <v>644</v>
      </c>
      <c r="B645" t="inlineStr">
        <is>
          <t>A-499__169</t>
        </is>
      </c>
      <c r="C645" s="1" t="n">
        <v>37.5119917491</v>
      </c>
      <c r="D645" s="1" t="n">
        <v>-7.26837119286</v>
      </c>
      <c r="E645" s="3" t="n">
        <v>2</v>
      </c>
      <c r="F645" s="2" t="n">
        <v>2</v>
      </c>
      <c r="G645" s="4" t="n">
        <v>2</v>
      </c>
      <c r="H645" s="13" t="n"/>
      <c r="I645" s="15" t="n"/>
      <c r="J645" s="19" t="n">
        <v>2</v>
      </c>
      <c r="K645" s="2" t="inlineStr">
        <is>
          <t>marker_790_794785.png</t>
        </is>
      </c>
      <c r="L645" s="11">
        <f>HYPERLINK("2\0\" &amp; K645, "Ver Imagen")</f>
        <v/>
      </c>
      <c r="M645" t="inlineStr">
        <is>
          <t>Moda</t>
        </is>
      </c>
    </row>
    <row r="646">
      <c r="A646" t="n">
        <v>645</v>
      </c>
      <c r="B646" t="inlineStr">
        <is>
          <t>A-499__170</t>
        </is>
      </c>
      <c r="C646" s="1" t="n">
        <v>37.5121795457</v>
      </c>
      <c r="D646" s="1" t="n">
        <v>-7.26844770879</v>
      </c>
      <c r="E646" s="3" t="n">
        <v>2</v>
      </c>
      <c r="F646" s="2" t="n">
        <v>2</v>
      </c>
      <c r="G646" s="4" t="n">
        <v>2</v>
      </c>
      <c r="H646" s="13" t="n"/>
      <c r="I646" s="15" t="n"/>
      <c r="J646" s="19" t="n">
        <v>2</v>
      </c>
      <c r="K646" s="2" t="inlineStr">
        <is>
          <t>marker_577_795495.png</t>
        </is>
      </c>
      <c r="L646" s="11">
        <f>HYPERLINK("2\0\" &amp; K646, "Ver Imagen")</f>
        <v/>
      </c>
      <c r="M646" t="inlineStr">
        <is>
          <t>Moda</t>
        </is>
      </c>
    </row>
    <row r="647">
      <c r="A647" t="n">
        <v>646</v>
      </c>
      <c r="B647" t="inlineStr">
        <is>
          <t>A-499__171</t>
        </is>
      </c>
      <c r="C647" s="1" t="n">
        <v>37.512420092</v>
      </c>
      <c r="D647" s="1" t="n">
        <v>-7.26854589283</v>
      </c>
      <c r="E647" s="3" t="n">
        <v>2</v>
      </c>
      <c r="F647" s="2" t="n">
        <v>2</v>
      </c>
      <c r="G647" s="4" t="n">
        <v>2</v>
      </c>
      <c r="H647" s="13" t="n"/>
      <c r="I647" s="15" t="n"/>
      <c r="J647" s="19" t="n">
        <v>2</v>
      </c>
      <c r="K647" s="2" t="inlineStr">
        <is>
          <t>marker_356_795509.png</t>
        </is>
      </c>
      <c r="L647" s="11">
        <f>HYPERLINK("2\0\" &amp; K647, "Ver Imagen")</f>
        <v/>
      </c>
      <c r="M647" t="inlineStr">
        <is>
          <t>Moda</t>
        </is>
      </c>
    </row>
    <row r="648">
      <c r="A648" t="n">
        <v>647</v>
      </c>
      <c r="B648" t="inlineStr">
        <is>
          <t>A-499__172</t>
        </is>
      </c>
      <c r="C648" s="1" t="n">
        <v>37.5125755509</v>
      </c>
      <c r="D648" s="1" t="n">
        <v>-7.2686095749</v>
      </c>
      <c r="E648" s="3" t="n">
        <v>2</v>
      </c>
      <c r="F648" s="2" t="n">
        <v>2</v>
      </c>
      <c r="G648" s="4" t="n">
        <v>2</v>
      </c>
      <c r="H648" s="13" t="n"/>
      <c r="I648" s="15" t="n"/>
      <c r="J648" s="19" t="n">
        <v>2</v>
      </c>
      <c r="K648" s="2" t="inlineStr">
        <is>
          <t>marker_466_795519.png</t>
        </is>
      </c>
      <c r="L648" s="11">
        <f>HYPERLINK("2\0\" &amp; K648, "Ver Imagen")</f>
        <v/>
      </c>
      <c r="M648" t="inlineStr">
        <is>
          <t>Moda</t>
        </is>
      </c>
    </row>
    <row r="649">
      <c r="A649" t="n">
        <v>648</v>
      </c>
      <c r="B649" t="inlineStr">
        <is>
          <t>A-499__173</t>
        </is>
      </c>
      <c r="C649" s="1" t="n">
        <v>37.5127809293</v>
      </c>
      <c r="D649" s="1" t="n">
        <v>-7.26869177148</v>
      </c>
      <c r="E649" s="3" t="n">
        <v>2</v>
      </c>
      <c r="F649" s="2" t="n">
        <v>2</v>
      </c>
      <c r="G649" s="4" t="n">
        <v>2</v>
      </c>
      <c r="H649" s="13" t="n"/>
      <c r="I649" s="15" t="n"/>
      <c r="J649" s="19" t="n">
        <v>2</v>
      </c>
      <c r="K649" s="2" t="inlineStr">
        <is>
          <t>marker_784_795532.png</t>
        </is>
      </c>
      <c r="L649" s="11">
        <f>HYPERLINK("2\0\" &amp; K649, "Ver Imagen")</f>
        <v/>
      </c>
      <c r="M649" t="inlineStr">
        <is>
          <t>Moda</t>
        </is>
      </c>
    </row>
    <row r="650">
      <c r="A650" t="n">
        <v>649</v>
      </c>
      <c r="B650" t="inlineStr">
        <is>
          <t>A-499__181</t>
        </is>
      </c>
      <c r="C650" s="1" t="n">
        <v>37.5143400048</v>
      </c>
      <c r="D650" s="1" t="n">
        <v>-7.26895624369</v>
      </c>
      <c r="E650" s="3" t="n">
        <v>2</v>
      </c>
      <c r="F650" s="2" t="n">
        <v>2</v>
      </c>
      <c r="G650" s="4" t="n">
        <v>2</v>
      </c>
      <c r="H650" s="13" t="n"/>
      <c r="I650" s="15" t="n"/>
      <c r="J650" s="19" t="n">
        <v>2</v>
      </c>
      <c r="K650" s="2" t="inlineStr">
        <is>
          <t>marker_531_795637.png</t>
        </is>
      </c>
      <c r="L650" s="11">
        <f>HYPERLINK("2\0\" &amp; K650, "Ver Imagen")</f>
        <v/>
      </c>
      <c r="M650" t="inlineStr">
        <is>
          <t>Moda</t>
        </is>
      </c>
    </row>
    <row r="651">
      <c r="A651" t="n">
        <v>650</v>
      </c>
      <c r="B651" t="inlineStr">
        <is>
          <t>A-499__182</t>
        </is>
      </c>
      <c r="C651" s="1" t="n">
        <v>37.5145454068</v>
      </c>
      <c r="D651" s="1" t="n">
        <v>-7.26890357808</v>
      </c>
      <c r="E651" s="3" t="n">
        <v>2</v>
      </c>
      <c r="F651" s="2" t="n">
        <v>2</v>
      </c>
      <c r="G651" s="4" t="n">
        <v>2</v>
      </c>
      <c r="H651" s="13" t="n"/>
      <c r="I651" s="15" t="n"/>
      <c r="J651" s="19" t="n">
        <v>2</v>
      </c>
      <c r="K651" s="2" t="inlineStr">
        <is>
          <t>marker_995_795652.png</t>
        </is>
      </c>
      <c r="L651" s="11">
        <f>HYPERLINK("2\0\" &amp; K651, "Ver Imagen")</f>
        <v/>
      </c>
      <c r="M651" t="inlineStr">
        <is>
          <t>Moda</t>
        </is>
      </c>
    </row>
    <row r="652">
      <c r="A652" t="n">
        <v>651</v>
      </c>
      <c r="B652" t="inlineStr">
        <is>
          <t>A-499__184</t>
        </is>
      </c>
      <c r="C652" s="1" t="n">
        <v>37.514916668</v>
      </c>
      <c r="D652" s="1" t="n">
        <v>-7.26875722137</v>
      </c>
      <c r="E652" s="3" t="n">
        <v>2</v>
      </c>
      <c r="F652" s="2" t="n">
        <v>2</v>
      </c>
      <c r="G652" s="4" t="n">
        <v>2</v>
      </c>
      <c r="H652" s="13" t="n"/>
      <c r="I652" s="15" t="n"/>
      <c r="J652" s="19" t="n">
        <v>2</v>
      </c>
      <c r="K652" s="2" t="inlineStr">
        <is>
          <t>marker_771_795684.png</t>
        </is>
      </c>
      <c r="L652" s="11">
        <f>HYPERLINK("2\0\" &amp; K652, "Ver Imagen")</f>
        <v/>
      </c>
      <c r="M652" t="inlineStr">
        <is>
          <t>Moda</t>
        </is>
      </c>
    </row>
    <row r="653">
      <c r="A653" t="n">
        <v>652</v>
      </c>
      <c r="B653" t="inlineStr">
        <is>
          <t>A-499__185</t>
        </is>
      </c>
      <c r="C653" s="1" t="n">
        <v>37.5151133491</v>
      </c>
      <c r="D653" s="1" t="n">
        <v>-7.26864770044</v>
      </c>
      <c r="E653" s="3" t="n">
        <v>2</v>
      </c>
      <c r="F653" s="2" t="n">
        <v>2</v>
      </c>
      <c r="G653" s="4" t="n">
        <v>2</v>
      </c>
      <c r="H653" s="13" t="n"/>
      <c r="I653" s="15" t="n"/>
      <c r="J653" s="19" t="n">
        <v>2</v>
      </c>
      <c r="K653" s="2" t="inlineStr">
        <is>
          <t>marker_708_795699.png</t>
        </is>
      </c>
      <c r="L653" s="11">
        <f>HYPERLINK("2\0\" &amp; K653, "Ver Imagen")</f>
        <v/>
      </c>
      <c r="M653" t="inlineStr">
        <is>
          <t>Moda</t>
        </is>
      </c>
    </row>
    <row r="654">
      <c r="A654" t="n">
        <v>653</v>
      </c>
      <c r="B654" t="inlineStr">
        <is>
          <t>A-499__189</t>
        </is>
      </c>
      <c r="C654" s="1" t="n">
        <v>37.5157602261</v>
      </c>
      <c r="D654" s="1" t="n">
        <v>-7.26807165092</v>
      </c>
      <c r="E654" s="3" t="n">
        <v>2</v>
      </c>
      <c r="F654" s="2" t="n">
        <v>2</v>
      </c>
      <c r="G654" s="4" t="n">
        <v>2</v>
      </c>
      <c r="H654" s="13" t="n"/>
      <c r="I654" s="15" t="n"/>
      <c r="J654" s="19" t="n">
        <v>2</v>
      </c>
      <c r="K654" s="2" t="inlineStr">
        <is>
          <t>marker_382_795795.png</t>
        </is>
      </c>
      <c r="L654" s="11">
        <f>HYPERLINK("2\0\" &amp; K654, "Ver Imagen")</f>
        <v/>
      </c>
      <c r="M654" t="inlineStr">
        <is>
          <t>Moda</t>
        </is>
      </c>
    </row>
    <row r="655">
      <c r="A655" t="n">
        <v>654</v>
      </c>
      <c r="B655" t="inlineStr">
        <is>
          <t>A-499__194</t>
        </is>
      </c>
      <c r="C655" s="1" t="n">
        <v>37.516376912</v>
      </c>
      <c r="D655" s="1" t="n">
        <v>-7.26707841585</v>
      </c>
      <c r="E655" s="3" t="n">
        <v>2</v>
      </c>
      <c r="F655" s="2" t="n">
        <v>2</v>
      </c>
      <c r="G655" s="4" t="n">
        <v>2</v>
      </c>
      <c r="H655" s="13" t="n"/>
      <c r="I655" s="15" t="n"/>
      <c r="J655" s="19" t="n">
        <v>2</v>
      </c>
      <c r="K655" s="2" t="inlineStr">
        <is>
          <t>marker_543_795869.png</t>
        </is>
      </c>
      <c r="L655" s="11">
        <f>HYPERLINK("2\0\" &amp; K655, "Ver Imagen")</f>
        <v/>
      </c>
      <c r="M655" t="inlineStr">
        <is>
          <t>Moda</t>
        </is>
      </c>
    </row>
    <row r="656">
      <c r="A656" t="n">
        <v>655</v>
      </c>
      <c r="B656" t="inlineStr">
        <is>
          <t>A-499__195</t>
        </is>
      </c>
      <c r="C656" s="1" t="n">
        <v>37.5164866211</v>
      </c>
      <c r="D656" s="1" t="n">
        <v>-7.26686445587</v>
      </c>
      <c r="E656" s="3" t="n">
        <v>2</v>
      </c>
      <c r="F656" s="2" t="n">
        <v>2</v>
      </c>
      <c r="G656" s="4" t="n">
        <v>2</v>
      </c>
      <c r="H656" s="13" t="n"/>
      <c r="I656" s="15" t="n"/>
      <c r="J656" s="19" t="n">
        <v>2</v>
      </c>
      <c r="K656" s="2" t="inlineStr">
        <is>
          <t>marker_983_795888.png</t>
        </is>
      </c>
      <c r="L656" s="11">
        <f>HYPERLINK("2\0\" &amp; K656, "Ver Imagen")</f>
        <v/>
      </c>
      <c r="M656" t="inlineStr">
        <is>
          <t>Moda</t>
        </is>
      </c>
    </row>
    <row r="657">
      <c r="A657" t="n">
        <v>656</v>
      </c>
      <c r="B657" t="inlineStr">
        <is>
          <t>A-499__199</t>
        </is>
      </c>
      <c r="C657" s="1" t="n">
        <v>37.5169211377</v>
      </c>
      <c r="D657" s="1" t="n">
        <v>-7.26601858456</v>
      </c>
      <c r="E657" s="3" t="n">
        <v>2</v>
      </c>
      <c r="F657" s="2" t="n">
        <v>2</v>
      </c>
      <c r="G657" s="4" t="n">
        <v>2</v>
      </c>
      <c r="H657" s="13" t="n"/>
      <c r="I657" s="15" t="n"/>
      <c r="J657" s="19" t="n">
        <v>2</v>
      </c>
      <c r="K657" s="2" t="inlineStr">
        <is>
          <t>marker_893_796072.png</t>
        </is>
      </c>
      <c r="L657" s="11">
        <f>HYPERLINK("2\0\" &amp; K657, "Ver Imagen")</f>
        <v/>
      </c>
      <c r="M657" t="inlineStr">
        <is>
          <t>Moda</t>
        </is>
      </c>
    </row>
    <row r="658">
      <c r="A658" t="n">
        <v>657</v>
      </c>
      <c r="B658" t="inlineStr">
        <is>
          <t>A-499__200</t>
        </is>
      </c>
      <c r="C658" s="1" t="n">
        <v>37.5170445768</v>
      </c>
      <c r="D658" s="1" t="n">
        <v>-7.26577653348</v>
      </c>
      <c r="E658" s="3" t="n">
        <v>2</v>
      </c>
      <c r="F658" s="2" t="n">
        <v>2</v>
      </c>
      <c r="G658" s="4" t="n">
        <v>2</v>
      </c>
      <c r="H658" s="13" t="n"/>
      <c r="I658" s="15" t="n"/>
      <c r="J658" s="19" t="n">
        <v>2</v>
      </c>
      <c r="K658" s="2" t="inlineStr">
        <is>
          <t>marker_152_796087.png</t>
        </is>
      </c>
      <c r="L658" s="11">
        <f>HYPERLINK("2\0\" &amp; K658, "Ver Imagen")</f>
        <v/>
      </c>
      <c r="M658" t="inlineStr">
        <is>
          <t>Moda</t>
        </is>
      </c>
    </row>
    <row r="659">
      <c r="A659" t="n">
        <v>658</v>
      </c>
      <c r="B659" t="inlineStr">
        <is>
          <t>A-499__207</t>
        </is>
      </c>
      <c r="C659" s="1" t="n">
        <v>37.5177996431</v>
      </c>
      <c r="D659" s="1" t="n">
        <v>-7.26429463727</v>
      </c>
      <c r="E659" s="3" t="n">
        <v>2</v>
      </c>
      <c r="F659" s="2" t="n">
        <v>2</v>
      </c>
      <c r="G659" s="4" t="n">
        <v>2</v>
      </c>
      <c r="H659" s="13" t="n"/>
      <c r="I659" s="15" t="n"/>
      <c r="J659" s="19" t="n">
        <v>2</v>
      </c>
      <c r="K659" s="2" t="inlineStr">
        <is>
          <t>marker_394_796274.png</t>
        </is>
      </c>
      <c r="L659" s="11">
        <f>HYPERLINK("2\0\" &amp; K659, "Ver Imagen")</f>
        <v/>
      </c>
      <c r="M659" t="inlineStr">
        <is>
          <t>Moda</t>
        </is>
      </c>
    </row>
    <row r="660">
      <c r="A660" t="n">
        <v>659</v>
      </c>
      <c r="B660" t="inlineStr">
        <is>
          <t>A-499__208</t>
        </is>
      </c>
      <c r="C660" s="1" t="n">
        <v>37.5179166628</v>
      </c>
      <c r="D660" s="1" t="n">
        <v>-7.26406530048</v>
      </c>
      <c r="E660" s="3" t="n">
        <v>2</v>
      </c>
      <c r="F660" s="2" t="n">
        <v>2</v>
      </c>
      <c r="G660" s="4" t="n">
        <v>2</v>
      </c>
      <c r="H660" s="13" t="n"/>
      <c r="I660" s="15" t="n"/>
      <c r="J660" s="19" t="n">
        <v>2</v>
      </c>
      <c r="K660" s="2" t="inlineStr">
        <is>
          <t>marker_160_796286.png</t>
        </is>
      </c>
      <c r="L660" s="11">
        <f>HYPERLINK("2\0\" &amp; K660, "Ver Imagen")</f>
        <v/>
      </c>
      <c r="M660" t="inlineStr">
        <is>
          <t>Moda</t>
        </is>
      </c>
    </row>
    <row r="661">
      <c r="A661" t="n">
        <v>660</v>
      </c>
      <c r="B661" t="inlineStr">
        <is>
          <t>A-499__210</t>
        </is>
      </c>
      <c r="C661" s="1" t="n">
        <v>37.5181209063</v>
      </c>
      <c r="D661" s="1" t="n">
        <v>-7.26366496325</v>
      </c>
      <c r="E661" s="3" t="n">
        <v>2</v>
      </c>
      <c r="F661" s="2" t="n">
        <v>2</v>
      </c>
      <c r="G661" s="4" t="n">
        <v>2</v>
      </c>
      <c r="H661" s="13" t="n"/>
      <c r="I661" s="15" t="n"/>
      <c r="J661" s="19" t="n">
        <v>2</v>
      </c>
      <c r="K661" s="2" t="inlineStr">
        <is>
          <t>marker_514_796310.png</t>
        </is>
      </c>
      <c r="L661" s="11">
        <f>HYPERLINK("2\0\" &amp; K661, "Ver Imagen")</f>
        <v/>
      </c>
      <c r="M661" t="inlineStr">
        <is>
          <t>Moda</t>
        </is>
      </c>
    </row>
    <row r="662">
      <c r="A662" t="n">
        <v>661</v>
      </c>
      <c r="B662" t="inlineStr">
        <is>
          <t>A-499__211</t>
        </is>
      </c>
      <c r="C662" s="1" t="n">
        <v>37.5182366237</v>
      </c>
      <c r="D662" s="1" t="n">
        <v>-7.26343809542</v>
      </c>
      <c r="E662" s="3" t="n">
        <v>2</v>
      </c>
      <c r="F662" s="2" t="n">
        <v>2</v>
      </c>
      <c r="G662" s="4" t="n">
        <v>2</v>
      </c>
      <c r="H662" s="13" t="n"/>
      <c r="I662" s="15" t="n"/>
      <c r="J662" s="19" t="n">
        <v>2</v>
      </c>
      <c r="K662" s="2" t="inlineStr">
        <is>
          <t>marker_642_796322.png</t>
        </is>
      </c>
      <c r="L662" s="11">
        <f>HYPERLINK("2\0\" &amp; K662, "Ver Imagen")</f>
        <v/>
      </c>
      <c r="M662" t="inlineStr">
        <is>
          <t>Moda</t>
        </is>
      </c>
    </row>
    <row r="663">
      <c r="A663" t="n">
        <v>662</v>
      </c>
      <c r="B663" t="inlineStr">
        <is>
          <t>A-499__212</t>
        </is>
      </c>
      <c r="C663" s="1" t="n">
        <v>37.5183439615</v>
      </c>
      <c r="D663" s="1" t="n">
        <v>-7.26322806502</v>
      </c>
      <c r="E663" s="3" t="n">
        <v>2</v>
      </c>
      <c r="F663" s="2" t="n">
        <v>2</v>
      </c>
      <c r="G663" s="4" t="n">
        <v>2</v>
      </c>
      <c r="H663" s="13" t="n"/>
      <c r="I663" s="15" t="n"/>
      <c r="J663" s="19" t="n">
        <v>2</v>
      </c>
      <c r="K663" s="2" t="inlineStr">
        <is>
          <t>marker_617_796336.png</t>
        </is>
      </c>
      <c r="L663" s="11">
        <f>HYPERLINK("2\0\" &amp; K663, "Ver Imagen")</f>
        <v/>
      </c>
      <c r="M663" t="inlineStr">
        <is>
          <t>Moda</t>
        </is>
      </c>
    </row>
    <row r="664">
      <c r="A664" t="n">
        <v>663</v>
      </c>
      <c r="B664" t="inlineStr">
        <is>
          <t>A-499__215</t>
        </is>
      </c>
      <c r="C664" s="1" t="n">
        <v>37.518728689</v>
      </c>
      <c r="D664" s="1" t="n">
        <v>-7.26256454553</v>
      </c>
      <c r="E664" s="3" t="n">
        <v>2</v>
      </c>
      <c r="F664" s="2" t="n">
        <v>2</v>
      </c>
      <c r="G664" s="4" t="n">
        <v>2</v>
      </c>
      <c r="H664" s="13" t="n"/>
      <c r="I664" s="15" t="n"/>
      <c r="J664" s="19" t="n">
        <v>2</v>
      </c>
      <c r="K664" s="2" t="inlineStr">
        <is>
          <t>marker_986_796410.png</t>
        </is>
      </c>
      <c r="L664" s="11">
        <f>HYPERLINK("2\0\" &amp; K664, "Ver Imagen")</f>
        <v/>
      </c>
      <c r="M664" t="inlineStr">
        <is>
          <t>Moda</t>
        </is>
      </c>
    </row>
    <row r="665">
      <c r="A665" t="n">
        <v>664</v>
      </c>
      <c r="B665" t="inlineStr">
        <is>
          <t>A-499__217</t>
        </is>
      </c>
      <c r="C665" s="1" t="n">
        <v>37.5189751547</v>
      </c>
      <c r="D665" s="1" t="n">
        <v>-7.26225077516</v>
      </c>
      <c r="E665" s="3" t="n">
        <v>2</v>
      </c>
      <c r="F665" s="2" t="n">
        <v>2</v>
      </c>
      <c r="G665" s="4" t="n">
        <v>2</v>
      </c>
      <c r="H665" s="13" t="n"/>
      <c r="I665" s="15" t="n"/>
      <c r="J665" s="19" t="n">
        <v>2</v>
      </c>
      <c r="K665" s="2" t="inlineStr">
        <is>
          <t>marker_140_796435.png</t>
        </is>
      </c>
      <c r="L665" s="11">
        <f>HYPERLINK("2\0\" &amp; K665, "Ver Imagen")</f>
        <v/>
      </c>
      <c r="M665" t="inlineStr">
        <is>
          <t>Moda</t>
        </is>
      </c>
    </row>
    <row r="666">
      <c r="A666" t="n">
        <v>665</v>
      </c>
      <c r="B666" t="inlineStr">
        <is>
          <t>A-499__219</t>
        </is>
      </c>
      <c r="C666" s="1" t="n">
        <v>37.5192731976</v>
      </c>
      <c r="D666" s="1" t="n">
        <v>-7.26193870839</v>
      </c>
      <c r="E666" s="3" t="n">
        <v>2</v>
      </c>
      <c r="F666" s="2" t="n">
        <v>2</v>
      </c>
      <c r="G666" s="4" t="n">
        <v>2</v>
      </c>
      <c r="H666" s="13" t="n"/>
      <c r="I666" s="15" t="n"/>
      <c r="J666" s="19" t="n">
        <v>2</v>
      </c>
      <c r="K666" s="2" t="inlineStr">
        <is>
          <t>marker_375_796457.png</t>
        </is>
      </c>
      <c r="L666" s="11">
        <f>HYPERLINK("2\0\" &amp; K666, "Ver Imagen")</f>
        <v/>
      </c>
      <c r="M666" t="inlineStr">
        <is>
          <t>Moda</t>
        </is>
      </c>
    </row>
    <row r="667">
      <c r="A667" t="n">
        <v>666</v>
      </c>
      <c r="B667" t="inlineStr">
        <is>
          <t>A-499__221</t>
        </is>
      </c>
      <c r="C667" s="1" t="n">
        <v>37.5196076586</v>
      </c>
      <c r="D667" s="1" t="n">
        <v>-7.26162077665</v>
      </c>
      <c r="E667" s="3" t="n">
        <v>2</v>
      </c>
      <c r="F667" s="2" t="n">
        <v>2</v>
      </c>
      <c r="G667" s="4" t="n">
        <v>2</v>
      </c>
      <c r="H667" s="13" t="n"/>
      <c r="I667" s="15" t="n"/>
      <c r="J667" s="19" t="n">
        <v>2</v>
      </c>
      <c r="K667" s="2" t="inlineStr">
        <is>
          <t>marker_124_796482.png</t>
        </is>
      </c>
      <c r="L667" s="11">
        <f>HYPERLINK("2\0\" &amp; K667, "Ver Imagen")</f>
        <v/>
      </c>
      <c r="M667" t="inlineStr">
        <is>
          <t>Moda</t>
        </is>
      </c>
    </row>
    <row r="668">
      <c r="A668" t="n">
        <v>667</v>
      </c>
      <c r="B668" t="inlineStr">
        <is>
          <t>A-499__222</t>
        </is>
      </c>
      <c r="C668" s="1" t="n">
        <v>37.5197704704</v>
      </c>
      <c r="D668" s="1" t="n">
        <v>-7.26146854813</v>
      </c>
      <c r="E668" s="3" t="n">
        <v>2</v>
      </c>
      <c r="F668" s="2" t="n">
        <v>2</v>
      </c>
      <c r="G668" s="4" t="n">
        <v>2</v>
      </c>
      <c r="H668" s="13" t="n"/>
      <c r="I668" s="15" t="n"/>
      <c r="J668" s="19" t="n">
        <v>2</v>
      </c>
      <c r="K668" s="2" t="inlineStr">
        <is>
          <t>marker_708_796501.png</t>
        </is>
      </c>
      <c r="L668" s="11">
        <f>HYPERLINK("2\0\" &amp; K668, "Ver Imagen")</f>
        <v/>
      </c>
      <c r="M668" t="inlineStr">
        <is>
          <t>Moda</t>
        </is>
      </c>
    </row>
    <row r="669">
      <c r="A669" t="n">
        <v>668</v>
      </c>
      <c r="B669" t="inlineStr">
        <is>
          <t>A-499__223</t>
        </is>
      </c>
      <c r="C669" s="1" t="n">
        <v>37.5199325771</v>
      </c>
      <c r="D669" s="1" t="n">
        <v>-7.26131770848</v>
      </c>
      <c r="E669" s="3" t="n">
        <v>2</v>
      </c>
      <c r="F669" s="2" t="n">
        <v>2</v>
      </c>
      <c r="G669" s="4" t="n">
        <v>2</v>
      </c>
      <c r="H669" s="13" t="n"/>
      <c r="I669" s="15" t="n"/>
      <c r="J669" s="19" t="n">
        <v>2</v>
      </c>
      <c r="K669" s="2" t="inlineStr">
        <is>
          <t>marker_300_796514.png</t>
        </is>
      </c>
      <c r="L669" s="11">
        <f>HYPERLINK("2\0\" &amp; K669, "Ver Imagen")</f>
        <v/>
      </c>
      <c r="M669" t="inlineStr">
        <is>
          <t>Moda</t>
        </is>
      </c>
    </row>
    <row r="670">
      <c r="A670" t="n">
        <v>669</v>
      </c>
      <c r="B670" t="inlineStr">
        <is>
          <t>A-499__227</t>
        </is>
      </c>
      <c r="C670" s="1" t="n">
        <v>37.5205790787</v>
      </c>
      <c r="D670" s="1" t="n">
        <v>-7.26071161544</v>
      </c>
      <c r="E670" s="3" t="n">
        <v>2</v>
      </c>
      <c r="F670" s="2" t="n">
        <v>2</v>
      </c>
      <c r="G670" s="4" t="n">
        <v>2</v>
      </c>
      <c r="H670" s="13" t="n"/>
      <c r="I670" s="15" t="n"/>
      <c r="J670" s="19" t="n">
        <v>2</v>
      </c>
      <c r="K670" s="2" t="inlineStr">
        <is>
          <t>marker_133_796573.png</t>
        </is>
      </c>
      <c r="L670" s="11">
        <f>HYPERLINK("2\0\" &amp; K670, "Ver Imagen")</f>
        <v/>
      </c>
      <c r="M670" t="inlineStr">
        <is>
          <t>Moda</t>
        </is>
      </c>
    </row>
    <row r="671">
      <c r="A671" t="n">
        <v>670</v>
      </c>
      <c r="B671" t="inlineStr">
        <is>
          <t>A-499__229</t>
        </is>
      </c>
      <c r="C671" s="1" t="n">
        <v>37.5208983318</v>
      </c>
      <c r="D671" s="1" t="n">
        <v>-7.26041083498</v>
      </c>
      <c r="E671" s="3" t="n">
        <v>2</v>
      </c>
      <c r="F671" s="2" t="n">
        <v>2</v>
      </c>
      <c r="G671" s="4" t="n">
        <v>2</v>
      </c>
      <c r="H671" s="13" t="n"/>
      <c r="I671" s="15" t="n"/>
      <c r="J671" s="19" t="n">
        <v>2</v>
      </c>
      <c r="K671" s="2" t="inlineStr">
        <is>
          <t>marker_859_796604.png</t>
        </is>
      </c>
      <c r="L671" s="11">
        <f>HYPERLINK("2\0\" &amp; K671, "Ver Imagen")</f>
        <v/>
      </c>
      <c r="M671" t="inlineStr">
        <is>
          <t>Moda</t>
        </is>
      </c>
    </row>
    <row r="672">
      <c r="A672" t="n">
        <v>671</v>
      </c>
      <c r="B672" t="inlineStr">
        <is>
          <t>A-499__234</t>
        </is>
      </c>
      <c r="C672" s="1" t="n">
        <v>37.521749676</v>
      </c>
      <c r="D672" s="1" t="n">
        <v>-7.25970662721</v>
      </c>
      <c r="E672" s="3" t="n">
        <v>2</v>
      </c>
      <c r="F672" s="2" t="n">
        <v>2</v>
      </c>
      <c r="G672" s="4" t="n">
        <v>2</v>
      </c>
      <c r="H672" s="13" t="n"/>
      <c r="I672" s="15" t="n"/>
      <c r="J672" s="19" t="n">
        <v>2</v>
      </c>
      <c r="K672" s="2" t="inlineStr">
        <is>
          <t>marker_167_796690.png</t>
        </is>
      </c>
      <c r="L672" s="11">
        <f>HYPERLINK("2\0\" &amp; K672, "Ver Imagen")</f>
        <v/>
      </c>
      <c r="M672" t="inlineStr">
        <is>
          <t>Moda</t>
        </is>
      </c>
    </row>
    <row r="673">
      <c r="A673" t="n">
        <v>672</v>
      </c>
      <c r="B673" t="inlineStr">
        <is>
          <t>A-499__239</t>
        </is>
      </c>
      <c r="C673" s="1" t="n">
        <v>37.5227111286</v>
      </c>
      <c r="D673" s="1" t="n">
        <v>-7.25926665947</v>
      </c>
      <c r="E673" s="3" t="n">
        <v>2</v>
      </c>
      <c r="F673" s="2" t="n">
        <v>2</v>
      </c>
      <c r="G673" s="4" t="n">
        <v>2</v>
      </c>
      <c r="H673" s="13" t="n"/>
      <c r="I673" s="15" t="n"/>
      <c r="J673" s="19" t="n">
        <v>2</v>
      </c>
      <c r="K673" s="2" t="inlineStr">
        <is>
          <t>marker_432_796789.png</t>
        </is>
      </c>
      <c r="L673" s="11">
        <f>HYPERLINK("2\0\" &amp; K673, "Ver Imagen")</f>
        <v/>
      </c>
      <c r="M673" t="inlineStr">
        <is>
          <t>Moda</t>
        </is>
      </c>
    </row>
    <row r="674">
      <c r="A674" t="n">
        <v>673</v>
      </c>
      <c r="B674" t="inlineStr">
        <is>
          <t>A-499__244</t>
        </is>
      </c>
      <c r="C674" s="1" t="n">
        <v>37.5236614443</v>
      </c>
      <c r="D674" s="1" t="n">
        <v>-7.25882385258</v>
      </c>
      <c r="E674" s="3" t="n">
        <v>2</v>
      </c>
      <c r="F674" s="2" t="n">
        <v>2</v>
      </c>
      <c r="G674" s="4" t="n">
        <v>2</v>
      </c>
      <c r="H674" s="13" t="n"/>
      <c r="I674" s="15" t="n"/>
      <c r="J674" s="19" t="n">
        <v>2</v>
      </c>
      <c r="K674" s="2" t="inlineStr">
        <is>
          <t>marker_167_796915.png</t>
        </is>
      </c>
      <c r="L674" s="11">
        <f>HYPERLINK("2\0\" &amp; K674, "Ver Imagen")</f>
        <v/>
      </c>
      <c r="M674" t="inlineStr">
        <is>
          <t>Moda</t>
        </is>
      </c>
    </row>
    <row r="675">
      <c r="A675" t="n">
        <v>674</v>
      </c>
      <c r="B675" t="inlineStr">
        <is>
          <t>A-497_2C__50</t>
        </is>
      </c>
      <c r="C675" s="1" t="n">
        <v>37.2679839597</v>
      </c>
      <c r="D675" s="1" t="n">
        <v>-6.96963073551</v>
      </c>
      <c r="E675" s="3" t="n">
        <v>2</v>
      </c>
      <c r="F675" s="2" t="n">
        <v>2</v>
      </c>
      <c r="G675" s="4" t="n">
        <v>2</v>
      </c>
      <c r="H675" s="13" t="n"/>
      <c r="I675" s="15" t="n"/>
      <c r="J675" s="19" t="n">
        <v>2</v>
      </c>
      <c r="K675" s="2" t="inlineStr">
        <is>
          <t>marker_630_654754.png</t>
        </is>
      </c>
      <c r="L675" s="11">
        <f>HYPERLINK("2\0\" &amp; K675, "Ver Imagen")</f>
        <v/>
      </c>
      <c r="M675" t="inlineStr">
        <is>
          <t>Moda</t>
        </is>
      </c>
    </row>
    <row r="676">
      <c r="A676" t="n">
        <v>675</v>
      </c>
      <c r="B676" t="inlineStr">
        <is>
          <t>A-497_2C__53</t>
        </is>
      </c>
      <c r="C676" s="1" t="n">
        <v>37.2680737582</v>
      </c>
      <c r="D676" s="1" t="n">
        <v>-6.97038916434</v>
      </c>
      <c r="E676" s="3" t="n">
        <v>2</v>
      </c>
      <c r="F676" s="2" t="n">
        <v>2</v>
      </c>
      <c r="G676" s="4" t="n">
        <v>2</v>
      </c>
      <c r="H676" s="13" t="n"/>
      <c r="I676" s="15" t="n"/>
      <c r="J676" s="19" t="n">
        <v>2</v>
      </c>
      <c r="K676" s="2" t="inlineStr">
        <is>
          <t>marker_752_654783.png</t>
        </is>
      </c>
      <c r="L676" s="11">
        <f>HYPERLINK("2\0\" &amp; K676, "Ver Imagen")</f>
        <v/>
      </c>
      <c r="M676" t="inlineStr">
        <is>
          <t>Moda</t>
        </is>
      </c>
    </row>
    <row r="677">
      <c r="A677" t="n">
        <v>676</v>
      </c>
      <c r="B677" t="inlineStr">
        <is>
          <t>A-499__248</t>
        </is>
      </c>
      <c r="C677" s="1" t="n">
        <v>37.5243008498</v>
      </c>
      <c r="D677" s="1" t="n">
        <v>-7.25823804516</v>
      </c>
      <c r="E677" s="3" t="n">
        <v>2</v>
      </c>
      <c r="F677" s="2" t="n">
        <v>2</v>
      </c>
      <c r="G677" s="4" t="n">
        <v>2</v>
      </c>
      <c r="H677" s="13" t="n"/>
      <c r="I677" s="15" t="n"/>
      <c r="J677" s="19" t="n">
        <v>2</v>
      </c>
      <c r="K677" s="2" t="inlineStr">
        <is>
          <t>marker_495_796973.png</t>
        </is>
      </c>
      <c r="L677" s="11">
        <f>HYPERLINK("2\0\" &amp; K677, "Ver Imagen")</f>
        <v/>
      </c>
      <c r="M677" t="inlineStr">
        <is>
          <t>Moda</t>
        </is>
      </c>
    </row>
    <row r="678">
      <c r="A678" t="n">
        <v>677</v>
      </c>
      <c r="B678" t="inlineStr">
        <is>
          <t>A-499__249</t>
        </is>
      </c>
      <c r="C678" s="1" t="n">
        <v>37.5244346418</v>
      </c>
      <c r="D678" s="1" t="n">
        <v>-7.25806961701</v>
      </c>
      <c r="E678" s="3" t="n">
        <v>2</v>
      </c>
      <c r="F678" s="2" t="n">
        <v>2</v>
      </c>
      <c r="G678" s="4" t="n">
        <v>2</v>
      </c>
      <c r="H678" s="13" t="n"/>
      <c r="I678" s="15" t="n"/>
      <c r="J678" s="19" t="n">
        <v>2</v>
      </c>
      <c r="K678" s="2" t="inlineStr">
        <is>
          <t>marker_441_796984.png</t>
        </is>
      </c>
      <c r="L678" s="11">
        <f>HYPERLINK("2\0\" &amp; K678, "Ver Imagen")</f>
        <v/>
      </c>
      <c r="M678" t="inlineStr">
        <is>
          <t>Moda</t>
        </is>
      </c>
    </row>
    <row r="679">
      <c r="A679" t="n">
        <v>678</v>
      </c>
      <c r="B679" t="inlineStr">
        <is>
          <t>A-499__250</t>
        </is>
      </c>
      <c r="C679" s="1" t="n">
        <v>37.5245814065</v>
      </c>
      <c r="D679" s="1" t="n">
        <v>-7.25786478436</v>
      </c>
      <c r="E679" s="3" t="n">
        <v>2</v>
      </c>
      <c r="F679" s="2" t="n">
        <v>2</v>
      </c>
      <c r="G679" s="4" t="n">
        <v>2</v>
      </c>
      <c r="H679" s="13" t="n"/>
      <c r="I679" s="15" t="n"/>
      <c r="J679" s="19" t="n">
        <v>2</v>
      </c>
      <c r="K679" s="2" t="inlineStr">
        <is>
          <t>marker_813_796999.png</t>
        </is>
      </c>
      <c r="L679" s="11">
        <f>HYPERLINK("2\0\" &amp; K679, "Ver Imagen")</f>
        <v/>
      </c>
      <c r="M679" t="inlineStr">
        <is>
          <t>Moda</t>
        </is>
      </c>
    </row>
    <row r="680">
      <c r="A680" t="n">
        <v>679</v>
      </c>
      <c r="B680" t="inlineStr">
        <is>
          <t>A-499__251</t>
        </is>
      </c>
      <c r="C680" s="1" t="n">
        <v>37.5247135273</v>
      </c>
      <c r="D680" s="1" t="n">
        <v>-7.25766581785</v>
      </c>
      <c r="E680" s="3" t="n">
        <v>2</v>
      </c>
      <c r="F680" s="2" t="n">
        <v>2</v>
      </c>
      <c r="G680" s="4" t="n">
        <v>2</v>
      </c>
      <c r="H680" s="13" t="n"/>
      <c r="I680" s="15" t="n"/>
      <c r="J680" s="19" t="n">
        <v>2</v>
      </c>
      <c r="K680" s="2" t="inlineStr">
        <is>
          <t>marker_257_797020.png</t>
        </is>
      </c>
      <c r="L680" s="11">
        <f>HYPERLINK("2\0\" &amp; K680, "Ver Imagen")</f>
        <v/>
      </c>
      <c r="M680" t="inlineStr">
        <is>
          <t>Moda</t>
        </is>
      </c>
    </row>
    <row r="681">
      <c r="A681" t="n">
        <v>680</v>
      </c>
      <c r="B681" t="inlineStr">
        <is>
          <t>A-499__253</t>
        </is>
      </c>
      <c r="C681" s="1" t="n">
        <v>37.5249666358</v>
      </c>
      <c r="D681" s="1" t="n">
        <v>-7.25726746492</v>
      </c>
      <c r="E681" s="3" t="n">
        <v>2</v>
      </c>
      <c r="F681" s="2" t="n">
        <v>2</v>
      </c>
      <c r="G681" s="4" t="n">
        <v>2</v>
      </c>
      <c r="H681" s="13" t="n"/>
      <c r="I681" s="15" t="n"/>
      <c r="J681" s="19" t="n">
        <v>2</v>
      </c>
      <c r="K681" s="2" t="inlineStr">
        <is>
          <t>marker_408_797040.png</t>
        </is>
      </c>
      <c r="L681" s="11">
        <f>HYPERLINK("2\0\" &amp; K681, "Ver Imagen")</f>
        <v/>
      </c>
      <c r="M681" t="inlineStr">
        <is>
          <t>Moda</t>
        </is>
      </c>
    </row>
    <row r="682">
      <c r="A682" t="n">
        <v>681</v>
      </c>
      <c r="B682" t="inlineStr">
        <is>
          <t>A-499__254</t>
        </is>
      </c>
      <c r="C682" s="1" t="n">
        <v>37.5250835577</v>
      </c>
      <c r="D682" s="1" t="n">
        <v>-7.25708062021</v>
      </c>
      <c r="E682" s="3" t="n">
        <v>2</v>
      </c>
      <c r="F682" s="2" t="n">
        <v>2</v>
      </c>
      <c r="G682" s="4" t="n">
        <v>2</v>
      </c>
      <c r="H682" s="13" t="n"/>
      <c r="I682" s="15" t="n"/>
      <c r="J682" s="19" t="n">
        <v>2</v>
      </c>
      <c r="K682" s="2" t="inlineStr">
        <is>
          <t>marker_463_797051.png</t>
        </is>
      </c>
      <c r="L682" s="11">
        <f>HYPERLINK("2\0\" &amp; K682, "Ver Imagen")</f>
        <v/>
      </c>
      <c r="M682" t="inlineStr">
        <is>
          <t>Moda</t>
        </is>
      </c>
    </row>
    <row r="683">
      <c r="A683" t="n">
        <v>682</v>
      </c>
      <c r="B683" t="inlineStr">
        <is>
          <t>A-499__255</t>
        </is>
      </c>
      <c r="C683" s="1" t="n">
        <v>37.5252126792</v>
      </c>
      <c r="D683" s="1" t="n">
        <v>-7.25687420426</v>
      </c>
      <c r="E683" s="3" t="n">
        <v>2</v>
      </c>
      <c r="F683" s="2" t="n">
        <v>2</v>
      </c>
      <c r="G683" s="4" t="n">
        <v>2</v>
      </c>
      <c r="H683" s="13" t="n"/>
      <c r="I683" s="15" t="n"/>
      <c r="J683" s="19" t="n">
        <v>2</v>
      </c>
      <c r="K683" s="2" t="inlineStr">
        <is>
          <t>marker_435_797074.png</t>
        </is>
      </c>
      <c r="L683" s="11">
        <f>HYPERLINK("2\0\" &amp; K683, "Ver Imagen")</f>
        <v/>
      </c>
      <c r="M683" t="inlineStr">
        <is>
          <t>Moda</t>
        </is>
      </c>
    </row>
    <row r="684">
      <c r="A684" t="n">
        <v>683</v>
      </c>
      <c r="B684" t="inlineStr">
        <is>
          <t>A-499__257</t>
        </is>
      </c>
      <c r="C684" s="1" t="n">
        <v>37.5254597122</v>
      </c>
      <c r="D684" s="1" t="n">
        <v>-7.25647849977</v>
      </c>
      <c r="E684" s="3" t="n">
        <v>2</v>
      </c>
      <c r="F684" s="2" t="n">
        <v>2</v>
      </c>
      <c r="G684" s="4" t="n">
        <v>2</v>
      </c>
      <c r="H684" s="13" t="n"/>
      <c r="I684" s="15" t="n"/>
      <c r="J684" s="19" t="n">
        <v>2</v>
      </c>
      <c r="K684" s="2" t="inlineStr">
        <is>
          <t>marker_379_797222.png</t>
        </is>
      </c>
      <c r="L684" s="11">
        <f>HYPERLINK("2\0\" &amp; K684, "Ver Imagen")</f>
        <v/>
      </c>
      <c r="M684" t="inlineStr">
        <is>
          <t>Moda</t>
        </is>
      </c>
    </row>
    <row r="685">
      <c r="A685" t="n">
        <v>684</v>
      </c>
      <c r="B685" t="inlineStr">
        <is>
          <t>A-499__258</t>
        </is>
      </c>
      <c r="C685" s="1" t="n">
        <v>37.5256011807</v>
      </c>
      <c r="D685" s="1" t="n">
        <v>-7.25625355851</v>
      </c>
      <c r="E685" s="3" t="n">
        <v>2</v>
      </c>
      <c r="F685" s="2" t="n">
        <v>2</v>
      </c>
      <c r="G685" s="4" t="n">
        <v>2</v>
      </c>
      <c r="H685" s="13" t="n"/>
      <c r="I685" s="15" t="n"/>
      <c r="J685" s="19" t="n">
        <v>2</v>
      </c>
      <c r="K685" s="2" t="inlineStr">
        <is>
          <t>marker_861_797235.png</t>
        </is>
      </c>
      <c r="L685" s="11">
        <f>HYPERLINK("2\0\" &amp; K685, "Ver Imagen")</f>
        <v/>
      </c>
      <c r="M685" t="inlineStr">
        <is>
          <t>Moda</t>
        </is>
      </c>
    </row>
    <row r="686">
      <c r="A686" t="n">
        <v>685</v>
      </c>
      <c r="B686" t="inlineStr">
        <is>
          <t>A-499__260</t>
        </is>
      </c>
      <c r="C686" s="1" t="n">
        <v>37.5258540629</v>
      </c>
      <c r="D686" s="1" t="n">
        <v>-7.25588463278</v>
      </c>
      <c r="E686" s="3" t="n">
        <v>2</v>
      </c>
      <c r="F686" s="2" t="n">
        <v>2</v>
      </c>
      <c r="G686" s="4" t="n">
        <v>2</v>
      </c>
      <c r="H686" s="13" t="n"/>
      <c r="I686" s="15" t="n"/>
      <c r="J686" s="19" t="n">
        <v>2</v>
      </c>
      <c r="K686" s="2" t="inlineStr">
        <is>
          <t>marker_537_797261.png</t>
        </is>
      </c>
      <c r="L686" s="11">
        <f>HYPERLINK("2\0\" &amp; K686, "Ver Imagen")</f>
        <v/>
      </c>
      <c r="M686" t="inlineStr">
        <is>
          <t>Moda</t>
        </is>
      </c>
    </row>
    <row r="687">
      <c r="A687" t="n">
        <v>686</v>
      </c>
      <c r="B687" t="inlineStr">
        <is>
          <t>A-499__262</t>
        </is>
      </c>
      <c r="C687" s="1" t="n">
        <v>37.526159847</v>
      </c>
      <c r="D687" s="1" t="n">
        <v>-7.25554013365</v>
      </c>
      <c r="E687" s="3" t="n">
        <v>2</v>
      </c>
      <c r="F687" s="2" t="n">
        <v>2</v>
      </c>
      <c r="G687" s="4" t="n">
        <v>2</v>
      </c>
      <c r="H687" s="13" t="n"/>
      <c r="I687" s="15" t="n"/>
      <c r="J687" s="19" t="n">
        <v>2</v>
      </c>
      <c r="K687" s="2" t="inlineStr">
        <is>
          <t>marker_519_797282.png</t>
        </is>
      </c>
      <c r="L687" s="11">
        <f>HYPERLINK("2\0\" &amp; K687, "Ver Imagen")</f>
        <v/>
      </c>
      <c r="M687" t="inlineStr">
        <is>
          <t>Moda</t>
        </is>
      </c>
    </row>
    <row r="688">
      <c r="A688" t="n">
        <v>687</v>
      </c>
      <c r="B688" t="inlineStr">
        <is>
          <t>A-499__263</t>
        </is>
      </c>
      <c r="C688" s="1" t="n">
        <v>37.5263513464</v>
      </c>
      <c r="D688" s="1" t="n">
        <v>-7.25537900334</v>
      </c>
      <c r="E688" s="3" t="n">
        <v>2</v>
      </c>
      <c r="F688" s="2" t="n">
        <v>2</v>
      </c>
      <c r="G688" s="4" t="n">
        <v>2</v>
      </c>
      <c r="H688" s="13" t="n"/>
      <c r="I688" s="15" t="n"/>
      <c r="J688" s="19" t="n">
        <v>2</v>
      </c>
      <c r="K688" s="2" t="inlineStr">
        <is>
          <t>marker_359_797294.png</t>
        </is>
      </c>
      <c r="L688" s="11">
        <f>HYPERLINK("2\0\" &amp; K688, "Ver Imagen")</f>
        <v/>
      </c>
      <c r="M688" t="inlineStr">
        <is>
          <t>Moda</t>
        </is>
      </c>
    </row>
    <row r="689">
      <c r="A689" t="n">
        <v>688</v>
      </c>
      <c r="B689" t="inlineStr">
        <is>
          <t>A-499__264</t>
        </is>
      </c>
      <c r="C689" s="1" t="n">
        <v>37.5264956089</v>
      </c>
      <c r="D689" s="1" t="n">
        <v>-7.255275816</v>
      </c>
      <c r="E689" s="3" t="n">
        <v>2</v>
      </c>
      <c r="F689" s="2" t="n">
        <v>2</v>
      </c>
      <c r="G689" s="4" t="n">
        <v>2</v>
      </c>
      <c r="H689" s="13" t="n"/>
      <c r="I689" s="15" t="n"/>
      <c r="J689" s="19" t="n">
        <v>2</v>
      </c>
      <c r="K689" s="2" t="inlineStr">
        <is>
          <t>marker_748_797305.png</t>
        </is>
      </c>
      <c r="L689" s="11">
        <f>HYPERLINK("2\0\" &amp; K689, "Ver Imagen")</f>
        <v/>
      </c>
      <c r="M689" t="inlineStr">
        <is>
          <t>Moda</t>
        </is>
      </c>
    </row>
    <row r="690">
      <c r="A690" t="n">
        <v>689</v>
      </c>
      <c r="B690" t="inlineStr">
        <is>
          <t>A-499__265</t>
        </is>
      </c>
      <c r="C690" s="1" t="n">
        <v>37.526701056</v>
      </c>
      <c r="D690" s="1" t="n">
        <v>-7.25514460285</v>
      </c>
      <c r="E690" s="3" t="n">
        <v>2</v>
      </c>
      <c r="F690" s="2" t="n">
        <v>2</v>
      </c>
      <c r="G690" s="4" t="n">
        <v>2</v>
      </c>
      <c r="H690" s="13" t="n"/>
      <c r="I690" s="15" t="n"/>
      <c r="J690" s="19" t="n">
        <v>2</v>
      </c>
      <c r="K690" s="2" t="inlineStr">
        <is>
          <t>marker_896_797326.png</t>
        </is>
      </c>
      <c r="L690" s="11">
        <f>HYPERLINK("2\0\" &amp; K690, "Ver Imagen")</f>
        <v/>
      </c>
      <c r="M690" t="inlineStr">
        <is>
          <t>Moda</t>
        </is>
      </c>
    </row>
    <row r="691">
      <c r="A691" t="n">
        <v>690</v>
      </c>
      <c r="B691" t="inlineStr">
        <is>
          <t>A-499__267</t>
        </is>
      </c>
      <c r="C691" s="1" t="n">
        <v>37.5270490619</v>
      </c>
      <c r="D691" s="1" t="n">
        <v>-7.25494157784</v>
      </c>
      <c r="E691" s="3" t="n">
        <v>2</v>
      </c>
      <c r="F691" s="2" t="n">
        <v>2</v>
      </c>
      <c r="G691" s="4" t="n">
        <v>2</v>
      </c>
      <c r="H691" s="13" t="n"/>
      <c r="I691" s="15" t="n"/>
      <c r="J691" s="19" t="n">
        <v>2</v>
      </c>
      <c r="K691" s="2" t="inlineStr">
        <is>
          <t>marker_741_797353.png</t>
        </is>
      </c>
      <c r="L691" s="11">
        <f>HYPERLINK("2\0\" &amp; K691, "Ver Imagen")</f>
        <v/>
      </c>
      <c r="M691" t="inlineStr">
        <is>
          <t>Moda</t>
        </is>
      </c>
    </row>
    <row r="692">
      <c r="A692" t="n">
        <v>691</v>
      </c>
      <c r="B692" t="inlineStr">
        <is>
          <t>A-499__268</t>
        </is>
      </c>
      <c r="C692" s="1" t="n">
        <v>37.5272280816</v>
      </c>
      <c r="D692" s="1" t="n">
        <v>-7.25483934447</v>
      </c>
      <c r="E692" s="3" t="n">
        <v>2</v>
      </c>
      <c r="F692" s="2" t="n">
        <v>2</v>
      </c>
      <c r="G692" s="4" t="n">
        <v>2</v>
      </c>
      <c r="H692" s="13" t="n"/>
      <c r="I692" s="15" t="n"/>
      <c r="J692" s="19" t="n">
        <v>2</v>
      </c>
      <c r="K692" s="2" t="inlineStr">
        <is>
          <t>marker_824_797369.png</t>
        </is>
      </c>
      <c r="L692" s="11">
        <f>HYPERLINK("2\0\" &amp; K692, "Ver Imagen")</f>
        <v/>
      </c>
      <c r="M692" t="inlineStr">
        <is>
          <t>Moda</t>
        </is>
      </c>
    </row>
    <row r="693">
      <c r="A693" t="n">
        <v>692</v>
      </c>
      <c r="B693" t="inlineStr">
        <is>
          <t>A-497_2C__117</t>
        </is>
      </c>
      <c r="C693" s="1" t="n">
        <v>37.2718321826</v>
      </c>
      <c r="D693" s="1" t="n">
        <v>-6.98590853699</v>
      </c>
      <c r="E693" s="3" t="n">
        <v>2</v>
      </c>
      <c r="F693" s="2" t="n">
        <v>2</v>
      </c>
      <c r="G693" s="4" t="n">
        <v>2</v>
      </c>
      <c r="H693" s="13" t="n"/>
      <c r="I693" s="15" t="n"/>
      <c r="J693" s="19" t="n">
        <v>2</v>
      </c>
      <c r="K693" s="2" t="inlineStr">
        <is>
          <t>marker_826_655655.png</t>
        </is>
      </c>
      <c r="L693" s="11">
        <f>HYPERLINK("2\0\" &amp; K693, "Ver Imagen")</f>
        <v/>
      </c>
      <c r="M693" t="inlineStr">
        <is>
          <t>Moda</t>
        </is>
      </c>
    </row>
    <row r="694">
      <c r="A694" t="n">
        <v>693</v>
      </c>
      <c r="B694" t="inlineStr">
        <is>
          <t>A-497_2C__119</t>
        </is>
      </c>
      <c r="C694" s="1" t="n">
        <v>37.2718559091</v>
      </c>
      <c r="D694" s="1" t="n">
        <v>-6.98638875848</v>
      </c>
      <c r="E694" s="3" t="n">
        <v>2</v>
      </c>
      <c r="F694" s="2" t="n">
        <v>2</v>
      </c>
      <c r="G694" s="4" t="n">
        <v>2</v>
      </c>
      <c r="H694" s="13" t="n"/>
      <c r="I694" s="15" t="n"/>
      <c r="J694" s="19" t="n">
        <v>2</v>
      </c>
      <c r="K694" s="2" t="inlineStr">
        <is>
          <t>marker_900_655673.png</t>
        </is>
      </c>
      <c r="L694" s="11">
        <f>HYPERLINK("2\0\" &amp; K694, "Ver Imagen")</f>
        <v/>
      </c>
      <c r="M694" t="inlineStr">
        <is>
          <t>Moda</t>
        </is>
      </c>
    </row>
    <row r="695">
      <c r="A695" t="n">
        <v>694</v>
      </c>
      <c r="B695" t="inlineStr">
        <is>
          <t>A-497_2C__123</t>
        </is>
      </c>
      <c r="C695" s="1" t="n">
        <v>37.2717482126</v>
      </c>
      <c r="D695" s="1" t="n">
        <v>-6.98739540144</v>
      </c>
      <c r="E695" s="3" t="n">
        <v>2</v>
      </c>
      <c r="F695" s="2" t="n">
        <v>2</v>
      </c>
      <c r="G695" s="4" t="n">
        <v>2</v>
      </c>
      <c r="H695" s="13" t="n"/>
      <c r="I695" s="15" t="n"/>
      <c r="J695" s="19" t="n">
        <v>2</v>
      </c>
      <c r="K695" s="2" t="inlineStr">
        <is>
          <t>marker_208_655707.png</t>
        </is>
      </c>
      <c r="L695" s="11">
        <f>HYPERLINK("2\0\" &amp; K695, "Ver Imagen")</f>
        <v/>
      </c>
      <c r="M695" t="inlineStr">
        <is>
          <t>Moda</t>
        </is>
      </c>
    </row>
    <row r="696">
      <c r="A696" t="n">
        <v>695</v>
      </c>
      <c r="B696" t="inlineStr">
        <is>
          <t>A-497_2C__124</t>
        </is>
      </c>
      <c r="C696" s="1" t="n">
        <v>37.2716887221</v>
      </c>
      <c r="D696" s="1" t="n">
        <v>-6.98763666764</v>
      </c>
      <c r="E696" s="3" t="n">
        <v>2</v>
      </c>
      <c r="F696" s="2" t="n">
        <v>2</v>
      </c>
      <c r="G696" s="4" t="n">
        <v>2</v>
      </c>
      <c r="H696" s="13" t="n"/>
      <c r="I696" s="15" t="n"/>
      <c r="J696" s="19" t="n">
        <v>2</v>
      </c>
      <c r="K696" s="2" t="inlineStr">
        <is>
          <t>marker_161_655715.png</t>
        </is>
      </c>
      <c r="L696" s="11">
        <f>HYPERLINK("2\0\" &amp; K696, "Ver Imagen")</f>
        <v/>
      </c>
      <c r="M696" t="inlineStr">
        <is>
          <t>Moda</t>
        </is>
      </c>
    </row>
    <row r="697">
      <c r="A697" t="n">
        <v>696</v>
      </c>
      <c r="B697" t="inlineStr">
        <is>
          <t>A-497_2C__128</t>
        </is>
      </c>
      <c r="C697" s="1" t="n">
        <v>37.2712667395</v>
      </c>
      <c r="D697" s="1" t="n">
        <v>-6.98854198555</v>
      </c>
      <c r="E697" s="3" t="n">
        <v>2</v>
      </c>
      <c r="F697" s="2" t="n">
        <v>2</v>
      </c>
      <c r="G697" s="4" t="n">
        <v>2</v>
      </c>
      <c r="H697" s="13" t="n"/>
      <c r="I697" s="15" t="n"/>
      <c r="J697" s="19" t="n">
        <v>2</v>
      </c>
      <c r="K697" s="2" t="inlineStr">
        <is>
          <t>marker_287_655750.png</t>
        </is>
      </c>
      <c r="L697" s="11">
        <f>HYPERLINK("2\0\" &amp; K697, "Ver Imagen")</f>
        <v/>
      </c>
      <c r="M697" t="inlineStr">
        <is>
          <t>Moda</t>
        </is>
      </c>
    </row>
    <row r="698">
      <c r="A698" t="n">
        <v>697</v>
      </c>
      <c r="B698" t="inlineStr">
        <is>
          <t>A-497_2C__129</t>
        </is>
      </c>
      <c r="C698" s="1" t="n">
        <v>37.271140955</v>
      </c>
      <c r="D698" s="1" t="n">
        <v>-6.98871225774</v>
      </c>
      <c r="E698" s="3" t="n">
        <v>2</v>
      </c>
      <c r="F698" s="2" t="n">
        <v>2</v>
      </c>
      <c r="G698" s="4" t="n">
        <v>2</v>
      </c>
      <c r="H698" s="13" t="n"/>
      <c r="I698" s="15" t="n"/>
      <c r="J698" s="19" t="n">
        <v>2</v>
      </c>
      <c r="K698" s="2" t="inlineStr">
        <is>
          <t>marker_226_655758.png</t>
        </is>
      </c>
      <c r="L698" s="11">
        <f>HYPERLINK("2\0\" &amp; K698, "Ver Imagen")</f>
        <v/>
      </c>
      <c r="M698" t="inlineStr">
        <is>
          <t>Moda</t>
        </is>
      </c>
    </row>
    <row r="699">
      <c r="A699" t="n">
        <v>698</v>
      </c>
      <c r="B699" t="inlineStr">
        <is>
          <t>A-497_2C__131</t>
        </is>
      </c>
      <c r="C699" s="1" t="n">
        <v>37.2708255982</v>
      </c>
      <c r="D699" s="1" t="n">
        <v>-6.98903786286</v>
      </c>
      <c r="E699" s="3" t="n">
        <v>2</v>
      </c>
      <c r="F699" s="2" t="n">
        <v>2</v>
      </c>
      <c r="G699" s="4" t="n">
        <v>2</v>
      </c>
      <c r="H699" s="13" t="n"/>
      <c r="I699" s="15" t="n"/>
      <c r="J699" s="19" t="n">
        <v>2</v>
      </c>
      <c r="K699" s="2" t="inlineStr">
        <is>
          <t>marker_672_655782.png</t>
        </is>
      </c>
      <c r="L699" s="11">
        <f>HYPERLINK("2\0\" &amp; K699, "Ver Imagen")</f>
        <v/>
      </c>
      <c r="M699" t="inlineStr">
        <is>
          <t>Moda</t>
        </is>
      </c>
    </row>
    <row r="700">
      <c r="A700" t="n">
        <v>699</v>
      </c>
      <c r="B700" t="inlineStr">
        <is>
          <t>A-497_2C__132</t>
        </is>
      </c>
      <c r="C700" s="1" t="n">
        <v>37.2706539987</v>
      </c>
      <c r="D700" s="1" t="n">
        <v>-6.98918188699</v>
      </c>
      <c r="E700" s="3" t="n">
        <v>2</v>
      </c>
      <c r="F700" s="2" t="n">
        <v>2</v>
      </c>
      <c r="G700" s="4" t="n">
        <v>2</v>
      </c>
      <c r="H700" s="13" t="n"/>
      <c r="I700" s="15" t="n"/>
      <c r="J700" s="19" t="n">
        <v>2</v>
      </c>
      <c r="K700" s="2" t="inlineStr">
        <is>
          <t>marker_594_655792.png</t>
        </is>
      </c>
      <c r="L700" s="11">
        <f>HYPERLINK("2\0\" &amp; K700, "Ver Imagen")</f>
        <v/>
      </c>
      <c r="M700" t="inlineStr">
        <is>
          <t>Moda</t>
        </is>
      </c>
    </row>
    <row r="701">
      <c r="A701" t="n">
        <v>700</v>
      </c>
      <c r="B701" t="inlineStr">
        <is>
          <t>A-497_2C__145</t>
        </is>
      </c>
      <c r="C701" s="1" t="n">
        <v>37.2683811091</v>
      </c>
      <c r="D701" s="1" t="n">
        <v>-6.99078500663</v>
      </c>
      <c r="E701" s="3" t="n">
        <v>2</v>
      </c>
      <c r="F701" s="2" t="n">
        <v>2</v>
      </c>
      <c r="G701" s="4" t="n">
        <v>2</v>
      </c>
      <c r="H701" s="13" t="n"/>
      <c r="I701" s="15" t="n"/>
      <c r="J701" s="19" t="n">
        <v>2</v>
      </c>
      <c r="K701" s="2" t="inlineStr">
        <is>
          <t>marker_584_655913.png</t>
        </is>
      </c>
      <c r="L701" s="11">
        <f>HYPERLINK("2\0\" &amp; K701, "Ver Imagen")</f>
        <v/>
      </c>
      <c r="M701" t="inlineStr">
        <is>
          <t>Moda</t>
        </is>
      </c>
    </row>
    <row r="702">
      <c r="A702" t="n">
        <v>701</v>
      </c>
      <c r="B702" t="inlineStr">
        <is>
          <t>A-497__744</t>
        </is>
      </c>
      <c r="C702" s="1" t="n">
        <v>37.1881900742</v>
      </c>
      <c r="D702" s="1" t="n">
        <v>-6.97834103832</v>
      </c>
      <c r="E702" s="3" t="n">
        <v>2</v>
      </c>
      <c r="F702" s="2" t="n">
        <v>2</v>
      </c>
      <c r="G702" s="4" t="n">
        <v>2</v>
      </c>
      <c r="H702" s="13" t="n"/>
      <c r="I702" s="15" t="n"/>
      <c r="J702" s="19" t="n">
        <v>2</v>
      </c>
      <c r="K702" s="2" t="inlineStr">
        <is>
          <t>marker_150_368793.png</t>
        </is>
      </c>
      <c r="L702" s="11">
        <f>HYPERLINK("2\0\" &amp; K702, "Ver Imagen")</f>
        <v/>
      </c>
      <c r="M702" t="inlineStr">
        <is>
          <t>Moda</t>
        </is>
      </c>
    </row>
    <row r="703">
      <c r="A703" t="n">
        <v>702</v>
      </c>
      <c r="B703" t="inlineStr">
        <is>
          <t>A-497__743</t>
        </is>
      </c>
      <c r="C703" s="1" t="n">
        <v>37.1883649058</v>
      </c>
      <c r="D703" s="1" t="n">
        <v>-6.97835596558</v>
      </c>
      <c r="E703" s="3" t="n">
        <v>2</v>
      </c>
      <c r="F703" s="2" t="n">
        <v>2</v>
      </c>
      <c r="G703" s="4" t="n">
        <v>2</v>
      </c>
      <c r="H703" s="13" t="n"/>
      <c r="I703" s="15" t="n"/>
      <c r="J703" s="19" t="n">
        <v>2</v>
      </c>
      <c r="K703" s="2" t="inlineStr">
        <is>
          <t>marker_729_368807.png</t>
        </is>
      </c>
      <c r="L703" s="11">
        <f>HYPERLINK("2\0\" &amp; K703, "Ver Imagen")</f>
        <v/>
      </c>
      <c r="M703" t="inlineStr">
        <is>
          <t>Moda</t>
        </is>
      </c>
    </row>
    <row r="704">
      <c r="A704" t="n">
        <v>703</v>
      </c>
      <c r="B704" t="inlineStr">
        <is>
          <t>A-497_2C__160</t>
        </is>
      </c>
      <c r="C704" s="1" t="n">
        <v>37.2661594017</v>
      </c>
      <c r="D704" s="1" t="n">
        <v>-6.99326865079</v>
      </c>
      <c r="E704" s="3" t="n">
        <v>2</v>
      </c>
      <c r="F704" s="2" t="n">
        <v>2</v>
      </c>
      <c r="G704" s="4" t="n">
        <v>2</v>
      </c>
      <c r="H704" s="13" t="n"/>
      <c r="I704" s="15" t="n"/>
      <c r="J704" s="19" t="n">
        <v>2</v>
      </c>
      <c r="K704" s="2" t="inlineStr">
        <is>
          <t>marker_683_656102.png</t>
        </is>
      </c>
      <c r="L704" s="11">
        <f>HYPERLINK("2\0\" &amp; K704, "Ver Imagen")</f>
        <v/>
      </c>
      <c r="M704" t="inlineStr">
        <is>
          <t>Moda</t>
        </is>
      </c>
    </row>
    <row r="705">
      <c r="A705" t="n">
        <v>704</v>
      </c>
      <c r="B705" t="inlineStr">
        <is>
          <t>A-497__728</t>
        </is>
      </c>
      <c r="C705" s="1" t="n">
        <v>37.1913587471</v>
      </c>
      <c r="D705" s="1" t="n">
        <v>-6.97763112884</v>
      </c>
      <c r="E705" s="3" t="n">
        <v>2</v>
      </c>
      <c r="F705" s="2" t="n">
        <v>2</v>
      </c>
      <c r="G705" s="4" t="n">
        <v>2</v>
      </c>
      <c r="H705" s="13" t="n"/>
      <c r="I705" s="15" t="n"/>
      <c r="J705" s="19" t="n">
        <v>2</v>
      </c>
      <c r="K705" s="2" t="inlineStr">
        <is>
          <t>marker_306_368983.png</t>
        </is>
      </c>
      <c r="L705" s="11">
        <f>HYPERLINK("2\0\" &amp; K705, "Ver Imagen")</f>
        <v/>
      </c>
      <c r="M705" t="inlineStr">
        <is>
          <t>Moda</t>
        </is>
      </c>
    </row>
    <row r="706">
      <c r="A706" t="n">
        <v>705</v>
      </c>
      <c r="B706" t="inlineStr">
        <is>
          <t>A-497_2C__194</t>
        </is>
      </c>
      <c r="C706" s="1" t="n">
        <v>37.264513688</v>
      </c>
      <c r="D706" s="1" t="n">
        <v>-7.00164488041</v>
      </c>
      <c r="E706" s="3" t="n">
        <v>2</v>
      </c>
      <c r="F706" s="2" t="n">
        <v>2</v>
      </c>
      <c r="G706" s="4" t="n">
        <v>2</v>
      </c>
      <c r="H706" s="13" t="n"/>
      <c r="I706" s="15" t="n"/>
      <c r="J706" s="19" t="n">
        <v>2</v>
      </c>
      <c r="K706" s="2" t="inlineStr">
        <is>
          <t>marker_437_656463.png</t>
        </is>
      </c>
      <c r="L706" s="11">
        <f>HYPERLINK("2\0\" &amp; K706, "Ver Imagen")</f>
        <v/>
      </c>
      <c r="M706" t="inlineStr">
        <is>
          <t>Moda</t>
        </is>
      </c>
    </row>
    <row r="707">
      <c r="A707" t="n">
        <v>706</v>
      </c>
      <c r="B707" t="inlineStr">
        <is>
          <t>A-497_2C__196</t>
        </is>
      </c>
      <c r="C707" s="1" t="n">
        <v>37.2644175816</v>
      </c>
      <c r="D707" s="1" t="n">
        <v>-7.00217964909</v>
      </c>
      <c r="E707" s="3" t="n">
        <v>2</v>
      </c>
      <c r="F707" s="2" t="n">
        <v>2</v>
      </c>
      <c r="G707" s="4" t="n">
        <v>2</v>
      </c>
      <c r="H707" s="13" t="n"/>
      <c r="I707" s="15" t="n"/>
      <c r="J707" s="19" t="n">
        <v>2</v>
      </c>
      <c r="K707" s="2" t="inlineStr">
        <is>
          <t>marker_826_656480.png</t>
        </is>
      </c>
      <c r="L707" s="11">
        <f>HYPERLINK("2\0\" &amp; K707, "Ver Imagen")</f>
        <v/>
      </c>
      <c r="M707" t="inlineStr">
        <is>
          <t>Moda</t>
        </is>
      </c>
    </row>
    <row r="708">
      <c r="A708" t="n">
        <v>707</v>
      </c>
      <c r="B708" t="inlineStr">
        <is>
          <t>A-497__690</t>
        </is>
      </c>
      <c r="C708" s="1" t="n">
        <v>37.1981963556</v>
      </c>
      <c r="D708" s="1" t="n">
        <v>-6.98073506834</v>
      </c>
      <c r="E708" s="3" t="n">
        <v>2</v>
      </c>
      <c r="F708" s="2" t="n">
        <v>2</v>
      </c>
      <c r="G708" s="4" t="n">
        <v>2</v>
      </c>
      <c r="H708" s="13" t="n"/>
      <c r="I708" s="15" t="n"/>
      <c r="J708" s="19" t="n">
        <v>2</v>
      </c>
      <c r="K708" s="2" t="inlineStr">
        <is>
          <t>marker_726_370474.png</t>
        </is>
      </c>
      <c r="L708" s="11">
        <f>HYPERLINK("2\0\" &amp; K708, "Ver Imagen")</f>
        <v/>
      </c>
      <c r="M708" t="inlineStr">
        <is>
          <t>Moda</t>
        </is>
      </c>
    </row>
    <row r="709">
      <c r="A709" t="n">
        <v>708</v>
      </c>
      <c r="B709" t="inlineStr">
        <is>
          <t>A-497__682</t>
        </is>
      </c>
      <c r="C709" s="1" t="n">
        <v>37.1990405509</v>
      </c>
      <c r="D709" s="1" t="n">
        <v>-6.98250894387</v>
      </c>
      <c r="E709" s="3" t="n">
        <v>2</v>
      </c>
      <c r="F709" s="2" t="n">
        <v>2</v>
      </c>
      <c r="G709" s="4" t="n">
        <v>2</v>
      </c>
      <c r="H709" s="13" t="n"/>
      <c r="I709" s="15" t="n"/>
      <c r="J709" s="19" t="n">
        <v>2</v>
      </c>
      <c r="K709" s="2" t="inlineStr">
        <is>
          <t>marker_275_370556.png</t>
        </is>
      </c>
      <c r="L709" s="11">
        <f>HYPERLINK("2\0\" &amp; K709, "Ver Imagen")</f>
        <v/>
      </c>
      <c r="M709" t="inlineStr">
        <is>
          <t>Moda</t>
        </is>
      </c>
    </row>
    <row r="710">
      <c r="A710" t="n">
        <v>709</v>
      </c>
      <c r="B710" t="inlineStr">
        <is>
          <t>A-497__672</t>
        </is>
      </c>
      <c r="C710" s="1" t="n">
        <v>37.1997631006</v>
      </c>
      <c r="D710" s="1" t="n">
        <v>-6.98491557298</v>
      </c>
      <c r="E710" s="3" t="n">
        <v>2</v>
      </c>
      <c r="F710" s="2" t="n">
        <v>2</v>
      </c>
      <c r="G710" s="4" t="n">
        <v>2</v>
      </c>
      <c r="H710" s="13" t="n"/>
      <c r="I710" s="15" t="n"/>
      <c r="J710" s="19" t="n">
        <v>2</v>
      </c>
      <c r="K710" s="2" t="inlineStr">
        <is>
          <t>marker_721_371008.png</t>
        </is>
      </c>
      <c r="L710" s="11">
        <f>HYPERLINK("2\0\" &amp; K710, "Ver Imagen")</f>
        <v/>
      </c>
      <c r="M710" t="inlineStr">
        <is>
          <t>Moda</t>
        </is>
      </c>
    </row>
    <row r="711">
      <c r="A711" t="n">
        <v>710</v>
      </c>
      <c r="B711" t="inlineStr">
        <is>
          <t>A-497__671</t>
        </is>
      </c>
      <c r="C711" s="1" t="n">
        <v>37.1998273132</v>
      </c>
      <c r="D711" s="1" t="n">
        <v>-6.98516588688</v>
      </c>
      <c r="E711" s="3" t="n">
        <v>2</v>
      </c>
      <c r="F711" s="2" t="n">
        <v>2</v>
      </c>
      <c r="G711" s="4" t="n">
        <v>2</v>
      </c>
      <c r="H711" s="13" t="n"/>
      <c r="I711" s="15" t="n"/>
      <c r="J711" s="19" t="n">
        <v>2</v>
      </c>
      <c r="K711" s="2" t="inlineStr">
        <is>
          <t>marker_522_371017.png</t>
        </is>
      </c>
      <c r="L711" s="11">
        <f>HYPERLINK("2\0\" &amp; K711, "Ver Imagen")</f>
        <v/>
      </c>
      <c r="M711" t="inlineStr">
        <is>
          <t>Moda</t>
        </is>
      </c>
    </row>
    <row r="712">
      <c r="A712" t="n">
        <v>711</v>
      </c>
      <c r="B712" t="inlineStr">
        <is>
          <t>A-497_2C__234</t>
        </is>
      </c>
      <c r="C712" s="1" t="n">
        <v>37.2615009284</v>
      </c>
      <c r="D712" s="1" t="n">
        <v>-7.01071707915</v>
      </c>
      <c r="E712" s="3" t="n">
        <v>2</v>
      </c>
      <c r="F712" s="2" t="n">
        <v>2</v>
      </c>
      <c r="G712" s="4" t="n">
        <v>2</v>
      </c>
      <c r="H712" s="13" t="n"/>
      <c r="I712" s="15" t="n"/>
      <c r="J712" s="19" t="n">
        <v>2</v>
      </c>
      <c r="K712" s="2" t="inlineStr">
        <is>
          <t>marker_718_656918.png</t>
        </is>
      </c>
      <c r="L712" s="11">
        <f>HYPERLINK("2\0\" &amp; K712, "Ver Imagen")</f>
        <v/>
      </c>
      <c r="M712" t="inlineStr">
        <is>
          <t>Moda</t>
        </is>
      </c>
    </row>
    <row r="713">
      <c r="A713" t="n">
        <v>712</v>
      </c>
      <c r="B713" t="inlineStr">
        <is>
          <t>A-497_2C__237</t>
        </is>
      </c>
      <c r="C713" s="1" t="n">
        <v>37.2609814664</v>
      </c>
      <c r="D713" s="1" t="n">
        <v>-7.01108377156</v>
      </c>
      <c r="E713" s="3" t="n">
        <v>2</v>
      </c>
      <c r="F713" s="2" t="n">
        <v>2</v>
      </c>
      <c r="G713" s="4" t="n">
        <v>2</v>
      </c>
      <c r="H713" s="13" t="n"/>
      <c r="I713" s="15" t="n"/>
      <c r="J713" s="19" t="n">
        <v>2</v>
      </c>
      <c r="K713" s="2" t="inlineStr">
        <is>
          <t>marker_213_656942.png</t>
        </is>
      </c>
      <c r="L713" s="11">
        <f>HYPERLINK("2\0\" &amp; K713, "Ver Imagen")</f>
        <v/>
      </c>
      <c r="M713" t="inlineStr">
        <is>
          <t>Moda</t>
        </is>
      </c>
    </row>
    <row r="714">
      <c r="A714" t="n">
        <v>713</v>
      </c>
      <c r="B714" t="inlineStr">
        <is>
          <t>A-497_2C__244</t>
        </is>
      </c>
      <c r="C714" s="1" t="n">
        <v>37.2596932781</v>
      </c>
      <c r="D714" s="1" t="n">
        <v>-7.01190400476</v>
      </c>
      <c r="E714" s="3" t="n">
        <v>2</v>
      </c>
      <c r="F714" s="2" t="n">
        <v>2</v>
      </c>
      <c r="G714" s="4" t="n">
        <v>2</v>
      </c>
      <c r="H714" s="13" t="n"/>
      <c r="I714" s="15" t="n"/>
      <c r="J714" s="19" t="n">
        <v>2</v>
      </c>
      <c r="K714" s="2" t="inlineStr">
        <is>
          <t>marker_867_657059.png</t>
        </is>
      </c>
      <c r="L714" s="11">
        <f>HYPERLINK("2\0\" &amp; K714, "Ver Imagen")</f>
        <v/>
      </c>
      <c r="M714" t="inlineStr">
        <is>
          <t>Moda</t>
        </is>
      </c>
    </row>
    <row r="715">
      <c r="A715" t="n">
        <v>714</v>
      </c>
      <c r="B715" t="inlineStr">
        <is>
          <t>A-497_2C__245</t>
        </is>
      </c>
      <c r="C715" s="1" t="n">
        <v>37.2595079461</v>
      </c>
      <c r="D715" s="1" t="n">
        <v>-7.01202361866</v>
      </c>
      <c r="E715" s="3" t="n">
        <v>2</v>
      </c>
      <c r="F715" s="2" t="n">
        <v>2</v>
      </c>
      <c r="G715" s="4" t="n">
        <v>2</v>
      </c>
      <c r="H715" s="13" t="n"/>
      <c r="I715" s="15" t="n"/>
      <c r="J715" s="19" t="n">
        <v>2</v>
      </c>
      <c r="K715" s="2" t="inlineStr">
        <is>
          <t>marker_234_657067.png</t>
        </is>
      </c>
      <c r="L715" s="11">
        <f>HYPERLINK("2\0\" &amp; K715, "Ver Imagen")</f>
        <v/>
      </c>
      <c r="M715" t="inlineStr">
        <is>
          <t>Moda</t>
        </is>
      </c>
    </row>
    <row r="716">
      <c r="A716" t="n">
        <v>715</v>
      </c>
      <c r="B716" t="inlineStr">
        <is>
          <t>A-497_2C__246</t>
        </is>
      </c>
      <c r="C716" s="1" t="n">
        <v>37.2593681971</v>
      </c>
      <c r="D716" s="1" t="n">
        <v>-7.01211319838</v>
      </c>
      <c r="E716" s="3" t="n">
        <v>2</v>
      </c>
      <c r="F716" s="2" t="n">
        <v>2</v>
      </c>
      <c r="G716" s="4" t="n">
        <v>2</v>
      </c>
      <c r="H716" s="13" t="n"/>
      <c r="I716" s="15" t="n"/>
      <c r="J716" s="19" t="n">
        <v>2</v>
      </c>
      <c r="K716" s="2" t="inlineStr">
        <is>
          <t>marker_444_657077.png</t>
        </is>
      </c>
      <c r="L716" s="11">
        <f>HYPERLINK("2\0\" &amp; K716, "Ver Imagen")</f>
        <v/>
      </c>
      <c r="M716" t="inlineStr">
        <is>
          <t>Moda</t>
        </is>
      </c>
    </row>
    <row r="717">
      <c r="A717" t="n">
        <v>716</v>
      </c>
      <c r="B717" t="inlineStr">
        <is>
          <t>A-497_2C__247</t>
        </is>
      </c>
      <c r="C717" s="1" t="n">
        <v>37.2591808911</v>
      </c>
      <c r="D717" s="1" t="n">
        <v>-7.01223211361</v>
      </c>
      <c r="E717" s="3" t="n">
        <v>2</v>
      </c>
      <c r="F717" s="2" t="n">
        <v>2</v>
      </c>
      <c r="G717" s="4" t="n">
        <v>2</v>
      </c>
      <c r="H717" s="13" t="n"/>
      <c r="I717" s="15" t="n"/>
      <c r="J717" s="19" t="n">
        <v>2</v>
      </c>
      <c r="K717" s="2" t="inlineStr">
        <is>
          <t>marker_441_657086.png</t>
        </is>
      </c>
      <c r="L717" s="11">
        <f>HYPERLINK("2\0\" &amp; K717, "Ver Imagen")</f>
        <v/>
      </c>
      <c r="M717" t="inlineStr">
        <is>
          <t>Moda</t>
        </is>
      </c>
    </row>
    <row r="718">
      <c r="A718" t="n">
        <v>717</v>
      </c>
      <c r="B718" t="inlineStr">
        <is>
          <t>A-497_2C__248</t>
        </is>
      </c>
      <c r="C718" s="1" t="n">
        <v>37.2589848188</v>
      </c>
      <c r="D718" s="1" t="n">
        <v>-7.01235599132</v>
      </c>
      <c r="E718" s="3" t="n">
        <v>2</v>
      </c>
      <c r="F718" s="2" t="n">
        <v>2</v>
      </c>
      <c r="G718" s="4" t="n">
        <v>2</v>
      </c>
      <c r="H718" s="13" t="n"/>
      <c r="I718" s="15" t="n"/>
      <c r="J718" s="19" t="n">
        <v>2</v>
      </c>
      <c r="K718" s="2" t="inlineStr">
        <is>
          <t>marker_232_657095.png</t>
        </is>
      </c>
      <c r="L718" s="11">
        <f>HYPERLINK("2\0\" &amp; K718, "Ver Imagen")</f>
        <v/>
      </c>
      <c r="M718" t="inlineStr">
        <is>
          <t>Moda</t>
        </is>
      </c>
    </row>
    <row r="719">
      <c r="A719" t="n">
        <v>718</v>
      </c>
      <c r="B719" t="inlineStr">
        <is>
          <t>A-497__632</t>
        </is>
      </c>
      <c r="C719" s="1" t="n">
        <v>37.2018602379</v>
      </c>
      <c r="D719" s="1" t="n">
        <v>-6.99466634016</v>
      </c>
      <c r="E719" s="3" t="n">
        <v>2</v>
      </c>
      <c r="F719" s="2" t="n">
        <v>2</v>
      </c>
      <c r="G719" s="4" t="n">
        <v>2</v>
      </c>
      <c r="H719" s="13" t="n"/>
      <c r="I719" s="15" t="n"/>
      <c r="J719" s="19" t="n">
        <v>2</v>
      </c>
      <c r="K719" s="2" t="inlineStr">
        <is>
          <t>marker_677_371415.png</t>
        </is>
      </c>
      <c r="L719" s="11">
        <f>HYPERLINK("2\0\" &amp; K719, "Ver Imagen")</f>
        <v/>
      </c>
      <c r="M719" t="inlineStr">
        <is>
          <t>Moda</t>
        </is>
      </c>
    </row>
    <row r="720">
      <c r="A720" t="n">
        <v>719</v>
      </c>
      <c r="B720" t="inlineStr">
        <is>
          <t>A-497__564</t>
        </is>
      </c>
      <c r="C720" s="1" t="n">
        <v>37.2042296887</v>
      </c>
      <c r="D720" s="1" t="n">
        <v>-7.01159154026</v>
      </c>
      <c r="E720" s="3" t="n">
        <v>2</v>
      </c>
      <c r="F720" s="2" t="n">
        <v>2</v>
      </c>
      <c r="G720" s="4" t="n">
        <v>2</v>
      </c>
      <c r="H720" s="13" t="n"/>
      <c r="I720" s="15" t="n"/>
      <c r="J720" s="19" t="n">
        <v>2</v>
      </c>
      <c r="K720" s="2" t="inlineStr">
        <is>
          <t>marker_504_372107.png</t>
        </is>
      </c>
      <c r="L720" s="11">
        <f>HYPERLINK("2\0\" &amp; K720, "Ver Imagen")</f>
        <v/>
      </c>
      <c r="M720" t="inlineStr">
        <is>
          <t>Moda</t>
        </is>
      </c>
    </row>
    <row r="721">
      <c r="A721" t="n">
        <v>720</v>
      </c>
      <c r="B721" t="inlineStr">
        <is>
          <t>A-497_2C__299</t>
        </is>
      </c>
      <c r="C721" s="1" t="n">
        <v>37.2497249064</v>
      </c>
      <c r="D721" s="1" t="n">
        <v>-7.01812423693</v>
      </c>
      <c r="E721" s="3" t="n">
        <v>2</v>
      </c>
      <c r="F721" s="2" t="n">
        <v>2</v>
      </c>
      <c r="G721" s="4" t="n">
        <v>2</v>
      </c>
      <c r="H721" s="13" t="n"/>
      <c r="I721" s="15" t="n"/>
      <c r="J721" s="19" t="n">
        <v>2</v>
      </c>
      <c r="K721" s="2" t="inlineStr">
        <is>
          <t>marker_370_320162.png</t>
        </is>
      </c>
      <c r="L721" s="11">
        <f>HYPERLINK("2\0\" &amp; K721, "Ver Imagen")</f>
        <v/>
      </c>
      <c r="M721" t="inlineStr">
        <is>
          <t>Moda</t>
        </is>
      </c>
    </row>
    <row r="722">
      <c r="A722" t="n">
        <v>721</v>
      </c>
      <c r="B722" t="inlineStr">
        <is>
          <t>A-497_2C__300</t>
        </is>
      </c>
      <c r="C722" s="1" t="n">
        <v>37.2495511154</v>
      </c>
      <c r="D722" s="1" t="n">
        <v>-7.01817962932</v>
      </c>
      <c r="E722" s="3" t="n">
        <v>2</v>
      </c>
      <c r="F722" s="2" t="n">
        <v>2</v>
      </c>
      <c r="G722" s="4" t="n">
        <v>2</v>
      </c>
      <c r="H722" s="13" t="n"/>
      <c r="I722" s="15" t="n"/>
      <c r="J722" s="19" t="n">
        <v>2</v>
      </c>
      <c r="K722" s="2" t="inlineStr">
        <is>
          <t>marker_751_320173.png</t>
        </is>
      </c>
      <c r="L722" s="11">
        <f>HYPERLINK("2\0\" &amp; K722, "Ver Imagen")</f>
        <v/>
      </c>
      <c r="M722" t="inlineStr">
        <is>
          <t>Moda</t>
        </is>
      </c>
    </row>
    <row r="723">
      <c r="A723" t="n">
        <v>722</v>
      </c>
      <c r="B723" t="inlineStr">
        <is>
          <t>A-497_2C__301</t>
        </is>
      </c>
      <c r="C723" s="1" t="n">
        <v>37.2492940765</v>
      </c>
      <c r="D723" s="1" t="n">
        <v>-7.01824658857</v>
      </c>
      <c r="E723" s="3" t="n">
        <v>2</v>
      </c>
      <c r="F723" s="2" t="n">
        <v>2</v>
      </c>
      <c r="G723" s="4" t="n">
        <v>2</v>
      </c>
      <c r="H723" s="13" t="n"/>
      <c r="I723" s="15" t="n"/>
      <c r="J723" s="19" t="n">
        <v>2</v>
      </c>
      <c r="K723" s="2" t="inlineStr">
        <is>
          <t>marker_893_320183.png</t>
        </is>
      </c>
      <c r="L723" s="11">
        <f>HYPERLINK("2\0\" &amp; K723, "Ver Imagen")</f>
        <v/>
      </c>
      <c r="M723" t="inlineStr">
        <is>
          <t>Moda</t>
        </is>
      </c>
    </row>
    <row r="724">
      <c r="A724" t="n">
        <v>723</v>
      </c>
      <c r="B724" t="inlineStr">
        <is>
          <t>A-497_2C__302</t>
        </is>
      </c>
      <c r="C724" s="1" t="n">
        <v>37.2491184206</v>
      </c>
      <c r="D724" s="1" t="n">
        <v>-7.01828214544</v>
      </c>
      <c r="E724" s="3" t="n">
        <v>2</v>
      </c>
      <c r="F724" s="2" t="n">
        <v>2</v>
      </c>
      <c r="G724" s="4" t="n">
        <v>2</v>
      </c>
      <c r="H724" s="13" t="n"/>
      <c r="I724" s="15" t="n"/>
      <c r="J724" s="19" t="n">
        <v>2</v>
      </c>
      <c r="K724" s="2" t="inlineStr">
        <is>
          <t>marker_292_320191.png</t>
        </is>
      </c>
      <c r="L724" s="11">
        <f>HYPERLINK("2\0\" &amp; K724, "Ver Imagen")</f>
        <v/>
      </c>
      <c r="M724" t="inlineStr">
        <is>
          <t>Moda</t>
        </is>
      </c>
    </row>
    <row r="725">
      <c r="A725" t="n">
        <v>724</v>
      </c>
      <c r="B725" t="inlineStr">
        <is>
          <t>A-497__556</t>
        </is>
      </c>
      <c r="C725" s="1" t="n">
        <v>37.2045919546</v>
      </c>
      <c r="D725" s="1" t="n">
        <v>-7.01357906222</v>
      </c>
      <c r="E725" s="3" t="n">
        <v>2</v>
      </c>
      <c r="F725" s="2" t="n">
        <v>2</v>
      </c>
      <c r="G725" s="4" t="n">
        <v>2</v>
      </c>
      <c r="H725" s="13" t="n"/>
      <c r="I725" s="15" t="n"/>
      <c r="J725" s="19" t="n">
        <v>2</v>
      </c>
      <c r="K725" s="2" t="inlineStr">
        <is>
          <t>marker_908_372198.png</t>
        </is>
      </c>
      <c r="L725" s="11">
        <f>HYPERLINK("2\0\" &amp; K725, "Ver Imagen")</f>
        <v/>
      </c>
      <c r="M725" t="inlineStr">
        <is>
          <t>Moda</t>
        </is>
      </c>
    </row>
    <row r="726">
      <c r="A726" t="n">
        <v>725</v>
      </c>
      <c r="B726" t="inlineStr">
        <is>
          <t>A-497__548</t>
        </is>
      </c>
      <c r="C726" s="1" t="n">
        <v>37.2049821203</v>
      </c>
      <c r="D726" s="1" t="n">
        <v>-7.01554471849</v>
      </c>
      <c r="E726" s="3" t="n">
        <v>2</v>
      </c>
      <c r="F726" s="2" t="n">
        <v>2</v>
      </c>
      <c r="G726" s="4" t="n">
        <v>2</v>
      </c>
      <c r="H726" s="13" t="n"/>
      <c r="I726" s="15" t="n"/>
      <c r="J726" s="19" t="n">
        <v>2</v>
      </c>
      <c r="K726" s="2" t="inlineStr">
        <is>
          <t>marker_525_372296.png</t>
        </is>
      </c>
      <c r="L726" s="11">
        <f>HYPERLINK("2\0\" &amp; K726, "Ver Imagen")</f>
        <v/>
      </c>
      <c r="M726" t="inlineStr">
        <is>
          <t>Moda</t>
        </is>
      </c>
    </row>
    <row r="727">
      <c r="A727" t="n">
        <v>726</v>
      </c>
      <c r="B727" t="inlineStr">
        <is>
          <t>A-497_2C__410</t>
        </is>
      </c>
      <c r="C727" s="1" t="n">
        <v>37.2280806061</v>
      </c>
      <c r="D727" s="1" t="n">
        <v>-7.02191919966</v>
      </c>
      <c r="E727" s="3" t="n">
        <v>2</v>
      </c>
      <c r="F727" s="2" t="n">
        <v>2</v>
      </c>
      <c r="G727" s="4" t="n">
        <v>2</v>
      </c>
      <c r="H727" s="13" t="n"/>
      <c r="I727" s="15" t="n"/>
      <c r="J727" s="19" t="n">
        <v>2</v>
      </c>
      <c r="K727" s="2" t="inlineStr">
        <is>
          <t>marker_773_363008.png</t>
        </is>
      </c>
      <c r="L727" s="11">
        <f>HYPERLINK("2\0\" &amp; K727, "Ver Imagen")</f>
        <v/>
      </c>
      <c r="M727" t="inlineStr">
        <is>
          <t>Moda</t>
        </is>
      </c>
    </row>
    <row r="728">
      <c r="A728" t="n">
        <v>727</v>
      </c>
      <c r="B728" t="inlineStr">
        <is>
          <t>A-497_2C__412</t>
        </is>
      </c>
      <c r="C728" s="1" t="n">
        <v>37.2277374816</v>
      </c>
      <c r="D728" s="1" t="n">
        <v>-7.02218177041</v>
      </c>
      <c r="E728" s="3" t="n">
        <v>2</v>
      </c>
      <c r="F728" s="2" t="n">
        <v>2</v>
      </c>
      <c r="G728" s="4" t="n">
        <v>2</v>
      </c>
      <c r="H728" s="13" t="n"/>
      <c r="I728" s="15" t="n"/>
      <c r="J728" s="19" t="n">
        <v>2</v>
      </c>
      <c r="K728" s="2" t="inlineStr">
        <is>
          <t>marker_867_363034.png</t>
        </is>
      </c>
      <c r="L728" s="11">
        <f>HYPERLINK("2\0\" &amp; K728, "Ver Imagen")</f>
        <v/>
      </c>
      <c r="M728" t="inlineStr">
        <is>
          <t>Moda</t>
        </is>
      </c>
    </row>
    <row r="729">
      <c r="A729" t="n">
        <v>728</v>
      </c>
      <c r="B729" t="inlineStr">
        <is>
          <t>A-497_2C__414</t>
        </is>
      </c>
      <c r="C729" s="1" t="n">
        <v>37.2273819658</v>
      </c>
      <c r="D729" s="1" t="n">
        <v>-7.02244848377</v>
      </c>
      <c r="E729" s="3" t="n">
        <v>2</v>
      </c>
      <c r="F729" s="2" t="n">
        <v>2</v>
      </c>
      <c r="G729" s="4" t="n">
        <v>2</v>
      </c>
      <c r="H729" s="13" t="n"/>
      <c r="I729" s="15" t="n"/>
      <c r="J729" s="19" t="n">
        <v>2</v>
      </c>
      <c r="K729" s="2" t="inlineStr">
        <is>
          <t>marker_803_363054.png</t>
        </is>
      </c>
      <c r="L729" s="11">
        <f>HYPERLINK("2\0\" &amp; K729, "Ver Imagen")</f>
        <v/>
      </c>
      <c r="M729" t="inlineStr">
        <is>
          <t>Moda</t>
        </is>
      </c>
    </row>
    <row r="730">
      <c r="A730" t="n">
        <v>729</v>
      </c>
      <c r="B730" t="inlineStr">
        <is>
          <t>A-497_2C__415</t>
        </is>
      </c>
      <c r="C730" s="1" t="n">
        <v>37.227221905</v>
      </c>
      <c r="D730" s="1" t="n">
        <v>-7.02256439269</v>
      </c>
      <c r="E730" s="3" t="n">
        <v>2</v>
      </c>
      <c r="F730" s="2" t="n">
        <v>2</v>
      </c>
      <c r="G730" s="4" t="n">
        <v>2</v>
      </c>
      <c r="H730" s="13" t="n"/>
      <c r="I730" s="15" t="n"/>
      <c r="J730" s="19" t="n">
        <v>2</v>
      </c>
      <c r="K730" s="2" t="inlineStr">
        <is>
          <t>marker_103_363063.png</t>
        </is>
      </c>
      <c r="L730" s="11">
        <f>HYPERLINK("2\0\" &amp; K730, "Ver Imagen")</f>
        <v/>
      </c>
      <c r="M730" t="inlineStr">
        <is>
          <t>Moda</t>
        </is>
      </c>
    </row>
    <row r="731">
      <c r="A731" t="n">
        <v>730</v>
      </c>
      <c r="B731" t="inlineStr">
        <is>
          <t>A-497_2C__417</t>
        </is>
      </c>
      <c r="C731" s="1" t="n">
        <v>37.226833429</v>
      </c>
      <c r="D731" s="1" t="n">
        <v>-7.02281768123</v>
      </c>
      <c r="E731" s="3" t="n">
        <v>2</v>
      </c>
      <c r="F731" s="2" t="n">
        <v>2</v>
      </c>
      <c r="G731" s="4" t="n">
        <v>2</v>
      </c>
      <c r="H731" s="13" t="n"/>
      <c r="I731" s="15" t="n"/>
      <c r="J731" s="19" t="n">
        <v>2</v>
      </c>
      <c r="K731" s="2" t="inlineStr">
        <is>
          <t>marker_186_363085.png</t>
        </is>
      </c>
      <c r="L731" s="11">
        <f>HYPERLINK("2\0\" &amp; K731, "Ver Imagen")</f>
        <v/>
      </c>
      <c r="M731" t="inlineStr">
        <is>
          <t>Moda</t>
        </is>
      </c>
    </row>
    <row r="732">
      <c r="A732" t="n">
        <v>731</v>
      </c>
      <c r="B732" t="inlineStr">
        <is>
          <t>A-497_2C__420</t>
        </is>
      </c>
      <c r="C732" s="1" t="n">
        <v>37.2262781873</v>
      </c>
      <c r="D732" s="1" t="n">
        <v>-7.02309171218</v>
      </c>
      <c r="E732" s="3" t="n">
        <v>2</v>
      </c>
      <c r="F732" s="2" t="n">
        <v>2</v>
      </c>
      <c r="G732" s="4" t="n">
        <v>2</v>
      </c>
      <c r="H732" s="13" t="n"/>
      <c r="I732" s="15" t="n"/>
      <c r="J732" s="19" t="n">
        <v>2</v>
      </c>
      <c r="K732" s="2" t="inlineStr">
        <is>
          <t>marker_760_363114.png</t>
        </is>
      </c>
      <c r="L732" s="11">
        <f>HYPERLINK("2\0\" &amp; K732, "Ver Imagen")</f>
        <v/>
      </c>
      <c r="M732" t="inlineStr">
        <is>
          <t>Moda</t>
        </is>
      </c>
    </row>
    <row r="733">
      <c r="A733" t="n">
        <v>732</v>
      </c>
      <c r="B733" t="inlineStr">
        <is>
          <t>A-497__482</t>
        </is>
      </c>
      <c r="C733" s="1" t="n">
        <v>37.2147793917</v>
      </c>
      <c r="D733" s="1" t="n">
        <v>-7.02345090334</v>
      </c>
      <c r="E733" s="3" t="n">
        <v>2</v>
      </c>
      <c r="F733" s="2" t="n">
        <v>2</v>
      </c>
      <c r="G733" s="4" t="n">
        <v>2</v>
      </c>
      <c r="H733" s="13" t="n"/>
      <c r="I733" s="15" t="n"/>
      <c r="J733" s="19" t="n">
        <v>2</v>
      </c>
      <c r="K733" s="2" t="inlineStr">
        <is>
          <t>marker_275_376286.png</t>
        </is>
      </c>
      <c r="L733" s="11">
        <f>HYPERLINK("2\0\" &amp; K733, "Ver Imagen")</f>
        <v/>
      </c>
      <c r="M733" t="inlineStr">
        <is>
          <t>Moda</t>
        </is>
      </c>
    </row>
    <row r="734">
      <c r="A734" t="n">
        <v>733</v>
      </c>
      <c r="B734" t="inlineStr">
        <is>
          <t>A-497_2C__424</t>
        </is>
      </c>
      <c r="C734" s="1" t="n">
        <v>37.225463966</v>
      </c>
      <c r="D734" s="1" t="n">
        <v>-7.02333324334</v>
      </c>
      <c r="E734" s="3" t="n">
        <v>2</v>
      </c>
      <c r="F734" s="2" t="n">
        <v>2</v>
      </c>
      <c r="G734" s="4" t="n">
        <v>2</v>
      </c>
      <c r="H734" s="13" t="n"/>
      <c r="I734" s="15" t="n"/>
      <c r="J734" s="19" t="n">
        <v>2</v>
      </c>
      <c r="K734" s="2" t="inlineStr">
        <is>
          <t>marker_455_363152.png</t>
        </is>
      </c>
      <c r="L734" s="11">
        <f>HYPERLINK("2\0\" &amp; K734, "Ver Imagen")</f>
        <v/>
      </c>
      <c r="M734" t="inlineStr">
        <is>
          <t>Moda</t>
        </is>
      </c>
    </row>
    <row r="735">
      <c r="A735" t="n">
        <v>734</v>
      </c>
      <c r="B735" t="inlineStr">
        <is>
          <t>A-497__477</t>
        </is>
      </c>
      <c r="C735" s="1" t="n">
        <v>37.2157416497</v>
      </c>
      <c r="D735" s="1" t="n">
        <v>-7.02327723657</v>
      </c>
      <c r="E735" s="3" t="n">
        <v>2</v>
      </c>
      <c r="F735" s="2" t="n">
        <v>2</v>
      </c>
      <c r="G735" s="4" t="n">
        <v>2</v>
      </c>
      <c r="H735" s="13" t="n"/>
      <c r="I735" s="15" t="n"/>
      <c r="J735" s="19" t="n">
        <v>2</v>
      </c>
      <c r="K735" s="2" t="inlineStr">
        <is>
          <t>marker_294_376349.png</t>
        </is>
      </c>
      <c r="L735" s="11">
        <f>HYPERLINK("2\0\" &amp; K735, "Ver Imagen")</f>
        <v/>
      </c>
      <c r="M735" t="inlineStr">
        <is>
          <t>Moda</t>
        </is>
      </c>
    </row>
    <row r="736">
      <c r="A736" t="n">
        <v>735</v>
      </c>
      <c r="B736" t="inlineStr">
        <is>
          <t>A-497_2C__433</t>
        </is>
      </c>
      <c r="C736" s="1" t="n">
        <v>37.2236935465</v>
      </c>
      <c r="D736" s="1" t="n">
        <v>-7.02331271853</v>
      </c>
      <c r="E736" s="3" t="n">
        <v>2</v>
      </c>
      <c r="F736" s="2" t="n">
        <v>2</v>
      </c>
      <c r="G736" s="4" t="n">
        <v>2</v>
      </c>
      <c r="H736" s="13" t="n"/>
      <c r="I736" s="15" t="n"/>
      <c r="J736" s="19" t="n">
        <v>2</v>
      </c>
      <c r="K736" s="2" t="inlineStr">
        <is>
          <t>marker_816_363232.png</t>
        </is>
      </c>
      <c r="L736" s="11">
        <f>HYPERLINK("2\0\" &amp; K736, "Ver Imagen")</f>
        <v/>
      </c>
      <c r="M736" t="inlineStr">
        <is>
          <t>Moda</t>
        </is>
      </c>
    </row>
    <row r="737">
      <c r="A737" t="n">
        <v>736</v>
      </c>
      <c r="B737" t="inlineStr">
        <is>
          <t>A-497_2C__434</t>
        </is>
      </c>
      <c r="C737" s="1" t="n">
        <v>37.2234922353</v>
      </c>
      <c r="D737" s="1" t="n">
        <v>-7.02329367769</v>
      </c>
      <c r="E737" s="3" t="n">
        <v>2</v>
      </c>
      <c r="F737" s="2" t="n">
        <v>2</v>
      </c>
      <c r="G737" s="4" t="n">
        <v>2</v>
      </c>
      <c r="H737" s="13" t="n"/>
      <c r="I737" s="15" t="n"/>
      <c r="J737" s="19" t="n">
        <v>2</v>
      </c>
      <c r="K737" s="2" t="inlineStr">
        <is>
          <t>marker_501_363243.png</t>
        </is>
      </c>
      <c r="L737" s="11">
        <f>HYPERLINK("2\0\" &amp; K737, "Ver Imagen")</f>
        <v/>
      </c>
      <c r="M737" t="inlineStr">
        <is>
          <t>Moda</t>
        </is>
      </c>
    </row>
    <row r="738">
      <c r="A738" t="n">
        <v>737</v>
      </c>
      <c r="B738" t="inlineStr">
        <is>
          <t>A-497__464</t>
        </is>
      </c>
      <c r="C738" s="1" t="n">
        <v>37.2183622346</v>
      </c>
      <c r="D738" s="1" t="n">
        <v>-7.02283079647</v>
      </c>
      <c r="E738" s="3" t="n">
        <v>2</v>
      </c>
      <c r="F738" s="2" t="n">
        <v>2</v>
      </c>
      <c r="G738" s="4" t="n">
        <v>2</v>
      </c>
      <c r="H738" s="13" t="n"/>
      <c r="I738" s="15" t="n"/>
      <c r="J738" s="19" t="n">
        <v>2</v>
      </c>
      <c r="K738" s="2" t="inlineStr">
        <is>
          <t>marker_516_376531.png</t>
        </is>
      </c>
      <c r="L738" s="11">
        <f>HYPERLINK("2\0\" &amp; K738, "Ver Imagen")</f>
        <v/>
      </c>
      <c r="M738" t="inlineStr">
        <is>
          <t>Moda</t>
        </is>
      </c>
    </row>
    <row r="739">
      <c r="A739" t="n">
        <v>738</v>
      </c>
      <c r="B739" t="inlineStr">
        <is>
          <t>A-497__463</t>
        </is>
      </c>
      <c r="C739" s="1" t="n">
        <v>37.2185695372</v>
      </c>
      <c r="D739" s="1" t="n">
        <v>-7.0228084449</v>
      </c>
      <c r="E739" s="3" t="n">
        <v>2</v>
      </c>
      <c r="F739" s="2" t="n">
        <v>2</v>
      </c>
      <c r="G739" s="4" t="n">
        <v>2</v>
      </c>
      <c r="H739" s="13" t="n"/>
      <c r="I739" s="15" t="n"/>
      <c r="J739" s="19" t="n">
        <v>2</v>
      </c>
      <c r="K739" s="2" t="inlineStr">
        <is>
          <t>marker_465_376540.png</t>
        </is>
      </c>
      <c r="L739" s="11">
        <f>HYPERLINK("2\0\" &amp; K739, "Ver Imagen")</f>
        <v/>
      </c>
      <c r="M739" t="inlineStr">
        <is>
          <t>Moda</t>
        </is>
      </c>
    </row>
    <row r="740">
      <c r="A740" t="n">
        <v>739</v>
      </c>
      <c r="B740" t="inlineStr">
        <is>
          <t>A-497__462</t>
        </is>
      </c>
      <c r="C740" s="1" t="n">
        <v>37.2187648764</v>
      </c>
      <c r="D740" s="1" t="n">
        <v>-7.0227909707</v>
      </c>
      <c r="E740" s="3" t="n">
        <v>2</v>
      </c>
      <c r="F740" s="2" t="n">
        <v>2</v>
      </c>
      <c r="G740" s="4" t="n">
        <v>2</v>
      </c>
      <c r="H740" s="13" t="n"/>
      <c r="I740" s="15" t="n"/>
      <c r="J740" s="19" t="n">
        <v>2</v>
      </c>
      <c r="K740" s="2" t="inlineStr">
        <is>
          <t>marker_656_376549.png</t>
        </is>
      </c>
      <c r="L740" s="11">
        <f>HYPERLINK("2\0\" &amp; K740, "Ver Imagen")</f>
        <v/>
      </c>
      <c r="M740" t="inlineStr">
        <is>
          <t>Moda</t>
        </is>
      </c>
    </row>
    <row r="741">
      <c r="A741" t="n">
        <v>740</v>
      </c>
      <c r="B741" t="inlineStr">
        <is>
          <t>A-497__460</t>
        </is>
      </c>
      <c r="C741" s="1" t="n">
        <v>37.2191421092</v>
      </c>
      <c r="D741" s="1" t="n">
        <v>-7.02276997661</v>
      </c>
      <c r="E741" s="3" t="n">
        <v>2</v>
      </c>
      <c r="F741" s="2" t="n">
        <v>2</v>
      </c>
      <c r="G741" s="4" t="n">
        <v>2</v>
      </c>
      <c r="H741" s="13" t="n"/>
      <c r="I741" s="15" t="n"/>
      <c r="J741" s="19" t="n">
        <v>2</v>
      </c>
      <c r="K741" s="2" t="inlineStr">
        <is>
          <t>marker_806_376567.png</t>
        </is>
      </c>
      <c r="L741" s="11">
        <f>HYPERLINK("2\0\" &amp; K741, "Ver Imagen")</f>
        <v/>
      </c>
      <c r="M741" t="inlineStr">
        <is>
          <t>Moda</t>
        </is>
      </c>
    </row>
    <row r="742">
      <c r="A742" t="n">
        <v>741</v>
      </c>
      <c r="B742" t="inlineStr">
        <is>
          <t>A-497__459</t>
        </is>
      </c>
      <c r="C742" s="1" t="n">
        <v>37.2193841095</v>
      </c>
      <c r="D742" s="1" t="n">
        <v>-7.02276555513</v>
      </c>
      <c r="E742" s="3" t="n">
        <v>2</v>
      </c>
      <c r="F742" s="2" t="n">
        <v>2</v>
      </c>
      <c r="G742" s="4" t="n">
        <v>2</v>
      </c>
      <c r="H742" s="13" t="n"/>
      <c r="I742" s="15" t="n"/>
      <c r="J742" s="19" t="n">
        <v>2</v>
      </c>
      <c r="K742" s="2" t="inlineStr">
        <is>
          <t>marker_577_376578.png</t>
        </is>
      </c>
      <c r="L742" s="11">
        <f>HYPERLINK("2\0\" &amp; K742, "Ver Imagen")</f>
        <v/>
      </c>
      <c r="M742" t="inlineStr">
        <is>
          <t>Moda</t>
        </is>
      </c>
    </row>
    <row r="743">
      <c r="A743" t="n">
        <v>742</v>
      </c>
      <c r="B743" t="inlineStr">
        <is>
          <t>A-497_2C__500</t>
        </is>
      </c>
      <c r="C743" s="1" t="n">
        <v>37.2101946007</v>
      </c>
      <c r="D743" s="1" t="n">
        <v>-7.02378583216</v>
      </c>
      <c r="E743" s="3" t="n">
        <v>2</v>
      </c>
      <c r="F743" s="2" t="n">
        <v>2</v>
      </c>
      <c r="G743" s="4" t="n">
        <v>2</v>
      </c>
      <c r="H743" s="13" t="n"/>
      <c r="I743" s="15" t="n"/>
      <c r="J743" s="19" t="n">
        <v>2</v>
      </c>
      <c r="K743" s="2" t="inlineStr">
        <is>
          <t>marker_702_364063.png</t>
        </is>
      </c>
      <c r="L743" s="11">
        <f>HYPERLINK("2\0\" &amp; K743, "Ver Imagen")</f>
        <v/>
      </c>
      <c r="M743" t="inlineStr">
        <is>
          <t>Moda</t>
        </is>
      </c>
    </row>
    <row r="744">
      <c r="A744" t="n">
        <v>743</v>
      </c>
      <c r="B744" t="inlineStr">
        <is>
          <t>A-497__453</t>
        </is>
      </c>
      <c r="C744" s="1" t="n">
        <v>37.2206116898</v>
      </c>
      <c r="D744" s="1" t="n">
        <v>-7.02283320674</v>
      </c>
      <c r="E744" s="3" t="n">
        <v>2</v>
      </c>
      <c r="F744" s="2" t="n">
        <v>2</v>
      </c>
      <c r="G744" s="4" t="n">
        <v>2</v>
      </c>
      <c r="H744" s="13" t="n"/>
      <c r="I744" s="15" t="n"/>
      <c r="J744" s="19" t="n">
        <v>2</v>
      </c>
      <c r="K744" s="2" t="inlineStr">
        <is>
          <t>marker_506_376657.png</t>
        </is>
      </c>
      <c r="L744" s="11">
        <f>HYPERLINK("2\0\" &amp; K744, "Ver Imagen")</f>
        <v/>
      </c>
      <c r="M744" t="inlineStr">
        <is>
          <t>Moda</t>
        </is>
      </c>
    </row>
    <row r="745">
      <c r="A745" t="n">
        <v>744</v>
      </c>
      <c r="B745" t="inlineStr">
        <is>
          <t>A-497_2C__508</t>
        </is>
      </c>
      <c r="C745" s="1" t="n">
        <v>37.2087045085</v>
      </c>
      <c r="D745" s="1" t="n">
        <v>-7.02305545801</v>
      </c>
      <c r="E745" s="3" t="n">
        <v>2</v>
      </c>
      <c r="F745" s="2" t="n">
        <v>2</v>
      </c>
      <c r="G745" s="4" t="n">
        <v>2</v>
      </c>
      <c r="H745" s="13" t="n"/>
      <c r="I745" s="15" t="n"/>
      <c r="J745" s="19" t="n">
        <v>2</v>
      </c>
      <c r="K745" s="2" t="inlineStr">
        <is>
          <t>marker_493_364138.png</t>
        </is>
      </c>
      <c r="L745" s="11">
        <f>HYPERLINK("2\0\" &amp; K745, "Ver Imagen")</f>
        <v/>
      </c>
      <c r="M745" t="inlineStr">
        <is>
          <t>Moda</t>
        </is>
      </c>
    </row>
    <row r="746">
      <c r="A746" t="n">
        <v>745</v>
      </c>
      <c r="B746" t="inlineStr">
        <is>
          <t>A-497_2C__521</t>
        </is>
      </c>
      <c r="C746" s="1" t="n">
        <v>37.2066713444</v>
      </c>
      <c r="D746" s="1" t="n">
        <v>-7.02094224685</v>
      </c>
      <c r="E746" s="3" t="n">
        <v>2</v>
      </c>
      <c r="F746" s="2" t="n">
        <v>2</v>
      </c>
      <c r="G746" s="4" t="n">
        <v>2</v>
      </c>
      <c r="H746" s="13" t="n"/>
      <c r="I746" s="15" t="n"/>
      <c r="J746" s="19" t="n">
        <v>2</v>
      </c>
      <c r="K746" s="2" t="inlineStr">
        <is>
          <t>marker_238_364285.png</t>
        </is>
      </c>
      <c r="L746" s="11">
        <f>HYPERLINK("2\0\" &amp; K746, "Ver Imagen")</f>
        <v/>
      </c>
      <c r="M746" t="inlineStr">
        <is>
          <t>Moda</t>
        </is>
      </c>
    </row>
    <row r="747">
      <c r="A747" t="n">
        <v>746</v>
      </c>
      <c r="B747" t="inlineStr">
        <is>
          <t>A-497_2C__525</t>
        </is>
      </c>
      <c r="C747" s="1" t="n">
        <v>37.2061902217</v>
      </c>
      <c r="D747" s="1" t="n">
        <v>-7.0200890094</v>
      </c>
      <c r="E747" s="3" t="n">
        <v>2</v>
      </c>
      <c r="F747" s="2" t="n">
        <v>2</v>
      </c>
      <c r="G747" s="4" t="n">
        <v>2</v>
      </c>
      <c r="H747" s="13" t="n"/>
      <c r="I747" s="15" t="n"/>
      <c r="J747" s="19" t="n">
        <v>2</v>
      </c>
      <c r="K747" s="2" t="inlineStr">
        <is>
          <t>marker_315_364390.png</t>
        </is>
      </c>
      <c r="L747" s="11">
        <f>HYPERLINK("2\0\" &amp; K747, "Ver Imagen")</f>
        <v/>
      </c>
      <c r="M747" t="inlineStr">
        <is>
          <t>Moda</t>
        </is>
      </c>
    </row>
    <row r="748">
      <c r="A748" t="n">
        <v>747</v>
      </c>
      <c r="B748" t="inlineStr">
        <is>
          <t>A-497_2C__526</t>
        </is>
      </c>
      <c r="C748" s="1" t="n">
        <v>37.2060892228</v>
      </c>
      <c r="D748" s="1" t="n">
        <v>-7.01987796598</v>
      </c>
      <c r="E748" s="3" t="n">
        <v>2</v>
      </c>
      <c r="F748" s="2" t="n">
        <v>2</v>
      </c>
      <c r="G748" s="4" t="n">
        <v>2</v>
      </c>
      <c r="H748" s="13" t="n"/>
      <c r="I748" s="15" t="n"/>
      <c r="J748" s="19" t="n">
        <v>2</v>
      </c>
      <c r="K748" s="2" t="inlineStr">
        <is>
          <t>marker_691_364398.png</t>
        </is>
      </c>
      <c r="L748" s="11">
        <f>HYPERLINK("2\0\" &amp; K748, "Ver Imagen")</f>
        <v/>
      </c>
      <c r="M748" t="inlineStr">
        <is>
          <t>Moda</t>
        </is>
      </c>
    </row>
    <row r="749">
      <c r="A749" t="n">
        <v>748</v>
      </c>
      <c r="B749" t="inlineStr">
        <is>
          <t>A-497_2C__528</t>
        </is>
      </c>
      <c r="C749" s="1" t="n">
        <v>37.2059088012</v>
      </c>
      <c r="D749" s="1" t="n">
        <v>-7.01946184302</v>
      </c>
      <c r="E749" s="3" t="n">
        <v>2</v>
      </c>
      <c r="F749" s="2" t="n">
        <v>2</v>
      </c>
      <c r="G749" s="4" t="n">
        <v>2</v>
      </c>
      <c r="H749" s="13" t="n"/>
      <c r="I749" s="15" t="n"/>
      <c r="J749" s="19" t="n">
        <v>2</v>
      </c>
      <c r="K749" s="2" t="inlineStr">
        <is>
          <t>marker_311_364417.png</t>
        </is>
      </c>
      <c r="L749" s="11">
        <f>HYPERLINK("2\0\" &amp; K749, "Ver Imagen")</f>
        <v/>
      </c>
      <c r="M749" t="inlineStr">
        <is>
          <t>Moda</t>
        </is>
      </c>
    </row>
    <row r="750">
      <c r="A750" t="n">
        <v>749</v>
      </c>
      <c r="B750" t="inlineStr">
        <is>
          <t>A-497_2C__529</t>
        </is>
      </c>
      <c r="C750" s="1" t="n">
        <v>37.2058259173</v>
      </c>
      <c r="D750" s="1" t="n">
        <v>-7.01925256652</v>
      </c>
      <c r="E750" s="3" t="n">
        <v>2</v>
      </c>
      <c r="F750" s="2" t="n">
        <v>2</v>
      </c>
      <c r="G750" s="4" t="n">
        <v>2</v>
      </c>
      <c r="H750" s="13" t="n"/>
      <c r="I750" s="15" t="n"/>
      <c r="J750" s="19" t="n">
        <v>2</v>
      </c>
      <c r="K750" s="2" t="inlineStr">
        <is>
          <t>marker_753_364425.png</t>
        </is>
      </c>
      <c r="L750" s="11">
        <f>HYPERLINK("2\0\" &amp; K750, "Ver Imagen")</f>
        <v/>
      </c>
      <c r="M750" t="inlineStr">
        <is>
          <t>Moda</t>
        </is>
      </c>
    </row>
    <row r="751">
      <c r="A751" t="n">
        <v>750</v>
      </c>
      <c r="B751" t="inlineStr">
        <is>
          <t>A-497_2C__532</t>
        </is>
      </c>
      <c r="C751" s="1" t="n">
        <v>37.2055671378</v>
      </c>
      <c r="D751" s="1" t="n">
        <v>-7.0185110587</v>
      </c>
      <c r="E751" s="3" t="n">
        <v>2</v>
      </c>
      <c r="F751" s="2" t="n">
        <v>2</v>
      </c>
      <c r="G751" s="4" t="n">
        <v>2</v>
      </c>
      <c r="H751" s="13" t="n"/>
      <c r="I751" s="15" t="n"/>
      <c r="J751" s="19" t="n">
        <v>2</v>
      </c>
      <c r="K751" s="2" t="inlineStr">
        <is>
          <t>marker_523_364452.png</t>
        </is>
      </c>
      <c r="L751" s="11">
        <f>HYPERLINK("2\0\" &amp; K751, "Ver Imagen")</f>
        <v/>
      </c>
      <c r="M751" t="inlineStr">
        <is>
          <t>Moda</t>
        </is>
      </c>
    </row>
    <row r="752">
      <c r="A752" t="n">
        <v>751</v>
      </c>
      <c r="B752" t="inlineStr">
        <is>
          <t>A-497_2C__533</t>
        </is>
      </c>
      <c r="C752" s="1" t="n">
        <v>37.2054830172</v>
      </c>
      <c r="D752" s="1" t="n">
        <v>-7.01824180723</v>
      </c>
      <c r="E752" s="3" t="n">
        <v>2</v>
      </c>
      <c r="F752" s="2" t="n">
        <v>2</v>
      </c>
      <c r="G752" s="4" t="n">
        <v>2</v>
      </c>
      <c r="H752" s="13" t="n"/>
      <c r="I752" s="15" t="n"/>
      <c r="J752" s="19" t="n">
        <v>2</v>
      </c>
      <c r="K752" s="2" t="inlineStr">
        <is>
          <t>marker_576_364464.png</t>
        </is>
      </c>
      <c r="L752" s="11">
        <f>HYPERLINK("2\0\" &amp; K752, "Ver Imagen")</f>
        <v/>
      </c>
      <c r="M752" t="inlineStr">
        <is>
          <t>Moda</t>
        </is>
      </c>
    </row>
    <row r="753">
      <c r="A753" t="n">
        <v>752</v>
      </c>
      <c r="B753" t="inlineStr">
        <is>
          <t>A-497_2C__626</t>
        </is>
      </c>
      <c r="C753" s="1" t="n">
        <v>37.2018163405</v>
      </c>
      <c r="D753" s="1" t="n">
        <v>-6.99533535413</v>
      </c>
      <c r="E753" s="3" t="n">
        <v>2</v>
      </c>
      <c r="F753" s="2" t="n">
        <v>2</v>
      </c>
      <c r="G753" s="4" t="n">
        <v>2</v>
      </c>
      <c r="H753" s="13" t="n"/>
      <c r="I753" s="15" t="n"/>
      <c r="J753" s="19" t="n">
        <v>2</v>
      </c>
      <c r="K753" s="2" t="inlineStr">
        <is>
          <t>marker_276_367043.png</t>
        </is>
      </c>
      <c r="L753" s="11">
        <f>HYPERLINK("2\0\" &amp; K753, "Ver Imagen")</f>
        <v/>
      </c>
      <c r="M753" t="inlineStr">
        <is>
          <t>Moda</t>
        </is>
      </c>
    </row>
    <row r="754">
      <c r="A754" t="n">
        <v>753</v>
      </c>
      <c r="B754" t="inlineStr">
        <is>
          <t>A-497_2C__627</t>
        </is>
      </c>
      <c r="C754" s="1" t="n">
        <v>37.2017781021</v>
      </c>
      <c r="D754" s="1" t="n">
        <v>-6.99510254535</v>
      </c>
      <c r="E754" s="3" t="n">
        <v>2</v>
      </c>
      <c r="F754" s="2" t="n">
        <v>2</v>
      </c>
      <c r="G754" s="4" t="n">
        <v>2</v>
      </c>
      <c r="H754" s="13" t="n"/>
      <c r="I754" s="15" t="n"/>
      <c r="J754" s="19" t="n">
        <v>2</v>
      </c>
      <c r="K754" s="2" t="inlineStr">
        <is>
          <t>marker_745_367052.png</t>
        </is>
      </c>
      <c r="L754" s="11">
        <f>HYPERLINK("2\0\" &amp; K754, "Ver Imagen")</f>
        <v/>
      </c>
      <c r="M754" t="inlineStr">
        <is>
          <t>Moda</t>
        </is>
      </c>
    </row>
    <row r="755">
      <c r="A755" t="n">
        <v>754</v>
      </c>
      <c r="B755" t="inlineStr">
        <is>
          <t>A-497_2C__628</t>
        </is>
      </c>
      <c r="C755" s="1" t="n">
        <v>37.2017352758</v>
      </c>
      <c r="D755" s="1" t="n">
        <v>-6.9948488264</v>
      </c>
      <c r="E755" s="3" t="n">
        <v>2</v>
      </c>
      <c r="F755" s="2" t="n">
        <v>2</v>
      </c>
      <c r="G755" s="4" t="n">
        <v>2</v>
      </c>
      <c r="H755" s="13" t="n"/>
      <c r="I755" s="15" t="n"/>
      <c r="J755" s="19" t="n">
        <v>2</v>
      </c>
      <c r="K755" s="2" t="inlineStr">
        <is>
          <t>marker_521_367063.png</t>
        </is>
      </c>
      <c r="L755" s="11">
        <f>HYPERLINK("2\0\" &amp; K755, "Ver Imagen")</f>
        <v/>
      </c>
      <c r="M755" t="inlineStr">
        <is>
          <t>Moda</t>
        </is>
      </c>
    </row>
    <row r="756">
      <c r="A756" t="n">
        <v>755</v>
      </c>
      <c r="B756" t="inlineStr">
        <is>
          <t>A-497_2C__629</t>
        </is>
      </c>
      <c r="C756" s="1" t="n">
        <v>37.2016927956</v>
      </c>
      <c r="D756" s="1" t="n">
        <v>-6.99460420074</v>
      </c>
      <c r="E756" s="3" t="n">
        <v>2</v>
      </c>
      <c r="F756" s="2" t="n">
        <v>2</v>
      </c>
      <c r="G756" s="4" t="n">
        <v>2</v>
      </c>
      <c r="H756" s="13" t="n"/>
      <c r="I756" s="15" t="n"/>
      <c r="J756" s="19" t="n">
        <v>2</v>
      </c>
      <c r="K756" s="2" t="inlineStr">
        <is>
          <t>marker_843_367073.png</t>
        </is>
      </c>
      <c r="L756" s="11">
        <f>HYPERLINK("2\0\" &amp; K756, "Ver Imagen")</f>
        <v/>
      </c>
      <c r="M756" t="inlineStr">
        <is>
          <t>Moda</t>
        </is>
      </c>
    </row>
    <row r="757">
      <c r="A757" t="n">
        <v>756</v>
      </c>
      <c r="B757" t="inlineStr">
        <is>
          <t>A-497_2C__630</t>
        </is>
      </c>
      <c r="C757" s="1" t="n">
        <v>37.2016503262</v>
      </c>
      <c r="D757" s="1" t="n">
        <v>-6.99436577449</v>
      </c>
      <c r="E757" s="3" t="n">
        <v>2</v>
      </c>
      <c r="F757" s="2" t="n">
        <v>2</v>
      </c>
      <c r="G757" s="4" t="n">
        <v>2</v>
      </c>
      <c r="H757" s="13" t="n"/>
      <c r="I757" s="15" t="n"/>
      <c r="J757" s="19" t="n">
        <v>2</v>
      </c>
      <c r="K757" s="2" t="inlineStr">
        <is>
          <t>marker_894_367082.png</t>
        </is>
      </c>
      <c r="L757" s="11">
        <f>HYPERLINK("2\0\" &amp; K757, "Ver Imagen")</f>
        <v/>
      </c>
      <c r="M757" t="inlineStr">
        <is>
          <t>Moda</t>
        </is>
      </c>
    </row>
    <row r="758">
      <c r="A758" t="n">
        <v>757</v>
      </c>
      <c r="B758" t="inlineStr">
        <is>
          <t>A-497_2C__631</t>
        </is>
      </c>
      <c r="C758" s="1" t="n">
        <v>37.2016040422</v>
      </c>
      <c r="D758" s="1" t="n">
        <v>-6.99410253962</v>
      </c>
      <c r="E758" s="3" t="n">
        <v>2</v>
      </c>
      <c r="F758" s="2" t="n">
        <v>2</v>
      </c>
      <c r="G758" s="4" t="n">
        <v>2</v>
      </c>
      <c r="H758" s="13" t="n"/>
      <c r="I758" s="15" t="n"/>
      <c r="J758" s="19" t="n">
        <v>2</v>
      </c>
      <c r="K758" s="2" t="inlineStr">
        <is>
          <t>marker_472_367093.png</t>
        </is>
      </c>
      <c r="L758" s="11">
        <f>HYPERLINK("2\0\" &amp; K758, "Ver Imagen")</f>
        <v/>
      </c>
      <c r="M758" t="inlineStr">
        <is>
          <t>Moda</t>
        </is>
      </c>
    </row>
    <row r="759">
      <c r="A759" t="n">
        <v>758</v>
      </c>
      <c r="B759" t="inlineStr">
        <is>
          <t>A-497_2C__632</t>
        </is>
      </c>
      <c r="C759" s="1" t="n">
        <v>37.2015618009</v>
      </c>
      <c r="D759" s="1" t="n">
        <v>-6.99385739759</v>
      </c>
      <c r="E759" s="3" t="n">
        <v>2</v>
      </c>
      <c r="F759" s="2" t="n">
        <v>2</v>
      </c>
      <c r="G759" s="4" t="n">
        <v>2</v>
      </c>
      <c r="H759" s="13" t="n"/>
      <c r="I759" s="15" t="n"/>
      <c r="J759" s="19" t="n">
        <v>2</v>
      </c>
      <c r="K759" s="2" t="inlineStr">
        <is>
          <t>marker_659_367102.png</t>
        </is>
      </c>
      <c r="L759" s="11">
        <f>HYPERLINK("2\0\" &amp; K759, "Ver Imagen")</f>
        <v/>
      </c>
      <c r="M759" t="inlineStr">
        <is>
          <t>Moda</t>
        </is>
      </c>
    </row>
    <row r="760">
      <c r="A760" t="n">
        <v>759</v>
      </c>
      <c r="B760" t="inlineStr">
        <is>
          <t>A-497_2C__633</t>
        </is>
      </c>
      <c r="C760" s="1" t="n">
        <v>37.2015231527</v>
      </c>
      <c r="D760" s="1" t="n">
        <v>-6.99363595081</v>
      </c>
      <c r="E760" s="3" t="n">
        <v>2</v>
      </c>
      <c r="F760" s="2" t="n">
        <v>2</v>
      </c>
      <c r="G760" s="4" t="n">
        <v>2</v>
      </c>
      <c r="H760" s="13" t="n"/>
      <c r="I760" s="15" t="n"/>
      <c r="J760" s="19" t="n">
        <v>2</v>
      </c>
      <c r="K760" s="2" t="inlineStr">
        <is>
          <t>marker_237_367111.png</t>
        </is>
      </c>
      <c r="L760" s="11">
        <f>HYPERLINK("2\0\" &amp; K760, "Ver Imagen")</f>
        <v/>
      </c>
      <c r="M760" t="inlineStr">
        <is>
          <t>Moda</t>
        </is>
      </c>
    </row>
    <row r="761">
      <c r="A761" t="n">
        <v>760</v>
      </c>
      <c r="B761" t="inlineStr">
        <is>
          <t>A-497_2C__634</t>
        </is>
      </c>
      <c r="C761" s="1" t="n">
        <v>37.2014704758</v>
      </c>
      <c r="D761" s="1" t="n">
        <v>-6.99334198811</v>
      </c>
      <c r="E761" s="3" t="n">
        <v>2</v>
      </c>
      <c r="F761" s="2" t="n">
        <v>2</v>
      </c>
      <c r="G761" s="4" t="n">
        <v>2</v>
      </c>
      <c r="H761" s="13" t="n"/>
      <c r="I761" s="15" t="n"/>
      <c r="J761" s="19" t="n">
        <v>2</v>
      </c>
      <c r="K761" s="2" t="inlineStr">
        <is>
          <t>marker_226_367120.png</t>
        </is>
      </c>
      <c r="L761" s="11">
        <f>HYPERLINK("2\0\" &amp; K761, "Ver Imagen")</f>
        <v/>
      </c>
      <c r="M761" t="inlineStr">
        <is>
          <t>Moda</t>
        </is>
      </c>
    </row>
    <row r="762">
      <c r="A762" t="n">
        <v>761</v>
      </c>
      <c r="B762" t="inlineStr">
        <is>
          <t>A-497_2C__638</t>
        </is>
      </c>
      <c r="C762" s="1" t="n">
        <v>37.2012962158</v>
      </c>
      <c r="D762" s="1" t="n">
        <v>-6.99242106996</v>
      </c>
      <c r="E762" s="3" t="n">
        <v>2</v>
      </c>
      <c r="F762" s="2" t="n">
        <v>2</v>
      </c>
      <c r="G762" s="4" t="n">
        <v>2</v>
      </c>
      <c r="H762" s="13" t="n"/>
      <c r="I762" s="15" t="n"/>
      <c r="J762" s="19" t="n">
        <v>2</v>
      </c>
      <c r="K762" s="2" t="inlineStr">
        <is>
          <t>marker_262_367160.png</t>
        </is>
      </c>
      <c r="L762" s="11">
        <f>HYPERLINK("2\0\" &amp; K762, "Ver Imagen")</f>
        <v/>
      </c>
      <c r="M762" t="inlineStr">
        <is>
          <t>Moda</t>
        </is>
      </c>
    </row>
    <row r="763">
      <c r="A763" t="n">
        <v>762</v>
      </c>
      <c r="B763" t="inlineStr">
        <is>
          <t>A-497_2C__640</t>
        </is>
      </c>
      <c r="C763" s="1" t="n">
        <v>37.2011876959</v>
      </c>
      <c r="D763" s="1" t="n">
        <v>-6.99186071417</v>
      </c>
      <c r="E763" s="3" t="n">
        <v>2</v>
      </c>
      <c r="F763" s="2" t="n">
        <v>2</v>
      </c>
      <c r="G763" s="4" t="n">
        <v>2</v>
      </c>
      <c r="H763" s="13" t="n"/>
      <c r="I763" s="15" t="n"/>
      <c r="J763" s="19" t="n">
        <v>2</v>
      </c>
      <c r="K763" s="2" t="inlineStr">
        <is>
          <t>marker_877_367177.png</t>
        </is>
      </c>
      <c r="L763" s="11">
        <f>HYPERLINK("2\0\" &amp; K763, "Ver Imagen")</f>
        <v/>
      </c>
      <c r="M763" t="inlineStr">
        <is>
          <t>Moda</t>
        </is>
      </c>
    </row>
    <row r="764">
      <c r="A764" t="n">
        <v>763</v>
      </c>
      <c r="B764" t="inlineStr">
        <is>
          <t>A-497_2C__641</t>
        </is>
      </c>
      <c r="C764" s="1" t="n">
        <v>37.2011445585</v>
      </c>
      <c r="D764" s="1" t="n">
        <v>-6.99163972818</v>
      </c>
      <c r="E764" s="3" t="n">
        <v>2</v>
      </c>
      <c r="F764" s="2" t="n">
        <v>2</v>
      </c>
      <c r="G764" s="4" t="n">
        <v>2</v>
      </c>
      <c r="H764" s="13" t="n"/>
      <c r="I764" s="15" t="n"/>
      <c r="J764" s="19" t="n">
        <v>2</v>
      </c>
      <c r="K764" s="2" t="inlineStr">
        <is>
          <t>marker_818_367186.png</t>
        </is>
      </c>
      <c r="L764" s="11">
        <f>HYPERLINK("2\0\" &amp; K764, "Ver Imagen")</f>
        <v/>
      </c>
      <c r="M764" t="inlineStr">
        <is>
          <t>Moda</t>
        </is>
      </c>
    </row>
    <row r="765">
      <c r="A765" t="n">
        <v>764</v>
      </c>
      <c r="B765" t="inlineStr">
        <is>
          <t>A-497_2C__642</t>
        </is>
      </c>
      <c r="C765" s="1" t="n">
        <v>37.2010877405</v>
      </c>
      <c r="D765" s="1" t="n">
        <v>-6.99134855141</v>
      </c>
      <c r="E765" s="3" t="n">
        <v>2</v>
      </c>
      <c r="F765" s="2" t="n">
        <v>2</v>
      </c>
      <c r="G765" s="4" t="n">
        <v>2</v>
      </c>
      <c r="H765" s="13" t="n"/>
      <c r="I765" s="15" t="n"/>
      <c r="J765" s="19" t="n">
        <v>2</v>
      </c>
      <c r="K765" s="2" t="inlineStr">
        <is>
          <t>marker_167_367195.png</t>
        </is>
      </c>
      <c r="L765" s="11">
        <f>HYPERLINK("2\0\" &amp; K765, "Ver Imagen")</f>
        <v/>
      </c>
      <c r="M765" t="inlineStr">
        <is>
          <t>Moda</t>
        </is>
      </c>
    </row>
    <row r="766">
      <c r="A766" t="n">
        <v>765</v>
      </c>
      <c r="B766" t="inlineStr">
        <is>
          <t>A-497_2C__643</t>
        </is>
      </c>
      <c r="C766" s="1" t="n">
        <v>37.2010532149</v>
      </c>
      <c r="D766" s="1" t="n">
        <v>-6.9911712777</v>
      </c>
      <c r="E766" s="3" t="n">
        <v>2</v>
      </c>
      <c r="F766" s="2" t="n">
        <v>2</v>
      </c>
      <c r="G766" s="4" t="n">
        <v>2</v>
      </c>
      <c r="H766" s="13" t="n"/>
      <c r="I766" s="15" t="n"/>
      <c r="J766" s="19" t="n">
        <v>2</v>
      </c>
      <c r="K766" s="2" t="inlineStr">
        <is>
          <t>marker_329_367209.png</t>
        </is>
      </c>
      <c r="L766" s="11">
        <f>HYPERLINK("2\0\" &amp; K766, "Ver Imagen")</f>
        <v/>
      </c>
      <c r="M766" t="inlineStr">
        <is>
          <t>Moda</t>
        </is>
      </c>
    </row>
    <row r="767">
      <c r="A767" t="n">
        <v>766</v>
      </c>
      <c r="B767" t="inlineStr">
        <is>
          <t>A-497_2C__644</t>
        </is>
      </c>
      <c r="C767" s="1" t="n">
        <v>37.2010009208</v>
      </c>
      <c r="D767" s="1" t="n">
        <v>-6.99090683605</v>
      </c>
      <c r="E767" s="3" t="n">
        <v>2</v>
      </c>
      <c r="F767" s="2" t="n">
        <v>2</v>
      </c>
      <c r="G767" s="4" t="n">
        <v>2</v>
      </c>
      <c r="H767" s="13" t="n"/>
      <c r="I767" s="15" t="n"/>
      <c r="J767" s="19" t="n">
        <v>2</v>
      </c>
      <c r="K767" s="2" t="inlineStr">
        <is>
          <t>marker_922_367219.png</t>
        </is>
      </c>
      <c r="L767" s="11">
        <f>HYPERLINK("2\0\" &amp; K767, "Ver Imagen")</f>
        <v/>
      </c>
      <c r="M767" t="inlineStr">
        <is>
          <t>Moda</t>
        </is>
      </c>
    </row>
    <row r="768">
      <c r="A768" t="n">
        <v>767</v>
      </c>
      <c r="B768" t="inlineStr">
        <is>
          <t>A-497_2C__646</t>
        </is>
      </c>
      <c r="C768" s="1" t="n">
        <v>37.200894264</v>
      </c>
      <c r="D768" s="1" t="n">
        <v>-6.99039195777</v>
      </c>
      <c r="E768" s="3" t="n">
        <v>2</v>
      </c>
      <c r="F768" s="2" t="n">
        <v>2</v>
      </c>
      <c r="G768" s="4" t="n">
        <v>2</v>
      </c>
      <c r="H768" s="13" t="n"/>
      <c r="I768" s="15" t="n"/>
      <c r="J768" s="19" t="n">
        <v>2</v>
      </c>
      <c r="K768" s="2" t="inlineStr">
        <is>
          <t>marker_693_367239.png</t>
        </is>
      </c>
      <c r="L768" s="11">
        <f>HYPERLINK("2\0\" &amp; K768, "Ver Imagen")</f>
        <v/>
      </c>
      <c r="M768" t="inlineStr">
        <is>
          <t>Moda</t>
        </is>
      </c>
    </row>
    <row r="769">
      <c r="A769" t="n">
        <v>768</v>
      </c>
      <c r="B769" t="inlineStr">
        <is>
          <t>A-497_2C__650</t>
        </is>
      </c>
      <c r="C769" s="1" t="n">
        <v>37.2006832536</v>
      </c>
      <c r="D769" s="1" t="n">
        <v>-6.98942378811</v>
      </c>
      <c r="E769" s="3" t="n">
        <v>2</v>
      </c>
      <c r="F769" s="2" t="n">
        <v>2</v>
      </c>
      <c r="G769" s="4" t="n">
        <v>2</v>
      </c>
      <c r="H769" s="13" t="n"/>
      <c r="I769" s="15" t="n"/>
      <c r="J769" s="19" t="n">
        <v>2</v>
      </c>
      <c r="K769" s="2" t="inlineStr">
        <is>
          <t>marker_143_367278.png</t>
        </is>
      </c>
      <c r="L769" s="11">
        <f>HYPERLINK("2\0\" &amp; K769, "Ver Imagen")</f>
        <v/>
      </c>
      <c r="M769" t="inlineStr">
        <is>
          <t>Moda</t>
        </is>
      </c>
    </row>
    <row r="770">
      <c r="A770" t="n">
        <v>769</v>
      </c>
      <c r="B770" t="inlineStr">
        <is>
          <t>A-497_2C__652</t>
        </is>
      </c>
      <c r="C770" s="1" t="n">
        <v>37.2005801497</v>
      </c>
      <c r="D770" s="1" t="n">
        <v>-6.9889540661</v>
      </c>
      <c r="E770" s="3" t="n">
        <v>2</v>
      </c>
      <c r="F770" s="2" t="n">
        <v>2</v>
      </c>
      <c r="G770" s="4" t="n">
        <v>2</v>
      </c>
      <c r="H770" s="13" t="n"/>
      <c r="I770" s="15" t="n"/>
      <c r="J770" s="19" t="n">
        <v>2</v>
      </c>
      <c r="K770" s="2" t="inlineStr">
        <is>
          <t>marker_549_367297.png</t>
        </is>
      </c>
      <c r="L770" s="11">
        <f>HYPERLINK("2\0\" &amp; K770, "Ver Imagen")</f>
        <v/>
      </c>
      <c r="M770" t="inlineStr">
        <is>
          <t>Moda</t>
        </is>
      </c>
    </row>
    <row r="771">
      <c r="A771" t="n">
        <v>770</v>
      </c>
      <c r="B771" t="inlineStr">
        <is>
          <t>A-497_2C__653</t>
        </is>
      </c>
      <c r="C771" s="1" t="n">
        <v>37.2005313636</v>
      </c>
      <c r="D771" s="1" t="n">
        <v>-6.98873473837</v>
      </c>
      <c r="E771" s="3" t="n">
        <v>2</v>
      </c>
      <c r="F771" s="2" t="n">
        <v>2</v>
      </c>
      <c r="G771" s="4" t="n">
        <v>2</v>
      </c>
      <c r="H771" s="13" t="n"/>
      <c r="I771" s="15" t="n"/>
      <c r="J771" s="19" t="n">
        <v>2</v>
      </c>
      <c r="K771" s="2" t="inlineStr">
        <is>
          <t>marker_686_367307.png</t>
        </is>
      </c>
      <c r="L771" s="11">
        <f>HYPERLINK("2\0\" &amp; K771, "Ver Imagen")</f>
        <v/>
      </c>
      <c r="M771" t="inlineStr">
        <is>
          <t>Moda</t>
        </is>
      </c>
    </row>
    <row r="772">
      <c r="A772" t="n">
        <v>771</v>
      </c>
      <c r="B772" t="inlineStr">
        <is>
          <t>A-497_2C__654</t>
        </is>
      </c>
      <c r="C772" s="1" t="n">
        <v>37.2004616087</v>
      </c>
      <c r="D772" s="1" t="n">
        <v>-6.98842490934</v>
      </c>
      <c r="E772" s="3" t="n">
        <v>2</v>
      </c>
      <c r="F772" s="2" t="n">
        <v>2</v>
      </c>
      <c r="G772" s="4" t="n">
        <v>2</v>
      </c>
      <c r="H772" s="13" t="n"/>
      <c r="I772" s="15" t="n"/>
      <c r="J772" s="19" t="n">
        <v>2</v>
      </c>
      <c r="K772" s="2" t="inlineStr">
        <is>
          <t>marker_519_367318.png</t>
        </is>
      </c>
      <c r="L772" s="11">
        <f>HYPERLINK("2\0\" &amp; K772, "Ver Imagen")</f>
        <v/>
      </c>
      <c r="M772" t="inlineStr">
        <is>
          <t>Moda</t>
        </is>
      </c>
    </row>
    <row r="773">
      <c r="A773" t="n">
        <v>772</v>
      </c>
      <c r="B773" t="inlineStr">
        <is>
          <t>A-497_2C__655</t>
        </is>
      </c>
      <c r="C773" s="1" t="n">
        <v>37.200416101</v>
      </c>
      <c r="D773" s="1" t="n">
        <v>-6.98822469081</v>
      </c>
      <c r="E773" s="3" t="n">
        <v>2</v>
      </c>
      <c r="F773" s="2" t="n">
        <v>2</v>
      </c>
      <c r="G773" s="4" t="n">
        <v>2</v>
      </c>
      <c r="H773" s="13" t="n"/>
      <c r="I773" s="15" t="n"/>
      <c r="J773" s="19" t="n">
        <v>2</v>
      </c>
      <c r="K773" s="2" t="inlineStr">
        <is>
          <t>marker_110_367334.png</t>
        </is>
      </c>
      <c r="L773" s="11">
        <f>HYPERLINK("2\0\" &amp; K773, "Ver Imagen")</f>
        <v/>
      </c>
      <c r="M773" t="inlineStr">
        <is>
          <t>Moda</t>
        </is>
      </c>
    </row>
    <row r="774">
      <c r="A774" t="n">
        <v>773</v>
      </c>
      <c r="B774" t="inlineStr">
        <is>
          <t>A-497_2C__656</t>
        </is>
      </c>
      <c r="C774" s="1" t="n">
        <v>37.2003624877</v>
      </c>
      <c r="D774" s="1" t="n">
        <v>-6.98799047473</v>
      </c>
      <c r="E774" s="3" t="n">
        <v>2</v>
      </c>
      <c r="F774" s="2" t="n">
        <v>2</v>
      </c>
      <c r="G774" s="4" t="n">
        <v>2</v>
      </c>
      <c r="H774" s="13" t="n"/>
      <c r="I774" s="15" t="n"/>
      <c r="J774" s="19" t="n">
        <v>2</v>
      </c>
      <c r="K774" s="2" t="inlineStr">
        <is>
          <t>marker_978_367344.png</t>
        </is>
      </c>
      <c r="L774" s="11">
        <f>HYPERLINK("2\0\" &amp; K774, "Ver Imagen")</f>
        <v/>
      </c>
      <c r="M774" t="inlineStr">
        <is>
          <t>Moda</t>
        </is>
      </c>
    </row>
    <row r="775">
      <c r="A775" t="n">
        <v>774</v>
      </c>
      <c r="B775" t="inlineStr">
        <is>
          <t>A-497_2C__660</t>
        </is>
      </c>
      <c r="C775" s="1" t="n">
        <v>37.2001368579</v>
      </c>
      <c r="D775" s="1" t="n">
        <v>-6.98702012685</v>
      </c>
      <c r="E775" s="3" t="n">
        <v>2</v>
      </c>
      <c r="F775" s="2" t="n">
        <v>2</v>
      </c>
      <c r="G775" s="4" t="n">
        <v>2</v>
      </c>
      <c r="H775" s="13" t="n"/>
      <c r="I775" s="15" t="n"/>
      <c r="J775" s="19" t="n">
        <v>2</v>
      </c>
      <c r="K775" s="2" t="inlineStr">
        <is>
          <t>marker_114_367388.png</t>
        </is>
      </c>
      <c r="L775" s="11">
        <f>HYPERLINK("2\0\" &amp; K775, "Ver Imagen")</f>
        <v/>
      </c>
      <c r="M775" t="inlineStr">
        <is>
          <t>Moda</t>
        </is>
      </c>
    </row>
    <row r="776">
      <c r="A776" t="n">
        <v>775</v>
      </c>
      <c r="B776" t="inlineStr">
        <is>
          <t>A-497__447</t>
        </is>
      </c>
      <c r="C776" s="1" t="n">
        <v>37.2217986972</v>
      </c>
      <c r="D776" s="1" t="n">
        <v>-7.02294657143</v>
      </c>
      <c r="E776" s="3" t="n">
        <v>2</v>
      </c>
      <c r="F776" s="2" t="n">
        <v>2</v>
      </c>
      <c r="G776" s="4" t="n">
        <v>2</v>
      </c>
      <c r="H776" s="13" t="n"/>
      <c r="I776" s="15" t="n"/>
      <c r="J776" s="19" t="n">
        <v>2</v>
      </c>
      <c r="K776" s="2" t="inlineStr">
        <is>
          <t>marker_850_376725.png</t>
        </is>
      </c>
      <c r="L776" s="11">
        <f>HYPERLINK("2\0\" &amp; K776, "Ver Imagen")</f>
        <v/>
      </c>
      <c r="M776" t="inlineStr">
        <is>
          <t>Moda</t>
        </is>
      </c>
    </row>
    <row r="777">
      <c r="A777" t="n">
        <v>776</v>
      </c>
      <c r="B777" t="inlineStr">
        <is>
          <t>A-497__446</t>
        </is>
      </c>
      <c r="C777" s="1" t="n">
        <v>37.2219852383</v>
      </c>
      <c r="D777" s="1" t="n">
        <v>-7.02296485009</v>
      </c>
      <c r="E777" s="3" t="n">
        <v>2</v>
      </c>
      <c r="F777" s="2" t="n">
        <v>2</v>
      </c>
      <c r="G777" s="4" t="n">
        <v>2</v>
      </c>
      <c r="H777" s="13" t="n"/>
      <c r="I777" s="15" t="n"/>
      <c r="J777" s="19" t="n">
        <v>2</v>
      </c>
      <c r="K777" s="2" t="inlineStr">
        <is>
          <t>marker_380_376735.png</t>
        </is>
      </c>
      <c r="L777" s="11">
        <f>HYPERLINK("2\0\" &amp; K777, "Ver Imagen")</f>
        <v/>
      </c>
      <c r="M777" t="inlineStr">
        <is>
          <t>Moda</t>
        </is>
      </c>
    </row>
    <row r="778">
      <c r="A778" t="n">
        <v>777</v>
      </c>
      <c r="B778" t="inlineStr">
        <is>
          <t>A-497__445</t>
        </is>
      </c>
      <c r="C778" s="1" t="n">
        <v>37.2221837</v>
      </c>
      <c r="D778" s="1" t="n">
        <v>-7.02298416496</v>
      </c>
      <c r="E778" s="3" t="n">
        <v>2</v>
      </c>
      <c r="F778" s="2" t="n">
        <v>2</v>
      </c>
      <c r="G778" s="4" t="n">
        <v>2</v>
      </c>
      <c r="H778" s="13" t="n"/>
      <c r="I778" s="15" t="n"/>
      <c r="J778" s="19" t="n">
        <v>2</v>
      </c>
      <c r="K778" s="2" t="inlineStr">
        <is>
          <t>marker_915_376745.png</t>
        </is>
      </c>
      <c r="L778" s="11">
        <f>HYPERLINK("2\0\" &amp; K778, "Ver Imagen")</f>
        <v/>
      </c>
      <c r="M778" t="inlineStr">
        <is>
          <t>Moda</t>
        </is>
      </c>
    </row>
    <row r="779">
      <c r="A779" t="n">
        <v>778</v>
      </c>
      <c r="B779" t="inlineStr">
        <is>
          <t>A-497__444</t>
        </is>
      </c>
      <c r="C779" s="1" t="n">
        <v>37.2224138617</v>
      </c>
      <c r="D779" s="1" t="n">
        <v>-7.023006187</v>
      </c>
      <c r="E779" s="3" t="n">
        <v>2</v>
      </c>
      <c r="F779" s="2" t="n">
        <v>2</v>
      </c>
      <c r="G779" s="4" t="n">
        <v>2</v>
      </c>
      <c r="H779" s="13" t="n"/>
      <c r="I779" s="15" t="n"/>
      <c r="J779" s="19" t="n">
        <v>2</v>
      </c>
      <c r="K779" s="2" t="inlineStr">
        <is>
          <t>marker_297_376760.png</t>
        </is>
      </c>
      <c r="L779" s="11">
        <f>HYPERLINK("2\0\" &amp; K779, "Ver Imagen")</f>
        <v/>
      </c>
      <c r="M779" t="inlineStr">
        <is>
          <t>Moda</t>
        </is>
      </c>
    </row>
    <row r="780">
      <c r="A780" t="n">
        <v>779</v>
      </c>
      <c r="B780" t="inlineStr">
        <is>
          <t>A-497__442</t>
        </is>
      </c>
      <c r="C780" s="1" t="n">
        <v>37.2228280435</v>
      </c>
      <c r="D780" s="1" t="n">
        <v>-7.0230454072</v>
      </c>
      <c r="E780" s="3" t="n">
        <v>2</v>
      </c>
      <c r="F780" s="2" t="n">
        <v>2</v>
      </c>
      <c r="G780" s="4" t="n">
        <v>2</v>
      </c>
      <c r="H780" s="13" t="n"/>
      <c r="I780" s="15" t="n"/>
      <c r="J780" s="19" t="n">
        <v>2</v>
      </c>
      <c r="K780" s="2" t="inlineStr">
        <is>
          <t>marker_317_376785.png</t>
        </is>
      </c>
      <c r="L780" s="11">
        <f>HYPERLINK("2\0\" &amp; K780, "Ver Imagen")</f>
        <v/>
      </c>
      <c r="M780" t="inlineStr">
        <is>
          <t>Moda</t>
        </is>
      </c>
    </row>
    <row r="781">
      <c r="A781" t="n">
        <v>780</v>
      </c>
      <c r="B781" t="inlineStr">
        <is>
          <t>A-497__440</t>
        </is>
      </c>
      <c r="C781" s="1" t="n">
        <v>37.2232128838</v>
      </c>
      <c r="D781" s="1" t="n">
        <v>-7.02308107047</v>
      </c>
      <c r="E781" s="3" t="n">
        <v>2</v>
      </c>
      <c r="F781" s="2" t="n">
        <v>2</v>
      </c>
      <c r="G781" s="4" t="n">
        <v>2</v>
      </c>
      <c r="H781" s="13" t="n"/>
      <c r="I781" s="15" t="n"/>
      <c r="J781" s="19" t="n">
        <v>2</v>
      </c>
      <c r="K781" s="2" t="inlineStr">
        <is>
          <t>marker_928_376807.png</t>
        </is>
      </c>
      <c r="L781" s="11">
        <f>HYPERLINK("2\0\" &amp; K781, "Ver Imagen")</f>
        <v/>
      </c>
      <c r="M781" t="inlineStr">
        <is>
          <t>Moda</t>
        </is>
      </c>
    </row>
    <row r="782">
      <c r="A782" t="n">
        <v>781</v>
      </c>
      <c r="B782" t="inlineStr">
        <is>
          <t>A-497__439</t>
        </is>
      </c>
      <c r="C782" s="1" t="n">
        <v>37.2234056058</v>
      </c>
      <c r="D782" s="1" t="n">
        <v>-7.02309960337</v>
      </c>
      <c r="E782" s="3" t="n">
        <v>2</v>
      </c>
      <c r="F782" s="2" t="n">
        <v>2</v>
      </c>
      <c r="G782" s="4" t="n">
        <v>2</v>
      </c>
      <c r="H782" s="13" t="n"/>
      <c r="I782" s="15" t="n"/>
      <c r="J782" s="19" t="n">
        <v>2</v>
      </c>
      <c r="K782" s="2" t="inlineStr">
        <is>
          <t>marker_514_376816.png</t>
        </is>
      </c>
      <c r="L782" s="11">
        <f>HYPERLINK("2\0\" &amp; K782, "Ver Imagen")</f>
        <v/>
      </c>
      <c r="M782" t="inlineStr">
        <is>
          <t>Moda</t>
        </is>
      </c>
    </row>
    <row r="783">
      <c r="A783" t="n">
        <v>782</v>
      </c>
      <c r="B783" t="inlineStr">
        <is>
          <t>A-497__438</t>
        </is>
      </c>
      <c r="C783" s="1" t="n">
        <v>37.2236055589</v>
      </c>
      <c r="D783" s="1" t="n">
        <v>-7.02311956182</v>
      </c>
      <c r="E783" s="3" t="n">
        <v>2</v>
      </c>
      <c r="F783" s="2" t="n">
        <v>2</v>
      </c>
      <c r="G783" s="4" t="n">
        <v>2</v>
      </c>
      <c r="H783" s="13" t="n"/>
      <c r="I783" s="15" t="n"/>
      <c r="J783" s="19" t="n">
        <v>2</v>
      </c>
      <c r="K783" s="2" t="inlineStr">
        <is>
          <t>marker_892_376825.png</t>
        </is>
      </c>
      <c r="L783" s="11">
        <f>HYPERLINK("2\0\" &amp; K783, "Ver Imagen")</f>
        <v/>
      </c>
      <c r="M783" t="inlineStr">
        <is>
          <t>Moda</t>
        </is>
      </c>
    </row>
    <row r="784">
      <c r="A784" t="n">
        <v>783</v>
      </c>
      <c r="B784" t="inlineStr">
        <is>
          <t>A-497__436</t>
        </is>
      </c>
      <c r="C784" s="1" t="n">
        <v>37.2240168897</v>
      </c>
      <c r="D784" s="1" t="n">
        <v>-7.02316051284</v>
      </c>
      <c r="E784" s="3" t="n">
        <v>2</v>
      </c>
      <c r="F784" s="2" t="n">
        <v>2</v>
      </c>
      <c r="G784" s="4" t="n">
        <v>2</v>
      </c>
      <c r="H784" s="13" t="n"/>
      <c r="I784" s="15" t="n"/>
      <c r="J784" s="19" t="n">
        <v>2</v>
      </c>
      <c r="K784" s="2" t="inlineStr">
        <is>
          <t>marker_891_376842.png</t>
        </is>
      </c>
      <c r="L784" s="11">
        <f>HYPERLINK("2\0\" &amp; K784, "Ver Imagen")</f>
        <v/>
      </c>
      <c r="M784" t="inlineStr">
        <is>
          <t>Moda</t>
        </is>
      </c>
    </row>
    <row r="785">
      <c r="A785" t="n">
        <v>784</v>
      </c>
      <c r="B785" t="inlineStr">
        <is>
          <t>A-497__435</t>
        </is>
      </c>
      <c r="C785" s="1" t="n">
        <v>37.2242238227</v>
      </c>
      <c r="D785" s="1" t="n">
        <v>-7.023179993</v>
      </c>
      <c r="E785" s="3" t="n">
        <v>2</v>
      </c>
      <c r="F785" s="2" t="n">
        <v>2</v>
      </c>
      <c r="G785" s="4" t="n">
        <v>2</v>
      </c>
      <c r="H785" s="13" t="n"/>
      <c r="I785" s="15" t="n"/>
      <c r="J785" s="19" t="n">
        <v>2</v>
      </c>
      <c r="K785" s="2" t="inlineStr">
        <is>
          <t>marker_688_376852.png</t>
        </is>
      </c>
      <c r="L785" s="11">
        <f>HYPERLINK("2\0\" &amp; K785, "Ver Imagen")</f>
        <v/>
      </c>
      <c r="M785" t="inlineStr">
        <is>
          <t>Moda</t>
        </is>
      </c>
    </row>
    <row r="786">
      <c r="A786" t="n">
        <v>785</v>
      </c>
      <c r="B786" t="inlineStr">
        <is>
          <t>A-497__432</t>
        </is>
      </c>
      <c r="C786" s="1" t="n">
        <v>37.2248590423</v>
      </c>
      <c r="D786" s="1" t="n">
        <v>-7.02320904799</v>
      </c>
      <c r="E786" s="3" t="n">
        <v>2</v>
      </c>
      <c r="F786" s="2" t="n">
        <v>2</v>
      </c>
      <c r="G786" s="4" t="n">
        <v>2</v>
      </c>
      <c r="H786" s="13" t="n"/>
      <c r="I786" s="15" t="n"/>
      <c r="J786" s="19" t="n">
        <v>2</v>
      </c>
      <c r="K786" s="2" t="inlineStr">
        <is>
          <t>marker_834_376879.png</t>
        </is>
      </c>
      <c r="L786" s="11">
        <f>HYPERLINK("2\0\" &amp; K786, "Ver Imagen")</f>
        <v/>
      </c>
      <c r="M786" t="inlineStr">
        <is>
          <t>Moda</t>
        </is>
      </c>
    </row>
    <row r="787">
      <c r="A787" t="n">
        <v>786</v>
      </c>
      <c r="B787" t="inlineStr">
        <is>
          <t>A-497__431</t>
        </is>
      </c>
      <c r="C787" s="1" t="n">
        <v>37.2250485864</v>
      </c>
      <c r="D787" s="1" t="n">
        <v>-7.02320221607</v>
      </c>
      <c r="E787" s="3" t="n">
        <v>2</v>
      </c>
      <c r="F787" s="2" t="n">
        <v>2</v>
      </c>
      <c r="G787" s="4" t="n">
        <v>2</v>
      </c>
      <c r="H787" s="13" t="n"/>
      <c r="I787" s="15" t="n"/>
      <c r="J787" s="19" t="n">
        <v>2</v>
      </c>
      <c r="K787" s="2" t="inlineStr">
        <is>
          <t>marker_441_376898.png</t>
        </is>
      </c>
      <c r="L787" s="11">
        <f>HYPERLINK("2\0\" &amp; K787, "Ver Imagen")</f>
        <v/>
      </c>
      <c r="M787" t="inlineStr">
        <is>
          <t>Moda</t>
        </is>
      </c>
    </row>
    <row r="788">
      <c r="A788" t="n">
        <v>787</v>
      </c>
      <c r="B788" t="inlineStr">
        <is>
          <t>A-497__430</t>
        </is>
      </c>
      <c r="C788" s="1" t="n">
        <v>37.225248296</v>
      </c>
      <c r="D788" s="1" t="n">
        <v>-7.02318437367</v>
      </c>
      <c r="E788" s="3" t="n">
        <v>2</v>
      </c>
      <c r="F788" s="2" t="n">
        <v>2</v>
      </c>
      <c r="G788" s="4" t="n">
        <v>2</v>
      </c>
      <c r="H788" s="13" t="n"/>
      <c r="I788" s="15" t="n"/>
      <c r="J788" s="19" t="n">
        <v>2</v>
      </c>
      <c r="K788" s="2" t="inlineStr">
        <is>
          <t>marker_618_376909.png</t>
        </is>
      </c>
      <c r="L788" s="11">
        <f>HYPERLINK("2\0\" &amp; K788, "Ver Imagen")</f>
        <v/>
      </c>
      <c r="M788" t="inlineStr">
        <is>
          <t>Moda</t>
        </is>
      </c>
    </row>
    <row r="789">
      <c r="A789" t="n">
        <v>788</v>
      </c>
      <c r="B789" t="inlineStr">
        <is>
          <t>A-497__428</t>
        </is>
      </c>
      <c r="C789" s="1" t="n">
        <v>37.2256490527</v>
      </c>
      <c r="D789" s="1" t="n">
        <v>-7.02311565085</v>
      </c>
      <c r="E789" s="3" t="n">
        <v>2</v>
      </c>
      <c r="F789" s="2" t="n">
        <v>2</v>
      </c>
      <c r="G789" s="4" t="n">
        <v>2</v>
      </c>
      <c r="H789" s="13" t="n"/>
      <c r="I789" s="15" t="n"/>
      <c r="J789" s="19" t="n">
        <v>2</v>
      </c>
      <c r="K789" s="2" t="inlineStr">
        <is>
          <t>marker_444_376936.png</t>
        </is>
      </c>
      <c r="L789" s="11">
        <f>HYPERLINK("2\0\" &amp; K789, "Ver Imagen")</f>
        <v/>
      </c>
      <c r="M789" t="inlineStr">
        <is>
          <t>Moda</t>
        </is>
      </c>
    </row>
    <row r="790">
      <c r="A790" t="n">
        <v>789</v>
      </c>
      <c r="B790" t="inlineStr">
        <is>
          <t>A-497__426</t>
        </is>
      </c>
      <c r="C790" s="1" t="n">
        <v>37.2260110823</v>
      </c>
      <c r="D790" s="1" t="n">
        <v>-7.02301397575</v>
      </c>
      <c r="E790" s="3" t="n">
        <v>2</v>
      </c>
      <c r="F790" s="2" t="n">
        <v>2</v>
      </c>
      <c r="G790" s="4" t="n">
        <v>2</v>
      </c>
      <c r="H790" s="13" t="n"/>
      <c r="I790" s="15" t="n"/>
      <c r="J790" s="19" t="n">
        <v>2</v>
      </c>
      <c r="K790" s="2" t="inlineStr">
        <is>
          <t>marker_592_376953.png</t>
        </is>
      </c>
      <c r="L790" s="11">
        <f>HYPERLINK("2\0\" &amp; K790, "Ver Imagen")</f>
        <v/>
      </c>
      <c r="M790" t="inlineStr">
        <is>
          <t>Moda</t>
        </is>
      </c>
    </row>
    <row r="791">
      <c r="A791" t="n">
        <v>790</v>
      </c>
      <c r="B791" t="inlineStr">
        <is>
          <t>A-497__425</t>
        </is>
      </c>
      <c r="C791" s="1" t="n">
        <v>37.2262151637</v>
      </c>
      <c r="D791" s="1" t="n">
        <v>-7.02293831221</v>
      </c>
      <c r="E791" s="3" t="n">
        <v>2</v>
      </c>
      <c r="F791" s="2" t="n">
        <v>2</v>
      </c>
      <c r="G791" s="4" t="n">
        <v>2</v>
      </c>
      <c r="H791" s="13" t="n"/>
      <c r="I791" s="15" t="n"/>
      <c r="J791" s="19" t="n">
        <v>2</v>
      </c>
      <c r="K791" s="2" t="inlineStr">
        <is>
          <t>marker_711_376962.png</t>
        </is>
      </c>
      <c r="L791" s="11">
        <f>HYPERLINK("2\0\" &amp; K791, "Ver Imagen")</f>
        <v/>
      </c>
      <c r="M791" t="inlineStr">
        <is>
          <t>Moda</t>
        </is>
      </c>
    </row>
    <row r="792">
      <c r="A792" t="n">
        <v>791</v>
      </c>
      <c r="B792" t="inlineStr">
        <is>
          <t>A-497__423</t>
        </is>
      </c>
      <c r="C792" s="1" t="n">
        <v>37.2265998549</v>
      </c>
      <c r="D792" s="1" t="n">
        <v>-7.02275725992</v>
      </c>
      <c r="E792" s="3" t="n">
        <v>2</v>
      </c>
      <c r="F792" s="2" t="n">
        <v>2</v>
      </c>
      <c r="G792" s="4" t="n">
        <v>2</v>
      </c>
      <c r="H792" s="13" t="n"/>
      <c r="I792" s="15" t="n"/>
      <c r="J792" s="19" t="n">
        <v>2</v>
      </c>
      <c r="K792" s="2" t="inlineStr">
        <is>
          <t>marker_436_376986.png</t>
        </is>
      </c>
      <c r="L792" s="11">
        <f>HYPERLINK("2\0\" &amp; K792, "Ver Imagen")</f>
        <v/>
      </c>
      <c r="M792" t="inlineStr">
        <is>
          <t>Moda</t>
        </is>
      </c>
    </row>
    <row r="793">
      <c r="A793" t="n">
        <v>792</v>
      </c>
      <c r="B793" t="inlineStr">
        <is>
          <t>A-497__422</t>
        </is>
      </c>
      <c r="C793" s="1" t="n">
        <v>37.226779596</v>
      </c>
      <c r="D793" s="1" t="n">
        <v>-7.02265447805</v>
      </c>
      <c r="E793" s="3" t="n">
        <v>2</v>
      </c>
      <c r="F793" s="2" t="n">
        <v>2</v>
      </c>
      <c r="G793" s="4" t="n">
        <v>2</v>
      </c>
      <c r="H793" s="13" t="n"/>
      <c r="I793" s="15" t="n"/>
      <c r="J793" s="19" t="n">
        <v>2</v>
      </c>
      <c r="K793" s="2" t="inlineStr">
        <is>
          <t>marker_687_376994.png</t>
        </is>
      </c>
      <c r="L793" s="11">
        <f>HYPERLINK("2\0\" &amp; K793, "Ver Imagen")</f>
        <v/>
      </c>
      <c r="M793" t="inlineStr">
        <is>
          <t>Moda</t>
        </is>
      </c>
    </row>
    <row r="794">
      <c r="A794" t="n">
        <v>793</v>
      </c>
      <c r="B794" t="inlineStr">
        <is>
          <t>A-497__421</t>
        </is>
      </c>
      <c r="C794" s="1" t="n">
        <v>37.2269799607</v>
      </c>
      <c r="D794" s="1" t="n">
        <v>-7.02252608242</v>
      </c>
      <c r="E794" s="3" t="n">
        <v>2</v>
      </c>
      <c r="F794" s="2" t="n">
        <v>2</v>
      </c>
      <c r="G794" s="4" t="n">
        <v>2</v>
      </c>
      <c r="H794" s="13" t="n"/>
      <c r="I794" s="15" t="n"/>
      <c r="J794" s="19" t="n">
        <v>2</v>
      </c>
      <c r="K794" s="2" t="inlineStr">
        <is>
          <t>marker_745_377003.png</t>
        </is>
      </c>
      <c r="L794" s="11">
        <f>HYPERLINK("2\0\" &amp; K794, "Ver Imagen")</f>
        <v/>
      </c>
      <c r="M794" t="inlineStr">
        <is>
          <t>Moda</t>
        </is>
      </c>
    </row>
    <row r="795">
      <c r="A795" t="n">
        <v>794</v>
      </c>
      <c r="B795" t="inlineStr">
        <is>
          <t>A-497__418</t>
        </is>
      </c>
      <c r="C795" s="1" t="n">
        <v>37.2274954398</v>
      </c>
      <c r="D795" s="1" t="n">
        <v>-7.02215599194</v>
      </c>
      <c r="E795" s="3" t="n">
        <v>2</v>
      </c>
      <c r="F795" s="2" t="n">
        <v>2</v>
      </c>
      <c r="G795" s="4" t="n">
        <v>2</v>
      </c>
      <c r="H795" s="13" t="n"/>
      <c r="I795" s="15" t="n"/>
      <c r="J795" s="19" t="n">
        <v>2</v>
      </c>
      <c r="K795" s="2" t="inlineStr">
        <is>
          <t>marker_600_377030.png</t>
        </is>
      </c>
      <c r="L795" s="11">
        <f>HYPERLINK("2\0\" &amp; K795, "Ver Imagen")</f>
        <v/>
      </c>
      <c r="M795" t="inlineStr">
        <is>
          <t>Moda</t>
        </is>
      </c>
    </row>
    <row r="796">
      <c r="A796" t="n">
        <v>795</v>
      </c>
      <c r="B796" t="inlineStr">
        <is>
          <t>A-497__385</t>
        </is>
      </c>
      <c r="C796" s="1" t="n">
        <v>37.2332846752</v>
      </c>
      <c r="D796" s="1" t="n">
        <v>-7.018105148</v>
      </c>
      <c r="E796" s="3" t="n">
        <v>2</v>
      </c>
      <c r="F796" s="2" t="n">
        <v>2</v>
      </c>
      <c r="G796" s="4" t="n">
        <v>2</v>
      </c>
      <c r="H796" s="13" t="n"/>
      <c r="I796" s="15" t="n"/>
      <c r="J796" s="19" t="n">
        <v>2</v>
      </c>
      <c r="K796" s="2" t="inlineStr">
        <is>
          <t>marker_354_377326.png</t>
        </is>
      </c>
      <c r="L796" s="11">
        <f>HYPERLINK("2\0\" &amp; K796, "Ver Imagen")</f>
        <v/>
      </c>
      <c r="M796" t="inlineStr">
        <is>
          <t>Moda</t>
        </is>
      </c>
    </row>
    <row r="797">
      <c r="A797" t="n">
        <v>796</v>
      </c>
      <c r="B797" t="inlineStr">
        <is>
          <t>A-497__384</t>
        </is>
      </c>
      <c r="C797" s="1" t="n">
        <v>37.2334833036</v>
      </c>
      <c r="D797" s="1" t="n">
        <v>-7.01805900164</v>
      </c>
      <c r="E797" s="3" t="n">
        <v>2</v>
      </c>
      <c r="F797" s="2" t="n">
        <v>2</v>
      </c>
      <c r="G797" s="4" t="n">
        <v>2</v>
      </c>
      <c r="H797" s="13" t="n"/>
      <c r="I797" s="15" t="n"/>
      <c r="J797" s="19" t="n">
        <v>2</v>
      </c>
      <c r="K797" s="2" t="inlineStr">
        <is>
          <t>marker_895_377335.png</t>
        </is>
      </c>
      <c r="L797" s="11">
        <f>HYPERLINK("2\0\" &amp; K797, "Ver Imagen")</f>
        <v/>
      </c>
      <c r="M797" t="inlineStr">
        <is>
          <t>Moda</t>
        </is>
      </c>
    </row>
    <row r="798">
      <c r="A798" t="n">
        <v>797</v>
      </c>
      <c r="B798" t="inlineStr">
        <is>
          <t>A-497__383</t>
        </is>
      </c>
      <c r="C798" s="1" t="n">
        <v>37.233690187</v>
      </c>
      <c r="D798" s="1" t="n">
        <v>-7.01802440862</v>
      </c>
      <c r="E798" s="3" t="n">
        <v>2</v>
      </c>
      <c r="F798" s="2" t="n">
        <v>2</v>
      </c>
      <c r="G798" s="4" t="n">
        <v>2</v>
      </c>
      <c r="H798" s="13" t="n"/>
      <c r="I798" s="15" t="n"/>
      <c r="J798" s="19" t="n">
        <v>2</v>
      </c>
      <c r="K798" s="2" t="inlineStr">
        <is>
          <t>marker_663_377344.png</t>
        </is>
      </c>
      <c r="L798" s="11">
        <f>HYPERLINK("2\0\" &amp; K798, "Ver Imagen")</f>
        <v/>
      </c>
      <c r="M798" t="inlineStr">
        <is>
          <t>Moda</t>
        </is>
      </c>
    </row>
    <row r="799">
      <c r="A799" t="n">
        <v>798</v>
      </c>
      <c r="B799" t="inlineStr">
        <is>
          <t>A-497__382</t>
        </is>
      </c>
      <c r="C799" s="1" t="n">
        <v>37.2338952222</v>
      </c>
      <c r="D799" s="1" t="n">
        <v>-7.01800346156</v>
      </c>
      <c r="E799" s="3" t="n">
        <v>2</v>
      </c>
      <c r="F799" s="2" t="n">
        <v>2</v>
      </c>
      <c r="G799" s="4" t="n">
        <v>2</v>
      </c>
      <c r="H799" s="13" t="n"/>
      <c r="I799" s="15" t="n"/>
      <c r="J799" s="19" t="n">
        <v>2</v>
      </c>
      <c r="K799" s="2" t="inlineStr">
        <is>
          <t>marker_146_377353.png</t>
        </is>
      </c>
      <c r="L799" s="11">
        <f>HYPERLINK("2\0\" &amp; K799, "Ver Imagen")</f>
        <v/>
      </c>
      <c r="M799" t="inlineStr">
        <is>
          <t>Moda</t>
        </is>
      </c>
    </row>
    <row r="800">
      <c r="A800" t="n">
        <v>799</v>
      </c>
      <c r="B800" t="inlineStr">
        <is>
          <t>A-497__379</t>
        </is>
      </c>
      <c r="C800" s="1" t="n">
        <v>37.234503056</v>
      </c>
      <c r="D800" s="1" t="n">
        <v>-7.01801805002</v>
      </c>
      <c r="E800" s="3" t="n">
        <v>2</v>
      </c>
      <c r="F800" s="2" t="n">
        <v>2</v>
      </c>
      <c r="G800" s="4" t="n">
        <v>2</v>
      </c>
      <c r="H800" s="13" t="n"/>
      <c r="I800" s="15" t="n"/>
      <c r="J800" s="19" t="n">
        <v>2</v>
      </c>
      <c r="K800" s="2" t="inlineStr">
        <is>
          <t>marker_359_377378.png</t>
        </is>
      </c>
      <c r="L800" s="11">
        <f>HYPERLINK("2\0\" &amp; K800, "Ver Imagen")</f>
        <v/>
      </c>
      <c r="M800" t="inlineStr">
        <is>
          <t>Moda</t>
        </is>
      </c>
    </row>
    <row r="801">
      <c r="A801" t="n">
        <v>800</v>
      </c>
      <c r="B801" t="inlineStr">
        <is>
          <t>A-497__378</t>
        </is>
      </c>
      <c r="C801" s="1" t="n">
        <v>37.2346875686</v>
      </c>
      <c r="D801" s="1" t="n">
        <v>-7.01804497328</v>
      </c>
      <c r="E801" s="3" t="n">
        <v>2</v>
      </c>
      <c r="F801" s="2" t="n">
        <v>2</v>
      </c>
      <c r="G801" s="4" t="n">
        <v>2</v>
      </c>
      <c r="H801" s="13" t="n"/>
      <c r="I801" s="15" t="n"/>
      <c r="J801" s="19" t="n">
        <v>2</v>
      </c>
      <c r="K801" s="2" t="inlineStr">
        <is>
          <t>marker_440_377387.png</t>
        </is>
      </c>
      <c r="L801" s="11">
        <f>HYPERLINK("2\0\" &amp; K801, "Ver Imagen")</f>
        <v/>
      </c>
      <c r="M801" t="inlineStr">
        <is>
          <t>Moda</t>
        </is>
      </c>
    </row>
    <row r="802">
      <c r="A802" t="n">
        <v>801</v>
      </c>
      <c r="B802" t="inlineStr">
        <is>
          <t>A-497__377</t>
        </is>
      </c>
      <c r="C802" s="1" t="n">
        <v>37.234890496</v>
      </c>
      <c r="D802" s="1" t="n">
        <v>-7.01808422145</v>
      </c>
      <c r="E802" s="3" t="n">
        <v>2</v>
      </c>
      <c r="F802" s="2" t="n">
        <v>2</v>
      </c>
      <c r="G802" s="4" t="n">
        <v>2</v>
      </c>
      <c r="H802" s="13" t="n"/>
      <c r="I802" s="15" t="n"/>
      <c r="J802" s="19" t="n">
        <v>2</v>
      </c>
      <c r="K802" s="2" t="inlineStr">
        <is>
          <t>marker_143_377396.png</t>
        </is>
      </c>
      <c r="L802" s="11">
        <f>HYPERLINK("2\0\" &amp; K802, "Ver Imagen")</f>
        <v/>
      </c>
      <c r="M802" t="inlineStr">
        <is>
          <t>Moda</t>
        </is>
      </c>
    </row>
    <row r="803">
      <c r="A803" t="n">
        <v>802</v>
      </c>
      <c r="B803" t="inlineStr">
        <is>
          <t>A-497__375</t>
        </is>
      </c>
      <c r="C803" s="1" t="n">
        <v>37.2353167417</v>
      </c>
      <c r="D803" s="1" t="n">
        <v>-7.01818782956</v>
      </c>
      <c r="E803" s="3" t="n">
        <v>2</v>
      </c>
      <c r="F803" s="2" t="n">
        <v>2</v>
      </c>
      <c r="G803" s="4" t="n">
        <v>2</v>
      </c>
      <c r="H803" s="13" t="n"/>
      <c r="I803" s="15" t="n"/>
      <c r="J803" s="19" t="n">
        <v>2</v>
      </c>
      <c r="K803" s="2" t="inlineStr">
        <is>
          <t>marker_494_377413.png</t>
        </is>
      </c>
      <c r="L803" s="11">
        <f>HYPERLINK("2\0\" &amp; K803, "Ver Imagen")</f>
        <v/>
      </c>
      <c r="M803" t="inlineStr">
        <is>
          <t>Moda</t>
        </is>
      </c>
    </row>
    <row r="804">
      <c r="A804" t="n">
        <v>803</v>
      </c>
      <c r="B804" t="inlineStr">
        <is>
          <t>A-497__372</t>
        </is>
      </c>
      <c r="C804" s="1" t="n">
        <v>37.2358820855</v>
      </c>
      <c r="D804" s="1" t="n">
        <v>-7.01833592849</v>
      </c>
      <c r="E804" s="3" t="n">
        <v>2</v>
      </c>
      <c r="F804" s="2" t="n">
        <v>2</v>
      </c>
      <c r="G804" s="4" t="n">
        <v>2</v>
      </c>
      <c r="H804" s="13" t="n"/>
      <c r="I804" s="15" t="n"/>
      <c r="J804" s="19" t="n">
        <v>2</v>
      </c>
      <c r="K804" s="2" t="inlineStr">
        <is>
          <t>marker_460_377436.png</t>
        </is>
      </c>
      <c r="L804" s="11">
        <f>HYPERLINK("2\0\" &amp; K804, "Ver Imagen")</f>
        <v/>
      </c>
      <c r="M804" t="inlineStr">
        <is>
          <t>Moda</t>
        </is>
      </c>
    </row>
    <row r="805">
      <c r="A805" t="n">
        <v>804</v>
      </c>
      <c r="B805" t="inlineStr">
        <is>
          <t>A-497__371</t>
        </is>
      </c>
      <c r="C805" s="1" t="n">
        <v>37.236105023</v>
      </c>
      <c r="D805" s="1" t="n">
        <v>-7.0183927917</v>
      </c>
      <c r="E805" s="3" t="n">
        <v>2</v>
      </c>
      <c r="F805" s="2" t="n">
        <v>2</v>
      </c>
      <c r="G805" s="4" t="n">
        <v>2</v>
      </c>
      <c r="H805" s="13" t="n"/>
      <c r="I805" s="15" t="n"/>
      <c r="J805" s="19" t="n">
        <v>2</v>
      </c>
      <c r="K805" s="2" t="inlineStr">
        <is>
          <t>marker_787_377445.png</t>
        </is>
      </c>
      <c r="L805" s="11">
        <f>HYPERLINK("2\0\" &amp; K805, "Ver Imagen")</f>
        <v/>
      </c>
      <c r="M805" t="inlineStr">
        <is>
          <t>Moda</t>
        </is>
      </c>
    </row>
    <row r="806">
      <c r="A806" t="n">
        <v>805</v>
      </c>
      <c r="B806" t="inlineStr">
        <is>
          <t>A-497__366</t>
        </is>
      </c>
      <c r="C806" s="1" t="n">
        <v>37.237099866</v>
      </c>
      <c r="D806" s="1" t="n">
        <v>-7.01854814835</v>
      </c>
      <c r="E806" s="3" t="n">
        <v>2</v>
      </c>
      <c r="F806" s="2" t="n">
        <v>2</v>
      </c>
      <c r="G806" s="4" t="n">
        <v>2</v>
      </c>
      <c r="H806" s="13" t="n"/>
      <c r="I806" s="15" t="n"/>
      <c r="J806" s="19" t="n">
        <v>2</v>
      </c>
      <c r="K806" s="2" t="inlineStr">
        <is>
          <t>marker_381_377495.png</t>
        </is>
      </c>
      <c r="L806" s="11">
        <f>HYPERLINK("2\0\" &amp; K806, "Ver Imagen")</f>
        <v/>
      </c>
      <c r="M806" t="inlineStr">
        <is>
          <t>Moda</t>
        </is>
      </c>
    </row>
    <row r="807">
      <c r="A807" t="n">
        <v>806</v>
      </c>
      <c r="B807" t="inlineStr">
        <is>
          <t>A-497__365</t>
        </is>
      </c>
      <c r="C807" s="1" t="n">
        <v>37.2372885018</v>
      </c>
      <c r="D807" s="1" t="n">
        <v>-7.0185607561</v>
      </c>
      <c r="E807" s="3" t="n">
        <v>2</v>
      </c>
      <c r="F807" s="2" t="n">
        <v>2</v>
      </c>
      <c r="G807" s="4" t="n">
        <v>2</v>
      </c>
      <c r="H807" s="13" t="n"/>
      <c r="I807" s="15" t="n"/>
      <c r="J807" s="19" t="n">
        <v>2</v>
      </c>
      <c r="K807" s="2" t="inlineStr">
        <is>
          <t>marker_966_377504.png</t>
        </is>
      </c>
      <c r="L807" s="11">
        <f>HYPERLINK("2\0\" &amp; K807, "Ver Imagen")</f>
        <v/>
      </c>
      <c r="M807" t="inlineStr">
        <is>
          <t>Moda</t>
        </is>
      </c>
    </row>
    <row r="808">
      <c r="A808" t="n">
        <v>807</v>
      </c>
      <c r="B808" t="inlineStr">
        <is>
          <t>A-497__361</t>
        </is>
      </c>
      <c r="C808" s="1" t="n">
        <v>37.2381049781</v>
      </c>
      <c r="D808" s="1" t="n">
        <v>-7.01856402499</v>
      </c>
      <c r="E808" s="3" t="n">
        <v>2</v>
      </c>
      <c r="F808" s="2" t="n">
        <v>2</v>
      </c>
      <c r="G808" s="4" t="n">
        <v>2</v>
      </c>
      <c r="H808" s="13" t="n"/>
      <c r="I808" s="15" t="n"/>
      <c r="J808" s="19" t="n">
        <v>2</v>
      </c>
      <c r="K808" s="2" t="inlineStr">
        <is>
          <t>marker_866_377540.png</t>
        </is>
      </c>
      <c r="L808" s="11">
        <f>HYPERLINK("2\0\" &amp; K808, "Ver Imagen")</f>
        <v/>
      </c>
      <c r="M808" t="inlineStr">
        <is>
          <t>Moda</t>
        </is>
      </c>
    </row>
    <row r="809">
      <c r="A809" t="n">
        <v>808</v>
      </c>
      <c r="B809" t="inlineStr">
        <is>
          <t>A-497__360</t>
        </is>
      </c>
      <c r="C809" s="1" t="n">
        <v>37.2383197136</v>
      </c>
      <c r="D809" s="1" t="n">
        <v>-7.01855553724</v>
      </c>
      <c r="E809" s="3" t="n">
        <v>2</v>
      </c>
      <c r="F809" s="2" t="n">
        <v>2</v>
      </c>
      <c r="G809" s="4" t="n">
        <v>2</v>
      </c>
      <c r="H809" s="13" t="n"/>
      <c r="I809" s="15" t="n"/>
      <c r="J809" s="19" t="n">
        <v>2</v>
      </c>
      <c r="K809" s="2" t="inlineStr">
        <is>
          <t>marker_560_377550.png</t>
        </is>
      </c>
      <c r="L809" s="11">
        <f>HYPERLINK("2\0\" &amp; K809, "Ver Imagen")</f>
        <v/>
      </c>
      <c r="M809" t="inlineStr">
        <is>
          <t>Moda</t>
        </is>
      </c>
    </row>
    <row r="810">
      <c r="A810" t="n">
        <v>809</v>
      </c>
      <c r="B810" t="inlineStr">
        <is>
          <t>A-497__359</t>
        </is>
      </c>
      <c r="C810" s="1" t="n">
        <v>37.2385035259</v>
      </c>
      <c r="D810" s="1" t="n">
        <v>-7.0185475318</v>
      </c>
      <c r="E810" s="3" t="n">
        <v>2</v>
      </c>
      <c r="F810" s="2" t="n">
        <v>2</v>
      </c>
      <c r="G810" s="4" t="n">
        <v>2</v>
      </c>
      <c r="H810" s="13" t="n"/>
      <c r="I810" s="15" t="n"/>
      <c r="J810" s="19" t="n">
        <v>2</v>
      </c>
      <c r="K810" s="2" t="inlineStr">
        <is>
          <t>marker_552_377566.png</t>
        </is>
      </c>
      <c r="L810" s="11">
        <f>HYPERLINK("2\0\" &amp; K810, "Ver Imagen")</f>
        <v/>
      </c>
      <c r="M810" t="inlineStr">
        <is>
          <t>Moda</t>
        </is>
      </c>
    </row>
    <row r="811">
      <c r="A811" t="n">
        <v>810</v>
      </c>
      <c r="B811" t="inlineStr">
        <is>
          <t>A-497__358</t>
        </is>
      </c>
      <c r="C811" s="1" t="n">
        <v>37.2387077479</v>
      </c>
      <c r="D811" s="1" t="n">
        <v>-7.01853902832</v>
      </c>
      <c r="E811" s="3" t="n">
        <v>2</v>
      </c>
      <c r="F811" s="2" t="n">
        <v>2</v>
      </c>
      <c r="G811" s="4" t="n">
        <v>2</v>
      </c>
      <c r="H811" s="13" t="n"/>
      <c r="I811" s="15" t="n"/>
      <c r="J811" s="19" t="n">
        <v>2</v>
      </c>
      <c r="K811" s="2" t="inlineStr">
        <is>
          <t>marker_615_377577.png</t>
        </is>
      </c>
      <c r="L811" s="11">
        <f>HYPERLINK("2\0\" &amp; K811, "Ver Imagen")</f>
        <v/>
      </c>
      <c r="M811" t="inlineStr">
        <is>
          <t>Moda</t>
        </is>
      </c>
    </row>
    <row r="812">
      <c r="A812" t="n">
        <v>811</v>
      </c>
      <c r="B812" t="inlineStr">
        <is>
          <t>A-497__357</t>
        </is>
      </c>
      <c r="C812" s="1" t="n">
        <v>37.2389402213</v>
      </c>
      <c r="D812" s="1" t="n">
        <v>-7.01852975228</v>
      </c>
      <c r="E812" s="3" t="n">
        <v>2</v>
      </c>
      <c r="F812" s="2" t="n">
        <v>2</v>
      </c>
      <c r="G812" s="4" t="n">
        <v>2</v>
      </c>
      <c r="H812" s="13" t="n"/>
      <c r="I812" s="15" t="n"/>
      <c r="J812" s="19" t="n">
        <v>2</v>
      </c>
      <c r="K812" s="2" t="inlineStr">
        <is>
          <t>marker_468_377586.png</t>
        </is>
      </c>
      <c r="L812" s="11">
        <f>HYPERLINK("2\0\" &amp; K812, "Ver Imagen")</f>
        <v/>
      </c>
      <c r="M812" t="inlineStr">
        <is>
          <t>Moda</t>
        </is>
      </c>
    </row>
    <row r="813">
      <c r="A813" t="n">
        <v>812</v>
      </c>
      <c r="B813" t="inlineStr">
        <is>
          <t>A-497__356</t>
        </is>
      </c>
      <c r="C813" s="1" t="n">
        <v>37.2391316594</v>
      </c>
      <c r="D813" s="1" t="n">
        <v>-7.01852229203</v>
      </c>
      <c r="E813" s="3" t="n">
        <v>2</v>
      </c>
      <c r="F813" s="2" t="n">
        <v>2</v>
      </c>
      <c r="G813" s="4" t="n">
        <v>2</v>
      </c>
      <c r="H813" s="13" t="n"/>
      <c r="I813" s="15" t="n"/>
      <c r="J813" s="19" t="n">
        <v>2</v>
      </c>
      <c r="K813" s="2" t="inlineStr">
        <is>
          <t>marker_216_377594.png</t>
        </is>
      </c>
      <c r="L813" s="11">
        <f>HYPERLINK("2\0\" &amp; K813, "Ver Imagen")</f>
        <v/>
      </c>
      <c r="M813" t="inlineStr">
        <is>
          <t>Moda</t>
        </is>
      </c>
    </row>
    <row r="814">
      <c r="A814" t="n">
        <v>813</v>
      </c>
      <c r="B814" t="inlineStr">
        <is>
          <t>A-497__355</t>
        </is>
      </c>
      <c r="C814" s="1" t="n">
        <v>37.2393059877</v>
      </c>
      <c r="D814" s="1" t="n">
        <v>-7.01851497912</v>
      </c>
      <c r="E814" s="3" t="n">
        <v>2</v>
      </c>
      <c r="F814" s="2" t="n">
        <v>2</v>
      </c>
      <c r="G814" s="4" t="n">
        <v>2</v>
      </c>
      <c r="H814" s="13" t="n"/>
      <c r="I814" s="15" t="n"/>
      <c r="J814" s="19" t="n">
        <v>2</v>
      </c>
      <c r="K814" s="2" t="inlineStr">
        <is>
          <t>marker_470_377603.png</t>
        </is>
      </c>
      <c r="L814" s="11">
        <f>HYPERLINK("2\0\" &amp; K814, "Ver Imagen")</f>
        <v/>
      </c>
      <c r="M814" t="inlineStr">
        <is>
          <t>Moda</t>
        </is>
      </c>
    </row>
    <row r="815">
      <c r="A815" t="n">
        <v>814</v>
      </c>
      <c r="B815" t="inlineStr">
        <is>
          <t>A-497__354</t>
        </is>
      </c>
      <c r="C815" s="1" t="n">
        <v>37.239531142</v>
      </c>
      <c r="D815" s="1" t="n">
        <v>-7.01850474237</v>
      </c>
      <c r="E815" s="3" t="n">
        <v>2</v>
      </c>
      <c r="F815" s="2" t="n">
        <v>2</v>
      </c>
      <c r="G815" s="4" t="n">
        <v>2</v>
      </c>
      <c r="H815" s="13" t="n"/>
      <c r="I815" s="15" t="n"/>
      <c r="J815" s="19" t="n">
        <v>2</v>
      </c>
      <c r="K815" s="2" t="inlineStr">
        <is>
          <t>marker_246_377624.png</t>
        </is>
      </c>
      <c r="L815" s="11">
        <f>HYPERLINK("2\0\" &amp; K815, "Ver Imagen")</f>
        <v/>
      </c>
      <c r="M815" t="inlineStr">
        <is>
          <t>Moda</t>
        </is>
      </c>
    </row>
    <row r="816">
      <c r="A816" t="n">
        <v>815</v>
      </c>
      <c r="B816" t="inlineStr">
        <is>
          <t>A-497__353</t>
        </is>
      </c>
      <c r="C816" s="1" t="n">
        <v>37.2397247308</v>
      </c>
      <c r="D816" s="1" t="n">
        <v>-7.01849534729</v>
      </c>
      <c r="E816" s="3" t="n">
        <v>2</v>
      </c>
      <c r="F816" s="2" t="n">
        <v>2</v>
      </c>
      <c r="G816" s="4" t="n">
        <v>2</v>
      </c>
      <c r="H816" s="13" t="n"/>
      <c r="I816" s="15" t="n"/>
      <c r="J816" s="19" t="n">
        <v>2</v>
      </c>
      <c r="K816" s="2" t="inlineStr">
        <is>
          <t>marker_286_377633.png</t>
        </is>
      </c>
      <c r="L816" s="11">
        <f>HYPERLINK("2\0\" &amp; K816, "Ver Imagen")</f>
        <v/>
      </c>
      <c r="M816" t="inlineStr">
        <is>
          <t>Moda</t>
        </is>
      </c>
    </row>
    <row r="817">
      <c r="A817" t="n">
        <v>816</v>
      </c>
      <c r="B817" t="inlineStr">
        <is>
          <t>A-497__352</t>
        </is>
      </c>
      <c r="C817" s="1" t="n">
        <v>37.2399187511</v>
      </c>
      <c r="D817" s="1" t="n">
        <v>-7.01848615678</v>
      </c>
      <c r="E817" s="3" t="n">
        <v>2</v>
      </c>
      <c r="F817" s="2" t="n">
        <v>2</v>
      </c>
      <c r="G817" s="4" t="n">
        <v>2</v>
      </c>
      <c r="H817" s="13" t="n"/>
      <c r="I817" s="15" t="n"/>
      <c r="J817" s="19" t="n">
        <v>2</v>
      </c>
      <c r="K817" s="2" t="inlineStr">
        <is>
          <t>marker_282_377641.png</t>
        </is>
      </c>
      <c r="L817" s="11">
        <f>HYPERLINK("2\0\" &amp; K817, "Ver Imagen")</f>
        <v/>
      </c>
      <c r="M817" t="inlineStr">
        <is>
          <t>Moda</t>
        </is>
      </c>
    </row>
    <row r="818">
      <c r="A818" t="n">
        <v>817</v>
      </c>
      <c r="B818" t="inlineStr">
        <is>
          <t>A-497__351</t>
        </is>
      </c>
      <c r="C818" s="1" t="n">
        <v>37.2401123572</v>
      </c>
      <c r="D818" s="1" t="n">
        <v>-7.01847786614</v>
      </c>
      <c r="E818" s="3" t="n">
        <v>2</v>
      </c>
      <c r="F818" s="2" t="n">
        <v>2</v>
      </c>
      <c r="G818" s="4" t="n">
        <v>2</v>
      </c>
      <c r="H818" s="13" t="n"/>
      <c r="I818" s="15" t="n"/>
      <c r="J818" s="19" t="n">
        <v>2</v>
      </c>
      <c r="K818" s="2" t="inlineStr">
        <is>
          <t>marker_143_377653.png</t>
        </is>
      </c>
      <c r="L818" s="11">
        <f>HYPERLINK("2\0\" &amp; K818, "Ver Imagen")</f>
        <v/>
      </c>
      <c r="M818" t="inlineStr">
        <is>
          <t>Moda</t>
        </is>
      </c>
    </row>
    <row r="819">
      <c r="A819" t="n">
        <v>818</v>
      </c>
      <c r="B819" t="inlineStr">
        <is>
          <t>A-497__350</t>
        </is>
      </c>
      <c r="C819" s="1" t="n">
        <v>37.2403450966</v>
      </c>
      <c r="D819" s="1" t="n">
        <v>-7.01846867263</v>
      </c>
      <c r="E819" s="3" t="n">
        <v>2</v>
      </c>
      <c r="F819" s="2" t="n">
        <v>2</v>
      </c>
      <c r="G819" s="4" t="n">
        <v>2</v>
      </c>
      <c r="H819" s="13" t="n"/>
      <c r="I819" s="15" t="n"/>
      <c r="J819" s="19" t="n">
        <v>2</v>
      </c>
      <c r="K819" s="2" t="inlineStr">
        <is>
          <t>marker_480_377663.png</t>
        </is>
      </c>
      <c r="L819" s="11">
        <f>HYPERLINK("2\0\" &amp; K819, "Ver Imagen")</f>
        <v/>
      </c>
      <c r="M819" t="inlineStr">
        <is>
          <t>Moda</t>
        </is>
      </c>
    </row>
    <row r="820">
      <c r="A820" t="n">
        <v>819</v>
      </c>
      <c r="B820" t="inlineStr">
        <is>
          <t>A-497__349</t>
        </is>
      </c>
      <c r="C820" s="1" t="n">
        <v>37.2405530555</v>
      </c>
      <c r="D820" s="1" t="n">
        <v>-7.01846075481</v>
      </c>
      <c r="E820" s="3" t="n">
        <v>2</v>
      </c>
      <c r="F820" s="2" t="n">
        <v>2</v>
      </c>
      <c r="G820" s="4" t="n">
        <v>2</v>
      </c>
      <c r="H820" s="13" t="n"/>
      <c r="I820" s="15" t="n"/>
      <c r="J820" s="19" t="n">
        <v>2</v>
      </c>
      <c r="K820" s="2" t="inlineStr">
        <is>
          <t>marker_314_377671.png</t>
        </is>
      </c>
      <c r="L820" s="11">
        <f>HYPERLINK("2\0\" &amp; K820, "Ver Imagen")</f>
        <v/>
      </c>
      <c r="M820" t="inlineStr">
        <is>
          <t>Moda</t>
        </is>
      </c>
    </row>
    <row r="821">
      <c r="A821" t="n">
        <v>820</v>
      </c>
      <c r="B821" t="inlineStr">
        <is>
          <t>A-497__317</t>
        </is>
      </c>
      <c r="C821" s="1" t="n">
        <v>37.2470066483</v>
      </c>
      <c r="D821" s="1" t="n">
        <v>-7.01822542558</v>
      </c>
      <c r="E821" s="3" t="n">
        <v>2</v>
      </c>
      <c r="F821" s="2" t="n">
        <v>2</v>
      </c>
      <c r="G821" s="4" t="n">
        <v>2</v>
      </c>
      <c r="H821" s="13" t="n"/>
      <c r="I821" s="15" t="n"/>
      <c r="J821" s="19" t="n">
        <v>2</v>
      </c>
      <c r="K821" s="2" t="inlineStr">
        <is>
          <t>marker_732_377998.png</t>
        </is>
      </c>
      <c r="L821" s="11">
        <f>HYPERLINK("2\0\" &amp; K821, "Ver Imagen")</f>
        <v/>
      </c>
      <c r="M821" t="inlineStr">
        <is>
          <t>Moda</t>
        </is>
      </c>
    </row>
    <row r="822">
      <c r="A822" t="n">
        <v>821</v>
      </c>
      <c r="B822" t="inlineStr">
        <is>
          <t>A-497__314</t>
        </is>
      </c>
      <c r="C822" s="1" t="n">
        <v>37.2476099875</v>
      </c>
      <c r="D822" s="1" t="n">
        <v>-7.01820315372</v>
      </c>
      <c r="E822" s="3" t="n">
        <v>2</v>
      </c>
      <c r="F822" s="2" t="n">
        <v>2</v>
      </c>
      <c r="G822" s="4" t="n">
        <v>2</v>
      </c>
      <c r="H822" s="13" t="n"/>
      <c r="I822" s="15" t="n"/>
      <c r="J822" s="19" t="n">
        <v>2</v>
      </c>
      <c r="K822" s="2" t="inlineStr">
        <is>
          <t>marker_738_378029.png</t>
        </is>
      </c>
      <c r="L822" s="11">
        <f>HYPERLINK("2\0\" &amp; K822, "Ver Imagen")</f>
        <v/>
      </c>
      <c r="M822" t="inlineStr">
        <is>
          <t>Moda</t>
        </is>
      </c>
    </row>
    <row r="823">
      <c r="A823" t="n">
        <v>822</v>
      </c>
      <c r="B823" t="inlineStr">
        <is>
          <t>A-497__311</t>
        </is>
      </c>
      <c r="C823" s="1" t="n">
        <v>37.2482501481</v>
      </c>
      <c r="D823" s="1" t="n">
        <v>-7.01817247799</v>
      </c>
      <c r="E823" s="3" t="n">
        <v>2</v>
      </c>
      <c r="F823" s="2" t="n">
        <v>2</v>
      </c>
      <c r="G823" s="4" t="n">
        <v>2</v>
      </c>
      <c r="H823" s="13" t="n"/>
      <c r="I823" s="15" t="n"/>
      <c r="J823" s="19" t="n">
        <v>2</v>
      </c>
      <c r="K823" s="2" t="inlineStr">
        <is>
          <t>marker_359_378059.png</t>
        </is>
      </c>
      <c r="L823" s="11">
        <f>HYPERLINK("2\0\" &amp; K823, "Ver Imagen")</f>
        <v/>
      </c>
      <c r="M823" t="inlineStr">
        <is>
          <t>Moda</t>
        </is>
      </c>
    </row>
    <row r="824">
      <c r="A824" t="n">
        <v>823</v>
      </c>
      <c r="B824" t="inlineStr">
        <is>
          <t>A-497__306</t>
        </is>
      </c>
      <c r="C824" s="1" t="n">
        <v>37.2492356468</v>
      </c>
      <c r="D824" s="1" t="n">
        <v>-7.01806655235</v>
      </c>
      <c r="E824" s="3" t="n">
        <v>2</v>
      </c>
      <c r="F824" s="2" t="n">
        <v>2</v>
      </c>
      <c r="G824" s="4" t="n">
        <v>2</v>
      </c>
      <c r="H824" s="13" t="n"/>
      <c r="I824" s="15" t="n"/>
      <c r="J824" s="19" t="n">
        <v>2</v>
      </c>
      <c r="K824" s="2" t="inlineStr">
        <is>
          <t>marker_889_378139.png</t>
        </is>
      </c>
      <c r="L824" s="11">
        <f>HYPERLINK("2\0\" &amp; K824, "Ver Imagen")</f>
        <v/>
      </c>
      <c r="M824" t="inlineStr">
        <is>
          <t>Moda</t>
        </is>
      </c>
    </row>
    <row r="825">
      <c r="A825" t="n">
        <v>824</v>
      </c>
      <c r="B825" t="inlineStr">
        <is>
          <t>A-497__301</t>
        </is>
      </c>
      <c r="C825" s="1" t="n">
        <v>37.2502176124</v>
      </c>
      <c r="D825" s="1" t="n">
        <v>-7.0177096505</v>
      </c>
      <c r="E825" s="3" t="n">
        <v>2</v>
      </c>
      <c r="F825" s="2" t="n">
        <v>2</v>
      </c>
      <c r="G825" s="4" t="n">
        <v>2</v>
      </c>
      <c r="H825" s="13" t="n"/>
      <c r="I825" s="15" t="n"/>
      <c r="J825" s="19" t="n">
        <v>2</v>
      </c>
      <c r="K825" s="2" t="inlineStr">
        <is>
          <t>marker_815_378206.png</t>
        </is>
      </c>
      <c r="L825" s="11">
        <f>HYPERLINK("2\0\" &amp; K825, "Ver Imagen")</f>
        <v/>
      </c>
      <c r="M825" t="inlineStr">
        <is>
          <t>Moda</t>
        </is>
      </c>
    </row>
    <row r="826">
      <c r="A826" t="n">
        <v>825</v>
      </c>
      <c r="B826" t="inlineStr">
        <is>
          <t>A-497__299</t>
        </is>
      </c>
      <c r="C826" s="1" t="n">
        <v>37.2505596888</v>
      </c>
      <c r="D826" s="1" t="n">
        <v>-7.0175148193</v>
      </c>
      <c r="E826" s="3" t="n">
        <v>2</v>
      </c>
      <c r="F826" s="2" t="n">
        <v>2</v>
      </c>
      <c r="G826" s="4" t="n">
        <v>2</v>
      </c>
      <c r="H826" s="13" t="n"/>
      <c r="I826" s="15" t="n"/>
      <c r="J826" s="19" t="n">
        <v>2</v>
      </c>
      <c r="K826" s="2" t="inlineStr">
        <is>
          <t>marker_234_378229.png</t>
        </is>
      </c>
      <c r="L826" s="11">
        <f>HYPERLINK("2\0\" &amp; K826, "Ver Imagen")</f>
        <v/>
      </c>
      <c r="M826" t="inlineStr">
        <is>
          <t>Moda</t>
        </is>
      </c>
    </row>
    <row r="827">
      <c r="A827" t="n">
        <v>826</v>
      </c>
      <c r="B827" t="inlineStr">
        <is>
          <t>A-497__298</t>
        </is>
      </c>
      <c r="C827" s="1" t="n">
        <v>37.2507440932</v>
      </c>
      <c r="D827" s="1" t="n">
        <v>-7.01740083639</v>
      </c>
      <c r="E827" s="3" t="n">
        <v>2</v>
      </c>
      <c r="F827" s="2" t="n">
        <v>2</v>
      </c>
      <c r="G827" s="4" t="n">
        <v>2</v>
      </c>
      <c r="H827" s="13" t="n"/>
      <c r="I827" s="15" t="n"/>
      <c r="J827" s="19" t="n">
        <v>2</v>
      </c>
      <c r="K827" s="2" t="inlineStr">
        <is>
          <t>marker_185_378239.png</t>
        </is>
      </c>
      <c r="L827" s="11">
        <f>HYPERLINK("2\0\" &amp; K827, "Ver Imagen")</f>
        <v/>
      </c>
      <c r="M827" t="inlineStr">
        <is>
          <t>Moda</t>
        </is>
      </c>
    </row>
    <row r="828">
      <c r="A828" t="n">
        <v>827</v>
      </c>
      <c r="B828" t="inlineStr">
        <is>
          <t>A-497__297</t>
        </is>
      </c>
      <c r="C828" s="1" t="n">
        <v>37.2509135811</v>
      </c>
      <c r="D828" s="1" t="n">
        <v>-7.01729386903</v>
      </c>
      <c r="E828" s="3" t="n">
        <v>2</v>
      </c>
      <c r="F828" s="2" t="n">
        <v>2</v>
      </c>
      <c r="G828" s="4" t="n">
        <v>2</v>
      </c>
      <c r="H828" s="13" t="n"/>
      <c r="I828" s="15" t="n"/>
      <c r="J828" s="19" t="n">
        <v>2</v>
      </c>
      <c r="K828" s="2" t="inlineStr">
        <is>
          <t>marker_596_378254.png</t>
        </is>
      </c>
      <c r="L828" s="11">
        <f>HYPERLINK("2\0\" &amp; K828, "Ver Imagen")</f>
        <v/>
      </c>
      <c r="M828" t="inlineStr">
        <is>
          <t>Moda</t>
        </is>
      </c>
    </row>
    <row r="829">
      <c r="A829" t="n">
        <v>828</v>
      </c>
      <c r="B829" t="inlineStr">
        <is>
          <t>A-497__296</t>
        </is>
      </c>
      <c r="C829" s="1" t="n">
        <v>37.2511041925</v>
      </c>
      <c r="D829" s="1" t="n">
        <v>-7.01717219621</v>
      </c>
      <c r="E829" s="3" t="n">
        <v>2</v>
      </c>
      <c r="F829" s="2" t="n">
        <v>2</v>
      </c>
      <c r="G829" s="4" t="n">
        <v>2</v>
      </c>
      <c r="H829" s="13" t="n"/>
      <c r="I829" s="15" t="n"/>
      <c r="J829" s="19" t="n">
        <v>2</v>
      </c>
      <c r="K829" s="2" t="inlineStr">
        <is>
          <t>marker_676_378273.png</t>
        </is>
      </c>
      <c r="L829" s="11">
        <f>HYPERLINK("2\0\" &amp; K829, "Ver Imagen")</f>
        <v/>
      </c>
      <c r="M829" t="inlineStr">
        <is>
          <t>Moda</t>
        </is>
      </c>
    </row>
    <row r="830">
      <c r="A830" t="n">
        <v>829</v>
      </c>
      <c r="B830" t="inlineStr">
        <is>
          <t>A-497__295</t>
        </is>
      </c>
      <c r="C830" s="1" t="n">
        <v>37.2513084289</v>
      </c>
      <c r="D830" s="1" t="n">
        <v>-7.01704193533</v>
      </c>
      <c r="E830" s="3" t="n">
        <v>2</v>
      </c>
      <c r="F830" s="2" t="n">
        <v>2</v>
      </c>
      <c r="G830" s="4" t="n">
        <v>2</v>
      </c>
      <c r="H830" s="13" t="n"/>
      <c r="I830" s="15" t="n"/>
      <c r="J830" s="19" t="n">
        <v>2</v>
      </c>
      <c r="K830" s="2" t="inlineStr">
        <is>
          <t>marker_316_378293.png</t>
        </is>
      </c>
      <c r="L830" s="11">
        <f>HYPERLINK("2\0\" &amp; K830, "Ver Imagen")</f>
        <v/>
      </c>
      <c r="M830" t="inlineStr">
        <is>
          <t>Moda</t>
        </is>
      </c>
    </row>
    <row r="831">
      <c r="A831" t="n">
        <v>830</v>
      </c>
      <c r="B831" t="inlineStr">
        <is>
          <t>A-497__288</t>
        </is>
      </c>
      <c r="C831" s="1" t="n">
        <v>37.2525814031</v>
      </c>
      <c r="D831" s="1" t="n">
        <v>-7.01623452948</v>
      </c>
      <c r="E831" s="3" t="n">
        <v>2</v>
      </c>
      <c r="F831" s="2" t="n">
        <v>2</v>
      </c>
      <c r="G831" s="4" t="n">
        <v>2</v>
      </c>
      <c r="H831" s="13" t="n"/>
      <c r="I831" s="15" t="n"/>
      <c r="J831" s="19" t="n">
        <v>2</v>
      </c>
      <c r="K831" s="2" t="inlineStr">
        <is>
          <t>marker_453_378375.png</t>
        </is>
      </c>
      <c r="L831" s="11">
        <f>HYPERLINK("2\0\" &amp; K831, "Ver Imagen")</f>
        <v/>
      </c>
      <c r="M831" t="inlineStr">
        <is>
          <t>Moda</t>
        </is>
      </c>
    </row>
    <row r="832">
      <c r="A832" t="n">
        <v>831</v>
      </c>
      <c r="B832" t="inlineStr">
        <is>
          <t>A-497__283</t>
        </is>
      </c>
      <c r="C832" s="1" t="n">
        <v>37.2534438001</v>
      </c>
      <c r="D832" s="1" t="n">
        <v>-7.01568706283</v>
      </c>
      <c r="E832" s="3" t="n">
        <v>2</v>
      </c>
      <c r="F832" s="2" t="n">
        <v>2</v>
      </c>
      <c r="G832" s="4" t="n">
        <v>2</v>
      </c>
      <c r="H832" s="13" t="n"/>
      <c r="I832" s="15" t="n"/>
      <c r="J832" s="19" t="n">
        <v>2</v>
      </c>
      <c r="K832" s="2" t="inlineStr">
        <is>
          <t>marker_525_378437.png</t>
        </is>
      </c>
      <c r="L832" s="11">
        <f>HYPERLINK("2\0\" &amp; K832, "Ver Imagen")</f>
        <v/>
      </c>
      <c r="M832" t="inlineStr">
        <is>
          <t>Moda</t>
        </is>
      </c>
    </row>
    <row r="833">
      <c r="A833" t="n">
        <v>832</v>
      </c>
      <c r="B833" t="inlineStr">
        <is>
          <t>A-497__276</t>
        </is>
      </c>
      <c r="C833" s="1" t="n">
        <v>37.2547001236</v>
      </c>
      <c r="D833" s="1" t="n">
        <v>-7.01488173912</v>
      </c>
      <c r="E833" s="3" t="n">
        <v>2</v>
      </c>
      <c r="F833" s="2" t="n">
        <v>2</v>
      </c>
      <c r="G833" s="4" t="n">
        <v>2</v>
      </c>
      <c r="H833" s="13" t="n"/>
      <c r="I833" s="15" t="n"/>
      <c r="J833" s="19" t="n">
        <v>2</v>
      </c>
      <c r="K833" s="2" t="inlineStr">
        <is>
          <t>marker_911_378515.png</t>
        </is>
      </c>
      <c r="L833" s="11">
        <f>HYPERLINK("2\0\" &amp; K833, "Ver Imagen")</f>
        <v/>
      </c>
      <c r="M833" t="inlineStr">
        <is>
          <t>Moda</t>
        </is>
      </c>
    </row>
    <row r="834">
      <c r="A834" t="n">
        <v>833</v>
      </c>
      <c r="B834" t="inlineStr">
        <is>
          <t>A-497__255</t>
        </is>
      </c>
      <c r="C834" s="1" t="n">
        <v>37.2585146544</v>
      </c>
      <c r="D834" s="1" t="n">
        <v>-7.0124553423</v>
      </c>
      <c r="E834" s="3" t="n">
        <v>2</v>
      </c>
      <c r="F834" s="2" t="n">
        <v>2</v>
      </c>
      <c r="G834" s="4" t="n">
        <v>2</v>
      </c>
      <c r="H834" s="13" t="n"/>
      <c r="I834" s="15" t="n"/>
      <c r="J834" s="19" t="n">
        <v>2</v>
      </c>
      <c r="K834" s="2" t="inlineStr">
        <is>
          <t>marker_245_378732.png</t>
        </is>
      </c>
      <c r="L834" s="11">
        <f>HYPERLINK("2\0\" &amp; K834, "Ver Imagen")</f>
        <v/>
      </c>
      <c r="M834" t="inlineStr">
        <is>
          <t>Moda</t>
        </is>
      </c>
    </row>
    <row r="835">
      <c r="A835" t="n">
        <v>834</v>
      </c>
      <c r="B835" t="inlineStr">
        <is>
          <t>A-492__42</t>
        </is>
      </c>
      <c r="C835" s="1" t="n">
        <v>37.2786905833</v>
      </c>
      <c r="D835" s="1" t="n">
        <v>-6.99369461843</v>
      </c>
      <c r="E835" s="3" t="n">
        <v>1</v>
      </c>
      <c r="F835" s="2" t="n">
        <v>2</v>
      </c>
      <c r="G835" s="4" t="n">
        <v>2</v>
      </c>
      <c r="H835" s="13" t="n"/>
      <c r="I835" s="15" t="n"/>
      <c r="J835" s="19" t="n">
        <v>2</v>
      </c>
      <c r="K835" s="2" t="inlineStr">
        <is>
          <t>marker_797_822890.png</t>
        </is>
      </c>
      <c r="L835" s="11">
        <f>HYPERLINK("2\1\" &amp; K835, "Ver Imagen")</f>
        <v/>
      </c>
      <c r="M835" t="inlineStr">
        <is>
          <t>Moda</t>
        </is>
      </c>
    </row>
    <row r="836">
      <c r="A836" t="n">
        <v>835</v>
      </c>
      <c r="B836" t="inlineStr">
        <is>
          <t>A-492__43</t>
        </is>
      </c>
      <c r="C836" s="1" t="n">
        <v>37.2788052326</v>
      </c>
      <c r="D836" s="1" t="n">
        <v>-6.99393548374</v>
      </c>
      <c r="E836" s="3" t="n">
        <v>1</v>
      </c>
      <c r="F836" s="2" t="n">
        <v>2</v>
      </c>
      <c r="G836" s="4" t="n">
        <v>2</v>
      </c>
      <c r="H836" s="13" t="n"/>
      <c r="I836" s="15" t="n"/>
      <c r="J836" s="19" t="n">
        <v>2</v>
      </c>
      <c r="K836" s="2" t="inlineStr">
        <is>
          <t>marker_135_822905.png</t>
        </is>
      </c>
      <c r="L836" s="11">
        <f>HYPERLINK("2\1\" &amp; K836, "Ver Imagen")</f>
        <v/>
      </c>
      <c r="M836" t="inlineStr">
        <is>
          <t>Moda</t>
        </is>
      </c>
    </row>
    <row r="837">
      <c r="A837" t="n">
        <v>836</v>
      </c>
      <c r="B837" t="inlineStr">
        <is>
          <t>A-492__44</t>
        </is>
      </c>
      <c r="C837" s="1" t="n">
        <v>37.2788871305</v>
      </c>
      <c r="D837" s="1" t="n">
        <v>-6.9941380155</v>
      </c>
      <c r="E837" s="3" t="n">
        <v>1</v>
      </c>
      <c r="F837" s="2" t="n">
        <v>2</v>
      </c>
      <c r="G837" s="4" t="n">
        <v>2</v>
      </c>
      <c r="H837" s="13" t="n"/>
      <c r="I837" s="15" t="n"/>
      <c r="J837" s="19" t="n">
        <v>2</v>
      </c>
      <c r="K837" s="2" t="inlineStr">
        <is>
          <t>marker_240_822924.png</t>
        </is>
      </c>
      <c r="L837" s="11">
        <f>HYPERLINK("2\1\" &amp; K837, "Ver Imagen")</f>
        <v/>
      </c>
      <c r="M837" t="inlineStr">
        <is>
          <t>Moda</t>
        </is>
      </c>
    </row>
    <row r="838">
      <c r="A838" t="n">
        <v>837</v>
      </c>
      <c r="B838" t="inlineStr">
        <is>
          <t>A-492__53</t>
        </is>
      </c>
      <c r="C838" s="1" t="n">
        <v>37.2794597052</v>
      </c>
      <c r="D838" s="1" t="n">
        <v>-6.99630014056</v>
      </c>
      <c r="E838" s="3" t="n">
        <v>1</v>
      </c>
      <c r="F838" s="2" t="n">
        <v>2</v>
      </c>
      <c r="G838" s="4" t="n">
        <v>2</v>
      </c>
      <c r="H838" s="13" t="n"/>
      <c r="I838" s="15" t="n"/>
      <c r="J838" s="19" t="n">
        <v>2</v>
      </c>
      <c r="K838" s="2" t="inlineStr">
        <is>
          <t>marker_635_823043.png</t>
        </is>
      </c>
      <c r="L838" s="11">
        <f>HYPERLINK("2\1\" &amp; K838, "Ver Imagen")</f>
        <v/>
      </c>
      <c r="M838" t="inlineStr">
        <is>
          <t>Moda</t>
        </is>
      </c>
    </row>
    <row r="839">
      <c r="A839" t="n">
        <v>838</v>
      </c>
      <c r="B839" t="inlineStr">
        <is>
          <t>A-492__58</t>
        </is>
      </c>
      <c r="C839" s="1" t="n">
        <v>37.2797182137</v>
      </c>
      <c r="D839" s="1" t="n">
        <v>-6.99755677749</v>
      </c>
      <c r="E839" s="3" t="n">
        <v>1</v>
      </c>
      <c r="F839" s="2" t="n">
        <v>2</v>
      </c>
      <c r="G839" s="4" t="n">
        <v>2</v>
      </c>
      <c r="H839" s="13" t="n"/>
      <c r="I839" s="15" t="n"/>
      <c r="J839" s="19" t="n">
        <v>2</v>
      </c>
      <c r="K839" s="2" t="inlineStr">
        <is>
          <t>marker_808_823121.png</t>
        </is>
      </c>
      <c r="L839" s="11">
        <f>HYPERLINK("2\1\" &amp; K839, "Ver Imagen")</f>
        <v/>
      </c>
      <c r="M839" t="inlineStr">
        <is>
          <t>Moda</t>
        </is>
      </c>
    </row>
    <row r="840">
      <c r="A840" t="n">
        <v>839</v>
      </c>
      <c r="B840" t="inlineStr">
        <is>
          <t>A-492__59</t>
        </is>
      </c>
      <c r="C840" s="1" t="n">
        <v>37.2797631739</v>
      </c>
      <c r="D840" s="1" t="n">
        <v>-6.99779484912</v>
      </c>
      <c r="E840" s="3" t="n">
        <v>1</v>
      </c>
      <c r="F840" s="2" t="n">
        <v>2</v>
      </c>
      <c r="G840" s="4" t="n">
        <v>2</v>
      </c>
      <c r="H840" s="13" t="n"/>
      <c r="I840" s="15" t="n"/>
      <c r="J840" s="19" t="n">
        <v>2</v>
      </c>
      <c r="K840" s="2" t="inlineStr">
        <is>
          <t>marker_375_823132.png</t>
        </is>
      </c>
      <c r="L840" s="11">
        <f>HYPERLINK("2\1\" &amp; K840, "Ver Imagen")</f>
        <v/>
      </c>
      <c r="M840" t="inlineStr">
        <is>
          <t>Moda</t>
        </is>
      </c>
    </row>
    <row r="841">
      <c r="A841" t="n">
        <v>840</v>
      </c>
      <c r="B841" t="inlineStr">
        <is>
          <t>A-492__305</t>
        </is>
      </c>
      <c r="C841" s="1" t="n">
        <v>37.2932693274</v>
      </c>
      <c r="D841" s="1" t="n">
        <v>-7.04631648727</v>
      </c>
      <c r="E841" s="3" t="n">
        <v>1</v>
      </c>
      <c r="F841" s="2" t="n">
        <v>2</v>
      </c>
      <c r="G841" s="4" t="n">
        <v>2</v>
      </c>
      <c r="H841" s="13" t="n"/>
      <c r="I841" s="15" t="n"/>
      <c r="J841" s="19" t="n">
        <v>2</v>
      </c>
      <c r="K841" s="2" t="inlineStr">
        <is>
          <t>marker_486_837611.png</t>
        </is>
      </c>
      <c r="L841" s="11">
        <f>HYPERLINK("2\1\" &amp; K841, "Ver Imagen")</f>
        <v/>
      </c>
      <c r="M841" t="inlineStr">
        <is>
          <t>Moda</t>
        </is>
      </c>
    </row>
    <row r="842">
      <c r="A842" t="n">
        <v>841</v>
      </c>
      <c r="B842" t="inlineStr">
        <is>
          <t>A-495R__104</t>
        </is>
      </c>
      <c r="C842" s="1" t="n">
        <v>37.4639454225</v>
      </c>
      <c r="D842" s="1" t="n">
        <v>-7.1186096631</v>
      </c>
      <c r="E842" s="3" t="n">
        <v>1</v>
      </c>
      <c r="F842" s="2" t="n">
        <v>2</v>
      </c>
      <c r="G842" s="4" t="n">
        <v>2</v>
      </c>
      <c r="H842" s="13" t="n"/>
      <c r="I842" s="15" t="n"/>
      <c r="J842" s="19" t="n">
        <v>2</v>
      </c>
      <c r="K842" s="2" t="inlineStr">
        <is>
          <t>marker_318_895824.png</t>
        </is>
      </c>
      <c r="L842" s="11">
        <f>HYPERLINK("2\1\" &amp; K842, "Ver Imagen")</f>
        <v/>
      </c>
      <c r="M842" t="inlineStr">
        <is>
          <t>Moda</t>
        </is>
      </c>
    </row>
    <row r="843">
      <c r="A843" t="n">
        <v>842</v>
      </c>
      <c r="B843" t="inlineStr">
        <is>
          <t>A-495R__102</t>
        </is>
      </c>
      <c r="C843" s="1" t="n">
        <v>37.4636555763</v>
      </c>
      <c r="D843" s="1" t="n">
        <v>-7.11829904278</v>
      </c>
      <c r="E843" s="3" t="n">
        <v>1</v>
      </c>
      <c r="F843" s="2" t="n">
        <v>2</v>
      </c>
      <c r="G843" s="4" t="n">
        <v>2</v>
      </c>
      <c r="H843" s="13" t="n"/>
      <c r="I843" s="15" t="n"/>
      <c r="J843" s="19" t="n">
        <v>2</v>
      </c>
      <c r="K843" s="2" t="inlineStr">
        <is>
          <t>marker_940_896575.png</t>
        </is>
      </c>
      <c r="L843" s="11">
        <f>HYPERLINK("2\1\" &amp; K843, "Ver Imagen")</f>
        <v/>
      </c>
      <c r="M843" t="inlineStr">
        <is>
          <t>Moda</t>
        </is>
      </c>
    </row>
    <row r="844">
      <c r="A844" t="n">
        <v>843</v>
      </c>
      <c r="B844" t="inlineStr">
        <is>
          <t>A-495R__98</t>
        </is>
      </c>
      <c r="C844" s="1" t="n">
        <v>37.4629540331</v>
      </c>
      <c r="D844" s="1" t="n">
        <v>-7.11773601163</v>
      </c>
      <c r="E844" s="3" t="n">
        <v>1</v>
      </c>
      <c r="F844" s="2" t="n">
        <v>2</v>
      </c>
      <c r="G844" s="4" t="n">
        <v>2</v>
      </c>
      <c r="H844" s="13" t="n"/>
      <c r="I844" s="15" t="n"/>
      <c r="J844" s="19" t="n">
        <v>2</v>
      </c>
      <c r="K844" s="2" t="inlineStr">
        <is>
          <t>marker_898_906510.png</t>
        </is>
      </c>
      <c r="L844" s="11">
        <f>HYPERLINK("2\1\" &amp; K844, "Ver Imagen")</f>
        <v/>
      </c>
      <c r="M844" t="inlineStr">
        <is>
          <t>Moda</t>
        </is>
      </c>
    </row>
    <row r="845">
      <c r="A845" t="n">
        <v>844</v>
      </c>
      <c r="B845" t="inlineStr">
        <is>
          <t>A-495R__96</t>
        </is>
      </c>
      <c r="C845" s="1" t="n">
        <v>37.4625984905</v>
      </c>
      <c r="D845" s="1" t="n">
        <v>-7.11751239989</v>
      </c>
      <c r="E845" s="3" t="n">
        <v>1</v>
      </c>
      <c r="F845" s="2" t="n">
        <v>2</v>
      </c>
      <c r="G845" s="4" t="n">
        <v>2</v>
      </c>
      <c r="H845" s="13" t="n"/>
      <c r="I845" s="15" t="n"/>
      <c r="J845" s="19" t="n">
        <v>2</v>
      </c>
      <c r="K845" s="2" t="inlineStr">
        <is>
          <t>marker_387_906548.png</t>
        </is>
      </c>
      <c r="L845" s="11">
        <f>HYPERLINK("2\1\" &amp; K845, "Ver Imagen")</f>
        <v/>
      </c>
      <c r="M845" t="inlineStr">
        <is>
          <t>Moda</t>
        </is>
      </c>
    </row>
    <row r="846">
      <c r="A846" t="n">
        <v>845</v>
      </c>
      <c r="B846" t="inlineStr">
        <is>
          <t>A-495R__89</t>
        </is>
      </c>
      <c r="C846" s="1" t="n">
        <v>37.4614895475</v>
      </c>
      <c r="D846" s="1" t="n">
        <v>-7.11646630391</v>
      </c>
      <c r="E846" s="3" t="n">
        <v>1</v>
      </c>
      <c r="F846" s="2" t="n">
        <v>2</v>
      </c>
      <c r="G846" s="4" t="n">
        <v>2</v>
      </c>
      <c r="H846" s="13" t="n"/>
      <c r="I846" s="15" t="n"/>
      <c r="J846" s="19" t="n">
        <v>2</v>
      </c>
      <c r="K846" s="2" t="inlineStr">
        <is>
          <t>marker_164_906629.png</t>
        </is>
      </c>
      <c r="L846" s="11">
        <f>HYPERLINK("2\1\" &amp; K846, "Ver Imagen")</f>
        <v/>
      </c>
      <c r="M846" t="inlineStr">
        <is>
          <t>Moda</t>
        </is>
      </c>
    </row>
    <row r="847">
      <c r="A847" t="n">
        <v>846</v>
      </c>
      <c r="B847" t="inlineStr">
        <is>
          <t>A-495R__86</t>
        </is>
      </c>
      <c r="C847" s="1" t="n">
        <v>37.4610603031</v>
      </c>
      <c r="D847" s="1" t="n">
        <v>-7.1159471335</v>
      </c>
      <c r="E847" s="3" t="n">
        <v>1</v>
      </c>
      <c r="F847" s="2" t="n">
        <v>2</v>
      </c>
      <c r="G847" s="4" t="n">
        <v>2</v>
      </c>
      <c r="H847" s="13" t="n"/>
      <c r="I847" s="15" t="n"/>
      <c r="J847" s="19" t="n">
        <v>2</v>
      </c>
      <c r="K847" s="2" t="inlineStr">
        <is>
          <t>marker_569_906659.png</t>
        </is>
      </c>
      <c r="L847" s="11">
        <f>HYPERLINK("2\1\" &amp; K847, "Ver Imagen")</f>
        <v/>
      </c>
      <c r="M847" t="inlineStr">
        <is>
          <t>Moda</t>
        </is>
      </c>
    </row>
    <row r="848">
      <c r="A848" t="n">
        <v>847</v>
      </c>
      <c r="B848" t="inlineStr">
        <is>
          <t>A-495R__85</t>
        </is>
      </c>
      <c r="C848" s="1" t="n">
        <v>37.4609061271</v>
      </c>
      <c r="D848" s="1" t="n">
        <v>-7.11577916334</v>
      </c>
      <c r="E848" s="3" t="n">
        <v>1</v>
      </c>
      <c r="F848" s="2" t="n">
        <v>2</v>
      </c>
      <c r="G848" s="4" t="n">
        <v>2</v>
      </c>
      <c r="H848" s="13" t="n"/>
      <c r="I848" s="15" t="n"/>
      <c r="J848" s="19" t="n">
        <v>2</v>
      </c>
      <c r="K848" s="2" t="inlineStr">
        <is>
          <t>marker_185_906667.png</t>
        </is>
      </c>
      <c r="L848" s="11">
        <f>HYPERLINK("2\1\" &amp; K848, "Ver Imagen")</f>
        <v/>
      </c>
      <c r="M848" t="inlineStr">
        <is>
          <t>Moda</t>
        </is>
      </c>
    </row>
    <row r="849">
      <c r="A849" t="n">
        <v>848</v>
      </c>
      <c r="B849" t="inlineStr">
        <is>
          <t>A-495R__84</t>
        </is>
      </c>
      <c r="C849" s="1" t="n">
        <v>37.4607113219</v>
      </c>
      <c r="D849" s="1" t="n">
        <v>-7.11558643814</v>
      </c>
      <c r="E849" s="3" t="n">
        <v>1</v>
      </c>
      <c r="F849" s="2" t="n">
        <v>2</v>
      </c>
      <c r="G849" s="4" t="n">
        <v>2</v>
      </c>
      <c r="H849" s="13" t="n"/>
      <c r="I849" s="15" t="n"/>
      <c r="J849" s="19" t="n">
        <v>2</v>
      </c>
      <c r="K849" s="2" t="inlineStr">
        <is>
          <t>marker_105_906676.png</t>
        </is>
      </c>
      <c r="L849" s="11">
        <f>HYPERLINK("2\1\" &amp; K849, "Ver Imagen")</f>
        <v/>
      </c>
      <c r="M849" t="inlineStr">
        <is>
          <t>Moda</t>
        </is>
      </c>
    </row>
    <row r="850">
      <c r="A850" t="n">
        <v>849</v>
      </c>
      <c r="B850" t="inlineStr">
        <is>
          <t>A-495R__83</t>
        </is>
      </c>
      <c r="C850" s="1" t="n">
        <v>37.4605541921</v>
      </c>
      <c r="D850" s="1" t="n">
        <v>-7.11545385921</v>
      </c>
      <c r="E850" s="3" t="n">
        <v>1</v>
      </c>
      <c r="F850" s="2" t="n">
        <v>2</v>
      </c>
      <c r="G850" s="4" t="n">
        <v>2</v>
      </c>
      <c r="H850" s="13" t="n"/>
      <c r="I850" s="15" t="n"/>
      <c r="J850" s="19" t="n">
        <v>2</v>
      </c>
      <c r="K850" s="2" t="inlineStr">
        <is>
          <t>marker_932_906687.png</t>
        </is>
      </c>
      <c r="L850" s="11">
        <f>HYPERLINK("2\1\" &amp; K850, "Ver Imagen")</f>
        <v/>
      </c>
      <c r="M850" t="inlineStr">
        <is>
          <t>Moda</t>
        </is>
      </c>
    </row>
    <row r="851">
      <c r="A851" t="n">
        <v>850</v>
      </c>
      <c r="B851" t="inlineStr">
        <is>
          <t>A-495R__82</t>
        </is>
      </c>
      <c r="C851" s="1" t="n">
        <v>37.4603861769</v>
      </c>
      <c r="D851" s="1" t="n">
        <v>-7.11533620938</v>
      </c>
      <c r="E851" s="3" t="n">
        <v>1</v>
      </c>
      <c r="F851" s="2" t="n">
        <v>2</v>
      </c>
      <c r="G851" s="4" t="n">
        <v>2</v>
      </c>
      <c r="H851" s="13" t="n"/>
      <c r="I851" s="15" t="n"/>
      <c r="J851" s="19" t="n">
        <v>2</v>
      </c>
      <c r="K851" s="2" t="inlineStr">
        <is>
          <t>marker_114_906697.png</t>
        </is>
      </c>
      <c r="L851" s="11">
        <f>HYPERLINK("2\1\" &amp; K851, "Ver Imagen")</f>
        <v/>
      </c>
      <c r="M851" t="inlineStr">
        <is>
          <t>Moda</t>
        </is>
      </c>
    </row>
    <row r="852">
      <c r="A852" t="n">
        <v>851</v>
      </c>
      <c r="B852" t="inlineStr">
        <is>
          <t>A-495R__81</t>
        </is>
      </c>
      <c r="C852" s="1" t="n">
        <v>37.4602001226</v>
      </c>
      <c r="D852" s="1" t="n">
        <v>-7.11522394701</v>
      </c>
      <c r="E852" s="3" t="n">
        <v>1</v>
      </c>
      <c r="F852" s="2" t="n">
        <v>2</v>
      </c>
      <c r="G852" s="4" t="n">
        <v>2</v>
      </c>
      <c r="H852" s="13" t="n"/>
      <c r="I852" s="15" t="n"/>
      <c r="J852" s="19" t="n">
        <v>2</v>
      </c>
      <c r="K852" s="2" t="inlineStr">
        <is>
          <t>marker_900_906705.png</t>
        </is>
      </c>
      <c r="L852" s="11">
        <f>HYPERLINK("2\1\" &amp; K852, "Ver Imagen")</f>
        <v/>
      </c>
      <c r="M852" t="inlineStr">
        <is>
          <t>Moda</t>
        </is>
      </c>
    </row>
    <row r="853">
      <c r="A853" t="n">
        <v>852</v>
      </c>
      <c r="B853" t="inlineStr">
        <is>
          <t>A-495R__78</t>
        </is>
      </c>
      <c r="C853" s="1" t="n">
        <v>37.4596178008</v>
      </c>
      <c r="D853" s="1" t="n">
        <v>-7.11498082622</v>
      </c>
      <c r="E853" s="3" t="n">
        <v>1</v>
      </c>
      <c r="F853" s="2" t="n">
        <v>2</v>
      </c>
      <c r="G853" s="4" t="n">
        <v>2</v>
      </c>
      <c r="H853" s="13" t="n"/>
      <c r="I853" s="15" t="n"/>
      <c r="J853" s="19" t="n">
        <v>2</v>
      </c>
      <c r="K853" s="2" t="inlineStr">
        <is>
          <t>marker_212_906744.png</t>
        </is>
      </c>
      <c r="L853" s="11">
        <f>HYPERLINK("2\1\" &amp; K853, "Ver Imagen")</f>
        <v/>
      </c>
      <c r="M853" t="inlineStr">
        <is>
          <t>Moda</t>
        </is>
      </c>
    </row>
    <row r="854">
      <c r="A854" t="n">
        <v>853</v>
      </c>
      <c r="B854" t="inlineStr">
        <is>
          <t>A-495R__74</t>
        </is>
      </c>
      <c r="C854" s="1" t="n">
        <v>37.4588476746</v>
      </c>
      <c r="D854" s="1" t="n">
        <v>-7.11474921879</v>
      </c>
      <c r="E854" s="3" t="n">
        <v>1</v>
      </c>
      <c r="F854" s="2" t="n">
        <v>2</v>
      </c>
      <c r="G854" s="4" t="n">
        <v>2</v>
      </c>
      <c r="H854" s="13" t="n"/>
      <c r="I854" s="15" t="n"/>
      <c r="J854" s="19" t="n">
        <v>2</v>
      </c>
      <c r="K854" s="2" t="inlineStr">
        <is>
          <t>marker_911_935170.png</t>
        </is>
      </c>
      <c r="L854" s="11">
        <f>HYPERLINK("2\1\" &amp; K854, "Ver Imagen")</f>
        <v/>
      </c>
      <c r="M854" t="inlineStr">
        <is>
          <t>Moda</t>
        </is>
      </c>
    </row>
    <row r="855">
      <c r="A855" t="n">
        <v>854</v>
      </c>
      <c r="B855" t="inlineStr">
        <is>
          <t>A-495R__73</t>
        </is>
      </c>
      <c r="C855" s="1" t="n">
        <v>37.4586817433</v>
      </c>
      <c r="D855" s="1" t="n">
        <v>-7.11467350452</v>
      </c>
      <c r="E855" s="3" t="n">
        <v>1</v>
      </c>
      <c r="F855" s="2" t="n">
        <v>2</v>
      </c>
      <c r="G855" s="4" t="n">
        <v>2</v>
      </c>
      <c r="H855" s="13" t="n"/>
      <c r="I855" s="15" t="n"/>
      <c r="J855" s="19" t="n">
        <v>2</v>
      </c>
      <c r="K855" s="2" t="inlineStr">
        <is>
          <t>marker_373_935182.png</t>
        </is>
      </c>
      <c r="L855" s="11">
        <f>HYPERLINK("2\1\" &amp; K855, "Ver Imagen")</f>
        <v/>
      </c>
      <c r="M855" t="inlineStr">
        <is>
          <t>Moda</t>
        </is>
      </c>
    </row>
    <row r="856">
      <c r="A856" t="n">
        <v>855</v>
      </c>
      <c r="B856" t="inlineStr">
        <is>
          <t>A-5050__152</t>
        </is>
      </c>
      <c r="C856" s="1" t="n">
        <v>37.1929290907</v>
      </c>
      <c r="D856" s="1" t="n">
        <v>-6.9951238774</v>
      </c>
      <c r="E856" s="3" t="n">
        <v>1</v>
      </c>
      <c r="F856" s="2" t="n">
        <v>2</v>
      </c>
      <c r="G856" s="4" t="n">
        <v>2</v>
      </c>
      <c r="H856" s="13" t="n"/>
      <c r="I856" s="15" t="n"/>
      <c r="J856" s="19" t="n">
        <v>2</v>
      </c>
      <c r="K856" s="2" t="inlineStr">
        <is>
          <t>marker_745_945351.png</t>
        </is>
      </c>
      <c r="L856" s="11">
        <f>HYPERLINK("2\1\" &amp; K856, "Ver Imagen")</f>
        <v/>
      </c>
      <c r="M856" t="inlineStr">
        <is>
          <t>Moda</t>
        </is>
      </c>
    </row>
    <row r="857">
      <c r="A857" t="n">
        <v>856</v>
      </c>
      <c r="B857" t="inlineStr">
        <is>
          <t>A-5050__132</t>
        </is>
      </c>
      <c r="C857" s="1" t="n">
        <v>37.1947855806</v>
      </c>
      <c r="D857" s="1" t="n">
        <v>-6.99961493237</v>
      </c>
      <c r="E857" s="3" t="n">
        <v>1</v>
      </c>
      <c r="F857" s="2" t="n">
        <v>2</v>
      </c>
      <c r="G857" s="4" t="n">
        <v>2</v>
      </c>
      <c r="H857" s="13" t="n"/>
      <c r="I857" s="15" t="n"/>
      <c r="J857" s="19" t="n">
        <v>2</v>
      </c>
      <c r="K857" s="2" t="inlineStr">
        <is>
          <t>marker_804_945925.png</t>
        </is>
      </c>
      <c r="L857" s="11">
        <f>HYPERLINK("2\1\" &amp; K857, "Ver Imagen")</f>
        <v/>
      </c>
      <c r="M857" t="inlineStr">
        <is>
          <t>Moda</t>
        </is>
      </c>
    </row>
    <row r="858">
      <c r="A858" t="n">
        <v>857</v>
      </c>
      <c r="B858" t="inlineStr">
        <is>
          <t>A-5052__4</t>
        </is>
      </c>
      <c r="C858" s="1" t="n">
        <v>37.2184407744</v>
      </c>
      <c r="D858" s="1" t="n">
        <v>-7.12496584197</v>
      </c>
      <c r="E858" s="3" t="n">
        <v>1</v>
      </c>
      <c r="F858" s="2" t="n">
        <v>2</v>
      </c>
      <c r="G858" s="4" t="n">
        <v>2</v>
      </c>
      <c r="H858" s="13" t="n"/>
      <c r="I858" s="15" t="n"/>
      <c r="J858" s="19" t="n">
        <v>2</v>
      </c>
      <c r="K858" s="2" t="inlineStr">
        <is>
          <t>marker_893_949904.png</t>
        </is>
      </c>
      <c r="L858" s="11">
        <f>HYPERLINK("2\1\" &amp; K858, "Ver Imagen")</f>
        <v/>
      </c>
      <c r="M858" t="inlineStr">
        <is>
          <t>Moda</t>
        </is>
      </c>
    </row>
    <row r="859">
      <c r="A859" t="n">
        <v>858</v>
      </c>
      <c r="B859" t="inlineStr">
        <is>
          <t>A-5052__5</t>
        </is>
      </c>
      <c r="C859" s="1" t="n">
        <v>37.2184036945</v>
      </c>
      <c r="D859" s="1" t="n">
        <v>-7.12472093178</v>
      </c>
      <c r="E859" s="3" t="n">
        <v>1</v>
      </c>
      <c r="F859" s="2" t="n">
        <v>2</v>
      </c>
      <c r="G859" s="4" t="n">
        <v>2</v>
      </c>
      <c r="H859" s="13" t="n"/>
      <c r="I859" s="15" t="n"/>
      <c r="J859" s="19" t="n">
        <v>2</v>
      </c>
      <c r="K859" s="2" t="inlineStr">
        <is>
          <t>marker_380_949914.png</t>
        </is>
      </c>
      <c r="L859" s="11">
        <f>HYPERLINK("2\1\" &amp; K859, "Ver Imagen")</f>
        <v/>
      </c>
      <c r="M859" t="inlineStr">
        <is>
          <t>Moda</t>
        </is>
      </c>
    </row>
    <row r="860">
      <c r="A860" t="n">
        <v>859</v>
      </c>
      <c r="B860" t="inlineStr">
        <is>
          <t>A-5052__7</t>
        </is>
      </c>
      <c r="C860" s="1" t="n">
        <v>37.2183706786</v>
      </c>
      <c r="D860" s="1" t="n">
        <v>-7.12419982039</v>
      </c>
      <c r="E860" s="3" t="n">
        <v>1</v>
      </c>
      <c r="F860" s="2" t="n">
        <v>2</v>
      </c>
      <c r="G860" s="4" t="n">
        <v>2</v>
      </c>
      <c r="H860" s="13" t="n"/>
      <c r="I860" s="15" t="n"/>
      <c r="J860" s="19" t="n">
        <v>2</v>
      </c>
      <c r="K860" s="2" t="inlineStr">
        <is>
          <t>marker_294_949945.png</t>
        </is>
      </c>
      <c r="L860" s="11">
        <f>HYPERLINK("2\1\" &amp; K860, "Ver Imagen")</f>
        <v/>
      </c>
      <c r="M860" t="inlineStr">
        <is>
          <t>Moda</t>
        </is>
      </c>
    </row>
    <row r="861">
      <c r="A861" t="n">
        <v>860</v>
      </c>
      <c r="B861" t="inlineStr">
        <is>
          <t>A-5052__13</t>
        </is>
      </c>
      <c r="C861" s="1" t="n">
        <v>37.2181292234</v>
      </c>
      <c r="D861" s="1" t="n">
        <v>-7.12271604646</v>
      </c>
      <c r="E861" s="3" t="n">
        <v>1</v>
      </c>
      <c r="F861" s="2" t="n">
        <v>2</v>
      </c>
      <c r="G861" s="4" t="n">
        <v>2</v>
      </c>
      <c r="H861" s="13" t="n"/>
      <c r="I861" s="15" t="n"/>
      <c r="J861" s="19" t="n">
        <v>2</v>
      </c>
      <c r="K861" s="2" t="inlineStr">
        <is>
          <t>marker_807_950135.png</t>
        </is>
      </c>
      <c r="L861" s="11">
        <f>HYPERLINK("2\1\" &amp; K861, "Ver Imagen")</f>
        <v/>
      </c>
      <c r="M861" t="inlineStr">
        <is>
          <t>Moda</t>
        </is>
      </c>
    </row>
    <row r="862">
      <c r="A862" t="n">
        <v>861</v>
      </c>
      <c r="B862" t="inlineStr">
        <is>
          <t>A-5052__22</t>
        </is>
      </c>
      <c r="C862" s="1" t="n">
        <v>37.2180338209</v>
      </c>
      <c r="D862" s="1" t="n">
        <v>-7.12052209373</v>
      </c>
      <c r="E862" s="3" t="n">
        <v>1</v>
      </c>
      <c r="F862" s="2" t="n">
        <v>2</v>
      </c>
      <c r="G862" s="4" t="n">
        <v>2</v>
      </c>
      <c r="H862" s="13" t="n"/>
      <c r="I862" s="15" t="n"/>
      <c r="J862" s="19" t="n">
        <v>2</v>
      </c>
      <c r="K862" s="2" t="inlineStr">
        <is>
          <t>marker_715_951496.png</t>
        </is>
      </c>
      <c r="L862" s="11">
        <f>HYPERLINK("2\1\" &amp; K862, "Ver Imagen")</f>
        <v/>
      </c>
      <c r="M862" t="inlineStr">
        <is>
          <t>Moda</t>
        </is>
      </c>
    </row>
    <row r="863">
      <c r="A863" t="n">
        <v>862</v>
      </c>
      <c r="B863" t="inlineStr">
        <is>
          <t>A-5052__27</t>
        </is>
      </c>
      <c r="C863" s="1" t="n">
        <v>37.218123278</v>
      </c>
      <c r="D863" s="1" t="n">
        <v>-7.11924300987</v>
      </c>
      <c r="E863" s="3" t="n">
        <v>1</v>
      </c>
      <c r="F863" s="2" t="n">
        <v>2</v>
      </c>
      <c r="G863" s="4" t="n">
        <v>2</v>
      </c>
      <c r="H863" s="13" t="n"/>
      <c r="I863" s="15" t="n"/>
      <c r="J863" s="19" t="n">
        <v>2</v>
      </c>
      <c r="K863" s="2" t="inlineStr">
        <is>
          <t>marker_142_951564.png</t>
        </is>
      </c>
      <c r="L863" s="11">
        <f>HYPERLINK("2\1\" &amp; K863, "Ver Imagen")</f>
        <v/>
      </c>
      <c r="M863" t="inlineStr">
        <is>
          <t>Moda</t>
        </is>
      </c>
    </row>
    <row r="864">
      <c r="A864" t="n">
        <v>863</v>
      </c>
      <c r="B864" t="inlineStr">
        <is>
          <t>A-5052__34</t>
        </is>
      </c>
      <c r="C864" s="1" t="n">
        <v>37.2179657437</v>
      </c>
      <c r="D864" s="1" t="n">
        <v>-7.1174465506</v>
      </c>
      <c r="E864" s="3" t="n">
        <v>1</v>
      </c>
      <c r="F864" s="2" t="n">
        <v>2</v>
      </c>
      <c r="G864" s="4" t="n">
        <v>2</v>
      </c>
      <c r="H864" s="13" t="n"/>
      <c r="I864" s="15" t="n"/>
      <c r="J864" s="19" t="n">
        <v>2</v>
      </c>
      <c r="K864" s="2" t="inlineStr">
        <is>
          <t>marker_510_951749.png</t>
        </is>
      </c>
      <c r="L864" s="11">
        <f>HYPERLINK("2\1\" &amp; K864, "Ver Imagen")</f>
        <v/>
      </c>
      <c r="M864" t="inlineStr">
        <is>
          <t>Moda</t>
        </is>
      </c>
    </row>
    <row r="865">
      <c r="A865" t="n">
        <v>864</v>
      </c>
      <c r="B865" t="inlineStr">
        <is>
          <t>A-5052__43</t>
        </is>
      </c>
      <c r="C865" s="1" t="n">
        <v>37.2176629026</v>
      </c>
      <c r="D865" s="1" t="n">
        <v>-7.11523086551</v>
      </c>
      <c r="E865" s="3" t="n">
        <v>1</v>
      </c>
      <c r="F865" s="2" t="n">
        <v>2</v>
      </c>
      <c r="G865" s="4" t="n">
        <v>2</v>
      </c>
      <c r="H865" s="13" t="n"/>
      <c r="I865" s="15" t="n"/>
      <c r="J865" s="19" t="n">
        <v>2</v>
      </c>
      <c r="K865" s="2" t="inlineStr">
        <is>
          <t>marker_785_956844.png</t>
        </is>
      </c>
      <c r="L865" s="11">
        <f>HYPERLINK("2\1\" &amp; K865, "Ver Imagen")</f>
        <v/>
      </c>
      <c r="M865" t="inlineStr">
        <is>
          <t>Moda</t>
        </is>
      </c>
    </row>
    <row r="866">
      <c r="A866" t="n">
        <v>865</v>
      </c>
      <c r="B866" t="inlineStr">
        <is>
          <t>A-5052__44</t>
        </is>
      </c>
      <c r="C866" s="1" t="n">
        <v>37.21763133</v>
      </c>
      <c r="D866" s="1" t="n">
        <v>-7.11499958236</v>
      </c>
      <c r="E866" s="3" t="n">
        <v>1</v>
      </c>
      <c r="F866" s="2" t="n">
        <v>2</v>
      </c>
      <c r="G866" s="4" t="n">
        <v>2</v>
      </c>
      <c r="H866" s="13" t="n"/>
      <c r="I866" s="15" t="n"/>
      <c r="J866" s="19" t="n">
        <v>2</v>
      </c>
      <c r="K866" s="2" t="inlineStr">
        <is>
          <t>marker_631_956855.png</t>
        </is>
      </c>
      <c r="L866" s="11">
        <f>HYPERLINK("2\1\" &amp; K866, "Ver Imagen")</f>
        <v/>
      </c>
      <c r="M866" t="inlineStr">
        <is>
          <t>Moda</t>
        </is>
      </c>
    </row>
    <row r="867">
      <c r="A867" t="n">
        <v>866</v>
      </c>
      <c r="B867" t="inlineStr">
        <is>
          <t>A-5052__46</t>
        </is>
      </c>
      <c r="C867" s="1" t="n">
        <v>37.2175684342</v>
      </c>
      <c r="D867" s="1" t="n">
        <v>-7.11450559167</v>
      </c>
      <c r="E867" s="3" t="n">
        <v>1</v>
      </c>
      <c r="F867" s="2" t="n">
        <v>2</v>
      </c>
      <c r="G867" s="4" t="n">
        <v>2</v>
      </c>
      <c r="H867" s="13" t="n"/>
      <c r="I867" s="15" t="n"/>
      <c r="J867" s="19" t="n">
        <v>2</v>
      </c>
      <c r="K867" s="2" t="inlineStr">
        <is>
          <t>marker_193_956878.png</t>
        </is>
      </c>
      <c r="L867" s="11">
        <f>HYPERLINK("2\1\" &amp; K867, "Ver Imagen")</f>
        <v/>
      </c>
      <c r="M867" t="inlineStr">
        <is>
          <t>Moda</t>
        </is>
      </c>
    </row>
    <row r="868">
      <c r="A868" t="n">
        <v>867</v>
      </c>
      <c r="B868" t="inlineStr">
        <is>
          <t>A-5052__47</t>
        </is>
      </c>
      <c r="C868" s="1" t="n">
        <v>37.2175366611</v>
      </c>
      <c r="D868" s="1" t="n">
        <v>-7.11421819017</v>
      </c>
      <c r="E868" s="3" t="n">
        <v>1</v>
      </c>
      <c r="F868" s="2" t="n">
        <v>2</v>
      </c>
      <c r="G868" s="4" t="n">
        <v>2</v>
      </c>
      <c r="H868" s="13" t="n"/>
      <c r="I868" s="15" t="n"/>
      <c r="J868" s="19" t="n">
        <v>2</v>
      </c>
      <c r="K868" s="2" t="inlineStr">
        <is>
          <t>marker_244_956892.png</t>
        </is>
      </c>
      <c r="L868" s="11">
        <f>HYPERLINK("2\1\" &amp; K868, "Ver Imagen")</f>
        <v/>
      </c>
      <c r="M868" t="inlineStr">
        <is>
          <t>Moda</t>
        </is>
      </c>
    </row>
    <row r="869">
      <c r="A869" t="n">
        <v>868</v>
      </c>
      <c r="B869" t="inlineStr">
        <is>
          <t>A-5052__56</t>
        </is>
      </c>
      <c r="C869" s="1" t="n">
        <v>37.2175713343</v>
      </c>
      <c r="D869" s="1" t="n">
        <v>-7.11198770897</v>
      </c>
      <c r="E869" s="3" t="n">
        <v>1</v>
      </c>
      <c r="F869" s="2" t="n">
        <v>2</v>
      </c>
      <c r="G869" s="4" t="n">
        <v>2</v>
      </c>
      <c r="H869" s="13" t="n"/>
      <c r="I869" s="15" t="n"/>
      <c r="J869" s="19" t="n">
        <v>2</v>
      </c>
      <c r="K869" s="2" t="inlineStr">
        <is>
          <t>marker_751_956992.png</t>
        </is>
      </c>
      <c r="L869" s="11">
        <f>HYPERLINK("2\1\" &amp; K869, "Ver Imagen")</f>
        <v/>
      </c>
      <c r="M869" t="inlineStr">
        <is>
          <t>Moda</t>
        </is>
      </c>
    </row>
    <row r="870">
      <c r="A870" t="n">
        <v>869</v>
      </c>
      <c r="B870" t="inlineStr">
        <is>
          <t>A-5052__61</t>
        </is>
      </c>
      <c r="C870" s="1" t="n">
        <v>37.2176288057</v>
      </c>
      <c r="D870" s="1" t="n">
        <v>-7.1107175697</v>
      </c>
      <c r="E870" s="3" t="n">
        <v>1</v>
      </c>
      <c r="F870" s="2" t="n">
        <v>2</v>
      </c>
      <c r="G870" s="4" t="n">
        <v>2</v>
      </c>
      <c r="H870" s="13" t="n"/>
      <c r="I870" s="15" t="n"/>
      <c r="J870" s="19" t="n">
        <v>2</v>
      </c>
      <c r="K870" s="2" t="inlineStr">
        <is>
          <t>marker_959_957077.png</t>
        </is>
      </c>
      <c r="L870" s="11">
        <f>HYPERLINK("2\1\" &amp; K870, "Ver Imagen")</f>
        <v/>
      </c>
      <c r="M870" t="inlineStr">
        <is>
          <t>Moda</t>
        </is>
      </c>
    </row>
    <row r="871">
      <c r="A871" t="n">
        <v>870</v>
      </c>
      <c r="B871" t="inlineStr">
        <is>
          <t>A-5052__64</t>
        </is>
      </c>
      <c r="C871" s="1" t="n">
        <v>37.2176546955</v>
      </c>
      <c r="D871" s="1" t="n">
        <v>-7.10994987241</v>
      </c>
      <c r="E871" s="3" t="n">
        <v>1</v>
      </c>
      <c r="F871" s="2" t="n">
        <v>2</v>
      </c>
      <c r="G871" s="4" t="n">
        <v>2</v>
      </c>
      <c r="H871" s="13" t="n"/>
      <c r="I871" s="15" t="n"/>
      <c r="J871" s="19" t="n">
        <v>2</v>
      </c>
      <c r="K871" s="2" t="inlineStr">
        <is>
          <t>marker_302_957111.png</t>
        </is>
      </c>
      <c r="L871" s="11">
        <f>HYPERLINK("2\1\" &amp; K871, "Ver Imagen")</f>
        <v/>
      </c>
      <c r="M871" t="inlineStr">
        <is>
          <t>Moda</t>
        </is>
      </c>
    </row>
    <row r="872">
      <c r="A872" t="n">
        <v>871</v>
      </c>
      <c r="B872" t="inlineStr">
        <is>
          <t>A-5052__65</t>
        </is>
      </c>
      <c r="C872" s="1" t="n">
        <v>37.2176532581</v>
      </c>
      <c r="D872" s="1" t="n">
        <v>-7.10968209496</v>
      </c>
      <c r="E872" s="3" t="n">
        <v>1</v>
      </c>
      <c r="F872" s="2" t="n">
        <v>2</v>
      </c>
      <c r="G872" s="4" t="n">
        <v>2</v>
      </c>
      <c r="H872" s="13" t="n"/>
      <c r="I872" s="15" t="n"/>
      <c r="J872" s="19" t="n">
        <v>2</v>
      </c>
      <c r="K872" s="2" t="inlineStr">
        <is>
          <t>marker_498_957120.png</t>
        </is>
      </c>
      <c r="L872" s="11">
        <f>HYPERLINK("2\1\" &amp; K872, "Ver Imagen")</f>
        <v/>
      </c>
      <c r="M872" t="inlineStr">
        <is>
          <t>Moda</t>
        </is>
      </c>
    </row>
    <row r="873">
      <c r="A873" t="n">
        <v>872</v>
      </c>
      <c r="B873" t="inlineStr">
        <is>
          <t>A-5052__68</t>
        </is>
      </c>
      <c r="C873" s="1" t="n">
        <v>37.2175970981</v>
      </c>
      <c r="D873" s="1" t="n">
        <v>-7.10895468033</v>
      </c>
      <c r="E873" s="3" t="n">
        <v>1</v>
      </c>
      <c r="F873" s="2" t="n">
        <v>2</v>
      </c>
      <c r="G873" s="4" t="n">
        <v>2</v>
      </c>
      <c r="H873" s="13" t="n"/>
      <c r="I873" s="15" t="n"/>
      <c r="J873" s="19" t="n">
        <v>2</v>
      </c>
      <c r="K873" s="2" t="inlineStr">
        <is>
          <t>marker_871_957151.png</t>
        </is>
      </c>
      <c r="L873" s="11">
        <f>HYPERLINK("2\1\" &amp; K873, "Ver Imagen")</f>
        <v/>
      </c>
      <c r="M873" t="inlineStr">
        <is>
          <t>Moda</t>
        </is>
      </c>
    </row>
    <row r="874">
      <c r="A874" t="n">
        <v>873</v>
      </c>
      <c r="B874" t="inlineStr">
        <is>
          <t>A-5052__70</t>
        </is>
      </c>
      <c r="C874" s="1" t="n">
        <v>37.2175286684</v>
      </c>
      <c r="D874" s="1" t="n">
        <v>-7.1084601884</v>
      </c>
      <c r="E874" s="3" t="n">
        <v>1</v>
      </c>
      <c r="F874" s="2" t="n">
        <v>2</v>
      </c>
      <c r="G874" s="4" t="n">
        <v>2</v>
      </c>
      <c r="H874" s="13" t="n"/>
      <c r="I874" s="15" t="n"/>
      <c r="J874" s="19" t="n">
        <v>2</v>
      </c>
      <c r="K874" s="2" t="inlineStr">
        <is>
          <t>marker_574_957177.png</t>
        </is>
      </c>
      <c r="L874" s="11">
        <f>HYPERLINK("2\1\" &amp; K874, "Ver Imagen")</f>
        <v/>
      </c>
      <c r="M874" t="inlineStr">
        <is>
          <t>Moda</t>
        </is>
      </c>
    </row>
    <row r="875">
      <c r="A875" t="n">
        <v>874</v>
      </c>
      <c r="B875" t="inlineStr">
        <is>
          <t>A-5052__73</t>
        </is>
      </c>
      <c r="C875" s="1" t="n">
        <v>37.2174162031</v>
      </c>
      <c r="D875" s="1" t="n">
        <v>-7.1077097267</v>
      </c>
      <c r="E875" s="3" t="n">
        <v>1</v>
      </c>
      <c r="F875" s="2" t="n">
        <v>2</v>
      </c>
      <c r="G875" s="4" t="n">
        <v>2</v>
      </c>
      <c r="H875" s="13" t="n"/>
      <c r="I875" s="15" t="n"/>
      <c r="J875" s="19" t="n">
        <v>2</v>
      </c>
      <c r="K875" s="2" t="inlineStr">
        <is>
          <t>marker_818_957207.png</t>
        </is>
      </c>
      <c r="L875" s="11">
        <f>HYPERLINK("2\1\" &amp; K875, "Ver Imagen")</f>
        <v/>
      </c>
      <c r="M875" t="inlineStr">
        <is>
          <t>Moda</t>
        </is>
      </c>
    </row>
    <row r="876">
      <c r="A876" t="n">
        <v>875</v>
      </c>
      <c r="B876" t="inlineStr">
        <is>
          <t>A-5052__74</t>
        </is>
      </c>
      <c r="C876" s="1" t="n">
        <v>37.2173783343</v>
      </c>
      <c r="D876" s="1" t="n">
        <v>-7.10745690042</v>
      </c>
      <c r="E876" s="3" t="n">
        <v>1</v>
      </c>
      <c r="F876" s="2" t="n">
        <v>2</v>
      </c>
      <c r="G876" s="4" t="n">
        <v>2</v>
      </c>
      <c r="H876" s="13" t="n"/>
      <c r="I876" s="15" t="n"/>
      <c r="J876" s="19" t="n">
        <v>2</v>
      </c>
      <c r="K876" s="2" t="inlineStr">
        <is>
          <t>marker_867_957217.png</t>
        </is>
      </c>
      <c r="L876" s="11">
        <f>HYPERLINK("2\1\" &amp; K876, "Ver Imagen")</f>
        <v/>
      </c>
      <c r="M876" t="inlineStr">
        <is>
          <t>Moda</t>
        </is>
      </c>
    </row>
    <row r="877">
      <c r="A877" t="n">
        <v>876</v>
      </c>
      <c r="B877" t="inlineStr">
        <is>
          <t>A-5052__75</t>
        </is>
      </c>
      <c r="C877" s="1" t="n">
        <v>37.2173468237</v>
      </c>
      <c r="D877" s="1" t="n">
        <v>-7.10724042805</v>
      </c>
      <c r="E877" s="3" t="n">
        <v>1</v>
      </c>
      <c r="F877" s="2" t="n">
        <v>2</v>
      </c>
      <c r="G877" s="4" t="n">
        <v>2</v>
      </c>
      <c r="H877" s="13" t="n"/>
      <c r="I877" s="15" t="n"/>
      <c r="J877" s="19" t="n">
        <v>2</v>
      </c>
      <c r="K877" s="2" t="inlineStr">
        <is>
          <t>marker_220_957229.png</t>
        </is>
      </c>
      <c r="L877" s="11">
        <f>HYPERLINK("2\1\" &amp; K877, "Ver Imagen")</f>
        <v/>
      </c>
      <c r="M877" t="inlineStr">
        <is>
          <t>Moda</t>
        </is>
      </c>
    </row>
    <row r="878">
      <c r="A878" t="n">
        <v>877</v>
      </c>
      <c r="B878" t="inlineStr">
        <is>
          <t>A-5052__86</t>
        </is>
      </c>
      <c r="C878" s="1" t="n">
        <v>37.217013742</v>
      </c>
      <c r="D878" s="1" t="n">
        <v>-7.10445253903</v>
      </c>
      <c r="E878" s="3" t="n">
        <v>1</v>
      </c>
      <c r="F878" s="2" t="n">
        <v>2</v>
      </c>
      <c r="G878" s="4" t="n">
        <v>2</v>
      </c>
      <c r="H878" s="13" t="n"/>
      <c r="I878" s="15" t="n"/>
      <c r="J878" s="19" t="n">
        <v>2</v>
      </c>
      <c r="K878" s="2" t="inlineStr">
        <is>
          <t>marker_801_957444.png</t>
        </is>
      </c>
      <c r="L878" s="11">
        <f>HYPERLINK("2\1\" &amp; K878, "Ver Imagen")</f>
        <v/>
      </c>
      <c r="M878" t="inlineStr">
        <is>
          <t>Moda</t>
        </is>
      </c>
    </row>
    <row r="879">
      <c r="A879" t="n">
        <v>878</v>
      </c>
      <c r="B879" t="inlineStr">
        <is>
          <t>A-5052__87</t>
        </is>
      </c>
      <c r="C879" s="1" t="n">
        <v>37.2169908949</v>
      </c>
      <c r="D879" s="1" t="n">
        <v>-7.10418744633</v>
      </c>
      <c r="E879" s="3" t="n">
        <v>1</v>
      </c>
      <c r="F879" s="2" t="n">
        <v>2</v>
      </c>
      <c r="G879" s="4" t="n">
        <v>2</v>
      </c>
      <c r="H879" s="13" t="n"/>
      <c r="I879" s="15" t="n"/>
      <c r="J879" s="19" t="n">
        <v>2</v>
      </c>
      <c r="K879" s="2" t="inlineStr">
        <is>
          <t>marker_919_957466.png</t>
        </is>
      </c>
      <c r="L879" s="11">
        <f>HYPERLINK("2\1\" &amp; K879, "Ver Imagen")</f>
        <v/>
      </c>
      <c r="M879" t="inlineStr">
        <is>
          <t>Moda</t>
        </is>
      </c>
    </row>
    <row r="880">
      <c r="A880" t="n">
        <v>879</v>
      </c>
      <c r="B880" t="inlineStr">
        <is>
          <t>A-5052__88</t>
        </is>
      </c>
      <c r="C880" s="1" t="n">
        <v>37.2169706008</v>
      </c>
      <c r="D880" s="1" t="n">
        <v>-7.10396958365</v>
      </c>
      <c r="E880" s="3" t="n">
        <v>1</v>
      </c>
      <c r="F880" s="2" t="n">
        <v>2</v>
      </c>
      <c r="G880" s="4" t="n">
        <v>2</v>
      </c>
      <c r="H880" s="13" t="n"/>
      <c r="I880" s="15" t="n"/>
      <c r="J880" s="19" t="n">
        <v>2</v>
      </c>
      <c r="K880" s="2" t="inlineStr">
        <is>
          <t>marker_681_957477.png</t>
        </is>
      </c>
      <c r="L880" s="11">
        <f>HYPERLINK("2\1\" &amp; K880, "Ver Imagen")</f>
        <v/>
      </c>
      <c r="M880" t="inlineStr">
        <is>
          <t>Moda</t>
        </is>
      </c>
    </row>
    <row r="881">
      <c r="A881" t="n">
        <v>880</v>
      </c>
      <c r="B881" t="inlineStr">
        <is>
          <t>A-5052__93</t>
        </is>
      </c>
      <c r="C881" s="1" t="n">
        <v>37.2168646474</v>
      </c>
      <c r="D881" s="1" t="n">
        <v>-7.102712065</v>
      </c>
      <c r="E881" s="3" t="n">
        <v>1</v>
      </c>
      <c r="F881" s="2" t="n">
        <v>2</v>
      </c>
      <c r="G881" s="4" t="n">
        <v>2</v>
      </c>
      <c r="H881" s="13" t="n"/>
      <c r="I881" s="15" t="n"/>
      <c r="J881" s="19" t="n">
        <v>2</v>
      </c>
      <c r="K881" s="2" t="inlineStr">
        <is>
          <t>marker_949_957537.png</t>
        </is>
      </c>
      <c r="L881" s="11">
        <f>HYPERLINK("2\1\" &amp; K881, "Ver Imagen")</f>
        <v/>
      </c>
      <c r="M881" t="inlineStr">
        <is>
          <t>Moda</t>
        </is>
      </c>
    </row>
    <row r="882">
      <c r="A882" t="n">
        <v>881</v>
      </c>
      <c r="B882" t="inlineStr">
        <is>
          <t>A-5052__95</t>
        </is>
      </c>
      <c r="C882" s="1" t="n">
        <v>37.2168178049</v>
      </c>
      <c r="D882" s="1" t="n">
        <v>-7.10220662143</v>
      </c>
      <c r="E882" s="3" t="n">
        <v>1</v>
      </c>
      <c r="F882" s="2" t="n">
        <v>2</v>
      </c>
      <c r="G882" s="4" t="n">
        <v>2</v>
      </c>
      <c r="H882" s="13" t="n"/>
      <c r="I882" s="15" t="n"/>
      <c r="J882" s="19" t="n">
        <v>2</v>
      </c>
      <c r="K882" s="2" t="inlineStr">
        <is>
          <t>marker_671_957602.png</t>
        </is>
      </c>
      <c r="L882" s="11">
        <f>HYPERLINK("2\1\" &amp; K882, "Ver Imagen")</f>
        <v/>
      </c>
      <c r="M882" t="inlineStr">
        <is>
          <t>Moda</t>
        </is>
      </c>
    </row>
    <row r="883">
      <c r="A883" t="n">
        <v>882</v>
      </c>
      <c r="B883" t="inlineStr">
        <is>
          <t>A-5052__97</t>
        </is>
      </c>
      <c r="C883" s="1" t="n">
        <v>37.2167792511</v>
      </c>
      <c r="D883" s="1" t="n">
        <v>-7.10167917434</v>
      </c>
      <c r="E883" s="3" t="n">
        <v>1</v>
      </c>
      <c r="F883" s="2" t="n">
        <v>2</v>
      </c>
      <c r="G883" s="4" t="n">
        <v>2</v>
      </c>
      <c r="H883" s="13" t="n"/>
      <c r="I883" s="15" t="n"/>
      <c r="J883" s="19" t="n">
        <v>2</v>
      </c>
      <c r="K883" s="2" t="inlineStr">
        <is>
          <t>marker_425_957623.png</t>
        </is>
      </c>
      <c r="L883" s="11">
        <f>HYPERLINK("2\1\" &amp; K883, "Ver Imagen")</f>
        <v/>
      </c>
      <c r="M883" t="inlineStr">
        <is>
          <t>Moda</t>
        </is>
      </c>
    </row>
    <row r="884">
      <c r="A884" t="n">
        <v>883</v>
      </c>
      <c r="B884" t="inlineStr">
        <is>
          <t>A-5052__100</t>
        </is>
      </c>
      <c r="C884" s="1" t="n">
        <v>37.216867725</v>
      </c>
      <c r="D884" s="1" t="n">
        <v>-7.10093160687</v>
      </c>
      <c r="E884" s="3" t="n">
        <v>1</v>
      </c>
      <c r="F884" s="2" t="n">
        <v>2</v>
      </c>
      <c r="G884" s="4" t="n">
        <v>2</v>
      </c>
      <c r="H884" s="13" t="n"/>
      <c r="I884" s="15" t="n"/>
      <c r="J884" s="19" t="n">
        <v>2</v>
      </c>
      <c r="K884" s="2" t="inlineStr">
        <is>
          <t>marker_779_957670.png</t>
        </is>
      </c>
      <c r="L884" s="11">
        <f>HYPERLINK("2\1\" &amp; K884, "Ver Imagen")</f>
        <v/>
      </c>
      <c r="M884" t="inlineStr">
        <is>
          <t>Moda</t>
        </is>
      </c>
    </row>
    <row r="885">
      <c r="A885" t="n">
        <v>884</v>
      </c>
      <c r="B885" t="inlineStr">
        <is>
          <t>A-5052__107</t>
        </is>
      </c>
      <c r="C885" s="1" t="n">
        <v>37.2170052622</v>
      </c>
      <c r="D885" s="1" t="n">
        <v>-7.09915709993</v>
      </c>
      <c r="E885" s="3" t="n">
        <v>1</v>
      </c>
      <c r="F885" s="2" t="n">
        <v>2</v>
      </c>
      <c r="G885" s="4" t="n">
        <v>2</v>
      </c>
      <c r="H885" s="13" t="n"/>
      <c r="I885" s="15" t="n"/>
      <c r="J885" s="19" t="n">
        <v>2</v>
      </c>
      <c r="K885" s="2" t="inlineStr">
        <is>
          <t>marker_231_957755.png</t>
        </is>
      </c>
      <c r="L885" s="11">
        <f>HYPERLINK("2\1\" &amp; K885, "Ver Imagen")</f>
        <v/>
      </c>
      <c r="M885" t="inlineStr">
        <is>
          <t>Moda</t>
        </is>
      </c>
    </row>
    <row r="886">
      <c r="A886" t="n">
        <v>885</v>
      </c>
      <c r="B886" t="inlineStr">
        <is>
          <t>A-5052__109</t>
        </is>
      </c>
      <c r="C886" s="1" t="n">
        <v>37.216957081</v>
      </c>
      <c r="D886" s="1" t="n">
        <v>-7.09867756113</v>
      </c>
      <c r="E886" s="3" t="n">
        <v>1</v>
      </c>
      <c r="F886" s="2" t="n">
        <v>2</v>
      </c>
      <c r="G886" s="4" t="n">
        <v>2</v>
      </c>
      <c r="H886" s="13" t="n"/>
      <c r="I886" s="15" t="n"/>
      <c r="J886" s="19" t="n">
        <v>2</v>
      </c>
      <c r="K886" s="2" t="inlineStr">
        <is>
          <t>marker_370_957777.png</t>
        </is>
      </c>
      <c r="L886" s="11">
        <f>HYPERLINK("2\1\" &amp; K886, "Ver Imagen")</f>
        <v/>
      </c>
      <c r="M886" t="inlineStr">
        <is>
          <t>Moda</t>
        </is>
      </c>
    </row>
    <row r="887">
      <c r="A887" t="n">
        <v>886</v>
      </c>
      <c r="B887" t="inlineStr">
        <is>
          <t>A-5052__110</t>
        </is>
      </c>
      <c r="C887" s="1" t="n">
        <v>37.2169285392</v>
      </c>
      <c r="D887" s="1" t="n">
        <v>-7.09838588773</v>
      </c>
      <c r="E887" s="3" t="n">
        <v>1</v>
      </c>
      <c r="F887" s="2" t="n">
        <v>2</v>
      </c>
      <c r="G887" s="4" t="n">
        <v>2</v>
      </c>
      <c r="H887" s="13" t="n"/>
      <c r="I887" s="15" t="n"/>
      <c r="J887" s="19" t="n">
        <v>2</v>
      </c>
      <c r="K887" s="2" t="inlineStr">
        <is>
          <t>marker_509_957800.png</t>
        </is>
      </c>
      <c r="L887" s="11">
        <f>HYPERLINK("2\1\" &amp; K887, "Ver Imagen")</f>
        <v/>
      </c>
      <c r="M887" t="inlineStr">
        <is>
          <t>Moda</t>
        </is>
      </c>
    </row>
    <row r="888">
      <c r="A888" t="n">
        <v>887</v>
      </c>
      <c r="B888" t="inlineStr">
        <is>
          <t>A-5052__111</t>
        </is>
      </c>
      <c r="C888" s="1" t="n">
        <v>37.2169035894</v>
      </c>
      <c r="D888" s="1" t="n">
        <v>-7.09813687117</v>
      </c>
      <c r="E888" s="3" t="n">
        <v>1</v>
      </c>
      <c r="F888" s="2" t="n">
        <v>2</v>
      </c>
      <c r="G888" s="4" t="n">
        <v>2</v>
      </c>
      <c r="H888" s="13" t="n"/>
      <c r="I888" s="15" t="n"/>
      <c r="J888" s="19" t="n">
        <v>2</v>
      </c>
      <c r="K888" s="2" t="inlineStr">
        <is>
          <t>marker_515_957809.png</t>
        </is>
      </c>
      <c r="L888" s="11">
        <f>HYPERLINK("2\1\" &amp; K888, "Ver Imagen")</f>
        <v/>
      </c>
      <c r="M888" t="inlineStr">
        <is>
          <t>Moda</t>
        </is>
      </c>
    </row>
    <row r="889">
      <c r="A889" t="n">
        <v>888</v>
      </c>
      <c r="B889" t="inlineStr">
        <is>
          <t>A-5052__113</t>
        </is>
      </c>
      <c r="C889" s="1" t="n">
        <v>37.2168533758</v>
      </c>
      <c r="D889" s="1" t="n">
        <v>-7.09765857245</v>
      </c>
      <c r="E889" s="3" t="n">
        <v>1</v>
      </c>
      <c r="F889" s="2" t="n">
        <v>2</v>
      </c>
      <c r="G889" s="4" t="n">
        <v>2</v>
      </c>
      <c r="H889" s="13" t="n"/>
      <c r="I889" s="15" t="n"/>
      <c r="J889" s="19" t="n">
        <v>2</v>
      </c>
      <c r="K889" s="2" t="inlineStr">
        <is>
          <t>marker_938_957829.png</t>
        </is>
      </c>
      <c r="L889" s="11">
        <f>HYPERLINK("2\1\" &amp; K889, "Ver Imagen")</f>
        <v/>
      </c>
      <c r="M889" t="inlineStr">
        <is>
          <t>Moda</t>
        </is>
      </c>
    </row>
    <row r="890">
      <c r="A890" t="n">
        <v>889</v>
      </c>
      <c r="B890" t="inlineStr">
        <is>
          <t>A-5052__114</t>
        </is>
      </c>
      <c r="C890" s="1" t="n">
        <v>37.2168256257</v>
      </c>
      <c r="D890" s="1" t="n">
        <v>-7.09739327506</v>
      </c>
      <c r="E890" s="3" t="n">
        <v>1</v>
      </c>
      <c r="F890" s="2" t="n">
        <v>2</v>
      </c>
      <c r="G890" s="4" t="n">
        <v>2</v>
      </c>
      <c r="H890" s="13" t="n"/>
      <c r="I890" s="15" t="n"/>
      <c r="J890" s="19" t="n">
        <v>2</v>
      </c>
      <c r="K890" s="2" t="inlineStr">
        <is>
          <t>marker_668_957871.png</t>
        </is>
      </c>
      <c r="L890" s="11">
        <f>HYPERLINK("2\1\" &amp; K890, "Ver Imagen")</f>
        <v/>
      </c>
      <c r="M890" t="inlineStr">
        <is>
          <t>Moda</t>
        </is>
      </c>
    </row>
    <row r="891">
      <c r="A891" t="n">
        <v>890</v>
      </c>
      <c r="B891" t="inlineStr">
        <is>
          <t>A-5052__118</t>
        </is>
      </c>
      <c r="C891" s="1" t="n">
        <v>37.2167342199</v>
      </c>
      <c r="D891" s="1" t="n">
        <v>-7.09640576784</v>
      </c>
      <c r="E891" s="3" t="n">
        <v>1</v>
      </c>
      <c r="F891" s="2" t="n">
        <v>2</v>
      </c>
      <c r="G891" s="4" t="n">
        <v>2</v>
      </c>
      <c r="H891" s="13" t="n"/>
      <c r="I891" s="15" t="n"/>
      <c r="J891" s="19" t="n">
        <v>2</v>
      </c>
      <c r="K891" s="2" t="inlineStr">
        <is>
          <t>marker_410_957914.png</t>
        </is>
      </c>
      <c r="L891" s="11">
        <f>HYPERLINK("2\1\" &amp; K891, "Ver Imagen")</f>
        <v/>
      </c>
      <c r="M891" t="inlineStr">
        <is>
          <t>Moda</t>
        </is>
      </c>
    </row>
    <row r="892">
      <c r="A892" t="n">
        <v>891</v>
      </c>
      <c r="B892" t="inlineStr">
        <is>
          <t>A-5052__124</t>
        </is>
      </c>
      <c r="C892" s="1" t="n">
        <v>37.2166172413</v>
      </c>
      <c r="D892" s="1" t="n">
        <v>-7.09495394741</v>
      </c>
      <c r="E892" s="3" t="n">
        <v>1</v>
      </c>
      <c r="F892" s="2" t="n">
        <v>2</v>
      </c>
      <c r="G892" s="4" t="n">
        <v>2</v>
      </c>
      <c r="H892" s="13" t="n"/>
      <c r="I892" s="15" t="n"/>
      <c r="J892" s="19" t="n">
        <v>2</v>
      </c>
      <c r="K892" s="2" t="inlineStr">
        <is>
          <t>marker_449_957993.png</t>
        </is>
      </c>
      <c r="L892" s="11">
        <f>HYPERLINK("2\1\" &amp; K892, "Ver Imagen")</f>
        <v/>
      </c>
      <c r="M892" t="inlineStr">
        <is>
          <t>Moda</t>
        </is>
      </c>
    </row>
    <row r="893">
      <c r="A893" t="n">
        <v>892</v>
      </c>
      <c r="B893" t="inlineStr">
        <is>
          <t>A-5052__125</t>
        </is>
      </c>
      <c r="C893" s="1" t="n">
        <v>37.2166219478</v>
      </c>
      <c r="D893" s="1" t="n">
        <v>-7.09466708619</v>
      </c>
      <c r="E893" s="3" t="n">
        <v>1</v>
      </c>
      <c r="F893" s="2" t="n">
        <v>2</v>
      </c>
      <c r="G893" s="4" t="n">
        <v>2</v>
      </c>
      <c r="H893" s="13" t="n"/>
      <c r="I893" s="15" t="n"/>
      <c r="J893" s="19" t="n">
        <v>2</v>
      </c>
      <c r="K893" s="2" t="inlineStr">
        <is>
          <t>marker_354_958026.png</t>
        </is>
      </c>
      <c r="L893" s="11">
        <f>HYPERLINK("2\1\" &amp; K893, "Ver Imagen")</f>
        <v/>
      </c>
      <c r="M893" t="inlineStr">
        <is>
          <t>Moda</t>
        </is>
      </c>
    </row>
    <row r="894">
      <c r="A894" t="n">
        <v>893</v>
      </c>
      <c r="B894" t="inlineStr">
        <is>
          <t>A-5052__141</t>
        </is>
      </c>
      <c r="C894" s="1" t="n">
        <v>37.2161809042</v>
      </c>
      <c r="D894" s="1" t="n">
        <v>-7.09064243117</v>
      </c>
      <c r="E894" s="3" t="n">
        <v>1</v>
      </c>
      <c r="F894" s="2" t="n">
        <v>2</v>
      </c>
      <c r="G894" s="4" t="n">
        <v>2</v>
      </c>
      <c r="H894" s="13" t="n"/>
      <c r="I894" s="15" t="n"/>
      <c r="J894" s="19" t="n">
        <v>2</v>
      </c>
      <c r="K894" s="2" t="inlineStr">
        <is>
          <t>marker_317_958375.png</t>
        </is>
      </c>
      <c r="L894" s="11">
        <f>HYPERLINK("2\1\" &amp; K894, "Ver Imagen")</f>
        <v/>
      </c>
      <c r="M894" t="inlineStr">
        <is>
          <t>Moda</t>
        </is>
      </c>
    </row>
    <row r="895">
      <c r="A895" t="n">
        <v>894</v>
      </c>
      <c r="B895" t="inlineStr">
        <is>
          <t>A-5052__142</t>
        </is>
      </c>
      <c r="C895" s="1" t="n">
        <v>37.2161541693</v>
      </c>
      <c r="D895" s="1" t="n">
        <v>-7.0904205776</v>
      </c>
      <c r="E895" s="3" t="n">
        <v>1</v>
      </c>
      <c r="F895" s="2" t="n">
        <v>2</v>
      </c>
      <c r="G895" s="4" t="n">
        <v>2</v>
      </c>
      <c r="H895" s="13" t="n"/>
      <c r="I895" s="15" t="n"/>
      <c r="J895" s="19" t="n">
        <v>2</v>
      </c>
      <c r="K895" s="2" t="inlineStr">
        <is>
          <t>marker_323_958387.png</t>
        </is>
      </c>
      <c r="L895" s="11">
        <f>HYPERLINK("2\1\" &amp; K895, "Ver Imagen")</f>
        <v/>
      </c>
      <c r="M895" t="inlineStr">
        <is>
          <t>Moda</t>
        </is>
      </c>
    </row>
    <row r="896">
      <c r="A896" t="n">
        <v>895</v>
      </c>
      <c r="B896" t="inlineStr">
        <is>
          <t>A-5052__146</t>
        </is>
      </c>
      <c r="C896" s="1" t="n">
        <v>37.216064506</v>
      </c>
      <c r="D896" s="1" t="n">
        <v>-7.08936308472</v>
      </c>
      <c r="E896" s="3" t="n">
        <v>1</v>
      </c>
      <c r="F896" s="2" t="n">
        <v>2</v>
      </c>
      <c r="G896" s="4" t="n">
        <v>2</v>
      </c>
      <c r="H896" s="13" t="n"/>
      <c r="I896" s="15" t="n"/>
      <c r="J896" s="19" t="n">
        <v>2</v>
      </c>
      <c r="K896" s="2" t="inlineStr">
        <is>
          <t>marker_233_958430.png</t>
        </is>
      </c>
      <c r="L896" s="11">
        <f>HYPERLINK("2\1\" &amp; K896, "Ver Imagen")</f>
        <v/>
      </c>
      <c r="M896" t="inlineStr">
        <is>
          <t>Moda</t>
        </is>
      </c>
    </row>
    <row r="897">
      <c r="A897" t="n">
        <v>896</v>
      </c>
      <c r="B897" t="inlineStr">
        <is>
          <t>A-5052__147</t>
        </is>
      </c>
      <c r="C897" s="1" t="n">
        <v>37.2160544316</v>
      </c>
      <c r="D897" s="1" t="n">
        <v>-7.0891554661</v>
      </c>
      <c r="E897" s="3" t="n">
        <v>1</v>
      </c>
      <c r="F897" s="2" t="n">
        <v>2</v>
      </c>
      <c r="G897" s="4" t="n">
        <v>2</v>
      </c>
      <c r="H897" s="13" t="n"/>
      <c r="I897" s="15" t="n"/>
      <c r="J897" s="19" t="n">
        <v>2</v>
      </c>
      <c r="K897" s="2" t="inlineStr">
        <is>
          <t>marker_943_958446.png</t>
        </is>
      </c>
      <c r="L897" s="11">
        <f>HYPERLINK("2\1\" &amp; K897, "Ver Imagen")</f>
        <v/>
      </c>
      <c r="M897" t="inlineStr">
        <is>
          <t>Moda</t>
        </is>
      </c>
    </row>
    <row r="898">
      <c r="A898" t="n">
        <v>897</v>
      </c>
      <c r="B898" t="inlineStr">
        <is>
          <t>A-5052__149</t>
        </is>
      </c>
      <c r="C898" s="1" t="n">
        <v>37.2160373159</v>
      </c>
      <c r="D898" s="1" t="n">
        <v>-7.08868645656</v>
      </c>
      <c r="E898" s="3" t="n">
        <v>1</v>
      </c>
      <c r="F898" s="2" t="n">
        <v>2</v>
      </c>
      <c r="G898" s="4" t="n">
        <v>2</v>
      </c>
      <c r="H898" s="13" t="n"/>
      <c r="I898" s="15" t="n"/>
      <c r="J898" s="19" t="n">
        <v>2</v>
      </c>
      <c r="K898" s="2" t="inlineStr">
        <is>
          <t>marker_281_958519.png</t>
        </is>
      </c>
      <c r="L898" s="11">
        <f>HYPERLINK("2\1\" &amp; K898, "Ver Imagen")</f>
        <v/>
      </c>
      <c r="M898" t="inlineStr">
        <is>
          <t>Moda</t>
        </is>
      </c>
    </row>
    <row r="899">
      <c r="A899" t="n">
        <v>898</v>
      </c>
      <c r="B899" t="inlineStr">
        <is>
          <t>A-5052__150</t>
        </is>
      </c>
      <c r="C899" s="1" t="n">
        <v>37.2160309895</v>
      </c>
      <c r="D899" s="1" t="n">
        <v>-7.08838682558</v>
      </c>
      <c r="E899" s="3" t="n">
        <v>1</v>
      </c>
      <c r="F899" s="2" t="n">
        <v>2</v>
      </c>
      <c r="G899" s="4" t="n">
        <v>2</v>
      </c>
      <c r="H899" s="13" t="n"/>
      <c r="I899" s="15" t="n"/>
      <c r="J899" s="19" t="n">
        <v>2</v>
      </c>
      <c r="K899" s="2" t="inlineStr">
        <is>
          <t>marker_578_958534.png</t>
        </is>
      </c>
      <c r="L899" s="11">
        <f>HYPERLINK("2\1\" &amp; K899, "Ver Imagen")</f>
        <v/>
      </c>
      <c r="M899" t="inlineStr">
        <is>
          <t>Moda</t>
        </is>
      </c>
    </row>
    <row r="900">
      <c r="A900" t="n">
        <v>899</v>
      </c>
      <c r="B900" t="inlineStr">
        <is>
          <t>A-5052__151</t>
        </is>
      </c>
      <c r="C900" s="1" t="n">
        <v>37.2160274398</v>
      </c>
      <c r="D900" s="1" t="n">
        <v>-7.08810959432</v>
      </c>
      <c r="E900" s="3" t="n">
        <v>1</v>
      </c>
      <c r="F900" s="2" t="n">
        <v>2</v>
      </c>
      <c r="G900" s="4" t="n">
        <v>2</v>
      </c>
      <c r="H900" s="13" t="n"/>
      <c r="I900" s="15" t="n"/>
      <c r="J900" s="19" t="n">
        <v>2</v>
      </c>
      <c r="K900" s="2" t="inlineStr">
        <is>
          <t>marker_534_958545.png</t>
        </is>
      </c>
      <c r="L900" s="11">
        <f>HYPERLINK("2\1\" &amp; K900, "Ver Imagen")</f>
        <v/>
      </c>
      <c r="M900" t="inlineStr">
        <is>
          <t>Moda</t>
        </is>
      </c>
    </row>
    <row r="901">
      <c r="A901" t="n">
        <v>900</v>
      </c>
      <c r="B901" t="inlineStr">
        <is>
          <t>A-5052__152</t>
        </is>
      </c>
      <c r="C901" s="1" t="n">
        <v>37.2160241913</v>
      </c>
      <c r="D901" s="1" t="n">
        <v>-7.08785406008</v>
      </c>
      <c r="E901" s="3" t="n">
        <v>1</v>
      </c>
      <c r="F901" s="2" t="n">
        <v>2</v>
      </c>
      <c r="G901" s="4" t="n">
        <v>2</v>
      </c>
      <c r="H901" s="13" t="n"/>
      <c r="I901" s="15" t="n"/>
      <c r="J901" s="19" t="n">
        <v>2</v>
      </c>
      <c r="K901" s="2" t="inlineStr">
        <is>
          <t>marker_311_958556.png</t>
        </is>
      </c>
      <c r="L901" s="11">
        <f>HYPERLINK("2\1\" &amp; K901, "Ver Imagen")</f>
        <v/>
      </c>
      <c r="M901" t="inlineStr">
        <is>
          <t>Moda</t>
        </is>
      </c>
    </row>
    <row r="902">
      <c r="A902" t="n">
        <v>901</v>
      </c>
      <c r="B902" t="inlineStr">
        <is>
          <t>A-5052__154</t>
        </is>
      </c>
      <c r="C902" s="1" t="n">
        <v>37.2160196426</v>
      </c>
      <c r="D902" s="1" t="n">
        <v>-7.08736413208</v>
      </c>
      <c r="E902" s="3" t="n">
        <v>1</v>
      </c>
      <c r="F902" s="2" t="n">
        <v>2</v>
      </c>
      <c r="G902" s="4" t="n">
        <v>2</v>
      </c>
      <c r="H902" s="13" t="n"/>
      <c r="I902" s="15" t="n"/>
      <c r="J902" s="19" t="n">
        <v>2</v>
      </c>
      <c r="K902" s="2" t="inlineStr">
        <is>
          <t>marker_934_958577.png</t>
        </is>
      </c>
      <c r="L902" s="11">
        <f>HYPERLINK("2\1\" &amp; K902, "Ver Imagen")</f>
        <v/>
      </c>
      <c r="M902" t="inlineStr">
        <is>
          <t>Moda</t>
        </is>
      </c>
    </row>
    <row r="903">
      <c r="A903" t="n">
        <v>902</v>
      </c>
      <c r="B903" t="inlineStr">
        <is>
          <t>A-5052__160</t>
        </is>
      </c>
      <c r="C903" s="1" t="n">
        <v>37.2160786821</v>
      </c>
      <c r="D903" s="1" t="n">
        <v>-7.08586686797</v>
      </c>
      <c r="E903" s="3" t="n">
        <v>1</v>
      </c>
      <c r="F903" s="2" t="n">
        <v>2</v>
      </c>
      <c r="G903" s="4" t="n">
        <v>2</v>
      </c>
      <c r="H903" s="13" t="n"/>
      <c r="I903" s="15" t="n"/>
      <c r="J903" s="19" t="n">
        <v>2</v>
      </c>
      <c r="K903" s="2" t="inlineStr">
        <is>
          <t>marker_619_958682.png</t>
        </is>
      </c>
      <c r="L903" s="11">
        <f>HYPERLINK("2\1\" &amp; K903, "Ver Imagen")</f>
        <v/>
      </c>
      <c r="M903" t="inlineStr">
        <is>
          <t>Moda</t>
        </is>
      </c>
    </row>
    <row r="904">
      <c r="A904" t="n">
        <v>903</v>
      </c>
      <c r="B904" t="inlineStr">
        <is>
          <t>A-5052__161</t>
        </is>
      </c>
      <c r="C904" s="1" t="n">
        <v>37.2161070167</v>
      </c>
      <c r="D904" s="1" t="n">
        <v>-7.085646867</v>
      </c>
      <c r="E904" s="3" t="n">
        <v>1</v>
      </c>
      <c r="F904" s="2" t="n">
        <v>2</v>
      </c>
      <c r="G904" s="4" t="n">
        <v>2</v>
      </c>
      <c r="H904" s="13" t="n"/>
      <c r="I904" s="15" t="n"/>
      <c r="J904" s="19" t="n">
        <v>2</v>
      </c>
      <c r="K904" s="2" t="inlineStr">
        <is>
          <t>marker_627_958690.png</t>
        </is>
      </c>
      <c r="L904" s="11">
        <f>HYPERLINK("2\1\" &amp; K904, "Ver Imagen")</f>
        <v/>
      </c>
      <c r="M904" t="inlineStr">
        <is>
          <t>Moda</t>
        </is>
      </c>
    </row>
    <row r="905">
      <c r="A905" t="n">
        <v>904</v>
      </c>
      <c r="B905" t="inlineStr">
        <is>
          <t>A-5052__164</t>
        </is>
      </c>
      <c r="C905" s="1" t="n">
        <v>37.2162075372</v>
      </c>
      <c r="D905" s="1" t="n">
        <v>-7.0848703439</v>
      </c>
      <c r="E905" s="3" t="n">
        <v>1</v>
      </c>
      <c r="F905" s="2" t="n">
        <v>2</v>
      </c>
      <c r="G905" s="4" t="n">
        <v>2</v>
      </c>
      <c r="H905" s="13" t="n"/>
      <c r="I905" s="15" t="n"/>
      <c r="J905" s="19" t="n">
        <v>2</v>
      </c>
      <c r="K905" s="2" t="inlineStr">
        <is>
          <t>marker_139_958738.png</t>
        </is>
      </c>
      <c r="L905" s="11">
        <f>HYPERLINK("2\1\" &amp; K905, "Ver Imagen")</f>
        <v/>
      </c>
      <c r="M905" t="inlineStr">
        <is>
          <t>Moda</t>
        </is>
      </c>
    </row>
    <row r="906">
      <c r="A906" t="n">
        <v>905</v>
      </c>
      <c r="B906" t="inlineStr">
        <is>
          <t>A-5052__165</t>
        </is>
      </c>
      <c r="C906" s="1" t="n">
        <v>37.2162281627</v>
      </c>
      <c r="D906" s="1" t="n">
        <v>-7.08460392718</v>
      </c>
      <c r="E906" s="3" t="n">
        <v>1</v>
      </c>
      <c r="F906" s="2" t="n">
        <v>2</v>
      </c>
      <c r="G906" s="4" t="n">
        <v>2</v>
      </c>
      <c r="H906" s="13" t="n"/>
      <c r="I906" s="15" t="n"/>
      <c r="J906" s="19" t="n">
        <v>2</v>
      </c>
      <c r="K906" s="2" t="inlineStr">
        <is>
          <t>marker_404_958748.png</t>
        </is>
      </c>
      <c r="L906" s="11">
        <f>HYPERLINK("2\1\" &amp; K906, "Ver Imagen")</f>
        <v/>
      </c>
      <c r="M906" t="inlineStr">
        <is>
          <t>Moda</t>
        </is>
      </c>
    </row>
    <row r="907">
      <c r="A907" t="n">
        <v>906</v>
      </c>
      <c r="B907" t="inlineStr">
        <is>
          <t>A-5052__175</t>
        </is>
      </c>
      <c r="C907" s="1" t="n">
        <v>37.2157108039</v>
      </c>
      <c r="D907" s="1" t="n">
        <v>-7.0821882566</v>
      </c>
      <c r="E907" s="3" t="n">
        <v>1</v>
      </c>
      <c r="F907" s="2" t="n">
        <v>2</v>
      </c>
      <c r="G907" s="4" t="n">
        <v>2</v>
      </c>
      <c r="H907" s="13" t="n"/>
      <c r="I907" s="15" t="n"/>
      <c r="J907" s="19" t="n">
        <v>2</v>
      </c>
      <c r="K907" s="2" t="inlineStr">
        <is>
          <t>marker_697_959014.png</t>
        </is>
      </c>
      <c r="L907" s="11">
        <f>HYPERLINK("2\1\" &amp; K907, "Ver Imagen")</f>
        <v/>
      </c>
      <c r="M907" t="inlineStr">
        <is>
          <t>Moda</t>
        </is>
      </c>
    </row>
    <row r="908">
      <c r="A908" t="n">
        <v>907</v>
      </c>
      <c r="B908" t="inlineStr">
        <is>
          <t>A-5052__189</t>
        </is>
      </c>
      <c r="C908" s="1" t="n">
        <v>37.2148414234</v>
      </c>
      <c r="D908" s="1" t="n">
        <v>-7.0788205615</v>
      </c>
      <c r="E908" s="3" t="n">
        <v>1</v>
      </c>
      <c r="F908" s="2" t="n">
        <v>2</v>
      </c>
      <c r="G908" s="4" t="n">
        <v>2</v>
      </c>
      <c r="H908" s="13" t="n"/>
      <c r="I908" s="15" t="n"/>
      <c r="J908" s="19" t="n">
        <v>2</v>
      </c>
      <c r="K908" s="2" t="inlineStr">
        <is>
          <t>marker_583_959298.png</t>
        </is>
      </c>
      <c r="L908" s="11">
        <f>HYPERLINK("2\1\" &amp; K908, "Ver Imagen")</f>
        <v/>
      </c>
      <c r="M908" t="inlineStr">
        <is>
          <t>Moda</t>
        </is>
      </c>
    </row>
    <row r="909">
      <c r="A909" t="n">
        <v>908</v>
      </c>
      <c r="B909" t="inlineStr">
        <is>
          <t>A-5052__190</t>
        </is>
      </c>
      <c r="C909" s="1" t="n">
        <v>37.2147930914</v>
      </c>
      <c r="D909" s="1" t="n">
        <v>-7.07857296763</v>
      </c>
      <c r="E909" s="3" t="n">
        <v>1</v>
      </c>
      <c r="F909" s="2" t="n">
        <v>2</v>
      </c>
      <c r="G909" s="4" t="n">
        <v>2</v>
      </c>
      <c r="H909" s="13" t="n"/>
      <c r="I909" s="15" t="n"/>
      <c r="J909" s="19" t="n">
        <v>2</v>
      </c>
      <c r="K909" s="2" t="inlineStr">
        <is>
          <t>marker_164_959308.png</t>
        </is>
      </c>
      <c r="L909" s="11">
        <f>HYPERLINK("2\1\" &amp; K909, "Ver Imagen")</f>
        <v/>
      </c>
      <c r="M909" t="inlineStr">
        <is>
          <t>Moda</t>
        </is>
      </c>
    </row>
    <row r="910">
      <c r="A910" t="n">
        <v>909</v>
      </c>
      <c r="B910" t="inlineStr">
        <is>
          <t>A-5052__192</t>
        </is>
      </c>
      <c r="C910" s="1" t="n">
        <v>37.2146967</v>
      </c>
      <c r="D910" s="1" t="n">
        <v>-7.07806799669</v>
      </c>
      <c r="E910" s="3" t="n">
        <v>1</v>
      </c>
      <c r="F910" s="2" t="n">
        <v>2</v>
      </c>
      <c r="G910" s="4" t="n">
        <v>2</v>
      </c>
      <c r="H910" s="13" t="n"/>
      <c r="I910" s="15" t="n"/>
      <c r="J910" s="19" t="n">
        <v>2</v>
      </c>
      <c r="K910" s="2" t="inlineStr">
        <is>
          <t>marker_140_959347.png</t>
        </is>
      </c>
      <c r="L910" s="11">
        <f>HYPERLINK("2\1\" &amp; K910, "Ver Imagen")</f>
        <v/>
      </c>
      <c r="M910" t="inlineStr">
        <is>
          <t>Moda</t>
        </is>
      </c>
    </row>
    <row r="911">
      <c r="A911" t="n">
        <v>910</v>
      </c>
      <c r="B911" t="inlineStr">
        <is>
          <t>A-5052__205</t>
        </is>
      </c>
      <c r="C911" s="1" t="n">
        <v>37.2140916819</v>
      </c>
      <c r="D911" s="1" t="n">
        <v>-7.07487508108</v>
      </c>
      <c r="E911" s="3" t="n">
        <v>1</v>
      </c>
      <c r="F911" s="2" t="n">
        <v>2</v>
      </c>
      <c r="G911" s="4" t="n">
        <v>2</v>
      </c>
      <c r="H911" s="13" t="n"/>
      <c r="I911" s="15" t="n"/>
      <c r="J911" s="19" t="n">
        <v>2</v>
      </c>
      <c r="K911" s="2" t="inlineStr">
        <is>
          <t>marker_753_959520.png</t>
        </is>
      </c>
      <c r="L911" s="11">
        <f>HYPERLINK("2\1\" &amp; K911, "Ver Imagen")</f>
        <v/>
      </c>
      <c r="M911" t="inlineStr">
        <is>
          <t>Moda</t>
        </is>
      </c>
    </row>
    <row r="912">
      <c r="A912" t="n">
        <v>911</v>
      </c>
      <c r="B912" t="inlineStr">
        <is>
          <t>A-5052__206</t>
        </is>
      </c>
      <c r="C912" s="1" t="n">
        <v>37.2140485028</v>
      </c>
      <c r="D912" s="1" t="n">
        <v>-7.0746308482</v>
      </c>
      <c r="E912" s="3" t="n">
        <v>1</v>
      </c>
      <c r="F912" s="2" t="n">
        <v>2</v>
      </c>
      <c r="G912" s="4" t="n">
        <v>2</v>
      </c>
      <c r="H912" s="13" t="n"/>
      <c r="I912" s="15" t="n"/>
      <c r="J912" s="19" t="n">
        <v>2</v>
      </c>
      <c r="K912" s="2" t="inlineStr">
        <is>
          <t>marker_600_959530.png</t>
        </is>
      </c>
      <c r="L912" s="11">
        <f>HYPERLINK("2\1\" &amp; K912, "Ver Imagen")</f>
        <v/>
      </c>
      <c r="M912" t="inlineStr">
        <is>
          <t>Moda</t>
        </is>
      </c>
    </row>
    <row r="913">
      <c r="A913" t="n">
        <v>912</v>
      </c>
      <c r="B913" t="inlineStr">
        <is>
          <t>A-5052__209</t>
        </is>
      </c>
      <c r="C913" s="1" t="n">
        <v>37.2139275661</v>
      </c>
      <c r="D913" s="1" t="n">
        <v>-7.0739074421</v>
      </c>
      <c r="E913" s="3" t="n">
        <v>1</v>
      </c>
      <c r="F913" s="2" t="n">
        <v>2</v>
      </c>
      <c r="G913" s="4" t="n">
        <v>2</v>
      </c>
      <c r="H913" s="13" t="n"/>
      <c r="I913" s="15" t="n"/>
      <c r="J913" s="19" t="n">
        <v>2</v>
      </c>
      <c r="K913" s="2" t="inlineStr">
        <is>
          <t>marker_655_959580.png</t>
        </is>
      </c>
      <c r="L913" s="11">
        <f>HYPERLINK("2\1\" &amp; K913, "Ver Imagen")</f>
        <v/>
      </c>
      <c r="M913" t="inlineStr">
        <is>
          <t>Moda</t>
        </is>
      </c>
    </row>
    <row r="914">
      <c r="A914" t="n">
        <v>913</v>
      </c>
      <c r="B914" t="inlineStr">
        <is>
          <t>A-5052__210</t>
        </is>
      </c>
      <c r="C914" s="1" t="n">
        <v>37.2138945541</v>
      </c>
      <c r="D914" s="1" t="n">
        <v>-7.07366727148</v>
      </c>
      <c r="E914" s="3" t="n">
        <v>1</v>
      </c>
      <c r="F914" s="2" t="n">
        <v>2</v>
      </c>
      <c r="G914" s="4" t="n">
        <v>2</v>
      </c>
      <c r="H914" s="13" t="n"/>
      <c r="I914" s="15" t="n"/>
      <c r="J914" s="19" t="n">
        <v>2</v>
      </c>
      <c r="K914" s="2" t="inlineStr">
        <is>
          <t>marker_689_959594.png</t>
        </is>
      </c>
      <c r="L914" s="11">
        <f>HYPERLINK("2\1\" &amp; K914, "Ver Imagen")</f>
        <v/>
      </c>
      <c r="M914" t="inlineStr">
        <is>
          <t>Moda</t>
        </is>
      </c>
    </row>
    <row r="915">
      <c r="A915" t="n">
        <v>914</v>
      </c>
      <c r="B915" t="inlineStr">
        <is>
          <t>A-5052__211</t>
        </is>
      </c>
      <c r="C915" s="1" t="n">
        <v>37.2138578932</v>
      </c>
      <c r="D915" s="1" t="n">
        <v>-7.07337853301</v>
      </c>
      <c r="E915" s="3" t="n">
        <v>1</v>
      </c>
      <c r="F915" s="2" t="n">
        <v>2</v>
      </c>
      <c r="G915" s="4" t="n">
        <v>2</v>
      </c>
      <c r="H915" s="13" t="n"/>
      <c r="I915" s="15" t="n"/>
      <c r="J915" s="19" t="n">
        <v>2</v>
      </c>
      <c r="K915" s="2" t="inlineStr">
        <is>
          <t>marker_654_959603.png</t>
        </is>
      </c>
      <c r="L915" s="11">
        <f>HYPERLINK("2\1\" &amp; K915, "Ver Imagen")</f>
        <v/>
      </c>
      <c r="M915" t="inlineStr">
        <is>
          <t>Moda</t>
        </is>
      </c>
    </row>
    <row r="916">
      <c r="A916" t="n">
        <v>915</v>
      </c>
      <c r="B916" t="inlineStr">
        <is>
          <t>A-5052__219</t>
        </is>
      </c>
      <c r="C916" s="1" t="n">
        <v>37.2136392219</v>
      </c>
      <c r="D916" s="1" t="n">
        <v>-7.07136741876</v>
      </c>
      <c r="E916" s="3" t="n">
        <v>1</v>
      </c>
      <c r="F916" s="2" t="n">
        <v>2</v>
      </c>
      <c r="G916" s="4" t="n">
        <v>2</v>
      </c>
      <c r="H916" s="13" t="n"/>
      <c r="I916" s="15" t="n"/>
      <c r="J916" s="19" t="n">
        <v>2</v>
      </c>
      <c r="K916" s="2" t="inlineStr">
        <is>
          <t>marker_827_959711.png</t>
        </is>
      </c>
      <c r="L916" s="11">
        <f>HYPERLINK("2\1\" &amp; K916, "Ver Imagen")</f>
        <v/>
      </c>
      <c r="M916" t="inlineStr">
        <is>
          <t>Moda</t>
        </is>
      </c>
    </row>
    <row r="917">
      <c r="A917" t="n">
        <v>916</v>
      </c>
      <c r="B917" t="inlineStr">
        <is>
          <t>A-5052__221</t>
        </is>
      </c>
      <c r="C917" s="1" t="n">
        <v>37.2135835604</v>
      </c>
      <c r="D917" s="1" t="n">
        <v>-7.07085437914</v>
      </c>
      <c r="E917" s="3" t="n">
        <v>1</v>
      </c>
      <c r="F917" s="2" t="n">
        <v>2</v>
      </c>
      <c r="G917" s="4" t="n">
        <v>2</v>
      </c>
      <c r="H917" s="13" t="n"/>
      <c r="I917" s="15" t="n"/>
      <c r="J917" s="19" t="n">
        <v>2</v>
      </c>
      <c r="K917" s="2" t="inlineStr">
        <is>
          <t>marker_701_959730.png</t>
        </is>
      </c>
      <c r="L917" s="11">
        <f>HYPERLINK("2\1\" &amp; K917, "Ver Imagen")</f>
        <v/>
      </c>
      <c r="M917" t="inlineStr">
        <is>
          <t>Moda</t>
        </is>
      </c>
    </row>
    <row r="918">
      <c r="A918" t="n">
        <v>917</v>
      </c>
      <c r="B918" t="inlineStr">
        <is>
          <t>A-5052__227</t>
        </is>
      </c>
      <c r="C918" s="1" t="n">
        <v>37.2134670554</v>
      </c>
      <c r="D918" s="1" t="n">
        <v>-7.06939310595</v>
      </c>
      <c r="E918" s="3" t="n">
        <v>1</v>
      </c>
      <c r="F918" s="2" t="n">
        <v>2</v>
      </c>
      <c r="G918" s="4" t="n">
        <v>2</v>
      </c>
      <c r="H918" s="13" t="n"/>
      <c r="I918" s="15" t="n"/>
      <c r="J918" s="19" t="n">
        <v>2</v>
      </c>
      <c r="K918" s="2" t="inlineStr">
        <is>
          <t>marker_294_959789.png</t>
        </is>
      </c>
      <c r="L918" s="11">
        <f>HYPERLINK("2\1\" &amp; K918, "Ver Imagen")</f>
        <v/>
      </c>
      <c r="M918" t="inlineStr">
        <is>
          <t>Moda</t>
        </is>
      </c>
    </row>
    <row r="919">
      <c r="A919" t="n">
        <v>918</v>
      </c>
      <c r="B919" t="inlineStr">
        <is>
          <t>A-5052__229</t>
        </is>
      </c>
      <c r="C919" s="1" t="n">
        <v>37.2134461596</v>
      </c>
      <c r="D919" s="1" t="n">
        <v>-7.06882569413</v>
      </c>
      <c r="E919" s="3" t="n">
        <v>1</v>
      </c>
      <c r="F919" s="2" t="n">
        <v>2</v>
      </c>
      <c r="G919" s="4" t="n">
        <v>2</v>
      </c>
      <c r="H919" s="13" t="n"/>
      <c r="I919" s="15" t="n"/>
      <c r="J919" s="19" t="n">
        <v>2</v>
      </c>
      <c r="K919" s="2" t="inlineStr">
        <is>
          <t>marker_486_959809.png</t>
        </is>
      </c>
      <c r="L919" s="11">
        <f>HYPERLINK("2\1\" &amp; K919, "Ver Imagen")</f>
        <v/>
      </c>
      <c r="M919" t="inlineStr">
        <is>
          <t>Moda</t>
        </is>
      </c>
    </row>
    <row r="920">
      <c r="A920" t="n">
        <v>919</v>
      </c>
      <c r="B920" t="inlineStr">
        <is>
          <t>A-5052__230</t>
        </is>
      </c>
      <c r="C920" s="1" t="n">
        <v>37.2134366893</v>
      </c>
      <c r="D920" s="1" t="n">
        <v>-7.06858006998</v>
      </c>
      <c r="E920" s="3" t="n">
        <v>1</v>
      </c>
      <c r="F920" s="2" t="n">
        <v>2</v>
      </c>
      <c r="G920" s="4" t="n">
        <v>2</v>
      </c>
      <c r="H920" s="13" t="n"/>
      <c r="I920" s="15" t="n"/>
      <c r="J920" s="19" t="n">
        <v>2</v>
      </c>
      <c r="K920" s="2" t="inlineStr">
        <is>
          <t>marker_810_959819.png</t>
        </is>
      </c>
      <c r="L920" s="11">
        <f>HYPERLINK("2\1\" &amp; K920, "Ver Imagen")</f>
        <v/>
      </c>
      <c r="M920" t="inlineStr">
        <is>
          <t>Moda</t>
        </is>
      </c>
    </row>
    <row r="921">
      <c r="A921" t="n">
        <v>920</v>
      </c>
      <c r="B921" t="inlineStr">
        <is>
          <t>A-5052__232</t>
        </is>
      </c>
      <c r="C921" s="1" t="n">
        <v>37.2134155886</v>
      </c>
      <c r="D921" s="1" t="n">
        <v>-7.06813164093</v>
      </c>
      <c r="E921" s="3" t="n">
        <v>1</v>
      </c>
      <c r="F921" s="2" t="n">
        <v>2</v>
      </c>
      <c r="G921" s="4" t="n">
        <v>2</v>
      </c>
      <c r="H921" s="13" t="n"/>
      <c r="I921" s="15" t="n"/>
      <c r="J921" s="19" t="n">
        <v>2</v>
      </c>
      <c r="K921" s="2" t="inlineStr">
        <is>
          <t>marker_470_959855.png</t>
        </is>
      </c>
      <c r="L921" s="11">
        <f>HYPERLINK("2\1\" &amp; K921, "Ver Imagen")</f>
        <v/>
      </c>
      <c r="M921" t="inlineStr">
        <is>
          <t>Moda</t>
        </is>
      </c>
    </row>
    <row r="922">
      <c r="A922" t="n">
        <v>921</v>
      </c>
      <c r="B922" t="inlineStr">
        <is>
          <t>A-5052__234</t>
        </is>
      </c>
      <c r="C922" s="1" t="n">
        <v>37.2133880079</v>
      </c>
      <c r="D922" s="1" t="n">
        <v>-7.06759200945</v>
      </c>
      <c r="E922" s="3" t="n">
        <v>1</v>
      </c>
      <c r="F922" s="2" t="n">
        <v>2</v>
      </c>
      <c r="G922" s="4" t="n">
        <v>2</v>
      </c>
      <c r="H922" s="13" t="n"/>
      <c r="I922" s="15" t="n"/>
      <c r="J922" s="19" t="n">
        <v>2</v>
      </c>
      <c r="K922" s="2" t="inlineStr">
        <is>
          <t>marker_146_959872.png</t>
        </is>
      </c>
      <c r="L922" s="11">
        <f>HYPERLINK("2\1\" &amp; K922, "Ver Imagen")</f>
        <v/>
      </c>
      <c r="M922" t="inlineStr">
        <is>
          <t>Moda</t>
        </is>
      </c>
    </row>
    <row r="923">
      <c r="A923" t="n">
        <v>922</v>
      </c>
      <c r="B923" t="inlineStr">
        <is>
          <t>A-5052__242</t>
        </is>
      </c>
      <c r="C923" s="1" t="n">
        <v>37.2133117964</v>
      </c>
      <c r="D923" s="1" t="n">
        <v>-7.06560185228</v>
      </c>
      <c r="E923" s="3" t="n">
        <v>1</v>
      </c>
      <c r="F923" s="2" t="n">
        <v>2</v>
      </c>
      <c r="G923" s="4" t="n">
        <v>2</v>
      </c>
      <c r="H923" s="13" t="n"/>
      <c r="I923" s="15" t="n"/>
      <c r="J923" s="19" t="n">
        <v>2</v>
      </c>
      <c r="K923" s="2" t="inlineStr">
        <is>
          <t>marker_914_959975.png</t>
        </is>
      </c>
      <c r="L923" s="11">
        <f>HYPERLINK("2\1\" &amp; K923, "Ver Imagen")</f>
        <v/>
      </c>
      <c r="M923" t="inlineStr">
        <is>
          <t>Moda</t>
        </is>
      </c>
    </row>
    <row r="924">
      <c r="A924" t="n">
        <v>923</v>
      </c>
      <c r="B924" t="inlineStr">
        <is>
          <t>A-5052__269</t>
        </is>
      </c>
      <c r="C924" s="1" t="n">
        <v>37.2120423</v>
      </c>
      <c r="D924" s="1" t="n">
        <v>-7.05915699095</v>
      </c>
      <c r="E924" s="3" t="n">
        <v>1</v>
      </c>
      <c r="F924" s="2" t="n">
        <v>2</v>
      </c>
      <c r="G924" s="4" t="n">
        <v>2</v>
      </c>
      <c r="H924" s="13" t="n"/>
      <c r="I924" s="15" t="n"/>
      <c r="J924" s="19" t="n">
        <v>2</v>
      </c>
      <c r="K924" s="2" t="inlineStr">
        <is>
          <t>marker_307_960304.png</t>
        </is>
      </c>
      <c r="L924" s="11">
        <f>HYPERLINK("2\1\" &amp; K924, "Ver Imagen")</f>
        <v/>
      </c>
      <c r="M924" t="inlineStr">
        <is>
          <t>Moda</t>
        </is>
      </c>
    </row>
    <row r="925">
      <c r="A925" t="n">
        <v>924</v>
      </c>
      <c r="B925" t="inlineStr">
        <is>
          <t>A-5052__342</t>
        </is>
      </c>
      <c r="C925" s="1" t="n">
        <v>37.2099429291</v>
      </c>
      <c r="D925" s="1" t="n">
        <v>-7.04157989077</v>
      </c>
      <c r="E925" s="3" t="n">
        <v>2</v>
      </c>
      <c r="F925" s="2" t="n">
        <v>2</v>
      </c>
      <c r="G925" s="4" t="n">
        <v>1</v>
      </c>
      <c r="H925" s="13" t="n"/>
      <c r="I925" s="15" t="n"/>
      <c r="J925" s="19" t="n">
        <v>2</v>
      </c>
      <c r="K925" s="2" t="inlineStr">
        <is>
          <t>marker_712_961647.png</t>
        </is>
      </c>
      <c r="L925" s="11">
        <f>HYPERLINK("2\1\" &amp; K925, "Ver Imagen")</f>
        <v/>
      </c>
      <c r="M925" t="inlineStr">
        <is>
          <t>Moda</t>
        </is>
      </c>
    </row>
    <row r="926">
      <c r="A926" t="n">
        <v>925</v>
      </c>
      <c r="B926" t="inlineStr">
        <is>
          <t>A-5052__346</t>
        </is>
      </c>
      <c r="C926" s="1" t="n">
        <v>37.2095746321</v>
      </c>
      <c r="D926" s="1" t="n">
        <v>-7.04060907194</v>
      </c>
      <c r="E926" s="3" t="n">
        <v>2</v>
      </c>
      <c r="F926" s="2" t="n">
        <v>2</v>
      </c>
      <c r="G926" s="4" t="n">
        <v>1</v>
      </c>
      <c r="H926" s="13" t="n"/>
      <c r="I926" s="15" t="n"/>
      <c r="J926" s="19" t="n">
        <v>2</v>
      </c>
      <c r="K926" s="2" t="inlineStr">
        <is>
          <t>marker_466_961693.png</t>
        </is>
      </c>
      <c r="L926" s="11">
        <f>HYPERLINK("2\1\" &amp; K926, "Ver Imagen")</f>
        <v/>
      </c>
      <c r="M926" t="inlineStr">
        <is>
          <t>Moda</t>
        </is>
      </c>
    </row>
    <row r="927">
      <c r="A927" t="n">
        <v>926</v>
      </c>
      <c r="B927" t="inlineStr">
        <is>
          <t>A-5052__413</t>
        </is>
      </c>
      <c r="C927" s="1" t="n">
        <v>37.2037353389</v>
      </c>
      <c r="D927" s="1" t="n">
        <v>-7.02541182972</v>
      </c>
      <c r="E927" s="3" t="n">
        <v>1</v>
      </c>
      <c r="F927" s="2" t="n">
        <v>2</v>
      </c>
      <c r="G927" s="4" t="n">
        <v>2</v>
      </c>
      <c r="H927" s="13" t="n"/>
      <c r="I927" s="15" t="n"/>
      <c r="J927" s="19" t="n">
        <v>2</v>
      </c>
      <c r="K927" s="2" t="inlineStr">
        <is>
          <t>marker_117_962802.png</t>
        </is>
      </c>
      <c r="L927" s="11">
        <f>HYPERLINK("2\1\" &amp; K927, "Ver Imagen")</f>
        <v/>
      </c>
      <c r="M927" t="inlineStr">
        <is>
          <t>Moda</t>
        </is>
      </c>
    </row>
    <row r="928">
      <c r="A928" t="n">
        <v>927</v>
      </c>
      <c r="B928" t="inlineStr">
        <is>
          <t>A-5052__414</t>
        </is>
      </c>
      <c r="C928" s="1" t="n">
        <v>37.2036332856</v>
      </c>
      <c r="D928" s="1" t="n">
        <v>-7.02514779992</v>
      </c>
      <c r="E928" s="3" t="n">
        <v>1</v>
      </c>
      <c r="F928" s="2" t="n">
        <v>2</v>
      </c>
      <c r="G928" s="4" t="n">
        <v>2</v>
      </c>
      <c r="H928" s="13" t="n"/>
      <c r="I928" s="15" t="n"/>
      <c r="J928" s="19" t="n">
        <v>2</v>
      </c>
      <c r="K928" s="2" t="inlineStr">
        <is>
          <t>marker_353_962812.png</t>
        </is>
      </c>
      <c r="L928" s="11">
        <f>HYPERLINK("2\1\" &amp; K928, "Ver Imagen")</f>
        <v/>
      </c>
      <c r="M928" t="inlineStr">
        <is>
          <t>Moda</t>
        </is>
      </c>
    </row>
    <row r="929">
      <c r="A929" t="n">
        <v>928</v>
      </c>
      <c r="B929" t="inlineStr">
        <is>
          <t>A-5052__415</t>
        </is>
      </c>
      <c r="C929" s="1" t="n">
        <v>37.2035556294</v>
      </c>
      <c r="D929" s="1" t="n">
        <v>-7.02494838756</v>
      </c>
      <c r="E929" s="3" t="n">
        <v>1</v>
      </c>
      <c r="F929" s="2" t="n">
        <v>2</v>
      </c>
      <c r="G929" s="4" t="n">
        <v>2</v>
      </c>
      <c r="H929" s="13" t="n"/>
      <c r="I929" s="15" t="n"/>
      <c r="J929" s="19" t="n">
        <v>2</v>
      </c>
      <c r="K929" s="2" t="inlineStr">
        <is>
          <t>marker_638_962822.png</t>
        </is>
      </c>
      <c r="L929" s="11">
        <f>HYPERLINK("2\1\" &amp; K929, "Ver Imagen")</f>
        <v/>
      </c>
      <c r="M929" t="inlineStr">
        <is>
          <t>Moda</t>
        </is>
      </c>
    </row>
    <row r="930">
      <c r="A930" t="n">
        <v>929</v>
      </c>
      <c r="B930" t="inlineStr">
        <is>
          <t>A-5052__417</t>
        </is>
      </c>
      <c r="C930" s="1" t="n">
        <v>37.2033751468</v>
      </c>
      <c r="D930" s="1" t="n">
        <v>-7.02448165886</v>
      </c>
      <c r="E930" s="3" t="n">
        <v>1</v>
      </c>
      <c r="F930" s="2" t="n">
        <v>2</v>
      </c>
      <c r="G930" s="4" t="n">
        <v>2</v>
      </c>
      <c r="H930" s="13" t="n"/>
      <c r="I930" s="15" t="n"/>
      <c r="J930" s="19" t="n">
        <v>2</v>
      </c>
      <c r="K930" s="2" t="inlineStr">
        <is>
          <t>marker_124_962849.png</t>
        </is>
      </c>
      <c r="L930" s="11">
        <f>HYPERLINK("2\1\" &amp; K930, "Ver Imagen")</f>
        <v/>
      </c>
      <c r="M930" t="inlineStr">
        <is>
          <t>Moda</t>
        </is>
      </c>
    </row>
    <row r="931">
      <c r="A931" t="n">
        <v>930</v>
      </c>
      <c r="B931" t="inlineStr">
        <is>
          <t>A-5052__419</t>
        </is>
      </c>
      <c r="C931" s="1" t="n">
        <v>37.2032014965</v>
      </c>
      <c r="D931" s="1" t="n">
        <v>-7.02403887065</v>
      </c>
      <c r="E931" s="3" t="n">
        <v>1</v>
      </c>
      <c r="F931" s="2" t="n">
        <v>2</v>
      </c>
      <c r="G931" s="4" t="n">
        <v>2</v>
      </c>
      <c r="H931" s="13" t="n"/>
      <c r="I931" s="15" t="n"/>
      <c r="J931" s="19" t="n">
        <v>2</v>
      </c>
      <c r="K931" s="2" t="inlineStr">
        <is>
          <t>marker_938_962866.png</t>
        </is>
      </c>
      <c r="L931" s="11">
        <f>HYPERLINK("2\1\" &amp; K931, "Ver Imagen")</f>
        <v/>
      </c>
      <c r="M931" t="inlineStr">
        <is>
          <t>Moda</t>
        </is>
      </c>
    </row>
    <row r="932">
      <c r="A932" t="n">
        <v>931</v>
      </c>
      <c r="B932" t="inlineStr">
        <is>
          <t>A-5052__434</t>
        </is>
      </c>
      <c r="C932" s="1" t="n">
        <v>37.2018990342</v>
      </c>
      <c r="D932" s="1" t="n">
        <v>-7.02064046478</v>
      </c>
      <c r="E932" s="3" t="n">
        <v>1</v>
      </c>
      <c r="F932" s="2" t="n">
        <v>2</v>
      </c>
      <c r="G932" s="4" t="n">
        <v>2</v>
      </c>
      <c r="H932" s="13" t="n"/>
      <c r="I932" s="15" t="n"/>
      <c r="J932" s="19" t="n">
        <v>2</v>
      </c>
      <c r="K932" s="2" t="inlineStr">
        <is>
          <t>marker_440_963017.png</t>
        </is>
      </c>
      <c r="L932" s="11">
        <f>HYPERLINK("2\1\" &amp; K932, "Ver Imagen")</f>
        <v/>
      </c>
      <c r="M932" t="inlineStr">
        <is>
          <t>Moda</t>
        </is>
      </c>
    </row>
    <row r="933">
      <c r="A933" t="n">
        <v>932</v>
      </c>
      <c r="B933" t="inlineStr">
        <is>
          <t>A-5052__437</t>
        </is>
      </c>
      <c r="C933" s="1" t="n">
        <v>37.2016226995</v>
      </c>
      <c r="D933" s="1" t="n">
        <v>-7.01992090511</v>
      </c>
      <c r="E933" s="3" t="n">
        <v>1</v>
      </c>
      <c r="F933" s="2" t="n">
        <v>2</v>
      </c>
      <c r="G933" s="4" t="n">
        <v>2</v>
      </c>
      <c r="H933" s="13" t="n"/>
      <c r="I933" s="15" t="n"/>
      <c r="J933" s="19" t="n">
        <v>2</v>
      </c>
      <c r="K933" s="2" t="inlineStr">
        <is>
          <t>marker_395_963048.png</t>
        </is>
      </c>
      <c r="L933" s="11">
        <f>HYPERLINK("2\1\" &amp; K933, "Ver Imagen")</f>
        <v/>
      </c>
      <c r="M933" t="inlineStr">
        <is>
          <t>Moda</t>
        </is>
      </c>
    </row>
    <row r="934">
      <c r="A934" t="n">
        <v>933</v>
      </c>
      <c r="B934" t="inlineStr">
        <is>
          <t>A-5052__439</t>
        </is>
      </c>
      <c r="C934" s="1" t="n">
        <v>37.2014453424</v>
      </c>
      <c r="D934" s="1" t="n">
        <v>-7.01945401855</v>
      </c>
      <c r="E934" s="3" t="n">
        <v>1</v>
      </c>
      <c r="F934" s="2" t="n">
        <v>2</v>
      </c>
      <c r="G934" s="4" t="n">
        <v>2</v>
      </c>
      <c r="H934" s="13" t="n"/>
      <c r="I934" s="15" t="n"/>
      <c r="J934" s="19" t="n">
        <v>2</v>
      </c>
      <c r="K934" s="2" t="inlineStr">
        <is>
          <t>marker_337_963066.png</t>
        </is>
      </c>
      <c r="L934" s="11">
        <f>HYPERLINK("2\1\" &amp; K934, "Ver Imagen")</f>
        <v/>
      </c>
      <c r="M934" t="inlineStr">
        <is>
          <t>Moda</t>
        </is>
      </c>
    </row>
    <row r="935">
      <c r="A935" t="n">
        <v>934</v>
      </c>
      <c r="B935" t="inlineStr">
        <is>
          <t>A-5052__441</t>
        </is>
      </c>
      <c r="C935" s="1" t="n">
        <v>37.201286254</v>
      </c>
      <c r="D935" s="1" t="n">
        <v>-7.01903372321</v>
      </c>
      <c r="E935" s="3" t="n">
        <v>1</v>
      </c>
      <c r="F935" s="2" t="n">
        <v>2</v>
      </c>
      <c r="G935" s="4" t="n">
        <v>2</v>
      </c>
      <c r="H935" s="13" t="n"/>
      <c r="I935" s="15" t="n"/>
      <c r="J935" s="19" t="n">
        <v>2</v>
      </c>
      <c r="K935" s="2" t="inlineStr">
        <is>
          <t>marker_432_963084.png</t>
        </is>
      </c>
      <c r="L935" s="11">
        <f>HYPERLINK("2\1\" &amp; K935, "Ver Imagen")</f>
        <v/>
      </c>
      <c r="M935" t="inlineStr">
        <is>
          <t>Moda</t>
        </is>
      </c>
    </row>
    <row r="936">
      <c r="A936" t="n">
        <v>935</v>
      </c>
      <c r="B936" t="inlineStr">
        <is>
          <t>A-5052__442</t>
        </is>
      </c>
      <c r="C936" s="1" t="n">
        <v>37.2011875776</v>
      </c>
      <c r="D936" s="1" t="n">
        <v>-7.01878059083</v>
      </c>
      <c r="E936" s="3" t="n">
        <v>1</v>
      </c>
      <c r="F936" s="2" t="n">
        <v>2</v>
      </c>
      <c r="G936" s="4" t="n">
        <v>2</v>
      </c>
      <c r="H936" s="13" t="n"/>
      <c r="I936" s="15" t="n"/>
      <c r="J936" s="19" t="n">
        <v>2</v>
      </c>
      <c r="K936" s="2" t="inlineStr">
        <is>
          <t>marker_534_963102.png</t>
        </is>
      </c>
      <c r="L936" s="11">
        <f>HYPERLINK("2\1\" &amp; K936, "Ver Imagen")</f>
        <v/>
      </c>
      <c r="M936" t="inlineStr">
        <is>
          <t>Moda</t>
        </is>
      </c>
    </row>
    <row r="937">
      <c r="A937" t="n">
        <v>936</v>
      </c>
      <c r="B937" t="inlineStr">
        <is>
          <t>A-5052__443</t>
        </is>
      </c>
      <c r="C937" s="1" t="n">
        <v>37.201103175</v>
      </c>
      <c r="D937" s="1" t="n">
        <v>-7.01856390159</v>
      </c>
      <c r="E937" s="3" t="n">
        <v>1</v>
      </c>
      <c r="F937" s="2" t="n">
        <v>2</v>
      </c>
      <c r="G937" s="4" t="n">
        <v>2</v>
      </c>
      <c r="H937" s="13" t="n"/>
      <c r="I937" s="15" t="n"/>
      <c r="J937" s="19" t="n">
        <v>2</v>
      </c>
      <c r="K937" s="2" t="inlineStr">
        <is>
          <t>marker_633_963111.png</t>
        </is>
      </c>
      <c r="L937" s="11">
        <f>HYPERLINK("2\1\" &amp; K937, "Ver Imagen")</f>
        <v/>
      </c>
      <c r="M937" t="inlineStr">
        <is>
          <t>Moda</t>
        </is>
      </c>
    </row>
    <row r="938">
      <c r="A938" t="n">
        <v>937</v>
      </c>
      <c r="B938" t="inlineStr">
        <is>
          <t>A-5052__449</t>
        </is>
      </c>
      <c r="C938" s="1" t="n">
        <v>37.2005817334</v>
      </c>
      <c r="D938" s="1" t="n">
        <v>-7.0172115889</v>
      </c>
      <c r="E938" s="3" t="n">
        <v>1</v>
      </c>
      <c r="F938" s="2" t="n">
        <v>2</v>
      </c>
      <c r="G938" s="4" t="n">
        <v>2</v>
      </c>
      <c r="H938" s="13" t="n"/>
      <c r="I938" s="15" t="n"/>
      <c r="J938" s="19" t="n">
        <v>2</v>
      </c>
      <c r="K938" s="2" t="inlineStr">
        <is>
          <t>marker_560_963167.png</t>
        </is>
      </c>
      <c r="L938" s="11">
        <f>HYPERLINK("2\1\" &amp; K938, "Ver Imagen")</f>
        <v/>
      </c>
      <c r="M938" t="inlineStr">
        <is>
          <t>Moda</t>
        </is>
      </c>
    </row>
    <row r="939">
      <c r="A939" t="n">
        <v>938</v>
      </c>
      <c r="B939" t="inlineStr">
        <is>
          <t>A-5052__456</t>
        </is>
      </c>
      <c r="C939" s="1" t="n">
        <v>37.1999578649</v>
      </c>
      <c r="D939" s="1" t="n">
        <v>-7.01558025445</v>
      </c>
      <c r="E939" s="3" t="n">
        <v>1</v>
      </c>
      <c r="F939" s="2" t="n">
        <v>2</v>
      </c>
      <c r="G939" s="4" t="n">
        <v>2</v>
      </c>
      <c r="H939" s="13" t="n"/>
      <c r="I939" s="15" t="n"/>
      <c r="J939" s="19" t="n">
        <v>2</v>
      </c>
      <c r="K939" s="2" t="inlineStr">
        <is>
          <t>marker_658_963244.png</t>
        </is>
      </c>
      <c r="L939" s="11">
        <f>HYPERLINK("2\1\" &amp; K939, "Ver Imagen")</f>
        <v/>
      </c>
      <c r="M939" t="inlineStr">
        <is>
          <t>Moda</t>
        </is>
      </c>
    </row>
    <row r="940">
      <c r="A940" t="n">
        <v>939</v>
      </c>
      <c r="B940" t="inlineStr">
        <is>
          <t>A-5053__369</t>
        </is>
      </c>
      <c r="C940" s="1" t="n">
        <v>37.2863220605</v>
      </c>
      <c r="D940" s="1" t="n">
        <v>-7.14161428629</v>
      </c>
      <c r="E940" s="3" t="n">
        <v>1</v>
      </c>
      <c r="F940" s="2" t="n">
        <v>2</v>
      </c>
      <c r="G940" s="4" t="n">
        <v>2</v>
      </c>
      <c r="H940" s="13" t="n"/>
      <c r="I940" s="15" t="n"/>
      <c r="J940" s="19" t="n">
        <v>2</v>
      </c>
      <c r="K940" s="2" t="inlineStr">
        <is>
          <t>marker_272_963968.png</t>
        </is>
      </c>
      <c r="L940" s="11">
        <f>HYPERLINK("2\1\" &amp; K940, "Ver Imagen")</f>
        <v/>
      </c>
      <c r="M940" t="inlineStr">
        <is>
          <t>Moda</t>
        </is>
      </c>
    </row>
    <row r="941">
      <c r="A941" t="n">
        <v>940</v>
      </c>
      <c r="B941" t="inlineStr">
        <is>
          <t>A-5053__367</t>
        </is>
      </c>
      <c r="C941" s="1" t="n">
        <v>37.2859547479</v>
      </c>
      <c r="D941" s="1" t="n">
        <v>-7.14191444754</v>
      </c>
      <c r="E941" s="3" t="n">
        <v>1</v>
      </c>
      <c r="F941" s="2" t="n">
        <v>2</v>
      </c>
      <c r="G941" s="4" t="n">
        <v>2</v>
      </c>
      <c r="H941" s="13" t="n"/>
      <c r="I941" s="15" t="n"/>
      <c r="J941" s="19" t="n">
        <v>2</v>
      </c>
      <c r="K941" s="2" t="inlineStr">
        <is>
          <t>marker_267_963989.png</t>
        </is>
      </c>
      <c r="L941" s="11">
        <f>HYPERLINK("2\1\" &amp; K941, "Ver Imagen")</f>
        <v/>
      </c>
      <c r="M941" t="inlineStr">
        <is>
          <t>Moda</t>
        </is>
      </c>
    </row>
    <row r="942">
      <c r="A942" t="n">
        <v>941</v>
      </c>
      <c r="B942" t="inlineStr">
        <is>
          <t>A-5053__366</t>
        </is>
      </c>
      <c r="C942" s="1" t="n">
        <v>37.2858201615</v>
      </c>
      <c r="D942" s="1" t="n">
        <v>-7.14203147535</v>
      </c>
      <c r="E942" s="3" t="n">
        <v>1</v>
      </c>
      <c r="F942" s="2" t="n">
        <v>2</v>
      </c>
      <c r="G942" s="4" t="n">
        <v>2</v>
      </c>
      <c r="H942" s="13" t="n"/>
      <c r="I942" s="15" t="n"/>
      <c r="J942" s="19" t="n">
        <v>2</v>
      </c>
      <c r="K942" s="2" t="inlineStr">
        <is>
          <t>marker_608_963998.png</t>
        </is>
      </c>
      <c r="L942" s="11">
        <f>HYPERLINK("2\1\" &amp; K942, "Ver Imagen")</f>
        <v/>
      </c>
      <c r="M942" t="inlineStr">
        <is>
          <t>Moda</t>
        </is>
      </c>
    </row>
    <row r="943">
      <c r="A943" t="n">
        <v>942</v>
      </c>
      <c r="B943" t="inlineStr">
        <is>
          <t>A-5053__365</t>
        </is>
      </c>
      <c r="C943" s="1" t="n">
        <v>37.285624334</v>
      </c>
      <c r="D943" s="1" t="n">
        <v>-7.14220243435</v>
      </c>
      <c r="E943" s="3" t="n">
        <v>1</v>
      </c>
      <c r="F943" s="2" t="n">
        <v>2</v>
      </c>
      <c r="G943" s="4" t="n">
        <v>2</v>
      </c>
      <c r="H943" s="13" t="n"/>
      <c r="I943" s="15" t="n"/>
      <c r="J943" s="19" t="n">
        <v>2</v>
      </c>
      <c r="K943" s="2" t="inlineStr">
        <is>
          <t>marker_938_964008.png</t>
        </is>
      </c>
      <c r="L943" s="11">
        <f>HYPERLINK("2\1\" &amp; K943, "Ver Imagen")</f>
        <v/>
      </c>
      <c r="M943" t="inlineStr">
        <is>
          <t>Moda</t>
        </is>
      </c>
    </row>
    <row r="944">
      <c r="A944" t="n">
        <v>943</v>
      </c>
      <c r="B944" t="inlineStr">
        <is>
          <t>A-5053__358</t>
        </is>
      </c>
      <c r="C944" s="1" t="n">
        <v>37.2845727449</v>
      </c>
      <c r="D944" s="1" t="n">
        <v>-7.14310064653</v>
      </c>
      <c r="E944" s="3" t="n">
        <v>1</v>
      </c>
      <c r="F944" s="2" t="n">
        <v>2</v>
      </c>
      <c r="G944" s="4" t="n">
        <v>2</v>
      </c>
      <c r="H944" s="13" t="n"/>
      <c r="I944" s="15" t="n"/>
      <c r="J944" s="19" t="n">
        <v>2</v>
      </c>
      <c r="K944" s="2" t="inlineStr">
        <is>
          <t>marker_704_964093.png</t>
        </is>
      </c>
      <c r="L944" s="11">
        <f>HYPERLINK("2\1\" &amp; K944, "Ver Imagen")</f>
        <v/>
      </c>
      <c r="M944" t="inlineStr">
        <is>
          <t>Moda</t>
        </is>
      </c>
    </row>
    <row r="945">
      <c r="A945" t="n">
        <v>944</v>
      </c>
      <c r="B945" t="inlineStr">
        <is>
          <t>A-5053__354</t>
        </is>
      </c>
      <c r="C945" s="1" t="n">
        <v>37.2838332791</v>
      </c>
      <c r="D945" s="1" t="n">
        <v>-7.14353473493</v>
      </c>
      <c r="E945" s="3" t="n">
        <v>1</v>
      </c>
      <c r="F945" s="2" t="n">
        <v>2</v>
      </c>
      <c r="G945" s="4" t="n">
        <v>2</v>
      </c>
      <c r="H945" s="13" t="n"/>
      <c r="I945" s="15" t="n"/>
      <c r="J945" s="19" t="n">
        <v>2</v>
      </c>
      <c r="K945" s="2" t="inlineStr">
        <is>
          <t>marker_585_964134.png</t>
        </is>
      </c>
      <c r="L945" s="11">
        <f>HYPERLINK("2\1\" &amp; K945, "Ver Imagen")</f>
        <v/>
      </c>
      <c r="M945" t="inlineStr">
        <is>
          <t>Moda</t>
        </is>
      </c>
    </row>
    <row r="946">
      <c r="A946" t="n">
        <v>945</v>
      </c>
      <c r="B946" t="inlineStr">
        <is>
          <t>A-5053__351</t>
        </is>
      </c>
      <c r="C946" s="1" t="n">
        <v>37.2832640137</v>
      </c>
      <c r="D946" s="1" t="n">
        <v>-7.14381948821</v>
      </c>
      <c r="E946" s="3" t="n">
        <v>1</v>
      </c>
      <c r="F946" s="2" t="n">
        <v>2</v>
      </c>
      <c r="G946" s="4" t="n">
        <v>2</v>
      </c>
      <c r="H946" s="13" t="n"/>
      <c r="I946" s="15" t="n"/>
      <c r="J946" s="19" t="n">
        <v>2</v>
      </c>
      <c r="K946" s="2" t="inlineStr">
        <is>
          <t>marker_132_964165.png</t>
        </is>
      </c>
      <c r="L946" s="11">
        <f>HYPERLINK("2\1\" &amp; K946, "Ver Imagen")</f>
        <v/>
      </c>
      <c r="M946" t="inlineStr">
        <is>
          <t>Moda</t>
        </is>
      </c>
    </row>
    <row r="947">
      <c r="A947" t="n">
        <v>946</v>
      </c>
      <c r="B947" t="inlineStr">
        <is>
          <t>A-5053__348</t>
        </is>
      </c>
      <c r="C947" s="1" t="n">
        <v>37.2826857519</v>
      </c>
      <c r="D947" s="1" t="n">
        <v>-7.14405912802</v>
      </c>
      <c r="E947" s="3" t="n">
        <v>1</v>
      </c>
      <c r="F947" s="2" t="n">
        <v>2</v>
      </c>
      <c r="G947" s="4" t="n">
        <v>2</v>
      </c>
      <c r="H947" s="13" t="n"/>
      <c r="I947" s="15" t="n"/>
      <c r="J947" s="19" t="n">
        <v>2</v>
      </c>
      <c r="K947" s="2" t="inlineStr">
        <is>
          <t>marker_161_964194.png</t>
        </is>
      </c>
      <c r="L947" s="11">
        <f>HYPERLINK("2\1\" &amp; K947, "Ver Imagen")</f>
        <v/>
      </c>
      <c r="M947" t="inlineStr">
        <is>
          <t>Moda</t>
        </is>
      </c>
    </row>
    <row r="948">
      <c r="A948" t="n">
        <v>947</v>
      </c>
      <c r="B948" t="inlineStr">
        <is>
          <t>A-5053__344</t>
        </is>
      </c>
      <c r="C948" s="1" t="n">
        <v>37.2819123882</v>
      </c>
      <c r="D948" s="1" t="n">
        <v>-7.14437770012</v>
      </c>
      <c r="E948" s="3" t="n">
        <v>1</v>
      </c>
      <c r="F948" s="2" t="n">
        <v>2</v>
      </c>
      <c r="G948" s="4" t="n">
        <v>2</v>
      </c>
      <c r="H948" s="13" t="n"/>
      <c r="I948" s="15" t="n"/>
      <c r="J948" s="19" t="n">
        <v>2</v>
      </c>
      <c r="K948" s="2" t="inlineStr">
        <is>
          <t>marker_607_964234.png</t>
        </is>
      </c>
      <c r="L948" s="11">
        <f>HYPERLINK("2\1\" &amp; K948, "Ver Imagen")</f>
        <v/>
      </c>
      <c r="M948" t="inlineStr">
        <is>
          <t>Moda</t>
        </is>
      </c>
    </row>
    <row r="949">
      <c r="A949" t="n">
        <v>948</v>
      </c>
      <c r="B949" t="inlineStr">
        <is>
          <t>A-5053__341</t>
        </is>
      </c>
      <c r="C949" s="1" t="n">
        <v>37.2813523651</v>
      </c>
      <c r="D949" s="1" t="n">
        <v>-7.14466307733</v>
      </c>
      <c r="E949" s="3" t="n">
        <v>1</v>
      </c>
      <c r="F949" s="2" t="n">
        <v>2</v>
      </c>
      <c r="G949" s="4" t="n">
        <v>2</v>
      </c>
      <c r="H949" s="13" t="n"/>
      <c r="I949" s="15" t="n"/>
      <c r="J949" s="19" t="n">
        <v>2</v>
      </c>
      <c r="K949" s="2" t="inlineStr">
        <is>
          <t>marker_491_964261.png</t>
        </is>
      </c>
      <c r="L949" s="11">
        <f>HYPERLINK("2\1\" &amp; K949, "Ver Imagen")</f>
        <v/>
      </c>
      <c r="M949" t="inlineStr">
        <is>
          <t>Moda</t>
        </is>
      </c>
    </row>
    <row r="950">
      <c r="A950" t="n">
        <v>949</v>
      </c>
      <c r="B950" t="inlineStr">
        <is>
          <t>A-5053__313</t>
        </is>
      </c>
      <c r="C950" s="1" t="n">
        <v>37.2767971802</v>
      </c>
      <c r="D950" s="1" t="n">
        <v>-7.14315612399</v>
      </c>
      <c r="E950" s="3" t="n">
        <v>1</v>
      </c>
      <c r="F950" s="2" t="n">
        <v>2</v>
      </c>
      <c r="G950" s="4" t="n">
        <v>2</v>
      </c>
      <c r="H950" s="13" t="n"/>
      <c r="I950" s="15" t="n"/>
      <c r="J950" s="19" t="n">
        <v>2</v>
      </c>
      <c r="K950" s="2" t="inlineStr">
        <is>
          <t>marker_623_964644.png</t>
        </is>
      </c>
      <c r="L950" s="11">
        <f>HYPERLINK("2\1\" &amp; K950, "Ver Imagen")</f>
        <v/>
      </c>
      <c r="M950" t="inlineStr">
        <is>
          <t>Moda</t>
        </is>
      </c>
    </row>
    <row r="951">
      <c r="A951" t="n">
        <v>950</v>
      </c>
      <c r="B951" t="inlineStr">
        <is>
          <t>A-5053__157</t>
        </is>
      </c>
      <c r="C951" s="1" t="n">
        <v>37.2501027104</v>
      </c>
      <c r="D951" s="1" t="n">
        <v>-7.12726310804</v>
      </c>
      <c r="E951" s="3" t="n">
        <v>1</v>
      </c>
      <c r="F951" s="2" t="n">
        <v>2</v>
      </c>
      <c r="G951" s="4" t="n">
        <v>2</v>
      </c>
      <c r="H951" s="13" t="n"/>
      <c r="I951" s="15" t="n"/>
      <c r="J951" s="19" t="n">
        <v>2</v>
      </c>
      <c r="K951" s="2" t="inlineStr">
        <is>
          <t>marker_568_966314.png</t>
        </is>
      </c>
      <c r="L951" s="11">
        <f>HYPERLINK("2\1\" &amp; K951, "Ver Imagen")</f>
        <v/>
      </c>
      <c r="M951" t="inlineStr">
        <is>
          <t>Moda</t>
        </is>
      </c>
    </row>
    <row r="952">
      <c r="A952" t="n">
        <v>951</v>
      </c>
      <c r="B952" t="inlineStr">
        <is>
          <t>A-5053__156</t>
        </is>
      </c>
      <c r="C952" s="1" t="n">
        <v>37.2499441587</v>
      </c>
      <c r="D952" s="1" t="n">
        <v>-7.12728788379</v>
      </c>
      <c r="E952" s="3" t="n">
        <v>1</v>
      </c>
      <c r="F952" s="2" t="n">
        <v>2</v>
      </c>
      <c r="G952" s="4" t="n">
        <v>2</v>
      </c>
      <c r="H952" s="13" t="n"/>
      <c r="I952" s="15" t="n"/>
      <c r="J952" s="19" t="n">
        <v>2</v>
      </c>
      <c r="K952" s="2" t="inlineStr">
        <is>
          <t>marker_391_966323.png</t>
        </is>
      </c>
      <c r="L952" s="11">
        <f>HYPERLINK("2\1\" &amp; K952, "Ver Imagen")</f>
        <v/>
      </c>
      <c r="M952" t="inlineStr">
        <is>
          <t>Moda</t>
        </is>
      </c>
    </row>
    <row r="953">
      <c r="A953" t="n">
        <v>952</v>
      </c>
      <c r="B953" t="inlineStr">
        <is>
          <t>A-5053__129</t>
        </is>
      </c>
      <c r="C953" s="1" t="n">
        <v>37.2444577442</v>
      </c>
      <c r="D953" s="1" t="n">
        <v>-7.12809980952</v>
      </c>
      <c r="E953" s="3" t="n">
        <v>1</v>
      </c>
      <c r="F953" s="2" t="n">
        <v>2</v>
      </c>
      <c r="G953" s="4" t="n">
        <v>2</v>
      </c>
      <c r="H953" s="13" t="n"/>
      <c r="I953" s="15" t="n"/>
      <c r="J953" s="19" t="n">
        <v>2</v>
      </c>
      <c r="K953" s="2" t="inlineStr">
        <is>
          <t>marker_449_019474.png</t>
        </is>
      </c>
      <c r="L953" s="11">
        <f>HYPERLINK("2\1\" &amp; K953, "Ver Imagen")</f>
        <v/>
      </c>
      <c r="M953" t="inlineStr">
        <is>
          <t>Moda</t>
        </is>
      </c>
    </row>
    <row r="954">
      <c r="A954" t="n">
        <v>953</v>
      </c>
      <c r="B954" t="inlineStr">
        <is>
          <t>A-5053__120</t>
        </is>
      </c>
      <c r="C954" s="1" t="n">
        <v>37.2426738321</v>
      </c>
      <c r="D954" s="1" t="n">
        <v>-7.12836437108</v>
      </c>
      <c r="E954" s="3" t="n">
        <v>1</v>
      </c>
      <c r="F954" s="2" t="n">
        <v>2</v>
      </c>
      <c r="G954" s="4" t="n">
        <v>2</v>
      </c>
      <c r="H954" s="13" t="n"/>
      <c r="I954" s="15" t="n"/>
      <c r="J954" s="19" t="n">
        <v>2</v>
      </c>
      <c r="K954" s="2" t="inlineStr">
        <is>
          <t>marker_850_019601.png</t>
        </is>
      </c>
      <c r="L954" s="11">
        <f>HYPERLINK("2\1\" &amp; K954, "Ver Imagen")</f>
        <v/>
      </c>
      <c r="M954" t="inlineStr">
        <is>
          <t>Moda</t>
        </is>
      </c>
    </row>
    <row r="955">
      <c r="A955" t="n">
        <v>954</v>
      </c>
      <c r="B955" t="inlineStr">
        <is>
          <t>A-5053__118</t>
        </is>
      </c>
      <c r="C955" s="1" t="n">
        <v>37.2422495126</v>
      </c>
      <c r="D955" s="1" t="n">
        <v>-7.12843032639</v>
      </c>
      <c r="E955" s="3" t="n">
        <v>1</v>
      </c>
      <c r="F955" s="2" t="n">
        <v>2</v>
      </c>
      <c r="G955" s="4" t="n">
        <v>2</v>
      </c>
      <c r="H955" s="13" t="n"/>
      <c r="I955" s="15" t="n"/>
      <c r="J955" s="19" t="n">
        <v>2</v>
      </c>
      <c r="K955" s="2" t="inlineStr">
        <is>
          <t>marker_514_019621.png</t>
        </is>
      </c>
      <c r="L955" s="11">
        <f>HYPERLINK("2\1\" &amp; K955, "Ver Imagen")</f>
        <v/>
      </c>
      <c r="M955" t="inlineStr">
        <is>
          <t>Moda</t>
        </is>
      </c>
    </row>
    <row r="956">
      <c r="A956" t="n">
        <v>955</v>
      </c>
      <c r="B956" t="inlineStr">
        <is>
          <t>A-5053__117</t>
        </is>
      </c>
      <c r="C956" s="1" t="n">
        <v>37.2420948387</v>
      </c>
      <c r="D956" s="1" t="n">
        <v>-7.1284543327</v>
      </c>
      <c r="E956" s="3" t="n">
        <v>1</v>
      </c>
      <c r="F956" s="2" t="n">
        <v>2</v>
      </c>
      <c r="G956" s="4" t="n">
        <v>2</v>
      </c>
      <c r="H956" s="13" t="n"/>
      <c r="I956" s="15" t="n"/>
      <c r="J956" s="19" t="n">
        <v>2</v>
      </c>
      <c r="K956" s="2" t="inlineStr">
        <is>
          <t>marker_128_019629.png</t>
        </is>
      </c>
      <c r="L956" s="11">
        <f>HYPERLINK("2\1\" &amp; K956, "Ver Imagen")</f>
        <v/>
      </c>
      <c r="M956" t="inlineStr">
        <is>
          <t>Moda</t>
        </is>
      </c>
    </row>
    <row r="957">
      <c r="A957" t="n">
        <v>956</v>
      </c>
      <c r="B957" t="inlineStr">
        <is>
          <t>A-5053__62</t>
        </is>
      </c>
      <c r="C957" s="1" t="n">
        <v>37.2310713441</v>
      </c>
      <c r="D957" s="1" t="n">
        <v>-7.12706339107</v>
      </c>
      <c r="E957" s="3" t="n">
        <v>1</v>
      </c>
      <c r="F957" s="2" t="n">
        <v>2</v>
      </c>
      <c r="G957" s="4" t="n">
        <v>2</v>
      </c>
      <c r="H957" s="13" t="n"/>
      <c r="I957" s="15" t="n"/>
      <c r="J957" s="19" t="n">
        <v>2</v>
      </c>
      <c r="K957" s="2" t="inlineStr">
        <is>
          <t>marker_700_020781.png</t>
        </is>
      </c>
      <c r="L957" s="11">
        <f>HYPERLINK("2\1\" &amp; K957, "Ver Imagen")</f>
        <v/>
      </c>
      <c r="M957" t="inlineStr">
        <is>
          <t>Moda</t>
        </is>
      </c>
    </row>
    <row r="958">
      <c r="A958" t="n">
        <v>957</v>
      </c>
      <c r="B958" t="inlineStr">
        <is>
          <t>A-495__13</t>
        </is>
      </c>
      <c r="C958" s="1" t="n">
        <v>37.443913627</v>
      </c>
      <c r="D958" s="1" t="n">
        <v>-7.09716810706</v>
      </c>
      <c r="E958" s="3" t="n">
        <v>2</v>
      </c>
      <c r="F958" s="2" t="n">
        <v>2</v>
      </c>
      <c r="G958" s="4" t="n">
        <v>1</v>
      </c>
      <c r="H958" s="13" t="n"/>
      <c r="I958" s="15" t="n"/>
      <c r="J958" s="19" t="n">
        <v>2</v>
      </c>
      <c r="K958" s="2" t="inlineStr">
        <is>
          <t>marker_318_381188.png</t>
        </is>
      </c>
      <c r="L958" s="11">
        <f>HYPERLINK("2\1\" &amp; K958, "Ver Imagen")</f>
        <v/>
      </c>
      <c r="M958" t="inlineStr">
        <is>
          <t>Moda</t>
        </is>
      </c>
    </row>
    <row r="959">
      <c r="A959" t="n">
        <v>958</v>
      </c>
      <c r="B959" t="inlineStr">
        <is>
          <t>A-495__98</t>
        </is>
      </c>
      <c r="C959" s="1" t="n">
        <v>37.4363635001</v>
      </c>
      <c r="D959" s="1" t="n">
        <v>-7.0780328831</v>
      </c>
      <c r="E959" s="3" t="n">
        <v>2</v>
      </c>
      <c r="F959" s="2" t="n">
        <v>2</v>
      </c>
      <c r="G959" s="4" t="n">
        <v>1</v>
      </c>
      <c r="H959" s="13" t="n"/>
      <c r="I959" s="15" t="n"/>
      <c r="J959" s="19" t="n">
        <v>2</v>
      </c>
      <c r="K959" s="2" t="inlineStr">
        <is>
          <t>marker_695_382135.png</t>
        </is>
      </c>
      <c r="L959" s="11">
        <f>HYPERLINK("2\1\" &amp; K959, "Ver Imagen")</f>
        <v/>
      </c>
      <c r="M959" t="inlineStr">
        <is>
          <t>Moda</t>
        </is>
      </c>
    </row>
    <row r="960">
      <c r="A960" t="n">
        <v>959</v>
      </c>
      <c r="B960" t="inlineStr">
        <is>
          <t>A-495__104</t>
        </is>
      </c>
      <c r="C960" s="1" t="n">
        <v>37.4356961968</v>
      </c>
      <c r="D960" s="1" t="n">
        <v>-7.07684775615</v>
      </c>
      <c r="E960" s="3" t="n">
        <v>2</v>
      </c>
      <c r="F960" s="2" t="n">
        <v>2</v>
      </c>
      <c r="G960" s="4" t="n">
        <v>1</v>
      </c>
      <c r="H960" s="13" t="n"/>
      <c r="I960" s="15" t="n"/>
      <c r="J960" s="19" t="n">
        <v>2</v>
      </c>
      <c r="K960" s="2" t="inlineStr">
        <is>
          <t>marker_397_382197.png</t>
        </is>
      </c>
      <c r="L960" s="11">
        <f>HYPERLINK("2\1\" &amp; K960, "Ver Imagen")</f>
        <v/>
      </c>
      <c r="M960" t="inlineStr">
        <is>
          <t>Moda</t>
        </is>
      </c>
    </row>
    <row r="961">
      <c r="A961" t="n">
        <v>960</v>
      </c>
      <c r="B961" t="inlineStr">
        <is>
          <t>A-495__109</t>
        </is>
      </c>
      <c r="C961" s="1" t="n">
        <v>37.4354956056</v>
      </c>
      <c r="D961" s="1" t="n">
        <v>-7.07581733861</v>
      </c>
      <c r="E961" s="3" t="n">
        <v>2</v>
      </c>
      <c r="F961" s="2" t="n">
        <v>2</v>
      </c>
      <c r="G961" s="4" t="n">
        <v>1</v>
      </c>
      <c r="H961" s="13" t="n"/>
      <c r="I961" s="15" t="n"/>
      <c r="J961" s="19" t="n">
        <v>2</v>
      </c>
      <c r="K961" s="2" t="inlineStr">
        <is>
          <t>marker_952_382264.png</t>
        </is>
      </c>
      <c r="L961" s="11">
        <f>HYPERLINK("2\1\" &amp; K961, "Ver Imagen")</f>
        <v/>
      </c>
      <c r="M961" t="inlineStr">
        <is>
          <t>Moda</t>
        </is>
      </c>
    </row>
    <row r="962">
      <c r="A962" t="n">
        <v>961</v>
      </c>
      <c r="B962" t="inlineStr">
        <is>
          <t>A-495__133</t>
        </is>
      </c>
      <c r="C962" s="1" t="n">
        <v>37.4349747285</v>
      </c>
      <c r="D962" s="1" t="n">
        <v>-7.06979634149</v>
      </c>
      <c r="E962" s="3" t="n">
        <v>2</v>
      </c>
      <c r="F962" s="2" t="n">
        <v>2</v>
      </c>
      <c r="G962" s="4" t="n">
        <v>1</v>
      </c>
      <c r="H962" s="13" t="n"/>
      <c r="I962" s="15" t="n"/>
      <c r="J962" s="19" t="n">
        <v>2</v>
      </c>
      <c r="K962" s="2" t="inlineStr">
        <is>
          <t>marker_217_382507.png</t>
        </is>
      </c>
      <c r="L962" s="11">
        <f>HYPERLINK("2\1\" &amp; K962, "Ver Imagen")</f>
        <v/>
      </c>
      <c r="M962" t="inlineStr">
        <is>
          <t>Moda</t>
        </is>
      </c>
    </row>
    <row r="963">
      <c r="A963" t="n">
        <v>962</v>
      </c>
      <c r="B963" t="inlineStr">
        <is>
          <t>A-495__152</t>
        </is>
      </c>
      <c r="C963" s="1" t="n">
        <v>37.4332284854</v>
      </c>
      <c r="D963" s="1" t="n">
        <v>-7.06551638589</v>
      </c>
      <c r="E963" s="3" t="n">
        <v>2</v>
      </c>
      <c r="F963" s="2" t="n">
        <v>2</v>
      </c>
      <c r="G963" s="4" t="n">
        <v>1</v>
      </c>
      <c r="H963" s="13" t="n"/>
      <c r="I963" s="15" t="n"/>
      <c r="J963" s="19" t="n">
        <v>2</v>
      </c>
      <c r="K963" s="2" t="inlineStr">
        <is>
          <t>marker_842_382706.png</t>
        </is>
      </c>
      <c r="L963" s="11">
        <f>HYPERLINK("2\1\" &amp; K963, "Ver Imagen")</f>
        <v/>
      </c>
      <c r="M963" t="inlineStr">
        <is>
          <t>Moda</t>
        </is>
      </c>
    </row>
    <row r="964">
      <c r="A964" t="n">
        <v>963</v>
      </c>
      <c r="B964" t="inlineStr">
        <is>
          <t>A-495__169</t>
        </is>
      </c>
      <c r="C964" s="1" t="n">
        <v>37.4315070151</v>
      </c>
      <c r="D964" s="1" t="n">
        <v>-7.06178652759</v>
      </c>
      <c r="E964" s="3" t="n">
        <v>2</v>
      </c>
      <c r="F964" s="2" t="n">
        <v>2</v>
      </c>
      <c r="G964" s="4" t="n">
        <v>1</v>
      </c>
      <c r="H964" s="13" t="n"/>
      <c r="I964" s="15" t="n"/>
      <c r="J964" s="19" t="n">
        <v>2</v>
      </c>
      <c r="K964" s="2" t="inlineStr">
        <is>
          <t>marker_314_382901.png</t>
        </is>
      </c>
      <c r="L964" s="11">
        <f>HYPERLINK("2\1\" &amp; K964, "Ver Imagen")</f>
        <v/>
      </c>
      <c r="M964" t="inlineStr">
        <is>
          <t>Moda</t>
        </is>
      </c>
    </row>
    <row r="965">
      <c r="A965" t="n">
        <v>964</v>
      </c>
      <c r="B965" t="inlineStr">
        <is>
          <t>A-495_1__119</t>
        </is>
      </c>
      <c r="C965" s="1" t="n">
        <v>37.4709535221</v>
      </c>
      <c r="D965" s="1" t="n">
        <v>-7.12536677727</v>
      </c>
      <c r="E965" s="3" t="n">
        <v>2</v>
      </c>
      <c r="F965" s="2" t="n">
        <v>2</v>
      </c>
      <c r="G965" s="4" t="n">
        <v>1</v>
      </c>
      <c r="H965" s="13" t="n"/>
      <c r="I965" s="15" t="n"/>
      <c r="J965" s="19" t="n">
        <v>2</v>
      </c>
      <c r="K965" s="2" t="inlineStr">
        <is>
          <t>marker_601_384579.png</t>
        </is>
      </c>
      <c r="L965" s="11">
        <f>HYPERLINK("2\1\" &amp; K965, "Ver Imagen")</f>
        <v/>
      </c>
      <c r="M965" t="inlineStr">
        <is>
          <t>Moda</t>
        </is>
      </c>
    </row>
    <row r="966">
      <c r="A966" t="n">
        <v>965</v>
      </c>
      <c r="B966" t="inlineStr">
        <is>
          <t>A-495_1__95</t>
        </is>
      </c>
      <c r="C966" s="1" t="n">
        <v>37.4665909292</v>
      </c>
      <c r="D966" s="1" t="n">
        <v>-7.12272778829</v>
      </c>
      <c r="E966" s="3" t="n">
        <v>2</v>
      </c>
      <c r="F966" s="2" t="n">
        <v>2</v>
      </c>
      <c r="G966" s="4" t="n">
        <v>1</v>
      </c>
      <c r="H966" s="13" t="n"/>
      <c r="I966" s="15" t="n"/>
      <c r="J966" s="19" t="n">
        <v>2</v>
      </c>
      <c r="K966" s="2" t="inlineStr">
        <is>
          <t>marker_145_385087.png</t>
        </is>
      </c>
      <c r="L966" s="11">
        <f>HYPERLINK("2\1\" &amp; K966, "Ver Imagen")</f>
        <v/>
      </c>
      <c r="M966" t="inlineStr">
        <is>
          <t>Moda</t>
        </is>
      </c>
    </row>
    <row r="967">
      <c r="A967" t="n">
        <v>966</v>
      </c>
      <c r="B967" t="inlineStr">
        <is>
          <t>A-495_1__94</t>
        </is>
      </c>
      <c r="C967" s="1" t="n">
        <v>37.4663927449</v>
      </c>
      <c r="D967" s="1" t="n">
        <v>-7.12271990425</v>
      </c>
      <c r="E967" s="3" t="n">
        <v>2</v>
      </c>
      <c r="F967" s="2" t="n">
        <v>2</v>
      </c>
      <c r="G967" s="4" t="n">
        <v>1</v>
      </c>
      <c r="H967" s="13" t="n"/>
      <c r="I967" s="15" t="n"/>
      <c r="J967" s="19" t="n">
        <v>2</v>
      </c>
      <c r="K967" s="2" t="inlineStr">
        <is>
          <t>marker_848_385097.png</t>
        </is>
      </c>
      <c r="L967" s="11">
        <f>HYPERLINK("2\1\" &amp; K967, "Ver Imagen")</f>
        <v/>
      </c>
      <c r="M967" t="inlineStr">
        <is>
          <t>Moda</t>
        </is>
      </c>
    </row>
    <row r="968">
      <c r="A968" t="n">
        <v>967</v>
      </c>
      <c r="B968" t="inlineStr">
        <is>
          <t>A-495_1__93</t>
        </is>
      </c>
      <c r="C968" s="1" t="n">
        <v>37.4661549983</v>
      </c>
      <c r="D968" s="1" t="n">
        <v>-7.12273431717</v>
      </c>
      <c r="E968" s="3" t="n">
        <v>2</v>
      </c>
      <c r="F968" s="2" t="n">
        <v>2</v>
      </c>
      <c r="G968" s="4" t="n">
        <v>1</v>
      </c>
      <c r="H968" s="13" t="n"/>
      <c r="I968" s="15" t="n"/>
      <c r="J968" s="19" t="n">
        <v>2</v>
      </c>
      <c r="K968" s="2" t="inlineStr">
        <is>
          <t>marker_668_385107.png</t>
        </is>
      </c>
      <c r="L968" s="11">
        <f>HYPERLINK("2\1\" &amp; K968, "Ver Imagen")</f>
        <v/>
      </c>
      <c r="M968" t="inlineStr">
        <is>
          <t>Moda</t>
        </is>
      </c>
    </row>
    <row r="969">
      <c r="A969" t="n">
        <v>968</v>
      </c>
      <c r="B969" t="inlineStr">
        <is>
          <t>A-495_1__87</t>
        </is>
      </c>
      <c r="C969" s="1" t="n">
        <v>37.4650256727</v>
      </c>
      <c r="D969" s="1" t="n">
        <v>-7.12319705849</v>
      </c>
      <c r="E969" s="3" t="n">
        <v>1</v>
      </c>
      <c r="F969" s="2" t="n">
        <v>2</v>
      </c>
      <c r="G969" s="4" t="n">
        <v>2</v>
      </c>
      <c r="H969" s="13" t="n"/>
      <c r="I969" s="15" t="n"/>
      <c r="J969" s="19" t="n">
        <v>2</v>
      </c>
      <c r="K969" s="2" t="inlineStr">
        <is>
          <t>marker_287_385173.png</t>
        </is>
      </c>
      <c r="L969" s="11">
        <f>HYPERLINK("2\1\" &amp; K969, "Ver Imagen")</f>
        <v/>
      </c>
      <c r="M969" t="inlineStr">
        <is>
          <t>Moda</t>
        </is>
      </c>
    </row>
    <row r="970">
      <c r="A970" t="n">
        <v>969</v>
      </c>
      <c r="B970" t="inlineStr">
        <is>
          <t>A-495_1__86</t>
        </is>
      </c>
      <c r="C970" s="1" t="n">
        <v>37.4648645355</v>
      </c>
      <c r="D970" s="1" t="n">
        <v>-7.12330595907</v>
      </c>
      <c r="E970" s="3" t="n">
        <v>1</v>
      </c>
      <c r="F970" s="2" t="n">
        <v>2</v>
      </c>
      <c r="G970" s="4" t="n">
        <v>2</v>
      </c>
      <c r="H970" s="13" t="n"/>
      <c r="I970" s="15" t="n"/>
      <c r="J970" s="19" t="n">
        <v>2</v>
      </c>
      <c r="K970" s="2" t="inlineStr">
        <is>
          <t>marker_966_385183.png</t>
        </is>
      </c>
      <c r="L970" s="11">
        <f>HYPERLINK("2\1\" &amp; K970, "Ver Imagen")</f>
        <v/>
      </c>
      <c r="M970" t="inlineStr">
        <is>
          <t>Moda</t>
        </is>
      </c>
    </row>
    <row r="971">
      <c r="A971" t="n">
        <v>970</v>
      </c>
      <c r="B971" t="inlineStr">
        <is>
          <t>A-495_1__83</t>
        </is>
      </c>
      <c r="C971" s="1" t="n">
        <v>37.4643453165</v>
      </c>
      <c r="D971" s="1" t="n">
        <v>-7.12365302177</v>
      </c>
      <c r="E971" s="3" t="n">
        <v>1</v>
      </c>
      <c r="F971" s="2" t="n">
        <v>2</v>
      </c>
      <c r="G971" s="4" t="n">
        <v>2</v>
      </c>
      <c r="H971" s="13" t="n"/>
      <c r="I971" s="15" t="n"/>
      <c r="J971" s="19" t="n">
        <v>2</v>
      </c>
      <c r="K971" s="2" t="inlineStr">
        <is>
          <t>marker_324_385208.png</t>
        </is>
      </c>
      <c r="L971" s="11">
        <f>HYPERLINK("2\1\" &amp; K971, "Ver Imagen")</f>
        <v/>
      </c>
      <c r="M971" t="inlineStr">
        <is>
          <t>Moda</t>
        </is>
      </c>
    </row>
    <row r="972">
      <c r="A972" t="n">
        <v>971</v>
      </c>
      <c r="B972" t="inlineStr">
        <is>
          <t>A-495_1__81</t>
        </is>
      </c>
      <c r="C972" s="1" t="n">
        <v>37.4639684769</v>
      </c>
      <c r="D972" s="1" t="n">
        <v>-7.1238579255</v>
      </c>
      <c r="E972" s="3" t="n">
        <v>1</v>
      </c>
      <c r="F972" s="2" t="n">
        <v>2</v>
      </c>
      <c r="G972" s="4" t="n">
        <v>2</v>
      </c>
      <c r="H972" s="13" t="n"/>
      <c r="I972" s="15" t="n"/>
      <c r="J972" s="19" t="n">
        <v>2</v>
      </c>
      <c r="K972" s="2" t="inlineStr">
        <is>
          <t>marker_558_385225.png</t>
        </is>
      </c>
      <c r="L972" s="11">
        <f>HYPERLINK("2\1\" &amp; K972, "Ver Imagen")</f>
        <v/>
      </c>
      <c r="M972" t="inlineStr">
        <is>
          <t>Moda</t>
        </is>
      </c>
    </row>
    <row r="973">
      <c r="A973" t="n">
        <v>972</v>
      </c>
      <c r="B973" t="inlineStr">
        <is>
          <t>A-495_1__80</t>
        </is>
      </c>
      <c r="C973" s="1" t="n">
        <v>37.4637535387</v>
      </c>
      <c r="D973" s="1" t="n">
        <v>-7.12395378514</v>
      </c>
      <c r="E973" s="3" t="n">
        <v>1</v>
      </c>
      <c r="F973" s="2" t="n">
        <v>2</v>
      </c>
      <c r="G973" s="4" t="n">
        <v>2</v>
      </c>
      <c r="H973" s="13" t="n"/>
      <c r="I973" s="15" t="n"/>
      <c r="J973" s="19" t="n">
        <v>2</v>
      </c>
      <c r="K973" s="2" t="inlineStr">
        <is>
          <t>marker_183_385234.png</t>
        </is>
      </c>
      <c r="L973" s="11">
        <f>HYPERLINK("2\1\" &amp; K973, "Ver Imagen")</f>
        <v/>
      </c>
      <c r="M973" t="inlineStr">
        <is>
          <t>Moda</t>
        </is>
      </c>
    </row>
    <row r="974">
      <c r="A974" t="n">
        <v>973</v>
      </c>
      <c r="B974" t="inlineStr">
        <is>
          <t>A-495_1__78</t>
        </is>
      </c>
      <c r="C974" s="1" t="n">
        <v>37.4633873468</v>
      </c>
      <c r="D974" s="1" t="n">
        <v>-7.12408061704</v>
      </c>
      <c r="E974" s="3" t="n">
        <v>1</v>
      </c>
      <c r="F974" s="2" t="n">
        <v>2</v>
      </c>
      <c r="G974" s="4" t="n">
        <v>2</v>
      </c>
      <c r="H974" s="13" t="n"/>
      <c r="I974" s="15" t="n"/>
      <c r="J974" s="19" t="n">
        <v>2</v>
      </c>
      <c r="K974" s="2" t="inlineStr">
        <is>
          <t>marker_477_385251.png</t>
        </is>
      </c>
      <c r="L974" s="11">
        <f>HYPERLINK("2\1\" &amp; K974, "Ver Imagen")</f>
        <v/>
      </c>
      <c r="M974" t="inlineStr">
        <is>
          <t>Moda</t>
        </is>
      </c>
    </row>
    <row r="975">
      <c r="A975" t="n">
        <v>974</v>
      </c>
      <c r="B975" t="inlineStr">
        <is>
          <t>A-495_1__70</t>
        </is>
      </c>
      <c r="C975" s="1" t="n">
        <v>37.4617553575</v>
      </c>
      <c r="D975" s="1" t="n">
        <v>-7.12439755708</v>
      </c>
      <c r="E975" s="3" t="n">
        <v>1</v>
      </c>
      <c r="F975" s="2" t="n">
        <v>2</v>
      </c>
      <c r="G975" s="4" t="n">
        <v>2</v>
      </c>
      <c r="H975" s="13" t="n"/>
      <c r="I975" s="15" t="n"/>
      <c r="J975" s="19" t="n">
        <v>2</v>
      </c>
      <c r="K975" s="2" t="inlineStr">
        <is>
          <t>marker_485_385327.png</t>
        </is>
      </c>
      <c r="L975" s="11">
        <f>HYPERLINK("2\1\" &amp; K975, "Ver Imagen")</f>
        <v/>
      </c>
      <c r="M975" t="inlineStr">
        <is>
          <t>Moda</t>
        </is>
      </c>
    </row>
    <row r="976">
      <c r="A976" t="n">
        <v>975</v>
      </c>
      <c r="B976" t="inlineStr">
        <is>
          <t>A-495_1__69</t>
        </is>
      </c>
      <c r="C976" s="1" t="n">
        <v>37.4615683413</v>
      </c>
      <c r="D976" s="1" t="n">
        <v>-7.12444223351</v>
      </c>
      <c r="E976" s="3" t="n">
        <v>1</v>
      </c>
      <c r="F976" s="2" t="n">
        <v>2</v>
      </c>
      <c r="G976" s="4" t="n">
        <v>2</v>
      </c>
      <c r="H976" s="13" t="n"/>
      <c r="I976" s="15" t="n"/>
      <c r="J976" s="19" t="n">
        <v>2</v>
      </c>
      <c r="K976" s="2" t="inlineStr">
        <is>
          <t>marker_545_385337.png</t>
        </is>
      </c>
      <c r="L976" s="11">
        <f>HYPERLINK("2\1\" &amp; K976, "Ver Imagen")</f>
        <v/>
      </c>
      <c r="M976" t="inlineStr">
        <is>
          <t>Moda</t>
        </is>
      </c>
    </row>
    <row r="977">
      <c r="A977" t="n">
        <v>976</v>
      </c>
      <c r="B977" t="inlineStr">
        <is>
          <t>A-495_1__68</t>
        </is>
      </c>
      <c r="C977" s="1" t="n">
        <v>37.4613754351</v>
      </c>
      <c r="D977" s="1" t="n">
        <v>-7.12449055484</v>
      </c>
      <c r="E977" s="3" t="n">
        <v>1</v>
      </c>
      <c r="F977" s="2" t="n">
        <v>2</v>
      </c>
      <c r="G977" s="4" t="n">
        <v>2</v>
      </c>
      <c r="H977" s="13" t="n"/>
      <c r="I977" s="15" t="n"/>
      <c r="J977" s="19" t="n">
        <v>2</v>
      </c>
      <c r="K977" s="2" t="inlineStr">
        <is>
          <t>marker_384_385346.png</t>
        </is>
      </c>
      <c r="L977" s="11">
        <f>HYPERLINK("2\1\" &amp; K977, "Ver Imagen")</f>
        <v/>
      </c>
      <c r="M977" t="inlineStr">
        <is>
          <t>Moda</t>
        </is>
      </c>
    </row>
    <row r="978">
      <c r="A978" t="n">
        <v>977</v>
      </c>
      <c r="B978" t="inlineStr">
        <is>
          <t>A-495_1__67</t>
        </is>
      </c>
      <c r="C978" s="1" t="n">
        <v>37.4611813222</v>
      </c>
      <c r="D978" s="1" t="n">
        <v>-7.1245407248</v>
      </c>
      <c r="E978" s="3" t="n">
        <v>1</v>
      </c>
      <c r="F978" s="2" t="n">
        <v>2</v>
      </c>
      <c r="G978" s="4" t="n">
        <v>2</v>
      </c>
      <c r="H978" s="13" t="n"/>
      <c r="I978" s="15" t="n"/>
      <c r="J978" s="19" t="n">
        <v>2</v>
      </c>
      <c r="K978" s="2" t="inlineStr">
        <is>
          <t>marker_691_385354.png</t>
        </is>
      </c>
      <c r="L978" s="11">
        <f>HYPERLINK("2\1\" &amp; K978, "Ver Imagen")</f>
        <v/>
      </c>
      <c r="M978" t="inlineStr">
        <is>
          <t>Moda</t>
        </is>
      </c>
    </row>
    <row r="979">
      <c r="A979" t="n">
        <v>978</v>
      </c>
      <c r="B979" t="inlineStr">
        <is>
          <t>A-495_1__66</t>
        </is>
      </c>
      <c r="C979" s="1" t="n">
        <v>37.460983809</v>
      </c>
      <c r="D979" s="1" t="n">
        <v>-7.12459371705</v>
      </c>
      <c r="E979" s="3" t="n">
        <v>1</v>
      </c>
      <c r="F979" s="2" t="n">
        <v>2</v>
      </c>
      <c r="G979" s="4" t="n">
        <v>2</v>
      </c>
      <c r="H979" s="13" t="n"/>
      <c r="I979" s="15" t="n"/>
      <c r="J979" s="19" t="n">
        <v>2</v>
      </c>
      <c r="K979" s="2" t="inlineStr">
        <is>
          <t>marker_298_385364.png</t>
        </is>
      </c>
      <c r="L979" s="11">
        <f>HYPERLINK("2\1\" &amp; K979, "Ver Imagen")</f>
        <v/>
      </c>
      <c r="M979" t="inlineStr">
        <is>
          <t>Moda</t>
        </is>
      </c>
    </row>
    <row r="980">
      <c r="A980" t="n">
        <v>979</v>
      </c>
      <c r="B980" t="inlineStr">
        <is>
          <t>A-495_1__62</t>
        </is>
      </c>
      <c r="C980" s="1" t="n">
        <v>37.4601869344</v>
      </c>
      <c r="D980" s="1" t="n">
        <v>-7.12483483661</v>
      </c>
      <c r="E980" s="3" t="n">
        <v>2</v>
      </c>
      <c r="F980" s="2" t="n">
        <v>2</v>
      </c>
      <c r="G980" s="4" t="n">
        <v>1</v>
      </c>
      <c r="H980" s="13" t="n"/>
      <c r="I980" s="15" t="n"/>
      <c r="J980" s="19" t="n">
        <v>2</v>
      </c>
      <c r="K980" s="2" t="inlineStr">
        <is>
          <t>marker_497_385401.png</t>
        </is>
      </c>
      <c r="L980" s="11">
        <f>HYPERLINK("2\1\" &amp; K980, "Ver Imagen")</f>
        <v/>
      </c>
      <c r="M980" t="inlineStr">
        <is>
          <t>Moda</t>
        </is>
      </c>
    </row>
    <row r="981">
      <c r="A981" t="n">
        <v>980</v>
      </c>
      <c r="B981" t="inlineStr">
        <is>
          <t>A-495_1__60</t>
        </is>
      </c>
      <c r="C981" s="1" t="n">
        <v>37.4598090365</v>
      </c>
      <c r="D981" s="1" t="n">
        <v>-7.12496331305</v>
      </c>
      <c r="E981" s="3" t="n">
        <v>1</v>
      </c>
      <c r="F981" s="2" t="n">
        <v>2</v>
      </c>
      <c r="G981" s="4" t="n">
        <v>2</v>
      </c>
      <c r="H981" s="13" t="n"/>
      <c r="I981" s="15" t="n"/>
      <c r="J981" s="19" t="n">
        <v>2</v>
      </c>
      <c r="K981" s="2" t="inlineStr">
        <is>
          <t>marker_751_385469.png</t>
        </is>
      </c>
      <c r="L981" s="11">
        <f>HYPERLINK("2\1\" &amp; K981, "Ver Imagen")</f>
        <v/>
      </c>
      <c r="M981" t="inlineStr">
        <is>
          <t>Moda</t>
        </is>
      </c>
    </row>
    <row r="982">
      <c r="A982" t="n">
        <v>981</v>
      </c>
      <c r="B982" t="inlineStr">
        <is>
          <t>A-495_1__34</t>
        </is>
      </c>
      <c r="C982" s="1" t="n">
        <v>37.4547551511</v>
      </c>
      <c r="D982" s="1" t="n">
        <v>-7.12681723888</v>
      </c>
      <c r="E982" s="3" t="n">
        <v>1</v>
      </c>
      <c r="F982" s="2" t="n">
        <v>2</v>
      </c>
      <c r="G982" s="4" t="n">
        <v>2</v>
      </c>
      <c r="H982" s="13" t="n"/>
      <c r="I982" s="15" t="n"/>
      <c r="J982" s="19" t="n">
        <v>2</v>
      </c>
      <c r="K982" s="2" t="inlineStr">
        <is>
          <t>marker_818_385836.png</t>
        </is>
      </c>
      <c r="L982" s="11">
        <f>HYPERLINK("2\1\" &amp; K982, "Ver Imagen")</f>
        <v/>
      </c>
      <c r="M982" t="inlineStr">
        <is>
          <t>Moda</t>
        </is>
      </c>
    </row>
    <row r="983">
      <c r="A983" t="n">
        <v>982</v>
      </c>
      <c r="B983" t="inlineStr">
        <is>
          <t>A-495_1__30</t>
        </is>
      </c>
      <c r="C983" s="1" t="n">
        <v>37.4539750454</v>
      </c>
      <c r="D983" s="1" t="n">
        <v>-7.12709426783</v>
      </c>
      <c r="E983" s="3" t="n">
        <v>2</v>
      </c>
      <c r="F983" s="2" t="n">
        <v>2</v>
      </c>
      <c r="G983" s="4" t="n">
        <v>1</v>
      </c>
      <c r="H983" s="13" t="n"/>
      <c r="I983" s="15" t="n"/>
      <c r="J983" s="19" t="n">
        <v>2</v>
      </c>
      <c r="K983" s="2" t="inlineStr">
        <is>
          <t>marker_516_385871.png</t>
        </is>
      </c>
      <c r="L983" s="11">
        <f>HYPERLINK("2\1\" &amp; K983, "Ver Imagen")</f>
        <v/>
      </c>
      <c r="M983" t="inlineStr">
        <is>
          <t>Moda</t>
        </is>
      </c>
    </row>
    <row r="984">
      <c r="A984" t="n">
        <v>983</v>
      </c>
      <c r="B984" t="inlineStr">
        <is>
          <t>A-495_1__23</t>
        </is>
      </c>
      <c r="C984" s="1" t="n">
        <v>37.4525728028</v>
      </c>
      <c r="D984" s="1" t="n">
        <v>-7.12741987315</v>
      </c>
      <c r="E984" s="3" t="n">
        <v>1</v>
      </c>
      <c r="F984" s="2" t="n">
        <v>2</v>
      </c>
      <c r="G984" s="4" t="n">
        <v>2</v>
      </c>
      <c r="H984" s="13" t="n"/>
      <c r="I984" s="15" t="n"/>
      <c r="J984" s="19" t="n">
        <v>2</v>
      </c>
      <c r="K984" s="2" t="inlineStr">
        <is>
          <t>marker_554_385943.png</t>
        </is>
      </c>
      <c r="L984" s="11">
        <f>HYPERLINK("2\1\" &amp; K984, "Ver Imagen")</f>
        <v/>
      </c>
      <c r="M984" t="inlineStr">
        <is>
          <t>Moda</t>
        </is>
      </c>
    </row>
    <row r="985">
      <c r="A985" t="n">
        <v>984</v>
      </c>
      <c r="B985" t="inlineStr">
        <is>
          <t>A-497__852</t>
        </is>
      </c>
      <c r="C985" s="1" t="n">
        <v>37.2000684496</v>
      </c>
      <c r="D985" s="1" t="n">
        <v>-6.98673130744</v>
      </c>
      <c r="E985" s="3" t="n">
        <v>1</v>
      </c>
      <c r="F985" s="2" t="n">
        <v>2</v>
      </c>
      <c r="G985" s="4" t="n">
        <v>2</v>
      </c>
      <c r="H985" s="13" t="n"/>
      <c r="I985" s="15" t="n"/>
      <c r="J985" s="19" t="n">
        <v>2</v>
      </c>
      <c r="K985" s="2" t="inlineStr">
        <is>
          <t>marker_995_367414.png</t>
        </is>
      </c>
      <c r="L985" s="11">
        <f>HYPERLINK("2\1\" &amp; K985, "Ver Imagen")</f>
        <v/>
      </c>
      <c r="M985" t="inlineStr">
        <is>
          <t>Moda</t>
        </is>
      </c>
    </row>
    <row r="986">
      <c r="A986" t="n">
        <v>985</v>
      </c>
      <c r="B986" t="inlineStr">
        <is>
          <t>A-497__851</t>
        </is>
      </c>
      <c r="C986" s="1" t="n">
        <v>37.1999948089</v>
      </c>
      <c r="D986" s="1" t="n">
        <v>-6.98642509863</v>
      </c>
      <c r="E986" s="3" t="n">
        <v>1</v>
      </c>
      <c r="F986" s="2" t="n">
        <v>2</v>
      </c>
      <c r="G986" s="4" t="n">
        <v>2</v>
      </c>
      <c r="H986" s="13" t="n"/>
      <c r="I986" s="15" t="n"/>
      <c r="J986" s="19" t="n">
        <v>2</v>
      </c>
      <c r="K986" s="2" t="inlineStr">
        <is>
          <t>marker_464_367427.png</t>
        </is>
      </c>
      <c r="L986" s="11">
        <f>HYPERLINK("2\1\" &amp; K986, "Ver Imagen")</f>
        <v/>
      </c>
      <c r="M986" t="inlineStr">
        <is>
          <t>Moda</t>
        </is>
      </c>
    </row>
    <row r="987">
      <c r="A987" t="n">
        <v>986</v>
      </c>
      <c r="B987" t="inlineStr">
        <is>
          <t>A-497__850</t>
        </is>
      </c>
      <c r="C987" s="1" t="n">
        <v>37.1999151764</v>
      </c>
      <c r="D987" s="1" t="n">
        <v>-6.98610076903</v>
      </c>
      <c r="E987" s="3" t="n">
        <v>1</v>
      </c>
      <c r="F987" s="2" t="n">
        <v>2</v>
      </c>
      <c r="G987" s="4" t="n">
        <v>2</v>
      </c>
      <c r="H987" s="13" t="n"/>
      <c r="I987" s="15" t="n"/>
      <c r="J987" s="19" t="n">
        <v>2</v>
      </c>
      <c r="K987" s="2" t="inlineStr">
        <is>
          <t>marker_500_367437.png</t>
        </is>
      </c>
      <c r="L987" s="11">
        <f>HYPERLINK("2\1\" &amp; K987, "Ver Imagen")</f>
        <v/>
      </c>
      <c r="M987" t="inlineStr">
        <is>
          <t>Moda</t>
        </is>
      </c>
    </row>
    <row r="988">
      <c r="A988" t="n">
        <v>987</v>
      </c>
      <c r="B988" t="inlineStr">
        <is>
          <t>A-497__849</t>
        </is>
      </c>
      <c r="C988" s="1" t="n">
        <v>37.1998647497</v>
      </c>
      <c r="D988" s="1" t="n">
        <v>-6.98589731253</v>
      </c>
      <c r="E988" s="3" t="n">
        <v>1</v>
      </c>
      <c r="F988" s="2" t="n">
        <v>2</v>
      </c>
      <c r="G988" s="4" t="n">
        <v>2</v>
      </c>
      <c r="H988" s="13" t="n"/>
      <c r="I988" s="15" t="n"/>
      <c r="J988" s="19" t="n">
        <v>2</v>
      </c>
      <c r="K988" s="2" t="inlineStr">
        <is>
          <t>marker_760_367446.png</t>
        </is>
      </c>
      <c r="L988" s="11">
        <f>HYPERLINK("2\1\" &amp; K988, "Ver Imagen")</f>
        <v/>
      </c>
      <c r="M988" t="inlineStr">
        <is>
          <t>Moda</t>
        </is>
      </c>
    </row>
    <row r="989">
      <c r="A989" t="n">
        <v>988</v>
      </c>
      <c r="B989" t="inlineStr">
        <is>
          <t>A-497__848</t>
        </is>
      </c>
      <c r="C989" s="1" t="n">
        <v>37.1998209082</v>
      </c>
      <c r="D989" s="1" t="n">
        <v>-6.98572139464</v>
      </c>
      <c r="E989" s="3" t="n">
        <v>1</v>
      </c>
      <c r="F989" s="2" t="n">
        <v>2</v>
      </c>
      <c r="G989" s="4" t="n">
        <v>2</v>
      </c>
      <c r="H989" s="13" t="n"/>
      <c r="I989" s="15" t="n"/>
      <c r="J989" s="19" t="n">
        <v>2</v>
      </c>
      <c r="K989" s="2" t="inlineStr">
        <is>
          <t>marker_441_367463.png</t>
        </is>
      </c>
      <c r="L989" s="11">
        <f>HYPERLINK("2\1\" &amp; K989, "Ver Imagen")</f>
        <v/>
      </c>
      <c r="M989" t="inlineStr">
        <is>
          <t>Moda</t>
        </is>
      </c>
    </row>
    <row r="990">
      <c r="A990" t="n">
        <v>989</v>
      </c>
      <c r="B990" t="inlineStr">
        <is>
          <t>A-497__847</t>
        </is>
      </c>
      <c r="C990" s="1" t="n">
        <v>37.1997469413</v>
      </c>
      <c r="D990" s="1" t="n">
        <v>-6.98542975837</v>
      </c>
      <c r="E990" s="3" t="n">
        <v>1</v>
      </c>
      <c r="F990" s="2" t="n">
        <v>2</v>
      </c>
      <c r="G990" s="4" t="n">
        <v>2</v>
      </c>
      <c r="H990" s="13" t="n"/>
      <c r="I990" s="15" t="n"/>
      <c r="J990" s="19" t="n">
        <v>2</v>
      </c>
      <c r="K990" s="2" t="inlineStr">
        <is>
          <t>marker_517_367473.png</t>
        </is>
      </c>
      <c r="L990" s="11">
        <f>HYPERLINK("2\1\" &amp; K990, "Ver Imagen")</f>
        <v/>
      </c>
      <c r="M990" t="inlineStr">
        <is>
          <t>Moda</t>
        </is>
      </c>
    </row>
    <row r="991">
      <c r="A991" t="n">
        <v>990</v>
      </c>
      <c r="B991" t="inlineStr">
        <is>
          <t>A-497__846</t>
        </is>
      </c>
      <c r="C991" s="1" t="n">
        <v>37.1996872949</v>
      </c>
      <c r="D991" s="1" t="n">
        <v>-6.98519962575</v>
      </c>
      <c r="E991" s="3" t="n">
        <v>1</v>
      </c>
      <c r="F991" s="2" t="n">
        <v>2</v>
      </c>
      <c r="G991" s="4" t="n">
        <v>2</v>
      </c>
      <c r="H991" s="13" t="n"/>
      <c r="I991" s="15" t="n"/>
      <c r="J991" s="19" t="n">
        <v>2</v>
      </c>
      <c r="K991" s="2" t="inlineStr">
        <is>
          <t>marker_236_367481.png</t>
        </is>
      </c>
      <c r="L991" s="11">
        <f>HYPERLINK("2\1\" &amp; K991, "Ver Imagen")</f>
        <v/>
      </c>
      <c r="M991" t="inlineStr">
        <is>
          <t>Moda</t>
        </is>
      </c>
    </row>
    <row r="992">
      <c r="A992" t="n">
        <v>991</v>
      </c>
      <c r="B992" t="inlineStr">
        <is>
          <t>A-497__841</t>
        </is>
      </c>
      <c r="C992" s="1" t="n">
        <v>37.1993513908</v>
      </c>
      <c r="D992" s="1" t="n">
        <v>-6.98396188602</v>
      </c>
      <c r="E992" s="3" t="n">
        <v>1</v>
      </c>
      <c r="F992" s="2" t="n">
        <v>2</v>
      </c>
      <c r="G992" s="4" t="n">
        <v>2</v>
      </c>
      <c r="H992" s="13" t="n"/>
      <c r="I992" s="15" t="n"/>
      <c r="J992" s="19" t="n">
        <v>2</v>
      </c>
      <c r="K992" s="2" t="inlineStr">
        <is>
          <t>marker_532_367534.png</t>
        </is>
      </c>
      <c r="L992" s="11">
        <f>HYPERLINK("2\1\" &amp; K992, "Ver Imagen")</f>
        <v/>
      </c>
      <c r="M992" t="inlineStr">
        <is>
          <t>Moda</t>
        </is>
      </c>
    </row>
    <row r="993">
      <c r="A993" t="n">
        <v>992</v>
      </c>
      <c r="B993" t="inlineStr">
        <is>
          <t>A-497__840</t>
        </is>
      </c>
      <c r="C993" s="1" t="n">
        <v>37.1992830837</v>
      </c>
      <c r="D993" s="1" t="n">
        <v>-6.98373011686</v>
      </c>
      <c r="E993" s="3" t="n">
        <v>1</v>
      </c>
      <c r="F993" s="2" t="n">
        <v>2</v>
      </c>
      <c r="G993" s="4" t="n">
        <v>2</v>
      </c>
      <c r="H993" s="13" t="n"/>
      <c r="I993" s="15" t="n"/>
      <c r="J993" s="19" t="n">
        <v>2</v>
      </c>
      <c r="K993" s="2" t="inlineStr">
        <is>
          <t>marker_325_367543.png</t>
        </is>
      </c>
      <c r="L993" s="11">
        <f>HYPERLINK("2\1\" &amp; K993, "Ver Imagen")</f>
        <v/>
      </c>
      <c r="M993" t="inlineStr">
        <is>
          <t>Moda</t>
        </is>
      </c>
    </row>
    <row r="994">
      <c r="A994" t="n">
        <v>993</v>
      </c>
      <c r="B994" t="inlineStr">
        <is>
          <t>A-497__839</t>
        </is>
      </c>
      <c r="C994" s="1" t="n">
        <v>37.1992116346</v>
      </c>
      <c r="D994" s="1" t="n">
        <v>-6.98349697866</v>
      </c>
      <c r="E994" s="3" t="n">
        <v>1</v>
      </c>
      <c r="F994" s="2" t="n">
        <v>2</v>
      </c>
      <c r="G994" s="4" t="n">
        <v>2</v>
      </c>
      <c r="H994" s="13" t="n"/>
      <c r="I994" s="15" t="n"/>
      <c r="J994" s="19" t="n">
        <v>2</v>
      </c>
      <c r="K994" s="2" t="inlineStr">
        <is>
          <t>marker_420_367556.png</t>
        </is>
      </c>
      <c r="L994" s="11">
        <f>HYPERLINK("2\1\" &amp; K994, "Ver Imagen")</f>
        <v/>
      </c>
      <c r="M994" t="inlineStr">
        <is>
          <t>Moda</t>
        </is>
      </c>
    </row>
    <row r="995">
      <c r="A995" t="n">
        <v>994</v>
      </c>
      <c r="B995" t="inlineStr">
        <is>
          <t>A-497__838</t>
        </is>
      </c>
      <c r="C995" s="1" t="n">
        <v>37.1991500977</v>
      </c>
      <c r="D995" s="1" t="n">
        <v>-6.98330240999</v>
      </c>
      <c r="E995" s="3" t="n">
        <v>1</v>
      </c>
      <c r="F995" s="2" t="n">
        <v>2</v>
      </c>
      <c r="G995" s="4" t="n">
        <v>2</v>
      </c>
      <c r="H995" s="13" t="n"/>
      <c r="I995" s="15" t="n"/>
      <c r="J995" s="19" t="n">
        <v>2</v>
      </c>
      <c r="K995" s="2" t="inlineStr">
        <is>
          <t>marker_288_367567.png</t>
        </is>
      </c>
      <c r="L995" s="11">
        <f>HYPERLINK("2\1\" &amp; K995, "Ver Imagen")</f>
        <v/>
      </c>
      <c r="M995" t="inlineStr">
        <is>
          <t>Moda</t>
        </is>
      </c>
    </row>
    <row r="996">
      <c r="A996" t="n">
        <v>995</v>
      </c>
      <c r="B996" t="inlineStr">
        <is>
          <t>A-497_2C__8</t>
        </is>
      </c>
      <c r="C996" s="1" t="n">
        <v>37.2673792243</v>
      </c>
      <c r="D996" s="1" t="n">
        <v>-6.95897718337</v>
      </c>
      <c r="E996" s="3" t="n">
        <v>1</v>
      </c>
      <c r="F996" s="2" t="n">
        <v>2</v>
      </c>
      <c r="G996" s="4" t="n">
        <v>2</v>
      </c>
      <c r="H996" s="13" t="n"/>
      <c r="I996" s="15" t="n"/>
      <c r="J996" s="19" t="n">
        <v>2</v>
      </c>
      <c r="K996" s="2" t="inlineStr">
        <is>
          <t>marker_943_653798.png</t>
        </is>
      </c>
      <c r="L996" s="11">
        <f>HYPERLINK("2\1\" &amp; K996, "Ver Imagen")</f>
        <v/>
      </c>
      <c r="M996" t="inlineStr">
        <is>
          <t>Moda</t>
        </is>
      </c>
    </row>
    <row r="997">
      <c r="A997" t="n">
        <v>996</v>
      </c>
      <c r="B997" t="inlineStr">
        <is>
          <t>A-497_2C__9</t>
        </is>
      </c>
      <c r="C997" s="1" t="n">
        <v>37.2674080449</v>
      </c>
      <c r="D997" s="1" t="n">
        <v>-6.9592451206</v>
      </c>
      <c r="E997" s="3" t="n">
        <v>1</v>
      </c>
      <c r="F997" s="2" t="n">
        <v>2</v>
      </c>
      <c r="G997" s="4" t="n">
        <v>2</v>
      </c>
      <c r="H997" s="13" t="n"/>
      <c r="I997" s="15" t="n"/>
      <c r="J997" s="19" t="n">
        <v>2</v>
      </c>
      <c r="K997" s="2" t="inlineStr">
        <is>
          <t>marker_268_653808.png</t>
        </is>
      </c>
      <c r="L997" s="11">
        <f>HYPERLINK("2\1\" &amp; K997, "Ver Imagen")</f>
        <v/>
      </c>
      <c r="M997" t="inlineStr">
        <is>
          <t>Moda</t>
        </is>
      </c>
    </row>
    <row r="998">
      <c r="A998" t="n">
        <v>997</v>
      </c>
      <c r="B998" t="inlineStr">
        <is>
          <t>A-497_2C__12</t>
        </is>
      </c>
      <c r="C998" s="1" t="n">
        <v>37.2674967928</v>
      </c>
      <c r="D998" s="1" t="n">
        <v>-6.9600120463</v>
      </c>
      <c r="E998" s="3" t="n">
        <v>1</v>
      </c>
      <c r="F998" s="2" t="n">
        <v>2</v>
      </c>
      <c r="G998" s="4" t="n">
        <v>2</v>
      </c>
      <c r="H998" s="13" t="n"/>
      <c r="I998" s="15" t="n"/>
      <c r="J998" s="19" t="n">
        <v>2</v>
      </c>
      <c r="K998" s="2" t="inlineStr">
        <is>
          <t>marker_434_654003.png</t>
        </is>
      </c>
      <c r="L998" s="11">
        <f>HYPERLINK("2\1\" &amp; K998, "Ver Imagen")</f>
        <v/>
      </c>
      <c r="M998" t="inlineStr">
        <is>
          <t>Moda</t>
        </is>
      </c>
    </row>
    <row r="999">
      <c r="A999" t="n">
        <v>998</v>
      </c>
      <c r="B999" t="inlineStr">
        <is>
          <t>A-497_2C__13</t>
        </is>
      </c>
      <c r="C999" s="1" t="n">
        <v>37.2675217022</v>
      </c>
      <c r="D999" s="1" t="n">
        <v>-6.96028341093</v>
      </c>
      <c r="E999" s="3" t="n">
        <v>1</v>
      </c>
      <c r="F999" s="2" t="n">
        <v>2</v>
      </c>
      <c r="G999" s="4" t="n">
        <v>2</v>
      </c>
      <c r="H999" s="13" t="n"/>
      <c r="I999" s="15" t="n"/>
      <c r="J999" s="19" t="n">
        <v>2</v>
      </c>
      <c r="K999" s="2" t="inlineStr">
        <is>
          <t>marker_186_654013.png</t>
        </is>
      </c>
      <c r="L999" s="11">
        <f>HYPERLINK("2\1\" &amp; K999, "Ver Imagen")</f>
        <v/>
      </c>
      <c r="M999" t="inlineStr">
        <is>
          <t>Moda</t>
        </is>
      </c>
    </row>
    <row r="1000">
      <c r="A1000" t="n">
        <v>999</v>
      </c>
      <c r="B1000" t="inlineStr">
        <is>
          <t>A-497_2C__14</t>
        </is>
      </c>
      <c r="C1000" s="1" t="n">
        <v>37.2675379537</v>
      </c>
      <c r="D1000" s="1" t="n">
        <v>-6.96051183135</v>
      </c>
      <c r="E1000" s="3" t="n">
        <v>1</v>
      </c>
      <c r="F1000" s="2" t="n">
        <v>2</v>
      </c>
      <c r="G1000" s="4" t="n">
        <v>2</v>
      </c>
      <c r="H1000" s="13" t="n"/>
      <c r="I1000" s="15" t="n"/>
      <c r="J1000" s="19" t="n">
        <v>2</v>
      </c>
      <c r="K1000" s="2" t="inlineStr">
        <is>
          <t>marker_532_654021.png</t>
        </is>
      </c>
      <c r="L1000" s="11">
        <f>HYPERLINK("2\1\" &amp; K1000, "Ver Imagen")</f>
        <v/>
      </c>
      <c r="M1000" t="inlineStr">
        <is>
          <t>Moda</t>
        </is>
      </c>
    </row>
    <row r="1001">
      <c r="A1001" t="n">
        <v>1000</v>
      </c>
      <c r="B1001" t="inlineStr">
        <is>
          <t>A-497_2C__15</t>
        </is>
      </c>
      <c r="C1001" s="1" t="n">
        <v>37.2675532148</v>
      </c>
      <c r="D1001" s="1" t="n">
        <v>-6.96078848082</v>
      </c>
      <c r="E1001" s="3" t="n">
        <v>1</v>
      </c>
      <c r="F1001" s="2" t="n">
        <v>2</v>
      </c>
      <c r="G1001" s="4" t="n">
        <v>2</v>
      </c>
      <c r="H1001" s="13" t="n"/>
      <c r="I1001" s="15" t="n"/>
      <c r="J1001" s="19" t="n">
        <v>2</v>
      </c>
      <c r="K1001" s="2" t="inlineStr">
        <is>
          <t>marker_554_654031.png</t>
        </is>
      </c>
      <c r="L1001" s="11">
        <f>HYPERLINK("2\1\" &amp; K1001, "Ver Imagen")</f>
        <v/>
      </c>
      <c r="M1001" t="inlineStr">
        <is>
          <t>Moda</t>
        </is>
      </c>
    </row>
    <row r="1002">
      <c r="A1002" t="n">
        <v>1001</v>
      </c>
      <c r="B1002" t="inlineStr">
        <is>
          <t>A-497_2C__16</t>
        </is>
      </c>
      <c r="C1002" s="1" t="n">
        <v>37.2675641184</v>
      </c>
      <c r="D1002" s="1" t="n">
        <v>-6.96103445595</v>
      </c>
      <c r="E1002" s="3" t="n">
        <v>1</v>
      </c>
      <c r="F1002" s="2" t="n">
        <v>2</v>
      </c>
      <c r="G1002" s="4" t="n">
        <v>2</v>
      </c>
      <c r="H1002" s="13" t="n"/>
      <c r="I1002" s="15" t="n"/>
      <c r="J1002" s="19" t="n">
        <v>2</v>
      </c>
      <c r="K1002" s="2" t="inlineStr">
        <is>
          <t>marker_352_654339.png</t>
        </is>
      </c>
      <c r="L1002" s="11">
        <f>HYPERLINK("2\1\" &amp; K1002, "Ver Imagen")</f>
        <v/>
      </c>
      <c r="M1002" t="inlineStr">
        <is>
          <t>Moda</t>
        </is>
      </c>
    </row>
    <row r="1003">
      <c r="A1003" t="n">
        <v>1002</v>
      </c>
      <c r="B1003" t="inlineStr">
        <is>
          <t>A-497_2C__17</t>
        </is>
      </c>
      <c r="C1003" s="1" t="n">
        <v>37.267572813</v>
      </c>
      <c r="D1003" s="1" t="n">
        <v>-6.96125605594</v>
      </c>
      <c r="E1003" s="3" t="n">
        <v>1</v>
      </c>
      <c r="F1003" s="2" t="n">
        <v>2</v>
      </c>
      <c r="G1003" s="4" t="n">
        <v>2</v>
      </c>
      <c r="H1003" s="13" t="n"/>
      <c r="I1003" s="15" t="n"/>
      <c r="J1003" s="19" t="n">
        <v>2</v>
      </c>
      <c r="K1003" s="2" t="inlineStr">
        <is>
          <t>marker_601_654348.png</t>
        </is>
      </c>
      <c r="L1003" s="11">
        <f>HYPERLINK("2\1\" &amp; K1003, "Ver Imagen")</f>
        <v/>
      </c>
      <c r="M1003" t="inlineStr">
        <is>
          <t>Moda</t>
        </is>
      </c>
    </row>
    <row r="1004">
      <c r="A1004" t="n">
        <v>1003</v>
      </c>
      <c r="B1004" t="inlineStr">
        <is>
          <t>A-497_2C__18</t>
        </is>
      </c>
      <c r="C1004" s="1" t="n">
        <v>37.2675805117</v>
      </c>
      <c r="D1004" s="1" t="n">
        <v>-6.9614844844</v>
      </c>
      <c r="E1004" s="3" t="n">
        <v>1</v>
      </c>
      <c r="F1004" s="2" t="n">
        <v>2</v>
      </c>
      <c r="G1004" s="4" t="n">
        <v>2</v>
      </c>
      <c r="H1004" s="13" t="n"/>
      <c r="I1004" s="15" t="n"/>
      <c r="J1004" s="19" t="n">
        <v>2</v>
      </c>
      <c r="K1004" s="2" t="inlineStr">
        <is>
          <t>marker_133_654357.png</t>
        </is>
      </c>
      <c r="L1004" s="11">
        <f>HYPERLINK("2\1\" &amp; K1004, "Ver Imagen")</f>
        <v/>
      </c>
      <c r="M1004" t="inlineStr">
        <is>
          <t>Moda</t>
        </is>
      </c>
    </row>
    <row r="1005">
      <c r="A1005" t="n">
        <v>1004</v>
      </c>
      <c r="B1005" t="inlineStr">
        <is>
          <t>A-497__742</t>
        </is>
      </c>
      <c r="C1005" s="1" t="n">
        <v>37.1885847557</v>
      </c>
      <c r="D1005" s="1" t="n">
        <v>-6.97833361804</v>
      </c>
      <c r="E1005" s="3" t="n">
        <v>1</v>
      </c>
      <c r="F1005" s="2" t="n">
        <v>2</v>
      </c>
      <c r="G1005" s="4" t="n">
        <v>2</v>
      </c>
      <c r="H1005" s="13" t="n"/>
      <c r="I1005" s="15" t="n"/>
      <c r="J1005" s="19" t="n">
        <v>2</v>
      </c>
      <c r="K1005" s="2" t="inlineStr">
        <is>
          <t>marker_695_368818.png</t>
        </is>
      </c>
      <c r="L1005" s="11">
        <f>HYPERLINK("2\1\" &amp; K1005, "Ver Imagen")</f>
        <v/>
      </c>
      <c r="M1005" t="inlineStr">
        <is>
          <t>Moda</t>
        </is>
      </c>
    </row>
    <row r="1006">
      <c r="A1006" t="n">
        <v>1005</v>
      </c>
      <c r="B1006" t="inlineStr">
        <is>
          <t>A-497__741</t>
        </is>
      </c>
      <c r="C1006" s="1" t="n">
        <v>37.1887861185</v>
      </c>
      <c r="D1006" s="1" t="n">
        <v>-6.97829079026</v>
      </c>
      <c r="E1006" s="3" t="n">
        <v>1</v>
      </c>
      <c r="F1006" s="2" t="n">
        <v>2</v>
      </c>
      <c r="G1006" s="4" t="n">
        <v>2</v>
      </c>
      <c r="H1006" s="13" t="n"/>
      <c r="I1006" s="15" t="n"/>
      <c r="J1006" s="19" t="n">
        <v>2</v>
      </c>
      <c r="K1006" s="2" t="inlineStr">
        <is>
          <t>marker_236_368829.png</t>
        </is>
      </c>
      <c r="L1006" s="11">
        <f>HYPERLINK("2\1\" &amp; K1006, "Ver Imagen")</f>
        <v/>
      </c>
      <c r="M1006" t="inlineStr">
        <is>
          <t>Moda</t>
        </is>
      </c>
    </row>
    <row r="1007">
      <c r="A1007" t="n">
        <v>1006</v>
      </c>
      <c r="B1007" t="inlineStr">
        <is>
          <t>A-497__740</t>
        </is>
      </c>
      <c r="C1007" s="1" t="n">
        <v>37.1890123081</v>
      </c>
      <c r="D1007" s="1" t="n">
        <v>-6.97823293002</v>
      </c>
      <c r="E1007" s="3" t="n">
        <v>1</v>
      </c>
      <c r="F1007" s="2" t="n">
        <v>2</v>
      </c>
      <c r="G1007" s="4" t="n">
        <v>2</v>
      </c>
      <c r="H1007" s="13" t="n"/>
      <c r="I1007" s="15" t="n"/>
      <c r="J1007" s="19" t="n">
        <v>2</v>
      </c>
      <c r="K1007" s="2" t="inlineStr">
        <is>
          <t>marker_961_368840.png</t>
        </is>
      </c>
      <c r="L1007" s="11">
        <f>HYPERLINK("2\1\" &amp; K1007, "Ver Imagen")</f>
        <v/>
      </c>
      <c r="M1007" t="inlineStr">
        <is>
          <t>Moda</t>
        </is>
      </c>
    </row>
    <row r="1008">
      <c r="A1008" t="n">
        <v>1007</v>
      </c>
      <c r="B1008" t="inlineStr">
        <is>
          <t>A-497__739</t>
        </is>
      </c>
      <c r="C1008" s="1" t="n">
        <v>37.1891667895</v>
      </c>
      <c r="D1008" s="1" t="n">
        <v>-6.97819068625</v>
      </c>
      <c r="E1008" s="3" t="n">
        <v>1</v>
      </c>
      <c r="F1008" s="2" t="n">
        <v>2</v>
      </c>
      <c r="G1008" s="4" t="n">
        <v>2</v>
      </c>
      <c r="H1008" s="13" t="n"/>
      <c r="I1008" s="15" t="n"/>
      <c r="J1008" s="19" t="n">
        <v>2</v>
      </c>
      <c r="K1008" s="2" t="inlineStr">
        <is>
          <t>marker_192_368851.png</t>
        </is>
      </c>
      <c r="L1008" s="11">
        <f>HYPERLINK("2\1\" &amp; K1008, "Ver Imagen")</f>
        <v/>
      </c>
      <c r="M1008" t="inlineStr">
        <is>
          <t>Moda</t>
        </is>
      </c>
    </row>
    <row r="1009">
      <c r="A1009" t="n">
        <v>1008</v>
      </c>
      <c r="B1009" t="inlineStr">
        <is>
          <t>A-497__738</t>
        </is>
      </c>
      <c r="C1009" s="1" t="n">
        <v>37.1893616012</v>
      </c>
      <c r="D1009" s="1" t="n">
        <v>-6.97813589865</v>
      </c>
      <c r="E1009" s="3" t="n">
        <v>1</v>
      </c>
      <c r="F1009" s="2" t="n">
        <v>2</v>
      </c>
      <c r="G1009" s="4" t="n">
        <v>2</v>
      </c>
      <c r="H1009" s="13" t="n"/>
      <c r="I1009" s="15" t="n"/>
      <c r="J1009" s="19" t="n">
        <v>2</v>
      </c>
      <c r="K1009" s="2" t="inlineStr">
        <is>
          <t>marker_695_368860.png</t>
        </is>
      </c>
      <c r="L1009" s="11">
        <f>HYPERLINK("2\1\" &amp; K1009, "Ver Imagen")</f>
        <v/>
      </c>
      <c r="M1009" t="inlineStr">
        <is>
          <t>Moda</t>
        </is>
      </c>
    </row>
    <row r="1010">
      <c r="A1010" t="n">
        <v>1009</v>
      </c>
      <c r="B1010" t="inlineStr">
        <is>
          <t>A-497__737</t>
        </is>
      </c>
      <c r="C1010" s="1" t="n">
        <v>37.1895907765</v>
      </c>
      <c r="D1010" s="1" t="n">
        <v>-6.97807081542</v>
      </c>
      <c r="E1010" s="3" t="n">
        <v>1</v>
      </c>
      <c r="F1010" s="2" t="n">
        <v>2</v>
      </c>
      <c r="G1010" s="4" t="n">
        <v>2</v>
      </c>
      <c r="H1010" s="13" t="n"/>
      <c r="I1010" s="15" t="n"/>
      <c r="J1010" s="19" t="n">
        <v>2</v>
      </c>
      <c r="K1010" s="2" t="inlineStr">
        <is>
          <t>marker_429_368869.png</t>
        </is>
      </c>
      <c r="L1010" s="11">
        <f>HYPERLINK("2\1\" &amp; K1010, "Ver Imagen")</f>
        <v/>
      </c>
      <c r="M1010" t="inlineStr">
        <is>
          <t>Moda</t>
        </is>
      </c>
    </row>
    <row r="1011">
      <c r="A1011" t="n">
        <v>1010</v>
      </c>
      <c r="B1011" t="inlineStr">
        <is>
          <t>A-497__736</t>
        </is>
      </c>
      <c r="C1011" s="1" t="n">
        <v>37.1897959411</v>
      </c>
      <c r="D1011" s="1" t="n">
        <v>-6.97801397408</v>
      </c>
      <c r="E1011" s="3" t="n">
        <v>1</v>
      </c>
      <c r="F1011" s="2" t="n">
        <v>2</v>
      </c>
      <c r="G1011" s="4" t="n">
        <v>2</v>
      </c>
      <c r="H1011" s="13" t="n"/>
      <c r="I1011" s="15" t="n"/>
      <c r="J1011" s="19" t="n">
        <v>2</v>
      </c>
      <c r="K1011" s="2" t="inlineStr">
        <is>
          <t>marker_610_368886.png</t>
        </is>
      </c>
      <c r="L1011" s="11">
        <f>HYPERLINK("2\1\" &amp; K1011, "Ver Imagen")</f>
        <v/>
      </c>
      <c r="M1011" t="inlineStr">
        <is>
          <t>Moda</t>
        </is>
      </c>
    </row>
    <row r="1012">
      <c r="A1012" t="n">
        <v>1011</v>
      </c>
      <c r="B1012" t="inlineStr">
        <is>
          <t>A-497__735</t>
        </is>
      </c>
      <c r="C1012" s="1" t="n">
        <v>37.1899890376</v>
      </c>
      <c r="D1012" s="1" t="n">
        <v>-6.97796133069</v>
      </c>
      <c r="E1012" s="3" t="n">
        <v>1</v>
      </c>
      <c r="F1012" s="2" t="n">
        <v>2</v>
      </c>
      <c r="G1012" s="4" t="n">
        <v>2</v>
      </c>
      <c r="H1012" s="13" t="n"/>
      <c r="I1012" s="15" t="n"/>
      <c r="J1012" s="19" t="n">
        <v>2</v>
      </c>
      <c r="K1012" s="2" t="inlineStr">
        <is>
          <t>marker_776_368895.png</t>
        </is>
      </c>
      <c r="L1012" s="11">
        <f>HYPERLINK("2\1\" &amp; K1012, "Ver Imagen")</f>
        <v/>
      </c>
      <c r="M1012" t="inlineStr">
        <is>
          <t>Moda</t>
        </is>
      </c>
    </row>
    <row r="1013">
      <c r="A1013" t="n">
        <v>1012</v>
      </c>
      <c r="B1013" t="inlineStr">
        <is>
          <t>A-497_2C__170</t>
        </is>
      </c>
      <c r="C1013" s="1" t="n">
        <v>37.2655682807</v>
      </c>
      <c r="D1013" s="1" t="n">
        <v>-6.99569341905</v>
      </c>
      <c r="E1013" s="3" t="n">
        <v>2</v>
      </c>
      <c r="F1013" s="2" t="n">
        <v>2</v>
      </c>
      <c r="G1013" s="4" t="n">
        <v>1</v>
      </c>
      <c r="H1013" s="13" t="n"/>
      <c r="I1013" s="15" t="n"/>
      <c r="J1013" s="19" t="n">
        <v>2</v>
      </c>
      <c r="K1013" s="2" t="inlineStr">
        <is>
          <t>marker_366_656199.png</t>
        </is>
      </c>
      <c r="L1013" s="11">
        <f>HYPERLINK("2\1\" &amp; K1013, "Ver Imagen")</f>
        <v/>
      </c>
      <c r="M1013" t="inlineStr">
        <is>
          <t>Moda</t>
        </is>
      </c>
    </row>
    <row r="1014">
      <c r="A1014" t="n">
        <v>1013</v>
      </c>
      <c r="B1014" t="inlineStr">
        <is>
          <t>A-497__555</t>
        </is>
      </c>
      <c r="C1014" s="1" t="n">
        <v>37.2046476853</v>
      </c>
      <c r="D1014" s="1" t="n">
        <v>-7.01385566055</v>
      </c>
      <c r="E1014" s="3" t="n">
        <v>1</v>
      </c>
      <c r="F1014" s="2" t="n">
        <v>2</v>
      </c>
      <c r="G1014" s="4" t="n">
        <v>2</v>
      </c>
      <c r="H1014" s="13" t="n"/>
      <c r="I1014" s="15" t="n"/>
      <c r="J1014" s="19" t="n">
        <v>2</v>
      </c>
      <c r="K1014" s="2" t="inlineStr">
        <is>
          <t>marker_444_372210.png</t>
        </is>
      </c>
      <c r="L1014" s="11">
        <f>HYPERLINK("2\1\" &amp; K1014, "Ver Imagen")</f>
        <v/>
      </c>
      <c r="M1014" t="inlineStr">
        <is>
          <t>Moda</t>
        </is>
      </c>
    </row>
    <row r="1015">
      <c r="A1015" t="n">
        <v>1014</v>
      </c>
      <c r="B1015" t="inlineStr">
        <is>
          <t>A-497__554</t>
        </is>
      </c>
      <c r="C1015" s="1" t="n">
        <v>37.2047014799</v>
      </c>
      <c r="D1015" s="1" t="n">
        <v>-7.01412079043</v>
      </c>
      <c r="E1015" s="3" t="n">
        <v>1</v>
      </c>
      <c r="F1015" s="2" t="n">
        <v>2</v>
      </c>
      <c r="G1015" s="4" t="n">
        <v>2</v>
      </c>
      <c r="H1015" s="13" t="n"/>
      <c r="I1015" s="15" t="n"/>
      <c r="J1015" s="19" t="n">
        <v>2</v>
      </c>
      <c r="K1015" s="2" t="inlineStr">
        <is>
          <t>marker_914_372218.png</t>
        </is>
      </c>
      <c r="L1015" s="11">
        <f>HYPERLINK("2\1\" &amp; K1015, "Ver Imagen")</f>
        <v/>
      </c>
      <c r="M1015" t="inlineStr">
        <is>
          <t>Moda</t>
        </is>
      </c>
    </row>
    <row r="1016">
      <c r="A1016" t="n">
        <v>1015</v>
      </c>
      <c r="B1016" t="inlineStr">
        <is>
          <t>A-497__553</t>
        </is>
      </c>
      <c r="C1016" s="1" t="n">
        <v>37.2047477326</v>
      </c>
      <c r="D1016" s="1" t="n">
        <v>-7.01435149072</v>
      </c>
      <c r="E1016" s="3" t="n">
        <v>1</v>
      </c>
      <c r="F1016" s="2" t="n">
        <v>2</v>
      </c>
      <c r="G1016" s="4" t="n">
        <v>2</v>
      </c>
      <c r="H1016" s="13" t="n"/>
      <c r="I1016" s="15" t="n"/>
      <c r="J1016" s="19" t="n">
        <v>2</v>
      </c>
      <c r="K1016" s="2" t="inlineStr">
        <is>
          <t>marker_274_372227.png</t>
        </is>
      </c>
      <c r="L1016" s="11">
        <f>HYPERLINK("2\1\" &amp; K1016, "Ver Imagen")</f>
        <v/>
      </c>
      <c r="M1016" t="inlineStr">
        <is>
          <t>Moda</t>
        </is>
      </c>
    </row>
    <row r="1017">
      <c r="A1017" t="n">
        <v>1016</v>
      </c>
      <c r="B1017" t="inlineStr">
        <is>
          <t>A-497__551</t>
        </is>
      </c>
      <c r="C1017" s="1" t="n">
        <v>37.2048337162</v>
      </c>
      <c r="D1017" s="1" t="n">
        <v>-7.01478608191</v>
      </c>
      <c r="E1017" s="3" t="n">
        <v>1</v>
      </c>
      <c r="F1017" s="2" t="n">
        <v>2</v>
      </c>
      <c r="G1017" s="4" t="n">
        <v>2</v>
      </c>
      <c r="H1017" s="13" t="n"/>
      <c r="I1017" s="15" t="n"/>
      <c r="J1017" s="19" t="n">
        <v>2</v>
      </c>
      <c r="K1017" s="2" t="inlineStr">
        <is>
          <t>marker_626_372252.png</t>
        </is>
      </c>
      <c r="L1017" s="11">
        <f>HYPERLINK("2\1\" &amp; K1017, "Ver Imagen")</f>
        <v/>
      </c>
      <c r="M1017" t="inlineStr">
        <is>
          <t>Moda</t>
        </is>
      </c>
    </row>
    <row r="1018">
      <c r="A1018" t="n">
        <v>1017</v>
      </c>
      <c r="B1018" t="inlineStr">
        <is>
          <t>A-497__549</t>
        </is>
      </c>
      <c r="C1018" s="1" t="n">
        <v>37.2049378238</v>
      </c>
      <c r="D1018" s="1" t="n">
        <v>-7.01531926902</v>
      </c>
      <c r="E1018" s="3" t="n">
        <v>1</v>
      </c>
      <c r="F1018" s="2" t="n">
        <v>2</v>
      </c>
      <c r="G1018" s="4" t="n">
        <v>2</v>
      </c>
      <c r="H1018" s="13" t="n"/>
      <c r="I1018" s="15" t="n"/>
      <c r="J1018" s="19" t="n">
        <v>2</v>
      </c>
      <c r="K1018" s="2" t="inlineStr">
        <is>
          <t>marker_166_372274.png</t>
        </is>
      </c>
      <c r="L1018" s="11">
        <f>HYPERLINK("2\1\" &amp; K1018, "Ver Imagen")</f>
        <v/>
      </c>
      <c r="M1018" t="inlineStr">
        <is>
          <t>Moda</t>
        </is>
      </c>
    </row>
    <row r="1019">
      <c r="A1019" t="n">
        <v>1018</v>
      </c>
      <c r="B1019" t="inlineStr">
        <is>
          <t>A-497__546</t>
        </is>
      </c>
      <c r="C1019" s="1" t="n">
        <v>37.2050790387</v>
      </c>
      <c r="D1019" s="1" t="n">
        <v>-7.01601830846</v>
      </c>
      <c r="E1019" s="3" t="n">
        <v>1</v>
      </c>
      <c r="F1019" s="2" t="n">
        <v>2</v>
      </c>
      <c r="G1019" s="4" t="n">
        <v>2</v>
      </c>
      <c r="H1019" s="13" t="n"/>
      <c r="I1019" s="15" t="n"/>
      <c r="J1019" s="19" t="n">
        <v>2</v>
      </c>
      <c r="K1019" s="2" t="inlineStr">
        <is>
          <t>marker_673_372318.png</t>
        </is>
      </c>
      <c r="L1019" s="11">
        <f>HYPERLINK("2\1\" &amp; K1019, "Ver Imagen")</f>
        <v/>
      </c>
      <c r="M1019" t="inlineStr">
        <is>
          <t>Moda</t>
        </is>
      </c>
    </row>
    <row r="1020">
      <c r="A1020" t="n">
        <v>1019</v>
      </c>
      <c r="B1020" t="inlineStr">
        <is>
          <t>A-497__545</t>
        </is>
      </c>
      <c r="C1020" s="1" t="n">
        <v>37.2051326281</v>
      </c>
      <c r="D1020" s="1" t="n">
        <v>-7.01627033704</v>
      </c>
      <c r="E1020" s="3" t="n">
        <v>1</v>
      </c>
      <c r="F1020" s="2" t="n">
        <v>2</v>
      </c>
      <c r="G1020" s="4" t="n">
        <v>2</v>
      </c>
      <c r="H1020" s="13" t="n"/>
      <c r="I1020" s="15" t="n"/>
      <c r="J1020" s="19" t="n">
        <v>2</v>
      </c>
      <c r="K1020" s="2" t="inlineStr">
        <is>
          <t>marker_637_372329.png</t>
        </is>
      </c>
      <c r="L1020" s="11">
        <f>HYPERLINK("2\1\" &amp; K1020, "Ver Imagen")</f>
        <v/>
      </c>
      <c r="M1020" t="inlineStr">
        <is>
          <t>Moda</t>
        </is>
      </c>
    </row>
    <row r="1021">
      <c r="A1021" t="n">
        <v>1020</v>
      </c>
      <c r="B1021" t="inlineStr">
        <is>
          <t>A-497__544</t>
        </is>
      </c>
      <c r="C1021" s="1" t="n">
        <v>37.2051823591</v>
      </c>
      <c r="D1021" s="1" t="n">
        <v>-7.01649621698</v>
      </c>
      <c r="E1021" s="3" t="n">
        <v>1</v>
      </c>
      <c r="F1021" s="2" t="n">
        <v>2</v>
      </c>
      <c r="G1021" s="4" t="n">
        <v>2</v>
      </c>
      <c r="H1021" s="13" t="n"/>
      <c r="I1021" s="15" t="n"/>
      <c r="J1021" s="19" t="n">
        <v>2</v>
      </c>
      <c r="K1021" s="2" t="inlineStr">
        <is>
          <t>marker_708_372340.png</t>
        </is>
      </c>
      <c r="L1021" s="11">
        <f>HYPERLINK("2\1\" &amp; K1021, "Ver Imagen")</f>
        <v/>
      </c>
      <c r="M1021" t="inlineStr">
        <is>
          <t>Moda</t>
        </is>
      </c>
    </row>
    <row r="1022">
      <c r="A1022" t="n">
        <v>1021</v>
      </c>
      <c r="B1022" t="inlineStr">
        <is>
          <t>A-497__495</t>
        </is>
      </c>
      <c r="C1022" s="1" t="n">
        <v>37.2121457407</v>
      </c>
      <c r="D1022" s="1" t="n">
        <v>-7.02384997789</v>
      </c>
      <c r="E1022" s="3" t="n">
        <v>1</v>
      </c>
      <c r="F1022" s="2" t="n">
        <v>2</v>
      </c>
      <c r="G1022" s="4" t="n">
        <v>2</v>
      </c>
      <c r="H1022" s="13" t="n"/>
      <c r="I1022" s="15" t="n"/>
      <c r="J1022" s="19" t="n">
        <v>2</v>
      </c>
      <c r="K1022" s="2" t="inlineStr">
        <is>
          <t>marker_703_376151.png</t>
        </is>
      </c>
      <c r="L1022" s="11">
        <f>HYPERLINK("2\1\" &amp; K1022, "Ver Imagen")</f>
        <v/>
      </c>
      <c r="M1022" t="inlineStr">
        <is>
          <t>Moda</t>
        </is>
      </c>
    </row>
    <row r="1023">
      <c r="A1023" t="n">
        <v>1022</v>
      </c>
      <c r="B1023" t="inlineStr">
        <is>
          <t>A-497__494</t>
        </is>
      </c>
      <c r="C1023" s="1" t="n">
        <v>37.2123756849</v>
      </c>
      <c r="D1023" s="1" t="n">
        <v>-7.02383414659</v>
      </c>
      <c r="E1023" s="3" t="n">
        <v>1</v>
      </c>
      <c r="F1023" s="2" t="n">
        <v>2</v>
      </c>
      <c r="G1023" s="4" t="n">
        <v>2</v>
      </c>
      <c r="H1023" s="13" t="n"/>
      <c r="I1023" s="15" t="n"/>
      <c r="J1023" s="19" t="n">
        <v>2</v>
      </c>
      <c r="K1023" s="2" t="inlineStr">
        <is>
          <t>marker_124_376161.png</t>
        </is>
      </c>
      <c r="L1023" s="11">
        <f>HYPERLINK("2\1\" &amp; K1023, "Ver Imagen")</f>
        <v/>
      </c>
      <c r="M1023" t="inlineStr">
        <is>
          <t>Moda</t>
        </is>
      </c>
    </row>
    <row r="1024">
      <c r="A1024" t="n">
        <v>1023</v>
      </c>
      <c r="B1024" t="inlineStr">
        <is>
          <t>A-497__493</t>
        </is>
      </c>
      <c r="C1024" s="1" t="n">
        <v>37.212584582</v>
      </c>
      <c r="D1024" s="1" t="n">
        <v>-7.02381335922</v>
      </c>
      <c r="E1024" s="3" t="n">
        <v>1</v>
      </c>
      <c r="F1024" s="2" t="n">
        <v>2</v>
      </c>
      <c r="G1024" s="4" t="n">
        <v>2</v>
      </c>
      <c r="H1024" s="13" t="n"/>
      <c r="I1024" s="15" t="n"/>
      <c r="J1024" s="19" t="n">
        <v>2</v>
      </c>
      <c r="K1024" s="2" t="inlineStr">
        <is>
          <t>marker_941_376169.png</t>
        </is>
      </c>
      <c r="L1024" s="11">
        <f>HYPERLINK("2\1\" &amp; K1024, "Ver Imagen")</f>
        <v/>
      </c>
      <c r="M1024" t="inlineStr">
        <is>
          <t>Moda</t>
        </is>
      </c>
    </row>
    <row r="1025">
      <c r="A1025" t="n">
        <v>1024</v>
      </c>
      <c r="B1025" t="inlineStr">
        <is>
          <t>A-497__492</t>
        </is>
      </c>
      <c r="C1025" s="1" t="n">
        <v>37.2127792372</v>
      </c>
      <c r="D1025" s="1" t="n">
        <v>-7.02378899664</v>
      </c>
      <c r="E1025" s="3" t="n">
        <v>1</v>
      </c>
      <c r="F1025" s="2" t="n">
        <v>2</v>
      </c>
      <c r="G1025" s="4" t="n">
        <v>2</v>
      </c>
      <c r="H1025" s="13" t="n"/>
      <c r="I1025" s="15" t="n"/>
      <c r="J1025" s="19" t="n">
        <v>2</v>
      </c>
      <c r="K1025" s="2" t="inlineStr">
        <is>
          <t>marker_157_376180.png</t>
        </is>
      </c>
      <c r="L1025" s="11">
        <f>HYPERLINK("2\1\" &amp; K1025, "Ver Imagen")</f>
        <v/>
      </c>
      <c r="M1025" t="inlineStr">
        <is>
          <t>Moda</t>
        </is>
      </c>
    </row>
    <row r="1026">
      <c r="A1026" t="n">
        <v>1025</v>
      </c>
      <c r="B1026" t="inlineStr">
        <is>
          <t>A-497__491</t>
        </is>
      </c>
      <c r="C1026" s="1" t="n">
        <v>37.2129628513</v>
      </c>
      <c r="D1026" s="1" t="n">
        <v>-7.02376305359</v>
      </c>
      <c r="E1026" s="3" t="n">
        <v>1</v>
      </c>
      <c r="F1026" s="2" t="n">
        <v>2</v>
      </c>
      <c r="G1026" s="4" t="n">
        <v>2</v>
      </c>
      <c r="H1026" s="13" t="n"/>
      <c r="I1026" s="15" t="n"/>
      <c r="J1026" s="19" t="n">
        <v>2</v>
      </c>
      <c r="K1026" s="2" t="inlineStr">
        <is>
          <t>marker_250_376189.png</t>
        </is>
      </c>
      <c r="L1026" s="11">
        <f>HYPERLINK("2\1\" &amp; K1026, "Ver Imagen")</f>
        <v/>
      </c>
      <c r="M1026" t="inlineStr">
        <is>
          <t>Moda</t>
        </is>
      </c>
    </row>
    <row r="1027">
      <c r="A1027" t="n">
        <v>1026</v>
      </c>
      <c r="B1027" t="inlineStr">
        <is>
          <t>A-497__490</t>
        </is>
      </c>
      <c r="C1027" s="1" t="n">
        <v>37.2131336471</v>
      </c>
      <c r="D1027" s="1" t="n">
        <v>-7.02373688759</v>
      </c>
      <c r="E1027" s="3" t="n">
        <v>1</v>
      </c>
      <c r="F1027" s="2" t="n">
        <v>2</v>
      </c>
      <c r="G1027" s="4" t="n">
        <v>2</v>
      </c>
      <c r="H1027" s="13" t="n"/>
      <c r="I1027" s="15" t="n"/>
      <c r="J1027" s="19" t="n">
        <v>2</v>
      </c>
      <c r="K1027" s="2" t="inlineStr">
        <is>
          <t>marker_715_376199.png</t>
        </is>
      </c>
      <c r="L1027" s="11">
        <f>HYPERLINK("2\1\" &amp; K1027, "Ver Imagen")</f>
        <v/>
      </c>
      <c r="M1027" t="inlineStr">
        <is>
          <t>Moda</t>
        </is>
      </c>
    </row>
    <row r="1028">
      <c r="A1028" t="n">
        <v>1027</v>
      </c>
      <c r="B1028" t="inlineStr">
        <is>
          <t>A-497__489</t>
        </is>
      </c>
      <c r="C1028" s="1" t="n">
        <v>37.2133690248</v>
      </c>
      <c r="D1028" s="1" t="n">
        <v>-7.02369836668</v>
      </c>
      <c r="E1028" s="3" t="n">
        <v>1</v>
      </c>
      <c r="F1028" s="2" t="n">
        <v>2</v>
      </c>
      <c r="G1028" s="4" t="n">
        <v>2</v>
      </c>
      <c r="H1028" s="13" t="n"/>
      <c r="I1028" s="15" t="n"/>
      <c r="J1028" s="19" t="n">
        <v>2</v>
      </c>
      <c r="K1028" s="2" t="inlineStr">
        <is>
          <t>marker_213_376208.png</t>
        </is>
      </c>
      <c r="L1028" s="11">
        <f>HYPERLINK("2\1\" &amp; K1028, "Ver Imagen")</f>
        <v/>
      </c>
      <c r="M1028" t="inlineStr">
        <is>
          <t>Moda</t>
        </is>
      </c>
    </row>
    <row r="1029">
      <c r="A1029" t="n">
        <v>1028</v>
      </c>
      <c r="B1029" t="inlineStr">
        <is>
          <t>A-497__487</t>
        </is>
      </c>
      <c r="C1029" s="1" t="n">
        <v>37.2137757768</v>
      </c>
      <c r="D1029" s="1" t="n">
        <v>-7.02362882381</v>
      </c>
      <c r="E1029" s="3" t="n">
        <v>1</v>
      </c>
      <c r="F1029" s="2" t="n">
        <v>2</v>
      </c>
      <c r="G1029" s="4" t="n">
        <v>2</v>
      </c>
      <c r="H1029" s="13" t="n"/>
      <c r="I1029" s="15" t="n"/>
      <c r="J1029" s="19" t="n">
        <v>2</v>
      </c>
      <c r="K1029" s="2" t="inlineStr">
        <is>
          <t>marker_722_376228.png</t>
        </is>
      </c>
      <c r="L1029" s="11">
        <f>HYPERLINK("2\1\" &amp; K1029, "Ver Imagen")</f>
        <v/>
      </c>
      <c r="M1029" t="inlineStr">
        <is>
          <t>Moda</t>
        </is>
      </c>
    </row>
    <row r="1030">
      <c r="A1030" t="n">
        <v>1029</v>
      </c>
      <c r="B1030" t="inlineStr">
        <is>
          <t>A-497_2C__423</t>
        </is>
      </c>
      <c r="C1030" s="1" t="n">
        <v>37.2256556049</v>
      </c>
      <c r="D1030" s="1" t="n">
        <v>-7.02329407148</v>
      </c>
      <c r="E1030" s="3" t="n">
        <v>1</v>
      </c>
      <c r="F1030" s="2" t="n">
        <v>2</v>
      </c>
      <c r="G1030" s="4" t="n">
        <v>2</v>
      </c>
      <c r="H1030" s="13" t="n"/>
      <c r="I1030" s="15" t="n"/>
      <c r="J1030" s="19" t="n">
        <v>2</v>
      </c>
      <c r="K1030" s="2" t="inlineStr">
        <is>
          <t>marker_628_363142.png</t>
        </is>
      </c>
      <c r="L1030" s="11">
        <f>HYPERLINK("2\1\" &amp; K1030, "Ver Imagen")</f>
        <v/>
      </c>
      <c r="M1030" t="inlineStr">
        <is>
          <t>Moda</t>
        </is>
      </c>
    </row>
    <row r="1031">
      <c r="A1031" t="n">
        <v>1030</v>
      </c>
      <c r="B1031" t="inlineStr">
        <is>
          <t>A-497_2C__427</t>
        </is>
      </c>
      <c r="C1031" s="1" t="n">
        <v>37.2248613266</v>
      </c>
      <c r="D1031" s="1" t="n">
        <v>-7.02339273903</v>
      </c>
      <c r="E1031" s="3" t="n">
        <v>1</v>
      </c>
      <c r="F1031" s="2" t="n">
        <v>2</v>
      </c>
      <c r="G1031" s="4" t="n">
        <v>2</v>
      </c>
      <c r="H1031" s="13" t="n"/>
      <c r="I1031" s="15" t="n"/>
      <c r="J1031" s="19" t="n">
        <v>2</v>
      </c>
      <c r="K1031" s="2" t="inlineStr">
        <is>
          <t>marker_109_363178.png</t>
        </is>
      </c>
      <c r="L1031" s="11">
        <f>HYPERLINK("2\1\" &amp; K1031, "Ver Imagen")</f>
        <v/>
      </c>
      <c r="M1031" t="inlineStr">
        <is>
          <t>Moda</t>
        </is>
      </c>
    </row>
    <row r="1032">
      <c r="A1032" t="n">
        <v>1031</v>
      </c>
      <c r="B1032" t="inlineStr">
        <is>
          <t>A-497_2C__429</t>
        </is>
      </c>
      <c r="C1032" s="1" t="n">
        <v>37.2244997945</v>
      </c>
      <c r="D1032" s="1" t="n">
        <v>-7.02338350859</v>
      </c>
      <c r="E1032" s="3" t="n">
        <v>1</v>
      </c>
      <c r="F1032" s="2" t="n">
        <v>2</v>
      </c>
      <c r="G1032" s="4" t="n">
        <v>2</v>
      </c>
      <c r="H1032" s="13" t="n"/>
      <c r="I1032" s="15" t="n"/>
      <c r="J1032" s="19" t="n">
        <v>2</v>
      </c>
      <c r="K1032" s="2" t="inlineStr">
        <is>
          <t>marker_987_363198.png</t>
        </is>
      </c>
      <c r="L1032" s="11">
        <f>HYPERLINK("2\1\" &amp; K1032, "Ver Imagen")</f>
        <v/>
      </c>
      <c r="M1032" t="inlineStr">
        <is>
          <t>Moda</t>
        </is>
      </c>
    </row>
    <row r="1033">
      <c r="A1033" t="n">
        <v>1032</v>
      </c>
      <c r="B1033" t="inlineStr">
        <is>
          <t>A-497_2C__430</t>
        </is>
      </c>
      <c r="C1033" s="1" t="n">
        <v>37.2243021283</v>
      </c>
      <c r="D1033" s="1" t="n">
        <v>-7.02336867739</v>
      </c>
      <c r="E1033" s="3" t="n">
        <v>1</v>
      </c>
      <c r="F1033" s="2" t="n">
        <v>2</v>
      </c>
      <c r="G1033" s="4" t="n">
        <v>2</v>
      </c>
      <c r="H1033" s="13" t="n"/>
      <c r="I1033" s="15" t="n"/>
      <c r="J1033" s="19" t="n">
        <v>2</v>
      </c>
      <c r="K1033" s="2" t="inlineStr">
        <is>
          <t>marker_122_363207.png</t>
        </is>
      </c>
      <c r="L1033" s="11">
        <f>HYPERLINK("2\1\" &amp; K1033, "Ver Imagen")</f>
        <v/>
      </c>
      <c r="M1033" t="inlineStr">
        <is>
          <t>Moda</t>
        </is>
      </c>
    </row>
    <row r="1034">
      <c r="A1034" t="n">
        <v>1033</v>
      </c>
      <c r="B1034" t="inlineStr">
        <is>
          <t>A-497_2C__437</t>
        </is>
      </c>
      <c r="C1034" s="1" t="n">
        <v>37.2228702888</v>
      </c>
      <c r="D1034" s="1" t="n">
        <v>-7.02323630761</v>
      </c>
      <c r="E1034" s="3" t="n">
        <v>1</v>
      </c>
      <c r="F1034" s="2" t="n">
        <v>2</v>
      </c>
      <c r="G1034" s="4" t="n">
        <v>2</v>
      </c>
      <c r="H1034" s="13" t="n"/>
      <c r="I1034" s="15" t="n"/>
      <c r="J1034" s="19" t="n">
        <v>2</v>
      </c>
      <c r="K1034" s="2" t="inlineStr">
        <is>
          <t>marker_904_363281.png</t>
        </is>
      </c>
      <c r="L1034" s="11">
        <f>HYPERLINK("2\1\" &amp; K1034, "Ver Imagen")</f>
        <v/>
      </c>
      <c r="M1034" t="inlineStr">
        <is>
          <t>Moda</t>
        </is>
      </c>
    </row>
    <row r="1035">
      <c r="A1035" t="n">
        <v>1034</v>
      </c>
      <c r="B1035" t="inlineStr">
        <is>
          <t>A-497_2C__440</t>
        </is>
      </c>
      <c r="C1035" s="1" t="n">
        <v>37.2222797806</v>
      </c>
      <c r="D1035" s="1" t="n">
        <v>-7.02317629111</v>
      </c>
      <c r="E1035" s="3" t="n">
        <v>1</v>
      </c>
      <c r="F1035" s="2" t="n">
        <v>2</v>
      </c>
      <c r="G1035" s="4" t="n">
        <v>2</v>
      </c>
      <c r="H1035" s="13" t="n"/>
      <c r="I1035" s="15" t="n"/>
      <c r="J1035" s="19" t="n">
        <v>2</v>
      </c>
      <c r="K1035" s="2" t="inlineStr">
        <is>
          <t>marker_525_363307.png</t>
        </is>
      </c>
      <c r="L1035" s="11">
        <f>HYPERLINK("2\1\" &amp; K1035, "Ver Imagen")</f>
        <v/>
      </c>
      <c r="M1035" t="inlineStr">
        <is>
          <t>Moda</t>
        </is>
      </c>
    </row>
    <row r="1036">
      <c r="A1036" t="n">
        <v>1035</v>
      </c>
      <c r="B1036" t="inlineStr">
        <is>
          <t>A-497_2C__441</t>
        </is>
      </c>
      <c r="C1036" s="1" t="n">
        <v>37.222067894</v>
      </c>
      <c r="D1036" s="1" t="n">
        <v>-7.02315429631</v>
      </c>
      <c r="E1036" s="3" t="n">
        <v>1</v>
      </c>
      <c r="F1036" s="2" t="n">
        <v>2</v>
      </c>
      <c r="G1036" s="4" t="n">
        <v>2</v>
      </c>
      <c r="H1036" s="13" t="n"/>
      <c r="I1036" s="15" t="n"/>
      <c r="J1036" s="19" t="n">
        <v>2</v>
      </c>
      <c r="K1036" s="2" t="inlineStr">
        <is>
          <t>marker_120_363319.png</t>
        </is>
      </c>
      <c r="L1036" s="11">
        <f>HYPERLINK("2\1\" &amp; K1036, "Ver Imagen")</f>
        <v/>
      </c>
      <c r="M1036" t="inlineStr">
        <is>
          <t>Moda</t>
        </is>
      </c>
    </row>
    <row r="1037">
      <c r="A1037" t="n">
        <v>1036</v>
      </c>
      <c r="B1037" t="inlineStr">
        <is>
          <t>A-497__457</t>
        </is>
      </c>
      <c r="C1037" s="1" t="n">
        <v>37.219800497</v>
      </c>
      <c r="D1037" s="1" t="n">
        <v>-7.02277662705</v>
      </c>
      <c r="E1037" s="3" t="n">
        <v>1</v>
      </c>
      <c r="F1037" s="2" t="n">
        <v>2</v>
      </c>
      <c r="G1037" s="4" t="n">
        <v>2</v>
      </c>
      <c r="H1037" s="13" t="n"/>
      <c r="I1037" s="15" t="n"/>
      <c r="J1037" s="19" t="n">
        <v>2</v>
      </c>
      <c r="K1037" s="2" t="inlineStr">
        <is>
          <t>marker_942_376603.png</t>
        </is>
      </c>
      <c r="L1037" s="11">
        <f>HYPERLINK("2\1\" &amp; K1037, "Ver Imagen")</f>
        <v/>
      </c>
      <c r="M1037" t="inlineStr">
        <is>
          <t>Moda</t>
        </is>
      </c>
    </row>
    <row r="1038">
      <c r="A1038" t="n">
        <v>1037</v>
      </c>
      <c r="B1038" t="inlineStr">
        <is>
          <t>A-497__455</t>
        </is>
      </c>
      <c r="C1038" s="1" t="n">
        <v>37.2202013822</v>
      </c>
      <c r="D1038" s="1" t="n">
        <v>-7.02280299637</v>
      </c>
      <c r="E1038" s="3" t="n">
        <v>1</v>
      </c>
      <c r="F1038" s="2" t="n">
        <v>2</v>
      </c>
      <c r="G1038" s="4" t="n">
        <v>2</v>
      </c>
      <c r="H1038" s="13" t="n"/>
      <c r="I1038" s="15" t="n"/>
      <c r="J1038" s="19" t="n">
        <v>2</v>
      </c>
      <c r="K1038" s="2" t="inlineStr">
        <is>
          <t>marker_879_376635.png</t>
        </is>
      </c>
      <c r="L1038" s="11">
        <f>HYPERLINK("2\1\" &amp; K1038, "Ver Imagen")</f>
        <v/>
      </c>
      <c r="M1038" t="inlineStr">
        <is>
          <t>Moda</t>
        </is>
      </c>
    </row>
    <row r="1039">
      <c r="A1039" t="n">
        <v>1038</v>
      </c>
      <c r="B1039" t="inlineStr">
        <is>
          <t>A-497__454</t>
        </is>
      </c>
      <c r="C1039" s="1" t="n">
        <v>37.2203934842</v>
      </c>
      <c r="D1039" s="1" t="n">
        <v>-7.02281666715</v>
      </c>
      <c r="E1039" s="3" t="n">
        <v>1</v>
      </c>
      <c r="F1039" s="2" t="n">
        <v>2</v>
      </c>
      <c r="G1039" s="4" t="n">
        <v>2</v>
      </c>
      <c r="H1039" s="13" t="n"/>
      <c r="I1039" s="15" t="n"/>
      <c r="J1039" s="19" t="n">
        <v>2</v>
      </c>
      <c r="K1039" s="2" t="inlineStr">
        <is>
          <t>marker_159_376646.png</t>
        </is>
      </c>
      <c r="L1039" s="11">
        <f>HYPERLINK("2\1\" &amp; K1039, "Ver Imagen")</f>
        <v/>
      </c>
      <c r="M1039" t="inlineStr">
        <is>
          <t>Moda</t>
        </is>
      </c>
    </row>
    <row r="1040">
      <c r="A1040" t="n">
        <v>1039</v>
      </c>
      <c r="B1040" t="inlineStr">
        <is>
          <t>A-497__449</t>
        </is>
      </c>
      <c r="C1040" s="1" t="n">
        <v>37.2214634511</v>
      </c>
      <c r="D1040" s="1" t="n">
        <v>-7.0229132454</v>
      </c>
      <c r="E1040" s="3" t="n">
        <v>1</v>
      </c>
      <c r="F1040" s="2" t="n">
        <v>2</v>
      </c>
      <c r="G1040" s="4" t="n">
        <v>2</v>
      </c>
      <c r="H1040" s="13" t="n"/>
      <c r="I1040" s="15" t="n"/>
      <c r="J1040" s="19" t="n">
        <v>2</v>
      </c>
      <c r="K1040" s="2" t="inlineStr">
        <is>
          <t>marker_107_376698.png</t>
        </is>
      </c>
      <c r="L1040" s="11">
        <f>HYPERLINK("2\1\" &amp; K1040, "Ver Imagen")</f>
        <v/>
      </c>
      <c r="M1040" t="inlineStr">
        <is>
          <t>Moda</t>
        </is>
      </c>
    </row>
    <row r="1041">
      <c r="A1041" t="n">
        <v>1040</v>
      </c>
      <c r="B1041" t="inlineStr">
        <is>
          <t>A-497_2C__535</t>
        </is>
      </c>
      <c r="C1041" s="1" t="n">
        <v>37.2053628836</v>
      </c>
      <c r="D1041" s="1" t="n">
        <v>-7.01783114653</v>
      </c>
      <c r="E1041" s="3" t="n">
        <v>1</v>
      </c>
      <c r="F1041" s="2" t="n">
        <v>2</v>
      </c>
      <c r="G1041" s="4" t="n">
        <v>2</v>
      </c>
      <c r="H1041" s="13" t="n"/>
      <c r="I1041" s="15" t="n"/>
      <c r="J1041" s="19" t="n">
        <v>2</v>
      </c>
      <c r="K1041" s="2" t="inlineStr">
        <is>
          <t>marker_251_364483.png</t>
        </is>
      </c>
      <c r="L1041" s="11">
        <f>HYPERLINK("2\1\" &amp; K1041, "Ver Imagen")</f>
        <v/>
      </c>
      <c r="M1041" t="inlineStr">
        <is>
          <t>Moda</t>
        </is>
      </c>
    </row>
    <row r="1042">
      <c r="A1042" t="n">
        <v>1041</v>
      </c>
      <c r="B1042" t="inlineStr">
        <is>
          <t>A-497_2C__636</t>
        </is>
      </c>
      <c r="C1042" s="1" t="n">
        <v>37.2013729772</v>
      </c>
      <c r="D1042" s="1" t="n">
        <v>-6.99281963066</v>
      </c>
      <c r="E1042" s="3" t="n">
        <v>1</v>
      </c>
      <c r="F1042" s="2" t="n">
        <v>2</v>
      </c>
      <c r="G1042" s="4" t="n">
        <v>2</v>
      </c>
      <c r="H1042" s="13" t="n"/>
      <c r="I1042" s="15" t="n"/>
      <c r="J1042" s="19" t="n">
        <v>2</v>
      </c>
      <c r="K1042" s="2" t="inlineStr">
        <is>
          <t>marker_125_367140.png</t>
        </is>
      </c>
      <c r="L1042" s="11">
        <f>HYPERLINK("2\1\" &amp; K1042, "Ver Imagen")</f>
        <v/>
      </c>
      <c r="M1042" t="inlineStr">
        <is>
          <t>Moda</t>
        </is>
      </c>
    </row>
    <row r="1043">
      <c r="A1043" t="n">
        <v>1042</v>
      </c>
      <c r="B1043" t="inlineStr">
        <is>
          <t>A-497__416</t>
        </is>
      </c>
      <c r="C1043" s="1" t="n">
        <v>37.2278773151</v>
      </c>
      <c r="D1043" s="1" t="n">
        <v>-7.02186859919</v>
      </c>
      <c r="E1043" s="3" t="n">
        <v>2</v>
      </c>
      <c r="F1043" s="2" t="n">
        <v>2</v>
      </c>
      <c r="G1043" s="4" t="n">
        <v>1</v>
      </c>
      <c r="H1043" s="13" t="n"/>
      <c r="I1043" s="15" t="n"/>
      <c r="J1043" s="19" t="n">
        <v>2</v>
      </c>
      <c r="K1043" s="2" t="inlineStr">
        <is>
          <t>marker_304_377049.png</t>
        </is>
      </c>
      <c r="L1043" s="11">
        <f>HYPERLINK("2\1\" &amp; K1043, "Ver Imagen")</f>
        <v/>
      </c>
      <c r="M1043" t="inlineStr">
        <is>
          <t>Moda</t>
        </is>
      </c>
    </row>
    <row r="1044">
      <c r="A1044" t="n">
        <v>1043</v>
      </c>
      <c r="B1044" t="inlineStr">
        <is>
          <t>A-497__182</t>
        </is>
      </c>
      <c r="C1044" s="1" t="n">
        <v>37.2651520512</v>
      </c>
      <c r="D1044" s="1" t="n">
        <v>-6.99737335347</v>
      </c>
      <c r="E1044" s="3" t="n">
        <v>1</v>
      </c>
      <c r="F1044" s="2" t="n">
        <v>2</v>
      </c>
      <c r="G1044" s="4" t="n">
        <v>2</v>
      </c>
      <c r="H1044" s="13" t="n"/>
      <c r="I1044" s="15" t="n"/>
      <c r="J1044" s="19" t="n">
        <v>2</v>
      </c>
      <c r="K1044" s="2" t="inlineStr">
        <is>
          <t>marker_717_379620.png</t>
        </is>
      </c>
      <c r="L1044" s="11">
        <f>HYPERLINK("2\1\" &amp; K1044, "Ver Imagen")</f>
        <v/>
      </c>
      <c r="M1044" t="inlineStr">
        <is>
          <t>Moda</t>
        </is>
      </c>
    </row>
    <row r="1045">
      <c r="A1045" t="n">
        <v>1044</v>
      </c>
      <c r="B1045" t="inlineStr">
        <is>
          <t>A-497__181</t>
        </is>
      </c>
      <c r="C1045" s="1" t="n">
        <v>37.2651945112</v>
      </c>
      <c r="D1045" s="1" t="n">
        <v>-6.99713955826</v>
      </c>
      <c r="E1045" s="3" t="n">
        <v>1</v>
      </c>
      <c r="F1045" s="2" t="n">
        <v>2</v>
      </c>
      <c r="G1045" s="4" t="n">
        <v>2</v>
      </c>
      <c r="H1045" s="13" t="n"/>
      <c r="I1045" s="15" t="n"/>
      <c r="J1045" s="19" t="n">
        <v>2</v>
      </c>
      <c r="K1045" s="2" t="inlineStr">
        <is>
          <t>marker_529_379629.png</t>
        </is>
      </c>
      <c r="L1045" s="11">
        <f>HYPERLINK("2\1\" &amp; K1045, "Ver Imagen")</f>
        <v/>
      </c>
      <c r="M1045" t="inlineStr">
        <is>
          <t>Moda</t>
        </is>
      </c>
    </row>
    <row r="1046">
      <c r="A1046" t="n">
        <v>1045</v>
      </c>
      <c r="B1046" t="inlineStr">
        <is>
          <t>A-497__178</t>
        </is>
      </c>
      <c r="C1046" s="1" t="n">
        <v>37.2653277794</v>
      </c>
      <c r="D1046" s="1" t="n">
        <v>-6.99641389526</v>
      </c>
      <c r="E1046" s="3" t="n">
        <v>2</v>
      </c>
      <c r="F1046" s="2" t="n">
        <v>2</v>
      </c>
      <c r="G1046" s="4" t="n">
        <v>1</v>
      </c>
      <c r="H1046" s="13" t="n"/>
      <c r="I1046" s="15" t="n"/>
      <c r="J1046" s="19" t="n">
        <v>2</v>
      </c>
      <c r="K1046" s="2" t="inlineStr">
        <is>
          <t>marker_465_379664.png</t>
        </is>
      </c>
      <c r="L1046" s="11">
        <f>HYPERLINK("2\1\" &amp; K1046, "Ver Imagen")</f>
        <v/>
      </c>
      <c r="M1046" t="inlineStr">
        <is>
          <t>Moda</t>
        </is>
      </c>
    </row>
    <row r="1047">
      <c r="A1047" t="n">
        <v>1046</v>
      </c>
      <c r="B1047" t="inlineStr">
        <is>
          <t>A-497__165</t>
        </is>
      </c>
      <c r="C1047" s="1" t="n">
        <v>37.2660427559</v>
      </c>
      <c r="D1047" s="1" t="n">
        <v>-6.99324331854</v>
      </c>
      <c r="E1047" s="3" t="n">
        <v>2</v>
      </c>
      <c r="F1047" s="2" t="n">
        <v>2</v>
      </c>
      <c r="G1047" s="4" t="n">
        <v>1</v>
      </c>
      <c r="H1047" s="13" t="n"/>
      <c r="I1047" s="15" t="n"/>
      <c r="J1047" s="19" t="n">
        <v>2</v>
      </c>
      <c r="K1047" s="2" t="inlineStr">
        <is>
          <t>marker_532_380200.png</t>
        </is>
      </c>
      <c r="L1047" s="11">
        <f>HYPERLINK("2\1\" &amp; K1047, "Ver Imagen")</f>
        <v/>
      </c>
      <c r="M1047" t="inlineStr">
        <is>
          <t>Moda</t>
        </is>
      </c>
    </row>
    <row r="1048">
      <c r="A1048" t="n">
        <v>1047</v>
      </c>
      <c r="B1048" t="inlineStr">
        <is>
          <t>A-497__164</t>
        </is>
      </c>
      <c r="C1048" s="1" t="n">
        <v>37.2661437905</v>
      </c>
      <c r="D1048" s="1" t="n">
        <v>-6.99301207679</v>
      </c>
      <c r="E1048" s="3" t="n">
        <v>2</v>
      </c>
      <c r="F1048" s="2" t="n">
        <v>2</v>
      </c>
      <c r="G1048" s="4" t="n">
        <v>1</v>
      </c>
      <c r="H1048" s="13" t="n"/>
      <c r="I1048" s="15" t="n"/>
      <c r="J1048" s="19" t="n">
        <v>2</v>
      </c>
      <c r="K1048" s="2" t="inlineStr">
        <is>
          <t>marker_129_380213.png</t>
        </is>
      </c>
      <c r="L1048" s="11">
        <f>HYPERLINK("2\1\" &amp; K1048, "Ver Imagen")</f>
        <v/>
      </c>
      <c r="M1048" t="inlineStr">
        <is>
          <t>Moda</t>
        </is>
      </c>
    </row>
    <row r="1049">
      <c r="A1049" t="n">
        <v>1048</v>
      </c>
      <c r="B1049" t="inlineStr">
        <is>
          <t>A-497__163</t>
        </is>
      </c>
      <c r="C1049" s="1" t="n">
        <v>37.2662879901</v>
      </c>
      <c r="D1049" s="1" t="n">
        <v>-6.99272355025</v>
      </c>
      <c r="E1049" s="3" t="n">
        <v>2</v>
      </c>
      <c r="F1049" s="2" t="n">
        <v>2</v>
      </c>
      <c r="G1049" s="4" t="n">
        <v>1</v>
      </c>
      <c r="H1049" s="13" t="n"/>
      <c r="I1049" s="15" t="n"/>
      <c r="J1049" s="19" t="n">
        <v>2</v>
      </c>
      <c r="K1049" s="2" t="inlineStr">
        <is>
          <t>marker_690_380222.png</t>
        </is>
      </c>
      <c r="L1049" s="11">
        <f>HYPERLINK("2\1\" &amp; K1049, "Ver Imagen")</f>
        <v/>
      </c>
      <c r="M1049" t="inlineStr">
        <is>
          <t>Moda</t>
        </is>
      </c>
    </row>
    <row r="1050">
      <c r="A1050" t="n">
        <v>1049</v>
      </c>
      <c r="B1050" t="inlineStr">
        <is>
          <t>A-497__152</t>
        </is>
      </c>
      <c r="C1050" s="1" t="n">
        <v>37.2679070396</v>
      </c>
      <c r="D1050" s="1" t="n">
        <v>-6.99094635521</v>
      </c>
      <c r="E1050" s="3" t="n">
        <v>2</v>
      </c>
      <c r="F1050" s="2" t="n">
        <v>2</v>
      </c>
      <c r="G1050" s="4" t="n">
        <v>1</v>
      </c>
      <c r="H1050" s="13" t="n"/>
      <c r="I1050" s="15" t="n"/>
      <c r="J1050" s="19" t="n">
        <v>2</v>
      </c>
      <c r="K1050" s="2" t="inlineStr">
        <is>
          <t>marker_846_380325.png</t>
        </is>
      </c>
      <c r="L1050" s="11">
        <f>HYPERLINK("2\1\" &amp; K1050, "Ver Imagen")</f>
        <v/>
      </c>
      <c r="M1050" t="inlineStr">
        <is>
          <t>Moda</t>
        </is>
      </c>
    </row>
    <row r="1051">
      <c r="A1051" t="n">
        <v>1050</v>
      </c>
      <c r="B1051" t="inlineStr">
        <is>
          <t>A-490__37</t>
        </is>
      </c>
      <c r="C1051" s="1" t="n">
        <v>37.4461729329</v>
      </c>
      <c r="D1051" s="1" t="n">
        <v>-7.13546133194</v>
      </c>
      <c r="E1051" s="3" t="n">
        <v>2</v>
      </c>
      <c r="F1051" s="2" t="n">
        <v>2</v>
      </c>
      <c r="G1051" s="4" t="n">
        <v>3</v>
      </c>
      <c r="H1051" s="13" t="n"/>
      <c r="I1051" s="15" t="n"/>
      <c r="J1051" s="19" t="n">
        <v>2</v>
      </c>
      <c r="K1051" s="2" t="inlineStr">
        <is>
          <t>marker_763_731097.png</t>
        </is>
      </c>
      <c r="L1051" s="11">
        <f>HYPERLINK("2\1\" &amp; K1051, "Ver Imagen")</f>
        <v/>
      </c>
      <c r="M1051" t="inlineStr">
        <is>
          <t>Moda</t>
        </is>
      </c>
    </row>
    <row r="1052">
      <c r="A1052" t="n">
        <v>1051</v>
      </c>
      <c r="B1052" t="inlineStr">
        <is>
          <t>A-490__39</t>
        </is>
      </c>
      <c r="C1052" s="1" t="n">
        <v>37.4461458001</v>
      </c>
      <c r="D1052" s="1" t="n">
        <v>-7.1359771447</v>
      </c>
      <c r="E1052" s="3" t="n">
        <v>2</v>
      </c>
      <c r="F1052" s="2" t="n">
        <v>3</v>
      </c>
      <c r="G1052" s="4" t="n">
        <v>2</v>
      </c>
      <c r="H1052" s="13" t="n"/>
      <c r="I1052" s="15" t="n"/>
      <c r="J1052" s="19" t="n">
        <v>2</v>
      </c>
      <c r="K1052" s="2" t="inlineStr">
        <is>
          <t>marker_261_731147.png</t>
        </is>
      </c>
      <c r="L1052" s="11">
        <f>HYPERLINK("2\1\" &amp; K1052, "Ver Imagen")</f>
        <v/>
      </c>
      <c r="M1052" t="inlineStr">
        <is>
          <t>Moda</t>
        </is>
      </c>
    </row>
    <row r="1053">
      <c r="A1053" t="n">
        <v>1052</v>
      </c>
      <c r="B1053" t="inlineStr">
        <is>
          <t>A-490__67</t>
        </is>
      </c>
      <c r="C1053" s="1" t="n">
        <v>37.4483696553</v>
      </c>
      <c r="D1053" s="1" t="n">
        <v>-7.14244012129</v>
      </c>
      <c r="E1053" s="3" t="n">
        <v>2</v>
      </c>
      <c r="F1053" s="2" t="n">
        <v>3</v>
      </c>
      <c r="G1053" s="4" t="n">
        <v>2</v>
      </c>
      <c r="H1053" s="13" t="n"/>
      <c r="I1053" s="15" t="n"/>
      <c r="J1053" s="19" t="n">
        <v>2</v>
      </c>
      <c r="K1053" s="2" t="inlineStr">
        <is>
          <t>marker_393_738075.png</t>
        </is>
      </c>
      <c r="L1053" s="11">
        <f>HYPERLINK("2\1\" &amp; K1053, "Ver Imagen")</f>
        <v/>
      </c>
      <c r="M1053" t="inlineStr">
        <is>
          <t>Moda</t>
        </is>
      </c>
    </row>
    <row r="1054">
      <c r="A1054" t="n">
        <v>1053</v>
      </c>
      <c r="B1054" t="inlineStr">
        <is>
          <t>A-490__133</t>
        </is>
      </c>
      <c r="C1054" s="1" t="n">
        <v>37.451974107</v>
      </c>
      <c r="D1054" s="1" t="n">
        <v>-7.15817127559</v>
      </c>
      <c r="E1054" s="3" t="n">
        <v>1</v>
      </c>
      <c r="F1054" s="2" t="n">
        <v>2</v>
      </c>
      <c r="G1054" s="4" t="n">
        <v>2</v>
      </c>
      <c r="H1054" s="13" t="n"/>
      <c r="I1054" s="15" t="n"/>
      <c r="J1054" s="19" t="n">
        <v>2</v>
      </c>
      <c r="K1054" s="2" t="inlineStr">
        <is>
          <t>marker_125_740302.png</t>
        </is>
      </c>
      <c r="L1054" s="11">
        <f>HYPERLINK("2\1\" &amp; K1054, "Ver Imagen")</f>
        <v/>
      </c>
      <c r="M1054" t="inlineStr">
        <is>
          <t>Moda</t>
        </is>
      </c>
    </row>
    <row r="1055">
      <c r="A1055" t="n">
        <v>1054</v>
      </c>
      <c r="B1055" t="inlineStr">
        <is>
          <t>A-490__136</t>
        </is>
      </c>
      <c r="C1055" s="1" t="n">
        <v>37.4521327139</v>
      </c>
      <c r="D1055" s="1" t="n">
        <v>-7.15890624447</v>
      </c>
      <c r="E1055" s="3" t="n">
        <v>2</v>
      </c>
      <c r="F1055" s="2" t="n">
        <v>3</v>
      </c>
      <c r="G1055" s="4" t="n">
        <v>2</v>
      </c>
      <c r="H1055" s="13" t="n"/>
      <c r="I1055" s="15" t="n"/>
      <c r="J1055" s="19" t="n">
        <v>2</v>
      </c>
      <c r="K1055" s="2" t="inlineStr">
        <is>
          <t>marker_520_740429.png</t>
        </is>
      </c>
      <c r="L1055" s="11">
        <f>HYPERLINK("2\1\" &amp; K1055, "Ver Imagen")</f>
        <v/>
      </c>
      <c r="M1055" t="inlineStr">
        <is>
          <t>Moda</t>
        </is>
      </c>
    </row>
    <row r="1056">
      <c r="A1056" t="n">
        <v>1055</v>
      </c>
      <c r="B1056" t="inlineStr">
        <is>
          <t>A-490__140</t>
        </is>
      </c>
      <c r="C1056" s="1" t="n">
        <v>37.452350455</v>
      </c>
      <c r="D1056" s="1" t="n">
        <v>-7.15993665849</v>
      </c>
      <c r="E1056" s="3" t="n">
        <v>2</v>
      </c>
      <c r="F1056" s="2" t="n">
        <v>3</v>
      </c>
      <c r="G1056" s="4" t="n">
        <v>2</v>
      </c>
      <c r="H1056" s="13" t="n"/>
      <c r="I1056" s="15" t="n"/>
      <c r="J1056" s="19" t="n">
        <v>2</v>
      </c>
      <c r="K1056" s="2" t="inlineStr">
        <is>
          <t>marker_176_740514.png</t>
        </is>
      </c>
      <c r="L1056" s="11">
        <f>HYPERLINK("2\1\" &amp; K1056, "Ver Imagen")</f>
        <v/>
      </c>
      <c r="M1056" t="inlineStr">
        <is>
          <t>Moda</t>
        </is>
      </c>
    </row>
    <row r="1057">
      <c r="A1057" t="n">
        <v>1056</v>
      </c>
      <c r="B1057" t="inlineStr">
        <is>
          <t>A-490__141</t>
        </is>
      </c>
      <c r="C1057" s="1" t="n">
        <v>37.45240823</v>
      </c>
      <c r="D1057" s="1" t="n">
        <v>-7.16021393299</v>
      </c>
      <c r="E1057" s="3" t="n">
        <v>2</v>
      </c>
      <c r="F1057" s="2" t="n">
        <v>3</v>
      </c>
      <c r="G1057" s="4" t="n">
        <v>2</v>
      </c>
      <c r="H1057" s="13" t="n"/>
      <c r="I1057" s="15" t="n"/>
      <c r="J1057" s="19" t="n">
        <v>2</v>
      </c>
      <c r="K1057" s="2" t="inlineStr">
        <is>
          <t>marker_824_740530.png</t>
        </is>
      </c>
      <c r="L1057" s="11">
        <f>HYPERLINK("2\1\" &amp; K1057, "Ver Imagen")</f>
        <v/>
      </c>
      <c r="M1057" t="inlineStr">
        <is>
          <t>Moda</t>
        </is>
      </c>
    </row>
    <row r="1058">
      <c r="A1058" t="n">
        <v>1057</v>
      </c>
      <c r="B1058" t="inlineStr">
        <is>
          <t>A-490__151</t>
        </is>
      </c>
      <c r="C1058" s="1" t="n">
        <v>37.4532751537</v>
      </c>
      <c r="D1058" s="1" t="n">
        <v>-7.16233579881</v>
      </c>
      <c r="E1058" s="3" t="n">
        <v>2</v>
      </c>
      <c r="F1058" s="2" t="n">
        <v>2</v>
      </c>
      <c r="G1058" s="4" t="n">
        <v>3</v>
      </c>
      <c r="H1058" s="13" t="n"/>
      <c r="I1058" s="15" t="n"/>
      <c r="J1058" s="19" t="n">
        <v>2</v>
      </c>
      <c r="K1058" s="2" t="inlineStr">
        <is>
          <t>marker_246_740774.png</t>
        </is>
      </c>
      <c r="L1058" s="11">
        <f>HYPERLINK("2\1\" &amp; K1058, "Ver Imagen")</f>
        <v/>
      </c>
      <c r="M1058" t="inlineStr">
        <is>
          <t>Moda</t>
        </is>
      </c>
    </row>
    <row r="1059">
      <c r="A1059" t="n">
        <v>1058</v>
      </c>
      <c r="B1059" t="inlineStr">
        <is>
          <t>A-490__160</t>
        </is>
      </c>
      <c r="C1059" s="1" t="n">
        <v>37.4542688217</v>
      </c>
      <c r="D1059" s="1" t="n">
        <v>-7.16430632835</v>
      </c>
      <c r="E1059" s="3" t="n">
        <v>1</v>
      </c>
      <c r="F1059" s="2" t="n">
        <v>2</v>
      </c>
      <c r="G1059" s="4" t="n">
        <v>2</v>
      </c>
      <c r="H1059" s="13" t="n"/>
      <c r="I1059" s="15" t="n"/>
      <c r="J1059" s="19" t="n">
        <v>2</v>
      </c>
      <c r="K1059" s="2" t="inlineStr">
        <is>
          <t>marker_841_741225.png</t>
        </is>
      </c>
      <c r="L1059" s="11">
        <f>HYPERLINK("2\1\" &amp; K1059, "Ver Imagen")</f>
        <v/>
      </c>
      <c r="M1059" t="inlineStr">
        <is>
          <t>Moda</t>
        </is>
      </c>
    </row>
    <row r="1060">
      <c r="A1060" t="n">
        <v>1059</v>
      </c>
      <c r="B1060" t="inlineStr">
        <is>
          <t>A-490__161</t>
        </is>
      </c>
      <c r="C1060" s="1" t="n">
        <v>37.454399304</v>
      </c>
      <c r="D1060" s="1" t="n">
        <v>-7.16456468596</v>
      </c>
      <c r="E1060" s="3" t="n">
        <v>1</v>
      </c>
      <c r="F1060" s="2" t="n">
        <v>2</v>
      </c>
      <c r="G1060" s="4" t="n">
        <v>2</v>
      </c>
      <c r="H1060" s="13" t="n"/>
      <c r="I1060" s="15" t="n"/>
      <c r="J1060" s="19" t="n">
        <v>2</v>
      </c>
      <c r="K1060" s="2" t="inlineStr">
        <is>
          <t>marker_115_741250.png</t>
        </is>
      </c>
      <c r="L1060" s="11">
        <f>HYPERLINK("2\1\" &amp; K1060, "Ver Imagen")</f>
        <v/>
      </c>
      <c r="M1060" t="inlineStr">
        <is>
          <t>Moda</t>
        </is>
      </c>
    </row>
    <row r="1061">
      <c r="A1061" t="n">
        <v>1060</v>
      </c>
      <c r="B1061" t="inlineStr">
        <is>
          <t>A-490__170</t>
        </is>
      </c>
      <c r="C1061" s="1" t="n">
        <v>37.4555439843</v>
      </c>
      <c r="D1061" s="1" t="n">
        <v>-7.16624054386</v>
      </c>
      <c r="E1061" s="3" t="n">
        <v>2</v>
      </c>
      <c r="F1061" s="2" t="n">
        <v>3</v>
      </c>
      <c r="G1061" s="4" t="n">
        <v>2</v>
      </c>
      <c r="H1061" s="13" t="n"/>
      <c r="I1061" s="15" t="n"/>
      <c r="J1061" s="19" t="n">
        <v>2</v>
      </c>
      <c r="K1061" s="2" t="inlineStr">
        <is>
          <t>marker_337_741485.png</t>
        </is>
      </c>
      <c r="L1061" s="11">
        <f>HYPERLINK("2\1\" &amp; K1061, "Ver Imagen")</f>
        <v/>
      </c>
      <c r="M1061" t="inlineStr">
        <is>
          <t>Moda</t>
        </is>
      </c>
    </row>
    <row r="1062">
      <c r="A1062" t="n">
        <v>1061</v>
      </c>
      <c r="B1062" t="inlineStr">
        <is>
          <t>A-490__181</t>
        </is>
      </c>
      <c r="C1062" s="1" t="n">
        <v>37.4571071562</v>
      </c>
      <c r="D1062" s="1" t="n">
        <v>-7.1681713243</v>
      </c>
      <c r="E1062" s="3" t="n">
        <v>2</v>
      </c>
      <c r="F1062" s="2" t="n">
        <v>2</v>
      </c>
      <c r="G1062" s="4" t="n">
        <v>3</v>
      </c>
      <c r="H1062" s="13" t="n"/>
      <c r="I1062" s="15" t="n"/>
      <c r="J1062" s="19" t="n">
        <v>2</v>
      </c>
      <c r="K1062" s="2" t="inlineStr">
        <is>
          <t>marker_667_741823.png</t>
        </is>
      </c>
      <c r="L1062" s="11">
        <f>HYPERLINK("2\1\" &amp; K1062, "Ver Imagen")</f>
        <v/>
      </c>
      <c r="M1062" t="inlineStr">
        <is>
          <t>Moda</t>
        </is>
      </c>
    </row>
    <row r="1063">
      <c r="A1063" t="n">
        <v>1062</v>
      </c>
      <c r="B1063" t="inlineStr">
        <is>
          <t>A-490__213</t>
        </is>
      </c>
      <c r="C1063" s="1" t="n">
        <v>37.4614698156</v>
      </c>
      <c r="D1063" s="1" t="n">
        <v>-7.17426022819</v>
      </c>
      <c r="E1063" s="3" t="n">
        <v>2</v>
      </c>
      <c r="F1063" s="2" t="n">
        <v>3</v>
      </c>
      <c r="G1063" s="4" t="n">
        <v>2</v>
      </c>
      <c r="H1063" s="13" t="n"/>
      <c r="I1063" s="15" t="n"/>
      <c r="J1063" s="19" t="n">
        <v>2</v>
      </c>
      <c r="K1063" s="2" t="inlineStr">
        <is>
          <t>marker_981_742847.png</t>
        </is>
      </c>
      <c r="L1063" s="11">
        <f>HYPERLINK("2\1\" &amp; K1063, "Ver Imagen")</f>
        <v/>
      </c>
      <c r="M1063" t="inlineStr">
        <is>
          <t>Moda</t>
        </is>
      </c>
    </row>
    <row r="1064">
      <c r="A1064" t="n">
        <v>1063</v>
      </c>
      <c r="B1064" t="inlineStr">
        <is>
          <t>A-490__220</t>
        </is>
      </c>
      <c r="C1064" s="1" t="n">
        <v>37.4623291948</v>
      </c>
      <c r="D1064" s="1" t="n">
        <v>-7.1756699492</v>
      </c>
      <c r="E1064" s="3" t="n">
        <v>2</v>
      </c>
      <c r="F1064" s="2" t="n">
        <v>3</v>
      </c>
      <c r="G1064" s="4" t="n">
        <v>2</v>
      </c>
      <c r="H1064" s="13" t="n"/>
      <c r="I1064" s="15" t="n"/>
      <c r="J1064" s="19" t="n">
        <v>2</v>
      </c>
      <c r="K1064" s="2" t="inlineStr">
        <is>
          <t>marker_757_743361.png</t>
        </is>
      </c>
      <c r="L1064" s="11">
        <f>HYPERLINK("2\1\" &amp; K1064, "Ver Imagen")</f>
        <v/>
      </c>
      <c r="M1064" t="inlineStr">
        <is>
          <t>Moda</t>
        </is>
      </c>
    </row>
    <row r="1065">
      <c r="A1065" t="n">
        <v>1064</v>
      </c>
      <c r="B1065" t="inlineStr">
        <is>
          <t>A-490__230</t>
        </is>
      </c>
      <c r="C1065" s="1" t="n">
        <v>37.4635642139</v>
      </c>
      <c r="D1065" s="1" t="n">
        <v>-7.17770508006</v>
      </c>
      <c r="E1065" s="3" t="n">
        <v>2</v>
      </c>
      <c r="F1065" s="2" t="n">
        <v>3</v>
      </c>
      <c r="G1065" s="4" t="n">
        <v>2</v>
      </c>
      <c r="H1065" s="13" t="n"/>
      <c r="I1065" s="15" t="n"/>
      <c r="J1065" s="19" t="n">
        <v>2</v>
      </c>
      <c r="K1065" s="2" t="inlineStr">
        <is>
          <t>marker_571_743836.png</t>
        </is>
      </c>
      <c r="L1065" s="11">
        <f>HYPERLINK("2\1\" &amp; K1065, "Ver Imagen")</f>
        <v/>
      </c>
      <c r="M1065" t="inlineStr">
        <is>
          <t>Moda</t>
        </is>
      </c>
    </row>
    <row r="1066">
      <c r="A1066" t="n">
        <v>1065</v>
      </c>
      <c r="B1066" t="inlineStr">
        <is>
          <t>A-490__57</t>
        </is>
      </c>
      <c r="C1066" s="1" t="n">
        <v>37.4473789214</v>
      </c>
      <c r="D1066" s="1" t="n">
        <v>-7.1402554899</v>
      </c>
      <c r="E1066" s="3" t="n">
        <v>2</v>
      </c>
      <c r="F1066" s="2" t="n">
        <v>2</v>
      </c>
      <c r="G1066" s="4" t="n">
        <v>3</v>
      </c>
      <c r="H1066" s="13" t="n"/>
      <c r="I1066" s="15" t="n"/>
      <c r="J1066" s="19" t="n">
        <v>2</v>
      </c>
      <c r="K1066" s="2" t="inlineStr">
        <is>
          <t>marker_119_737820.png</t>
        </is>
      </c>
      <c r="L1066" s="11">
        <f>HYPERLINK("2\1\" &amp; K1066, "Ver Imagen")</f>
        <v/>
      </c>
      <c r="M1066" t="inlineStr">
        <is>
          <t>Moda</t>
        </is>
      </c>
    </row>
    <row r="1067">
      <c r="A1067" t="n">
        <v>1066</v>
      </c>
      <c r="B1067" t="inlineStr">
        <is>
          <t>A-490__368</t>
        </is>
      </c>
      <c r="C1067" s="1" t="n">
        <v>37.4786322932</v>
      </c>
      <c r="D1067" s="1" t="n">
        <v>-7.20718349938</v>
      </c>
      <c r="E1067" s="3" t="n">
        <v>2</v>
      </c>
      <c r="F1067" s="2" t="n">
        <v>3</v>
      </c>
      <c r="G1067" s="4" t="n">
        <v>2</v>
      </c>
      <c r="H1067" s="13" t="n"/>
      <c r="I1067" s="15" t="n"/>
      <c r="J1067" s="19" t="n">
        <v>2</v>
      </c>
      <c r="K1067" s="2" t="inlineStr">
        <is>
          <t>marker_833_752056.png</t>
        </is>
      </c>
      <c r="L1067" s="11">
        <f>HYPERLINK("2\1\" &amp; K1067, "Ver Imagen")</f>
        <v/>
      </c>
      <c r="M1067" t="inlineStr">
        <is>
          <t>Moda</t>
        </is>
      </c>
    </row>
    <row r="1068">
      <c r="A1068" t="n">
        <v>1067</v>
      </c>
      <c r="B1068" t="inlineStr">
        <is>
          <t>A-490__417</t>
        </is>
      </c>
      <c r="C1068" s="1" t="n">
        <v>37.4826754901</v>
      </c>
      <c r="D1068" s="1" t="n">
        <v>-7.21852061483</v>
      </c>
      <c r="E1068" s="3" t="n">
        <v>2</v>
      </c>
      <c r="F1068" s="2" t="n">
        <v>1</v>
      </c>
      <c r="G1068" s="4" t="n">
        <v>2</v>
      </c>
      <c r="H1068" s="13" t="n"/>
      <c r="I1068" s="15" t="n"/>
      <c r="J1068" s="19" t="n">
        <v>2</v>
      </c>
      <c r="K1068" s="2" t="inlineStr">
        <is>
          <t>marker_458_754248.png</t>
        </is>
      </c>
      <c r="L1068" s="11">
        <f>HYPERLINK("2\1\" &amp; K1068, "Ver Imagen")</f>
        <v/>
      </c>
      <c r="M1068" t="inlineStr">
        <is>
          <t>Moda</t>
        </is>
      </c>
    </row>
    <row r="1069">
      <c r="A1069" t="n">
        <v>1068</v>
      </c>
      <c r="B1069" t="inlineStr">
        <is>
          <t>A-490__425</t>
        </is>
      </c>
      <c r="C1069" s="1" t="n">
        <v>37.4830455498</v>
      </c>
      <c r="D1069" s="1" t="n">
        <v>-7.22041952313</v>
      </c>
      <c r="E1069" s="3" t="n">
        <v>2</v>
      </c>
      <c r="F1069" s="2" t="n">
        <v>1</v>
      </c>
      <c r="G1069" s="4" t="n">
        <v>2</v>
      </c>
      <c r="H1069" s="13" t="n"/>
      <c r="I1069" s="15" t="n"/>
      <c r="J1069" s="19" t="n">
        <v>2</v>
      </c>
      <c r="K1069" s="2" t="inlineStr">
        <is>
          <t>marker_867_754377.png</t>
        </is>
      </c>
      <c r="L1069" s="11">
        <f>HYPERLINK("2\1\" &amp; K1069, "Ver Imagen")</f>
        <v/>
      </c>
      <c r="M1069" t="inlineStr">
        <is>
          <t>Moda</t>
        </is>
      </c>
    </row>
    <row r="1070">
      <c r="A1070" t="n">
        <v>1069</v>
      </c>
      <c r="B1070" t="inlineStr">
        <is>
          <t>A-490__428</t>
        </is>
      </c>
      <c r="C1070" s="1" t="n">
        <v>37.4832023428</v>
      </c>
      <c r="D1070" s="1" t="n">
        <v>-7.2211973816</v>
      </c>
      <c r="E1070" s="3" t="n">
        <v>1</v>
      </c>
      <c r="F1070" s="2" t="n">
        <v>2</v>
      </c>
      <c r="G1070" s="4" t="n">
        <v>2</v>
      </c>
      <c r="H1070" s="13" t="n"/>
      <c r="I1070" s="15" t="n"/>
      <c r="J1070" s="19" t="n">
        <v>2</v>
      </c>
      <c r="K1070" s="2" t="inlineStr">
        <is>
          <t>marker_442_754446.png</t>
        </is>
      </c>
      <c r="L1070" s="11">
        <f>HYPERLINK("2\1\" &amp; K1070, "Ver Imagen")</f>
        <v/>
      </c>
      <c r="M1070" t="inlineStr">
        <is>
          <t>Moda</t>
        </is>
      </c>
    </row>
    <row r="1071">
      <c r="A1071" t="n">
        <v>1070</v>
      </c>
      <c r="B1071" t="inlineStr">
        <is>
          <t>A-490__429</t>
        </is>
      </c>
      <c r="C1071" s="1" t="n">
        <v>37.4832514721</v>
      </c>
      <c r="D1071" s="1" t="n">
        <v>-7.22144573038</v>
      </c>
      <c r="E1071" s="3" t="n">
        <v>2</v>
      </c>
      <c r="F1071" s="2" t="n">
        <v>2</v>
      </c>
      <c r="G1071" s="4" t="n">
        <v>1</v>
      </c>
      <c r="H1071" s="13" t="n"/>
      <c r="I1071" s="15" t="n"/>
      <c r="J1071" s="19" t="n">
        <v>2</v>
      </c>
      <c r="K1071" s="2" t="inlineStr">
        <is>
          <t>marker_148_754462.png</t>
        </is>
      </c>
      <c r="L1071" s="11">
        <f>HYPERLINK("2\1\" &amp; K1071, "Ver Imagen")</f>
        <v/>
      </c>
      <c r="M1071" t="inlineStr">
        <is>
          <t>Moda</t>
        </is>
      </c>
    </row>
    <row r="1072">
      <c r="A1072" t="n">
        <v>1071</v>
      </c>
      <c r="B1072" t="inlineStr">
        <is>
          <t>A-490__431</t>
        </is>
      </c>
      <c r="C1072" s="1" t="n">
        <v>37.4833435539</v>
      </c>
      <c r="D1072" s="1" t="n">
        <v>-7.2219134071</v>
      </c>
      <c r="E1072" s="3" t="n">
        <v>2</v>
      </c>
      <c r="F1072" s="2" t="n">
        <v>1</v>
      </c>
      <c r="G1072" s="4" t="n">
        <v>2</v>
      </c>
      <c r="H1072" s="13" t="n"/>
      <c r="I1072" s="15" t="n"/>
      <c r="J1072" s="19" t="n">
        <v>2</v>
      </c>
      <c r="K1072" s="2" t="inlineStr">
        <is>
          <t>marker_331_754499.png</t>
        </is>
      </c>
      <c r="L1072" s="11">
        <f>HYPERLINK("2\1\" &amp; K1072, "Ver Imagen")</f>
        <v/>
      </c>
      <c r="M1072" t="inlineStr">
        <is>
          <t>Moda</t>
        </is>
      </c>
    </row>
    <row r="1073">
      <c r="A1073" t="n">
        <v>1072</v>
      </c>
      <c r="B1073" t="inlineStr">
        <is>
          <t>A-490__432</t>
        </is>
      </c>
      <c r="C1073" s="1" t="n">
        <v>37.4833883805</v>
      </c>
      <c r="D1073" s="1" t="n">
        <v>-7.2221399081</v>
      </c>
      <c r="E1073" s="3" t="n">
        <v>2</v>
      </c>
      <c r="F1073" s="2" t="n">
        <v>1</v>
      </c>
      <c r="G1073" s="4" t="n">
        <v>2</v>
      </c>
      <c r="H1073" s="13" t="n"/>
      <c r="I1073" s="15" t="n"/>
      <c r="J1073" s="19" t="n">
        <v>2</v>
      </c>
      <c r="K1073" s="2" t="inlineStr">
        <is>
          <t>marker_411_754517.png</t>
        </is>
      </c>
      <c r="L1073" s="11">
        <f>HYPERLINK("2\1\" &amp; K1073, "Ver Imagen")</f>
        <v/>
      </c>
      <c r="M1073" t="inlineStr">
        <is>
          <t>Moda</t>
        </is>
      </c>
    </row>
    <row r="1074">
      <c r="A1074" t="n">
        <v>1073</v>
      </c>
      <c r="B1074" t="inlineStr">
        <is>
          <t>A-490__447</t>
        </is>
      </c>
      <c r="C1074" s="1" t="n">
        <v>37.484110803</v>
      </c>
      <c r="D1074" s="1" t="n">
        <v>-7.22587919871</v>
      </c>
      <c r="E1074" s="3" t="n">
        <v>1</v>
      </c>
      <c r="F1074" s="2" t="n">
        <v>2</v>
      </c>
      <c r="G1074" s="4" t="n">
        <v>2</v>
      </c>
      <c r="H1074" s="13" t="n"/>
      <c r="I1074" s="15" t="n"/>
      <c r="J1074" s="19" t="n">
        <v>2</v>
      </c>
      <c r="K1074" s="2" t="inlineStr">
        <is>
          <t>marker_218_754973.png</t>
        </is>
      </c>
      <c r="L1074" s="11">
        <f>HYPERLINK("2\1\" &amp; K1074, "Ver Imagen")</f>
        <v/>
      </c>
      <c r="M1074" t="inlineStr">
        <is>
          <t>Moda</t>
        </is>
      </c>
    </row>
    <row r="1075">
      <c r="A1075" t="n">
        <v>1074</v>
      </c>
      <c r="B1075" t="inlineStr">
        <is>
          <t>A-490__455</t>
        </is>
      </c>
      <c r="C1075" s="1" t="n">
        <v>37.4844986773</v>
      </c>
      <c r="D1075" s="1" t="n">
        <v>-7.22787597117</v>
      </c>
      <c r="E1075" s="3" t="n">
        <v>1</v>
      </c>
      <c r="F1075" s="2" t="n">
        <v>2</v>
      </c>
      <c r="G1075" s="4" t="n">
        <v>2</v>
      </c>
      <c r="H1075" s="13" t="n"/>
      <c r="I1075" s="15" t="n"/>
      <c r="J1075" s="19" t="n">
        <v>2</v>
      </c>
      <c r="K1075" s="2" t="inlineStr">
        <is>
          <t>marker_230_755130.png</t>
        </is>
      </c>
      <c r="L1075" s="11">
        <f>HYPERLINK("2\1\" &amp; K1075, "Ver Imagen")</f>
        <v/>
      </c>
      <c r="M1075" t="inlineStr">
        <is>
          <t>Moda</t>
        </is>
      </c>
    </row>
    <row r="1076">
      <c r="A1076" t="n">
        <v>1075</v>
      </c>
      <c r="B1076" t="inlineStr">
        <is>
          <t>A-490__462</t>
        </is>
      </c>
      <c r="C1076" s="1" t="n">
        <v>37.4848375036</v>
      </c>
      <c r="D1076" s="1" t="n">
        <v>-7.22961071493</v>
      </c>
      <c r="E1076" s="3" t="n">
        <v>2</v>
      </c>
      <c r="F1076" s="2" t="n">
        <v>2</v>
      </c>
      <c r="G1076" s="4" t="n">
        <v>1</v>
      </c>
      <c r="H1076" s="13" t="n"/>
      <c r="I1076" s="15" t="n"/>
      <c r="J1076" s="19" t="n">
        <v>2</v>
      </c>
      <c r="K1076" s="2" t="inlineStr">
        <is>
          <t>marker_668_755252.png</t>
        </is>
      </c>
      <c r="L1076" s="11">
        <f>HYPERLINK("2\1\" &amp; K1076, "Ver Imagen")</f>
        <v/>
      </c>
      <c r="M1076" t="inlineStr">
        <is>
          <t>Moda</t>
        </is>
      </c>
    </row>
    <row r="1077">
      <c r="A1077" t="n">
        <v>1076</v>
      </c>
      <c r="B1077" t="inlineStr">
        <is>
          <t>A-490__464</t>
        </is>
      </c>
      <c r="C1077" s="1" t="n">
        <v>37.4849302165</v>
      </c>
      <c r="D1077" s="1" t="n">
        <v>-7.23008923194</v>
      </c>
      <c r="E1077" s="3" t="n">
        <v>1</v>
      </c>
      <c r="F1077" s="2" t="n">
        <v>2</v>
      </c>
      <c r="G1077" s="4" t="n">
        <v>2</v>
      </c>
      <c r="H1077" s="13" t="n"/>
      <c r="I1077" s="15" t="n"/>
      <c r="J1077" s="19" t="n">
        <v>2</v>
      </c>
      <c r="K1077" s="2" t="inlineStr">
        <is>
          <t>marker_588_755286.png</t>
        </is>
      </c>
      <c r="L1077" s="11">
        <f>HYPERLINK("2\1\" &amp; K1077, "Ver Imagen")</f>
        <v/>
      </c>
      <c r="M1077" t="inlineStr">
        <is>
          <t>Moda</t>
        </is>
      </c>
    </row>
    <row r="1078">
      <c r="A1078" t="n">
        <v>1077</v>
      </c>
      <c r="B1078" t="inlineStr">
        <is>
          <t>A-490__470</t>
        </is>
      </c>
      <c r="C1078" s="1" t="n">
        <v>37.4852135186</v>
      </c>
      <c r="D1078" s="1" t="n">
        <v>-7.23155601455</v>
      </c>
      <c r="E1078" s="3" t="n">
        <v>1</v>
      </c>
      <c r="F1078" s="2" t="n">
        <v>2</v>
      </c>
      <c r="G1078" s="4" t="n">
        <v>2</v>
      </c>
      <c r="H1078" s="13" t="n"/>
      <c r="I1078" s="15" t="n"/>
      <c r="J1078" s="19" t="n">
        <v>2</v>
      </c>
      <c r="K1078" s="2" t="inlineStr">
        <is>
          <t>marker_814_755399.png</t>
        </is>
      </c>
      <c r="L1078" s="11">
        <f>HYPERLINK("2\1\" &amp; K1078, "Ver Imagen")</f>
        <v/>
      </c>
      <c r="M1078" t="inlineStr">
        <is>
          <t>Moda</t>
        </is>
      </c>
    </row>
    <row r="1079">
      <c r="A1079" t="n">
        <v>1078</v>
      </c>
      <c r="B1079" t="inlineStr">
        <is>
          <t>A-490__474</t>
        </is>
      </c>
      <c r="C1079" s="1" t="n">
        <v>37.4853990663</v>
      </c>
      <c r="D1079" s="1" t="n">
        <v>-7.23253355789</v>
      </c>
      <c r="E1079" s="3" t="n">
        <v>1</v>
      </c>
      <c r="F1079" s="2" t="n">
        <v>2</v>
      </c>
      <c r="G1079" s="4" t="n">
        <v>2</v>
      </c>
      <c r="H1079" s="13" t="n"/>
      <c r="I1079" s="15" t="n"/>
      <c r="J1079" s="19" t="n">
        <v>2</v>
      </c>
      <c r="K1079" s="2" t="inlineStr">
        <is>
          <t>marker_678_755469.png</t>
        </is>
      </c>
      <c r="L1079" s="11">
        <f>HYPERLINK("2\1\" &amp; K1079, "Ver Imagen")</f>
        <v/>
      </c>
      <c r="M1079" t="inlineStr">
        <is>
          <t>Moda</t>
        </is>
      </c>
    </row>
    <row r="1080">
      <c r="A1080" t="n">
        <v>1079</v>
      </c>
      <c r="B1080" t="inlineStr">
        <is>
          <t>A-490__497</t>
        </is>
      </c>
      <c r="C1080" s="1" t="n">
        <v>37.486482768</v>
      </c>
      <c r="D1080" s="1" t="n">
        <v>-7.23817535293</v>
      </c>
      <c r="E1080" s="3" t="n">
        <v>1</v>
      </c>
      <c r="F1080" s="2" t="n">
        <v>2</v>
      </c>
      <c r="G1080" s="4" t="n">
        <v>2</v>
      </c>
      <c r="H1080" s="13" t="n"/>
      <c r="I1080" s="15" t="n"/>
      <c r="J1080" s="19" t="n">
        <v>2</v>
      </c>
      <c r="K1080" s="2" t="inlineStr">
        <is>
          <t>marker_490_817505.png</t>
        </is>
      </c>
      <c r="L1080" s="11">
        <f>HYPERLINK("2\1\" &amp; K1080, "Ver Imagen")</f>
        <v/>
      </c>
      <c r="M1080" t="inlineStr">
        <is>
          <t>Moda</t>
        </is>
      </c>
    </row>
    <row r="1081">
      <c r="A1081" t="n">
        <v>1080</v>
      </c>
      <c r="B1081" t="inlineStr">
        <is>
          <t>A-490__501</t>
        </is>
      </c>
      <c r="C1081" s="1" t="n">
        <v>37.4866836576</v>
      </c>
      <c r="D1081" s="1" t="n">
        <v>-7.23922189682</v>
      </c>
      <c r="E1081" s="3" t="n">
        <v>1</v>
      </c>
      <c r="F1081" s="2" t="n">
        <v>2</v>
      </c>
      <c r="G1081" s="4" t="n">
        <v>2</v>
      </c>
      <c r="H1081" s="13" t="n"/>
      <c r="I1081" s="15" t="n"/>
      <c r="J1081" s="19" t="n">
        <v>2</v>
      </c>
      <c r="K1081" s="2" t="inlineStr">
        <is>
          <t>marker_497_817604.png</t>
        </is>
      </c>
      <c r="L1081" s="11">
        <f>HYPERLINK("2\1\" &amp; K1081, "Ver Imagen")</f>
        <v/>
      </c>
      <c r="M1081" t="inlineStr">
        <is>
          <t>Moda</t>
        </is>
      </c>
    </row>
    <row r="1082">
      <c r="A1082" t="n">
        <v>1081</v>
      </c>
      <c r="B1082" t="inlineStr">
        <is>
          <t>A-490__502</t>
        </is>
      </c>
      <c r="C1082" s="1" t="n">
        <v>37.4867313249</v>
      </c>
      <c r="D1082" s="1" t="n">
        <v>-7.23946181853</v>
      </c>
      <c r="E1082" s="3" t="n">
        <v>1</v>
      </c>
      <c r="F1082" s="2" t="n">
        <v>2</v>
      </c>
      <c r="G1082" s="4" t="n">
        <v>2</v>
      </c>
      <c r="H1082" s="13" t="n"/>
      <c r="I1082" s="15" t="n"/>
      <c r="J1082" s="19" t="n">
        <v>2</v>
      </c>
      <c r="K1082" s="2" t="inlineStr">
        <is>
          <t>marker_782_817623.png</t>
        </is>
      </c>
      <c r="L1082" s="11">
        <f>HYPERLINK("2\1\" &amp; K1082, "Ver Imagen")</f>
        <v/>
      </c>
      <c r="M1082" t="inlineStr">
        <is>
          <t>Moda</t>
        </is>
      </c>
    </row>
    <row r="1083">
      <c r="A1083" t="n">
        <v>1082</v>
      </c>
      <c r="B1083" t="inlineStr">
        <is>
          <t>A-490__503</t>
        </is>
      </c>
      <c r="C1083" s="1" t="n">
        <v>37.4867795734</v>
      </c>
      <c r="D1083" s="1" t="n">
        <v>-7.23970268445</v>
      </c>
      <c r="E1083" s="3" t="n">
        <v>1</v>
      </c>
      <c r="F1083" s="2" t="n">
        <v>2</v>
      </c>
      <c r="G1083" s="4" t="n">
        <v>2</v>
      </c>
      <c r="H1083" s="13" t="n"/>
      <c r="I1083" s="15" t="n"/>
      <c r="J1083" s="19" t="n">
        <v>2</v>
      </c>
      <c r="K1083" s="2" t="inlineStr">
        <is>
          <t>marker_821_817638.png</t>
        </is>
      </c>
      <c r="L1083" s="11">
        <f>HYPERLINK("2\1\" &amp; K1083, "Ver Imagen")</f>
        <v/>
      </c>
      <c r="M1083" t="inlineStr">
        <is>
          <t>Moda</t>
        </is>
      </c>
    </row>
    <row r="1084">
      <c r="A1084" t="n">
        <v>1083</v>
      </c>
      <c r="B1084" t="inlineStr">
        <is>
          <t>A-490__506</t>
        </is>
      </c>
      <c r="C1084" s="1" t="n">
        <v>37.4869289156</v>
      </c>
      <c r="D1084" s="1" t="n">
        <v>-7.24049043459</v>
      </c>
      <c r="E1084" s="3" t="n">
        <v>1</v>
      </c>
      <c r="F1084" s="2" t="n">
        <v>2</v>
      </c>
      <c r="G1084" s="4" t="n">
        <v>2</v>
      </c>
      <c r="H1084" s="13" t="n"/>
      <c r="I1084" s="15" t="n"/>
      <c r="J1084" s="19" t="n">
        <v>2</v>
      </c>
      <c r="K1084" s="2" t="inlineStr">
        <is>
          <t>marker_638_817685.png</t>
        </is>
      </c>
      <c r="L1084" s="11">
        <f>HYPERLINK("2\1\" &amp; K1084, "Ver Imagen")</f>
        <v/>
      </c>
      <c r="M1084" t="inlineStr">
        <is>
          <t>Moda</t>
        </is>
      </c>
    </row>
    <row r="1085">
      <c r="A1085" t="n">
        <v>1084</v>
      </c>
      <c r="B1085" t="inlineStr">
        <is>
          <t>A-490__507</t>
        </is>
      </c>
      <c r="C1085" s="1" t="n">
        <v>37.4869614703</v>
      </c>
      <c r="D1085" s="1" t="n">
        <v>-7.24071125535</v>
      </c>
      <c r="E1085" s="3" t="n">
        <v>1</v>
      </c>
      <c r="F1085" s="2" t="n">
        <v>2</v>
      </c>
      <c r="G1085" s="4" t="n">
        <v>2</v>
      </c>
      <c r="H1085" s="13" t="n"/>
      <c r="I1085" s="15" t="n"/>
      <c r="J1085" s="19" t="n">
        <v>2</v>
      </c>
      <c r="K1085" s="2" t="inlineStr">
        <is>
          <t>marker_615_817712.png</t>
        </is>
      </c>
      <c r="L1085" s="11">
        <f>HYPERLINK("2\1\" &amp; K1085, "Ver Imagen")</f>
        <v/>
      </c>
      <c r="M1085" t="inlineStr">
        <is>
          <t>Moda</t>
        </is>
      </c>
    </row>
    <row r="1086">
      <c r="A1086" t="n">
        <v>1085</v>
      </c>
      <c r="B1086" t="inlineStr">
        <is>
          <t>A-490__512</t>
        </is>
      </c>
      <c r="C1086" s="1" t="n">
        <v>37.4870776839</v>
      </c>
      <c r="D1086" s="1" t="n">
        <v>-7.24195043127</v>
      </c>
      <c r="E1086" s="3" t="n">
        <v>1</v>
      </c>
      <c r="F1086" s="2" t="n">
        <v>2</v>
      </c>
      <c r="G1086" s="4" t="n">
        <v>2</v>
      </c>
      <c r="H1086" s="13" t="n"/>
      <c r="I1086" s="15" t="n"/>
      <c r="J1086" s="19" t="n">
        <v>2</v>
      </c>
      <c r="K1086" s="2" t="inlineStr">
        <is>
          <t>marker_952_817847.png</t>
        </is>
      </c>
      <c r="L1086" s="11">
        <f>HYPERLINK("2\1\" &amp; K1086, "Ver Imagen")</f>
        <v/>
      </c>
      <c r="M1086" t="inlineStr">
        <is>
          <t>Moda</t>
        </is>
      </c>
    </row>
    <row r="1087">
      <c r="A1087" t="n">
        <v>1086</v>
      </c>
      <c r="B1087" t="inlineStr">
        <is>
          <t>A-490__519</t>
        </is>
      </c>
      <c r="C1087" s="1" t="n">
        <v>37.4873270946</v>
      </c>
      <c r="D1087" s="1" t="n">
        <v>-7.24367349573</v>
      </c>
      <c r="E1087" s="3" t="n">
        <v>1</v>
      </c>
      <c r="F1087" s="2" t="n">
        <v>2</v>
      </c>
      <c r="G1087" s="4" t="n">
        <v>2</v>
      </c>
      <c r="H1087" s="13" t="n"/>
      <c r="I1087" s="15" t="n"/>
      <c r="J1087" s="19" t="n">
        <v>2</v>
      </c>
      <c r="K1087" s="2" t="inlineStr">
        <is>
          <t>marker_267_818045.png</t>
        </is>
      </c>
      <c r="L1087" s="11">
        <f>HYPERLINK("2\1\" &amp; K1087, "Ver Imagen")</f>
        <v/>
      </c>
      <c r="M1087" t="inlineStr">
        <is>
          <t>Moda</t>
        </is>
      </c>
    </row>
    <row r="1088">
      <c r="A1088" t="n">
        <v>1087</v>
      </c>
      <c r="B1088" t="inlineStr">
        <is>
          <t>A-490__534</t>
        </is>
      </c>
      <c r="C1088" s="1" t="n">
        <v>37.4886993661</v>
      </c>
      <c r="D1088" s="1" t="n">
        <v>-7.24714521853</v>
      </c>
      <c r="E1088" s="3" t="n">
        <v>1</v>
      </c>
      <c r="F1088" s="2" t="n">
        <v>2</v>
      </c>
      <c r="G1088" s="4" t="n">
        <v>2</v>
      </c>
      <c r="H1088" s="13" t="n"/>
      <c r="I1088" s="15" t="n"/>
      <c r="J1088" s="19" t="n">
        <v>2</v>
      </c>
      <c r="K1088" s="2" t="inlineStr">
        <is>
          <t>marker_458_818259.png</t>
        </is>
      </c>
      <c r="L1088" s="11">
        <f>HYPERLINK("2\1\" &amp; K1088, "Ver Imagen")</f>
        <v/>
      </c>
      <c r="M1088" t="inlineStr">
        <is>
          <t>Moda</t>
        </is>
      </c>
    </row>
    <row r="1089">
      <c r="A1089" t="n">
        <v>1088</v>
      </c>
      <c r="B1089" t="inlineStr">
        <is>
          <t>A-490__535</t>
        </is>
      </c>
      <c r="C1089" s="1" t="n">
        <v>37.4887847446</v>
      </c>
      <c r="D1089" s="1" t="n">
        <v>-7.24730743552</v>
      </c>
      <c r="E1089" s="3" t="n">
        <v>1</v>
      </c>
      <c r="F1089" s="2" t="n">
        <v>2</v>
      </c>
      <c r="G1089" s="4" t="n">
        <v>2</v>
      </c>
      <c r="H1089" s="13" t="n"/>
      <c r="I1089" s="15" t="n"/>
      <c r="J1089" s="19" t="n">
        <v>2</v>
      </c>
      <c r="K1089" s="2" t="inlineStr">
        <is>
          <t>marker_228_818277.png</t>
        </is>
      </c>
      <c r="L1089" s="11">
        <f>HYPERLINK("2\1\" &amp; K1089, "Ver Imagen")</f>
        <v/>
      </c>
      <c r="M1089" t="inlineStr">
        <is>
          <t>Moda</t>
        </is>
      </c>
    </row>
    <row r="1090">
      <c r="A1090" t="n">
        <v>1089</v>
      </c>
      <c r="B1090" t="inlineStr">
        <is>
          <t>A-490__594</t>
        </is>
      </c>
      <c r="C1090" s="1" t="n">
        <v>37.4911657648</v>
      </c>
      <c r="D1090" s="1" t="n">
        <v>-7.26068468316</v>
      </c>
      <c r="E1090" s="3" t="n">
        <v>2</v>
      </c>
      <c r="F1090" s="2" t="n">
        <v>2</v>
      </c>
      <c r="G1090" s="4" t="n">
        <v>3</v>
      </c>
      <c r="H1090" s="13" t="n"/>
      <c r="I1090" s="15" t="n"/>
      <c r="J1090" s="19" t="n">
        <v>2</v>
      </c>
      <c r="K1090" s="2" t="inlineStr">
        <is>
          <t>marker_923_819681.png</t>
        </is>
      </c>
      <c r="L1090" s="11">
        <f>HYPERLINK("2\1\" &amp; K1090, "Ver Imagen")</f>
        <v/>
      </c>
      <c r="M1090" t="inlineStr">
        <is>
          <t>Moda</t>
        </is>
      </c>
    </row>
    <row r="1091">
      <c r="A1091" t="n">
        <v>1090</v>
      </c>
      <c r="B1091" t="inlineStr">
        <is>
          <t>A-490__608</t>
        </is>
      </c>
      <c r="C1091" s="1" t="n">
        <v>37.4930601029</v>
      </c>
      <c r="D1091" s="1" t="n">
        <v>-7.26327345508</v>
      </c>
      <c r="E1091" s="3" t="n">
        <v>1</v>
      </c>
      <c r="F1091" s="2" t="n">
        <v>2</v>
      </c>
      <c r="G1091" s="4" t="n">
        <v>2</v>
      </c>
      <c r="H1091" s="13" t="n"/>
      <c r="I1091" s="15" t="n"/>
      <c r="J1091" s="19" t="n">
        <v>2</v>
      </c>
      <c r="K1091" s="2" t="inlineStr">
        <is>
          <t>marker_183_820184.png</t>
        </is>
      </c>
      <c r="L1091" s="11">
        <f>HYPERLINK("2\1\" &amp; K1091, "Ver Imagen")</f>
        <v/>
      </c>
      <c r="M1091" t="inlineStr">
        <is>
          <t>Moda</t>
        </is>
      </c>
    </row>
    <row r="1092">
      <c r="A1092" t="n">
        <v>1091</v>
      </c>
      <c r="B1092" t="inlineStr">
        <is>
          <t>A-492__39</t>
        </is>
      </c>
      <c r="C1092" s="1" t="n">
        <v>37.2783484075</v>
      </c>
      <c r="D1092" s="1" t="n">
        <v>-6.99312143569</v>
      </c>
      <c r="E1092" s="3" t="n">
        <v>2</v>
      </c>
      <c r="F1092" s="2" t="n">
        <v>2</v>
      </c>
      <c r="G1092" s="4" t="n">
        <v>3</v>
      </c>
      <c r="H1092" s="13" t="n"/>
      <c r="I1092" s="15" t="n"/>
      <c r="J1092" s="19" t="n">
        <v>2</v>
      </c>
      <c r="K1092" s="2" t="inlineStr">
        <is>
          <t>marker_713_822851.png</t>
        </is>
      </c>
      <c r="L1092" s="11">
        <f>HYPERLINK("2\1\" &amp; K1092, "Ver Imagen")</f>
        <v/>
      </c>
      <c r="M1092" t="inlineStr">
        <is>
          <t>Moda</t>
        </is>
      </c>
    </row>
    <row r="1093">
      <c r="A1093" t="n">
        <v>1092</v>
      </c>
      <c r="B1093" t="inlineStr">
        <is>
          <t>A-492__40</t>
        </is>
      </c>
      <c r="C1093" s="1" t="n">
        <v>37.2784620082</v>
      </c>
      <c r="D1093" s="1" t="n">
        <v>-6.9932942289</v>
      </c>
      <c r="E1093" s="3" t="n">
        <v>2</v>
      </c>
      <c r="F1093" s="2" t="n">
        <v>2</v>
      </c>
      <c r="G1093" s="4" t="n">
        <v>3</v>
      </c>
      <c r="H1093" s="13" t="n"/>
      <c r="I1093" s="15" t="n"/>
      <c r="J1093" s="19" t="n">
        <v>2</v>
      </c>
      <c r="K1093" s="2" t="inlineStr">
        <is>
          <t>marker_390_822861.png</t>
        </is>
      </c>
      <c r="L1093" s="11">
        <f>HYPERLINK("2\1\" &amp; K1093, "Ver Imagen")</f>
        <v/>
      </c>
      <c r="M1093" t="inlineStr">
        <is>
          <t>Moda</t>
        </is>
      </c>
    </row>
    <row r="1094">
      <c r="A1094" t="n">
        <v>1093</v>
      </c>
      <c r="B1094" t="inlineStr">
        <is>
          <t>A-492__41</t>
        </is>
      </c>
      <c r="C1094" s="1" t="n">
        <v>37.2785648914</v>
      </c>
      <c r="D1094" s="1" t="n">
        <v>-6.99346479297</v>
      </c>
      <c r="E1094" s="3" t="n">
        <v>1</v>
      </c>
      <c r="F1094" s="2" t="n">
        <v>2</v>
      </c>
      <c r="G1094" s="4" t="n">
        <v>2</v>
      </c>
      <c r="H1094" s="13" t="n"/>
      <c r="I1094" s="15" t="n"/>
      <c r="J1094" s="19" t="n">
        <v>2</v>
      </c>
      <c r="K1094" s="2" t="inlineStr">
        <is>
          <t>marker_671_822874.png</t>
        </is>
      </c>
      <c r="L1094" s="11">
        <f>HYPERLINK("2\1\" &amp; K1094, "Ver Imagen")</f>
        <v/>
      </c>
      <c r="M1094" t="inlineStr">
        <is>
          <t>Moda</t>
        </is>
      </c>
    </row>
    <row r="1095">
      <c r="A1095" t="n">
        <v>1094</v>
      </c>
      <c r="B1095" t="inlineStr">
        <is>
          <t>A-492__80</t>
        </is>
      </c>
      <c r="C1095" s="1" t="n">
        <v>37.2806248283</v>
      </c>
      <c r="D1095" s="1" t="n">
        <v>-7.00250739627</v>
      </c>
      <c r="E1095" s="3" t="n">
        <v>2</v>
      </c>
      <c r="F1095" s="2" t="n">
        <v>2</v>
      </c>
      <c r="G1095" s="4" t="n">
        <v>3</v>
      </c>
      <c r="H1095" s="13" t="n"/>
      <c r="I1095" s="15" t="n"/>
      <c r="J1095" s="19" t="n">
        <v>2</v>
      </c>
      <c r="K1095" s="2" t="inlineStr">
        <is>
          <t>marker_215_823490.png</t>
        </is>
      </c>
      <c r="L1095" s="11">
        <f>HYPERLINK("2\1\" &amp; K1095, "Ver Imagen")</f>
        <v/>
      </c>
      <c r="M1095" t="inlineStr">
        <is>
          <t>Moda</t>
        </is>
      </c>
    </row>
    <row r="1096">
      <c r="A1096" t="n">
        <v>1095</v>
      </c>
      <c r="B1096" t="inlineStr">
        <is>
          <t>A-492__83</t>
        </is>
      </c>
      <c r="C1096" s="1" t="n">
        <v>37.2807039591</v>
      </c>
      <c r="D1096" s="1" t="n">
        <v>-7.00328153657</v>
      </c>
      <c r="E1096" s="3" t="n">
        <v>2</v>
      </c>
      <c r="F1096" s="2" t="n">
        <v>2</v>
      </c>
      <c r="G1096" s="4" t="n">
        <v>3</v>
      </c>
      <c r="H1096" s="13" t="n"/>
      <c r="I1096" s="15" t="n"/>
      <c r="J1096" s="19" t="n">
        <v>2</v>
      </c>
      <c r="K1096" s="2" t="inlineStr">
        <is>
          <t>marker_804_823524.png</t>
        </is>
      </c>
      <c r="L1096" s="11">
        <f>HYPERLINK("2\1\" &amp; K1096, "Ver Imagen")</f>
        <v/>
      </c>
      <c r="M1096" t="inlineStr">
        <is>
          <t>Moda</t>
        </is>
      </c>
    </row>
    <row r="1097">
      <c r="A1097" t="n">
        <v>1096</v>
      </c>
      <c r="B1097" t="inlineStr">
        <is>
          <t>A-492__105</t>
        </is>
      </c>
      <c r="C1097" s="1" t="n">
        <v>37.2790680227</v>
      </c>
      <c r="D1097" s="1" t="n">
        <v>-7.00838586761</v>
      </c>
      <c r="E1097" s="3" t="n">
        <v>2</v>
      </c>
      <c r="F1097" s="2" t="n">
        <v>2</v>
      </c>
      <c r="G1097" s="4" t="n">
        <v>3</v>
      </c>
      <c r="H1097" s="13" t="n"/>
      <c r="I1097" s="15" t="n"/>
      <c r="J1097" s="19" t="n">
        <v>2</v>
      </c>
      <c r="K1097" s="2" t="inlineStr">
        <is>
          <t>marker_192_824213.png</t>
        </is>
      </c>
      <c r="L1097" s="11">
        <f>HYPERLINK("2\1\" &amp; K1097, "Ver Imagen")</f>
        <v/>
      </c>
      <c r="M1097" t="inlineStr">
        <is>
          <t>Moda</t>
        </is>
      </c>
    </row>
    <row r="1098">
      <c r="A1098" t="n">
        <v>1097</v>
      </c>
      <c r="B1098" t="inlineStr">
        <is>
          <t>A-492__107</t>
        </is>
      </c>
      <c r="C1098" s="1" t="n">
        <v>37.2788921608</v>
      </c>
      <c r="D1098" s="1" t="n">
        <v>-7.0088355695</v>
      </c>
      <c r="E1098" s="3" t="n">
        <v>2</v>
      </c>
      <c r="F1098" s="2" t="n">
        <v>2</v>
      </c>
      <c r="G1098" s="4" t="n">
        <v>3</v>
      </c>
      <c r="H1098" s="13" t="n"/>
      <c r="I1098" s="15" t="n"/>
      <c r="J1098" s="19" t="n">
        <v>2</v>
      </c>
      <c r="K1098" s="2" t="inlineStr">
        <is>
          <t>marker_755_824256.png</t>
        </is>
      </c>
      <c r="L1098" s="11">
        <f>HYPERLINK("2\1\" &amp; K1098, "Ver Imagen")</f>
        <v/>
      </c>
      <c r="M1098" t="inlineStr">
        <is>
          <t>Moda</t>
        </is>
      </c>
    </row>
    <row r="1099">
      <c r="A1099" t="n">
        <v>1098</v>
      </c>
      <c r="B1099" t="inlineStr">
        <is>
          <t>A-492__110</t>
        </is>
      </c>
      <c r="C1099" s="1" t="n">
        <v>37.2786058561</v>
      </c>
      <c r="D1099" s="1" t="n">
        <v>-7.00953555378</v>
      </c>
      <c r="E1099" s="3" t="n">
        <v>2</v>
      </c>
      <c r="F1099" s="2" t="n">
        <v>2</v>
      </c>
      <c r="G1099" s="4" t="n">
        <v>3</v>
      </c>
      <c r="H1099" s="13" t="n"/>
      <c r="I1099" s="15" t="n"/>
      <c r="J1099" s="19" t="n">
        <v>2</v>
      </c>
      <c r="K1099" s="2" t="inlineStr">
        <is>
          <t>marker_537_824290.png</t>
        </is>
      </c>
      <c r="L1099" s="11">
        <f>HYPERLINK("2\1\" &amp; K1099, "Ver Imagen")</f>
        <v/>
      </c>
      <c r="M1099" t="inlineStr">
        <is>
          <t>Moda</t>
        </is>
      </c>
    </row>
    <row r="1100">
      <c r="A1100" t="n">
        <v>1099</v>
      </c>
      <c r="B1100" t="inlineStr">
        <is>
          <t>A-492__120</t>
        </is>
      </c>
      <c r="C1100" s="1" t="n">
        <v>37.2774943573</v>
      </c>
      <c r="D1100" s="1" t="n">
        <v>-7.01164909189</v>
      </c>
      <c r="E1100" s="3" t="n">
        <v>2</v>
      </c>
      <c r="F1100" s="2" t="n">
        <v>2</v>
      </c>
      <c r="G1100" s="4" t="n">
        <v>3</v>
      </c>
      <c r="H1100" s="13" t="n"/>
      <c r="I1100" s="15" t="n"/>
      <c r="J1100" s="19" t="n">
        <v>2</v>
      </c>
      <c r="K1100" s="2" t="inlineStr">
        <is>
          <t>marker_283_824423.png</t>
        </is>
      </c>
      <c r="L1100" s="11">
        <f>HYPERLINK("2\1\" &amp; K1100, "Ver Imagen")</f>
        <v/>
      </c>
      <c r="M1100" t="inlineStr">
        <is>
          <t>Moda</t>
        </is>
      </c>
    </row>
    <row r="1101">
      <c r="A1101" t="n">
        <v>1100</v>
      </c>
      <c r="B1101" t="inlineStr">
        <is>
          <t>A-492__145</t>
        </is>
      </c>
      <c r="C1101" s="1" t="n">
        <v>37.2753818101</v>
      </c>
      <c r="D1101" s="1" t="n">
        <v>-7.01699800517</v>
      </c>
      <c r="E1101" s="3" t="n">
        <v>1</v>
      </c>
      <c r="F1101" s="2" t="n">
        <v>2</v>
      </c>
      <c r="G1101" s="4" t="n">
        <v>2</v>
      </c>
      <c r="H1101" s="13" t="n"/>
      <c r="I1101" s="15" t="n"/>
      <c r="J1101" s="19" t="n">
        <v>2</v>
      </c>
      <c r="K1101" s="2" t="inlineStr">
        <is>
          <t>marker_145_824736.png</t>
        </is>
      </c>
      <c r="L1101" s="11">
        <f>HYPERLINK("2\1\" &amp; K1101, "Ver Imagen")</f>
        <v/>
      </c>
      <c r="M1101" t="inlineStr">
        <is>
          <t>Moda</t>
        </is>
      </c>
    </row>
    <row r="1102">
      <c r="A1102" t="n">
        <v>1101</v>
      </c>
      <c r="B1102" t="inlineStr">
        <is>
          <t>A-492__148</t>
        </is>
      </c>
      <c r="C1102" s="1" t="n">
        <v>37.275478497</v>
      </c>
      <c r="D1102" s="1" t="n">
        <v>-7.01777374229</v>
      </c>
      <c r="E1102" s="3" t="n">
        <v>1</v>
      </c>
      <c r="F1102" s="2" t="n">
        <v>2</v>
      </c>
      <c r="G1102" s="4" t="n">
        <v>2</v>
      </c>
      <c r="H1102" s="13" t="n"/>
      <c r="I1102" s="15" t="n"/>
      <c r="J1102" s="19" t="n">
        <v>2</v>
      </c>
      <c r="K1102" s="2" t="inlineStr">
        <is>
          <t>marker_534_824772.png</t>
        </is>
      </c>
      <c r="L1102" s="11">
        <f>HYPERLINK("2\1\" &amp; K1102, "Ver Imagen")</f>
        <v/>
      </c>
      <c r="M1102" t="inlineStr">
        <is>
          <t>Moda</t>
        </is>
      </c>
    </row>
    <row r="1103">
      <c r="A1103" t="n">
        <v>1102</v>
      </c>
      <c r="B1103" t="inlineStr">
        <is>
          <t>A-492__149</t>
        </is>
      </c>
      <c r="C1103" s="1" t="n">
        <v>37.2755130914</v>
      </c>
      <c r="D1103" s="1" t="n">
        <v>-7.01802257591</v>
      </c>
      <c r="E1103" s="3" t="n">
        <v>1</v>
      </c>
      <c r="F1103" s="2" t="n">
        <v>2</v>
      </c>
      <c r="G1103" s="4" t="n">
        <v>2</v>
      </c>
      <c r="H1103" s="13" t="n"/>
      <c r="I1103" s="15" t="n"/>
      <c r="J1103" s="19" t="n">
        <v>2</v>
      </c>
      <c r="K1103" s="2" t="inlineStr">
        <is>
          <t>marker_541_824791.png</t>
        </is>
      </c>
      <c r="L1103" s="11">
        <f>HYPERLINK("2\1\" &amp; K1103, "Ver Imagen")</f>
        <v/>
      </c>
      <c r="M1103" t="inlineStr">
        <is>
          <t>Moda</t>
        </is>
      </c>
    </row>
    <row r="1104">
      <c r="A1104" t="n">
        <v>1103</v>
      </c>
      <c r="B1104" t="inlineStr">
        <is>
          <t>A-492__151</t>
        </is>
      </c>
      <c r="C1104" s="1" t="n">
        <v>37.2755798006</v>
      </c>
      <c r="D1104" s="1" t="n">
        <v>-7.0184888852</v>
      </c>
      <c r="E1104" s="3" t="n">
        <v>1</v>
      </c>
      <c r="F1104" s="2" t="n">
        <v>2</v>
      </c>
      <c r="G1104" s="4" t="n">
        <v>2</v>
      </c>
      <c r="H1104" s="13" t="n"/>
      <c r="I1104" s="15" t="n"/>
      <c r="J1104" s="19" t="n">
        <v>2</v>
      </c>
      <c r="K1104" s="2" t="inlineStr">
        <is>
          <t>marker_326_824813.png</t>
        </is>
      </c>
      <c r="L1104" s="11">
        <f>HYPERLINK("2\1\" &amp; K1104, "Ver Imagen")</f>
        <v/>
      </c>
      <c r="M1104" t="inlineStr">
        <is>
          <t>Moda</t>
        </is>
      </c>
    </row>
    <row r="1105">
      <c r="A1105" t="n">
        <v>1104</v>
      </c>
      <c r="B1105" t="inlineStr">
        <is>
          <t>A-492__160</t>
        </is>
      </c>
      <c r="C1105" s="1" t="n">
        <v>37.2758908804</v>
      </c>
      <c r="D1105" s="1" t="n">
        <v>-7.02079249908</v>
      </c>
      <c r="E1105" s="3" t="n">
        <v>2</v>
      </c>
      <c r="F1105" s="2" t="n">
        <v>2</v>
      </c>
      <c r="G1105" s="4" t="n">
        <v>3</v>
      </c>
      <c r="H1105" s="13" t="n"/>
      <c r="I1105" s="15" t="n"/>
      <c r="J1105" s="19" t="n">
        <v>2</v>
      </c>
      <c r="K1105" s="2" t="inlineStr">
        <is>
          <t>marker_486_824957.png</t>
        </is>
      </c>
      <c r="L1105" s="11">
        <f>HYPERLINK("2\1\" &amp; K1105, "Ver Imagen")</f>
        <v/>
      </c>
      <c r="M1105" t="inlineStr">
        <is>
          <t>Moda</t>
        </is>
      </c>
    </row>
    <row r="1106">
      <c r="A1106" t="n">
        <v>1105</v>
      </c>
      <c r="B1106" t="inlineStr">
        <is>
          <t>A-492__161</t>
        </is>
      </c>
      <c r="C1106" s="1" t="n">
        <v>37.275912108</v>
      </c>
      <c r="D1106" s="1" t="n">
        <v>-7.02095196588</v>
      </c>
      <c r="E1106" s="3" t="n">
        <v>2</v>
      </c>
      <c r="F1106" s="2" t="n">
        <v>2</v>
      </c>
      <c r="G1106" s="4" t="n">
        <v>3</v>
      </c>
      <c r="H1106" s="13" t="n"/>
      <c r="I1106" s="15" t="n"/>
      <c r="J1106" s="19" t="n">
        <v>2</v>
      </c>
      <c r="K1106" s="2" t="inlineStr">
        <is>
          <t>marker_375_831330.png</t>
        </is>
      </c>
      <c r="L1106" s="11">
        <f>HYPERLINK("2\1\" &amp; K1106, "Ver Imagen")</f>
        <v/>
      </c>
      <c r="M1106" t="inlineStr">
        <is>
          <t>Moda</t>
        </is>
      </c>
    </row>
    <row r="1107">
      <c r="A1107" t="n">
        <v>1106</v>
      </c>
      <c r="B1107" t="inlineStr">
        <is>
          <t>A-492__176</t>
        </is>
      </c>
      <c r="C1107" s="1" t="n">
        <v>37.2764383727</v>
      </c>
      <c r="D1107" s="1" t="n">
        <v>-7.02472882064</v>
      </c>
      <c r="E1107" s="3" t="n">
        <v>2</v>
      </c>
      <c r="F1107" s="2" t="n">
        <v>2</v>
      </c>
      <c r="G1107" s="4" t="n">
        <v>3</v>
      </c>
      <c r="H1107" s="13" t="n"/>
      <c r="I1107" s="15" t="n"/>
      <c r="J1107" s="19" t="n">
        <v>2</v>
      </c>
      <c r="K1107" s="2" t="inlineStr">
        <is>
          <t>marker_664_831548.png</t>
        </is>
      </c>
      <c r="L1107" s="11">
        <f>HYPERLINK("2\1\" &amp; K1107, "Ver Imagen")</f>
        <v/>
      </c>
      <c r="M1107" t="inlineStr">
        <is>
          <t>Moda</t>
        </is>
      </c>
    </row>
    <row r="1108">
      <c r="A1108" t="n">
        <v>1107</v>
      </c>
      <c r="B1108" t="inlineStr">
        <is>
          <t>A-492__177</t>
        </is>
      </c>
      <c r="C1108" s="1" t="n">
        <v>37.2764889934</v>
      </c>
      <c r="D1108" s="1" t="n">
        <v>-7.02507453295</v>
      </c>
      <c r="E1108" s="3" t="n">
        <v>2</v>
      </c>
      <c r="F1108" s="2" t="n">
        <v>2</v>
      </c>
      <c r="G1108" s="4" t="n">
        <v>3</v>
      </c>
      <c r="H1108" s="13" t="n"/>
      <c r="I1108" s="15" t="n"/>
      <c r="J1108" s="19" t="n">
        <v>2</v>
      </c>
      <c r="K1108" s="2" t="inlineStr">
        <is>
          <t>marker_689_831563.png</t>
        </is>
      </c>
      <c r="L1108" s="11">
        <f>HYPERLINK("2\1\" &amp; K1108, "Ver Imagen")</f>
        <v/>
      </c>
      <c r="M1108" t="inlineStr">
        <is>
          <t>Moda</t>
        </is>
      </c>
    </row>
    <row r="1109">
      <c r="A1109" t="n">
        <v>1108</v>
      </c>
      <c r="B1109" t="inlineStr">
        <is>
          <t>A-492__178</t>
        </is>
      </c>
      <c r="C1109" s="1" t="n">
        <v>37.2765168543</v>
      </c>
      <c r="D1109" s="1" t="n">
        <v>-7.02527004104</v>
      </c>
      <c r="E1109" s="3" t="n">
        <v>2</v>
      </c>
      <c r="F1109" s="2" t="n">
        <v>2</v>
      </c>
      <c r="G1109" s="4" t="n">
        <v>3</v>
      </c>
      <c r="H1109" s="13" t="n"/>
      <c r="I1109" s="15" t="n"/>
      <c r="J1109" s="19" t="n">
        <v>2</v>
      </c>
      <c r="K1109" s="2" t="inlineStr">
        <is>
          <t>marker_901_831582.png</t>
        </is>
      </c>
      <c r="L1109" s="11">
        <f>HYPERLINK("2\1\" &amp; K1109, "Ver Imagen")</f>
        <v/>
      </c>
      <c r="M1109" t="inlineStr">
        <is>
          <t>Moda</t>
        </is>
      </c>
    </row>
    <row r="1110">
      <c r="A1110" t="n">
        <v>1109</v>
      </c>
      <c r="B1110" t="inlineStr">
        <is>
          <t>A-492__179</t>
        </is>
      </c>
      <c r="C1110" s="1" t="n">
        <v>37.2765484822</v>
      </c>
      <c r="D1110" s="1" t="n">
        <v>-7.02549559768</v>
      </c>
      <c r="E1110" s="3" t="n">
        <v>2</v>
      </c>
      <c r="F1110" s="2" t="n">
        <v>2</v>
      </c>
      <c r="G1110" s="4" t="n">
        <v>3</v>
      </c>
      <c r="H1110" s="13" t="n"/>
      <c r="I1110" s="15" t="n"/>
      <c r="J1110" s="19" t="n">
        <v>2</v>
      </c>
      <c r="K1110" s="2" t="inlineStr">
        <is>
          <t>marker_613_831594.png</t>
        </is>
      </c>
      <c r="L1110" s="11">
        <f>HYPERLINK("2\1\" &amp; K1110, "Ver Imagen")</f>
        <v/>
      </c>
      <c r="M1110" t="inlineStr">
        <is>
          <t>Moda</t>
        </is>
      </c>
    </row>
    <row r="1111">
      <c r="A1111" t="n">
        <v>1110</v>
      </c>
      <c r="B1111" t="inlineStr">
        <is>
          <t>A-492__183</t>
        </is>
      </c>
      <c r="C1111" s="1" t="n">
        <v>37.276687866</v>
      </c>
      <c r="D1111" s="1" t="n">
        <v>-7.0265011481</v>
      </c>
      <c r="E1111" s="3" t="n">
        <v>2</v>
      </c>
      <c r="F1111" s="2" t="n">
        <v>2</v>
      </c>
      <c r="G1111" s="4" t="n">
        <v>3</v>
      </c>
      <c r="H1111" s="13" t="n"/>
      <c r="I1111" s="15" t="n"/>
      <c r="J1111" s="19" t="n">
        <v>2</v>
      </c>
      <c r="K1111" s="2" t="inlineStr">
        <is>
          <t>marker_644_831673.png</t>
        </is>
      </c>
      <c r="L1111" s="11">
        <f>HYPERLINK("2\1\" &amp; K1111, "Ver Imagen")</f>
        <v/>
      </c>
      <c r="M1111" t="inlineStr">
        <is>
          <t>Moda</t>
        </is>
      </c>
    </row>
    <row r="1112">
      <c r="A1112" t="n">
        <v>1111</v>
      </c>
      <c r="B1112" t="inlineStr">
        <is>
          <t>A-492__184</t>
        </is>
      </c>
      <c r="C1112" s="1" t="n">
        <v>37.2767304585</v>
      </c>
      <c r="D1112" s="1" t="n">
        <v>-7.02675909174</v>
      </c>
      <c r="E1112" s="3" t="n">
        <v>2</v>
      </c>
      <c r="F1112" s="2" t="n">
        <v>2</v>
      </c>
      <c r="G1112" s="4" t="n">
        <v>3</v>
      </c>
      <c r="H1112" s="13" t="n"/>
      <c r="I1112" s="15" t="n"/>
      <c r="J1112" s="19" t="n">
        <v>2</v>
      </c>
      <c r="K1112" s="2" t="inlineStr">
        <is>
          <t>marker_293_831692.png</t>
        </is>
      </c>
      <c r="L1112" s="11">
        <f>HYPERLINK("2\1\" &amp; K1112, "Ver Imagen")</f>
        <v/>
      </c>
      <c r="M1112" t="inlineStr">
        <is>
          <t>Moda</t>
        </is>
      </c>
    </row>
    <row r="1113">
      <c r="A1113" t="n">
        <v>1112</v>
      </c>
      <c r="B1113" t="inlineStr">
        <is>
          <t>A-492__185</t>
        </is>
      </c>
      <c r="C1113" s="1" t="n">
        <v>37.2767701075</v>
      </c>
      <c r="D1113" s="1" t="n">
        <v>-7.02696464613</v>
      </c>
      <c r="E1113" s="3" t="n">
        <v>2</v>
      </c>
      <c r="F1113" s="2" t="n">
        <v>2</v>
      </c>
      <c r="G1113" s="4" t="n">
        <v>3</v>
      </c>
      <c r="H1113" s="13" t="n"/>
      <c r="I1113" s="15" t="n"/>
      <c r="J1113" s="19" t="n">
        <v>2</v>
      </c>
      <c r="K1113" s="2" t="inlineStr">
        <is>
          <t>marker_676_831702.png</t>
        </is>
      </c>
      <c r="L1113" s="11">
        <f>HYPERLINK("2\1\" &amp; K1113, "Ver Imagen")</f>
        <v/>
      </c>
      <c r="M1113" t="inlineStr">
        <is>
          <t>Moda</t>
        </is>
      </c>
    </row>
    <row r="1114">
      <c r="A1114" t="n">
        <v>1113</v>
      </c>
      <c r="B1114" t="inlineStr">
        <is>
          <t>A-492__186</t>
        </is>
      </c>
      <c r="C1114" s="1" t="n">
        <v>37.2768218377</v>
      </c>
      <c r="D1114" s="1" t="n">
        <v>-7.0271961272</v>
      </c>
      <c r="E1114" s="3" t="n">
        <v>2</v>
      </c>
      <c r="F1114" s="2" t="n">
        <v>2</v>
      </c>
      <c r="G1114" s="4" t="n">
        <v>3</v>
      </c>
      <c r="H1114" s="13" t="n"/>
      <c r="I1114" s="15" t="n"/>
      <c r="J1114" s="19" t="n">
        <v>2</v>
      </c>
      <c r="K1114" s="2" t="inlineStr">
        <is>
          <t>marker_913_831744.png</t>
        </is>
      </c>
      <c r="L1114" s="11">
        <f>HYPERLINK("2\1\" &amp; K1114, "Ver Imagen")</f>
        <v/>
      </c>
      <c r="M1114" t="inlineStr">
        <is>
          <t>Moda</t>
        </is>
      </c>
    </row>
    <row r="1115">
      <c r="A1115" t="n">
        <v>1114</v>
      </c>
      <c r="B1115" t="inlineStr">
        <is>
          <t>A-492__190</t>
        </is>
      </c>
      <c r="C1115" s="1" t="n">
        <v>37.2771430424</v>
      </c>
      <c r="D1115" s="1" t="n">
        <v>-7.02816440558</v>
      </c>
      <c r="E1115" s="3" t="n">
        <v>2</v>
      </c>
      <c r="F1115" s="2" t="n">
        <v>2</v>
      </c>
      <c r="G1115" s="4" t="n">
        <v>3</v>
      </c>
      <c r="H1115" s="13" t="n"/>
      <c r="I1115" s="15" t="n"/>
      <c r="J1115" s="19" t="n">
        <v>2</v>
      </c>
      <c r="K1115" s="2" t="inlineStr">
        <is>
          <t>marker_793_831803.png</t>
        </is>
      </c>
      <c r="L1115" s="11">
        <f>HYPERLINK("2\1\" &amp; K1115, "Ver Imagen")</f>
        <v/>
      </c>
      <c r="M1115" t="inlineStr">
        <is>
          <t>Moda</t>
        </is>
      </c>
    </row>
    <row r="1116">
      <c r="A1116" t="n">
        <v>1115</v>
      </c>
      <c r="B1116" t="inlineStr">
        <is>
          <t>A-492__193</t>
        </is>
      </c>
      <c r="C1116" s="1" t="n">
        <v>37.2774670574</v>
      </c>
      <c r="D1116" s="1" t="n">
        <v>-7.02878075166</v>
      </c>
      <c r="E1116" s="3" t="n">
        <v>2</v>
      </c>
      <c r="F1116" s="2" t="n">
        <v>2</v>
      </c>
      <c r="G1116" s="4" t="n">
        <v>3</v>
      </c>
      <c r="H1116" s="13" t="n"/>
      <c r="I1116" s="15" t="n"/>
      <c r="J1116" s="19" t="n">
        <v>2</v>
      </c>
      <c r="K1116" s="2" t="inlineStr">
        <is>
          <t>marker_894_831838.png</t>
        </is>
      </c>
      <c r="L1116" s="11">
        <f>HYPERLINK("2\1\" &amp; K1116, "Ver Imagen")</f>
        <v/>
      </c>
      <c r="M1116" t="inlineStr">
        <is>
          <t>Moda</t>
        </is>
      </c>
    </row>
    <row r="1117">
      <c r="A1117" t="n">
        <v>1116</v>
      </c>
      <c r="B1117" t="inlineStr">
        <is>
          <t>A-492__194</t>
        </is>
      </c>
      <c r="C1117" s="1" t="n">
        <v>37.2775869364</v>
      </c>
      <c r="D1117" s="1" t="n">
        <v>-7.02896623764</v>
      </c>
      <c r="E1117" s="3" t="n">
        <v>2</v>
      </c>
      <c r="F1117" s="2" t="n">
        <v>2</v>
      </c>
      <c r="G1117" s="4" t="n">
        <v>3</v>
      </c>
      <c r="H1117" s="13" t="n"/>
      <c r="I1117" s="15" t="n"/>
      <c r="J1117" s="19" t="n">
        <v>2</v>
      </c>
      <c r="K1117" s="2" t="inlineStr">
        <is>
          <t>marker_722_831853.png</t>
        </is>
      </c>
      <c r="L1117" s="11">
        <f>HYPERLINK("2\1\" &amp; K1117, "Ver Imagen")</f>
        <v/>
      </c>
      <c r="M1117" t="inlineStr">
        <is>
          <t>Moda</t>
        </is>
      </c>
    </row>
    <row r="1118">
      <c r="A1118" t="n">
        <v>1117</v>
      </c>
      <c r="B1118" t="inlineStr">
        <is>
          <t>A-492__195</t>
        </is>
      </c>
      <c r="C1118" s="1" t="n">
        <v>37.2777347093</v>
      </c>
      <c r="D1118" s="1" t="n">
        <v>-7.02917295894</v>
      </c>
      <c r="E1118" s="3" t="n">
        <v>2</v>
      </c>
      <c r="F1118" s="2" t="n">
        <v>2</v>
      </c>
      <c r="G1118" s="4" t="n">
        <v>3</v>
      </c>
      <c r="H1118" s="13" t="n"/>
      <c r="I1118" s="15" t="n"/>
      <c r="J1118" s="19" t="n">
        <v>2</v>
      </c>
      <c r="K1118" s="2" t="inlineStr">
        <is>
          <t>marker_346_831863.png</t>
        </is>
      </c>
      <c r="L1118" s="11">
        <f>HYPERLINK("2\1\" &amp; K1118, "Ver Imagen")</f>
        <v/>
      </c>
      <c r="M1118" t="inlineStr">
        <is>
          <t>Moda</t>
        </is>
      </c>
    </row>
    <row r="1119">
      <c r="A1119" t="n">
        <v>1118</v>
      </c>
      <c r="B1119" t="inlineStr">
        <is>
          <t>A-492__196</t>
        </is>
      </c>
      <c r="C1119" s="1" t="n">
        <v>37.2778985626</v>
      </c>
      <c r="D1119" s="1" t="n">
        <v>-7.02937490419</v>
      </c>
      <c r="E1119" s="3" t="n">
        <v>2</v>
      </c>
      <c r="F1119" s="2" t="n">
        <v>2</v>
      </c>
      <c r="G1119" s="4" t="n">
        <v>3</v>
      </c>
      <c r="H1119" s="13" t="n"/>
      <c r="I1119" s="15" t="n"/>
      <c r="J1119" s="19" t="n">
        <v>2</v>
      </c>
      <c r="K1119" s="2" t="inlineStr">
        <is>
          <t>marker_663_831875.png</t>
        </is>
      </c>
      <c r="L1119" s="11">
        <f>HYPERLINK("2\1\" &amp; K1119, "Ver Imagen")</f>
        <v/>
      </c>
      <c r="M1119" t="inlineStr">
        <is>
          <t>Moda</t>
        </is>
      </c>
    </row>
    <row r="1120">
      <c r="A1120" t="n">
        <v>1119</v>
      </c>
      <c r="B1120" t="inlineStr">
        <is>
          <t>A-492__197</t>
        </is>
      </c>
      <c r="C1120" s="1" t="n">
        <v>37.2780328789</v>
      </c>
      <c r="D1120" s="1" t="n">
        <v>-7.02952313028</v>
      </c>
      <c r="E1120" s="3" t="n">
        <v>2</v>
      </c>
      <c r="F1120" s="2" t="n">
        <v>2</v>
      </c>
      <c r="G1120" s="4" t="n">
        <v>3</v>
      </c>
      <c r="H1120" s="13" t="n"/>
      <c r="I1120" s="15" t="n"/>
      <c r="J1120" s="19" t="n">
        <v>2</v>
      </c>
      <c r="K1120" s="2" t="inlineStr">
        <is>
          <t>marker_167_831886.png</t>
        </is>
      </c>
      <c r="L1120" s="11">
        <f>HYPERLINK("2\1\" &amp; K1120, "Ver Imagen")</f>
        <v/>
      </c>
      <c r="M1120" t="inlineStr">
        <is>
          <t>Moda</t>
        </is>
      </c>
    </row>
    <row r="1121">
      <c r="A1121" t="n">
        <v>1120</v>
      </c>
      <c r="B1121" t="inlineStr">
        <is>
          <t>A-492__198</t>
        </is>
      </c>
      <c r="C1121" s="1" t="n">
        <v>37.2781775133</v>
      </c>
      <c r="D1121" s="1" t="n">
        <v>-7.02966940064</v>
      </c>
      <c r="E1121" s="3" t="n">
        <v>2</v>
      </c>
      <c r="F1121" s="2" t="n">
        <v>2</v>
      </c>
      <c r="G1121" s="4" t="n">
        <v>3</v>
      </c>
      <c r="H1121" s="13" t="n"/>
      <c r="I1121" s="15" t="n"/>
      <c r="J1121" s="19" t="n">
        <v>2</v>
      </c>
      <c r="K1121" s="2" t="inlineStr">
        <is>
          <t>marker_481_831896.png</t>
        </is>
      </c>
      <c r="L1121" s="11">
        <f>HYPERLINK("2\1\" &amp; K1121, "Ver Imagen")</f>
        <v/>
      </c>
      <c r="M1121" t="inlineStr">
        <is>
          <t>Moda</t>
        </is>
      </c>
    </row>
    <row r="1122">
      <c r="A1122" t="n">
        <v>1121</v>
      </c>
      <c r="B1122" t="inlineStr">
        <is>
          <t>A-492__202</t>
        </is>
      </c>
      <c r="C1122" s="1" t="n">
        <v>37.2788351741</v>
      </c>
      <c r="D1122" s="1" t="n">
        <v>-7.03028033173</v>
      </c>
      <c r="E1122" s="3" t="n">
        <v>2</v>
      </c>
      <c r="F1122" s="2" t="n">
        <v>2</v>
      </c>
      <c r="G1122" s="4" t="n">
        <v>3</v>
      </c>
      <c r="H1122" s="13" t="n"/>
      <c r="I1122" s="15" t="n"/>
      <c r="J1122" s="19" t="n">
        <v>2</v>
      </c>
      <c r="K1122" s="2" t="inlineStr">
        <is>
          <t>marker_730_831946.png</t>
        </is>
      </c>
      <c r="L1122" s="11">
        <f>HYPERLINK("2\1\" &amp; K1122, "Ver Imagen")</f>
        <v/>
      </c>
      <c r="M1122" t="inlineStr">
        <is>
          <t>Moda</t>
        </is>
      </c>
    </row>
    <row r="1123">
      <c r="A1123" t="n">
        <v>1122</v>
      </c>
      <c r="B1123" t="inlineStr">
        <is>
          <t>A-492__206</t>
        </is>
      </c>
      <c r="C1123" s="1" t="n">
        <v>37.2794872153</v>
      </c>
      <c r="D1123" s="1" t="n">
        <v>-7.03088052132</v>
      </c>
      <c r="E1123" s="3" t="n">
        <v>2</v>
      </c>
      <c r="F1123" s="2" t="n">
        <v>2</v>
      </c>
      <c r="G1123" s="4" t="n">
        <v>3</v>
      </c>
      <c r="H1123" s="13" t="n"/>
      <c r="I1123" s="15" t="n"/>
      <c r="J1123" s="19" t="n">
        <v>2</v>
      </c>
      <c r="K1123" s="2" t="inlineStr">
        <is>
          <t>marker_879_831990.png</t>
        </is>
      </c>
      <c r="L1123" s="11">
        <f>HYPERLINK("2\1\" &amp; K1123, "Ver Imagen")</f>
        <v/>
      </c>
      <c r="M1123" t="inlineStr">
        <is>
          <t>Moda</t>
        </is>
      </c>
    </row>
    <row r="1124">
      <c r="A1124" t="n">
        <v>1123</v>
      </c>
      <c r="B1124" t="inlineStr">
        <is>
          <t>A-492__209</t>
        </is>
      </c>
      <c r="C1124" s="1" t="n">
        <v>37.2799845644</v>
      </c>
      <c r="D1124" s="1" t="n">
        <v>-7.03131442821</v>
      </c>
      <c r="E1124" s="3" t="n">
        <v>1</v>
      </c>
      <c r="F1124" s="2" t="n">
        <v>2</v>
      </c>
      <c r="G1124" s="4" t="n">
        <v>2</v>
      </c>
      <c r="H1124" s="13" t="n"/>
      <c r="I1124" s="15" t="n"/>
      <c r="J1124" s="19" t="n">
        <v>2</v>
      </c>
      <c r="K1124" s="2" t="inlineStr">
        <is>
          <t>marker_574_832029.png</t>
        </is>
      </c>
      <c r="L1124" s="11">
        <f>HYPERLINK("2\1\" &amp; K1124, "Ver Imagen")</f>
        <v/>
      </c>
      <c r="M1124" t="inlineStr">
        <is>
          <t>Moda</t>
        </is>
      </c>
    </row>
    <row r="1125">
      <c r="A1125" t="n">
        <v>1124</v>
      </c>
      <c r="B1125" t="inlineStr">
        <is>
          <t>A-492__211</t>
        </is>
      </c>
      <c r="C1125" s="1" t="n">
        <v>37.2803387939</v>
      </c>
      <c r="D1125" s="1" t="n">
        <v>-7.03155440956</v>
      </c>
      <c r="E1125" s="3" t="n">
        <v>1</v>
      </c>
      <c r="F1125" s="2" t="n">
        <v>2</v>
      </c>
      <c r="G1125" s="4" t="n">
        <v>2</v>
      </c>
      <c r="H1125" s="13" t="n"/>
      <c r="I1125" s="15" t="n"/>
      <c r="J1125" s="19" t="n">
        <v>2</v>
      </c>
      <c r="K1125" s="2" t="inlineStr">
        <is>
          <t>marker_468_832634.png</t>
        </is>
      </c>
      <c r="L1125" s="11">
        <f>HYPERLINK("2\1\" &amp; K1125, "Ver Imagen")</f>
        <v/>
      </c>
      <c r="M1125" t="inlineStr">
        <is>
          <t>Moda</t>
        </is>
      </c>
    </row>
    <row r="1126">
      <c r="A1126" t="n">
        <v>1125</v>
      </c>
      <c r="B1126" t="inlineStr">
        <is>
          <t>A-492__212</t>
        </is>
      </c>
      <c r="C1126" s="1" t="n">
        <v>37.2805265032</v>
      </c>
      <c r="D1126" s="1" t="n">
        <v>-7.03165805189</v>
      </c>
      <c r="E1126" s="3" t="n">
        <v>1</v>
      </c>
      <c r="F1126" s="2" t="n">
        <v>2</v>
      </c>
      <c r="G1126" s="4" t="n">
        <v>2</v>
      </c>
      <c r="H1126" s="13" t="n"/>
      <c r="I1126" s="15" t="n"/>
      <c r="J1126" s="19" t="n">
        <v>2</v>
      </c>
      <c r="K1126" s="2" t="inlineStr">
        <is>
          <t>marker_706_832653.png</t>
        </is>
      </c>
      <c r="L1126" s="11">
        <f>HYPERLINK("2\1\" &amp; K1126, "Ver Imagen")</f>
        <v/>
      </c>
      <c r="M1126" t="inlineStr">
        <is>
          <t>Moda</t>
        </is>
      </c>
    </row>
    <row r="1127">
      <c r="A1127" t="n">
        <v>1126</v>
      </c>
      <c r="B1127" t="inlineStr">
        <is>
          <t>A-492__213</t>
        </is>
      </c>
      <c r="C1127" s="1" t="n">
        <v>37.2806931641</v>
      </c>
      <c r="D1127" s="1" t="n">
        <v>-7.03174181815</v>
      </c>
      <c r="E1127" s="3" t="n">
        <v>1</v>
      </c>
      <c r="F1127" s="2" t="n">
        <v>2</v>
      </c>
      <c r="G1127" s="4" t="n">
        <v>2</v>
      </c>
      <c r="H1127" s="13" t="n"/>
      <c r="I1127" s="15" t="n"/>
      <c r="J1127" s="19" t="n">
        <v>2</v>
      </c>
      <c r="K1127" s="2" t="inlineStr">
        <is>
          <t>marker_618_832663.png</t>
        </is>
      </c>
      <c r="L1127" s="11">
        <f>HYPERLINK("2\1\" &amp; K1127, "Ver Imagen")</f>
        <v/>
      </c>
      <c r="M1127" t="inlineStr">
        <is>
          <t>Moda</t>
        </is>
      </c>
    </row>
    <row r="1128">
      <c r="A1128" t="n">
        <v>1127</v>
      </c>
      <c r="B1128" t="inlineStr">
        <is>
          <t>A-492__214</t>
        </is>
      </c>
      <c r="C1128" s="1" t="n">
        <v>37.2808831135</v>
      </c>
      <c r="D1128" s="1" t="n">
        <v>-7.03183302612</v>
      </c>
      <c r="E1128" s="3" t="n">
        <v>1</v>
      </c>
      <c r="F1128" s="2" t="n">
        <v>2</v>
      </c>
      <c r="G1128" s="4" t="n">
        <v>2</v>
      </c>
      <c r="H1128" s="13" t="n"/>
      <c r="I1128" s="15" t="n"/>
      <c r="J1128" s="19" t="n">
        <v>2</v>
      </c>
      <c r="K1128" s="2" t="inlineStr">
        <is>
          <t>marker_535_832673.png</t>
        </is>
      </c>
      <c r="L1128" s="11">
        <f>HYPERLINK("2\1\" &amp; K1128, "Ver Imagen")</f>
        <v/>
      </c>
      <c r="M1128" t="inlineStr">
        <is>
          <t>Moda</t>
        </is>
      </c>
    </row>
    <row r="1129">
      <c r="A1129" t="n">
        <v>1128</v>
      </c>
      <c r="B1129" t="inlineStr">
        <is>
          <t>A-492__217</t>
        </is>
      </c>
      <c r="C1129" s="1" t="n">
        <v>37.2814610788</v>
      </c>
      <c r="D1129" s="1" t="n">
        <v>-7.0321143007</v>
      </c>
      <c r="E1129" s="3" t="n">
        <v>1</v>
      </c>
      <c r="F1129" s="2" t="n">
        <v>2</v>
      </c>
      <c r="G1129" s="4" t="n">
        <v>2</v>
      </c>
      <c r="H1129" s="13" t="n"/>
      <c r="I1129" s="15" t="n"/>
      <c r="J1129" s="19" t="n">
        <v>2</v>
      </c>
      <c r="K1129" s="2" t="inlineStr">
        <is>
          <t>marker_959_832769.png</t>
        </is>
      </c>
      <c r="L1129" s="11">
        <f>HYPERLINK("2\1\" &amp; K1129, "Ver Imagen")</f>
        <v/>
      </c>
      <c r="M1129" t="inlineStr">
        <is>
          <t>Moda</t>
        </is>
      </c>
    </row>
    <row r="1130">
      <c r="A1130" t="n">
        <v>1129</v>
      </c>
      <c r="B1130" t="inlineStr">
        <is>
          <t>A-492__221</t>
        </is>
      </c>
      <c r="C1130" s="1" t="n">
        <v>37.2821993581</v>
      </c>
      <c r="D1130" s="1" t="n">
        <v>-7.03252754156</v>
      </c>
      <c r="E1130" s="3" t="n">
        <v>1</v>
      </c>
      <c r="F1130" s="2" t="n">
        <v>2</v>
      </c>
      <c r="G1130" s="4" t="n">
        <v>2</v>
      </c>
      <c r="H1130" s="13" t="n"/>
      <c r="I1130" s="15" t="n"/>
      <c r="J1130" s="19" t="n">
        <v>2</v>
      </c>
      <c r="K1130" s="2" t="inlineStr">
        <is>
          <t>marker_576_835672.png</t>
        </is>
      </c>
      <c r="L1130" s="11">
        <f>HYPERLINK("2\1\" &amp; K1130, "Ver Imagen")</f>
        <v/>
      </c>
      <c r="M1130" t="inlineStr">
        <is>
          <t>Moda</t>
        </is>
      </c>
    </row>
    <row r="1131">
      <c r="A1131" t="n">
        <v>1130</v>
      </c>
      <c r="B1131" t="inlineStr">
        <is>
          <t>A-492__222</t>
        </is>
      </c>
      <c r="C1131" s="1" t="n">
        <v>37.282368678</v>
      </c>
      <c r="D1131" s="1" t="n">
        <v>-7.03263291836</v>
      </c>
      <c r="E1131" s="3" t="n">
        <v>1</v>
      </c>
      <c r="F1131" s="2" t="n">
        <v>2</v>
      </c>
      <c r="G1131" s="4" t="n">
        <v>2</v>
      </c>
      <c r="H1131" s="13" t="n"/>
      <c r="I1131" s="15" t="n"/>
      <c r="J1131" s="19" t="n">
        <v>2</v>
      </c>
      <c r="K1131" s="2" t="inlineStr">
        <is>
          <t>marker_928_835682.png</t>
        </is>
      </c>
      <c r="L1131" s="11">
        <f>HYPERLINK("2\1\" &amp; K1131, "Ver Imagen")</f>
        <v/>
      </c>
      <c r="M1131" t="inlineStr">
        <is>
          <t>Moda</t>
        </is>
      </c>
    </row>
    <row r="1132">
      <c r="A1132" t="n">
        <v>1131</v>
      </c>
      <c r="B1132" t="inlineStr">
        <is>
          <t>A-492__224</t>
        </is>
      </c>
      <c r="C1132" s="1" t="n">
        <v>37.2827565727</v>
      </c>
      <c r="D1132" s="1" t="n">
        <v>-7.03289375313</v>
      </c>
      <c r="E1132" s="3" t="n">
        <v>1</v>
      </c>
      <c r="F1132" s="2" t="n">
        <v>2</v>
      </c>
      <c r="G1132" s="4" t="n">
        <v>2</v>
      </c>
      <c r="H1132" s="13" t="n"/>
      <c r="I1132" s="15" t="n"/>
      <c r="J1132" s="19" t="n">
        <v>2</v>
      </c>
      <c r="K1132" s="2" t="inlineStr">
        <is>
          <t>marker_227_835703.png</t>
        </is>
      </c>
      <c r="L1132" s="11">
        <f>HYPERLINK("2\1\" &amp; K1132, "Ver Imagen")</f>
        <v/>
      </c>
      <c r="M1132" t="inlineStr">
        <is>
          <t>Moda</t>
        </is>
      </c>
    </row>
    <row r="1133">
      <c r="A1133" t="n">
        <v>1132</v>
      </c>
      <c r="B1133" t="inlineStr">
        <is>
          <t>A-492__225</t>
        </is>
      </c>
      <c r="C1133" s="1" t="n">
        <v>37.2829183792</v>
      </c>
      <c r="D1133" s="1" t="n">
        <v>-7.03302044654</v>
      </c>
      <c r="E1133" s="3" t="n">
        <v>2</v>
      </c>
      <c r="F1133" s="2" t="n">
        <v>2</v>
      </c>
      <c r="G1133" s="4" t="n">
        <v>3</v>
      </c>
      <c r="H1133" s="13" t="n"/>
      <c r="I1133" s="15" t="n"/>
      <c r="J1133" s="19" t="n">
        <v>2</v>
      </c>
      <c r="K1133" s="2" t="inlineStr">
        <is>
          <t>marker_581_835713.png</t>
        </is>
      </c>
      <c r="L1133" s="11">
        <f>HYPERLINK("2\1\" &amp; K1133, "Ver Imagen")</f>
        <v/>
      </c>
      <c r="M1133" t="inlineStr">
        <is>
          <t>Moda</t>
        </is>
      </c>
    </row>
    <row r="1134">
      <c r="A1134" t="n">
        <v>1133</v>
      </c>
      <c r="B1134" t="inlineStr">
        <is>
          <t>A-492__227</t>
        </is>
      </c>
      <c r="C1134" s="1" t="n">
        <v>37.2832106575</v>
      </c>
      <c r="D1134" s="1" t="n">
        <v>-7.03330283016</v>
      </c>
      <c r="E1134" s="3" t="n">
        <v>1</v>
      </c>
      <c r="F1134" s="2" t="n">
        <v>2</v>
      </c>
      <c r="G1134" s="4" t="n">
        <v>2</v>
      </c>
      <c r="H1134" s="13" t="n"/>
      <c r="I1134" s="15" t="n"/>
      <c r="J1134" s="19" t="n">
        <v>2</v>
      </c>
      <c r="K1134" s="2" t="inlineStr">
        <is>
          <t>marker_955_835735.png</t>
        </is>
      </c>
      <c r="L1134" s="11">
        <f>HYPERLINK("2\1\" &amp; K1134, "Ver Imagen")</f>
        <v/>
      </c>
      <c r="M1134" t="inlineStr">
        <is>
          <t>Moda</t>
        </is>
      </c>
    </row>
    <row r="1135">
      <c r="A1135" t="n">
        <v>1134</v>
      </c>
      <c r="B1135" t="inlineStr">
        <is>
          <t>A-492__228</t>
        </is>
      </c>
      <c r="C1135" s="1" t="n">
        <v>37.2833697763</v>
      </c>
      <c r="D1135" s="1" t="n">
        <v>-7.0335022367</v>
      </c>
      <c r="E1135" s="3" t="n">
        <v>1</v>
      </c>
      <c r="F1135" s="2" t="n">
        <v>2</v>
      </c>
      <c r="G1135" s="4" t="n">
        <v>2</v>
      </c>
      <c r="H1135" s="13" t="n"/>
      <c r="I1135" s="15" t="n"/>
      <c r="J1135" s="19" t="n">
        <v>2</v>
      </c>
      <c r="K1135" s="2" t="inlineStr">
        <is>
          <t>marker_309_835749.png</t>
        </is>
      </c>
      <c r="L1135" s="11">
        <f>HYPERLINK("2\1\" &amp; K1135, "Ver Imagen")</f>
        <v/>
      </c>
      <c r="M1135" t="inlineStr">
        <is>
          <t>Moda</t>
        </is>
      </c>
    </row>
    <row r="1136">
      <c r="A1136" t="n">
        <v>1135</v>
      </c>
      <c r="B1136" t="inlineStr">
        <is>
          <t>A-492__229</t>
        </is>
      </c>
      <c r="C1136" s="1" t="n">
        <v>37.2835151984</v>
      </c>
      <c r="D1136" s="1" t="n">
        <v>-7.03372554602</v>
      </c>
      <c r="E1136" s="3" t="n">
        <v>2</v>
      </c>
      <c r="F1136" s="2" t="n">
        <v>2</v>
      </c>
      <c r="G1136" s="4" t="n">
        <v>3</v>
      </c>
      <c r="H1136" s="13" t="n"/>
      <c r="I1136" s="15" t="n"/>
      <c r="J1136" s="19" t="n">
        <v>2</v>
      </c>
      <c r="K1136" s="2" t="inlineStr">
        <is>
          <t>marker_439_835759.png</t>
        </is>
      </c>
      <c r="L1136" s="11">
        <f>HYPERLINK("2\1\" &amp; K1136, "Ver Imagen")</f>
        <v/>
      </c>
      <c r="M1136" t="inlineStr">
        <is>
          <t>Moda</t>
        </is>
      </c>
    </row>
    <row r="1137">
      <c r="A1137" t="n">
        <v>1136</v>
      </c>
      <c r="B1137" t="inlineStr">
        <is>
          <t>A-492__232</t>
        </is>
      </c>
      <c r="C1137" s="1" t="n">
        <v>37.2838355185</v>
      </c>
      <c r="D1137" s="1" t="n">
        <v>-7.03439280165</v>
      </c>
      <c r="E1137" s="3" t="n">
        <v>1</v>
      </c>
      <c r="F1137" s="2" t="n">
        <v>2</v>
      </c>
      <c r="G1137" s="4" t="n">
        <v>2</v>
      </c>
      <c r="H1137" s="13" t="n"/>
      <c r="I1137" s="15" t="n"/>
      <c r="J1137" s="19" t="n">
        <v>2</v>
      </c>
      <c r="K1137" s="2" t="inlineStr">
        <is>
          <t>marker_728_835838.png</t>
        </is>
      </c>
      <c r="L1137" s="11">
        <f>HYPERLINK("2\1\" &amp; K1137, "Ver Imagen")</f>
        <v/>
      </c>
      <c r="M1137" t="inlineStr">
        <is>
          <t>Moda</t>
        </is>
      </c>
    </row>
    <row r="1138">
      <c r="A1138" t="n">
        <v>1137</v>
      </c>
      <c r="B1138" t="inlineStr">
        <is>
          <t>A-492__233</t>
        </is>
      </c>
      <c r="C1138" s="1" t="n">
        <v>37.283912618</v>
      </c>
      <c r="D1138" s="1" t="n">
        <v>-7.03460868538</v>
      </c>
      <c r="E1138" s="3" t="n">
        <v>1</v>
      </c>
      <c r="F1138" s="2" t="n">
        <v>2</v>
      </c>
      <c r="G1138" s="4" t="n">
        <v>2</v>
      </c>
      <c r="H1138" s="13" t="n"/>
      <c r="I1138" s="15" t="n"/>
      <c r="J1138" s="19" t="n">
        <v>2</v>
      </c>
      <c r="K1138" s="2" t="inlineStr">
        <is>
          <t>marker_684_835850.png</t>
        </is>
      </c>
      <c r="L1138" s="11">
        <f>HYPERLINK("2\1\" &amp; K1138, "Ver Imagen")</f>
        <v/>
      </c>
      <c r="M1138" t="inlineStr">
        <is>
          <t>Moda</t>
        </is>
      </c>
    </row>
    <row r="1139">
      <c r="A1139" t="n">
        <v>1138</v>
      </c>
      <c r="B1139" t="inlineStr">
        <is>
          <t>A-492__241</t>
        </is>
      </c>
      <c r="C1139" s="1" t="n">
        <v>37.284104655</v>
      </c>
      <c r="D1139" s="1" t="n">
        <v>-7.03661520192</v>
      </c>
      <c r="E1139" s="3" t="n">
        <v>1</v>
      </c>
      <c r="F1139" s="2" t="n">
        <v>2</v>
      </c>
      <c r="G1139" s="4" t="n">
        <v>2</v>
      </c>
      <c r="H1139" s="13" t="n"/>
      <c r="I1139" s="15" t="n"/>
      <c r="J1139" s="19" t="n">
        <v>2</v>
      </c>
      <c r="K1139" s="2" t="inlineStr">
        <is>
          <t>marker_480_835956.png</t>
        </is>
      </c>
      <c r="L1139" s="11">
        <f>HYPERLINK("2\1\" &amp; K1139, "Ver Imagen")</f>
        <v/>
      </c>
      <c r="M1139" t="inlineStr">
        <is>
          <t>Moda</t>
        </is>
      </c>
    </row>
    <row r="1140">
      <c r="A1140" t="n">
        <v>1139</v>
      </c>
      <c r="B1140" t="inlineStr">
        <is>
          <t>A-492__242</t>
        </is>
      </c>
      <c r="C1140" s="1" t="n">
        <v>37.2841159695</v>
      </c>
      <c r="D1140" s="1" t="n">
        <v>-7.03687650149</v>
      </c>
      <c r="E1140" s="3" t="n">
        <v>1</v>
      </c>
      <c r="F1140" s="2" t="n">
        <v>2</v>
      </c>
      <c r="G1140" s="4" t="n">
        <v>2</v>
      </c>
      <c r="H1140" s="13" t="n"/>
      <c r="I1140" s="15" t="n"/>
      <c r="J1140" s="19" t="n">
        <v>2</v>
      </c>
      <c r="K1140" s="2" t="inlineStr">
        <is>
          <t>marker_848_835975.png</t>
        </is>
      </c>
      <c r="L1140" s="11">
        <f>HYPERLINK("2\1\" &amp; K1140, "Ver Imagen")</f>
        <v/>
      </c>
      <c r="M1140" t="inlineStr">
        <is>
          <t>Moda</t>
        </is>
      </c>
    </row>
    <row r="1141">
      <c r="A1141" t="n">
        <v>1140</v>
      </c>
      <c r="B1141" t="inlineStr">
        <is>
          <t>A-492__246</t>
        </is>
      </c>
      <c r="C1141" s="1" t="n">
        <v>37.2842745671</v>
      </c>
      <c r="D1141" s="1" t="n">
        <v>-7.03780745324</v>
      </c>
      <c r="E1141" s="3" t="n">
        <v>1</v>
      </c>
      <c r="F1141" s="2" t="n">
        <v>2</v>
      </c>
      <c r="G1141" s="4" t="n">
        <v>2</v>
      </c>
      <c r="H1141" s="13" t="n"/>
      <c r="I1141" s="15" t="n"/>
      <c r="J1141" s="19" t="n">
        <v>2</v>
      </c>
      <c r="K1141" s="2" t="inlineStr">
        <is>
          <t>marker_956_836042.png</t>
        </is>
      </c>
      <c r="L1141" s="11">
        <f>HYPERLINK("2\1\" &amp; K1141, "Ver Imagen")</f>
        <v/>
      </c>
      <c r="M1141" t="inlineStr">
        <is>
          <t>Moda</t>
        </is>
      </c>
    </row>
    <row r="1142">
      <c r="A1142" t="n">
        <v>1141</v>
      </c>
      <c r="B1142" t="inlineStr">
        <is>
          <t>A-492__250</t>
        </is>
      </c>
      <c r="C1142" s="1" t="n">
        <v>37.2845214465</v>
      </c>
      <c r="D1142" s="1" t="n">
        <v>-7.03878958674</v>
      </c>
      <c r="E1142" s="3" t="n">
        <v>1</v>
      </c>
      <c r="F1142" s="2" t="n">
        <v>2</v>
      </c>
      <c r="G1142" s="4" t="n">
        <v>2</v>
      </c>
      <c r="H1142" s="13" t="n"/>
      <c r="I1142" s="15" t="n"/>
      <c r="J1142" s="19" t="n">
        <v>2</v>
      </c>
      <c r="K1142" s="2" t="inlineStr">
        <is>
          <t>marker_685_836097.png</t>
        </is>
      </c>
      <c r="L1142" s="11">
        <f>HYPERLINK("2\1\" &amp; K1142, "Ver Imagen")</f>
        <v/>
      </c>
      <c r="M1142" t="inlineStr">
        <is>
          <t>Moda</t>
        </is>
      </c>
    </row>
    <row r="1143">
      <c r="A1143" t="n">
        <v>1142</v>
      </c>
      <c r="B1143" t="inlineStr">
        <is>
          <t>A-492__258</t>
        </is>
      </c>
      <c r="C1143" s="1" t="n">
        <v>37.2852490765</v>
      </c>
      <c r="D1143" s="1" t="n">
        <v>-7.04058824742</v>
      </c>
      <c r="E1143" s="3" t="n">
        <v>2</v>
      </c>
      <c r="F1143" s="2" t="n">
        <v>1</v>
      </c>
      <c r="G1143" s="4" t="n">
        <v>2</v>
      </c>
      <c r="H1143" s="13" t="n"/>
      <c r="I1143" s="15" t="n"/>
      <c r="J1143" s="19" t="n">
        <v>2</v>
      </c>
      <c r="K1143" s="2" t="inlineStr">
        <is>
          <t>marker_711_836248.png</t>
        </is>
      </c>
      <c r="L1143" s="11">
        <f>HYPERLINK("2\1\" &amp; K1143, "Ver Imagen")</f>
        <v/>
      </c>
      <c r="M1143" t="inlineStr">
        <is>
          <t>Moda</t>
        </is>
      </c>
    </row>
    <row r="1144">
      <c r="A1144" t="n">
        <v>1143</v>
      </c>
      <c r="B1144" t="inlineStr">
        <is>
          <t>A-492__260</t>
        </is>
      </c>
      <c r="C1144" s="1" t="n">
        <v>37.2855088601</v>
      </c>
      <c r="D1144" s="1" t="n">
        <v>-7.0409325121</v>
      </c>
      <c r="E1144" s="3" t="n">
        <v>2</v>
      </c>
      <c r="F1144" s="2" t="n">
        <v>2</v>
      </c>
      <c r="G1144" s="4" t="n">
        <v>3</v>
      </c>
      <c r="H1144" s="13" t="n"/>
      <c r="I1144" s="15" t="n"/>
      <c r="J1144" s="19" t="n">
        <v>2</v>
      </c>
      <c r="K1144" s="2" t="inlineStr">
        <is>
          <t>marker_599_836584.png</t>
        </is>
      </c>
      <c r="L1144" s="11">
        <f>HYPERLINK("2\1\" &amp; K1144, "Ver Imagen")</f>
        <v/>
      </c>
      <c r="M1144" t="inlineStr">
        <is>
          <t>Moda</t>
        </is>
      </c>
    </row>
    <row r="1145">
      <c r="A1145" t="n">
        <v>1144</v>
      </c>
      <c r="B1145" t="inlineStr">
        <is>
          <t>A-492__264</t>
        </is>
      </c>
      <c r="C1145" s="1" t="n">
        <v>37.2862036646</v>
      </c>
      <c r="D1145" s="1" t="n">
        <v>-7.04154883677</v>
      </c>
      <c r="E1145" s="3" t="n">
        <v>1</v>
      </c>
      <c r="F1145" s="2" t="n">
        <v>2</v>
      </c>
      <c r="G1145" s="4" t="n">
        <v>2</v>
      </c>
      <c r="H1145" s="13" t="n"/>
      <c r="I1145" s="15" t="n"/>
      <c r="J1145" s="19" t="n">
        <v>2</v>
      </c>
      <c r="K1145" s="2" t="inlineStr">
        <is>
          <t>marker_188_836679.png</t>
        </is>
      </c>
      <c r="L1145" s="11">
        <f>HYPERLINK("2\1\" &amp; K1145, "Ver Imagen")</f>
        <v/>
      </c>
      <c r="M1145" t="inlineStr">
        <is>
          <t>Moda</t>
        </is>
      </c>
    </row>
    <row r="1146">
      <c r="A1146" t="n">
        <v>1145</v>
      </c>
      <c r="B1146" t="inlineStr">
        <is>
          <t>A-492__277</t>
        </is>
      </c>
      <c r="C1146" s="1" t="n">
        <v>37.2885491724</v>
      </c>
      <c r="D1146" s="1" t="n">
        <v>-7.04286844889</v>
      </c>
      <c r="E1146" s="3" t="n">
        <v>2</v>
      </c>
      <c r="F1146" s="2" t="n">
        <v>2</v>
      </c>
      <c r="G1146" s="4" t="n">
        <v>3</v>
      </c>
      <c r="H1146" s="13" t="n"/>
      <c r="I1146" s="15" t="n"/>
      <c r="J1146" s="19" t="n">
        <v>2</v>
      </c>
      <c r="K1146" s="2" t="inlineStr">
        <is>
          <t>marker_471_836878.png</t>
        </is>
      </c>
      <c r="L1146" s="11">
        <f>HYPERLINK("2\1\" &amp; K1146, "Ver Imagen")</f>
        <v/>
      </c>
      <c r="M1146" t="inlineStr">
        <is>
          <t>Moda</t>
        </is>
      </c>
    </row>
    <row r="1147">
      <c r="A1147" t="n">
        <v>1146</v>
      </c>
      <c r="B1147" t="inlineStr">
        <is>
          <t>A-492__278</t>
        </is>
      </c>
      <c r="C1147" s="1" t="n">
        <v>37.2887091338</v>
      </c>
      <c r="D1147" s="1" t="n">
        <v>-7.0430480451</v>
      </c>
      <c r="E1147" s="3" t="n">
        <v>2</v>
      </c>
      <c r="F1147" s="2" t="n">
        <v>2</v>
      </c>
      <c r="G1147" s="4" t="n">
        <v>3</v>
      </c>
      <c r="H1147" s="13" t="n"/>
      <c r="I1147" s="15" t="n"/>
      <c r="J1147" s="19" t="n">
        <v>2</v>
      </c>
      <c r="K1147" s="2" t="inlineStr">
        <is>
          <t>marker_953_836891.png</t>
        </is>
      </c>
      <c r="L1147" s="11">
        <f>HYPERLINK("2\1\" &amp; K1147, "Ver Imagen")</f>
        <v/>
      </c>
      <c r="M1147" t="inlineStr">
        <is>
          <t>Moda</t>
        </is>
      </c>
    </row>
    <row r="1148">
      <c r="A1148" t="n">
        <v>1147</v>
      </c>
      <c r="B1148" t="inlineStr">
        <is>
          <t>A-492__281</t>
        </is>
      </c>
      <c r="C1148" s="1" t="n">
        <v>37.2890938695</v>
      </c>
      <c r="D1148" s="1" t="n">
        <v>-7.04359029526</v>
      </c>
      <c r="E1148" s="3" t="n">
        <v>2</v>
      </c>
      <c r="F1148" s="2" t="n">
        <v>2</v>
      </c>
      <c r="G1148" s="4" t="n">
        <v>3</v>
      </c>
      <c r="H1148" s="13" t="n"/>
      <c r="I1148" s="15" t="n"/>
      <c r="J1148" s="19" t="n">
        <v>2</v>
      </c>
      <c r="K1148" s="2" t="inlineStr">
        <is>
          <t>marker_136_837317.png</t>
        </is>
      </c>
      <c r="L1148" s="11">
        <f>HYPERLINK("2\1\" &amp; K1148, "Ver Imagen")</f>
        <v/>
      </c>
      <c r="M1148" t="inlineStr">
        <is>
          <t>Moda</t>
        </is>
      </c>
    </row>
    <row r="1149">
      <c r="A1149" t="n">
        <v>1148</v>
      </c>
      <c r="B1149" t="inlineStr">
        <is>
          <t>A-492__304</t>
        </is>
      </c>
      <c r="C1149" s="1" t="n">
        <v>37.2931187715</v>
      </c>
      <c r="D1149" s="1" t="n">
        <v>-7.04615584132</v>
      </c>
      <c r="E1149" s="3" t="n">
        <v>1</v>
      </c>
      <c r="F1149" s="2" t="n">
        <v>2</v>
      </c>
      <c r="G1149" s="4" t="n">
        <v>2</v>
      </c>
      <c r="H1149" s="13" t="n"/>
      <c r="I1149" s="15" t="n"/>
      <c r="J1149" s="19" t="n">
        <v>2</v>
      </c>
      <c r="K1149" s="2" t="inlineStr">
        <is>
          <t>marker_781_837601.png</t>
        </is>
      </c>
      <c r="L1149" s="11">
        <f>HYPERLINK("2\1\" &amp; K1149, "Ver Imagen")</f>
        <v/>
      </c>
      <c r="M1149" t="inlineStr">
        <is>
          <t>Moda</t>
        </is>
      </c>
    </row>
    <row r="1150">
      <c r="A1150" t="n">
        <v>1149</v>
      </c>
      <c r="B1150" t="inlineStr">
        <is>
          <t>A-492__316</t>
        </is>
      </c>
      <c r="C1150" s="1" t="n">
        <v>37.2947865139</v>
      </c>
      <c r="D1150" s="1" t="n">
        <v>-7.04834699078</v>
      </c>
      <c r="E1150" s="3" t="n">
        <v>2</v>
      </c>
      <c r="F1150" s="2" t="n">
        <v>1</v>
      </c>
      <c r="G1150" s="4" t="n">
        <v>2</v>
      </c>
      <c r="H1150" s="13" t="n"/>
      <c r="I1150" s="15" t="n"/>
      <c r="J1150" s="19" t="n">
        <v>2</v>
      </c>
      <c r="K1150" s="2" t="inlineStr">
        <is>
          <t>marker_135_837738.png</t>
        </is>
      </c>
      <c r="L1150" s="11">
        <f>HYPERLINK("2\1\" &amp; K1150, "Ver Imagen")</f>
        <v/>
      </c>
      <c r="M1150" t="inlineStr">
        <is>
          <t>Moda</t>
        </is>
      </c>
    </row>
    <row r="1151">
      <c r="A1151" t="n">
        <v>1150</v>
      </c>
      <c r="B1151" t="inlineStr">
        <is>
          <t>A-492__317</t>
        </is>
      </c>
      <c r="C1151" s="1" t="n">
        <v>37.2949271711</v>
      </c>
      <c r="D1151" s="1" t="n">
        <v>-7.04853037925</v>
      </c>
      <c r="E1151" s="3" t="n">
        <v>1</v>
      </c>
      <c r="F1151" s="2" t="n">
        <v>2</v>
      </c>
      <c r="G1151" s="4" t="n">
        <v>2</v>
      </c>
      <c r="H1151" s="13" t="n"/>
      <c r="I1151" s="15" t="n"/>
      <c r="J1151" s="19" t="n">
        <v>2</v>
      </c>
      <c r="K1151" s="2" t="inlineStr">
        <is>
          <t>marker_174_837918.png</t>
        </is>
      </c>
      <c r="L1151" s="11">
        <f>HYPERLINK("2\1\" &amp; K1151, "Ver Imagen")</f>
        <v/>
      </c>
      <c r="M1151" t="inlineStr">
        <is>
          <t>Moda</t>
        </is>
      </c>
    </row>
    <row r="1152">
      <c r="A1152" t="n">
        <v>1151</v>
      </c>
      <c r="B1152" t="inlineStr">
        <is>
          <t>A-492__324</t>
        </is>
      </c>
      <c r="C1152" s="1" t="n">
        <v>37.2959695323</v>
      </c>
      <c r="D1152" s="1" t="n">
        <v>-7.04972874756</v>
      </c>
      <c r="E1152" s="3" t="n">
        <v>2</v>
      </c>
      <c r="F1152" s="2" t="n">
        <v>2</v>
      </c>
      <c r="G1152" s="4" t="n">
        <v>3</v>
      </c>
      <c r="H1152" s="13" t="n"/>
      <c r="I1152" s="15" t="n"/>
      <c r="J1152" s="19" t="n">
        <v>2</v>
      </c>
      <c r="K1152" s="2" t="inlineStr">
        <is>
          <t>marker_709_838008.png</t>
        </is>
      </c>
      <c r="L1152" s="11">
        <f>HYPERLINK("2\1\" &amp; K1152, "Ver Imagen")</f>
        <v/>
      </c>
      <c r="M1152" t="inlineStr">
        <is>
          <t>Moda</t>
        </is>
      </c>
    </row>
    <row r="1153">
      <c r="A1153" t="n">
        <v>1152</v>
      </c>
      <c r="B1153" t="inlineStr">
        <is>
          <t>A-492__325</t>
        </is>
      </c>
      <c r="C1153" s="1" t="n">
        <v>37.2961230311</v>
      </c>
      <c r="D1153" s="1" t="n">
        <v>-7.04990026099</v>
      </c>
      <c r="E1153" s="3" t="n">
        <v>2</v>
      </c>
      <c r="F1153" s="2" t="n">
        <v>2</v>
      </c>
      <c r="G1153" s="4" t="n">
        <v>3</v>
      </c>
      <c r="H1153" s="13" t="n"/>
      <c r="I1153" s="15" t="n"/>
      <c r="J1153" s="19" t="n">
        <v>2</v>
      </c>
      <c r="K1153" s="2" t="inlineStr">
        <is>
          <t>marker_850_838017.png</t>
        </is>
      </c>
      <c r="L1153" s="11">
        <f>HYPERLINK("2\1\" &amp; K1153, "Ver Imagen")</f>
        <v/>
      </c>
      <c r="M1153" t="inlineStr">
        <is>
          <t>Moda</t>
        </is>
      </c>
    </row>
    <row r="1154">
      <c r="A1154" t="n">
        <v>1153</v>
      </c>
      <c r="B1154" t="inlineStr">
        <is>
          <t>A-492__330</t>
        </is>
      </c>
      <c r="C1154" s="1" t="n">
        <v>37.2967891097</v>
      </c>
      <c r="D1154" s="1" t="n">
        <v>-7.05085157339</v>
      </c>
      <c r="E1154" s="3" t="n">
        <v>2</v>
      </c>
      <c r="F1154" s="2" t="n">
        <v>2</v>
      </c>
      <c r="G1154" s="4" t="n">
        <v>3</v>
      </c>
      <c r="H1154" s="13" t="n"/>
      <c r="I1154" s="15" t="n"/>
      <c r="J1154" s="19" t="n">
        <v>2</v>
      </c>
      <c r="K1154" s="2" t="inlineStr">
        <is>
          <t>marker_549_838083.png</t>
        </is>
      </c>
      <c r="L1154" s="11">
        <f>HYPERLINK("2\1\" &amp; K1154, "Ver Imagen")</f>
        <v/>
      </c>
      <c r="M1154" t="inlineStr">
        <is>
          <t>Moda</t>
        </is>
      </c>
    </row>
    <row r="1155">
      <c r="A1155" t="n">
        <v>1154</v>
      </c>
      <c r="B1155" t="inlineStr">
        <is>
          <t>A-492__333</t>
        </is>
      </c>
      <c r="C1155" s="1" t="n">
        <v>37.2970761407</v>
      </c>
      <c r="D1155" s="1" t="n">
        <v>-7.05150655763</v>
      </c>
      <c r="E1155" s="3" t="n">
        <v>1</v>
      </c>
      <c r="F1155" s="2" t="n">
        <v>2</v>
      </c>
      <c r="G1155" s="4" t="n">
        <v>2</v>
      </c>
      <c r="H1155" s="13" t="n"/>
      <c r="I1155" s="15" t="n"/>
      <c r="J1155" s="19" t="n">
        <v>2</v>
      </c>
      <c r="K1155" s="2" t="inlineStr">
        <is>
          <t>marker_520_838123.png</t>
        </is>
      </c>
      <c r="L1155" s="11">
        <f>HYPERLINK("2\1\" &amp; K1155, "Ver Imagen")</f>
        <v/>
      </c>
      <c r="M1155" t="inlineStr">
        <is>
          <t>Moda</t>
        </is>
      </c>
    </row>
    <row r="1156">
      <c r="A1156" t="n">
        <v>1155</v>
      </c>
      <c r="B1156" t="inlineStr">
        <is>
          <t>A-492__336</t>
        </is>
      </c>
      <c r="C1156" s="1" t="n">
        <v>37.2973214455</v>
      </c>
      <c r="D1156" s="1" t="n">
        <v>-7.05226118282</v>
      </c>
      <c r="E1156" s="3" t="n">
        <v>1</v>
      </c>
      <c r="F1156" s="2" t="n">
        <v>2</v>
      </c>
      <c r="G1156" s="4" t="n">
        <v>2</v>
      </c>
      <c r="H1156" s="13" t="n"/>
      <c r="I1156" s="15" t="n"/>
      <c r="J1156" s="19" t="n">
        <v>2</v>
      </c>
      <c r="K1156" s="2" t="inlineStr">
        <is>
          <t>marker_455_838160.png</t>
        </is>
      </c>
      <c r="L1156" s="11">
        <f>HYPERLINK("2\1\" &amp; K1156, "Ver Imagen")</f>
        <v/>
      </c>
      <c r="M1156" t="inlineStr">
        <is>
          <t>Moda</t>
        </is>
      </c>
    </row>
    <row r="1157">
      <c r="A1157" t="n">
        <v>1156</v>
      </c>
      <c r="B1157" t="inlineStr">
        <is>
          <t>A-492__340</t>
        </is>
      </c>
      <c r="C1157" s="1" t="n">
        <v>37.2976959815</v>
      </c>
      <c r="D1157" s="1" t="n">
        <v>-7.0531442579</v>
      </c>
      <c r="E1157" s="3" t="n">
        <v>2</v>
      </c>
      <c r="F1157" s="2" t="n">
        <v>1</v>
      </c>
      <c r="G1157" s="4" t="n">
        <v>2</v>
      </c>
      <c r="H1157" s="13" t="n"/>
      <c r="I1157" s="15" t="n"/>
      <c r="J1157" s="19" t="n">
        <v>2</v>
      </c>
      <c r="K1157" s="2" t="inlineStr">
        <is>
          <t>marker_785_838199.png</t>
        </is>
      </c>
      <c r="L1157" s="11">
        <f>HYPERLINK("2\1\" &amp; K1157, "Ver Imagen")</f>
        <v/>
      </c>
      <c r="M1157" t="inlineStr">
        <is>
          <t>Moda</t>
        </is>
      </c>
    </row>
    <row r="1158">
      <c r="A1158" t="n">
        <v>1157</v>
      </c>
      <c r="B1158" t="inlineStr">
        <is>
          <t>A-492__341</t>
        </is>
      </c>
      <c r="C1158" s="1" t="n">
        <v>37.2978109179</v>
      </c>
      <c r="D1158" s="1" t="n">
        <v>-7.05332230439</v>
      </c>
      <c r="E1158" s="3" t="n">
        <v>1</v>
      </c>
      <c r="F1158" s="2" t="n">
        <v>2</v>
      </c>
      <c r="G1158" s="4" t="n">
        <v>2</v>
      </c>
      <c r="H1158" s="13" t="n"/>
      <c r="I1158" s="15" t="n"/>
      <c r="J1158" s="19" t="n">
        <v>2</v>
      </c>
      <c r="K1158" s="2" t="inlineStr">
        <is>
          <t>marker_196_838210.png</t>
        </is>
      </c>
      <c r="L1158" s="11">
        <f>HYPERLINK("2\1\" &amp; K1158, "Ver Imagen")</f>
        <v/>
      </c>
      <c r="M1158" t="inlineStr">
        <is>
          <t>Moda</t>
        </is>
      </c>
    </row>
    <row r="1159">
      <c r="A1159" t="n">
        <v>1158</v>
      </c>
      <c r="B1159" t="inlineStr">
        <is>
          <t>A-492__342</t>
        </is>
      </c>
      <c r="C1159" s="1" t="n">
        <v>37.2979435853</v>
      </c>
      <c r="D1159" s="1" t="n">
        <v>-7.05349386637</v>
      </c>
      <c r="E1159" s="3" t="n">
        <v>2</v>
      </c>
      <c r="F1159" s="2" t="n">
        <v>2</v>
      </c>
      <c r="G1159" s="4" t="n">
        <v>1</v>
      </c>
      <c r="H1159" s="13" t="n"/>
      <c r="I1159" s="15" t="n"/>
      <c r="J1159" s="19" t="n">
        <v>2</v>
      </c>
      <c r="K1159" s="2" t="inlineStr">
        <is>
          <t>marker_287_838246.png</t>
        </is>
      </c>
      <c r="L1159" s="11">
        <f>HYPERLINK("2\1\" &amp; K1159, "Ver Imagen")</f>
        <v/>
      </c>
      <c r="M1159" t="inlineStr">
        <is>
          <t>Moda</t>
        </is>
      </c>
    </row>
    <row r="1160">
      <c r="A1160" t="n">
        <v>1159</v>
      </c>
      <c r="B1160" t="inlineStr">
        <is>
          <t>A-492__347</t>
        </is>
      </c>
      <c r="C1160" s="1" t="n">
        <v>37.2987961422</v>
      </c>
      <c r="D1160" s="1" t="n">
        <v>-7.05416933501</v>
      </c>
      <c r="E1160" s="3" t="n">
        <v>2</v>
      </c>
      <c r="F1160" s="2" t="n">
        <v>1</v>
      </c>
      <c r="G1160" s="4" t="n">
        <v>2</v>
      </c>
      <c r="H1160" s="13" t="n"/>
      <c r="I1160" s="15" t="n"/>
      <c r="J1160" s="19" t="n">
        <v>2</v>
      </c>
      <c r="K1160" s="2" t="inlineStr">
        <is>
          <t>marker_196_838324.png</t>
        </is>
      </c>
      <c r="L1160" s="11">
        <f>HYPERLINK("2\1\" &amp; K1160, "Ver Imagen")</f>
        <v/>
      </c>
      <c r="M1160" t="inlineStr">
        <is>
          <t>Moda</t>
        </is>
      </c>
    </row>
    <row r="1161">
      <c r="A1161" t="n">
        <v>1160</v>
      </c>
      <c r="B1161" t="inlineStr">
        <is>
          <t>A-492__353</t>
        </is>
      </c>
      <c r="C1161" s="1" t="n">
        <v>37.2998330625</v>
      </c>
      <c r="D1161" s="1" t="n">
        <v>-7.0550272208</v>
      </c>
      <c r="E1161" s="3" t="n">
        <v>2</v>
      </c>
      <c r="F1161" s="2" t="n">
        <v>1</v>
      </c>
      <c r="G1161" s="4" t="n">
        <v>2</v>
      </c>
      <c r="H1161" s="13" t="n"/>
      <c r="I1161" s="15" t="n"/>
      <c r="J1161" s="19" t="n">
        <v>2</v>
      </c>
      <c r="K1161" s="2" t="inlineStr">
        <is>
          <t>marker_444_838550.png</t>
        </is>
      </c>
      <c r="L1161" s="11">
        <f>HYPERLINK("2\1\" &amp; K1161, "Ver Imagen")</f>
        <v/>
      </c>
      <c r="M1161" t="inlineStr">
        <is>
          <t>Moda</t>
        </is>
      </c>
    </row>
    <row r="1162">
      <c r="A1162" t="n">
        <v>1161</v>
      </c>
      <c r="B1162" t="inlineStr">
        <is>
          <t>A-492__354</t>
        </is>
      </c>
      <c r="C1162" s="1" t="n">
        <v>37.2999584799</v>
      </c>
      <c r="D1162" s="1" t="n">
        <v>-7.05517975694</v>
      </c>
      <c r="E1162" s="3" t="n">
        <v>2</v>
      </c>
      <c r="F1162" s="2" t="n">
        <v>3</v>
      </c>
      <c r="G1162" s="4" t="n">
        <v>2</v>
      </c>
      <c r="H1162" s="13" t="n"/>
      <c r="I1162" s="15" t="n"/>
      <c r="J1162" s="19" t="n">
        <v>2</v>
      </c>
      <c r="K1162" s="2" t="inlineStr">
        <is>
          <t>marker_233_838565.png</t>
        </is>
      </c>
      <c r="L1162" s="11">
        <f>HYPERLINK("2\1\" &amp; K1162, "Ver Imagen")</f>
        <v/>
      </c>
      <c r="M1162" t="inlineStr">
        <is>
          <t>Moda</t>
        </is>
      </c>
    </row>
    <row r="1163">
      <c r="A1163" t="n">
        <v>1162</v>
      </c>
      <c r="B1163" t="inlineStr">
        <is>
          <t>A-492__356</t>
        </is>
      </c>
      <c r="C1163" s="1" t="n">
        <v>37.300235509</v>
      </c>
      <c r="D1163" s="1" t="n">
        <v>-7.05551498835</v>
      </c>
      <c r="E1163" s="3" t="n">
        <v>2</v>
      </c>
      <c r="F1163" s="2" t="n">
        <v>1</v>
      </c>
      <c r="G1163" s="4" t="n">
        <v>2</v>
      </c>
      <c r="H1163" s="13" t="n"/>
      <c r="I1163" s="15" t="n"/>
      <c r="J1163" s="19" t="n">
        <v>2</v>
      </c>
      <c r="K1163" s="2" t="inlineStr">
        <is>
          <t>marker_754_838585.png</t>
        </is>
      </c>
      <c r="L1163" s="11">
        <f>HYPERLINK("2\1\" &amp; K1163, "Ver Imagen")</f>
        <v/>
      </c>
      <c r="M1163" t="inlineStr">
        <is>
          <t>Moda</t>
        </is>
      </c>
    </row>
    <row r="1164">
      <c r="A1164" t="n">
        <v>1163</v>
      </c>
      <c r="B1164" t="inlineStr">
        <is>
          <t>A-492__363</t>
        </is>
      </c>
      <c r="C1164" s="1" t="n">
        <v>37.3014785834</v>
      </c>
      <c r="D1164" s="1" t="n">
        <v>-7.05634836918</v>
      </c>
      <c r="E1164" s="3" t="n">
        <v>2</v>
      </c>
      <c r="F1164" s="2" t="n">
        <v>2</v>
      </c>
      <c r="G1164" s="4" t="n">
        <v>3</v>
      </c>
      <c r="H1164" s="13" t="n"/>
      <c r="I1164" s="15" t="n"/>
      <c r="J1164" s="19" t="n">
        <v>2</v>
      </c>
      <c r="K1164" s="2" t="inlineStr">
        <is>
          <t>marker_374_838667.png</t>
        </is>
      </c>
      <c r="L1164" s="11">
        <f>HYPERLINK("2\1\" &amp; K1164, "Ver Imagen")</f>
        <v/>
      </c>
      <c r="M1164" t="inlineStr">
        <is>
          <t>Moda</t>
        </is>
      </c>
    </row>
    <row r="1165">
      <c r="A1165" t="n">
        <v>1164</v>
      </c>
      <c r="B1165" t="inlineStr">
        <is>
          <t>A-492__364</t>
        </is>
      </c>
      <c r="C1165" s="1" t="n">
        <v>37.3017145354</v>
      </c>
      <c r="D1165" s="1" t="n">
        <v>-7.0564099923</v>
      </c>
      <c r="E1165" s="3" t="n">
        <v>2</v>
      </c>
      <c r="F1165" s="2" t="n">
        <v>1</v>
      </c>
      <c r="G1165" s="4" t="n">
        <v>2</v>
      </c>
      <c r="H1165" s="13" t="n"/>
      <c r="I1165" s="15" t="n"/>
      <c r="J1165" s="19" t="n">
        <v>2</v>
      </c>
      <c r="K1165" s="2" t="inlineStr">
        <is>
          <t>marker_936_838687.png</t>
        </is>
      </c>
      <c r="L1165" s="11">
        <f>HYPERLINK("2\1\" &amp; K1165, "Ver Imagen")</f>
        <v/>
      </c>
      <c r="M1165" t="inlineStr">
        <is>
          <t>Moda</t>
        </is>
      </c>
    </row>
    <row r="1166">
      <c r="A1166" t="n">
        <v>1165</v>
      </c>
      <c r="B1166" t="inlineStr">
        <is>
          <t>A-492__365</t>
        </is>
      </c>
      <c r="C1166" s="1" t="n">
        <v>37.3018893217</v>
      </c>
      <c r="D1166" s="1" t="n">
        <v>-7.05644600333</v>
      </c>
      <c r="E1166" s="3" t="n">
        <v>1</v>
      </c>
      <c r="F1166" s="2" t="n">
        <v>2</v>
      </c>
      <c r="G1166" s="4" t="n">
        <v>2</v>
      </c>
      <c r="H1166" s="13" t="n"/>
      <c r="I1166" s="15" t="n"/>
      <c r="J1166" s="19" t="n">
        <v>2</v>
      </c>
      <c r="K1166" s="2" t="inlineStr">
        <is>
          <t>marker_487_838704.png</t>
        </is>
      </c>
      <c r="L1166" s="11">
        <f>HYPERLINK("2\1\" &amp; K1166, "Ver Imagen")</f>
        <v/>
      </c>
      <c r="M1166" t="inlineStr">
        <is>
          <t>Moda</t>
        </is>
      </c>
    </row>
    <row r="1167">
      <c r="A1167" t="n">
        <v>1166</v>
      </c>
      <c r="B1167" t="inlineStr">
        <is>
          <t>A-492__367</t>
        </is>
      </c>
      <c r="C1167" s="1" t="n">
        <v>37.3022893226</v>
      </c>
      <c r="D1167" s="1" t="n">
        <v>-7.05651773835</v>
      </c>
      <c r="E1167" s="3" t="n">
        <v>2</v>
      </c>
      <c r="F1167" s="2" t="n">
        <v>1</v>
      </c>
      <c r="G1167" s="4" t="n">
        <v>2</v>
      </c>
      <c r="H1167" s="13" t="n"/>
      <c r="I1167" s="15" t="n"/>
      <c r="J1167" s="19" t="n">
        <v>2</v>
      </c>
      <c r="K1167" s="2" t="inlineStr">
        <is>
          <t>marker_642_838727.png</t>
        </is>
      </c>
      <c r="L1167" s="11">
        <f>HYPERLINK("2\1\" &amp; K1167, "Ver Imagen")</f>
        <v/>
      </c>
      <c r="M1167" t="inlineStr">
        <is>
          <t>Moda</t>
        </is>
      </c>
    </row>
    <row r="1168">
      <c r="A1168" t="n">
        <v>1167</v>
      </c>
      <c r="B1168" t="inlineStr">
        <is>
          <t>A-492__368</t>
        </is>
      </c>
      <c r="C1168" s="1" t="n">
        <v>37.3024745321</v>
      </c>
      <c r="D1168" s="1" t="n">
        <v>-7.05654954543</v>
      </c>
      <c r="E1168" s="3" t="n">
        <v>2</v>
      </c>
      <c r="F1168" s="2" t="n">
        <v>1</v>
      </c>
      <c r="G1168" s="4" t="n">
        <v>2</v>
      </c>
      <c r="H1168" s="13" t="n"/>
      <c r="I1168" s="15" t="n"/>
      <c r="J1168" s="19" t="n">
        <v>2</v>
      </c>
      <c r="K1168" s="2" t="inlineStr">
        <is>
          <t>marker_116_838736.png</t>
        </is>
      </c>
      <c r="L1168" s="11">
        <f>HYPERLINK("2\1\" &amp; K1168, "Ver Imagen")</f>
        <v/>
      </c>
      <c r="M1168" t="inlineStr">
        <is>
          <t>Moda</t>
        </is>
      </c>
    </row>
    <row r="1169">
      <c r="A1169" t="n">
        <v>1168</v>
      </c>
      <c r="B1169" t="inlineStr">
        <is>
          <t>A-492__371</t>
        </is>
      </c>
      <c r="C1169" s="1" t="n">
        <v>37.303056155</v>
      </c>
      <c r="D1169" s="1" t="n">
        <v>-7.05664875978</v>
      </c>
      <c r="E1169" s="3" t="n">
        <v>1</v>
      </c>
      <c r="F1169" s="2" t="n">
        <v>2</v>
      </c>
      <c r="G1169" s="4" t="n">
        <v>2</v>
      </c>
      <c r="H1169" s="13" t="n"/>
      <c r="I1169" s="15" t="n"/>
      <c r="J1169" s="19" t="n">
        <v>2</v>
      </c>
      <c r="K1169" s="2" t="inlineStr">
        <is>
          <t>marker_630_838767.png</t>
        </is>
      </c>
      <c r="L1169" s="11">
        <f>HYPERLINK("2\1\" &amp; K1169, "Ver Imagen")</f>
        <v/>
      </c>
      <c r="M1169" t="inlineStr">
        <is>
          <t>Moda</t>
        </is>
      </c>
    </row>
    <row r="1170">
      <c r="A1170" t="n">
        <v>1169</v>
      </c>
      <c r="B1170" t="inlineStr">
        <is>
          <t>A-492__372</t>
        </is>
      </c>
      <c r="C1170" s="1" t="n">
        <v>37.3032695288</v>
      </c>
      <c r="D1170" s="1" t="n">
        <v>-7.05668339745</v>
      </c>
      <c r="E1170" s="3" t="n">
        <v>1</v>
      </c>
      <c r="F1170" s="2" t="n">
        <v>2</v>
      </c>
      <c r="G1170" s="4" t="n">
        <v>2</v>
      </c>
      <c r="H1170" s="13" t="n"/>
      <c r="I1170" s="15" t="n"/>
      <c r="J1170" s="19" t="n">
        <v>2</v>
      </c>
      <c r="K1170" s="2" t="inlineStr">
        <is>
          <t>marker_351_838777.png</t>
        </is>
      </c>
      <c r="L1170" s="11">
        <f>HYPERLINK("2\1\" &amp; K1170, "Ver Imagen")</f>
        <v/>
      </c>
      <c r="M1170" t="inlineStr">
        <is>
          <t>Moda</t>
        </is>
      </c>
    </row>
    <row r="1171">
      <c r="A1171" t="n">
        <v>1170</v>
      </c>
      <c r="B1171" t="inlineStr">
        <is>
          <t>A-492__374</t>
        </is>
      </c>
      <c r="C1171" s="1" t="n">
        <v>37.3036396567</v>
      </c>
      <c r="D1171" s="1" t="n">
        <v>-7.05673211777</v>
      </c>
      <c r="E1171" s="3" t="n">
        <v>1</v>
      </c>
      <c r="F1171" s="2" t="n">
        <v>2</v>
      </c>
      <c r="G1171" s="4" t="n">
        <v>2</v>
      </c>
      <c r="H1171" s="13" t="n"/>
      <c r="I1171" s="15" t="n"/>
      <c r="J1171" s="19" t="n">
        <v>2</v>
      </c>
      <c r="K1171" s="2" t="inlineStr">
        <is>
          <t>marker_126_838802.png</t>
        </is>
      </c>
      <c r="L1171" s="11">
        <f>HYPERLINK("2\1\" &amp; K1171, "Ver Imagen")</f>
        <v/>
      </c>
      <c r="M1171" t="inlineStr">
        <is>
          <t>Moda</t>
        </is>
      </c>
    </row>
    <row r="1172">
      <c r="A1172" t="n">
        <v>1171</v>
      </c>
      <c r="B1172" t="inlineStr">
        <is>
          <t>A-492__375</t>
        </is>
      </c>
      <c r="C1172" s="1" t="n">
        <v>37.3038695333</v>
      </c>
      <c r="D1172" s="1" t="n">
        <v>-7.056748237</v>
      </c>
      <c r="E1172" s="3" t="n">
        <v>1</v>
      </c>
      <c r="F1172" s="2" t="n">
        <v>2</v>
      </c>
      <c r="G1172" s="4" t="n">
        <v>2</v>
      </c>
      <c r="H1172" s="13" t="n"/>
      <c r="I1172" s="15" t="n"/>
      <c r="J1172" s="19" t="n">
        <v>2</v>
      </c>
      <c r="K1172" s="2" t="inlineStr">
        <is>
          <t>marker_117_838813.png</t>
        </is>
      </c>
      <c r="L1172" s="11">
        <f>HYPERLINK("2\1\" &amp; K1172, "Ver Imagen")</f>
        <v/>
      </c>
      <c r="M1172" t="inlineStr">
        <is>
          <t>Moda</t>
        </is>
      </c>
    </row>
    <row r="1173">
      <c r="A1173" t="n">
        <v>1172</v>
      </c>
      <c r="B1173" t="inlineStr">
        <is>
          <t>A-492__376</t>
        </is>
      </c>
      <c r="C1173" s="1" t="n">
        <v>37.3040904126</v>
      </c>
      <c r="D1173" s="1" t="n">
        <v>-7.05675483935</v>
      </c>
      <c r="E1173" s="3" t="n">
        <v>1</v>
      </c>
      <c r="F1173" s="2" t="n">
        <v>2</v>
      </c>
      <c r="G1173" s="4" t="n">
        <v>2</v>
      </c>
      <c r="H1173" s="13" t="n"/>
      <c r="I1173" s="15" t="n"/>
      <c r="J1173" s="19" t="n">
        <v>2</v>
      </c>
      <c r="K1173" s="2" t="inlineStr">
        <is>
          <t>marker_571_838827.png</t>
        </is>
      </c>
      <c r="L1173" s="11">
        <f>HYPERLINK("2\1\" &amp; K1173, "Ver Imagen")</f>
        <v/>
      </c>
      <c r="M1173" t="inlineStr">
        <is>
          <t>Moda</t>
        </is>
      </c>
    </row>
    <row r="1174">
      <c r="A1174" t="n">
        <v>1173</v>
      </c>
      <c r="B1174" t="inlineStr">
        <is>
          <t>A-492__377</t>
        </is>
      </c>
      <c r="C1174" s="1" t="n">
        <v>37.3042739423</v>
      </c>
      <c r="D1174" s="1" t="n">
        <v>-7.05675569556</v>
      </c>
      <c r="E1174" s="3" t="n">
        <v>1</v>
      </c>
      <c r="F1174" s="2" t="n">
        <v>2</v>
      </c>
      <c r="G1174" s="4" t="n">
        <v>2</v>
      </c>
      <c r="H1174" s="13" t="n"/>
      <c r="I1174" s="15" t="n"/>
      <c r="J1174" s="19" t="n">
        <v>2</v>
      </c>
      <c r="K1174" s="2" t="inlineStr">
        <is>
          <t>marker_104_838842.png</t>
        </is>
      </c>
      <c r="L1174" s="11">
        <f>HYPERLINK("2\1\" &amp; K1174, "Ver Imagen")</f>
        <v/>
      </c>
      <c r="M1174" t="inlineStr">
        <is>
          <t>Moda</t>
        </is>
      </c>
    </row>
    <row r="1175">
      <c r="A1175" t="n">
        <v>1174</v>
      </c>
      <c r="B1175" t="inlineStr">
        <is>
          <t>A-492__378</t>
        </is>
      </c>
      <c r="C1175" s="1" t="n">
        <v>37.3044802495</v>
      </c>
      <c r="D1175" s="1" t="n">
        <v>-7.05675259838</v>
      </c>
      <c r="E1175" s="3" t="n">
        <v>1</v>
      </c>
      <c r="F1175" s="2" t="n">
        <v>2</v>
      </c>
      <c r="G1175" s="4" t="n">
        <v>2</v>
      </c>
      <c r="H1175" s="13" t="n"/>
      <c r="I1175" s="15" t="n"/>
      <c r="J1175" s="19" t="n">
        <v>2</v>
      </c>
      <c r="K1175" s="2" t="inlineStr">
        <is>
          <t>marker_411_838852.png</t>
        </is>
      </c>
      <c r="L1175" s="11">
        <f>HYPERLINK("2\1\" &amp; K1175, "Ver Imagen")</f>
        <v/>
      </c>
      <c r="M1175" t="inlineStr">
        <is>
          <t>Moda</t>
        </is>
      </c>
    </row>
    <row r="1176">
      <c r="A1176" t="n">
        <v>1175</v>
      </c>
      <c r="B1176" t="inlineStr">
        <is>
          <t>A-492__379</t>
        </is>
      </c>
      <c r="C1176" s="1" t="n">
        <v>37.3046894315</v>
      </c>
      <c r="D1176" s="1" t="n">
        <v>-7.05674644382</v>
      </c>
      <c r="E1176" s="3" t="n">
        <v>1</v>
      </c>
      <c r="F1176" s="2" t="n">
        <v>2</v>
      </c>
      <c r="G1176" s="4" t="n">
        <v>2</v>
      </c>
      <c r="H1176" s="13" t="n"/>
      <c r="I1176" s="15" t="n"/>
      <c r="J1176" s="19" t="n">
        <v>2</v>
      </c>
      <c r="K1176" s="2" t="inlineStr">
        <is>
          <t>marker_933_838867.png</t>
        </is>
      </c>
      <c r="L1176" s="11">
        <f>HYPERLINK("2\1\" &amp; K1176, "Ver Imagen")</f>
        <v/>
      </c>
      <c r="M1176" t="inlineStr">
        <is>
          <t>Moda</t>
        </is>
      </c>
    </row>
    <row r="1177">
      <c r="A1177" t="n">
        <v>1176</v>
      </c>
      <c r="B1177" t="inlineStr">
        <is>
          <t>A-492__382</t>
        </is>
      </c>
      <c r="C1177" s="1" t="n">
        <v>37.3052876802</v>
      </c>
      <c r="D1177" s="1" t="n">
        <v>-7.05673428971</v>
      </c>
      <c r="E1177" s="3" t="n">
        <v>1</v>
      </c>
      <c r="F1177" s="2" t="n">
        <v>2</v>
      </c>
      <c r="G1177" s="4" t="n">
        <v>2</v>
      </c>
      <c r="H1177" s="13" t="n"/>
      <c r="I1177" s="15" t="n"/>
      <c r="J1177" s="19" t="n">
        <v>2</v>
      </c>
      <c r="K1177" s="2" t="inlineStr">
        <is>
          <t>marker_786_838913.png</t>
        </is>
      </c>
      <c r="L1177" s="11">
        <f>HYPERLINK("2\1\" &amp; K1177, "Ver Imagen")</f>
        <v/>
      </c>
      <c r="M1177" t="inlineStr">
        <is>
          <t>Moda</t>
        </is>
      </c>
    </row>
    <row r="1178">
      <c r="A1178" t="n">
        <v>1177</v>
      </c>
      <c r="B1178" t="inlineStr">
        <is>
          <t>A-492__399</t>
        </is>
      </c>
      <c r="C1178" s="1" t="n">
        <v>37.308706376</v>
      </c>
      <c r="D1178" s="1" t="n">
        <v>-7.05736696732</v>
      </c>
      <c r="E1178" s="3" t="n">
        <v>2</v>
      </c>
      <c r="F1178" s="2" t="n">
        <v>2</v>
      </c>
      <c r="G1178" s="4" t="n">
        <v>3</v>
      </c>
      <c r="H1178" s="13" t="n"/>
      <c r="I1178" s="15" t="n"/>
      <c r="J1178" s="19" t="n">
        <v>2</v>
      </c>
      <c r="K1178" s="2" t="inlineStr">
        <is>
          <t>marker_440_839145.png</t>
        </is>
      </c>
      <c r="L1178" s="11">
        <f>HYPERLINK("2\1\" &amp; K1178, "Ver Imagen")</f>
        <v/>
      </c>
      <c r="M1178" t="inlineStr">
        <is>
          <t>Moda</t>
        </is>
      </c>
    </row>
    <row r="1179">
      <c r="A1179" t="n">
        <v>1178</v>
      </c>
      <c r="B1179" t="inlineStr">
        <is>
          <t>A-492__402</t>
        </is>
      </c>
      <c r="C1179" s="1" t="n">
        <v>37.3092285669</v>
      </c>
      <c r="D1179" s="1" t="n">
        <v>-7.05765213129</v>
      </c>
      <c r="E1179" s="3" t="n">
        <v>2</v>
      </c>
      <c r="F1179" s="2" t="n">
        <v>2</v>
      </c>
      <c r="G1179" s="4" t="n">
        <v>3</v>
      </c>
      <c r="H1179" s="13" t="n"/>
      <c r="I1179" s="15" t="n"/>
      <c r="J1179" s="19" t="n">
        <v>2</v>
      </c>
      <c r="K1179" s="2" t="inlineStr">
        <is>
          <t>marker_700_839183.png</t>
        </is>
      </c>
      <c r="L1179" s="11">
        <f>HYPERLINK("2\1\" &amp; K1179, "Ver Imagen")</f>
        <v/>
      </c>
      <c r="M1179" t="inlineStr">
        <is>
          <t>Moda</t>
        </is>
      </c>
    </row>
    <row r="1180">
      <c r="A1180" t="n">
        <v>1179</v>
      </c>
      <c r="B1180" t="inlineStr">
        <is>
          <t>A-492__403</t>
        </is>
      </c>
      <c r="C1180" s="1" t="n">
        <v>37.3094231467</v>
      </c>
      <c r="D1180" s="1" t="n">
        <v>-7.05778310318</v>
      </c>
      <c r="E1180" s="3" t="n">
        <v>2</v>
      </c>
      <c r="F1180" s="2" t="n">
        <v>1</v>
      </c>
      <c r="G1180" s="4" t="n">
        <v>2</v>
      </c>
      <c r="H1180" s="13" t="n"/>
      <c r="I1180" s="15" t="n"/>
      <c r="J1180" s="19" t="n">
        <v>2</v>
      </c>
      <c r="K1180" s="2" t="inlineStr">
        <is>
          <t>marker_386_839195.png</t>
        </is>
      </c>
      <c r="L1180" s="11">
        <f>HYPERLINK("2\1\" &amp; K1180, "Ver Imagen")</f>
        <v/>
      </c>
      <c r="M1180" t="inlineStr">
        <is>
          <t>Moda</t>
        </is>
      </c>
    </row>
    <row r="1181">
      <c r="A1181" t="n">
        <v>1180</v>
      </c>
      <c r="B1181" t="inlineStr">
        <is>
          <t>A-492__404</t>
        </is>
      </c>
      <c r="C1181" s="1" t="n">
        <v>37.3095860978</v>
      </c>
      <c r="D1181" s="1" t="n">
        <v>-7.05790429325</v>
      </c>
      <c r="E1181" s="3" t="n">
        <v>2</v>
      </c>
      <c r="F1181" s="2" t="n">
        <v>1</v>
      </c>
      <c r="G1181" s="4" t="n">
        <v>2</v>
      </c>
      <c r="H1181" s="13" t="n"/>
      <c r="I1181" s="15" t="n"/>
      <c r="J1181" s="19" t="n">
        <v>2</v>
      </c>
      <c r="K1181" s="2" t="inlineStr">
        <is>
          <t>marker_481_839206.png</t>
        </is>
      </c>
      <c r="L1181" s="11">
        <f>HYPERLINK("2\1\" &amp; K1181, "Ver Imagen")</f>
        <v/>
      </c>
      <c r="M1181" t="inlineStr">
        <is>
          <t>Moda</t>
        </is>
      </c>
    </row>
    <row r="1182">
      <c r="A1182" t="n">
        <v>1181</v>
      </c>
      <c r="B1182" t="inlineStr">
        <is>
          <t>A-492__408</t>
        </is>
      </c>
      <c r="C1182" s="1" t="n">
        <v>37.31028491</v>
      </c>
      <c r="D1182" s="1" t="n">
        <v>-7.05847478799</v>
      </c>
      <c r="E1182" s="3" t="n">
        <v>1</v>
      </c>
      <c r="F1182" s="2" t="n">
        <v>2</v>
      </c>
      <c r="G1182" s="4" t="n">
        <v>2</v>
      </c>
      <c r="H1182" s="13" t="n"/>
      <c r="I1182" s="15" t="n"/>
      <c r="J1182" s="19" t="n">
        <v>2</v>
      </c>
      <c r="K1182" s="2" t="inlineStr">
        <is>
          <t>marker_169_839268.png</t>
        </is>
      </c>
      <c r="L1182" s="11">
        <f>HYPERLINK("2\1\" &amp; K1182, "Ver Imagen")</f>
        <v/>
      </c>
      <c r="M1182" t="inlineStr">
        <is>
          <t>Moda</t>
        </is>
      </c>
    </row>
    <row r="1183">
      <c r="A1183" t="n">
        <v>1182</v>
      </c>
      <c r="B1183" t="inlineStr">
        <is>
          <t>A-492__410</t>
        </is>
      </c>
      <c r="C1183" s="1" t="n">
        <v>37.3106318271</v>
      </c>
      <c r="D1183" s="1" t="n">
        <v>-7.05877231223</v>
      </c>
      <c r="E1183" s="3" t="n">
        <v>1</v>
      </c>
      <c r="F1183" s="2" t="n">
        <v>2</v>
      </c>
      <c r="G1183" s="4" t="n">
        <v>2</v>
      </c>
      <c r="H1183" s="13" t="n"/>
      <c r="I1183" s="15" t="n"/>
      <c r="J1183" s="19" t="n">
        <v>2</v>
      </c>
      <c r="K1183" s="2" t="inlineStr">
        <is>
          <t>marker_251_839290.png</t>
        </is>
      </c>
      <c r="L1183" s="11">
        <f>HYPERLINK("2\1\" &amp; K1183, "Ver Imagen")</f>
        <v/>
      </c>
      <c r="M1183" t="inlineStr">
        <is>
          <t>Moda</t>
        </is>
      </c>
    </row>
    <row r="1184">
      <c r="A1184" t="n">
        <v>1183</v>
      </c>
      <c r="B1184" t="inlineStr">
        <is>
          <t>A-492__411</t>
        </is>
      </c>
      <c r="C1184" s="1" t="n">
        <v>37.3107656314</v>
      </c>
      <c r="D1184" s="1" t="n">
        <v>-7.05888565113</v>
      </c>
      <c r="E1184" s="3" t="n">
        <v>1</v>
      </c>
      <c r="F1184" s="2" t="n">
        <v>2</v>
      </c>
      <c r="G1184" s="4" t="n">
        <v>2</v>
      </c>
      <c r="H1184" s="13" t="n"/>
      <c r="I1184" s="15" t="n"/>
      <c r="J1184" s="19" t="n">
        <v>2</v>
      </c>
      <c r="K1184" s="2" t="inlineStr">
        <is>
          <t>marker_961_839300.png</t>
        </is>
      </c>
      <c r="L1184" s="11">
        <f>HYPERLINK("2\1\" &amp; K1184, "Ver Imagen")</f>
        <v/>
      </c>
      <c r="M1184" t="inlineStr">
        <is>
          <t>Moda</t>
        </is>
      </c>
    </row>
    <row r="1185">
      <c r="A1185" t="n">
        <v>1184</v>
      </c>
      <c r="B1185" t="inlineStr">
        <is>
          <t>A-492__417</t>
        </is>
      </c>
      <c r="C1185" s="1" t="n">
        <v>37.311748243</v>
      </c>
      <c r="D1185" s="1" t="n">
        <v>-7.05984268467</v>
      </c>
      <c r="E1185" s="3" t="n">
        <v>2</v>
      </c>
      <c r="F1185" s="2" t="n">
        <v>1</v>
      </c>
      <c r="G1185" s="4" t="n">
        <v>2</v>
      </c>
      <c r="H1185" s="13" t="n"/>
      <c r="I1185" s="15" t="n"/>
      <c r="J1185" s="19" t="n">
        <v>2</v>
      </c>
      <c r="K1185" s="2" t="inlineStr">
        <is>
          <t>marker_905_839364.png</t>
        </is>
      </c>
      <c r="L1185" s="11">
        <f>HYPERLINK("2\1\" &amp; K1185, "Ver Imagen")</f>
        <v/>
      </c>
      <c r="M1185" t="inlineStr">
        <is>
          <t>Moda</t>
        </is>
      </c>
    </row>
    <row r="1186">
      <c r="A1186" t="n">
        <v>1185</v>
      </c>
      <c r="B1186" t="inlineStr">
        <is>
          <t>A-492__419</t>
        </is>
      </c>
      <c r="C1186" s="1" t="n">
        <v>37.3120185895</v>
      </c>
      <c r="D1186" s="1" t="n">
        <v>-7.06021489032</v>
      </c>
      <c r="E1186" s="3" t="n">
        <v>2</v>
      </c>
      <c r="F1186" s="2" t="n">
        <v>1</v>
      </c>
      <c r="G1186" s="4" t="n">
        <v>2</v>
      </c>
      <c r="H1186" s="13" t="n"/>
      <c r="I1186" s="15" t="n"/>
      <c r="J1186" s="19" t="n">
        <v>2</v>
      </c>
      <c r="K1186" s="2" t="inlineStr">
        <is>
          <t>marker_390_839388.png</t>
        </is>
      </c>
      <c r="L1186" s="11">
        <f>HYPERLINK("2\1\" &amp; K1186, "Ver Imagen")</f>
        <v/>
      </c>
      <c r="M1186" t="inlineStr">
        <is>
          <t>Moda</t>
        </is>
      </c>
    </row>
    <row r="1187">
      <c r="A1187" t="n">
        <v>1186</v>
      </c>
      <c r="B1187" t="inlineStr">
        <is>
          <t>A-492__420</t>
        </is>
      </c>
      <c r="C1187" s="1" t="n">
        <v>37.312138451</v>
      </c>
      <c r="D1187" s="1" t="n">
        <v>-7.06039476529</v>
      </c>
      <c r="E1187" s="3" t="n">
        <v>2</v>
      </c>
      <c r="F1187" s="2" t="n">
        <v>1</v>
      </c>
      <c r="G1187" s="4" t="n">
        <v>2</v>
      </c>
      <c r="H1187" s="13" t="n"/>
      <c r="I1187" s="15" t="n"/>
      <c r="J1187" s="19" t="n">
        <v>2</v>
      </c>
      <c r="K1187" s="2" t="inlineStr">
        <is>
          <t>marker_961_839398.png</t>
        </is>
      </c>
      <c r="L1187" s="11">
        <f>HYPERLINK("2\1\" &amp; K1187, "Ver Imagen")</f>
        <v/>
      </c>
      <c r="M1187" t="inlineStr">
        <is>
          <t>Moda</t>
        </is>
      </c>
    </row>
    <row r="1188">
      <c r="A1188" t="n">
        <v>1187</v>
      </c>
      <c r="B1188" t="inlineStr">
        <is>
          <t>A-492__424</t>
        </is>
      </c>
      <c r="C1188" s="1" t="n">
        <v>37.3126503361</v>
      </c>
      <c r="D1188" s="1" t="n">
        <v>-7.06118993483</v>
      </c>
      <c r="E1188" s="3" t="n">
        <v>1</v>
      </c>
      <c r="F1188" s="2" t="n">
        <v>2</v>
      </c>
      <c r="G1188" s="4" t="n">
        <v>2</v>
      </c>
      <c r="H1188" s="13" t="n"/>
      <c r="I1188" s="15" t="n"/>
      <c r="J1188" s="19" t="n">
        <v>2</v>
      </c>
      <c r="K1188" s="2" t="inlineStr">
        <is>
          <t>marker_592_839464.png</t>
        </is>
      </c>
      <c r="L1188" s="11">
        <f>HYPERLINK("2\1\" &amp; K1188, "Ver Imagen")</f>
        <v/>
      </c>
      <c r="M1188" t="inlineStr">
        <is>
          <t>Moda</t>
        </is>
      </c>
    </row>
    <row r="1189">
      <c r="A1189" t="n">
        <v>1188</v>
      </c>
      <c r="B1189" t="inlineStr">
        <is>
          <t>A-492__425</t>
        </is>
      </c>
      <c r="C1189" s="1" t="n">
        <v>37.3127743821</v>
      </c>
      <c r="D1189" s="1" t="n">
        <v>-7.06138534514</v>
      </c>
      <c r="E1189" s="3" t="n">
        <v>1</v>
      </c>
      <c r="F1189" s="2" t="n">
        <v>2</v>
      </c>
      <c r="G1189" s="4" t="n">
        <v>2</v>
      </c>
      <c r="H1189" s="13" t="n"/>
      <c r="I1189" s="15" t="n"/>
      <c r="J1189" s="19" t="n">
        <v>2</v>
      </c>
      <c r="K1189" s="2" t="inlineStr">
        <is>
          <t>marker_109_839476.png</t>
        </is>
      </c>
      <c r="L1189" s="11">
        <f>HYPERLINK("2\1\" &amp; K1189, "Ver Imagen")</f>
        <v/>
      </c>
      <c r="M1189" t="inlineStr">
        <is>
          <t>Moda</t>
        </is>
      </c>
    </row>
    <row r="1190">
      <c r="A1190" t="n">
        <v>1189</v>
      </c>
      <c r="B1190" t="inlineStr">
        <is>
          <t>A-492__427</t>
        </is>
      </c>
      <c r="C1190" s="1" t="n">
        <v>37.3130180379</v>
      </c>
      <c r="D1190" s="1" t="n">
        <v>-7.06178349547</v>
      </c>
      <c r="E1190" s="3" t="n">
        <v>1</v>
      </c>
      <c r="F1190" s="2" t="n">
        <v>2</v>
      </c>
      <c r="G1190" s="4" t="n">
        <v>2</v>
      </c>
      <c r="H1190" s="13" t="n"/>
      <c r="I1190" s="15" t="n"/>
      <c r="J1190" s="19" t="n">
        <v>2</v>
      </c>
      <c r="K1190" s="2" t="inlineStr">
        <is>
          <t>marker_210_839495.png</t>
        </is>
      </c>
      <c r="L1190" s="11">
        <f>HYPERLINK("2\1\" &amp; K1190, "Ver Imagen")</f>
        <v/>
      </c>
      <c r="M1190" t="inlineStr">
        <is>
          <t>Moda</t>
        </is>
      </c>
    </row>
    <row r="1191">
      <c r="A1191" t="n">
        <v>1190</v>
      </c>
      <c r="B1191" t="inlineStr">
        <is>
          <t>A-492__428</t>
        </is>
      </c>
      <c r="C1191" s="1" t="n">
        <v>37.3131534243</v>
      </c>
      <c r="D1191" s="1" t="n">
        <v>-7.06201884503</v>
      </c>
      <c r="E1191" s="3" t="n">
        <v>1</v>
      </c>
      <c r="F1191" s="2" t="n">
        <v>2</v>
      </c>
      <c r="G1191" s="4" t="n">
        <v>2</v>
      </c>
      <c r="H1191" s="13" t="n"/>
      <c r="I1191" s="15" t="n"/>
      <c r="J1191" s="19" t="n">
        <v>2</v>
      </c>
      <c r="K1191" s="2" t="inlineStr">
        <is>
          <t>marker_874_839504.png</t>
        </is>
      </c>
      <c r="L1191" s="11">
        <f>HYPERLINK("2\1\" &amp; K1191, "Ver Imagen")</f>
        <v/>
      </c>
      <c r="M1191" t="inlineStr">
        <is>
          <t>Moda</t>
        </is>
      </c>
    </row>
    <row r="1192">
      <c r="A1192" t="n">
        <v>1191</v>
      </c>
      <c r="B1192" t="inlineStr">
        <is>
          <t>A-492__429</t>
        </is>
      </c>
      <c r="C1192" s="1" t="n">
        <v>37.3132664472</v>
      </c>
      <c r="D1192" s="1" t="n">
        <v>-7.06222242609</v>
      </c>
      <c r="E1192" s="3" t="n">
        <v>2</v>
      </c>
      <c r="F1192" s="2" t="n">
        <v>2</v>
      </c>
      <c r="G1192" s="4" t="n">
        <v>3</v>
      </c>
      <c r="H1192" s="13" t="n"/>
      <c r="I1192" s="15" t="n"/>
      <c r="J1192" s="19" t="n">
        <v>2</v>
      </c>
      <c r="K1192" s="2" t="inlineStr">
        <is>
          <t>marker_327_839513.png</t>
        </is>
      </c>
      <c r="L1192" s="11">
        <f>HYPERLINK("2\1\" &amp; K1192, "Ver Imagen")</f>
        <v/>
      </c>
      <c r="M1192" t="inlineStr">
        <is>
          <t>Moda</t>
        </is>
      </c>
    </row>
    <row r="1193">
      <c r="A1193" t="n">
        <v>1192</v>
      </c>
      <c r="B1193" t="inlineStr">
        <is>
          <t>A-492__430</t>
        </is>
      </c>
      <c r="C1193" s="1" t="n">
        <v>37.3133829838</v>
      </c>
      <c r="D1193" s="1" t="n">
        <v>-7.06243680489</v>
      </c>
      <c r="E1193" s="3" t="n">
        <v>2</v>
      </c>
      <c r="F1193" s="2" t="n">
        <v>1</v>
      </c>
      <c r="G1193" s="4" t="n">
        <v>2</v>
      </c>
      <c r="H1193" s="13" t="n"/>
      <c r="I1193" s="15" t="n"/>
      <c r="J1193" s="19" t="n">
        <v>2</v>
      </c>
      <c r="K1193" s="2" t="inlineStr">
        <is>
          <t>marker_887_839523.png</t>
        </is>
      </c>
      <c r="L1193" s="11">
        <f>HYPERLINK("2\1\" &amp; K1193, "Ver Imagen")</f>
        <v/>
      </c>
      <c r="M1193" t="inlineStr">
        <is>
          <t>Moda</t>
        </is>
      </c>
    </row>
    <row r="1194">
      <c r="A1194" t="n">
        <v>1193</v>
      </c>
      <c r="B1194" t="inlineStr">
        <is>
          <t>A-492__436</t>
        </is>
      </c>
      <c r="C1194" s="1" t="n">
        <v>37.3140301329</v>
      </c>
      <c r="D1194" s="1" t="n">
        <v>-7.06365097034</v>
      </c>
      <c r="E1194" s="3" t="n">
        <v>2</v>
      </c>
      <c r="F1194" s="2" t="n">
        <v>1</v>
      </c>
      <c r="G1194" s="4" t="n">
        <v>2</v>
      </c>
      <c r="H1194" s="13" t="n"/>
      <c r="I1194" s="15" t="n"/>
      <c r="J1194" s="19" t="n">
        <v>2</v>
      </c>
      <c r="K1194" s="2" t="inlineStr">
        <is>
          <t>marker_704_839603.png</t>
        </is>
      </c>
      <c r="L1194" s="11">
        <f>HYPERLINK("2\1\" &amp; K1194, "Ver Imagen")</f>
        <v/>
      </c>
      <c r="M1194" t="inlineStr">
        <is>
          <t>Moda</t>
        </is>
      </c>
    </row>
    <row r="1195">
      <c r="A1195" t="n">
        <v>1194</v>
      </c>
      <c r="B1195" t="inlineStr">
        <is>
          <t>A-492__440</t>
        </is>
      </c>
      <c r="C1195" s="1" t="n">
        <v>37.3144998353</v>
      </c>
      <c r="D1195" s="1" t="n">
        <v>-7.06452686514</v>
      </c>
      <c r="E1195" s="3" t="n">
        <v>1</v>
      </c>
      <c r="F1195" s="2" t="n">
        <v>2</v>
      </c>
      <c r="G1195" s="4" t="n">
        <v>2</v>
      </c>
      <c r="H1195" s="13" t="n"/>
      <c r="I1195" s="15" t="n"/>
      <c r="J1195" s="19" t="n">
        <v>2</v>
      </c>
      <c r="K1195" s="2" t="inlineStr">
        <is>
          <t>marker_789_839701.png</t>
        </is>
      </c>
      <c r="L1195" s="11">
        <f>HYPERLINK("2\1\" &amp; K1195, "Ver Imagen")</f>
        <v/>
      </c>
      <c r="M1195" t="inlineStr">
        <is>
          <t>Moda</t>
        </is>
      </c>
    </row>
    <row r="1196">
      <c r="A1196" t="n">
        <v>1195</v>
      </c>
      <c r="B1196" t="inlineStr">
        <is>
          <t>A-492__442</t>
        </is>
      </c>
      <c r="C1196" s="1" t="n">
        <v>37.3147206284</v>
      </c>
      <c r="D1196" s="1" t="n">
        <v>-7.06493637801</v>
      </c>
      <c r="E1196" s="3" t="n">
        <v>1</v>
      </c>
      <c r="F1196" s="2" t="n">
        <v>2</v>
      </c>
      <c r="G1196" s="4" t="n">
        <v>2</v>
      </c>
      <c r="H1196" s="13" t="n"/>
      <c r="I1196" s="15" t="n"/>
      <c r="J1196" s="19" t="n">
        <v>2</v>
      </c>
      <c r="K1196" s="2" t="inlineStr">
        <is>
          <t>marker_237_839722.png</t>
        </is>
      </c>
      <c r="L1196" s="11">
        <f>HYPERLINK("2\1\" &amp; K1196, "Ver Imagen")</f>
        <v/>
      </c>
      <c r="M1196" t="inlineStr">
        <is>
          <t>Moda</t>
        </is>
      </c>
    </row>
    <row r="1197">
      <c r="A1197" t="n">
        <v>1196</v>
      </c>
      <c r="B1197" t="inlineStr">
        <is>
          <t>A-492__443</t>
        </is>
      </c>
      <c r="C1197" s="1" t="n">
        <v>37.314831772</v>
      </c>
      <c r="D1197" s="1" t="n">
        <v>-7.06514974183</v>
      </c>
      <c r="E1197" s="3" t="n">
        <v>1</v>
      </c>
      <c r="F1197" s="2" t="n">
        <v>2</v>
      </c>
      <c r="G1197" s="4" t="n">
        <v>2</v>
      </c>
      <c r="H1197" s="13" t="n"/>
      <c r="I1197" s="15" t="n"/>
      <c r="J1197" s="19" t="n">
        <v>2</v>
      </c>
      <c r="K1197" s="2" t="inlineStr">
        <is>
          <t>marker_382_839732.png</t>
        </is>
      </c>
      <c r="L1197" s="11">
        <f>HYPERLINK("2\1\" &amp; K1197, "Ver Imagen")</f>
        <v/>
      </c>
      <c r="M1197" t="inlineStr">
        <is>
          <t>Moda</t>
        </is>
      </c>
    </row>
    <row r="1198">
      <c r="A1198" t="n">
        <v>1197</v>
      </c>
      <c r="B1198" t="inlineStr">
        <is>
          <t>A-492__445</t>
        </is>
      </c>
      <c r="C1198" s="1" t="n">
        <v>37.3150304595</v>
      </c>
      <c r="D1198" s="1" t="n">
        <v>-7.06557736158</v>
      </c>
      <c r="E1198" s="3" t="n">
        <v>1</v>
      </c>
      <c r="F1198" s="2" t="n">
        <v>2</v>
      </c>
      <c r="G1198" s="4" t="n">
        <v>2</v>
      </c>
      <c r="H1198" s="13" t="n"/>
      <c r="I1198" s="15" t="n"/>
      <c r="J1198" s="19" t="n">
        <v>2</v>
      </c>
      <c r="K1198" s="2" t="inlineStr">
        <is>
          <t>marker_815_839759.png</t>
        </is>
      </c>
      <c r="L1198" s="11">
        <f>HYPERLINK("2\1\" &amp; K1198, "Ver Imagen")</f>
        <v/>
      </c>
      <c r="M1198" t="inlineStr">
        <is>
          <t>Moda</t>
        </is>
      </c>
    </row>
    <row r="1199">
      <c r="A1199" t="n">
        <v>1198</v>
      </c>
      <c r="B1199" t="inlineStr">
        <is>
          <t>A-492__471</t>
        </is>
      </c>
      <c r="C1199" s="1" t="n">
        <v>37.3176056544</v>
      </c>
      <c r="D1199" s="1" t="n">
        <v>-7.07110447043</v>
      </c>
      <c r="E1199" s="3" t="n">
        <v>2</v>
      </c>
      <c r="F1199" s="2" t="n">
        <v>2</v>
      </c>
      <c r="G1199" s="4" t="n">
        <v>3</v>
      </c>
      <c r="H1199" s="13" t="n"/>
      <c r="I1199" s="15" t="n"/>
      <c r="J1199" s="19" t="n">
        <v>2</v>
      </c>
      <c r="K1199" s="2" t="inlineStr">
        <is>
          <t>marker_289_840054.png</t>
        </is>
      </c>
      <c r="L1199" s="11">
        <f>HYPERLINK("2\1\" &amp; K1199, "Ver Imagen")</f>
        <v/>
      </c>
      <c r="M1199" t="inlineStr">
        <is>
          <t>Moda</t>
        </is>
      </c>
    </row>
    <row r="1200">
      <c r="A1200" t="n">
        <v>1199</v>
      </c>
      <c r="B1200" t="inlineStr">
        <is>
          <t>A-492__472</t>
        </is>
      </c>
      <c r="C1200" s="1" t="n">
        <v>37.3177794132</v>
      </c>
      <c r="D1200" s="1" t="n">
        <v>-7.07117567021</v>
      </c>
      <c r="E1200" s="3" t="n">
        <v>2</v>
      </c>
      <c r="F1200" s="2" t="n">
        <v>2</v>
      </c>
      <c r="G1200" s="4" t="n">
        <v>3</v>
      </c>
      <c r="H1200" s="13" t="n"/>
      <c r="I1200" s="15" t="n"/>
      <c r="J1200" s="19" t="n">
        <v>2</v>
      </c>
      <c r="K1200" s="2" t="inlineStr">
        <is>
          <t>marker_748_840068.png</t>
        </is>
      </c>
      <c r="L1200" s="11">
        <f>HYPERLINK("2\1\" &amp; K1200, "Ver Imagen")</f>
        <v/>
      </c>
      <c r="M1200" t="inlineStr">
        <is>
          <t>Moda</t>
        </is>
      </c>
    </row>
    <row r="1201">
      <c r="A1201" t="n">
        <v>1200</v>
      </c>
      <c r="B1201" t="inlineStr">
        <is>
          <t>A-495R__105</t>
        </is>
      </c>
      <c r="C1201" s="1" t="n">
        <v>37.4641037946</v>
      </c>
      <c r="D1201" s="1" t="n">
        <v>-7.11878678961</v>
      </c>
      <c r="E1201" s="3" t="n">
        <v>1</v>
      </c>
      <c r="F1201" s="2" t="n">
        <v>2</v>
      </c>
      <c r="G1201" s="4" t="n">
        <v>2</v>
      </c>
      <c r="H1201" s="13" t="n"/>
      <c r="I1201" s="15" t="n"/>
      <c r="J1201" s="19" t="n">
        <v>2</v>
      </c>
      <c r="K1201" s="2" t="inlineStr">
        <is>
          <t>marker_858_895807.png</t>
        </is>
      </c>
      <c r="L1201" s="11">
        <f>HYPERLINK("2\1\" &amp; K1201, "Ver Imagen")</f>
        <v/>
      </c>
      <c r="M1201" t="inlineStr">
        <is>
          <t>Moda</t>
        </is>
      </c>
    </row>
    <row r="1202">
      <c r="A1202" t="n">
        <v>1201</v>
      </c>
      <c r="B1202" t="inlineStr">
        <is>
          <t>A-495R__18</t>
        </is>
      </c>
      <c r="C1202" s="1" t="n">
        <v>37.4483401237</v>
      </c>
      <c r="D1202" s="1" t="n">
        <v>-7.10951200292</v>
      </c>
      <c r="E1202" s="3" t="n">
        <v>2</v>
      </c>
      <c r="F1202" s="2" t="n">
        <v>3</v>
      </c>
      <c r="G1202" s="4" t="n">
        <v>2</v>
      </c>
      <c r="H1202" s="13" t="n"/>
      <c r="I1202" s="15" t="n"/>
      <c r="J1202" s="19" t="n">
        <v>2</v>
      </c>
      <c r="K1202" s="2" t="inlineStr">
        <is>
          <t>marker_392_936751.png</t>
        </is>
      </c>
      <c r="L1202" s="11">
        <f>HYPERLINK("2\1\" &amp; K1202, "Ver Imagen")</f>
        <v/>
      </c>
      <c r="M1202" t="inlineStr">
        <is>
          <t>Moda</t>
        </is>
      </c>
    </row>
    <row r="1203">
      <c r="A1203" t="n">
        <v>1202</v>
      </c>
      <c r="B1203" t="inlineStr">
        <is>
          <t>A-497__71</t>
        </is>
      </c>
      <c r="C1203" s="1" t="n">
        <v>37.2684768109</v>
      </c>
      <c r="D1203" s="1" t="n">
        <v>-6.97357433241</v>
      </c>
      <c r="E1203" s="3" t="n">
        <v>2</v>
      </c>
      <c r="F1203" s="2" t="n">
        <v>3</v>
      </c>
      <c r="G1203" s="4" t="n">
        <v>2</v>
      </c>
      <c r="H1203" s="13" t="n"/>
      <c r="I1203" s="15" t="n"/>
      <c r="J1203" s="19" t="n">
        <v>2</v>
      </c>
      <c r="K1203" s="2" t="inlineStr">
        <is>
          <t>marker_661_938033.png</t>
        </is>
      </c>
      <c r="L1203" s="11">
        <f>HYPERLINK("2\1\" &amp; K1203, "Ver Imagen")</f>
        <v/>
      </c>
      <c r="M1203" t="inlineStr">
        <is>
          <t>Moda</t>
        </is>
      </c>
    </row>
    <row r="1204">
      <c r="A1204" t="n">
        <v>1203</v>
      </c>
      <c r="B1204" t="inlineStr">
        <is>
          <t>A-497__22</t>
        </is>
      </c>
      <c r="C1204" s="1" t="n">
        <v>37.2674551124</v>
      </c>
      <c r="D1204" s="1" t="n">
        <v>-6.96124115537</v>
      </c>
      <c r="E1204" s="3" t="n">
        <v>2</v>
      </c>
      <c r="F1204" s="2" t="n">
        <v>2</v>
      </c>
      <c r="G1204" s="4" t="n">
        <v>1</v>
      </c>
      <c r="H1204" s="13" t="n"/>
      <c r="I1204" s="15" t="n"/>
      <c r="J1204" s="19" t="n">
        <v>2</v>
      </c>
      <c r="K1204" s="2" t="inlineStr">
        <is>
          <t>marker_611_943752.png</t>
        </is>
      </c>
      <c r="L1204" s="11">
        <f>HYPERLINK("2\1\" &amp; K1204, "Ver Imagen")</f>
        <v/>
      </c>
      <c r="M1204" t="inlineStr">
        <is>
          <t>Moda</t>
        </is>
      </c>
    </row>
    <row r="1205">
      <c r="A1205" t="n">
        <v>1204</v>
      </c>
      <c r="B1205" t="inlineStr">
        <is>
          <t>A-497__15</t>
        </is>
      </c>
      <c r="C1205" s="1" t="n">
        <v>37.2671955724</v>
      </c>
      <c r="D1205" s="1" t="n">
        <v>-6.95952422111</v>
      </c>
      <c r="E1205" s="3" t="n">
        <v>2</v>
      </c>
      <c r="F1205" s="2" t="n">
        <v>2</v>
      </c>
      <c r="G1205" s="4" t="n">
        <v>1</v>
      </c>
      <c r="H1205" s="13" t="n"/>
      <c r="I1205" s="15" t="n"/>
      <c r="J1205" s="19" t="n">
        <v>2</v>
      </c>
      <c r="K1205" s="2" t="inlineStr">
        <is>
          <t>marker_990_943834.png</t>
        </is>
      </c>
      <c r="L1205" s="11">
        <f>HYPERLINK("2\1\" &amp; K1205, "Ver Imagen")</f>
        <v/>
      </c>
      <c r="M1205" t="inlineStr">
        <is>
          <t>Moda</t>
        </is>
      </c>
    </row>
    <row r="1206">
      <c r="A1206" t="n">
        <v>1205</v>
      </c>
      <c r="B1206" t="inlineStr">
        <is>
          <t>A-497__14</t>
        </is>
      </c>
      <c r="C1206" s="1" t="n">
        <v>37.267150917</v>
      </c>
      <c r="D1206" s="1" t="n">
        <v>-6.959281333</v>
      </c>
      <c r="E1206" s="3" t="n">
        <v>2</v>
      </c>
      <c r="F1206" s="2" t="n">
        <v>2</v>
      </c>
      <c r="G1206" s="4" t="n">
        <v>1</v>
      </c>
      <c r="H1206" s="13" t="n"/>
      <c r="I1206" s="15" t="n"/>
      <c r="J1206" s="19" t="n">
        <v>2</v>
      </c>
      <c r="K1206" s="2" t="inlineStr">
        <is>
          <t>marker_111_943903.png</t>
        </is>
      </c>
      <c r="L1206" s="11">
        <f>HYPERLINK("2\1\" &amp; K1206, "Ver Imagen")</f>
        <v/>
      </c>
      <c r="M1206" t="inlineStr">
        <is>
          <t>Moda</t>
        </is>
      </c>
    </row>
    <row r="1207">
      <c r="A1207" t="n">
        <v>1206</v>
      </c>
      <c r="B1207" t="inlineStr">
        <is>
          <t>A-497__13</t>
        </is>
      </c>
      <c r="C1207" s="1" t="n">
        <v>37.267101991</v>
      </c>
      <c r="D1207" s="1" t="n">
        <v>-6.9590260472</v>
      </c>
      <c r="E1207" s="3" t="n">
        <v>1</v>
      </c>
      <c r="F1207" s="2" t="n">
        <v>2</v>
      </c>
      <c r="G1207" s="4" t="n">
        <v>2</v>
      </c>
      <c r="H1207" s="13" t="n"/>
      <c r="I1207" s="15" t="n"/>
      <c r="J1207" s="19" t="n">
        <v>2</v>
      </c>
      <c r="K1207" s="2" t="inlineStr">
        <is>
          <t>marker_480_943913.png</t>
        </is>
      </c>
      <c r="L1207" s="11">
        <f>HYPERLINK("2\1\" &amp; K1207, "Ver Imagen")</f>
        <v/>
      </c>
      <c r="M1207" t="inlineStr">
        <is>
          <t>Moda</t>
        </is>
      </c>
    </row>
    <row r="1208">
      <c r="A1208" t="n">
        <v>1207</v>
      </c>
      <c r="B1208" t="inlineStr">
        <is>
          <t>A-497__12</t>
        </is>
      </c>
      <c r="C1208" s="1" t="n">
        <v>37.2670499425</v>
      </c>
      <c r="D1208" s="1" t="n">
        <v>-6.95877885691</v>
      </c>
      <c r="E1208" s="3" t="n">
        <v>1</v>
      </c>
      <c r="F1208" s="2" t="n">
        <v>2</v>
      </c>
      <c r="G1208" s="4" t="n">
        <v>2</v>
      </c>
      <c r="H1208" s="13" t="n"/>
      <c r="I1208" s="15" t="n"/>
      <c r="J1208" s="19" t="n">
        <v>2</v>
      </c>
      <c r="K1208" s="2" t="inlineStr">
        <is>
          <t>marker_743_943953.png</t>
        </is>
      </c>
      <c r="L1208" s="11">
        <f>HYPERLINK("2\1\" &amp; K1208, "Ver Imagen")</f>
        <v/>
      </c>
      <c r="M1208" t="inlineStr">
        <is>
          <t>Moda</t>
        </is>
      </c>
    </row>
    <row r="1209">
      <c r="A1209" t="n">
        <v>1208</v>
      </c>
      <c r="B1209" t="inlineStr">
        <is>
          <t>A-5050__180</t>
        </is>
      </c>
      <c r="C1209" s="1" t="n">
        <v>37.1900729028</v>
      </c>
      <c r="D1209" s="1" t="n">
        <v>-6.98899874599</v>
      </c>
      <c r="E1209" s="3" t="n">
        <v>2</v>
      </c>
      <c r="F1209" s="2" t="n">
        <v>3</v>
      </c>
      <c r="G1209" s="4" t="n">
        <v>2</v>
      </c>
      <c r="H1209" s="13" t="n"/>
      <c r="I1209" s="15" t="n"/>
      <c r="J1209" s="19" t="n">
        <v>2</v>
      </c>
      <c r="K1209" s="2" t="inlineStr">
        <is>
          <t>marker_801_944173.png</t>
        </is>
      </c>
      <c r="L1209" s="11">
        <f>HYPERLINK("2\1\" &amp; K1209, "Ver Imagen")</f>
        <v/>
      </c>
      <c r="M1209" t="inlineStr">
        <is>
          <t>Moda</t>
        </is>
      </c>
    </row>
    <row r="1210">
      <c r="A1210" t="n">
        <v>1209</v>
      </c>
      <c r="B1210" t="inlineStr">
        <is>
          <t>A-5050__174</t>
        </is>
      </c>
      <c r="C1210" s="1" t="n">
        <v>37.1906866509</v>
      </c>
      <c r="D1210" s="1" t="n">
        <v>-6.99032814854</v>
      </c>
      <c r="E1210" s="3" t="n">
        <v>2</v>
      </c>
      <c r="F1210" s="2" t="n">
        <v>3</v>
      </c>
      <c r="G1210" s="4" t="n">
        <v>2</v>
      </c>
      <c r="H1210" s="13" t="n"/>
      <c r="I1210" s="15" t="n"/>
      <c r="J1210" s="19" t="n">
        <v>2</v>
      </c>
      <c r="K1210" s="2" t="inlineStr">
        <is>
          <t>marker_676_944243.png</t>
        </is>
      </c>
      <c r="L1210" s="11">
        <f>HYPERLINK("2\1\" &amp; K1210, "Ver Imagen")</f>
        <v/>
      </c>
      <c r="M1210" t="inlineStr">
        <is>
          <t>Moda</t>
        </is>
      </c>
    </row>
    <row r="1211">
      <c r="A1211" t="n">
        <v>1210</v>
      </c>
      <c r="B1211" t="inlineStr">
        <is>
          <t>A-5050__144</t>
        </is>
      </c>
      <c r="C1211" s="1" t="n">
        <v>37.1936729104</v>
      </c>
      <c r="D1211" s="1" t="n">
        <v>-6.99691784643</v>
      </c>
      <c r="E1211" s="3" t="n">
        <v>2</v>
      </c>
      <c r="F1211" s="2" t="n">
        <v>2</v>
      </c>
      <c r="G1211" s="4" t="n">
        <v>3</v>
      </c>
      <c r="H1211" s="13" t="n"/>
      <c r="I1211" s="15" t="n"/>
      <c r="J1211" s="19" t="n">
        <v>2</v>
      </c>
      <c r="K1211" s="2" t="inlineStr">
        <is>
          <t>marker_994_945800.png</t>
        </is>
      </c>
      <c r="L1211" s="11">
        <f>HYPERLINK("2\1\" &amp; K1211, "Ver Imagen")</f>
        <v/>
      </c>
      <c r="M1211" t="inlineStr">
        <is>
          <t>Moda</t>
        </is>
      </c>
    </row>
    <row r="1212">
      <c r="A1212" t="n">
        <v>1211</v>
      </c>
      <c r="B1212" t="inlineStr">
        <is>
          <t>A-5050__133</t>
        </is>
      </c>
      <c r="C1212" s="1" t="n">
        <v>37.1946972067</v>
      </c>
      <c r="D1212" s="1" t="n">
        <v>-6.99939806413</v>
      </c>
      <c r="E1212" s="3" t="n">
        <v>2</v>
      </c>
      <c r="F1212" s="2" t="n">
        <v>2</v>
      </c>
      <c r="G1212" s="4" t="n">
        <v>3</v>
      </c>
      <c r="H1212" s="13" t="n"/>
      <c r="I1212" s="15" t="n"/>
      <c r="J1212" s="19" t="n">
        <v>2</v>
      </c>
      <c r="K1212" s="2" t="inlineStr">
        <is>
          <t>marker_412_945916.png</t>
        </is>
      </c>
      <c r="L1212" s="11">
        <f>HYPERLINK("2\1\" &amp; K1212, "Ver Imagen")</f>
        <v/>
      </c>
      <c r="M1212" t="inlineStr">
        <is>
          <t>Moda</t>
        </is>
      </c>
    </row>
    <row r="1213">
      <c r="A1213" t="n">
        <v>1212</v>
      </c>
      <c r="B1213" t="inlineStr">
        <is>
          <t>A-5050__131</t>
        </is>
      </c>
      <c r="C1213" s="1" t="n">
        <v>37.1948742064</v>
      </c>
      <c r="D1213" s="1" t="n">
        <v>-6.99983471005</v>
      </c>
      <c r="E1213" s="3" t="n">
        <v>2</v>
      </c>
      <c r="F1213" s="2" t="n">
        <v>3</v>
      </c>
      <c r="G1213" s="4" t="n">
        <v>2</v>
      </c>
      <c r="H1213" s="13" t="n"/>
      <c r="I1213" s="15" t="n"/>
      <c r="J1213" s="19" t="n">
        <v>2</v>
      </c>
      <c r="K1213" s="2" t="inlineStr">
        <is>
          <t>marker_646_945935.png</t>
        </is>
      </c>
      <c r="L1213" s="11">
        <f>HYPERLINK("2\1\" &amp; K1213, "Ver Imagen")</f>
        <v/>
      </c>
      <c r="M1213" t="inlineStr">
        <is>
          <t>Moda</t>
        </is>
      </c>
    </row>
    <row r="1214">
      <c r="A1214" t="n">
        <v>1213</v>
      </c>
      <c r="B1214" t="inlineStr">
        <is>
          <t>A-5050__120</t>
        </is>
      </c>
      <c r="C1214" s="1" t="n">
        <v>37.1959037433</v>
      </c>
      <c r="D1214" s="1" t="n">
        <v>-7.00232959949</v>
      </c>
      <c r="E1214" s="3" t="n">
        <v>2</v>
      </c>
      <c r="F1214" s="2" t="n">
        <v>3</v>
      </c>
      <c r="G1214" s="4" t="n">
        <v>2</v>
      </c>
      <c r="H1214" s="13" t="n"/>
      <c r="I1214" s="15" t="n"/>
      <c r="J1214" s="19" t="n">
        <v>2</v>
      </c>
      <c r="K1214" s="2" t="inlineStr">
        <is>
          <t>marker_259_946508.png</t>
        </is>
      </c>
      <c r="L1214" s="11">
        <f>HYPERLINK("2\1\" &amp; K1214, "Ver Imagen")</f>
        <v/>
      </c>
      <c r="M1214" t="inlineStr">
        <is>
          <t>Moda</t>
        </is>
      </c>
    </row>
    <row r="1215">
      <c r="A1215" t="n">
        <v>1214</v>
      </c>
      <c r="B1215" t="inlineStr">
        <is>
          <t>A-5050__62</t>
        </is>
      </c>
      <c r="C1215" s="1" t="n">
        <v>37.2024263153</v>
      </c>
      <c r="D1215" s="1" t="n">
        <v>-7.01447486913</v>
      </c>
      <c r="E1215" s="3" t="n">
        <v>2</v>
      </c>
      <c r="F1215" s="2" t="n">
        <v>2</v>
      </c>
      <c r="G1215" s="4" t="n">
        <v>3</v>
      </c>
      <c r="H1215" s="13" t="n"/>
      <c r="I1215" s="15" t="n"/>
      <c r="J1215" s="19" t="n">
        <v>2</v>
      </c>
      <c r="K1215" s="2" t="inlineStr">
        <is>
          <t>marker_786_949006.png</t>
        </is>
      </c>
      <c r="L1215" s="11">
        <f>HYPERLINK("2\1\" &amp; K1215, "Ver Imagen")</f>
        <v/>
      </c>
      <c r="M1215" t="inlineStr">
        <is>
          <t>Moda</t>
        </is>
      </c>
    </row>
    <row r="1216">
      <c r="A1216" t="n">
        <v>1215</v>
      </c>
      <c r="B1216" t="inlineStr">
        <is>
          <t>A-5050__56</t>
        </is>
      </c>
      <c r="C1216" s="1" t="n">
        <v>37.2031975856</v>
      </c>
      <c r="D1216" s="1" t="n">
        <v>-7.01565252207</v>
      </c>
      <c r="E1216" s="3" t="n">
        <v>2</v>
      </c>
      <c r="F1216" s="2" t="n">
        <v>3</v>
      </c>
      <c r="G1216" s="4" t="n">
        <v>2</v>
      </c>
      <c r="H1216" s="13" t="n"/>
      <c r="I1216" s="15" t="n"/>
      <c r="J1216" s="19" t="n">
        <v>2</v>
      </c>
      <c r="K1216" s="2" t="inlineStr">
        <is>
          <t>marker_686_949100.png</t>
        </is>
      </c>
      <c r="L1216" s="11">
        <f>HYPERLINK("2\1\" &amp; K1216, "Ver Imagen")</f>
        <v/>
      </c>
      <c r="M1216" t="inlineStr">
        <is>
          <t>Moda</t>
        </is>
      </c>
    </row>
    <row r="1217">
      <c r="A1217" t="n">
        <v>1216</v>
      </c>
      <c r="B1217" t="inlineStr">
        <is>
          <t>A-5050__49</t>
        </is>
      </c>
      <c r="C1217" s="1" t="n">
        <v>37.2040779042</v>
      </c>
      <c r="D1217" s="1" t="n">
        <v>-7.01701232897</v>
      </c>
      <c r="E1217" s="3" t="n">
        <v>2</v>
      </c>
      <c r="F1217" s="2" t="n">
        <v>3</v>
      </c>
      <c r="G1217" s="4" t="n">
        <v>2</v>
      </c>
      <c r="H1217" s="13" t="n"/>
      <c r="I1217" s="15" t="n"/>
      <c r="J1217" s="19" t="n">
        <v>2</v>
      </c>
      <c r="K1217" s="2" t="inlineStr">
        <is>
          <t>marker_883_949163.png</t>
        </is>
      </c>
      <c r="L1217" s="11">
        <f>HYPERLINK("2\1\" &amp; K1217, "Ver Imagen")</f>
        <v/>
      </c>
      <c r="M1217" t="inlineStr">
        <is>
          <t>Moda</t>
        </is>
      </c>
    </row>
    <row r="1218">
      <c r="A1218" t="n">
        <v>1217</v>
      </c>
      <c r="B1218" t="inlineStr">
        <is>
          <t>A-5050__47</t>
        </is>
      </c>
      <c r="C1218" s="1" t="n">
        <v>37.2043638163</v>
      </c>
      <c r="D1218" s="1" t="n">
        <v>-7.01745455037</v>
      </c>
      <c r="E1218" s="3" t="n">
        <v>2</v>
      </c>
      <c r="F1218" s="2" t="n">
        <v>3</v>
      </c>
      <c r="G1218" s="4" t="n">
        <v>2</v>
      </c>
      <c r="H1218" s="13" t="n"/>
      <c r="I1218" s="15" t="n"/>
      <c r="J1218" s="19" t="n">
        <v>2</v>
      </c>
      <c r="K1218" s="2" t="inlineStr">
        <is>
          <t>marker_126_949180.png</t>
        </is>
      </c>
      <c r="L1218" s="11">
        <f>HYPERLINK("2\1\" &amp; K1218, "Ver Imagen")</f>
        <v/>
      </c>
      <c r="M1218" t="inlineStr">
        <is>
          <t>Moda</t>
        </is>
      </c>
    </row>
    <row r="1219">
      <c r="A1219" t="n">
        <v>1218</v>
      </c>
      <c r="B1219" t="inlineStr">
        <is>
          <t>A-5050__45</t>
        </is>
      </c>
      <c r="C1219" s="1" t="n">
        <v>37.2045861264</v>
      </c>
      <c r="D1219" s="1" t="n">
        <v>-7.01779713113</v>
      </c>
      <c r="E1219" s="3" t="n">
        <v>2</v>
      </c>
      <c r="F1219" s="2" t="n">
        <v>3</v>
      </c>
      <c r="G1219" s="4" t="n">
        <v>2</v>
      </c>
      <c r="H1219" s="13" t="n"/>
      <c r="I1219" s="15" t="n"/>
      <c r="J1219" s="19" t="n">
        <v>2</v>
      </c>
      <c r="K1219" s="2" t="inlineStr">
        <is>
          <t>marker_232_949202.png</t>
        </is>
      </c>
      <c r="L1219" s="11">
        <f>HYPERLINK("2\1\" &amp; K1219, "Ver Imagen")</f>
        <v/>
      </c>
      <c r="M1219" t="inlineStr">
        <is>
          <t>Moda</t>
        </is>
      </c>
    </row>
    <row r="1220">
      <c r="A1220" t="n">
        <v>1219</v>
      </c>
      <c r="B1220" t="inlineStr">
        <is>
          <t>A-5050__31</t>
        </is>
      </c>
      <c r="C1220" s="1" t="n">
        <v>37.2063211579</v>
      </c>
      <c r="D1220" s="1" t="n">
        <v>-7.02061451411</v>
      </c>
      <c r="E1220" s="3" t="n">
        <v>2</v>
      </c>
      <c r="F1220" s="2" t="n">
        <v>3</v>
      </c>
      <c r="G1220" s="4" t="n">
        <v>2</v>
      </c>
      <c r="H1220" s="13" t="n"/>
      <c r="I1220" s="15" t="n"/>
      <c r="J1220" s="19" t="n">
        <v>2</v>
      </c>
      <c r="K1220" s="2" t="inlineStr">
        <is>
          <t>marker_980_949350.png</t>
        </is>
      </c>
      <c r="L1220" s="11">
        <f>HYPERLINK("2\1\" &amp; K1220, "Ver Imagen")</f>
        <v/>
      </c>
      <c r="M1220" t="inlineStr">
        <is>
          <t>Moda</t>
        </is>
      </c>
    </row>
    <row r="1221">
      <c r="A1221" t="n">
        <v>1220</v>
      </c>
      <c r="B1221" t="inlineStr">
        <is>
          <t>A-5050__29</t>
        </is>
      </c>
      <c r="C1221" s="1" t="n">
        <v>37.2065732145</v>
      </c>
      <c r="D1221" s="1" t="n">
        <v>-7.02102173043</v>
      </c>
      <c r="E1221" s="3" t="n">
        <v>2</v>
      </c>
      <c r="F1221" s="2" t="n">
        <v>3</v>
      </c>
      <c r="G1221" s="4" t="n">
        <v>2</v>
      </c>
      <c r="H1221" s="13" t="n"/>
      <c r="I1221" s="15" t="n"/>
      <c r="J1221" s="19" t="n">
        <v>2</v>
      </c>
      <c r="K1221" s="2" t="inlineStr">
        <is>
          <t>marker_997_949369.png</t>
        </is>
      </c>
      <c r="L1221" s="11">
        <f>HYPERLINK("2\1\" &amp; K1221, "Ver Imagen")</f>
        <v/>
      </c>
      <c r="M1221" t="inlineStr">
        <is>
          <t>Moda</t>
        </is>
      </c>
    </row>
    <row r="1222">
      <c r="A1222" t="n">
        <v>1221</v>
      </c>
      <c r="B1222" t="inlineStr">
        <is>
          <t>A-5050__21</t>
        </is>
      </c>
      <c r="C1222" s="1" t="n">
        <v>37.2077389611</v>
      </c>
      <c r="D1222" s="1" t="n">
        <v>-7.02239407186</v>
      </c>
      <c r="E1222" s="3" t="n">
        <v>2</v>
      </c>
      <c r="F1222" s="2" t="n">
        <v>3</v>
      </c>
      <c r="G1222" s="4" t="n">
        <v>2</v>
      </c>
      <c r="H1222" s="13" t="n"/>
      <c r="I1222" s="15" t="n"/>
      <c r="J1222" s="19" t="n">
        <v>2</v>
      </c>
      <c r="K1222" s="2" t="inlineStr">
        <is>
          <t>marker_413_949448.png</t>
        </is>
      </c>
      <c r="L1222" s="11">
        <f>HYPERLINK("2\1\" &amp; K1222, "Ver Imagen")</f>
        <v/>
      </c>
      <c r="M1222" t="inlineStr">
        <is>
          <t>Moda</t>
        </is>
      </c>
    </row>
    <row r="1223">
      <c r="A1223" t="n">
        <v>1222</v>
      </c>
      <c r="B1223" t="inlineStr">
        <is>
          <t>A-5050__20</t>
        </is>
      </c>
      <c r="C1223" s="1" t="n">
        <v>37.207875505</v>
      </c>
      <c r="D1223" s="1" t="n">
        <v>-7.02254613412</v>
      </c>
      <c r="E1223" s="3" t="n">
        <v>2</v>
      </c>
      <c r="F1223" s="2" t="n">
        <v>2</v>
      </c>
      <c r="G1223" s="4" t="n">
        <v>3</v>
      </c>
      <c r="H1223" s="13" t="n"/>
      <c r="I1223" s="15" t="n"/>
      <c r="J1223" s="19" t="n">
        <v>2</v>
      </c>
      <c r="K1223" s="2" t="inlineStr">
        <is>
          <t>marker_340_949456.png</t>
        </is>
      </c>
      <c r="L1223" s="11">
        <f>HYPERLINK("2\1\" &amp; K1223, "Ver Imagen")</f>
        <v/>
      </c>
      <c r="M1223" t="inlineStr">
        <is>
          <t>Moda</t>
        </is>
      </c>
    </row>
    <row r="1224">
      <c r="A1224" t="n">
        <v>1223</v>
      </c>
      <c r="B1224" t="inlineStr">
        <is>
          <t>A-5050__7</t>
        </is>
      </c>
      <c r="C1224" s="1" t="n">
        <v>37.2086375908</v>
      </c>
      <c r="D1224" s="1" t="n">
        <v>-7.02567632508</v>
      </c>
      <c r="E1224" s="3" t="n">
        <v>2</v>
      </c>
      <c r="F1224" s="2" t="n">
        <v>2</v>
      </c>
      <c r="G1224" s="4" t="n">
        <v>3</v>
      </c>
      <c r="H1224" s="13" t="n"/>
      <c r="I1224" s="15" t="n"/>
      <c r="J1224" s="19" t="n">
        <v>2</v>
      </c>
      <c r="K1224" s="2" t="inlineStr">
        <is>
          <t>marker_693_949638.png</t>
        </is>
      </c>
      <c r="L1224" s="11">
        <f>HYPERLINK("2\1\" &amp; K1224, "Ver Imagen")</f>
        <v/>
      </c>
      <c r="M1224" t="inlineStr">
        <is>
          <t>Moda</t>
        </is>
      </c>
    </row>
    <row r="1225">
      <c r="A1225" t="n">
        <v>1224</v>
      </c>
      <c r="B1225" t="inlineStr">
        <is>
          <t>A-5050__6</t>
        </is>
      </c>
      <c r="C1225" s="1" t="n">
        <v>37.2086937077</v>
      </c>
      <c r="D1225" s="1" t="n">
        <v>-7.0258853719</v>
      </c>
      <c r="E1225" s="3" t="n">
        <v>2</v>
      </c>
      <c r="F1225" s="2" t="n">
        <v>3</v>
      </c>
      <c r="G1225" s="4" t="n">
        <v>2</v>
      </c>
      <c r="H1225" s="13" t="n"/>
      <c r="I1225" s="15" t="n"/>
      <c r="J1225" s="19" t="n">
        <v>2</v>
      </c>
      <c r="K1225" s="2" t="inlineStr">
        <is>
          <t>marker_838_949647.png</t>
        </is>
      </c>
      <c r="L1225" s="11">
        <f>HYPERLINK("2\1\" &amp; K1225, "Ver Imagen")</f>
        <v/>
      </c>
      <c r="M1225" t="inlineStr">
        <is>
          <t>Moda</t>
        </is>
      </c>
    </row>
    <row r="1226">
      <c r="A1226" t="n">
        <v>1225</v>
      </c>
      <c r="B1226" t="inlineStr">
        <is>
          <t>A-5050__5</t>
        </is>
      </c>
      <c r="C1226" s="1" t="n">
        <v>37.2087483097</v>
      </c>
      <c r="D1226" s="1" t="n">
        <v>-7.02612730571</v>
      </c>
      <c r="E1226" s="3" t="n">
        <v>2</v>
      </c>
      <c r="F1226" s="2" t="n">
        <v>3</v>
      </c>
      <c r="G1226" s="4" t="n">
        <v>2</v>
      </c>
      <c r="H1226" s="13" t="n"/>
      <c r="I1226" s="15" t="n"/>
      <c r="J1226" s="19" t="n">
        <v>2</v>
      </c>
      <c r="K1226" s="2" t="inlineStr">
        <is>
          <t>marker_488_949659.png</t>
        </is>
      </c>
      <c r="L1226" s="11">
        <f>HYPERLINK("2\1\" &amp; K1226, "Ver Imagen")</f>
        <v/>
      </c>
      <c r="M1226" t="inlineStr">
        <is>
          <t>Moda</t>
        </is>
      </c>
    </row>
    <row r="1227">
      <c r="A1227" t="n">
        <v>1226</v>
      </c>
      <c r="B1227" t="inlineStr">
        <is>
          <t>A-5052__8</t>
        </is>
      </c>
      <c r="C1227" s="1" t="n">
        <v>37.2183577969</v>
      </c>
      <c r="D1227" s="1" t="n">
        <v>-7.12393107164</v>
      </c>
      <c r="E1227" s="3" t="n">
        <v>1</v>
      </c>
      <c r="F1227" s="2" t="n">
        <v>2</v>
      </c>
      <c r="G1227" s="4" t="n">
        <v>2</v>
      </c>
      <c r="H1227" s="13" t="n"/>
      <c r="I1227" s="15" t="n"/>
      <c r="J1227" s="19" t="n">
        <v>2</v>
      </c>
      <c r="K1227" s="2" t="inlineStr">
        <is>
          <t>marker_110_949959.png</t>
        </is>
      </c>
      <c r="L1227" s="11">
        <f>HYPERLINK("2\1\" &amp; K1227, "Ver Imagen")</f>
        <v/>
      </c>
      <c r="M1227" t="inlineStr">
        <is>
          <t>Moda</t>
        </is>
      </c>
    </row>
    <row r="1228">
      <c r="A1228" t="n">
        <v>1227</v>
      </c>
      <c r="B1228" t="inlineStr">
        <is>
          <t>A-5052__31</t>
        </is>
      </c>
      <c r="C1228" s="1" t="n">
        <v>37.2180806379</v>
      </c>
      <c r="D1228" s="1" t="n">
        <v>-7.11827347117</v>
      </c>
      <c r="E1228" s="3" t="n">
        <v>2</v>
      </c>
      <c r="F1228" s="2" t="n">
        <v>3</v>
      </c>
      <c r="G1228" s="4" t="n">
        <v>2</v>
      </c>
      <c r="H1228" s="13" t="n"/>
      <c r="I1228" s="15" t="n"/>
      <c r="J1228" s="19" t="n">
        <v>2</v>
      </c>
      <c r="K1228" s="2" t="inlineStr">
        <is>
          <t>marker_139_951639.png</t>
        </is>
      </c>
      <c r="L1228" s="11">
        <f>HYPERLINK("2\1\" &amp; K1228, "Ver Imagen")</f>
        <v/>
      </c>
      <c r="M1228" t="inlineStr">
        <is>
          <t>Moda</t>
        </is>
      </c>
    </row>
    <row r="1229">
      <c r="A1229" t="n">
        <v>1228</v>
      </c>
      <c r="B1229" t="inlineStr">
        <is>
          <t>A-5052__32</t>
        </is>
      </c>
      <c r="C1229" s="1" t="n">
        <v>37.2180455936</v>
      </c>
      <c r="D1229" s="1" t="n">
        <v>-7.11801341409</v>
      </c>
      <c r="E1229" s="3" t="n">
        <v>2</v>
      </c>
      <c r="F1229" s="2" t="n">
        <v>1</v>
      </c>
      <c r="G1229" s="4" t="n">
        <v>2</v>
      </c>
      <c r="H1229" s="13" t="n"/>
      <c r="I1229" s="15" t="n"/>
      <c r="J1229" s="19" t="n">
        <v>2</v>
      </c>
      <c r="K1229" s="2" t="inlineStr">
        <is>
          <t>marker_401_951649.png</t>
        </is>
      </c>
      <c r="L1229" s="11">
        <f>HYPERLINK("2\1\" &amp; K1229, "Ver Imagen")</f>
        <v/>
      </c>
      <c r="M1229" t="inlineStr">
        <is>
          <t>Moda</t>
        </is>
      </c>
    </row>
    <row r="1230">
      <c r="A1230" t="n">
        <v>1229</v>
      </c>
      <c r="B1230" t="inlineStr">
        <is>
          <t>A-5052__33</t>
        </is>
      </c>
      <c r="C1230" s="1" t="n">
        <v>37.2180054158</v>
      </c>
      <c r="D1230" s="1" t="n">
        <v>-7.11773335406</v>
      </c>
      <c r="E1230" s="3" t="n">
        <v>1</v>
      </c>
      <c r="F1230" s="2" t="n">
        <v>2</v>
      </c>
      <c r="G1230" s="4" t="n">
        <v>2</v>
      </c>
      <c r="H1230" s="13" t="n"/>
      <c r="I1230" s="15" t="n"/>
      <c r="J1230" s="19" t="n">
        <v>2</v>
      </c>
      <c r="K1230" s="2" t="inlineStr">
        <is>
          <t>marker_625_951662.png</t>
        </is>
      </c>
      <c r="L1230" s="11">
        <f>HYPERLINK("2\1\" &amp; K1230, "Ver Imagen")</f>
        <v/>
      </c>
      <c r="M1230" t="inlineStr">
        <is>
          <t>Moda</t>
        </is>
      </c>
    </row>
    <row r="1231">
      <c r="A1231" t="n">
        <v>1230</v>
      </c>
      <c r="B1231" t="inlineStr">
        <is>
          <t>A-5052__35</t>
        </is>
      </c>
      <c r="C1231" s="1" t="n">
        <v>37.2179416501</v>
      </c>
      <c r="D1231" s="1" t="n">
        <v>-7.11726629442</v>
      </c>
      <c r="E1231" s="3" t="n">
        <v>1</v>
      </c>
      <c r="F1231" s="2" t="n">
        <v>2</v>
      </c>
      <c r="G1231" s="4" t="n">
        <v>2</v>
      </c>
      <c r="H1231" s="13" t="n"/>
      <c r="I1231" s="15" t="n"/>
      <c r="J1231" s="19" t="n">
        <v>2</v>
      </c>
      <c r="K1231" s="2" t="inlineStr">
        <is>
          <t>marker_268_951819.png</t>
        </is>
      </c>
      <c r="L1231" s="11">
        <f>HYPERLINK("2\1\" &amp; K1231, "Ver Imagen")</f>
        <v/>
      </c>
      <c r="M1231" t="inlineStr">
        <is>
          <t>Moda</t>
        </is>
      </c>
    </row>
    <row r="1232">
      <c r="A1232" t="n">
        <v>1231</v>
      </c>
      <c r="B1232" t="inlineStr">
        <is>
          <t>A-5052__59</t>
        </is>
      </c>
      <c r="C1232" s="1" t="n">
        <v>37.2176057011</v>
      </c>
      <c r="D1232" s="1" t="n">
        <v>-7.1111980431</v>
      </c>
      <c r="E1232" s="3" t="n">
        <v>2</v>
      </c>
      <c r="F1232" s="2" t="n">
        <v>1</v>
      </c>
      <c r="G1232" s="4" t="n">
        <v>2</v>
      </c>
      <c r="H1232" s="13" t="n"/>
      <c r="I1232" s="15" t="n"/>
      <c r="J1232" s="19" t="n">
        <v>2</v>
      </c>
      <c r="K1232" s="2" t="inlineStr">
        <is>
          <t>marker_960_957030.png</t>
        </is>
      </c>
      <c r="L1232" s="11">
        <f>HYPERLINK("2\1\" &amp; K1232, "Ver Imagen")</f>
        <v/>
      </c>
      <c r="M1232" t="inlineStr">
        <is>
          <t>Moda</t>
        </is>
      </c>
    </row>
    <row r="1233">
      <c r="A1233" t="n">
        <v>1232</v>
      </c>
      <c r="B1233" t="inlineStr">
        <is>
          <t>A-5052__60</t>
        </is>
      </c>
      <c r="C1233" s="1" t="n">
        <v>37.2176164475</v>
      </c>
      <c r="D1233" s="1" t="n">
        <v>-7.11097048219</v>
      </c>
      <c r="E1233" s="3" t="n">
        <v>2</v>
      </c>
      <c r="F1233" s="2" t="n">
        <v>1</v>
      </c>
      <c r="G1233" s="4" t="n">
        <v>2</v>
      </c>
      <c r="H1233" s="13" t="n"/>
      <c r="I1233" s="15" t="n"/>
      <c r="J1233" s="19" t="n">
        <v>2</v>
      </c>
      <c r="K1233" s="2" t="inlineStr">
        <is>
          <t>marker_419_957051.png</t>
        </is>
      </c>
      <c r="L1233" s="11">
        <f>HYPERLINK("2\1\" &amp; K1233, "Ver Imagen")</f>
        <v/>
      </c>
      <c r="M1233" t="inlineStr">
        <is>
          <t>Moda</t>
        </is>
      </c>
    </row>
    <row r="1234">
      <c r="A1234" t="n">
        <v>1233</v>
      </c>
      <c r="B1234" t="inlineStr">
        <is>
          <t>A-5052__81</t>
        </is>
      </c>
      <c r="C1234" s="1" t="n">
        <v>37.2171335646</v>
      </c>
      <c r="D1234" s="1" t="n">
        <v>-7.10570480353</v>
      </c>
      <c r="E1234" s="3" t="n">
        <v>2</v>
      </c>
      <c r="F1234" s="2" t="n">
        <v>1</v>
      </c>
      <c r="G1234" s="4" t="n">
        <v>2</v>
      </c>
      <c r="H1234" s="13" t="n"/>
      <c r="I1234" s="15" t="n"/>
      <c r="J1234" s="19" t="n">
        <v>2</v>
      </c>
      <c r="K1234" s="2" t="inlineStr">
        <is>
          <t>marker_792_957298.png</t>
        </is>
      </c>
      <c r="L1234" s="11">
        <f>HYPERLINK("2\1\" &amp; K1234, "Ver Imagen")</f>
        <v/>
      </c>
      <c r="M1234" t="inlineStr">
        <is>
          <t>Moda</t>
        </is>
      </c>
    </row>
    <row r="1235">
      <c r="A1235" t="n">
        <v>1234</v>
      </c>
      <c r="B1235" t="inlineStr">
        <is>
          <t>A-5052__84</t>
        </is>
      </c>
      <c r="C1235" s="1" t="n">
        <v>37.217058686</v>
      </c>
      <c r="D1235" s="1" t="n">
        <v>-7.10494483536</v>
      </c>
      <c r="E1235" s="3" t="n">
        <v>2</v>
      </c>
      <c r="F1235" s="2" t="n">
        <v>2</v>
      </c>
      <c r="G1235" s="4" t="n">
        <v>3</v>
      </c>
      <c r="H1235" s="13" t="n"/>
      <c r="I1235" s="15" t="n"/>
      <c r="J1235" s="19" t="n">
        <v>2</v>
      </c>
      <c r="K1235" s="2" t="inlineStr">
        <is>
          <t>marker_137_957419.png</t>
        </is>
      </c>
      <c r="L1235" s="11">
        <f>HYPERLINK("2\1\" &amp; K1235, "Ver Imagen")</f>
        <v/>
      </c>
      <c r="M1235" t="inlineStr">
        <is>
          <t>Moda</t>
        </is>
      </c>
    </row>
    <row r="1236">
      <c r="A1236" t="n">
        <v>1235</v>
      </c>
      <c r="B1236" t="inlineStr">
        <is>
          <t>A-5052__85</t>
        </is>
      </c>
      <c r="C1236" s="1" t="n">
        <v>37.2170363452</v>
      </c>
      <c r="D1236" s="1" t="n">
        <v>-7.10471045222</v>
      </c>
      <c r="E1236" s="3" t="n">
        <v>2</v>
      </c>
      <c r="F1236" s="2" t="n">
        <v>2</v>
      </c>
      <c r="G1236" s="4" t="n">
        <v>3</v>
      </c>
      <c r="H1236" s="13" t="n"/>
      <c r="I1236" s="15" t="n"/>
      <c r="J1236" s="19" t="n">
        <v>2</v>
      </c>
      <c r="K1236" s="2" t="inlineStr">
        <is>
          <t>marker_913_957433.png</t>
        </is>
      </c>
      <c r="L1236" s="11">
        <f>HYPERLINK("2\1\" &amp; K1236, "Ver Imagen")</f>
        <v/>
      </c>
      <c r="M1236" t="inlineStr">
        <is>
          <t>Moda</t>
        </is>
      </c>
    </row>
    <row r="1237">
      <c r="A1237" t="n">
        <v>1236</v>
      </c>
      <c r="B1237" t="inlineStr">
        <is>
          <t>A-5052__92</t>
        </is>
      </c>
      <c r="C1237" s="1" t="n">
        <v>37.2168835561</v>
      </c>
      <c r="D1237" s="1" t="n">
        <v>-7.10296094399</v>
      </c>
      <c r="E1237" s="3" t="n">
        <v>2</v>
      </c>
      <c r="F1237" s="2" t="n">
        <v>1</v>
      </c>
      <c r="G1237" s="4" t="n">
        <v>2</v>
      </c>
      <c r="H1237" s="13" t="n"/>
      <c r="I1237" s="15" t="n"/>
      <c r="J1237" s="19" t="n">
        <v>2</v>
      </c>
      <c r="K1237" s="2" t="inlineStr">
        <is>
          <t>marker_504_957522.png</t>
        </is>
      </c>
      <c r="L1237" s="11">
        <f>HYPERLINK("2\1\" &amp; K1237, "Ver Imagen")</f>
        <v/>
      </c>
      <c r="M1237" t="inlineStr">
        <is>
          <t>Moda</t>
        </is>
      </c>
    </row>
    <row r="1238">
      <c r="A1238" t="n">
        <v>1237</v>
      </c>
      <c r="B1238" t="inlineStr">
        <is>
          <t>A-5052__94</t>
        </is>
      </c>
      <c r="C1238" s="1" t="n">
        <v>37.2168396331</v>
      </c>
      <c r="D1238" s="1" t="n">
        <v>-7.10244936019</v>
      </c>
      <c r="E1238" s="3" t="n">
        <v>2</v>
      </c>
      <c r="F1238" s="2" t="n">
        <v>2</v>
      </c>
      <c r="G1238" s="4" t="n">
        <v>3</v>
      </c>
      <c r="H1238" s="13" t="n"/>
      <c r="I1238" s="15" t="n"/>
      <c r="J1238" s="19" t="n">
        <v>2</v>
      </c>
      <c r="K1238" s="2" t="inlineStr">
        <is>
          <t>marker_491_957555.png</t>
        </is>
      </c>
      <c r="L1238" s="11">
        <f>HYPERLINK("2\1\" &amp; K1238, "Ver Imagen")</f>
        <v/>
      </c>
      <c r="M1238" t="inlineStr">
        <is>
          <t>Moda</t>
        </is>
      </c>
    </row>
    <row r="1239">
      <c r="A1239" t="n">
        <v>1238</v>
      </c>
      <c r="B1239" t="inlineStr">
        <is>
          <t>A-5052__101</t>
        </is>
      </c>
      <c r="C1239" s="1" t="n">
        <v>37.2169178901</v>
      </c>
      <c r="D1239" s="1" t="n">
        <v>-7.1006978799</v>
      </c>
      <c r="E1239" s="3" t="n">
        <v>2</v>
      </c>
      <c r="F1239" s="2" t="n">
        <v>2</v>
      </c>
      <c r="G1239" s="4" t="n">
        <v>3</v>
      </c>
      <c r="H1239" s="13" t="n"/>
      <c r="I1239" s="15" t="n"/>
      <c r="J1239" s="19" t="n">
        <v>2</v>
      </c>
      <c r="K1239" s="2" t="inlineStr">
        <is>
          <t>marker_127_957680.png</t>
        </is>
      </c>
      <c r="L1239" s="11">
        <f>HYPERLINK("2\1\" &amp; K1239, "Ver Imagen")</f>
        <v/>
      </c>
      <c r="M1239" t="inlineStr">
        <is>
          <t>Moda</t>
        </is>
      </c>
    </row>
    <row r="1240">
      <c r="A1240" t="n">
        <v>1239</v>
      </c>
      <c r="B1240" t="inlineStr">
        <is>
          <t>A-5052__115</t>
        </is>
      </c>
      <c r="C1240" s="1" t="n">
        <v>37.2168056916</v>
      </c>
      <c r="D1240" s="1" t="n">
        <v>-7.09719746116</v>
      </c>
      <c r="E1240" s="3" t="n">
        <v>2</v>
      </c>
      <c r="F1240" s="2" t="n">
        <v>2</v>
      </c>
      <c r="G1240" s="4" t="n">
        <v>3</v>
      </c>
      <c r="H1240" s="13" t="n"/>
      <c r="I1240" s="15" t="n"/>
      <c r="J1240" s="19" t="n">
        <v>2</v>
      </c>
      <c r="K1240" s="2" t="inlineStr">
        <is>
          <t>marker_565_957882.png</t>
        </is>
      </c>
      <c r="L1240" s="11">
        <f>HYPERLINK("2\1\" &amp; K1240, "Ver Imagen")</f>
        <v/>
      </c>
      <c r="M1240" t="inlineStr">
        <is>
          <t>Moda</t>
        </is>
      </c>
    </row>
    <row r="1241">
      <c r="A1241" t="n">
        <v>1240</v>
      </c>
      <c r="B1241" t="inlineStr">
        <is>
          <t>A-5052__117</t>
        </is>
      </c>
      <c r="C1241" s="1" t="n">
        <v>37.2167566251</v>
      </c>
      <c r="D1241" s="1" t="n">
        <v>-7.09665399265</v>
      </c>
      <c r="E1241" s="3" t="n">
        <v>2</v>
      </c>
      <c r="F1241" s="2" t="n">
        <v>2</v>
      </c>
      <c r="G1241" s="4" t="n">
        <v>3</v>
      </c>
      <c r="H1241" s="13" t="n"/>
      <c r="I1241" s="15" t="n"/>
      <c r="J1241" s="19" t="n">
        <v>2</v>
      </c>
      <c r="K1241" s="2" t="inlineStr">
        <is>
          <t>marker_839_957904.png</t>
        </is>
      </c>
      <c r="L1241" s="11">
        <f>HYPERLINK("2\1\" &amp; K1241, "Ver Imagen")</f>
        <v/>
      </c>
      <c r="M1241" t="inlineStr">
        <is>
          <t>Moda</t>
        </is>
      </c>
    </row>
    <row r="1242">
      <c r="A1242" t="n">
        <v>1241</v>
      </c>
      <c r="B1242" t="inlineStr">
        <is>
          <t>A-5052__120</t>
        </is>
      </c>
      <c r="C1242" s="1" t="n">
        <v>37.2166811792</v>
      </c>
      <c r="D1242" s="1" t="n">
        <v>-7.09588498828</v>
      </c>
      <c r="E1242" s="3" t="n">
        <v>2</v>
      </c>
      <c r="F1242" s="2" t="n">
        <v>1</v>
      </c>
      <c r="G1242" s="4" t="n">
        <v>2</v>
      </c>
      <c r="H1242" s="13" t="n"/>
      <c r="I1242" s="15" t="n"/>
      <c r="J1242" s="19" t="n">
        <v>2</v>
      </c>
      <c r="K1242" s="2" t="inlineStr">
        <is>
          <t>marker_558_957936.png</t>
        </is>
      </c>
      <c r="L1242" s="11">
        <f>HYPERLINK("2\1\" &amp; K1242, "Ver Imagen")</f>
        <v/>
      </c>
      <c r="M1242" t="inlineStr">
        <is>
          <t>Moda</t>
        </is>
      </c>
    </row>
    <row r="1243">
      <c r="A1243" t="n">
        <v>1242</v>
      </c>
      <c r="B1243" t="inlineStr">
        <is>
          <t>A-5052__123</t>
        </is>
      </c>
      <c r="C1243" s="1" t="n">
        <v>37.2166207544</v>
      </c>
      <c r="D1243" s="1" t="n">
        <v>-7.09513188882</v>
      </c>
      <c r="E1243" s="3" t="n">
        <v>2</v>
      </c>
      <c r="F1243" s="2" t="n">
        <v>1</v>
      </c>
      <c r="G1243" s="4" t="n">
        <v>2</v>
      </c>
      <c r="H1243" s="13" t="n"/>
      <c r="I1243" s="15" t="n"/>
      <c r="J1243" s="19" t="n">
        <v>2</v>
      </c>
      <c r="K1243" s="2" t="inlineStr">
        <is>
          <t>marker_781_957979.png</t>
        </is>
      </c>
      <c r="L1243" s="11">
        <f>HYPERLINK("2\1\" &amp; K1243, "Ver Imagen")</f>
        <v/>
      </c>
      <c r="M1243" t="inlineStr">
        <is>
          <t>Moda</t>
        </is>
      </c>
    </row>
    <row r="1244">
      <c r="A1244" t="n">
        <v>1243</v>
      </c>
      <c r="B1244" t="inlineStr">
        <is>
          <t>A-5052__126</t>
        </is>
      </c>
      <c r="C1244" s="1" t="n">
        <v>37.2166322685</v>
      </c>
      <c r="D1244" s="1" t="n">
        <v>-7.09442290788</v>
      </c>
      <c r="E1244" s="3" t="n">
        <v>2</v>
      </c>
      <c r="F1244" s="2" t="n">
        <v>2</v>
      </c>
      <c r="G1244" s="4" t="n">
        <v>3</v>
      </c>
      <c r="H1244" s="13" t="n"/>
      <c r="I1244" s="15" t="n"/>
      <c r="J1244" s="19" t="n">
        <v>2</v>
      </c>
      <c r="K1244" s="2" t="inlineStr">
        <is>
          <t>marker_194_958037.png</t>
        </is>
      </c>
      <c r="L1244" s="11">
        <f>HYPERLINK("2\1\" &amp; K1244, "Ver Imagen")</f>
        <v/>
      </c>
      <c r="M1244" t="inlineStr">
        <is>
          <t>Moda</t>
        </is>
      </c>
    </row>
    <row r="1245">
      <c r="A1245" t="n">
        <v>1244</v>
      </c>
      <c r="B1245" t="inlineStr">
        <is>
          <t>A-5052__133</t>
        </is>
      </c>
      <c r="C1245" s="1" t="n">
        <v>37.2164967048</v>
      </c>
      <c r="D1245" s="1" t="n">
        <v>-7.09265282963</v>
      </c>
      <c r="E1245" s="3" t="n">
        <v>2</v>
      </c>
      <c r="F1245" s="2" t="n">
        <v>1</v>
      </c>
      <c r="G1245" s="4" t="n">
        <v>2</v>
      </c>
      <c r="H1245" s="13" t="n"/>
      <c r="I1245" s="15" t="n"/>
      <c r="J1245" s="19" t="n">
        <v>2</v>
      </c>
      <c r="K1245" s="2" t="inlineStr">
        <is>
          <t>marker_112_958141.png</t>
        </is>
      </c>
      <c r="L1245" s="11">
        <f>HYPERLINK("2\1\" &amp; K1245, "Ver Imagen")</f>
        <v/>
      </c>
      <c r="M1245" t="inlineStr">
        <is>
          <t>Moda</t>
        </is>
      </c>
    </row>
    <row r="1246">
      <c r="A1246" t="n">
        <v>1245</v>
      </c>
      <c r="B1246" t="inlineStr">
        <is>
          <t>A-5052__134</t>
        </is>
      </c>
      <c r="C1246" s="1" t="n">
        <v>37.2164552044</v>
      </c>
      <c r="D1246" s="1" t="n">
        <v>-7.09239136911</v>
      </c>
      <c r="E1246" s="3" t="n">
        <v>2</v>
      </c>
      <c r="F1246" s="2" t="n">
        <v>1</v>
      </c>
      <c r="G1246" s="4" t="n">
        <v>2</v>
      </c>
      <c r="H1246" s="13" t="n"/>
      <c r="I1246" s="15" t="n"/>
      <c r="J1246" s="19" t="n">
        <v>2</v>
      </c>
      <c r="K1246" s="2" t="inlineStr">
        <is>
          <t>marker_281_958153.png</t>
        </is>
      </c>
      <c r="L1246" s="11">
        <f>HYPERLINK("2\1\" &amp; K1246, "Ver Imagen")</f>
        <v/>
      </c>
      <c r="M1246" t="inlineStr">
        <is>
          <t>Moda</t>
        </is>
      </c>
    </row>
    <row r="1247">
      <c r="A1247" t="n">
        <v>1246</v>
      </c>
      <c r="B1247" t="inlineStr">
        <is>
          <t>A-5052__135</t>
        </is>
      </c>
      <c r="C1247" s="1" t="n">
        <v>37.2164189509</v>
      </c>
      <c r="D1247" s="1" t="n">
        <v>-7.09216288338</v>
      </c>
      <c r="E1247" s="3" t="n">
        <v>2</v>
      </c>
      <c r="F1247" s="2" t="n">
        <v>2</v>
      </c>
      <c r="G1247" s="4" t="n">
        <v>3</v>
      </c>
      <c r="H1247" s="13" t="n"/>
      <c r="I1247" s="15" t="n"/>
      <c r="J1247" s="19" t="n">
        <v>2</v>
      </c>
      <c r="K1247" s="2" t="inlineStr">
        <is>
          <t>marker_269_958163.png</t>
        </is>
      </c>
      <c r="L1247" s="11">
        <f>HYPERLINK("2\1\" &amp; K1247, "Ver Imagen")</f>
        <v/>
      </c>
      <c r="M1247" t="inlineStr">
        <is>
          <t>Moda</t>
        </is>
      </c>
    </row>
    <row r="1248">
      <c r="A1248" t="n">
        <v>1247</v>
      </c>
      <c r="B1248" t="inlineStr">
        <is>
          <t>A-5052__140</t>
        </is>
      </c>
      <c r="C1248" s="1" t="n">
        <v>37.2162170367</v>
      </c>
      <c r="D1248" s="1" t="n">
        <v>-7.09089442645</v>
      </c>
      <c r="E1248" s="3" t="n">
        <v>1</v>
      </c>
      <c r="F1248" s="2" t="n">
        <v>2</v>
      </c>
      <c r="G1248" s="4" t="n">
        <v>2</v>
      </c>
      <c r="H1248" s="13" t="n"/>
      <c r="I1248" s="15" t="n"/>
      <c r="J1248" s="19" t="n">
        <v>2</v>
      </c>
      <c r="K1248" s="2" t="inlineStr">
        <is>
          <t>marker_623_958364.png</t>
        </is>
      </c>
      <c r="L1248" s="11">
        <f>HYPERLINK("2\1\" &amp; K1248, "Ver Imagen")</f>
        <v/>
      </c>
      <c r="M1248" t="inlineStr">
        <is>
          <t>Moda</t>
        </is>
      </c>
    </row>
    <row r="1249">
      <c r="A1249" t="n">
        <v>1248</v>
      </c>
      <c r="B1249" t="inlineStr">
        <is>
          <t>A-5052__143</t>
        </is>
      </c>
      <c r="C1249" s="1" t="n">
        <v>37.216129753</v>
      </c>
      <c r="D1249" s="1" t="n">
        <v>-7.09018212878</v>
      </c>
      <c r="E1249" s="3" t="n">
        <v>1</v>
      </c>
      <c r="F1249" s="2" t="n">
        <v>2</v>
      </c>
      <c r="G1249" s="4" t="n">
        <v>2</v>
      </c>
      <c r="H1249" s="13" t="n"/>
      <c r="I1249" s="15" t="n"/>
      <c r="J1249" s="19" t="n">
        <v>2</v>
      </c>
      <c r="K1249" s="2" t="inlineStr">
        <is>
          <t>marker_884_958396.png</t>
        </is>
      </c>
      <c r="L1249" s="11">
        <f>HYPERLINK("2\1\" &amp; K1249, "Ver Imagen")</f>
        <v/>
      </c>
      <c r="M1249" t="inlineStr">
        <is>
          <t>Moda</t>
        </is>
      </c>
    </row>
    <row r="1250">
      <c r="A1250" t="n">
        <v>1249</v>
      </c>
      <c r="B1250" t="inlineStr">
        <is>
          <t>A-5052__144</t>
        </is>
      </c>
      <c r="C1250" s="1" t="n">
        <v>37.2161043409</v>
      </c>
      <c r="D1250" s="1" t="n">
        <v>-7.08990385264</v>
      </c>
      <c r="E1250" s="3" t="n">
        <v>2</v>
      </c>
      <c r="F1250" s="2" t="n">
        <v>2</v>
      </c>
      <c r="G1250" s="4" t="n">
        <v>3</v>
      </c>
      <c r="H1250" s="13" t="n"/>
      <c r="I1250" s="15" t="n"/>
      <c r="J1250" s="19" t="n">
        <v>2</v>
      </c>
      <c r="K1250" s="2" t="inlineStr">
        <is>
          <t>marker_445_958407.png</t>
        </is>
      </c>
      <c r="L1250" s="11">
        <f>HYPERLINK("2\1\" &amp; K1250, "Ver Imagen")</f>
        <v/>
      </c>
      <c r="M1250" t="inlineStr">
        <is>
          <t>Moda</t>
        </is>
      </c>
    </row>
    <row r="1251">
      <c r="A1251" t="n">
        <v>1250</v>
      </c>
      <c r="B1251" t="inlineStr">
        <is>
          <t>A-5052__155</t>
        </is>
      </c>
      <c r="C1251" s="1" t="n">
        <v>37.2160191299</v>
      </c>
      <c r="D1251" s="1" t="n">
        <v>-7.08711500077</v>
      </c>
      <c r="E1251" s="3" t="n">
        <v>2</v>
      </c>
      <c r="F1251" s="2" t="n">
        <v>1</v>
      </c>
      <c r="G1251" s="4" t="n">
        <v>2</v>
      </c>
      <c r="H1251" s="13" t="n"/>
      <c r="I1251" s="15" t="n"/>
      <c r="J1251" s="19" t="n">
        <v>2</v>
      </c>
      <c r="K1251" s="2" t="inlineStr">
        <is>
          <t>marker_149_958606.png</t>
        </is>
      </c>
      <c r="L1251" s="11">
        <f>HYPERLINK("2\1\" &amp; K1251, "Ver Imagen")</f>
        <v/>
      </c>
      <c r="M1251" t="inlineStr">
        <is>
          <t>Moda</t>
        </is>
      </c>
    </row>
    <row r="1252">
      <c r="A1252" t="n">
        <v>1251</v>
      </c>
      <c r="B1252" t="inlineStr">
        <is>
          <t>A-5052__162</t>
        </is>
      </c>
      <c r="C1252" s="1" t="n">
        <v>37.2161438729</v>
      </c>
      <c r="D1252" s="1" t="n">
        <v>-7.0853776599</v>
      </c>
      <c r="E1252" s="3" t="n">
        <v>1</v>
      </c>
      <c r="F1252" s="2" t="n">
        <v>2</v>
      </c>
      <c r="G1252" s="4" t="n">
        <v>2</v>
      </c>
      <c r="H1252" s="13" t="n"/>
      <c r="I1252" s="15" t="n"/>
      <c r="J1252" s="19" t="n">
        <v>2</v>
      </c>
      <c r="K1252" s="2" t="inlineStr">
        <is>
          <t>marker_916_958701.png</t>
        </is>
      </c>
      <c r="L1252" s="11">
        <f>HYPERLINK("2\1\" &amp; K1252, "Ver Imagen")</f>
        <v/>
      </c>
      <c r="M1252" t="inlineStr">
        <is>
          <t>Moda</t>
        </is>
      </c>
    </row>
    <row r="1253">
      <c r="A1253" t="n">
        <v>1252</v>
      </c>
      <c r="B1253" t="inlineStr">
        <is>
          <t>A-5052__187</t>
        </is>
      </c>
      <c r="C1253" s="1" t="n">
        <v>37.2149362276</v>
      </c>
      <c r="D1253" s="1" t="n">
        <v>-7.07929442874</v>
      </c>
      <c r="E1253" s="3" t="n">
        <v>2</v>
      </c>
      <c r="F1253" s="2" t="n">
        <v>2</v>
      </c>
      <c r="G1253" s="4" t="n">
        <v>3</v>
      </c>
      <c r="H1253" s="13" t="n"/>
      <c r="I1253" s="15" t="n"/>
      <c r="J1253" s="19" t="n">
        <v>2</v>
      </c>
      <c r="K1253" s="2" t="inlineStr">
        <is>
          <t>marker_469_959280.png</t>
        </is>
      </c>
      <c r="L1253" s="11">
        <f>HYPERLINK("2\1\" &amp; K1253, "Ver Imagen")</f>
        <v/>
      </c>
      <c r="M1253" t="inlineStr">
        <is>
          <t>Moda</t>
        </is>
      </c>
    </row>
    <row r="1254">
      <c r="A1254" t="n">
        <v>1253</v>
      </c>
      <c r="B1254" t="inlineStr">
        <is>
          <t>A-5052__188</t>
        </is>
      </c>
      <c r="C1254" s="1" t="n">
        <v>37.2148933622</v>
      </c>
      <c r="D1254" s="1" t="n">
        <v>-7.07908270903</v>
      </c>
      <c r="E1254" s="3" t="n">
        <v>2</v>
      </c>
      <c r="F1254" s="2" t="n">
        <v>1</v>
      </c>
      <c r="G1254" s="4" t="n">
        <v>2</v>
      </c>
      <c r="H1254" s="13" t="n"/>
      <c r="I1254" s="15" t="n"/>
      <c r="J1254" s="19" t="n">
        <v>2</v>
      </c>
      <c r="K1254" s="2" t="inlineStr">
        <is>
          <t>marker_512_959288.png</t>
        </is>
      </c>
      <c r="L1254" s="11">
        <f>HYPERLINK("2\1\" &amp; K1254, "Ver Imagen")</f>
        <v/>
      </c>
      <c r="M1254" t="inlineStr">
        <is>
          <t>Moda</t>
        </is>
      </c>
    </row>
    <row r="1255">
      <c r="A1255" t="n">
        <v>1254</v>
      </c>
      <c r="B1255" t="inlineStr">
        <is>
          <t>A-5052__191</t>
        </is>
      </c>
      <c r="C1255" s="1" t="n">
        <v>37.2147448452</v>
      </c>
      <c r="D1255" s="1" t="n">
        <v>-7.07831904641</v>
      </c>
      <c r="E1255" s="3" t="n">
        <v>2</v>
      </c>
      <c r="F1255" s="2" t="n">
        <v>1</v>
      </c>
      <c r="G1255" s="4" t="n">
        <v>2</v>
      </c>
      <c r="H1255" s="13" t="n"/>
      <c r="I1255" s="15" t="n"/>
      <c r="J1255" s="19" t="n">
        <v>2</v>
      </c>
      <c r="K1255" s="2" t="inlineStr">
        <is>
          <t>marker_180_959317.png</t>
        </is>
      </c>
      <c r="L1255" s="11">
        <f>HYPERLINK("2\1\" &amp; K1255, "Ver Imagen")</f>
        <v/>
      </c>
      <c r="M1255" t="inlineStr">
        <is>
          <t>Moda</t>
        </is>
      </c>
    </row>
    <row r="1256">
      <c r="A1256" t="n">
        <v>1255</v>
      </c>
      <c r="B1256" t="inlineStr">
        <is>
          <t>A-5052__193</t>
        </is>
      </c>
      <c r="C1256" s="1" t="n">
        <v>37.2146479488</v>
      </c>
      <c r="D1256" s="1" t="n">
        <v>-7.07781366627</v>
      </c>
      <c r="E1256" s="3" t="n">
        <v>2</v>
      </c>
      <c r="F1256" s="2" t="n">
        <v>1</v>
      </c>
      <c r="G1256" s="4" t="n">
        <v>2</v>
      </c>
      <c r="H1256" s="13" t="n"/>
      <c r="I1256" s="15" t="n"/>
      <c r="J1256" s="19" t="n">
        <v>2</v>
      </c>
      <c r="K1256" s="2" t="inlineStr">
        <is>
          <t>marker_919_959360.png</t>
        </is>
      </c>
      <c r="L1256" s="11">
        <f>HYPERLINK("2\1\" &amp; K1256, "Ver Imagen")</f>
        <v/>
      </c>
      <c r="M1256" t="inlineStr">
        <is>
          <t>Moda</t>
        </is>
      </c>
    </row>
    <row r="1257">
      <c r="A1257" t="n">
        <v>1256</v>
      </c>
      <c r="B1257" t="inlineStr">
        <is>
          <t>A-5052__208</t>
        </is>
      </c>
      <c r="C1257" s="1" t="n">
        <v>37.2139670545</v>
      </c>
      <c r="D1257" s="1" t="n">
        <v>-7.07415817743</v>
      </c>
      <c r="E1257" s="3" t="n">
        <v>1</v>
      </c>
      <c r="F1257" s="2" t="n">
        <v>2</v>
      </c>
      <c r="G1257" s="4" t="n">
        <v>2</v>
      </c>
      <c r="H1257" s="13" t="n"/>
      <c r="I1257" s="15" t="n"/>
      <c r="J1257" s="19" t="n">
        <v>2</v>
      </c>
      <c r="K1257" s="2" t="inlineStr">
        <is>
          <t>marker_495_959567.png</t>
        </is>
      </c>
      <c r="L1257" s="11">
        <f>HYPERLINK("2\1\" &amp; K1257, "Ver Imagen")</f>
        <v/>
      </c>
      <c r="M1257" t="inlineStr">
        <is>
          <t>Moda</t>
        </is>
      </c>
    </row>
    <row r="1258">
      <c r="A1258" t="n">
        <v>1257</v>
      </c>
      <c r="B1258" t="inlineStr">
        <is>
          <t>A-5052__215</t>
        </is>
      </c>
      <c r="C1258" s="1" t="n">
        <v>37.2137514028</v>
      </c>
      <c r="D1258" s="1" t="n">
        <v>-7.07238119058</v>
      </c>
      <c r="E1258" s="3" t="n">
        <v>2</v>
      </c>
      <c r="F1258" s="2" t="n">
        <v>1</v>
      </c>
      <c r="G1258" s="4" t="n">
        <v>2</v>
      </c>
      <c r="H1258" s="13" t="n"/>
      <c r="I1258" s="15" t="n"/>
      <c r="J1258" s="19" t="n">
        <v>2</v>
      </c>
      <c r="K1258" s="2" t="inlineStr">
        <is>
          <t>marker_940_959642.png</t>
        </is>
      </c>
      <c r="L1258" s="11">
        <f>HYPERLINK("2\1\" &amp; K1258, "Ver Imagen")</f>
        <v/>
      </c>
      <c r="M1258" t="inlineStr">
        <is>
          <t>Moda</t>
        </is>
      </c>
    </row>
    <row r="1259">
      <c r="A1259" t="n">
        <v>1258</v>
      </c>
      <c r="B1259" t="inlineStr">
        <is>
          <t>A-5052__216</t>
        </is>
      </c>
      <c r="C1259" s="1" t="n">
        <v>37.2137257469</v>
      </c>
      <c r="D1259" s="1" t="n">
        <v>-7.07214026188</v>
      </c>
      <c r="E1259" s="3" t="n">
        <v>2</v>
      </c>
      <c r="F1259" s="2" t="n">
        <v>1</v>
      </c>
      <c r="G1259" s="4" t="n">
        <v>2</v>
      </c>
      <c r="H1259" s="13" t="n"/>
      <c r="I1259" s="15" t="n"/>
      <c r="J1259" s="19" t="n">
        <v>2</v>
      </c>
      <c r="K1259" s="2" t="inlineStr">
        <is>
          <t>marker_837_959677.png</t>
        </is>
      </c>
      <c r="L1259" s="11">
        <f>HYPERLINK("2\1\" &amp; K1259, "Ver Imagen")</f>
        <v/>
      </c>
      <c r="M1259" t="inlineStr">
        <is>
          <t>Moda</t>
        </is>
      </c>
    </row>
    <row r="1260">
      <c r="A1260" t="n">
        <v>1259</v>
      </c>
      <c r="B1260" t="inlineStr">
        <is>
          <t>A-5052__218</t>
        </is>
      </c>
      <c r="C1260" s="1" t="n">
        <v>37.2136701974</v>
      </c>
      <c r="D1260" s="1" t="n">
        <v>-7.07165253023</v>
      </c>
      <c r="E1260" s="3" t="n">
        <v>2</v>
      </c>
      <c r="F1260" s="2" t="n">
        <v>1</v>
      </c>
      <c r="G1260" s="4" t="n">
        <v>2</v>
      </c>
      <c r="H1260" s="13" t="n"/>
      <c r="I1260" s="15" t="n"/>
      <c r="J1260" s="19" t="n">
        <v>2</v>
      </c>
      <c r="K1260" s="2" t="inlineStr">
        <is>
          <t>marker_283_959699.png</t>
        </is>
      </c>
      <c r="L1260" s="11">
        <f>HYPERLINK("2\1\" &amp; K1260, "Ver Imagen")</f>
        <v/>
      </c>
      <c r="M1260" t="inlineStr">
        <is>
          <t>Moda</t>
        </is>
      </c>
    </row>
    <row r="1261">
      <c r="A1261" t="n">
        <v>1260</v>
      </c>
      <c r="B1261" t="inlineStr">
        <is>
          <t>A-5052__236</t>
        </is>
      </c>
      <c r="C1261" s="1" t="n">
        <v>37.2133666539</v>
      </c>
      <c r="D1261" s="1" t="n">
        <v>-7.06711152414</v>
      </c>
      <c r="E1261" s="3" t="n">
        <v>2</v>
      </c>
      <c r="F1261" s="2" t="n">
        <v>1</v>
      </c>
      <c r="G1261" s="4" t="n">
        <v>2</v>
      </c>
      <c r="H1261" s="13" t="n"/>
      <c r="I1261" s="15" t="n"/>
      <c r="J1261" s="19" t="n">
        <v>2</v>
      </c>
      <c r="K1261" s="2" t="inlineStr">
        <is>
          <t>marker_363_959905.png</t>
        </is>
      </c>
      <c r="L1261" s="11">
        <f>HYPERLINK("2\1\" &amp; K1261, "Ver Imagen")</f>
        <v/>
      </c>
      <c r="M1261" t="inlineStr">
        <is>
          <t>Moda</t>
        </is>
      </c>
    </row>
    <row r="1262">
      <c r="A1262" t="n">
        <v>1261</v>
      </c>
      <c r="B1262" t="inlineStr">
        <is>
          <t>A-5052__239</t>
        </is>
      </c>
      <c r="C1262" s="1" t="n">
        <v>37.2133387687</v>
      </c>
      <c r="D1262" s="1" t="n">
        <v>-7.06637808777</v>
      </c>
      <c r="E1262" s="3" t="n">
        <v>2</v>
      </c>
      <c r="F1262" s="2" t="n">
        <v>2</v>
      </c>
      <c r="G1262" s="4" t="n">
        <v>3</v>
      </c>
      <c r="H1262" s="13" t="n"/>
      <c r="I1262" s="15" t="n"/>
      <c r="J1262" s="19" t="n">
        <v>2</v>
      </c>
      <c r="K1262" s="2" t="inlineStr">
        <is>
          <t>marker_707_959935.png</t>
        </is>
      </c>
      <c r="L1262" s="11">
        <f>HYPERLINK("2\1\" &amp; K1262, "Ver Imagen")</f>
        <v/>
      </c>
      <c r="M1262" t="inlineStr">
        <is>
          <t>Moda</t>
        </is>
      </c>
    </row>
    <row r="1263">
      <c r="A1263" t="n">
        <v>1262</v>
      </c>
      <c r="B1263" t="inlineStr">
        <is>
          <t>A-5052__253</t>
        </is>
      </c>
      <c r="C1263" s="1" t="n">
        <v>37.213199674</v>
      </c>
      <c r="D1263" s="1" t="n">
        <v>-7.06289205032</v>
      </c>
      <c r="E1263" s="3" t="n">
        <v>1</v>
      </c>
      <c r="F1263" s="2" t="n">
        <v>2</v>
      </c>
      <c r="G1263" s="4" t="n">
        <v>2</v>
      </c>
      <c r="H1263" s="13" t="n"/>
      <c r="I1263" s="15" t="n"/>
      <c r="J1263" s="19" t="n">
        <v>2</v>
      </c>
      <c r="K1263" s="2" t="inlineStr">
        <is>
          <t>marker_724_960124.png</t>
        </is>
      </c>
      <c r="L1263" s="11">
        <f>HYPERLINK("2\1\" &amp; K1263, "Ver Imagen")</f>
        <v/>
      </c>
      <c r="M1263" t="inlineStr">
        <is>
          <t>Moda</t>
        </is>
      </c>
    </row>
    <row r="1264">
      <c r="A1264" t="n">
        <v>1263</v>
      </c>
      <c r="B1264" t="inlineStr">
        <is>
          <t>A-5052__258</t>
        </is>
      </c>
      <c r="C1264" s="1" t="n">
        <v>37.2129642423</v>
      </c>
      <c r="D1264" s="1" t="n">
        <v>-7.06167543621</v>
      </c>
      <c r="E1264" s="3" t="n">
        <v>2</v>
      </c>
      <c r="F1264" s="2" t="n">
        <v>2</v>
      </c>
      <c r="G1264" s="4" t="n">
        <v>3</v>
      </c>
      <c r="H1264" s="13" t="n"/>
      <c r="I1264" s="15" t="n"/>
      <c r="J1264" s="19" t="n">
        <v>2</v>
      </c>
      <c r="K1264" s="2" t="inlineStr">
        <is>
          <t>marker_404_960177.png</t>
        </is>
      </c>
      <c r="L1264" s="11">
        <f>HYPERLINK("2\1\" &amp; K1264, "Ver Imagen")</f>
        <v/>
      </c>
      <c r="M1264" t="inlineStr">
        <is>
          <t>Moda</t>
        </is>
      </c>
    </row>
    <row r="1265">
      <c r="A1265" t="n">
        <v>1264</v>
      </c>
      <c r="B1265" t="inlineStr">
        <is>
          <t>A-5052__260</t>
        </is>
      </c>
      <c r="C1265" s="1" t="n">
        <v>37.2127957147</v>
      </c>
      <c r="D1265" s="1" t="n">
        <v>-7.06117913135</v>
      </c>
      <c r="E1265" s="3" t="n">
        <v>1</v>
      </c>
      <c r="F1265" s="2" t="n">
        <v>2</v>
      </c>
      <c r="G1265" s="4" t="n">
        <v>2</v>
      </c>
      <c r="H1265" s="13" t="n"/>
      <c r="I1265" s="15" t="n"/>
      <c r="J1265" s="19" t="n">
        <v>2</v>
      </c>
      <c r="K1265" s="2" t="inlineStr">
        <is>
          <t>marker_920_960202.png</t>
        </is>
      </c>
      <c r="L1265" s="11">
        <f>HYPERLINK("2\1\" &amp; K1265, "Ver Imagen")</f>
        <v/>
      </c>
      <c r="M1265" t="inlineStr">
        <is>
          <t>Moda</t>
        </is>
      </c>
    </row>
    <row r="1266">
      <c r="A1266" t="n">
        <v>1265</v>
      </c>
      <c r="B1266" t="inlineStr">
        <is>
          <t>A-5052__264</t>
        </is>
      </c>
      <c r="C1266" s="1" t="n">
        <v>37.2124622376</v>
      </c>
      <c r="D1266" s="1" t="n">
        <v>-7.06028866276</v>
      </c>
      <c r="E1266" s="3" t="n">
        <v>2</v>
      </c>
      <c r="F1266" s="2" t="n">
        <v>1</v>
      </c>
      <c r="G1266" s="4" t="n">
        <v>2</v>
      </c>
      <c r="H1266" s="13" t="n"/>
      <c r="I1266" s="15" t="n"/>
      <c r="J1266" s="19" t="n">
        <v>2</v>
      </c>
      <c r="K1266" s="2" t="inlineStr">
        <is>
          <t>marker_817_960247.png</t>
        </is>
      </c>
      <c r="L1266" s="11">
        <f>HYPERLINK("2\1\" &amp; K1266, "Ver Imagen")</f>
        <v/>
      </c>
      <c r="M1266" t="inlineStr">
        <is>
          <t>Moda</t>
        </is>
      </c>
    </row>
    <row r="1267">
      <c r="A1267" t="n">
        <v>1266</v>
      </c>
      <c r="B1267" t="inlineStr">
        <is>
          <t>A-5052__267</t>
        </is>
      </c>
      <c r="C1267" s="1" t="n">
        <v>37.2121969074</v>
      </c>
      <c r="D1267" s="1" t="n">
        <v>-7.05956956085</v>
      </c>
      <c r="E1267" s="3" t="n">
        <v>1</v>
      </c>
      <c r="F1267" s="2" t="n">
        <v>2</v>
      </c>
      <c r="G1267" s="4" t="n">
        <v>2</v>
      </c>
      <c r="H1267" s="13" t="n"/>
      <c r="I1267" s="15" t="n"/>
      <c r="J1267" s="19" t="n">
        <v>2</v>
      </c>
      <c r="K1267" s="2" t="inlineStr">
        <is>
          <t>marker_112_960284.png</t>
        </is>
      </c>
      <c r="L1267" s="11">
        <f>HYPERLINK("2\1\" &amp; K1267, "Ver Imagen")</f>
        <v/>
      </c>
      <c r="M1267" t="inlineStr">
        <is>
          <t>Moda</t>
        </is>
      </c>
    </row>
    <row r="1268">
      <c r="A1268" t="n">
        <v>1267</v>
      </c>
      <c r="B1268" t="inlineStr">
        <is>
          <t>A-5052__280</t>
        </is>
      </c>
      <c r="C1268" s="1" t="n">
        <v>37.2112837825</v>
      </c>
      <c r="D1268" s="1" t="n">
        <v>-7.05653898307</v>
      </c>
      <c r="E1268" s="3" t="n">
        <v>1</v>
      </c>
      <c r="F1268" s="2" t="n">
        <v>2</v>
      </c>
      <c r="G1268" s="4" t="n">
        <v>2</v>
      </c>
      <c r="H1268" s="13" t="n"/>
      <c r="I1268" s="15" t="n"/>
      <c r="J1268" s="19" t="n">
        <v>2</v>
      </c>
      <c r="K1268" s="2" t="inlineStr">
        <is>
          <t>marker_455_960516.png</t>
        </is>
      </c>
      <c r="L1268" s="11">
        <f>HYPERLINK("2\1\" &amp; K1268, "Ver Imagen")</f>
        <v/>
      </c>
      <c r="M1268" t="inlineStr">
        <is>
          <t>Moda</t>
        </is>
      </c>
    </row>
    <row r="1269">
      <c r="A1269" t="n">
        <v>1268</v>
      </c>
      <c r="B1269" t="inlineStr">
        <is>
          <t>A-5052__287</t>
        </is>
      </c>
      <c r="C1269" s="1" t="n">
        <v>37.2110689749</v>
      </c>
      <c r="D1269" s="1" t="n">
        <v>-7.05477684356</v>
      </c>
      <c r="E1269" s="3" t="n">
        <v>2</v>
      </c>
      <c r="F1269" s="2" t="n">
        <v>3</v>
      </c>
      <c r="G1269" s="4" t="n">
        <v>2</v>
      </c>
      <c r="H1269" s="13" t="n"/>
      <c r="I1269" s="15" t="n"/>
      <c r="J1269" s="19" t="n">
        <v>2</v>
      </c>
      <c r="K1269" s="2" t="inlineStr">
        <is>
          <t>marker_947_960606.png</t>
        </is>
      </c>
      <c r="L1269" s="11">
        <f>HYPERLINK("2\1\" &amp; K1269, "Ver Imagen")</f>
        <v/>
      </c>
      <c r="M1269" t="inlineStr">
        <is>
          <t>Moda</t>
        </is>
      </c>
    </row>
    <row r="1270">
      <c r="A1270" t="n">
        <v>1269</v>
      </c>
      <c r="B1270" t="inlineStr">
        <is>
          <t>A-5052__289</t>
        </is>
      </c>
      <c r="C1270" s="1" t="n">
        <v>37.2110016045</v>
      </c>
      <c r="D1270" s="1" t="n">
        <v>-7.05427259678</v>
      </c>
      <c r="E1270" s="3" t="n">
        <v>3</v>
      </c>
      <c r="F1270" s="2" t="n">
        <v>2</v>
      </c>
      <c r="G1270" s="4" t="n">
        <v>2</v>
      </c>
      <c r="H1270" s="13" t="n"/>
      <c r="I1270" s="15" t="n"/>
      <c r="J1270" s="19" t="n">
        <v>2</v>
      </c>
      <c r="K1270" s="2" t="inlineStr">
        <is>
          <t>marker_887_960634.png</t>
        </is>
      </c>
      <c r="L1270" s="11">
        <f>HYPERLINK("2\1\" &amp; K1270, "Ver Imagen")</f>
        <v/>
      </c>
      <c r="M1270" t="inlineStr">
        <is>
          <t>Moda</t>
        </is>
      </c>
    </row>
    <row r="1271">
      <c r="A1271" t="n">
        <v>1270</v>
      </c>
      <c r="B1271" t="inlineStr">
        <is>
          <t>A-5052__291</t>
        </is>
      </c>
      <c r="C1271" s="1" t="n">
        <v>37.2109069974</v>
      </c>
      <c r="D1271" s="1" t="n">
        <v>-7.05380944347</v>
      </c>
      <c r="E1271" s="3" t="n">
        <v>2</v>
      </c>
      <c r="F1271" s="2" t="n">
        <v>3</v>
      </c>
      <c r="G1271" s="4" t="n">
        <v>2</v>
      </c>
      <c r="H1271" s="13" t="n"/>
      <c r="I1271" s="15" t="n"/>
      <c r="J1271" s="19" t="n">
        <v>2</v>
      </c>
      <c r="K1271" s="2" t="inlineStr">
        <is>
          <t>marker_559_960665.png</t>
        </is>
      </c>
      <c r="L1271" s="11">
        <f>HYPERLINK("2\1\" &amp; K1271, "Ver Imagen")</f>
        <v/>
      </c>
      <c r="M1271" t="inlineStr">
        <is>
          <t>Moda</t>
        </is>
      </c>
    </row>
    <row r="1272">
      <c r="A1272" t="n">
        <v>1271</v>
      </c>
      <c r="B1272" t="inlineStr">
        <is>
          <t>A-5052__301</t>
        </is>
      </c>
      <c r="C1272" s="1" t="n">
        <v>37.2108756168</v>
      </c>
      <c r="D1272" s="1" t="n">
        <v>-7.05130451409</v>
      </c>
      <c r="E1272" s="3" t="n">
        <v>2</v>
      </c>
      <c r="F1272" s="2" t="n">
        <v>3</v>
      </c>
      <c r="G1272" s="4" t="n">
        <v>2</v>
      </c>
      <c r="H1272" s="13" t="n"/>
      <c r="I1272" s="15" t="n"/>
      <c r="J1272" s="19" t="n">
        <v>2</v>
      </c>
      <c r="K1272" s="2" t="inlineStr">
        <is>
          <t>marker_881_960932.png</t>
        </is>
      </c>
      <c r="L1272" s="11">
        <f>HYPERLINK("2\1\" &amp; K1272, "Ver Imagen")</f>
        <v/>
      </c>
      <c r="M1272" t="inlineStr">
        <is>
          <t>Moda</t>
        </is>
      </c>
    </row>
    <row r="1273">
      <c r="A1273" t="n">
        <v>1272</v>
      </c>
      <c r="B1273" t="inlineStr">
        <is>
          <t>A-5052__312</t>
        </is>
      </c>
      <c r="C1273" s="1" t="n">
        <v>37.2117341491</v>
      </c>
      <c r="D1273" s="1" t="n">
        <v>-7.04875580947</v>
      </c>
      <c r="E1273" s="3" t="n">
        <v>2</v>
      </c>
      <c r="F1273" s="2" t="n">
        <v>1</v>
      </c>
      <c r="G1273" s="4" t="n">
        <v>2</v>
      </c>
      <c r="H1273" s="13" t="n"/>
      <c r="I1273" s="15" t="n"/>
      <c r="J1273" s="19" t="n">
        <v>2</v>
      </c>
      <c r="K1273" s="2" t="inlineStr">
        <is>
          <t>marker_568_961143.png</t>
        </is>
      </c>
      <c r="L1273" s="11">
        <f>HYPERLINK("2\1\" &amp; K1273, "Ver Imagen")</f>
        <v/>
      </c>
      <c r="M1273" t="inlineStr">
        <is>
          <t>Moda</t>
        </is>
      </c>
    </row>
    <row r="1274">
      <c r="A1274" t="n">
        <v>1273</v>
      </c>
      <c r="B1274" t="inlineStr">
        <is>
          <t>A-5052__319</t>
        </is>
      </c>
      <c r="C1274" s="1" t="n">
        <v>37.2116079741</v>
      </c>
      <c r="D1274" s="1" t="n">
        <v>-7.04696682013</v>
      </c>
      <c r="E1274" s="3" t="n">
        <v>2</v>
      </c>
      <c r="F1274" s="2" t="n">
        <v>3</v>
      </c>
      <c r="G1274" s="4" t="n">
        <v>2</v>
      </c>
      <c r="H1274" s="13" t="n"/>
      <c r="I1274" s="15" t="n"/>
      <c r="J1274" s="19" t="n">
        <v>2</v>
      </c>
      <c r="K1274" s="2" t="inlineStr">
        <is>
          <t>marker_146_961242.png</t>
        </is>
      </c>
      <c r="L1274" s="11">
        <f>HYPERLINK("2\1\" &amp; K1274, "Ver Imagen")</f>
        <v/>
      </c>
      <c r="M1274" t="inlineStr">
        <is>
          <t>Moda</t>
        </is>
      </c>
    </row>
    <row r="1275">
      <c r="A1275" t="n">
        <v>1274</v>
      </c>
      <c r="B1275" t="inlineStr">
        <is>
          <t>A-5052__323</t>
        </is>
      </c>
      <c r="C1275" s="1" t="n">
        <v>37.2114211042</v>
      </c>
      <c r="D1275" s="1" t="n">
        <v>-7.04596185764</v>
      </c>
      <c r="E1275" s="3" t="n">
        <v>2</v>
      </c>
      <c r="F1275" s="2" t="n">
        <v>1</v>
      </c>
      <c r="G1275" s="4" t="n">
        <v>2</v>
      </c>
      <c r="H1275" s="13" t="n"/>
      <c r="I1275" s="15" t="n"/>
      <c r="J1275" s="19" t="n">
        <v>2</v>
      </c>
      <c r="K1275" s="2" t="inlineStr">
        <is>
          <t>marker_196_961300.png</t>
        </is>
      </c>
      <c r="L1275" s="11">
        <f>HYPERLINK("2\1\" &amp; K1275, "Ver Imagen")</f>
        <v/>
      </c>
      <c r="M1275" t="inlineStr">
        <is>
          <t>Moda</t>
        </is>
      </c>
    </row>
    <row r="1276">
      <c r="A1276" t="n">
        <v>1275</v>
      </c>
      <c r="B1276" t="inlineStr">
        <is>
          <t>A-5052__333</t>
        </is>
      </c>
      <c r="C1276" s="1" t="n">
        <v>37.210682354</v>
      </c>
      <c r="D1276" s="1" t="n">
        <v>-7.04357545473</v>
      </c>
      <c r="E1276" s="3" t="n">
        <v>2</v>
      </c>
      <c r="F1276" s="2" t="n">
        <v>3</v>
      </c>
      <c r="G1276" s="4" t="n">
        <v>2</v>
      </c>
      <c r="H1276" s="13" t="n"/>
      <c r="I1276" s="15" t="n"/>
      <c r="J1276" s="19" t="n">
        <v>2</v>
      </c>
      <c r="K1276" s="2" t="inlineStr">
        <is>
          <t>marker_489_961531.png</t>
        </is>
      </c>
      <c r="L1276" s="11">
        <f>HYPERLINK("2\1\" &amp; K1276, "Ver Imagen")</f>
        <v/>
      </c>
      <c r="M1276" t="inlineStr">
        <is>
          <t>Moda</t>
        </is>
      </c>
    </row>
    <row r="1277">
      <c r="A1277" t="n">
        <v>1276</v>
      </c>
      <c r="B1277" t="inlineStr">
        <is>
          <t>A-5052__340</t>
        </is>
      </c>
      <c r="C1277" s="1" t="n">
        <v>37.2101111899</v>
      </c>
      <c r="D1277" s="1" t="n">
        <v>-7.04203443241</v>
      </c>
      <c r="E1277" s="3" t="n">
        <v>2</v>
      </c>
      <c r="F1277" s="2" t="n">
        <v>3</v>
      </c>
      <c r="G1277" s="4" t="n">
        <v>2</v>
      </c>
      <c r="H1277" s="13" t="n"/>
      <c r="I1277" s="15" t="n"/>
      <c r="J1277" s="19" t="n">
        <v>2</v>
      </c>
      <c r="K1277" s="2" t="inlineStr">
        <is>
          <t>marker_326_961623.png</t>
        </is>
      </c>
      <c r="L1277" s="11">
        <f>HYPERLINK("2\1\" &amp; K1277, "Ver Imagen")</f>
        <v/>
      </c>
      <c r="M1277" t="inlineStr">
        <is>
          <t>Moda</t>
        </is>
      </c>
    </row>
    <row r="1278">
      <c r="A1278" t="n">
        <v>1277</v>
      </c>
      <c r="B1278" t="inlineStr">
        <is>
          <t>A-5052__344</t>
        </is>
      </c>
      <c r="C1278" s="1" t="n">
        <v>37.2097656337</v>
      </c>
      <c r="D1278" s="1" t="n">
        <v>-7.04111775496</v>
      </c>
      <c r="E1278" s="3" t="n">
        <v>2</v>
      </c>
      <c r="F1278" s="2" t="n">
        <v>3</v>
      </c>
      <c r="G1278" s="4" t="n">
        <v>2</v>
      </c>
      <c r="H1278" s="13" t="n"/>
      <c r="I1278" s="15" t="n"/>
      <c r="J1278" s="19" t="n">
        <v>2</v>
      </c>
      <c r="K1278" s="2" t="inlineStr">
        <is>
          <t>marker_330_961665.png</t>
        </is>
      </c>
      <c r="L1278" s="11">
        <f>HYPERLINK("2\1\" &amp; K1278, "Ver Imagen")</f>
        <v/>
      </c>
      <c r="M1278" t="inlineStr">
        <is>
          <t>Moda</t>
        </is>
      </c>
    </row>
    <row r="1279">
      <c r="A1279" t="n">
        <v>1278</v>
      </c>
      <c r="B1279" t="inlineStr">
        <is>
          <t>A-5052__355</t>
        </is>
      </c>
      <c r="C1279" s="1" t="n">
        <v>37.208814296</v>
      </c>
      <c r="D1279" s="1" t="n">
        <v>-7.03863519421</v>
      </c>
      <c r="E1279" s="3" t="n">
        <v>2</v>
      </c>
      <c r="F1279" s="2" t="n">
        <v>3</v>
      </c>
      <c r="G1279" s="4" t="n">
        <v>2</v>
      </c>
      <c r="H1279" s="13" t="n"/>
      <c r="I1279" s="15" t="n"/>
      <c r="J1279" s="19" t="n">
        <v>2</v>
      </c>
      <c r="K1279" s="2" t="inlineStr">
        <is>
          <t>marker_742_961808.png</t>
        </is>
      </c>
      <c r="L1279" s="11">
        <f>HYPERLINK("2\1\" &amp; K1279, "Ver Imagen")</f>
        <v/>
      </c>
      <c r="M1279" t="inlineStr">
        <is>
          <t>Moda</t>
        </is>
      </c>
    </row>
    <row r="1280">
      <c r="A1280" t="n">
        <v>1279</v>
      </c>
      <c r="B1280" t="inlineStr">
        <is>
          <t>A-5052__363</t>
        </is>
      </c>
      <c r="C1280" s="1" t="n">
        <v>37.2081039428</v>
      </c>
      <c r="D1280" s="1" t="n">
        <v>-7.0367953869</v>
      </c>
      <c r="E1280" s="3" t="n">
        <v>2</v>
      </c>
      <c r="F1280" s="2" t="n">
        <v>3</v>
      </c>
      <c r="G1280" s="4" t="n">
        <v>2</v>
      </c>
      <c r="H1280" s="13" t="n"/>
      <c r="I1280" s="15" t="n"/>
      <c r="J1280" s="19" t="n">
        <v>2</v>
      </c>
      <c r="K1280" s="2" t="inlineStr">
        <is>
          <t>marker_548_961890.png</t>
        </is>
      </c>
      <c r="L1280" s="11">
        <f>HYPERLINK("2\1\" &amp; K1280, "Ver Imagen")</f>
        <v/>
      </c>
      <c r="M1280" t="inlineStr">
        <is>
          <t>Moda</t>
        </is>
      </c>
    </row>
    <row r="1281">
      <c r="A1281" t="n">
        <v>1280</v>
      </c>
      <c r="B1281" t="inlineStr">
        <is>
          <t>A-5052__364</t>
        </is>
      </c>
      <c r="C1281" s="1" t="n">
        <v>37.2080146029</v>
      </c>
      <c r="D1281" s="1" t="n">
        <v>-7.03656565782</v>
      </c>
      <c r="E1281" s="3" t="n">
        <v>2</v>
      </c>
      <c r="F1281" s="2" t="n">
        <v>3</v>
      </c>
      <c r="G1281" s="4" t="n">
        <v>2</v>
      </c>
      <c r="H1281" s="13" t="n"/>
      <c r="I1281" s="15" t="n"/>
      <c r="J1281" s="19" t="n">
        <v>2</v>
      </c>
      <c r="K1281" s="2" t="inlineStr">
        <is>
          <t>marker_717_961898.png</t>
        </is>
      </c>
      <c r="L1281" s="11">
        <f>HYPERLINK("2\1\" &amp; K1281, "Ver Imagen")</f>
        <v/>
      </c>
      <c r="M1281" t="inlineStr">
        <is>
          <t>Moda</t>
        </is>
      </c>
    </row>
    <row r="1282">
      <c r="A1282" t="n">
        <v>1281</v>
      </c>
      <c r="B1282" t="inlineStr">
        <is>
          <t>A-5052__366</t>
        </is>
      </c>
      <c r="C1282" s="1" t="n">
        <v>37.2078326852</v>
      </c>
      <c r="D1282" s="1" t="n">
        <v>-7.03609550129</v>
      </c>
      <c r="E1282" s="3" t="n">
        <v>2</v>
      </c>
      <c r="F1282" s="2" t="n">
        <v>3</v>
      </c>
      <c r="G1282" s="4" t="n">
        <v>2</v>
      </c>
      <c r="H1282" s="13" t="n"/>
      <c r="I1282" s="15" t="n"/>
      <c r="J1282" s="19" t="n">
        <v>2</v>
      </c>
      <c r="K1282" s="2" t="inlineStr">
        <is>
          <t>marker_475_962242.png</t>
        </is>
      </c>
      <c r="L1282" s="11">
        <f>HYPERLINK("2\1\" &amp; K1282, "Ver Imagen")</f>
        <v/>
      </c>
      <c r="M1282" t="inlineStr">
        <is>
          <t>Moda</t>
        </is>
      </c>
    </row>
    <row r="1283">
      <c r="A1283" t="n">
        <v>1282</v>
      </c>
      <c r="B1283" t="inlineStr">
        <is>
          <t>A-5052__367</t>
        </is>
      </c>
      <c r="C1283" s="1" t="n">
        <v>37.2077476002</v>
      </c>
      <c r="D1283" s="1" t="n">
        <v>-7.03587145838</v>
      </c>
      <c r="E1283" s="3" t="n">
        <v>2</v>
      </c>
      <c r="F1283" s="2" t="n">
        <v>3</v>
      </c>
      <c r="G1283" s="4" t="n">
        <v>2</v>
      </c>
      <c r="H1283" s="13" t="n"/>
      <c r="I1283" s="15" t="n"/>
      <c r="J1283" s="19" t="n">
        <v>2</v>
      </c>
      <c r="K1283" s="2" t="inlineStr">
        <is>
          <t>marker_281_962259.png</t>
        </is>
      </c>
      <c r="L1283" s="11">
        <f>HYPERLINK("2\1\" &amp; K1283, "Ver Imagen")</f>
        <v/>
      </c>
      <c r="M1283" t="inlineStr">
        <is>
          <t>Moda</t>
        </is>
      </c>
    </row>
    <row r="1284">
      <c r="A1284" t="n">
        <v>1283</v>
      </c>
      <c r="B1284" t="inlineStr">
        <is>
          <t>A-5052__369</t>
        </is>
      </c>
      <c r="C1284" s="1" t="n">
        <v>37.2075597264</v>
      </c>
      <c r="D1284" s="1" t="n">
        <v>-7.0353844257</v>
      </c>
      <c r="E1284" s="3" t="n">
        <v>2</v>
      </c>
      <c r="F1284" s="2" t="n">
        <v>3</v>
      </c>
      <c r="G1284" s="4" t="n">
        <v>2</v>
      </c>
      <c r="H1284" s="13" t="n"/>
      <c r="I1284" s="15" t="n"/>
      <c r="J1284" s="19" t="n">
        <v>2</v>
      </c>
      <c r="K1284" s="2" t="inlineStr">
        <is>
          <t>marker_602_962284.png</t>
        </is>
      </c>
      <c r="L1284" s="11">
        <f>HYPERLINK("2\1\" &amp; K1284, "Ver Imagen")</f>
        <v/>
      </c>
      <c r="M1284" t="inlineStr">
        <is>
          <t>Moda</t>
        </is>
      </c>
    </row>
    <row r="1285">
      <c r="A1285" t="n">
        <v>1284</v>
      </c>
      <c r="B1285" t="inlineStr">
        <is>
          <t>A-5052__373</t>
        </is>
      </c>
      <c r="C1285" s="1" t="n">
        <v>37.2071953792</v>
      </c>
      <c r="D1285" s="1" t="n">
        <v>-7.03445179718</v>
      </c>
      <c r="E1285" s="3" t="n">
        <v>2</v>
      </c>
      <c r="F1285" s="2" t="n">
        <v>3</v>
      </c>
      <c r="G1285" s="4" t="n">
        <v>2</v>
      </c>
      <c r="H1285" s="13" t="n"/>
      <c r="I1285" s="15" t="n"/>
      <c r="J1285" s="19" t="n">
        <v>2</v>
      </c>
      <c r="K1285" s="2" t="inlineStr">
        <is>
          <t>marker_625_962338.png</t>
        </is>
      </c>
      <c r="L1285" s="11">
        <f>HYPERLINK("2\1\" &amp; K1285, "Ver Imagen")</f>
        <v/>
      </c>
      <c r="M1285" t="inlineStr">
        <is>
          <t>Moda</t>
        </is>
      </c>
    </row>
    <row r="1286">
      <c r="A1286" t="n">
        <v>1285</v>
      </c>
      <c r="B1286" t="inlineStr">
        <is>
          <t>A-5052__374</t>
        </is>
      </c>
      <c r="C1286" s="1" t="n">
        <v>37.207138327</v>
      </c>
      <c r="D1286" s="1" t="n">
        <v>-7.03430685282</v>
      </c>
      <c r="E1286" s="3" t="n">
        <v>2</v>
      </c>
      <c r="F1286" s="2" t="n">
        <v>3</v>
      </c>
      <c r="G1286" s="4" t="n">
        <v>2</v>
      </c>
      <c r="H1286" s="13" t="n"/>
      <c r="I1286" s="15" t="n"/>
      <c r="J1286" s="19" t="n">
        <v>2</v>
      </c>
      <c r="K1286" s="2" t="inlineStr">
        <is>
          <t>marker_927_962411.png</t>
        </is>
      </c>
      <c r="L1286" s="11">
        <f>HYPERLINK("2\1\" &amp; K1286, "Ver Imagen")</f>
        <v/>
      </c>
      <c r="M1286" t="inlineStr">
        <is>
          <t>Moda</t>
        </is>
      </c>
    </row>
    <row r="1287">
      <c r="A1287" t="n">
        <v>1286</v>
      </c>
      <c r="B1287" t="inlineStr">
        <is>
          <t>A-5052__375</t>
        </is>
      </c>
      <c r="C1287" s="1" t="n">
        <v>37.2070346357</v>
      </c>
      <c r="D1287" s="1" t="n">
        <v>-7.03404085863</v>
      </c>
      <c r="E1287" s="3" t="n">
        <v>2</v>
      </c>
      <c r="F1287" s="2" t="n">
        <v>3</v>
      </c>
      <c r="G1287" s="4" t="n">
        <v>2</v>
      </c>
      <c r="H1287" s="13" t="n"/>
      <c r="I1287" s="15" t="n"/>
      <c r="J1287" s="19" t="n">
        <v>2</v>
      </c>
      <c r="K1287" s="2" t="inlineStr">
        <is>
          <t>marker_371_962425.png</t>
        </is>
      </c>
      <c r="L1287" s="11">
        <f>HYPERLINK("2\1\" &amp; K1287, "Ver Imagen")</f>
        <v/>
      </c>
      <c r="M1287" t="inlineStr">
        <is>
          <t>Moda</t>
        </is>
      </c>
    </row>
    <row r="1288">
      <c r="A1288" t="n">
        <v>1287</v>
      </c>
      <c r="B1288" t="inlineStr">
        <is>
          <t>A-5052__376</t>
        </is>
      </c>
      <c r="C1288" s="1" t="n">
        <v>37.2069585245</v>
      </c>
      <c r="D1288" s="1" t="n">
        <v>-7.03384156805</v>
      </c>
      <c r="E1288" s="3" t="n">
        <v>2</v>
      </c>
      <c r="F1288" s="2" t="n">
        <v>3</v>
      </c>
      <c r="G1288" s="4" t="n">
        <v>2</v>
      </c>
      <c r="H1288" s="13" t="n"/>
      <c r="I1288" s="15" t="n"/>
      <c r="J1288" s="19" t="n">
        <v>2</v>
      </c>
      <c r="K1288" s="2" t="inlineStr">
        <is>
          <t>marker_861_962438.png</t>
        </is>
      </c>
      <c r="L1288" s="11">
        <f>HYPERLINK("2\1\" &amp; K1288, "Ver Imagen")</f>
        <v/>
      </c>
      <c r="M1288" t="inlineStr">
        <is>
          <t>Moda</t>
        </is>
      </c>
    </row>
    <row r="1289">
      <c r="A1289" t="n">
        <v>1288</v>
      </c>
      <c r="B1289" t="inlineStr">
        <is>
          <t>A-5052__379</t>
        </is>
      </c>
      <c r="C1289" s="1" t="n">
        <v>37.2066890341</v>
      </c>
      <c r="D1289" s="1" t="n">
        <v>-7.03312943229</v>
      </c>
      <c r="E1289" s="3" t="n">
        <v>2</v>
      </c>
      <c r="F1289" s="2" t="n">
        <v>3</v>
      </c>
      <c r="G1289" s="4" t="n">
        <v>2</v>
      </c>
      <c r="H1289" s="13" t="n"/>
      <c r="I1289" s="15" t="n"/>
      <c r="J1289" s="19" t="n">
        <v>2</v>
      </c>
      <c r="K1289" s="2" t="inlineStr">
        <is>
          <t>marker_112_962464.png</t>
        </is>
      </c>
      <c r="L1289" s="11">
        <f>HYPERLINK("2\1\" &amp; K1289, "Ver Imagen")</f>
        <v/>
      </c>
      <c r="M1289" t="inlineStr">
        <is>
          <t>Moda</t>
        </is>
      </c>
    </row>
    <row r="1290">
      <c r="A1290" t="n">
        <v>1289</v>
      </c>
      <c r="B1290" t="inlineStr">
        <is>
          <t>A-5052__383</t>
        </is>
      </c>
      <c r="C1290" s="1" t="n">
        <v>37.2063365485</v>
      </c>
      <c r="D1290" s="1" t="n">
        <v>-7.03221849713</v>
      </c>
      <c r="E1290" s="3" t="n">
        <v>2</v>
      </c>
      <c r="F1290" s="2" t="n">
        <v>3</v>
      </c>
      <c r="G1290" s="4" t="n">
        <v>2</v>
      </c>
      <c r="H1290" s="13" t="n"/>
      <c r="I1290" s="15" t="n"/>
      <c r="J1290" s="19" t="n">
        <v>2</v>
      </c>
      <c r="K1290" s="2" t="inlineStr">
        <is>
          <t>marker_281_962510.png</t>
        </is>
      </c>
      <c r="L1290" s="11">
        <f>HYPERLINK("2\1\" &amp; K1290, "Ver Imagen")</f>
        <v/>
      </c>
      <c r="M1290" t="inlineStr">
        <is>
          <t>Moda</t>
        </is>
      </c>
    </row>
    <row r="1291">
      <c r="A1291" t="n">
        <v>1290</v>
      </c>
      <c r="B1291" t="inlineStr">
        <is>
          <t>A-5052__390</t>
        </is>
      </c>
      <c r="C1291" s="1" t="n">
        <v>37.2057129206</v>
      </c>
      <c r="D1291" s="1" t="n">
        <v>-7.03059678865</v>
      </c>
      <c r="E1291" s="3" t="n">
        <v>2</v>
      </c>
      <c r="F1291" s="2" t="n">
        <v>3</v>
      </c>
      <c r="G1291" s="4" t="n">
        <v>2</v>
      </c>
      <c r="H1291" s="13" t="n"/>
      <c r="I1291" s="15" t="n"/>
      <c r="J1291" s="19" t="n">
        <v>2</v>
      </c>
      <c r="K1291" s="2" t="inlineStr">
        <is>
          <t>marker_951_962578.png</t>
        </is>
      </c>
      <c r="L1291" s="11">
        <f>HYPERLINK("2\1\" &amp; K1291, "Ver Imagen")</f>
        <v/>
      </c>
      <c r="M1291" t="inlineStr">
        <is>
          <t>Moda</t>
        </is>
      </c>
    </row>
    <row r="1292">
      <c r="A1292" t="n">
        <v>1291</v>
      </c>
      <c r="B1292" t="inlineStr">
        <is>
          <t>A-5052__392</t>
        </is>
      </c>
      <c r="C1292" s="1" t="n">
        <v>37.2055472302</v>
      </c>
      <c r="D1292" s="1" t="n">
        <v>-7.03016932285</v>
      </c>
      <c r="E1292" s="3" t="n">
        <v>2</v>
      </c>
      <c r="F1292" s="2" t="n">
        <v>3</v>
      </c>
      <c r="G1292" s="4" t="n">
        <v>2</v>
      </c>
      <c r="H1292" s="13" t="n"/>
      <c r="I1292" s="15" t="n"/>
      <c r="J1292" s="19" t="n">
        <v>2</v>
      </c>
      <c r="K1292" s="2" t="inlineStr">
        <is>
          <t>marker_734_962595.png</t>
        </is>
      </c>
      <c r="L1292" s="11">
        <f>HYPERLINK("2\1\" &amp; K1292, "Ver Imagen")</f>
        <v/>
      </c>
      <c r="M1292" t="inlineStr">
        <is>
          <t>Moda</t>
        </is>
      </c>
    </row>
    <row r="1293">
      <c r="A1293" t="n">
        <v>1292</v>
      </c>
      <c r="B1293" t="inlineStr">
        <is>
          <t>A-5052__410</t>
        </is>
      </c>
      <c r="C1293" s="1" t="n">
        <v>37.2039908253</v>
      </c>
      <c r="D1293" s="1" t="n">
        <v>-7.02608276534</v>
      </c>
      <c r="E1293" s="3" t="n">
        <v>3</v>
      </c>
      <c r="F1293" s="2" t="n">
        <v>2</v>
      </c>
      <c r="G1293" s="4" t="n">
        <v>2</v>
      </c>
      <c r="H1293" s="13" t="n"/>
      <c r="I1293" s="15" t="n"/>
      <c r="J1293" s="19" t="n">
        <v>2</v>
      </c>
      <c r="K1293" s="2" t="inlineStr">
        <is>
          <t>marker_305_962776.png</t>
        </is>
      </c>
      <c r="L1293" s="11">
        <f>HYPERLINK("2\1\" &amp; K1293, "Ver Imagen")</f>
        <v/>
      </c>
      <c r="M1293" t="inlineStr">
        <is>
          <t>Moda</t>
        </is>
      </c>
    </row>
    <row r="1294">
      <c r="A1294" t="n">
        <v>1293</v>
      </c>
      <c r="B1294" t="inlineStr">
        <is>
          <t>A-5052__416</t>
        </is>
      </c>
      <c r="C1294" s="1" t="n">
        <v>37.2034632279</v>
      </c>
      <c r="D1294" s="1" t="n">
        <v>-7.02471007592</v>
      </c>
      <c r="E1294" s="3" t="n">
        <v>1</v>
      </c>
      <c r="F1294" s="2" t="n">
        <v>2</v>
      </c>
      <c r="G1294" s="4" t="n">
        <v>2</v>
      </c>
      <c r="H1294" s="13" t="n"/>
      <c r="I1294" s="15" t="n"/>
      <c r="J1294" s="19" t="n">
        <v>2</v>
      </c>
      <c r="K1294" s="2" t="inlineStr">
        <is>
          <t>marker_525_962832.png</t>
        </is>
      </c>
      <c r="L1294" s="11">
        <f>HYPERLINK("2\1\" &amp; K1294, "Ver Imagen")</f>
        <v/>
      </c>
      <c r="M1294" t="inlineStr">
        <is>
          <t>Moda</t>
        </is>
      </c>
    </row>
    <row r="1295">
      <c r="A1295" t="n">
        <v>1294</v>
      </c>
      <c r="B1295" t="inlineStr">
        <is>
          <t>A-5052__440</t>
        </is>
      </c>
      <c r="C1295" s="1" t="n">
        <v>37.2013681248</v>
      </c>
      <c r="D1295" s="1" t="n">
        <v>-7.01924912216</v>
      </c>
      <c r="E1295" s="3" t="n">
        <v>2</v>
      </c>
      <c r="F1295" s="2" t="n">
        <v>3</v>
      </c>
      <c r="G1295" s="4" t="n">
        <v>2</v>
      </c>
      <c r="H1295" s="13" t="n"/>
      <c r="I1295" s="15" t="n"/>
      <c r="J1295" s="19" t="n">
        <v>2</v>
      </c>
      <c r="K1295" s="2" t="inlineStr">
        <is>
          <t>marker_342_963076.png</t>
        </is>
      </c>
      <c r="L1295" s="11">
        <f>HYPERLINK("2\1\" &amp; K1295, "Ver Imagen")</f>
        <v/>
      </c>
      <c r="M1295" t="inlineStr">
        <is>
          <t>Moda</t>
        </is>
      </c>
    </row>
    <row r="1296">
      <c r="A1296" t="n">
        <v>1295</v>
      </c>
      <c r="B1296" t="inlineStr">
        <is>
          <t>A-5052__444</t>
        </is>
      </c>
      <c r="C1296" s="1" t="n">
        <v>37.2010172038</v>
      </c>
      <c r="D1296" s="1" t="n">
        <v>-7.01834223317</v>
      </c>
      <c r="E1296" s="3" t="n">
        <v>2</v>
      </c>
      <c r="F1296" s="2" t="n">
        <v>3</v>
      </c>
      <c r="G1296" s="4" t="n">
        <v>2</v>
      </c>
      <c r="H1296" s="13" t="n"/>
      <c r="I1296" s="15" t="n"/>
      <c r="J1296" s="19" t="n">
        <v>2</v>
      </c>
      <c r="K1296" s="2" t="inlineStr">
        <is>
          <t>marker_150_963120.png</t>
        </is>
      </c>
      <c r="L1296" s="11">
        <f>HYPERLINK("2\1\" &amp; K1296, "Ver Imagen")</f>
        <v/>
      </c>
      <c r="M1296" t="inlineStr">
        <is>
          <t>Moda</t>
        </is>
      </c>
    </row>
    <row r="1297">
      <c r="A1297" t="n">
        <v>1296</v>
      </c>
      <c r="B1297" t="inlineStr">
        <is>
          <t>A-5052__466</t>
        </is>
      </c>
      <c r="C1297" s="1" t="n">
        <v>37.1990721546</v>
      </c>
      <c r="D1297" s="1" t="n">
        <v>-7.01327015691</v>
      </c>
      <c r="E1297" s="3" t="n">
        <v>2</v>
      </c>
      <c r="F1297" s="2" t="n">
        <v>3</v>
      </c>
      <c r="G1297" s="4" t="n">
        <v>2</v>
      </c>
      <c r="H1297" s="13" t="n"/>
      <c r="I1297" s="15" t="n"/>
      <c r="J1297" s="19" t="n">
        <v>2</v>
      </c>
      <c r="K1297" s="2" t="inlineStr">
        <is>
          <t>marker_220_963354.png</t>
        </is>
      </c>
      <c r="L1297" s="11">
        <f>HYPERLINK("2\1\" &amp; K1297, "Ver Imagen")</f>
        <v/>
      </c>
      <c r="M1297" t="inlineStr">
        <is>
          <t>Moda</t>
        </is>
      </c>
    </row>
    <row r="1298">
      <c r="A1298" t="n">
        <v>1297</v>
      </c>
      <c r="B1298" t="inlineStr">
        <is>
          <t>A-5052__467</t>
        </is>
      </c>
      <c r="C1298" s="1" t="n">
        <v>37.1989929666</v>
      </c>
      <c r="D1298" s="1" t="n">
        <v>-7.01306247998</v>
      </c>
      <c r="E1298" s="3" t="n">
        <v>2</v>
      </c>
      <c r="F1298" s="2" t="n">
        <v>3</v>
      </c>
      <c r="G1298" s="4" t="n">
        <v>2</v>
      </c>
      <c r="H1298" s="13" t="n"/>
      <c r="I1298" s="15" t="n"/>
      <c r="J1298" s="19" t="n">
        <v>2</v>
      </c>
      <c r="K1298" s="2" t="inlineStr">
        <is>
          <t>marker_102_963362.png</t>
        </is>
      </c>
      <c r="L1298" s="11">
        <f>HYPERLINK("2\1\" &amp; K1298, "Ver Imagen")</f>
        <v/>
      </c>
      <c r="M1298" t="inlineStr">
        <is>
          <t>Moda</t>
        </is>
      </c>
    </row>
    <row r="1299">
      <c r="A1299" t="n">
        <v>1298</v>
      </c>
      <c r="B1299" t="inlineStr">
        <is>
          <t>A-5052__475</t>
        </is>
      </c>
      <c r="C1299" s="1" t="n">
        <v>37.1982966663</v>
      </c>
      <c r="D1299" s="1" t="n">
        <v>-7.01126921655</v>
      </c>
      <c r="E1299" s="3" t="n">
        <v>2</v>
      </c>
      <c r="F1299" s="2" t="n">
        <v>2</v>
      </c>
      <c r="G1299" s="4" t="n">
        <v>3</v>
      </c>
      <c r="H1299" s="13" t="n"/>
      <c r="I1299" s="15" t="n"/>
      <c r="J1299" s="19" t="n">
        <v>2</v>
      </c>
      <c r="K1299" s="2" t="inlineStr">
        <is>
          <t>marker_555_963442.png</t>
        </is>
      </c>
      <c r="L1299" s="11">
        <f>HYPERLINK("2\1\" &amp; K1299, "Ver Imagen")</f>
        <v/>
      </c>
      <c r="M1299" t="inlineStr">
        <is>
          <t>Moda</t>
        </is>
      </c>
    </row>
    <row r="1300">
      <c r="A1300" t="n">
        <v>1299</v>
      </c>
      <c r="B1300" t="inlineStr">
        <is>
          <t>A-5052__476</t>
        </is>
      </c>
      <c r="C1300" s="1" t="n">
        <v>37.198195062</v>
      </c>
      <c r="D1300" s="1" t="n">
        <v>-7.01100691559</v>
      </c>
      <c r="E1300" s="3" t="n">
        <v>2</v>
      </c>
      <c r="F1300" s="2" t="n">
        <v>2</v>
      </c>
      <c r="G1300" s="4" t="n">
        <v>3</v>
      </c>
      <c r="H1300" s="13" t="n"/>
      <c r="I1300" s="15" t="n"/>
      <c r="J1300" s="19" t="n">
        <v>2</v>
      </c>
      <c r="K1300" s="2" t="inlineStr">
        <is>
          <t>marker_775_963450.png</t>
        </is>
      </c>
      <c r="L1300" s="11">
        <f>HYPERLINK("2\1\" &amp; K1300, "Ver Imagen")</f>
        <v/>
      </c>
      <c r="M1300" t="inlineStr">
        <is>
          <t>Moda</t>
        </is>
      </c>
    </row>
    <row r="1301">
      <c r="A1301" t="n">
        <v>1300</v>
      </c>
      <c r="B1301" t="inlineStr">
        <is>
          <t>A-5052__481</t>
        </is>
      </c>
      <c r="C1301" s="1" t="n">
        <v>37.1977624238</v>
      </c>
      <c r="D1301" s="1" t="n">
        <v>-7.00989189511</v>
      </c>
      <c r="E1301" s="3" t="n">
        <v>2</v>
      </c>
      <c r="F1301" s="2" t="n">
        <v>2</v>
      </c>
      <c r="G1301" s="4" t="n">
        <v>3</v>
      </c>
      <c r="H1301" s="13" t="n"/>
      <c r="I1301" s="15" t="n"/>
      <c r="J1301" s="19" t="n">
        <v>2</v>
      </c>
      <c r="K1301" s="2" t="inlineStr">
        <is>
          <t>marker_680_963501.png</t>
        </is>
      </c>
      <c r="L1301" s="11">
        <f>HYPERLINK("2\1\" &amp; K1301, "Ver Imagen")</f>
        <v/>
      </c>
      <c r="M1301" t="inlineStr">
        <is>
          <t>Moda</t>
        </is>
      </c>
    </row>
    <row r="1302">
      <c r="A1302" t="n">
        <v>1301</v>
      </c>
      <c r="B1302" t="inlineStr">
        <is>
          <t>A-5052__487</t>
        </is>
      </c>
      <c r="C1302" s="1" t="n">
        <v>37.1973500172</v>
      </c>
      <c r="D1302" s="1" t="n">
        <v>-7.00847607991</v>
      </c>
      <c r="E1302" s="3" t="n">
        <v>2</v>
      </c>
      <c r="F1302" s="2" t="n">
        <v>2</v>
      </c>
      <c r="G1302" s="4" t="n">
        <v>1</v>
      </c>
      <c r="H1302" s="13" t="n"/>
      <c r="I1302" s="15" t="n"/>
      <c r="J1302" s="19" t="n">
        <v>2</v>
      </c>
      <c r="K1302" s="2" t="inlineStr">
        <is>
          <t>marker_810_963559.png</t>
        </is>
      </c>
      <c r="L1302" s="11">
        <f>HYPERLINK("2\1\" &amp; K1302, "Ver Imagen")</f>
        <v/>
      </c>
      <c r="M1302" t="inlineStr">
        <is>
          <t>Moda</t>
        </is>
      </c>
    </row>
    <row r="1303">
      <c r="A1303" t="n">
        <v>1302</v>
      </c>
      <c r="B1303" t="inlineStr">
        <is>
          <t>A-5052__493</t>
        </is>
      </c>
      <c r="C1303" s="1" t="n">
        <v>37.1972063754</v>
      </c>
      <c r="D1303" s="1" t="n">
        <v>-7.0069559465</v>
      </c>
      <c r="E1303" s="3" t="n">
        <v>2</v>
      </c>
      <c r="F1303" s="2" t="n">
        <v>2</v>
      </c>
      <c r="G1303" s="4" t="n">
        <v>3</v>
      </c>
      <c r="H1303" s="13" t="n"/>
      <c r="I1303" s="15" t="n"/>
      <c r="J1303" s="19" t="n">
        <v>2</v>
      </c>
      <c r="K1303" s="2" t="inlineStr">
        <is>
          <t>marker_320_963615.png</t>
        </is>
      </c>
      <c r="L1303" s="11">
        <f>HYPERLINK("2\1\" &amp; K1303, "Ver Imagen")</f>
        <v/>
      </c>
      <c r="M1303" t="inlineStr">
        <is>
          <t>Moda</t>
        </is>
      </c>
    </row>
    <row r="1304">
      <c r="A1304" t="n">
        <v>1303</v>
      </c>
      <c r="B1304" t="inlineStr">
        <is>
          <t>A-5052__497</t>
        </is>
      </c>
      <c r="C1304" s="1" t="n">
        <v>37.1970532374</v>
      </c>
      <c r="D1304" s="1" t="n">
        <v>-7.00598737105</v>
      </c>
      <c r="E1304" s="3" t="n">
        <v>2</v>
      </c>
      <c r="F1304" s="2" t="n">
        <v>1</v>
      </c>
      <c r="G1304" s="4" t="n">
        <v>2</v>
      </c>
      <c r="H1304" s="13" t="n"/>
      <c r="I1304" s="15" t="n"/>
      <c r="J1304" s="19" t="n">
        <v>2</v>
      </c>
      <c r="K1304" s="2" t="inlineStr">
        <is>
          <t>marker_297_963651.png</t>
        </is>
      </c>
      <c r="L1304" s="11">
        <f>HYPERLINK("2\1\" &amp; K1304, "Ver Imagen")</f>
        <v/>
      </c>
      <c r="M1304" t="inlineStr">
        <is>
          <t>Moda</t>
        </is>
      </c>
    </row>
    <row r="1305">
      <c r="A1305" t="n">
        <v>1304</v>
      </c>
      <c r="B1305" t="inlineStr">
        <is>
          <t>A-5052__499</t>
        </is>
      </c>
      <c r="C1305" s="1" t="n">
        <v>37.1969134151</v>
      </c>
      <c r="D1305" s="1" t="n">
        <v>-7.00544338861</v>
      </c>
      <c r="E1305" s="3" t="n">
        <v>2</v>
      </c>
      <c r="F1305" s="2" t="n">
        <v>2</v>
      </c>
      <c r="G1305" s="4" t="n">
        <v>3</v>
      </c>
      <c r="H1305" s="13" t="n"/>
      <c r="I1305" s="15" t="n"/>
      <c r="J1305" s="19" t="n">
        <v>2</v>
      </c>
      <c r="K1305" s="2" t="inlineStr">
        <is>
          <t>marker_613_963668.png</t>
        </is>
      </c>
      <c r="L1305" s="11">
        <f>HYPERLINK("2\1\" &amp; K1305, "Ver Imagen")</f>
        <v/>
      </c>
      <c r="M1305" t="inlineStr">
        <is>
          <t>Moda</t>
        </is>
      </c>
    </row>
    <row r="1306">
      <c r="A1306" t="n">
        <v>1305</v>
      </c>
      <c r="B1306" t="inlineStr">
        <is>
          <t>A-5052__501</t>
        </is>
      </c>
      <c r="C1306" s="1" t="n">
        <v>37.1967947965</v>
      </c>
      <c r="D1306" s="1" t="n">
        <v>-7.00503628289</v>
      </c>
      <c r="E1306" s="3" t="n">
        <v>2</v>
      </c>
      <c r="F1306" s="2" t="n">
        <v>3</v>
      </c>
      <c r="G1306" s="4" t="n">
        <v>2</v>
      </c>
      <c r="H1306" s="13" t="n"/>
      <c r="I1306" s="15" t="n"/>
      <c r="J1306" s="19" t="n">
        <v>2</v>
      </c>
      <c r="K1306" s="2" t="inlineStr">
        <is>
          <t>marker_770_963689.png</t>
        </is>
      </c>
      <c r="L1306" s="11">
        <f>HYPERLINK("2\1\" &amp; K1306, "Ver Imagen")</f>
        <v/>
      </c>
      <c r="M1306" t="inlineStr">
        <is>
          <t>Moda</t>
        </is>
      </c>
    </row>
    <row r="1307">
      <c r="A1307" t="n">
        <v>1306</v>
      </c>
      <c r="B1307" t="inlineStr">
        <is>
          <t>A-5053__377</t>
        </is>
      </c>
      <c r="C1307" s="1" t="n">
        <v>37.2878161918</v>
      </c>
      <c r="D1307" s="1" t="n">
        <v>-7.14135308805</v>
      </c>
      <c r="E1307" s="3" t="n">
        <v>1</v>
      </c>
      <c r="F1307" s="2" t="n">
        <v>2</v>
      </c>
      <c r="G1307" s="4" t="n">
        <v>2</v>
      </c>
      <c r="H1307" s="13" t="n"/>
      <c r="I1307" s="15" t="n"/>
      <c r="J1307" s="19" t="n">
        <v>2</v>
      </c>
      <c r="K1307" s="2" t="inlineStr">
        <is>
          <t>marker_387_963888.png</t>
        </is>
      </c>
      <c r="L1307" s="11">
        <f>HYPERLINK("2\1\" &amp; K1307, "Ver Imagen")</f>
        <v/>
      </c>
      <c r="M1307" t="inlineStr">
        <is>
          <t>Moda</t>
        </is>
      </c>
    </row>
    <row r="1308">
      <c r="A1308" t="n">
        <v>1307</v>
      </c>
      <c r="B1308" t="inlineStr">
        <is>
          <t>A-5053__306</t>
        </is>
      </c>
      <c r="C1308" s="1" t="n">
        <v>37.2754239562</v>
      </c>
      <c r="D1308" s="1" t="n">
        <v>-7.14275959355</v>
      </c>
      <c r="E1308" s="3" t="n">
        <v>2</v>
      </c>
      <c r="F1308" s="2" t="n">
        <v>3</v>
      </c>
      <c r="G1308" s="4" t="n">
        <v>2</v>
      </c>
      <c r="H1308" s="13" t="n"/>
      <c r="I1308" s="15" t="n"/>
      <c r="J1308" s="19" t="n">
        <v>2</v>
      </c>
      <c r="K1308" s="2" t="inlineStr">
        <is>
          <t>marker_609_964713.png</t>
        </is>
      </c>
      <c r="L1308" s="11">
        <f>HYPERLINK("2\1\" &amp; K1308, "Ver Imagen")</f>
        <v/>
      </c>
      <c r="M1308" t="inlineStr">
        <is>
          <t>Moda</t>
        </is>
      </c>
    </row>
    <row r="1309">
      <c r="A1309" t="n">
        <v>1308</v>
      </c>
      <c r="B1309" t="inlineStr">
        <is>
          <t>A-5053__305</t>
        </is>
      </c>
      <c r="C1309" s="1" t="n">
        <v>37.2752368122</v>
      </c>
      <c r="D1309" s="1" t="n">
        <v>-7.14271184404</v>
      </c>
      <c r="E1309" s="3" t="n">
        <v>2</v>
      </c>
      <c r="F1309" s="2" t="n">
        <v>3</v>
      </c>
      <c r="G1309" s="4" t="n">
        <v>2</v>
      </c>
      <c r="H1309" s="13" t="n"/>
      <c r="I1309" s="15" t="n"/>
      <c r="J1309" s="19" t="n">
        <v>2</v>
      </c>
      <c r="K1309" s="2" t="inlineStr">
        <is>
          <t>marker_837_964722.png</t>
        </is>
      </c>
      <c r="L1309" s="11">
        <f>HYPERLINK("2\1\" &amp; K1309, "Ver Imagen")</f>
        <v/>
      </c>
      <c r="M1309" t="inlineStr">
        <is>
          <t>Moda</t>
        </is>
      </c>
    </row>
    <row r="1310">
      <c r="A1310" t="n">
        <v>1309</v>
      </c>
      <c r="B1310" t="inlineStr">
        <is>
          <t>A-5053__303</t>
        </is>
      </c>
      <c r="C1310" s="1" t="n">
        <v>37.274831807</v>
      </c>
      <c r="D1310" s="1" t="n">
        <v>-7.14258501667</v>
      </c>
      <c r="E1310" s="3" t="n">
        <v>2</v>
      </c>
      <c r="F1310" s="2" t="n">
        <v>3</v>
      </c>
      <c r="G1310" s="4" t="n">
        <v>2</v>
      </c>
      <c r="H1310" s="13" t="n"/>
      <c r="I1310" s="15" t="n"/>
      <c r="J1310" s="19" t="n">
        <v>2</v>
      </c>
      <c r="K1310" s="2" t="inlineStr">
        <is>
          <t>marker_762_964741.png</t>
        </is>
      </c>
      <c r="L1310" s="11">
        <f>HYPERLINK("2\1\" &amp; K1310, "Ver Imagen")</f>
        <v/>
      </c>
      <c r="M1310" t="inlineStr">
        <is>
          <t>Moda</t>
        </is>
      </c>
    </row>
    <row r="1311">
      <c r="A1311" t="n">
        <v>1310</v>
      </c>
      <c r="B1311" t="inlineStr">
        <is>
          <t>A-5053__287</t>
        </is>
      </c>
      <c r="C1311" s="1" t="n">
        <v>37.2718887898</v>
      </c>
      <c r="D1311" s="1" t="n">
        <v>-7.14105941368</v>
      </c>
      <c r="E1311" s="3" t="n">
        <v>2</v>
      </c>
      <c r="F1311" s="2" t="n">
        <v>3</v>
      </c>
      <c r="G1311" s="4" t="n">
        <v>2</v>
      </c>
      <c r="H1311" s="13" t="n"/>
      <c r="I1311" s="15" t="n"/>
      <c r="J1311" s="19" t="n">
        <v>2</v>
      </c>
      <c r="K1311" s="2" t="inlineStr">
        <is>
          <t>marker_601_964991.png</t>
        </is>
      </c>
      <c r="L1311" s="11">
        <f>HYPERLINK("2\1\" &amp; K1311, "Ver Imagen")</f>
        <v/>
      </c>
      <c r="M1311" t="inlineStr">
        <is>
          <t>Moda</t>
        </is>
      </c>
    </row>
    <row r="1312">
      <c r="A1312" t="n">
        <v>1311</v>
      </c>
      <c r="B1312" t="inlineStr">
        <is>
          <t>A-5053__286</t>
        </is>
      </c>
      <c r="C1312" s="1" t="n">
        <v>37.2717147568</v>
      </c>
      <c r="D1312" s="1" t="n">
        <v>-7.14090632957</v>
      </c>
      <c r="E1312" s="3" t="n">
        <v>2</v>
      </c>
      <c r="F1312" s="2" t="n">
        <v>3</v>
      </c>
      <c r="G1312" s="4" t="n">
        <v>2</v>
      </c>
      <c r="H1312" s="13" t="n"/>
      <c r="I1312" s="15" t="n"/>
      <c r="J1312" s="19" t="n">
        <v>2</v>
      </c>
      <c r="K1312" s="2" t="inlineStr">
        <is>
          <t>marker_473_965000.png</t>
        </is>
      </c>
      <c r="L1312" s="11">
        <f>HYPERLINK("2\1\" &amp; K1312, "Ver Imagen")</f>
        <v/>
      </c>
      <c r="M1312" t="inlineStr">
        <is>
          <t>Moda</t>
        </is>
      </c>
    </row>
    <row r="1313">
      <c r="A1313" t="n">
        <v>1312</v>
      </c>
      <c r="B1313" t="inlineStr">
        <is>
          <t>A-5053__285</t>
        </is>
      </c>
      <c r="C1313" s="1" t="n">
        <v>37.2715466257</v>
      </c>
      <c r="D1313" s="1" t="n">
        <v>-7.14075767326</v>
      </c>
      <c r="E1313" s="3" t="n">
        <v>2</v>
      </c>
      <c r="F1313" s="2" t="n">
        <v>3</v>
      </c>
      <c r="G1313" s="4" t="n">
        <v>2</v>
      </c>
      <c r="H1313" s="13" t="n"/>
      <c r="I1313" s="15" t="n"/>
      <c r="J1313" s="19" t="n">
        <v>2</v>
      </c>
      <c r="K1313" s="2" t="inlineStr">
        <is>
          <t>marker_566_965010.png</t>
        </is>
      </c>
      <c r="L1313" s="11">
        <f>HYPERLINK("2\1\" &amp; K1313, "Ver Imagen")</f>
        <v/>
      </c>
      <c r="M1313" t="inlineStr">
        <is>
          <t>Moda</t>
        </is>
      </c>
    </row>
    <row r="1314">
      <c r="A1314" t="n">
        <v>1313</v>
      </c>
      <c r="B1314" t="inlineStr">
        <is>
          <t>A-5053__284</t>
        </is>
      </c>
      <c r="C1314" s="1" t="n">
        <v>37.2713720194</v>
      </c>
      <c r="D1314" s="1" t="n">
        <v>-7.14060742768</v>
      </c>
      <c r="E1314" s="3" t="n">
        <v>3</v>
      </c>
      <c r="F1314" s="2" t="n">
        <v>2</v>
      </c>
      <c r="G1314" s="4" t="n">
        <v>2</v>
      </c>
      <c r="H1314" s="13" t="n"/>
      <c r="I1314" s="15" t="n"/>
      <c r="J1314" s="19" t="n">
        <v>2</v>
      </c>
      <c r="K1314" s="2" t="inlineStr">
        <is>
          <t>marker_415_965019.png</t>
        </is>
      </c>
      <c r="L1314" s="11">
        <f>HYPERLINK("2\1\" &amp; K1314, "Ver Imagen")</f>
        <v/>
      </c>
      <c r="M1314" t="inlineStr">
        <is>
          <t>Moda</t>
        </is>
      </c>
    </row>
    <row r="1315">
      <c r="A1315" t="n">
        <v>1314</v>
      </c>
      <c r="B1315" t="inlineStr">
        <is>
          <t>A-5053__243</t>
        </is>
      </c>
      <c r="C1315" s="1" t="n">
        <v>37.2663072001</v>
      </c>
      <c r="D1315" s="1" t="n">
        <v>-7.13304720706</v>
      </c>
      <c r="E1315" s="3" t="n">
        <v>3</v>
      </c>
      <c r="F1315" s="2" t="n">
        <v>2</v>
      </c>
      <c r="G1315" s="4" t="n">
        <v>2</v>
      </c>
      <c r="H1315" s="13" t="n"/>
      <c r="I1315" s="15" t="n"/>
      <c r="J1315" s="19" t="n">
        <v>2</v>
      </c>
      <c r="K1315" s="2" t="inlineStr">
        <is>
          <t>marker_892_965471.png</t>
        </is>
      </c>
      <c r="L1315" s="11">
        <f>HYPERLINK("2\1\" &amp; K1315, "Ver Imagen")</f>
        <v/>
      </c>
      <c r="M1315" t="inlineStr">
        <is>
          <t>Moda</t>
        </is>
      </c>
    </row>
    <row r="1316">
      <c r="A1316" t="n">
        <v>1315</v>
      </c>
      <c r="B1316" t="inlineStr">
        <is>
          <t>A-5053__239</t>
        </is>
      </c>
      <c r="C1316" s="1" t="n">
        <v>37.2655560175</v>
      </c>
      <c r="D1316" s="1" t="n">
        <v>-7.13256872323</v>
      </c>
      <c r="E1316" s="3" t="n">
        <v>2</v>
      </c>
      <c r="F1316" s="2" t="n">
        <v>3</v>
      </c>
      <c r="G1316" s="4" t="n">
        <v>2</v>
      </c>
      <c r="H1316" s="13" t="n"/>
      <c r="I1316" s="15" t="n"/>
      <c r="J1316" s="19" t="n">
        <v>2</v>
      </c>
      <c r="K1316" s="2" t="inlineStr">
        <is>
          <t>marker_167_965509.png</t>
        </is>
      </c>
      <c r="L1316" s="11">
        <f>HYPERLINK("2\1\" &amp; K1316, "Ver Imagen")</f>
        <v/>
      </c>
      <c r="M1316" t="inlineStr">
        <is>
          <t>Moda</t>
        </is>
      </c>
    </row>
    <row r="1317">
      <c r="A1317" t="n">
        <v>1316</v>
      </c>
      <c r="B1317" t="inlineStr">
        <is>
          <t>A-5053__207</t>
        </is>
      </c>
      <c r="C1317" s="1" t="n">
        <v>37.2597998738</v>
      </c>
      <c r="D1317" s="1" t="n">
        <v>-7.12896141222</v>
      </c>
      <c r="E1317" s="3" t="n">
        <v>3</v>
      </c>
      <c r="F1317" s="2" t="n">
        <v>2</v>
      </c>
      <c r="G1317" s="4" t="n">
        <v>2</v>
      </c>
      <c r="H1317" s="13" t="n"/>
      <c r="I1317" s="15" t="n"/>
      <c r="J1317" s="19" t="n">
        <v>2</v>
      </c>
      <c r="K1317" s="2" t="inlineStr">
        <is>
          <t>marker_152_965824.png</t>
        </is>
      </c>
      <c r="L1317" s="11">
        <f>HYPERLINK("2\1\" &amp; K1317, "Ver Imagen")</f>
        <v/>
      </c>
      <c r="M1317" t="inlineStr">
        <is>
          <t>Moda</t>
        </is>
      </c>
    </row>
    <row r="1318">
      <c r="A1318" t="n">
        <v>1317</v>
      </c>
      <c r="B1318" t="inlineStr">
        <is>
          <t>A-5053__204</t>
        </is>
      </c>
      <c r="C1318" s="1" t="n">
        <v>37.2592555469</v>
      </c>
      <c r="D1318" s="1" t="n">
        <v>-7.12861875085</v>
      </c>
      <c r="E1318" s="3" t="n">
        <v>2</v>
      </c>
      <c r="F1318" s="2" t="n">
        <v>3</v>
      </c>
      <c r="G1318" s="4" t="n">
        <v>2</v>
      </c>
      <c r="H1318" s="13" t="n"/>
      <c r="I1318" s="15" t="n"/>
      <c r="J1318" s="19" t="n">
        <v>2</v>
      </c>
      <c r="K1318" s="2" t="inlineStr">
        <is>
          <t>marker_475_965852.png</t>
        </is>
      </c>
      <c r="L1318" s="11">
        <f>HYPERLINK("2\1\" &amp; K1318, "Ver Imagen")</f>
        <v/>
      </c>
      <c r="M1318" t="inlineStr">
        <is>
          <t>Moda</t>
        </is>
      </c>
    </row>
    <row r="1319">
      <c r="A1319" t="n">
        <v>1318</v>
      </c>
      <c r="B1319" t="inlineStr">
        <is>
          <t>A-5053__201</t>
        </is>
      </c>
      <c r="C1319" s="1" t="n">
        <v>37.2587024724</v>
      </c>
      <c r="D1319" s="1" t="n">
        <v>-7.12826704409</v>
      </c>
      <c r="E1319" s="3" t="n">
        <v>2</v>
      </c>
      <c r="F1319" s="2" t="n">
        <v>3</v>
      </c>
      <c r="G1319" s="4" t="n">
        <v>2</v>
      </c>
      <c r="H1319" s="13" t="n"/>
      <c r="I1319" s="15" t="n"/>
      <c r="J1319" s="19" t="n">
        <v>2</v>
      </c>
      <c r="K1319" s="2" t="inlineStr">
        <is>
          <t>marker_100_965876.png</t>
        </is>
      </c>
      <c r="L1319" s="11">
        <f>HYPERLINK("2\1\" &amp; K1319, "Ver Imagen")</f>
        <v/>
      </c>
      <c r="M1319" t="inlineStr">
        <is>
          <t>Moda</t>
        </is>
      </c>
    </row>
    <row r="1320">
      <c r="A1320" t="n">
        <v>1319</v>
      </c>
      <c r="B1320" t="inlineStr">
        <is>
          <t>A-5053__197</t>
        </is>
      </c>
      <c r="C1320" s="1" t="n">
        <v>37.2580142638</v>
      </c>
      <c r="D1320" s="1" t="n">
        <v>-7.12782815435</v>
      </c>
      <c r="E1320" s="3" t="n">
        <v>3</v>
      </c>
      <c r="F1320" s="2" t="n">
        <v>2</v>
      </c>
      <c r="G1320" s="4" t="n">
        <v>2</v>
      </c>
      <c r="H1320" s="13" t="n"/>
      <c r="I1320" s="15" t="n"/>
      <c r="J1320" s="19" t="n">
        <v>2</v>
      </c>
      <c r="K1320" s="2" t="inlineStr">
        <is>
          <t>marker_234_965914.png</t>
        </is>
      </c>
      <c r="L1320" s="11">
        <f>HYPERLINK("2\1\" &amp; K1320, "Ver Imagen")</f>
        <v/>
      </c>
      <c r="M1320" t="inlineStr">
        <is>
          <t>Moda</t>
        </is>
      </c>
    </row>
    <row r="1321">
      <c r="A1321" t="n">
        <v>1320</v>
      </c>
      <c r="B1321" t="inlineStr">
        <is>
          <t>A-5053__178</t>
        </is>
      </c>
      <c r="C1321" s="1" t="n">
        <v>37.2543229214</v>
      </c>
      <c r="D1321" s="1" t="n">
        <v>-7.1266309183</v>
      </c>
      <c r="E1321" s="3" t="n">
        <v>1</v>
      </c>
      <c r="F1321" s="2" t="n">
        <v>2</v>
      </c>
      <c r="G1321" s="4" t="n">
        <v>2</v>
      </c>
      <c r="H1321" s="13" t="n"/>
      <c r="I1321" s="15" t="n"/>
      <c r="J1321" s="19" t="n">
        <v>2</v>
      </c>
      <c r="K1321" s="2" t="inlineStr">
        <is>
          <t>marker_981_966110.png</t>
        </is>
      </c>
      <c r="L1321" s="11">
        <f>HYPERLINK("2\1\" &amp; K1321, "Ver Imagen")</f>
        <v/>
      </c>
      <c r="M1321" t="inlineStr">
        <is>
          <t>Moda</t>
        </is>
      </c>
    </row>
    <row r="1322">
      <c r="A1322" t="n">
        <v>1321</v>
      </c>
      <c r="B1322" t="inlineStr">
        <is>
          <t>A-5053__159</t>
        </is>
      </c>
      <c r="C1322" s="1" t="n">
        <v>37.2505512518</v>
      </c>
      <c r="D1322" s="1" t="n">
        <v>-7.12719557022</v>
      </c>
      <c r="E1322" s="3" t="n">
        <v>2</v>
      </c>
      <c r="F1322" s="2" t="n">
        <v>3</v>
      </c>
      <c r="G1322" s="4" t="n">
        <v>2</v>
      </c>
      <c r="H1322" s="13" t="n"/>
      <c r="I1322" s="15" t="n"/>
      <c r="J1322" s="19" t="n">
        <v>2</v>
      </c>
      <c r="K1322" s="2" t="inlineStr">
        <is>
          <t>marker_698_966294.png</t>
        </is>
      </c>
      <c r="L1322" s="11">
        <f>HYPERLINK("2\1\" &amp; K1322, "Ver Imagen")</f>
        <v/>
      </c>
      <c r="M1322" t="inlineStr">
        <is>
          <t>Moda</t>
        </is>
      </c>
    </row>
    <row r="1323">
      <c r="A1323" t="n">
        <v>1322</v>
      </c>
      <c r="B1323" t="inlineStr">
        <is>
          <t>A-5053__149</t>
        </is>
      </c>
      <c r="C1323" s="1" t="n">
        <v>37.248497373</v>
      </c>
      <c r="D1323" s="1" t="n">
        <v>-7.12750626345</v>
      </c>
      <c r="E1323" s="3" t="n">
        <v>2</v>
      </c>
      <c r="F1323" s="2" t="n">
        <v>2</v>
      </c>
      <c r="G1323" s="4" t="n">
        <v>3</v>
      </c>
      <c r="H1323" s="13" t="n"/>
      <c r="I1323" s="15" t="n"/>
      <c r="J1323" s="19" t="n">
        <v>2</v>
      </c>
      <c r="K1323" s="2" t="inlineStr">
        <is>
          <t>marker_539_966397.png</t>
        </is>
      </c>
      <c r="L1323" s="11">
        <f>HYPERLINK("2\1\" &amp; K1323, "Ver Imagen")</f>
        <v/>
      </c>
      <c r="M1323" t="inlineStr">
        <is>
          <t>Moda</t>
        </is>
      </c>
    </row>
    <row r="1324">
      <c r="A1324" t="n">
        <v>1323</v>
      </c>
      <c r="B1324" t="inlineStr">
        <is>
          <t>A-5053__140</t>
        </is>
      </c>
      <c r="C1324" s="1" t="n">
        <v>37.2466909204</v>
      </c>
      <c r="D1324" s="1" t="n">
        <v>-7.12777187791</v>
      </c>
      <c r="E1324" s="3" t="n">
        <v>2</v>
      </c>
      <c r="F1324" s="2" t="n">
        <v>2</v>
      </c>
      <c r="G1324" s="4" t="n">
        <v>3</v>
      </c>
      <c r="H1324" s="13" t="n"/>
      <c r="I1324" s="15" t="n"/>
      <c r="J1324" s="19" t="n">
        <v>2</v>
      </c>
      <c r="K1324" s="2" t="inlineStr">
        <is>
          <t>marker_591_966484.png</t>
        </is>
      </c>
      <c r="L1324" s="11">
        <f>HYPERLINK("2\1\" &amp; K1324, "Ver Imagen")</f>
        <v/>
      </c>
      <c r="M1324" t="inlineStr">
        <is>
          <t>Moda</t>
        </is>
      </c>
    </row>
    <row r="1325">
      <c r="A1325" t="n">
        <v>1324</v>
      </c>
      <c r="B1325" t="inlineStr">
        <is>
          <t>A-5053__139</t>
        </is>
      </c>
      <c r="C1325" s="1" t="n">
        <v>37.2464820254</v>
      </c>
      <c r="D1325" s="1" t="n">
        <v>-7.12780336085</v>
      </c>
      <c r="E1325" s="3" t="n">
        <v>2</v>
      </c>
      <c r="F1325" s="2" t="n">
        <v>2</v>
      </c>
      <c r="G1325" s="4" t="n">
        <v>3</v>
      </c>
      <c r="H1325" s="13" t="n"/>
      <c r="I1325" s="15" t="n"/>
      <c r="J1325" s="19" t="n">
        <v>2</v>
      </c>
      <c r="K1325" s="2" t="inlineStr">
        <is>
          <t>marker_362_966493.png</t>
        </is>
      </c>
      <c r="L1325" s="11">
        <f>HYPERLINK("2\1\" &amp; K1325, "Ver Imagen")</f>
        <v/>
      </c>
      <c r="M1325" t="inlineStr">
        <is>
          <t>Moda</t>
        </is>
      </c>
    </row>
    <row r="1326">
      <c r="A1326" t="n">
        <v>1325</v>
      </c>
      <c r="B1326" t="inlineStr">
        <is>
          <t>A-5053__138</t>
        </is>
      </c>
      <c r="C1326" s="1" t="n">
        <v>37.246299254</v>
      </c>
      <c r="D1326" s="1" t="n">
        <v>-7.12783083419</v>
      </c>
      <c r="E1326" s="3" t="n">
        <v>2</v>
      </c>
      <c r="F1326" s="2" t="n">
        <v>2</v>
      </c>
      <c r="G1326" s="4" t="n">
        <v>3</v>
      </c>
      <c r="H1326" s="13" t="n"/>
      <c r="I1326" s="15" t="n"/>
      <c r="J1326" s="19" t="n">
        <v>2</v>
      </c>
      <c r="K1326" s="2" t="inlineStr">
        <is>
          <t>marker_573_966504.png</t>
        </is>
      </c>
      <c r="L1326" s="11">
        <f>HYPERLINK("2\1\" &amp; K1326, "Ver Imagen")</f>
        <v/>
      </c>
      <c r="M1326" t="inlineStr">
        <is>
          <t>Moda</t>
        </is>
      </c>
    </row>
    <row r="1327">
      <c r="A1327" t="n">
        <v>1326</v>
      </c>
      <c r="B1327" t="inlineStr">
        <is>
          <t>A-5053__134</t>
        </is>
      </c>
      <c r="C1327" s="1" t="n">
        <v>37.2454913016</v>
      </c>
      <c r="D1327" s="1" t="n">
        <v>-7.12794943586</v>
      </c>
      <c r="E1327" s="3" t="n">
        <v>2</v>
      </c>
      <c r="F1327" s="2" t="n">
        <v>2</v>
      </c>
      <c r="G1327" s="4" t="n">
        <v>3</v>
      </c>
      <c r="H1327" s="13" t="n"/>
      <c r="I1327" s="15" t="n"/>
      <c r="J1327" s="19" t="n">
        <v>2</v>
      </c>
      <c r="K1327" s="2" t="inlineStr">
        <is>
          <t>marker_905_966537.png</t>
        </is>
      </c>
      <c r="L1327" s="11">
        <f>HYPERLINK("2\1\" &amp; K1327, "Ver Imagen")</f>
        <v/>
      </c>
      <c r="M1327" t="inlineStr">
        <is>
          <t>Moda</t>
        </is>
      </c>
    </row>
    <row r="1328">
      <c r="A1328" t="n">
        <v>1327</v>
      </c>
      <c r="B1328" t="inlineStr">
        <is>
          <t>A-5053__123</t>
        </is>
      </c>
      <c r="C1328" s="1" t="n">
        <v>37.2432764692</v>
      </c>
      <c r="D1328" s="1" t="n">
        <v>-7.12827356923</v>
      </c>
      <c r="E1328" s="3" t="n">
        <v>2</v>
      </c>
      <c r="F1328" s="2" t="n">
        <v>2</v>
      </c>
      <c r="G1328" s="4" t="n">
        <v>3</v>
      </c>
      <c r="H1328" s="13" t="n"/>
      <c r="I1328" s="15" t="n"/>
      <c r="J1328" s="19" t="n">
        <v>2</v>
      </c>
      <c r="K1328" s="2" t="inlineStr">
        <is>
          <t>marker_488_019560.png</t>
        </is>
      </c>
      <c r="L1328" s="11">
        <f>HYPERLINK("2\1\" &amp; K1328, "Ver Imagen")</f>
        <v/>
      </c>
      <c r="M1328" t="inlineStr">
        <is>
          <t>Moda</t>
        </is>
      </c>
    </row>
    <row r="1329">
      <c r="A1329" t="n">
        <v>1328</v>
      </c>
      <c r="B1329" t="inlineStr">
        <is>
          <t>A-5053__110</t>
        </is>
      </c>
      <c r="C1329" s="1" t="n">
        <v>37.2406548131</v>
      </c>
      <c r="D1329" s="1" t="n">
        <v>-7.1286041167</v>
      </c>
      <c r="E1329" s="3" t="n">
        <v>2</v>
      </c>
      <c r="F1329" s="2" t="n">
        <v>2</v>
      </c>
      <c r="G1329" s="4" t="n">
        <v>3</v>
      </c>
      <c r="H1329" s="13" t="n"/>
      <c r="I1329" s="15" t="n"/>
      <c r="J1329" s="19" t="n">
        <v>2</v>
      </c>
      <c r="K1329" s="2" t="inlineStr">
        <is>
          <t>marker_238_019703.png</t>
        </is>
      </c>
      <c r="L1329" s="11">
        <f>HYPERLINK("2\1\" &amp; K1329, "Ver Imagen")</f>
        <v/>
      </c>
      <c r="M1329" t="inlineStr">
        <is>
          <t>Moda</t>
        </is>
      </c>
    </row>
    <row r="1330">
      <c r="A1330" t="n">
        <v>1329</v>
      </c>
      <c r="B1330" t="inlineStr">
        <is>
          <t>A-5053__109</t>
        </is>
      </c>
      <c r="C1330" s="1" t="n">
        <v>37.2404464988</v>
      </c>
      <c r="D1330" s="1" t="n">
        <v>-7.1285981417</v>
      </c>
      <c r="E1330" s="3" t="n">
        <v>2</v>
      </c>
      <c r="F1330" s="2" t="n">
        <v>1</v>
      </c>
      <c r="G1330" s="4" t="n">
        <v>2</v>
      </c>
      <c r="H1330" s="13" t="n"/>
      <c r="I1330" s="15" t="n"/>
      <c r="J1330" s="19" t="n">
        <v>2</v>
      </c>
      <c r="K1330" s="2" t="inlineStr">
        <is>
          <t>marker_698_019713.png</t>
        </is>
      </c>
      <c r="L1330" s="11">
        <f>HYPERLINK("2\1\" &amp; K1330, "Ver Imagen")</f>
        <v/>
      </c>
      <c r="M1330" t="inlineStr">
        <is>
          <t>Moda</t>
        </is>
      </c>
    </row>
    <row r="1331">
      <c r="A1331" t="n">
        <v>1330</v>
      </c>
      <c r="B1331" t="inlineStr">
        <is>
          <t>A-5053__108</t>
        </is>
      </c>
      <c r="C1331" s="1" t="n">
        <v>37.240269337</v>
      </c>
      <c r="D1331" s="1" t="n">
        <v>-7.12858717469</v>
      </c>
      <c r="E1331" s="3" t="n">
        <v>2</v>
      </c>
      <c r="F1331" s="2" t="n">
        <v>1</v>
      </c>
      <c r="G1331" s="4" t="n">
        <v>2</v>
      </c>
      <c r="H1331" s="13" t="n"/>
      <c r="I1331" s="15" t="n"/>
      <c r="J1331" s="19" t="n">
        <v>2</v>
      </c>
      <c r="K1331" s="2" t="inlineStr">
        <is>
          <t>marker_670_019724.png</t>
        </is>
      </c>
      <c r="L1331" s="11">
        <f>HYPERLINK("2\1\" &amp; K1331, "Ver Imagen")</f>
        <v/>
      </c>
      <c r="M1331" t="inlineStr">
        <is>
          <t>Moda</t>
        </is>
      </c>
    </row>
    <row r="1332">
      <c r="A1332" t="n">
        <v>1331</v>
      </c>
      <c r="B1332" t="inlineStr">
        <is>
          <t>A-5053__98</t>
        </is>
      </c>
      <c r="C1332" s="1" t="n">
        <v>37.2382293365</v>
      </c>
      <c r="D1332" s="1" t="n">
        <v>-7.12839815304</v>
      </c>
      <c r="E1332" s="3" t="n">
        <v>2</v>
      </c>
      <c r="F1332" s="2" t="n">
        <v>3</v>
      </c>
      <c r="G1332" s="4" t="n">
        <v>2</v>
      </c>
      <c r="H1332" s="13" t="n"/>
      <c r="I1332" s="15" t="n"/>
      <c r="J1332" s="19" t="n">
        <v>2</v>
      </c>
      <c r="K1332" s="2" t="inlineStr">
        <is>
          <t>marker_160_019833.png</t>
        </is>
      </c>
      <c r="L1332" s="11">
        <f>HYPERLINK("2\1\" &amp; K1332, "Ver Imagen")</f>
        <v/>
      </c>
      <c r="M1332" t="inlineStr">
        <is>
          <t>Moda</t>
        </is>
      </c>
    </row>
    <row r="1333">
      <c r="A1333" t="n">
        <v>1332</v>
      </c>
      <c r="B1333" t="inlineStr">
        <is>
          <t>A-5053__90</t>
        </is>
      </c>
      <c r="C1333" s="1" t="n">
        <v>37.236593548</v>
      </c>
      <c r="D1333" s="1" t="n">
        <v>-7.12824179738</v>
      </c>
      <c r="E1333" s="3" t="n">
        <v>2</v>
      </c>
      <c r="F1333" s="2" t="n">
        <v>2</v>
      </c>
      <c r="G1333" s="4" t="n">
        <v>3</v>
      </c>
      <c r="H1333" s="13" t="n"/>
      <c r="I1333" s="15" t="n"/>
      <c r="J1333" s="19" t="n">
        <v>2</v>
      </c>
      <c r="K1333" s="2" t="inlineStr">
        <is>
          <t>marker_248_019912.png</t>
        </is>
      </c>
      <c r="L1333" s="11">
        <f>HYPERLINK("2\1\" &amp; K1333, "Ver Imagen")</f>
        <v/>
      </c>
      <c r="M1333" t="inlineStr">
        <is>
          <t>Moda</t>
        </is>
      </c>
    </row>
    <row r="1334">
      <c r="A1334" t="n">
        <v>1333</v>
      </c>
      <c r="B1334" t="inlineStr">
        <is>
          <t>A-5053__89</t>
        </is>
      </c>
      <c r="C1334" s="1" t="n">
        <v>37.2363960046</v>
      </c>
      <c r="D1334" s="1" t="n">
        <v>-7.12822439387</v>
      </c>
      <c r="E1334" s="3" t="n">
        <v>2</v>
      </c>
      <c r="F1334" s="2" t="n">
        <v>2</v>
      </c>
      <c r="G1334" s="4" t="n">
        <v>3</v>
      </c>
      <c r="H1334" s="13" t="n"/>
      <c r="I1334" s="15" t="n"/>
      <c r="J1334" s="19" t="n">
        <v>2</v>
      </c>
      <c r="K1334" s="2" t="inlineStr">
        <is>
          <t>marker_861_019921.png</t>
        </is>
      </c>
      <c r="L1334" s="11">
        <f>HYPERLINK("2\1\" &amp; K1334, "Ver Imagen")</f>
        <v/>
      </c>
      <c r="M1334" t="inlineStr">
        <is>
          <t>Moda</t>
        </is>
      </c>
    </row>
    <row r="1335">
      <c r="A1335" t="n">
        <v>1334</v>
      </c>
      <c r="B1335" t="inlineStr">
        <is>
          <t>A-5053__88</t>
        </is>
      </c>
      <c r="C1335" s="1" t="n">
        <v>37.2362207942</v>
      </c>
      <c r="D1335" s="1" t="n">
        <v>-7.1282078211</v>
      </c>
      <c r="E1335" s="3" t="n">
        <v>2</v>
      </c>
      <c r="F1335" s="2" t="n">
        <v>2</v>
      </c>
      <c r="G1335" s="4" t="n">
        <v>3</v>
      </c>
      <c r="H1335" s="13" t="n"/>
      <c r="I1335" s="15" t="n"/>
      <c r="J1335" s="19" t="n">
        <v>2</v>
      </c>
      <c r="K1335" s="2" t="inlineStr">
        <is>
          <t>marker_451_019933.png</t>
        </is>
      </c>
      <c r="L1335" s="11">
        <f>HYPERLINK("2\1\" &amp; K1335, "Ver Imagen")</f>
        <v/>
      </c>
      <c r="M1335" t="inlineStr">
        <is>
          <t>Moda</t>
        </is>
      </c>
    </row>
    <row r="1336">
      <c r="A1336" t="n">
        <v>1335</v>
      </c>
      <c r="B1336" t="inlineStr">
        <is>
          <t>A-5053__80</t>
        </is>
      </c>
      <c r="C1336" s="1" t="n">
        <v>37.2346304049</v>
      </c>
      <c r="D1336" s="1" t="n">
        <v>-7.12780158773</v>
      </c>
      <c r="E1336" s="3" t="n">
        <v>2</v>
      </c>
      <c r="F1336" s="2" t="n">
        <v>2</v>
      </c>
      <c r="G1336" s="4" t="n">
        <v>3</v>
      </c>
      <c r="H1336" s="13" t="n"/>
      <c r="I1336" s="15" t="n"/>
      <c r="J1336" s="19" t="n">
        <v>2</v>
      </c>
      <c r="K1336" s="2" t="inlineStr">
        <is>
          <t>marker_156_020011.png</t>
        </is>
      </c>
      <c r="L1336" s="11">
        <f>HYPERLINK("2\1\" &amp; K1336, "Ver Imagen")</f>
        <v/>
      </c>
      <c r="M1336" t="inlineStr">
        <is>
          <t>Moda</t>
        </is>
      </c>
    </row>
    <row r="1337">
      <c r="A1337" t="n">
        <v>1336</v>
      </c>
      <c r="B1337" t="inlineStr">
        <is>
          <t>A-5053__71</t>
        </is>
      </c>
      <c r="C1337" s="1" t="n">
        <v>37.2328575901</v>
      </c>
      <c r="D1337" s="1" t="n">
        <v>-7.12722290033</v>
      </c>
      <c r="E1337" s="3" t="n">
        <v>1</v>
      </c>
      <c r="F1337" s="2" t="n">
        <v>2</v>
      </c>
      <c r="G1337" s="4" t="n">
        <v>2</v>
      </c>
      <c r="H1337" s="13" t="n"/>
      <c r="I1337" s="15" t="n"/>
      <c r="J1337" s="19" t="n">
        <v>2</v>
      </c>
      <c r="K1337" s="2" t="inlineStr">
        <is>
          <t>marker_240_020296.png</t>
        </is>
      </c>
      <c r="L1337" s="11">
        <f>HYPERLINK("2\1\" &amp; K1337, "Ver Imagen")</f>
        <v/>
      </c>
      <c r="M1337" t="inlineStr">
        <is>
          <t>Moda</t>
        </is>
      </c>
    </row>
    <row r="1338">
      <c r="A1338" t="n">
        <v>1337</v>
      </c>
      <c r="B1338" t="inlineStr">
        <is>
          <t>A-5053__54</t>
        </is>
      </c>
      <c r="C1338" s="1" t="n">
        <v>37.2294488694</v>
      </c>
      <c r="D1338" s="1" t="n">
        <v>-7.12690812407</v>
      </c>
      <c r="E1338" s="3" t="n">
        <v>2</v>
      </c>
      <c r="F1338" s="2" t="n">
        <v>2</v>
      </c>
      <c r="G1338" s="4" t="n">
        <v>3</v>
      </c>
      <c r="H1338" s="13" t="n"/>
      <c r="I1338" s="15" t="n"/>
      <c r="J1338" s="19" t="n">
        <v>2</v>
      </c>
      <c r="K1338" s="2" t="inlineStr">
        <is>
          <t>marker_567_020940.png</t>
        </is>
      </c>
      <c r="L1338" s="11">
        <f>HYPERLINK("2\1\" &amp; K1338, "Ver Imagen")</f>
        <v/>
      </c>
      <c r="M1338" t="inlineStr">
        <is>
          <t>Moda</t>
        </is>
      </c>
    </row>
    <row r="1339">
      <c r="A1339" t="n">
        <v>1338</v>
      </c>
      <c r="B1339" t="inlineStr">
        <is>
          <t>A-5053__37</t>
        </is>
      </c>
      <c r="C1339" s="1" t="n">
        <v>37.2260981942</v>
      </c>
      <c r="D1339" s="1" t="n">
        <v>-7.12611014783</v>
      </c>
      <c r="E1339" s="3" t="n">
        <v>2</v>
      </c>
      <c r="F1339" s="2" t="n">
        <v>3</v>
      </c>
      <c r="G1339" s="4" t="n">
        <v>2</v>
      </c>
      <c r="H1339" s="13" t="n"/>
      <c r="I1339" s="15" t="n"/>
      <c r="J1339" s="19" t="n">
        <v>2</v>
      </c>
      <c r="K1339" s="2" t="inlineStr">
        <is>
          <t>marker_138_021743.png</t>
        </is>
      </c>
      <c r="L1339" s="11">
        <f>HYPERLINK("2\1\" &amp; K1339, "Ver Imagen")</f>
        <v/>
      </c>
      <c r="M1339" t="inlineStr">
        <is>
          <t>Moda</t>
        </is>
      </c>
    </row>
    <row r="1340">
      <c r="A1340" t="n">
        <v>1339</v>
      </c>
      <c r="B1340" t="inlineStr">
        <is>
          <t>A-5053__29</t>
        </is>
      </c>
      <c r="C1340" s="1" t="n">
        <v>37.2245494916</v>
      </c>
      <c r="D1340" s="1" t="n">
        <v>-7.1255568135</v>
      </c>
      <c r="E1340" s="3" t="n">
        <v>3</v>
      </c>
      <c r="F1340" s="2" t="n">
        <v>2</v>
      </c>
      <c r="G1340" s="4" t="n">
        <v>2</v>
      </c>
      <c r="H1340" s="13" t="n"/>
      <c r="I1340" s="15" t="n"/>
      <c r="J1340" s="19" t="n">
        <v>2</v>
      </c>
      <c r="K1340" s="2" t="inlineStr">
        <is>
          <t>marker_784_021819.png</t>
        </is>
      </c>
      <c r="L1340" s="11">
        <f>HYPERLINK("2\1\" &amp; K1340, "Ver Imagen")</f>
        <v/>
      </c>
      <c r="M1340" t="inlineStr">
        <is>
          <t>Moda</t>
        </is>
      </c>
    </row>
    <row r="1341">
      <c r="A1341" t="n">
        <v>1340</v>
      </c>
      <c r="B1341" t="inlineStr">
        <is>
          <t>A-5053__19</t>
        </is>
      </c>
      <c r="C1341" s="1" t="n">
        <v>37.2225787895</v>
      </c>
      <c r="D1341" s="1" t="n">
        <v>-7.12503165261</v>
      </c>
      <c r="E1341" s="3" t="n">
        <v>2</v>
      </c>
      <c r="F1341" s="2" t="n">
        <v>2</v>
      </c>
      <c r="G1341" s="4" t="n">
        <v>3</v>
      </c>
      <c r="H1341" s="13" t="n"/>
      <c r="I1341" s="15" t="n"/>
      <c r="J1341" s="19" t="n">
        <v>2</v>
      </c>
      <c r="K1341" s="2" t="inlineStr">
        <is>
          <t>marker_951_022913.png</t>
        </is>
      </c>
      <c r="L1341" s="11">
        <f>HYPERLINK("2\1\" &amp; K1341, "Ver Imagen")</f>
        <v/>
      </c>
      <c r="M1341" t="inlineStr">
        <is>
          <t>Moda</t>
        </is>
      </c>
    </row>
    <row r="1342">
      <c r="A1342" t="n">
        <v>1341</v>
      </c>
      <c r="B1342" t="inlineStr">
        <is>
          <t>A-5053__7</t>
        </is>
      </c>
      <c r="C1342" s="1" t="n">
        <v>37.2203341665</v>
      </c>
      <c r="D1342" s="1" t="n">
        <v>-7.12578852402</v>
      </c>
      <c r="E1342" s="3" t="n">
        <v>2</v>
      </c>
      <c r="F1342" s="2" t="n">
        <v>2</v>
      </c>
      <c r="G1342" s="4" t="n">
        <v>3</v>
      </c>
      <c r="H1342" s="13" t="n"/>
      <c r="I1342" s="15" t="n"/>
      <c r="J1342" s="19" t="n">
        <v>2</v>
      </c>
      <c r="K1342" s="2" t="inlineStr">
        <is>
          <t>marker_456_025142.png</t>
        </is>
      </c>
      <c r="L1342" s="11">
        <f>HYPERLINK("2\1\" &amp; K1342, "Ver Imagen")</f>
        <v/>
      </c>
      <c r="M1342" t="inlineStr">
        <is>
          <t>Moda</t>
        </is>
      </c>
    </row>
    <row r="1343">
      <c r="A1343" t="n">
        <v>1342</v>
      </c>
      <c r="B1343" t="inlineStr">
        <is>
          <t>A-5053__6</t>
        </is>
      </c>
      <c r="C1343" s="1" t="n">
        <v>37.2201073629</v>
      </c>
      <c r="D1343" s="1" t="n">
        <v>-7.12581711071</v>
      </c>
      <c r="E1343" s="3" t="n">
        <v>2</v>
      </c>
      <c r="F1343" s="2" t="n">
        <v>2</v>
      </c>
      <c r="G1343" s="4" t="n">
        <v>3</v>
      </c>
      <c r="H1343" s="13" t="n"/>
      <c r="I1343" s="15" t="n"/>
      <c r="J1343" s="19" t="n">
        <v>2</v>
      </c>
      <c r="K1343" s="2" t="inlineStr">
        <is>
          <t>marker_711_025154.png</t>
        </is>
      </c>
      <c r="L1343" s="11">
        <f>HYPERLINK("2\1\" &amp; K1343, "Ver Imagen")</f>
        <v/>
      </c>
      <c r="M1343" t="inlineStr">
        <is>
          <t>Moda</t>
        </is>
      </c>
    </row>
    <row r="1344">
      <c r="A1344" t="n">
        <v>1343</v>
      </c>
      <c r="B1344" t="inlineStr">
        <is>
          <t>A-5053__5</t>
        </is>
      </c>
      <c r="C1344" s="1" t="n">
        <v>37.2199237956</v>
      </c>
      <c r="D1344" s="1" t="n">
        <v>-7.12584050849</v>
      </c>
      <c r="E1344" s="3" t="n">
        <v>2</v>
      </c>
      <c r="F1344" s="2" t="n">
        <v>2</v>
      </c>
      <c r="G1344" s="4" t="n">
        <v>3</v>
      </c>
      <c r="H1344" s="13" t="n"/>
      <c r="I1344" s="15" t="n"/>
      <c r="J1344" s="19" t="n">
        <v>2</v>
      </c>
      <c r="K1344" s="2" t="inlineStr">
        <is>
          <t>marker_269_025164.png</t>
        </is>
      </c>
      <c r="L1344" s="11">
        <f>HYPERLINK("2\1\" &amp; K1344, "Ver Imagen")</f>
        <v/>
      </c>
      <c r="M1344" t="inlineStr">
        <is>
          <t>Moda</t>
        </is>
      </c>
    </row>
    <row r="1345">
      <c r="A1345" t="n">
        <v>1344</v>
      </c>
      <c r="B1345" t="inlineStr">
        <is>
          <t>A-5053__4</t>
        </is>
      </c>
      <c r="C1345" s="1" t="n">
        <v>37.2197302046</v>
      </c>
      <c r="D1345" s="1" t="n">
        <v>-7.12586563885</v>
      </c>
      <c r="E1345" s="3" t="n">
        <v>2</v>
      </c>
      <c r="F1345" s="2" t="n">
        <v>2</v>
      </c>
      <c r="G1345" s="4" t="n">
        <v>3</v>
      </c>
      <c r="H1345" s="13" t="n"/>
      <c r="I1345" s="15" t="n"/>
      <c r="J1345" s="19" t="n">
        <v>2</v>
      </c>
      <c r="K1345" s="2" t="inlineStr">
        <is>
          <t>marker_427_025175.png</t>
        </is>
      </c>
      <c r="L1345" s="11">
        <f>HYPERLINK("2\1\" &amp; K1345, "Ver Imagen")</f>
        <v/>
      </c>
      <c r="M1345" t="inlineStr">
        <is>
          <t>Moda</t>
        </is>
      </c>
    </row>
    <row r="1346">
      <c r="A1346" t="n">
        <v>1345</v>
      </c>
      <c r="B1346" t="inlineStr">
        <is>
          <t>A-5053__3</t>
        </is>
      </c>
      <c r="C1346" s="1" t="n">
        <v>37.2195316101</v>
      </c>
      <c r="D1346" s="1" t="n">
        <v>-7.12589223706</v>
      </c>
      <c r="E1346" s="3" t="n">
        <v>2</v>
      </c>
      <c r="F1346" s="2" t="n">
        <v>2</v>
      </c>
      <c r="G1346" s="4" t="n">
        <v>3</v>
      </c>
      <c r="H1346" s="13" t="n"/>
      <c r="I1346" s="15" t="n"/>
      <c r="J1346" s="19" t="n">
        <v>2</v>
      </c>
      <c r="K1346" s="2" t="inlineStr">
        <is>
          <t>marker_936_025187.png</t>
        </is>
      </c>
      <c r="L1346" s="11">
        <f>HYPERLINK("2\1\" &amp; K1346, "Ver Imagen")</f>
        <v/>
      </c>
      <c r="M1346" t="inlineStr">
        <is>
          <t>Moda</t>
        </is>
      </c>
    </row>
    <row r="1347">
      <c r="A1347" t="n">
        <v>1346</v>
      </c>
      <c r="B1347" t="inlineStr">
        <is>
          <t>A-495__24</t>
        </is>
      </c>
      <c r="C1347" s="1" t="n">
        <v>37.4430576752</v>
      </c>
      <c r="D1347" s="1" t="n">
        <v>-7.0946079797</v>
      </c>
      <c r="E1347" s="3" t="n">
        <v>3</v>
      </c>
      <c r="F1347" s="2" t="n">
        <v>2</v>
      </c>
      <c r="G1347" s="4" t="n">
        <v>2</v>
      </c>
      <c r="H1347" s="13" t="n"/>
      <c r="I1347" s="15" t="n"/>
      <c r="J1347" s="19" t="n">
        <v>2</v>
      </c>
      <c r="K1347" s="2" t="inlineStr">
        <is>
          <t>marker_534_381335.png</t>
        </is>
      </c>
      <c r="L1347" s="11">
        <f>HYPERLINK("2\1\" &amp; K1347, "Ver Imagen")</f>
        <v/>
      </c>
      <c r="M1347" t="inlineStr">
        <is>
          <t>Moda</t>
        </is>
      </c>
    </row>
    <row r="1348">
      <c r="A1348" t="n">
        <v>1347</v>
      </c>
      <c r="B1348" t="inlineStr">
        <is>
          <t>A-495__25</t>
        </is>
      </c>
      <c r="C1348" s="1" t="n">
        <v>37.442972021</v>
      </c>
      <c r="D1348" s="1" t="n">
        <v>-7.09438359172</v>
      </c>
      <c r="E1348" s="3" t="n">
        <v>2</v>
      </c>
      <c r="F1348" s="2" t="n">
        <v>2</v>
      </c>
      <c r="G1348" s="4" t="n">
        <v>1</v>
      </c>
      <c r="H1348" s="13" t="n"/>
      <c r="I1348" s="15" t="n"/>
      <c r="J1348" s="19" t="n">
        <v>2</v>
      </c>
      <c r="K1348" s="2" t="inlineStr">
        <is>
          <t>marker_584_381345.png</t>
        </is>
      </c>
      <c r="L1348" s="11">
        <f>HYPERLINK("2\1\" &amp; K1348, "Ver Imagen")</f>
        <v/>
      </c>
      <c r="M1348" t="inlineStr">
        <is>
          <t>Moda</t>
        </is>
      </c>
    </row>
    <row r="1349">
      <c r="A1349" t="n">
        <v>1348</v>
      </c>
      <c r="B1349" t="inlineStr">
        <is>
          <t>A-495__27</t>
        </is>
      </c>
      <c r="C1349" s="1" t="n">
        <v>37.4427881424</v>
      </c>
      <c r="D1349" s="1" t="n">
        <v>-7.0939032054</v>
      </c>
      <c r="E1349" s="3" t="n">
        <v>3</v>
      </c>
      <c r="F1349" s="2" t="n">
        <v>2</v>
      </c>
      <c r="G1349" s="4" t="n">
        <v>2</v>
      </c>
      <c r="H1349" s="13" t="n"/>
      <c r="I1349" s="15" t="n"/>
      <c r="J1349" s="19" t="n">
        <v>2</v>
      </c>
      <c r="K1349" s="2" t="inlineStr">
        <is>
          <t>marker_859_381370.png</t>
        </is>
      </c>
      <c r="L1349" s="11">
        <f>HYPERLINK("2\1\" &amp; K1349, "Ver Imagen")</f>
        <v/>
      </c>
      <c r="M1349" t="inlineStr">
        <is>
          <t>Moda</t>
        </is>
      </c>
    </row>
    <row r="1350">
      <c r="A1350" t="n">
        <v>1349</v>
      </c>
      <c r="B1350" t="inlineStr">
        <is>
          <t>A-495__34</t>
        </is>
      </c>
      <c r="C1350" s="1" t="n">
        <v>37.4421802239</v>
      </c>
      <c r="D1350" s="1" t="n">
        <v>-7.09234546526</v>
      </c>
      <c r="E1350" s="3" t="n">
        <v>3</v>
      </c>
      <c r="F1350" s="2" t="n">
        <v>2</v>
      </c>
      <c r="G1350" s="4" t="n">
        <v>2</v>
      </c>
      <c r="H1350" s="13" t="n"/>
      <c r="I1350" s="15" t="n"/>
      <c r="J1350" s="19" t="n">
        <v>2</v>
      </c>
      <c r="K1350" s="2" t="inlineStr">
        <is>
          <t>marker_381_381445.png</t>
        </is>
      </c>
      <c r="L1350" s="11">
        <f>HYPERLINK("2\1\" &amp; K1350, "Ver Imagen")</f>
        <v/>
      </c>
      <c r="M1350" t="inlineStr">
        <is>
          <t>Moda</t>
        </is>
      </c>
    </row>
    <row r="1351">
      <c r="A1351" t="n">
        <v>1350</v>
      </c>
      <c r="B1351" t="inlineStr">
        <is>
          <t>A-495__108</t>
        </is>
      </c>
      <c r="C1351" s="1" t="n">
        <v>37.4354509724</v>
      </c>
      <c r="D1351" s="1" t="n">
        <v>-7.07607603215</v>
      </c>
      <c r="E1351" s="3" t="n">
        <v>2</v>
      </c>
      <c r="F1351" s="2" t="n">
        <v>2</v>
      </c>
      <c r="G1351" s="4" t="n">
        <v>1</v>
      </c>
      <c r="H1351" s="13" t="n"/>
      <c r="I1351" s="15" t="n"/>
      <c r="J1351" s="19" t="n">
        <v>2</v>
      </c>
      <c r="K1351" s="2" t="inlineStr">
        <is>
          <t>marker_373_382254.png</t>
        </is>
      </c>
      <c r="L1351" s="11">
        <f>HYPERLINK("2\1\" &amp; K1351, "Ver Imagen")</f>
        <v/>
      </c>
      <c r="M1351" t="inlineStr">
        <is>
          <t>Moda</t>
        </is>
      </c>
    </row>
    <row r="1352">
      <c r="A1352" t="n">
        <v>1351</v>
      </c>
      <c r="B1352" t="inlineStr">
        <is>
          <t>A-5059__78</t>
        </is>
      </c>
      <c r="C1352" s="1" t="n">
        <v>37.2216654448</v>
      </c>
      <c r="D1352" s="1" t="n">
        <v>-7.05474681884</v>
      </c>
      <c r="E1352" s="3" t="n">
        <v>3</v>
      </c>
      <c r="F1352" s="2" t="n">
        <v>2</v>
      </c>
      <c r="G1352" s="4" t="n">
        <v>2</v>
      </c>
      <c r="H1352" s="13" t="n"/>
      <c r="I1352" s="15" t="n"/>
      <c r="J1352" s="19" t="n">
        <v>2</v>
      </c>
      <c r="K1352" s="2" t="inlineStr">
        <is>
          <t>marker_347_378765.png</t>
        </is>
      </c>
      <c r="L1352" s="11">
        <f>HYPERLINK("2\1\" &amp; K1352, "Ver Imagen")</f>
        <v/>
      </c>
      <c r="M1352" t="inlineStr">
        <is>
          <t>Moda</t>
        </is>
      </c>
    </row>
    <row r="1353">
      <c r="A1353" t="n">
        <v>1352</v>
      </c>
      <c r="B1353" t="inlineStr">
        <is>
          <t>A-5059__76</t>
        </is>
      </c>
      <c r="C1353" s="1" t="n">
        <v>37.2219437082</v>
      </c>
      <c r="D1353" s="1" t="n">
        <v>-7.05511665099</v>
      </c>
      <c r="E1353" s="3" t="n">
        <v>3</v>
      </c>
      <c r="F1353" s="2" t="n">
        <v>2</v>
      </c>
      <c r="G1353" s="4" t="n">
        <v>2</v>
      </c>
      <c r="H1353" s="13" t="n"/>
      <c r="I1353" s="15" t="n"/>
      <c r="J1353" s="19" t="n">
        <v>2</v>
      </c>
      <c r="K1353" s="2" t="inlineStr">
        <is>
          <t>marker_886_378788.png</t>
        </is>
      </c>
      <c r="L1353" s="11">
        <f>HYPERLINK("2\1\" &amp; K1353, "Ver Imagen")</f>
        <v/>
      </c>
      <c r="M1353" t="inlineStr">
        <is>
          <t>Moda</t>
        </is>
      </c>
    </row>
    <row r="1354">
      <c r="A1354" t="n">
        <v>1353</v>
      </c>
      <c r="B1354" t="inlineStr">
        <is>
          <t>A-5059__74</t>
        </is>
      </c>
      <c r="C1354" s="1" t="n">
        <v>37.2222667263</v>
      </c>
      <c r="D1354" s="1" t="n">
        <v>-7.05542401512</v>
      </c>
      <c r="E1354" s="3" t="n">
        <v>2</v>
      </c>
      <c r="F1354" s="2" t="n">
        <v>3</v>
      </c>
      <c r="G1354" s="4" t="n">
        <v>2</v>
      </c>
      <c r="H1354" s="13" t="n"/>
      <c r="I1354" s="15" t="n"/>
      <c r="J1354" s="19" t="n">
        <v>2</v>
      </c>
      <c r="K1354" s="2" t="inlineStr">
        <is>
          <t>marker_162_378810.png</t>
        </is>
      </c>
      <c r="L1354" s="11">
        <f>HYPERLINK("2\1\" &amp; K1354, "Ver Imagen")</f>
        <v/>
      </c>
      <c r="M1354" t="inlineStr">
        <is>
          <t>Moda</t>
        </is>
      </c>
    </row>
    <row r="1355">
      <c r="A1355" t="n">
        <v>1354</v>
      </c>
      <c r="B1355" t="inlineStr">
        <is>
          <t>A-5059__67</t>
        </is>
      </c>
      <c r="C1355" s="1" t="n">
        <v>37.2235923572</v>
      </c>
      <c r="D1355" s="1" t="n">
        <v>-7.05606650117</v>
      </c>
      <c r="E1355" s="3" t="n">
        <v>3</v>
      </c>
      <c r="F1355" s="2" t="n">
        <v>2</v>
      </c>
      <c r="G1355" s="4" t="n">
        <v>2</v>
      </c>
      <c r="H1355" s="13" t="n"/>
      <c r="I1355" s="15" t="n"/>
      <c r="J1355" s="19" t="n">
        <v>2</v>
      </c>
      <c r="K1355" s="2" t="inlineStr">
        <is>
          <t>marker_512_378875.png</t>
        </is>
      </c>
      <c r="L1355" s="11">
        <f>HYPERLINK("2\1\" &amp; K1355, "Ver Imagen")</f>
        <v/>
      </c>
      <c r="M1355" t="inlineStr">
        <is>
          <t>Moda</t>
        </is>
      </c>
    </row>
    <row r="1356">
      <c r="A1356" t="n">
        <v>1355</v>
      </c>
      <c r="B1356" t="inlineStr">
        <is>
          <t>A-5059__65</t>
        </is>
      </c>
      <c r="C1356" s="1" t="n">
        <v>37.2239589729</v>
      </c>
      <c r="D1356" s="1" t="n">
        <v>-7.05626871246</v>
      </c>
      <c r="E1356" s="3" t="n">
        <v>3</v>
      </c>
      <c r="F1356" s="2" t="n">
        <v>2</v>
      </c>
      <c r="G1356" s="4" t="n">
        <v>2</v>
      </c>
      <c r="H1356" s="13" t="n"/>
      <c r="I1356" s="15" t="n"/>
      <c r="J1356" s="19" t="n">
        <v>2</v>
      </c>
      <c r="K1356" s="2" t="inlineStr">
        <is>
          <t>marker_472_378894.png</t>
        </is>
      </c>
      <c r="L1356" s="11">
        <f>HYPERLINK("2\1\" &amp; K1356, "Ver Imagen")</f>
        <v/>
      </c>
      <c r="M1356" t="inlineStr">
        <is>
          <t>Moda</t>
        </is>
      </c>
    </row>
    <row r="1357">
      <c r="A1357" t="n">
        <v>1356</v>
      </c>
      <c r="B1357" t="inlineStr">
        <is>
          <t>A-5059__62</t>
        </is>
      </c>
      <c r="C1357" s="1" t="n">
        <v>37.2244087376</v>
      </c>
      <c r="D1357" s="1" t="n">
        <v>-7.05673469444</v>
      </c>
      <c r="E1357" s="3" t="n">
        <v>3</v>
      </c>
      <c r="F1357" s="2" t="n">
        <v>2</v>
      </c>
      <c r="G1357" s="4" t="n">
        <v>2</v>
      </c>
      <c r="H1357" s="13" t="n"/>
      <c r="I1357" s="15" t="n"/>
      <c r="J1357" s="19" t="n">
        <v>2</v>
      </c>
      <c r="K1357" s="2" t="inlineStr">
        <is>
          <t>marker_370_378926.png</t>
        </is>
      </c>
      <c r="L1357" s="11">
        <f>HYPERLINK("2\1\" &amp; K1357, "Ver Imagen")</f>
        <v/>
      </c>
      <c r="M1357" t="inlineStr">
        <is>
          <t>Moda</t>
        </is>
      </c>
    </row>
    <row r="1358">
      <c r="A1358" t="n">
        <v>1357</v>
      </c>
      <c r="B1358" t="inlineStr">
        <is>
          <t>A-5059__61</t>
        </is>
      </c>
      <c r="C1358" s="1" t="n">
        <v>37.224546288</v>
      </c>
      <c r="D1358" s="1" t="n">
        <v>-7.05694829069</v>
      </c>
      <c r="E1358" s="3" t="n">
        <v>3</v>
      </c>
      <c r="F1358" s="2" t="n">
        <v>2</v>
      </c>
      <c r="G1358" s="4" t="n">
        <v>2</v>
      </c>
      <c r="H1358" s="13" t="n"/>
      <c r="I1358" s="15" t="n"/>
      <c r="J1358" s="19" t="n">
        <v>2</v>
      </c>
      <c r="K1358" s="2" t="inlineStr">
        <is>
          <t>marker_455_378936.png</t>
        </is>
      </c>
      <c r="L1358" s="11">
        <f>HYPERLINK("2\1\" &amp; K1358, "Ver Imagen")</f>
        <v/>
      </c>
      <c r="M1358" t="inlineStr">
        <is>
          <t>Moda</t>
        </is>
      </c>
    </row>
    <row r="1359">
      <c r="A1359" t="n">
        <v>1358</v>
      </c>
      <c r="B1359" t="inlineStr">
        <is>
          <t>A-5059__60</t>
        </is>
      </c>
      <c r="C1359" s="1" t="n">
        <v>37.2246678427</v>
      </c>
      <c r="D1359" s="1" t="n">
        <v>-7.05714886582</v>
      </c>
      <c r="E1359" s="3" t="n">
        <v>3</v>
      </c>
      <c r="F1359" s="2" t="n">
        <v>2</v>
      </c>
      <c r="G1359" s="4" t="n">
        <v>2</v>
      </c>
      <c r="H1359" s="13" t="n"/>
      <c r="I1359" s="15" t="n"/>
      <c r="J1359" s="19" t="n">
        <v>2</v>
      </c>
      <c r="K1359" s="2" t="inlineStr">
        <is>
          <t>marker_270_378945.png</t>
        </is>
      </c>
      <c r="L1359" s="11">
        <f>HYPERLINK("2\1\" &amp; K1359, "Ver Imagen")</f>
        <v/>
      </c>
      <c r="M1359" t="inlineStr">
        <is>
          <t>Moda</t>
        </is>
      </c>
    </row>
    <row r="1360">
      <c r="A1360" t="n">
        <v>1359</v>
      </c>
      <c r="B1360" t="inlineStr">
        <is>
          <t>A-5059__55</t>
        </is>
      </c>
      <c r="C1360" s="1" t="n">
        <v>37.2252759535</v>
      </c>
      <c r="D1360" s="1" t="n">
        <v>-7.05817316965</v>
      </c>
      <c r="E1360" s="3" t="n">
        <v>3</v>
      </c>
      <c r="F1360" s="2" t="n">
        <v>2</v>
      </c>
      <c r="G1360" s="4" t="n">
        <v>2</v>
      </c>
      <c r="H1360" s="13" t="n"/>
      <c r="I1360" s="15" t="n"/>
      <c r="J1360" s="19" t="n">
        <v>2</v>
      </c>
      <c r="K1360" s="2" t="inlineStr">
        <is>
          <t>marker_404_379033.png</t>
        </is>
      </c>
      <c r="L1360" s="11">
        <f>HYPERLINK("2\1\" &amp; K1360, "Ver Imagen")</f>
        <v/>
      </c>
      <c r="M1360" t="inlineStr">
        <is>
          <t>Moda</t>
        </is>
      </c>
    </row>
    <row r="1361">
      <c r="A1361" t="n">
        <v>1360</v>
      </c>
      <c r="B1361" t="inlineStr">
        <is>
          <t>A-5059__50</t>
        </is>
      </c>
      <c r="C1361" s="1" t="n">
        <v>37.2258797395</v>
      </c>
      <c r="D1361" s="1" t="n">
        <v>-7.05919564853</v>
      </c>
      <c r="E1361" s="3" t="n">
        <v>3</v>
      </c>
      <c r="F1361" s="2" t="n">
        <v>2</v>
      </c>
      <c r="G1361" s="4" t="n">
        <v>2</v>
      </c>
      <c r="H1361" s="13" t="n"/>
      <c r="I1361" s="15" t="n"/>
      <c r="J1361" s="19" t="n">
        <v>2</v>
      </c>
      <c r="K1361" s="2" t="inlineStr">
        <is>
          <t>marker_387_379093.png</t>
        </is>
      </c>
      <c r="L1361" s="11">
        <f>HYPERLINK("2\1\" &amp; K1361, "Ver Imagen")</f>
        <v/>
      </c>
      <c r="M1361" t="inlineStr">
        <is>
          <t>Moda</t>
        </is>
      </c>
    </row>
    <row r="1362">
      <c r="A1362" t="n">
        <v>1361</v>
      </c>
      <c r="B1362" t="inlineStr">
        <is>
          <t>A-5059__49</t>
        </is>
      </c>
      <c r="C1362" s="1" t="n">
        <v>37.2260093071</v>
      </c>
      <c r="D1362" s="1" t="n">
        <v>-7.05941492358</v>
      </c>
      <c r="E1362" s="3" t="n">
        <v>3</v>
      </c>
      <c r="F1362" s="2" t="n">
        <v>2</v>
      </c>
      <c r="G1362" s="4" t="n">
        <v>2</v>
      </c>
      <c r="H1362" s="13" t="n"/>
      <c r="I1362" s="15" t="n"/>
      <c r="J1362" s="19" t="n">
        <v>2</v>
      </c>
      <c r="K1362" s="2" t="inlineStr">
        <is>
          <t>marker_700_379104.png</t>
        </is>
      </c>
      <c r="L1362" s="11">
        <f>HYPERLINK("2\1\" &amp; K1362, "Ver Imagen")</f>
        <v/>
      </c>
      <c r="M1362" t="inlineStr">
        <is>
          <t>Moda</t>
        </is>
      </c>
    </row>
    <row r="1363">
      <c r="A1363" t="n">
        <v>1362</v>
      </c>
      <c r="B1363" t="inlineStr">
        <is>
          <t>A-5059__46</t>
        </is>
      </c>
      <c r="C1363" s="1" t="n">
        <v>37.2263609237</v>
      </c>
      <c r="D1363" s="1" t="n">
        <v>-7.06001298241</v>
      </c>
      <c r="E1363" s="3" t="n">
        <v>3</v>
      </c>
      <c r="F1363" s="2" t="n">
        <v>2</v>
      </c>
      <c r="G1363" s="4" t="n">
        <v>2</v>
      </c>
      <c r="H1363" s="13" t="n"/>
      <c r="I1363" s="15" t="n"/>
      <c r="J1363" s="19" t="n">
        <v>2</v>
      </c>
      <c r="K1363" s="2" t="inlineStr">
        <is>
          <t>marker_825_379133.png</t>
        </is>
      </c>
      <c r="L1363" s="11">
        <f>HYPERLINK("2\1\" &amp; K1363, "Ver Imagen")</f>
        <v/>
      </c>
      <c r="M1363" t="inlineStr">
        <is>
          <t>Moda</t>
        </is>
      </c>
    </row>
    <row r="1364">
      <c r="A1364" t="n">
        <v>1363</v>
      </c>
      <c r="B1364" t="inlineStr">
        <is>
          <t>A-495__132</t>
        </is>
      </c>
      <c r="C1364" s="1" t="n">
        <v>37.4350304117</v>
      </c>
      <c r="D1364" s="1" t="n">
        <v>-7.07002983722</v>
      </c>
      <c r="E1364" s="3" t="n">
        <v>2</v>
      </c>
      <c r="F1364" s="2" t="n">
        <v>2</v>
      </c>
      <c r="G1364" s="4" t="n">
        <v>1</v>
      </c>
      <c r="H1364" s="13" t="n"/>
      <c r="I1364" s="15" t="n"/>
      <c r="J1364" s="19" t="n">
        <v>2</v>
      </c>
      <c r="K1364" s="2" t="inlineStr">
        <is>
          <t>marker_764_382496.png</t>
        </is>
      </c>
      <c r="L1364" s="11">
        <f>HYPERLINK("2\1\" &amp; K1364, "Ver Imagen")</f>
        <v/>
      </c>
      <c r="M1364" t="inlineStr">
        <is>
          <t>Moda</t>
        </is>
      </c>
    </row>
    <row r="1365">
      <c r="A1365" t="n">
        <v>1364</v>
      </c>
      <c r="B1365" t="inlineStr">
        <is>
          <t>A-5059__45</t>
        </is>
      </c>
      <c r="C1365" s="1" t="n">
        <v>37.2264856907</v>
      </c>
      <c r="D1365" s="1" t="n">
        <v>-7.06020976818</v>
      </c>
      <c r="E1365" s="3" t="n">
        <v>3</v>
      </c>
      <c r="F1365" s="2" t="n">
        <v>2</v>
      </c>
      <c r="G1365" s="4" t="n">
        <v>2</v>
      </c>
      <c r="H1365" s="13" t="n"/>
      <c r="I1365" s="15" t="n"/>
      <c r="J1365" s="19" t="n">
        <v>2</v>
      </c>
      <c r="K1365" s="2" t="inlineStr">
        <is>
          <t>marker_437_379142.png</t>
        </is>
      </c>
      <c r="L1365" s="11">
        <f>HYPERLINK("2\1\" &amp; K1365, "Ver Imagen")</f>
        <v/>
      </c>
      <c r="M1365" t="inlineStr">
        <is>
          <t>Moda</t>
        </is>
      </c>
    </row>
    <row r="1366">
      <c r="A1366" t="n">
        <v>1365</v>
      </c>
      <c r="B1366" t="inlineStr">
        <is>
          <t>A-495__135</t>
        </is>
      </c>
      <c r="C1366" s="1" t="n">
        <v>37.4348220047</v>
      </c>
      <c r="D1366" s="1" t="n">
        <v>-7.06923952271</v>
      </c>
      <c r="E1366" s="3" t="n">
        <v>2</v>
      </c>
      <c r="F1366" s="2" t="n">
        <v>2</v>
      </c>
      <c r="G1366" s="4" t="n">
        <v>1</v>
      </c>
      <c r="H1366" s="13" t="n"/>
      <c r="I1366" s="15" t="n"/>
      <c r="J1366" s="19" t="n">
        <v>2</v>
      </c>
      <c r="K1366" s="2" t="inlineStr">
        <is>
          <t>marker_230_382530.png</t>
        </is>
      </c>
      <c r="L1366" s="11">
        <f>HYPERLINK("2\1\" &amp; K1366, "Ver Imagen")</f>
        <v/>
      </c>
      <c r="M1366" t="inlineStr">
        <is>
          <t>Moda</t>
        </is>
      </c>
    </row>
    <row r="1367">
      <c r="A1367" t="n">
        <v>1366</v>
      </c>
      <c r="B1367" t="inlineStr">
        <is>
          <t>A-5059__42</t>
        </is>
      </c>
      <c r="C1367" s="1" t="n">
        <v>37.2269458972</v>
      </c>
      <c r="D1367" s="1" t="n">
        <v>-7.06067995811</v>
      </c>
      <c r="E1367" s="3" t="n">
        <v>3</v>
      </c>
      <c r="F1367" s="2" t="n">
        <v>2</v>
      </c>
      <c r="G1367" s="4" t="n">
        <v>2</v>
      </c>
      <c r="H1367" s="13" t="n"/>
      <c r="I1367" s="15" t="n"/>
      <c r="J1367" s="19" t="n">
        <v>2</v>
      </c>
      <c r="K1367" s="2" t="inlineStr">
        <is>
          <t>marker_134_379276.png</t>
        </is>
      </c>
      <c r="L1367" s="11">
        <f>HYPERLINK("2\1\" &amp; K1367, "Ver Imagen")</f>
        <v/>
      </c>
      <c r="M1367" t="inlineStr">
        <is>
          <t>Moda</t>
        </is>
      </c>
    </row>
    <row r="1368">
      <c r="A1368" t="n">
        <v>1367</v>
      </c>
      <c r="B1368" t="inlineStr">
        <is>
          <t>A-495__137</t>
        </is>
      </c>
      <c r="C1368" s="1" t="n">
        <v>37.4346801251</v>
      </c>
      <c r="D1368" s="1" t="n">
        <v>-7.06880530049</v>
      </c>
      <c r="E1368" s="3" t="n">
        <v>2</v>
      </c>
      <c r="F1368" s="2" t="n">
        <v>3</v>
      </c>
      <c r="G1368" s="4" t="n">
        <v>2</v>
      </c>
      <c r="H1368" s="13" t="n"/>
      <c r="I1368" s="15" t="n"/>
      <c r="J1368" s="19" t="n">
        <v>2</v>
      </c>
      <c r="K1368" s="2" t="inlineStr">
        <is>
          <t>marker_812_382552.png</t>
        </is>
      </c>
      <c r="L1368" s="11">
        <f>HYPERLINK("2\1\" &amp; K1368, "Ver Imagen")</f>
        <v/>
      </c>
      <c r="M1368" t="inlineStr">
        <is>
          <t>Moda</t>
        </is>
      </c>
    </row>
    <row r="1369">
      <c r="A1369" t="n">
        <v>1368</v>
      </c>
      <c r="B1369" t="inlineStr">
        <is>
          <t>A-495__138</t>
        </is>
      </c>
      <c r="C1369" s="1" t="n">
        <v>37.4345963186</v>
      </c>
      <c r="D1369" s="1" t="n">
        <v>-7.06857826563</v>
      </c>
      <c r="E1369" s="3" t="n">
        <v>2</v>
      </c>
      <c r="F1369" s="2" t="n">
        <v>3</v>
      </c>
      <c r="G1369" s="4" t="n">
        <v>2</v>
      </c>
      <c r="H1369" s="13" t="n"/>
      <c r="I1369" s="15" t="n"/>
      <c r="J1369" s="19" t="n">
        <v>2</v>
      </c>
      <c r="K1369" s="2" t="inlineStr">
        <is>
          <t>marker_270_382561.png</t>
        </is>
      </c>
      <c r="L1369" s="11">
        <f>HYPERLINK("2\1\" &amp; K1369, "Ver Imagen")</f>
        <v/>
      </c>
      <c r="M1369" t="inlineStr">
        <is>
          <t>Moda</t>
        </is>
      </c>
    </row>
    <row r="1370">
      <c r="A1370" t="n">
        <v>1369</v>
      </c>
      <c r="B1370" t="inlineStr">
        <is>
          <t>A-5059__35</t>
        </is>
      </c>
      <c r="C1370" s="1" t="n">
        <v>37.2282019669</v>
      </c>
      <c r="D1370" s="1" t="n">
        <v>-7.06145509576</v>
      </c>
      <c r="E1370" s="3" t="n">
        <v>3</v>
      </c>
      <c r="F1370" s="2" t="n">
        <v>2</v>
      </c>
      <c r="G1370" s="4" t="n">
        <v>2</v>
      </c>
      <c r="H1370" s="13" t="n"/>
      <c r="I1370" s="15" t="n"/>
      <c r="J1370" s="19" t="n">
        <v>2</v>
      </c>
      <c r="K1370" s="2" t="inlineStr">
        <is>
          <t>marker_533_379357.png</t>
        </is>
      </c>
      <c r="L1370" s="11">
        <f>HYPERLINK("2\1\" &amp; K1370, "Ver Imagen")</f>
        <v/>
      </c>
      <c r="M1370" t="inlineStr">
        <is>
          <t>Moda</t>
        </is>
      </c>
    </row>
    <row r="1371">
      <c r="A1371" t="n">
        <v>1370</v>
      </c>
      <c r="B1371" t="inlineStr">
        <is>
          <t>A-5059__34</t>
        </is>
      </c>
      <c r="C1371" s="1" t="n">
        <v>37.2283523361</v>
      </c>
      <c r="D1371" s="1" t="n">
        <v>-7.0616245992</v>
      </c>
      <c r="E1371" s="3" t="n">
        <v>2</v>
      </c>
      <c r="F1371" s="2" t="n">
        <v>3</v>
      </c>
      <c r="G1371" s="4" t="n">
        <v>2</v>
      </c>
      <c r="H1371" s="13" t="n"/>
      <c r="I1371" s="15" t="n"/>
      <c r="J1371" s="19" t="n">
        <v>2</v>
      </c>
      <c r="K1371" s="2" t="inlineStr">
        <is>
          <t>marker_834_379368.png</t>
        </is>
      </c>
      <c r="L1371" s="11">
        <f>HYPERLINK("2\1\" &amp; K1371, "Ver Imagen")</f>
        <v/>
      </c>
      <c r="M1371" t="inlineStr">
        <is>
          <t>Moda</t>
        </is>
      </c>
    </row>
    <row r="1372">
      <c r="A1372" t="n">
        <v>1371</v>
      </c>
      <c r="B1372" t="inlineStr">
        <is>
          <t>A-5059__33</t>
        </is>
      </c>
      <c r="C1372" s="1" t="n">
        <v>37.2284986842</v>
      </c>
      <c r="D1372" s="1" t="n">
        <v>-7.06180088961</v>
      </c>
      <c r="E1372" s="3" t="n">
        <v>2</v>
      </c>
      <c r="F1372" s="2" t="n">
        <v>3</v>
      </c>
      <c r="G1372" s="4" t="n">
        <v>2</v>
      </c>
      <c r="H1372" s="13" t="n"/>
      <c r="I1372" s="15" t="n"/>
      <c r="J1372" s="19" t="n">
        <v>2</v>
      </c>
      <c r="K1372" s="2" t="inlineStr">
        <is>
          <t>marker_403_379377.png</t>
        </is>
      </c>
      <c r="L1372" s="11">
        <f>HYPERLINK("2\1\" &amp; K1372, "Ver Imagen")</f>
        <v/>
      </c>
      <c r="M1372" t="inlineStr">
        <is>
          <t>Moda</t>
        </is>
      </c>
    </row>
    <row r="1373">
      <c r="A1373" t="n">
        <v>1372</v>
      </c>
      <c r="B1373" t="inlineStr">
        <is>
          <t>A-5059__20</t>
        </is>
      </c>
      <c r="C1373" s="1" t="n">
        <v>37.2307104064</v>
      </c>
      <c r="D1373" s="1" t="n">
        <v>-7.06339943606</v>
      </c>
      <c r="E1373" s="3" t="n">
        <v>3</v>
      </c>
      <c r="F1373" s="2" t="n">
        <v>2</v>
      </c>
      <c r="G1373" s="4" t="n">
        <v>2</v>
      </c>
      <c r="H1373" s="13" t="n"/>
      <c r="I1373" s="15" t="n"/>
      <c r="J1373" s="19" t="n">
        <v>2</v>
      </c>
      <c r="K1373" s="2" t="inlineStr">
        <is>
          <t>marker_594_379491.png</t>
        </is>
      </c>
      <c r="L1373" s="11">
        <f>HYPERLINK("2\1\" &amp; K1373, "Ver Imagen")</f>
        <v/>
      </c>
      <c r="M1373" t="inlineStr">
        <is>
          <t>Moda</t>
        </is>
      </c>
    </row>
    <row r="1374">
      <c r="A1374" t="n">
        <v>1373</v>
      </c>
      <c r="B1374" t="inlineStr">
        <is>
          <t>A-5059__17</t>
        </is>
      </c>
      <c r="C1374" s="1" t="n">
        <v>37.2313029697</v>
      </c>
      <c r="D1374" s="1" t="n">
        <v>-7.06357155254</v>
      </c>
      <c r="E1374" s="3" t="n">
        <v>3</v>
      </c>
      <c r="F1374" s="2" t="n">
        <v>2</v>
      </c>
      <c r="G1374" s="4" t="n">
        <v>2</v>
      </c>
      <c r="H1374" s="13" t="n"/>
      <c r="I1374" s="15" t="n"/>
      <c r="J1374" s="19" t="n">
        <v>2</v>
      </c>
      <c r="K1374" s="2" t="inlineStr">
        <is>
          <t>marker_536_379517.png</t>
        </is>
      </c>
      <c r="L1374" s="11">
        <f>HYPERLINK("2\1\" &amp; K1374, "Ver Imagen")</f>
        <v/>
      </c>
      <c r="M1374" t="inlineStr">
        <is>
          <t>Moda</t>
        </is>
      </c>
    </row>
    <row r="1375">
      <c r="A1375" t="n">
        <v>1374</v>
      </c>
      <c r="B1375" t="inlineStr">
        <is>
          <t>A-5059__9</t>
        </is>
      </c>
      <c r="C1375" s="1" t="n">
        <v>37.2325258419</v>
      </c>
      <c r="D1375" s="1" t="n">
        <v>-7.06483163592</v>
      </c>
      <c r="E1375" s="3" t="n">
        <v>3</v>
      </c>
      <c r="F1375" s="2" t="n">
        <v>2</v>
      </c>
      <c r="G1375" s="4" t="n">
        <v>2</v>
      </c>
      <c r="H1375" s="13" t="n"/>
      <c r="I1375" s="15" t="n"/>
      <c r="J1375" s="19" t="n">
        <v>2</v>
      </c>
      <c r="K1375" s="2" t="inlineStr">
        <is>
          <t>marker_189_379590.png</t>
        </is>
      </c>
      <c r="L1375" s="11">
        <f>HYPERLINK("2\1\" &amp; K1375, "Ver Imagen")</f>
        <v/>
      </c>
      <c r="M1375" t="inlineStr">
        <is>
          <t>Moda</t>
        </is>
      </c>
    </row>
    <row r="1376">
      <c r="A1376" t="n">
        <v>1375</v>
      </c>
      <c r="B1376" t="inlineStr">
        <is>
          <t>A-5059__8</t>
        </is>
      </c>
      <c r="C1376" s="1" t="n">
        <v>37.2326511879</v>
      </c>
      <c r="D1376" s="1" t="n">
        <v>-7.06507282112</v>
      </c>
      <c r="E1376" s="3" t="n">
        <v>3</v>
      </c>
      <c r="F1376" s="2" t="n">
        <v>2</v>
      </c>
      <c r="G1376" s="4" t="n">
        <v>2</v>
      </c>
      <c r="H1376" s="13" t="n"/>
      <c r="I1376" s="15" t="n"/>
      <c r="J1376" s="19" t="n">
        <v>2</v>
      </c>
      <c r="K1376" s="2" t="inlineStr">
        <is>
          <t>marker_381_379599.png</t>
        </is>
      </c>
      <c r="L1376" s="11">
        <f>HYPERLINK("2\1\" &amp; K1376, "Ver Imagen")</f>
        <v/>
      </c>
      <c r="M1376" t="inlineStr">
        <is>
          <t>Moda</t>
        </is>
      </c>
    </row>
    <row r="1377">
      <c r="A1377" t="n">
        <v>1376</v>
      </c>
      <c r="B1377" t="inlineStr">
        <is>
          <t>A-5059__2</t>
        </is>
      </c>
      <c r="C1377" s="1" t="n">
        <v>37.2334299025</v>
      </c>
      <c r="D1377" s="1" t="n">
        <v>-7.06615457077</v>
      </c>
      <c r="E1377" s="3" t="n">
        <v>2</v>
      </c>
      <c r="F1377" s="2" t="n">
        <v>1</v>
      </c>
      <c r="G1377" s="4" t="n">
        <v>2</v>
      </c>
      <c r="H1377" s="13" t="n"/>
      <c r="I1377" s="15" t="n"/>
      <c r="J1377" s="19" t="n">
        <v>2</v>
      </c>
      <c r="K1377" s="2" t="inlineStr">
        <is>
          <t>marker_568_379656.png</t>
        </is>
      </c>
      <c r="L1377" s="11">
        <f>HYPERLINK("2\1\" &amp; K1377, "Ver Imagen")</f>
        <v/>
      </c>
      <c r="M1377" t="inlineStr">
        <is>
          <t>Moda</t>
        </is>
      </c>
    </row>
    <row r="1378">
      <c r="A1378" t="n">
        <v>1377</v>
      </c>
      <c r="B1378" t="inlineStr">
        <is>
          <t>A-5058__3</t>
        </is>
      </c>
      <c r="C1378" s="1" t="n">
        <v>37.2252612508</v>
      </c>
      <c r="D1378" s="1" t="n">
        <v>-7.02801116108</v>
      </c>
      <c r="E1378" s="3" t="n">
        <v>3</v>
      </c>
      <c r="F1378" s="2" t="n">
        <v>2</v>
      </c>
      <c r="G1378" s="4" t="n">
        <v>2</v>
      </c>
      <c r="H1378" s="13" t="n"/>
      <c r="I1378" s="15" t="n"/>
      <c r="J1378" s="19" t="n">
        <v>2</v>
      </c>
      <c r="K1378" s="2" t="inlineStr">
        <is>
          <t>marker_766_379809.png</t>
        </is>
      </c>
      <c r="L1378" s="11">
        <f>HYPERLINK("2\1\" &amp; K1378, "Ver Imagen")</f>
        <v/>
      </c>
      <c r="M1378" t="inlineStr">
        <is>
          <t>Moda</t>
        </is>
      </c>
    </row>
    <row r="1379">
      <c r="A1379" t="n">
        <v>1378</v>
      </c>
      <c r="B1379" t="inlineStr">
        <is>
          <t>A-5058__4</t>
        </is>
      </c>
      <c r="C1379" s="1" t="n">
        <v>37.2252775646</v>
      </c>
      <c r="D1379" s="1" t="n">
        <v>-7.02828286863</v>
      </c>
      <c r="E1379" s="3" t="n">
        <v>2</v>
      </c>
      <c r="F1379" s="2" t="n">
        <v>3</v>
      </c>
      <c r="G1379" s="4" t="n">
        <v>2</v>
      </c>
      <c r="H1379" s="13" t="n"/>
      <c r="I1379" s="15" t="n"/>
      <c r="J1379" s="19" t="n">
        <v>2</v>
      </c>
      <c r="K1379" s="2" t="inlineStr">
        <is>
          <t>marker_226_379839.png</t>
        </is>
      </c>
      <c r="L1379" s="11">
        <f>HYPERLINK("2\1\" &amp; K1379, "Ver Imagen")</f>
        <v/>
      </c>
      <c r="M1379" t="inlineStr">
        <is>
          <t>Moda</t>
        </is>
      </c>
    </row>
    <row r="1380">
      <c r="A1380" t="n">
        <v>1379</v>
      </c>
      <c r="B1380" t="inlineStr">
        <is>
          <t>A-495__161</t>
        </is>
      </c>
      <c r="C1380" s="1" t="n">
        <v>37.432322809</v>
      </c>
      <c r="D1380" s="1" t="n">
        <v>-7.0635568948</v>
      </c>
      <c r="E1380" s="3" t="n">
        <v>2</v>
      </c>
      <c r="F1380" s="2" t="n">
        <v>3</v>
      </c>
      <c r="G1380" s="4" t="n">
        <v>2</v>
      </c>
      <c r="H1380" s="13" t="n"/>
      <c r="I1380" s="15" t="n"/>
      <c r="J1380" s="19" t="n">
        <v>2</v>
      </c>
      <c r="K1380" s="2" t="inlineStr">
        <is>
          <t>marker_547_382811.png</t>
        </is>
      </c>
      <c r="L1380" s="11">
        <f>HYPERLINK("2\1\" &amp; K1380, "Ver Imagen")</f>
        <v/>
      </c>
      <c r="M1380" t="inlineStr">
        <is>
          <t>Moda</t>
        </is>
      </c>
    </row>
    <row r="1381">
      <c r="A1381" t="n">
        <v>1380</v>
      </c>
      <c r="B1381" t="inlineStr">
        <is>
          <t>A-5058__8</t>
        </is>
      </c>
      <c r="C1381" s="1" t="n">
        <v>37.2253330518</v>
      </c>
      <c r="D1381" s="1" t="n">
        <v>-7.02928561729</v>
      </c>
      <c r="E1381" s="3" t="n">
        <v>2</v>
      </c>
      <c r="F1381" s="2" t="n">
        <v>2</v>
      </c>
      <c r="G1381" s="4" t="n">
        <v>3</v>
      </c>
      <c r="H1381" s="13" t="n"/>
      <c r="I1381" s="15" t="n"/>
      <c r="J1381" s="19" t="n">
        <v>2</v>
      </c>
      <c r="K1381" s="2" t="inlineStr">
        <is>
          <t>marker_138_379891.png</t>
        </is>
      </c>
      <c r="L1381" s="11">
        <f>HYPERLINK("2\1\" &amp; K1381, "Ver Imagen")</f>
        <v/>
      </c>
      <c r="M1381" t="inlineStr">
        <is>
          <t>Moda</t>
        </is>
      </c>
    </row>
    <row r="1382">
      <c r="A1382" t="n">
        <v>1381</v>
      </c>
      <c r="B1382" t="inlineStr">
        <is>
          <t>A-5058__13</t>
        </is>
      </c>
      <c r="C1382" s="1" t="n">
        <v>37.2253356262</v>
      </c>
      <c r="D1382" s="1" t="n">
        <v>-7.03056473897</v>
      </c>
      <c r="E1382" s="3" t="n">
        <v>2</v>
      </c>
      <c r="F1382" s="2" t="n">
        <v>1</v>
      </c>
      <c r="G1382" s="4" t="n">
        <v>2</v>
      </c>
      <c r="H1382" s="13" t="n"/>
      <c r="I1382" s="15" t="n"/>
      <c r="J1382" s="19" t="n">
        <v>2</v>
      </c>
      <c r="K1382" s="2" t="inlineStr">
        <is>
          <t>marker_159_379935.png</t>
        </is>
      </c>
      <c r="L1382" s="11">
        <f>HYPERLINK("2\1\" &amp; K1382, "Ver Imagen")</f>
        <v/>
      </c>
      <c r="M1382" t="inlineStr">
        <is>
          <t>Moda</t>
        </is>
      </c>
    </row>
    <row r="1383">
      <c r="A1383" t="n">
        <v>1382</v>
      </c>
      <c r="B1383" t="inlineStr">
        <is>
          <t>A-495__162</t>
        </is>
      </c>
      <c r="C1383" s="1" t="n">
        <v>37.4322078252</v>
      </c>
      <c r="D1383" s="1" t="n">
        <v>-7.06330903446</v>
      </c>
      <c r="E1383" s="3" t="n">
        <v>2</v>
      </c>
      <c r="F1383" s="2" t="n">
        <v>3</v>
      </c>
      <c r="G1383" s="4" t="n">
        <v>2</v>
      </c>
      <c r="H1383" s="13" t="n"/>
      <c r="I1383" s="15" t="n"/>
      <c r="J1383" s="19" t="n">
        <v>2</v>
      </c>
      <c r="K1383" s="2" t="inlineStr">
        <is>
          <t>marker_890_382819.png</t>
        </is>
      </c>
      <c r="L1383" s="11">
        <f>HYPERLINK("2\1\" &amp; K1383, "Ver Imagen")</f>
        <v/>
      </c>
      <c r="M1383" t="inlineStr">
        <is>
          <t>Moda</t>
        </is>
      </c>
    </row>
    <row r="1384">
      <c r="A1384" t="n">
        <v>1383</v>
      </c>
      <c r="B1384" t="inlineStr">
        <is>
          <t>A-5058__14</t>
        </is>
      </c>
      <c r="C1384" s="1" t="n">
        <v>37.2253189316</v>
      </c>
      <c r="D1384" s="1" t="n">
        <v>-7.03080410133</v>
      </c>
      <c r="E1384" s="3" t="n">
        <v>3</v>
      </c>
      <c r="F1384" s="2" t="n">
        <v>2</v>
      </c>
      <c r="G1384" s="4" t="n">
        <v>2</v>
      </c>
      <c r="H1384" s="13" t="n"/>
      <c r="I1384" s="15" t="n"/>
      <c r="J1384" s="19" t="n">
        <v>2</v>
      </c>
      <c r="K1384" s="2" t="inlineStr">
        <is>
          <t>marker_761_379945.png</t>
        </is>
      </c>
      <c r="L1384" s="11">
        <f>HYPERLINK("2\1\" &amp; K1384, "Ver Imagen")</f>
        <v/>
      </c>
      <c r="M1384" t="inlineStr">
        <is>
          <t>Moda</t>
        </is>
      </c>
    </row>
    <row r="1385">
      <c r="A1385" t="n">
        <v>1384</v>
      </c>
      <c r="B1385" t="inlineStr">
        <is>
          <t>A-5058__22</t>
        </is>
      </c>
      <c r="C1385" s="1" t="n">
        <v>37.225104674</v>
      </c>
      <c r="D1385" s="1" t="n">
        <v>-7.03279515955</v>
      </c>
      <c r="E1385" s="3" t="n">
        <v>2</v>
      </c>
      <c r="F1385" s="2" t="n">
        <v>3</v>
      </c>
      <c r="G1385" s="4" t="n">
        <v>2</v>
      </c>
      <c r="H1385" s="13" t="n"/>
      <c r="I1385" s="15" t="n"/>
      <c r="J1385" s="19" t="n">
        <v>2</v>
      </c>
      <c r="K1385" s="2" t="inlineStr">
        <is>
          <t>marker_810_380096.png</t>
        </is>
      </c>
      <c r="L1385" s="11">
        <f>HYPERLINK("2\1\" &amp; K1385, "Ver Imagen")</f>
        <v/>
      </c>
      <c r="M1385" t="inlineStr">
        <is>
          <t>Moda</t>
        </is>
      </c>
    </row>
    <row r="1386">
      <c r="A1386" t="n">
        <v>1385</v>
      </c>
      <c r="B1386" t="inlineStr">
        <is>
          <t>A-495__164</t>
        </is>
      </c>
      <c r="C1386" s="1" t="n">
        <v>37.4320009793</v>
      </c>
      <c r="D1386" s="1" t="n">
        <v>-7.06285799618</v>
      </c>
      <c r="E1386" s="3" t="n">
        <v>2</v>
      </c>
      <c r="F1386" s="2" t="n">
        <v>2</v>
      </c>
      <c r="G1386" s="4" t="n">
        <v>3</v>
      </c>
      <c r="H1386" s="13" t="n"/>
      <c r="I1386" s="15" t="n"/>
      <c r="J1386" s="19" t="n">
        <v>2</v>
      </c>
      <c r="K1386" s="2" t="inlineStr">
        <is>
          <t>marker_165_382854.png</t>
        </is>
      </c>
      <c r="L1386" s="11">
        <f>HYPERLINK("2\1\" &amp; K1386, "Ver Imagen")</f>
        <v/>
      </c>
      <c r="M1386" t="inlineStr">
        <is>
          <t>Moda</t>
        </is>
      </c>
    </row>
    <row r="1387">
      <c r="A1387" t="n">
        <v>1386</v>
      </c>
      <c r="B1387" t="inlineStr">
        <is>
          <t>A-495__166</t>
        </is>
      </c>
      <c r="C1387" s="1" t="n">
        <v>37.4318020921</v>
      </c>
      <c r="D1387" s="1" t="n">
        <v>-7.06242465546</v>
      </c>
      <c r="E1387" s="3" t="n">
        <v>2</v>
      </c>
      <c r="F1387" s="2" t="n">
        <v>3</v>
      </c>
      <c r="G1387" s="4" t="n">
        <v>2</v>
      </c>
      <c r="H1387" s="13" t="n"/>
      <c r="I1387" s="15" t="n"/>
      <c r="J1387" s="19" t="n">
        <v>2</v>
      </c>
      <c r="K1387" s="2" t="inlineStr">
        <is>
          <t>marker_554_382873.png</t>
        </is>
      </c>
      <c r="L1387" s="11">
        <f>HYPERLINK("2\1\" &amp; K1387, "Ver Imagen")</f>
        <v/>
      </c>
      <c r="M1387" t="inlineStr">
        <is>
          <t>Moda</t>
        </is>
      </c>
    </row>
    <row r="1388">
      <c r="A1388" t="n">
        <v>1387</v>
      </c>
      <c r="B1388" t="inlineStr">
        <is>
          <t>A-495__168</t>
        </is>
      </c>
      <c r="C1388" s="1" t="n">
        <v>37.4315916053</v>
      </c>
      <c r="D1388" s="1" t="n">
        <v>-7.06196967381</v>
      </c>
      <c r="E1388" s="3" t="n">
        <v>2</v>
      </c>
      <c r="F1388" s="2" t="n">
        <v>2</v>
      </c>
      <c r="G1388" s="4" t="n">
        <v>3</v>
      </c>
      <c r="H1388" s="13" t="n"/>
      <c r="I1388" s="15" t="n"/>
      <c r="J1388" s="19" t="n">
        <v>2</v>
      </c>
      <c r="K1388" s="2" t="inlineStr">
        <is>
          <t>marker_726_382893.png</t>
        </is>
      </c>
      <c r="L1388" s="11">
        <f>HYPERLINK("2\1\" &amp; K1388, "Ver Imagen")</f>
        <v/>
      </c>
      <c r="M1388" t="inlineStr">
        <is>
          <t>Moda</t>
        </is>
      </c>
    </row>
    <row r="1389">
      <c r="A1389" t="n">
        <v>1388</v>
      </c>
      <c r="B1389" t="inlineStr">
        <is>
          <t>A-5058__44</t>
        </is>
      </c>
      <c r="C1389" s="1" t="n">
        <v>37.2246494848</v>
      </c>
      <c r="D1389" s="1" t="n">
        <v>-7.03799783172</v>
      </c>
      <c r="E1389" s="3" t="n">
        <v>2</v>
      </c>
      <c r="F1389" s="2" t="n">
        <v>3</v>
      </c>
      <c r="G1389" s="4" t="n">
        <v>2</v>
      </c>
      <c r="H1389" s="13" t="n"/>
      <c r="I1389" s="15" t="n"/>
      <c r="J1389" s="19" t="n">
        <v>2</v>
      </c>
      <c r="K1389" s="2" t="inlineStr">
        <is>
          <t>marker_303_380461.png</t>
        </is>
      </c>
      <c r="L1389" s="11">
        <f>HYPERLINK("2\1\" &amp; K1389, "Ver Imagen")</f>
        <v/>
      </c>
      <c r="M1389" t="inlineStr">
        <is>
          <t>Moda</t>
        </is>
      </c>
    </row>
    <row r="1390">
      <c r="A1390" t="n">
        <v>1389</v>
      </c>
      <c r="B1390" t="inlineStr">
        <is>
          <t>A-5058__49</t>
        </is>
      </c>
      <c r="C1390" s="1" t="n">
        <v>37.2248009468</v>
      </c>
      <c r="D1390" s="1" t="n">
        <v>-7.03926741962</v>
      </c>
      <c r="E1390" s="3" t="n">
        <v>2</v>
      </c>
      <c r="F1390" s="2" t="n">
        <v>3</v>
      </c>
      <c r="G1390" s="4" t="n">
        <v>2</v>
      </c>
      <c r="H1390" s="13" t="n"/>
      <c r="I1390" s="15" t="n"/>
      <c r="J1390" s="19" t="n">
        <v>2</v>
      </c>
      <c r="K1390" s="2" t="inlineStr">
        <is>
          <t>marker_747_380526.png</t>
        </is>
      </c>
      <c r="L1390" s="11">
        <f>HYPERLINK("2\1\" &amp; K1390, "Ver Imagen")</f>
        <v/>
      </c>
      <c r="M1390" t="inlineStr">
        <is>
          <t>Moda</t>
        </is>
      </c>
    </row>
    <row r="1391">
      <c r="A1391" t="n">
        <v>1390</v>
      </c>
      <c r="B1391" t="inlineStr">
        <is>
          <t>A-5058__50</t>
        </is>
      </c>
      <c r="C1391" s="1" t="n">
        <v>37.2248536587</v>
      </c>
      <c r="D1391" s="1" t="n">
        <v>-7.03951923824</v>
      </c>
      <c r="E1391" s="3" t="n">
        <v>2</v>
      </c>
      <c r="F1391" s="2" t="n">
        <v>3</v>
      </c>
      <c r="G1391" s="4" t="n">
        <v>2</v>
      </c>
      <c r="H1391" s="13" t="n"/>
      <c r="I1391" s="15" t="n"/>
      <c r="J1391" s="19" t="n">
        <v>2</v>
      </c>
      <c r="K1391" s="2" t="inlineStr">
        <is>
          <t>marker_404_380535.png</t>
        </is>
      </c>
      <c r="L1391" s="11">
        <f>HYPERLINK("2\1\" &amp; K1391, "Ver Imagen")</f>
        <v/>
      </c>
      <c r="M1391" t="inlineStr">
        <is>
          <t>Moda</t>
        </is>
      </c>
    </row>
    <row r="1392">
      <c r="A1392" t="n">
        <v>1391</v>
      </c>
      <c r="B1392" t="inlineStr">
        <is>
          <t>A-5058__68</t>
        </is>
      </c>
      <c r="C1392" s="1" t="n">
        <v>37.2263768817</v>
      </c>
      <c r="D1392" s="1" t="n">
        <v>-7.04362392191</v>
      </c>
      <c r="E1392" s="3" t="n">
        <v>2</v>
      </c>
      <c r="F1392" s="2" t="n">
        <v>3</v>
      </c>
      <c r="G1392" s="4" t="n">
        <v>2</v>
      </c>
      <c r="H1392" s="13" t="n"/>
      <c r="I1392" s="15" t="n"/>
      <c r="J1392" s="19" t="n">
        <v>2</v>
      </c>
      <c r="K1392" s="2" t="inlineStr">
        <is>
          <t>marker_240_380735.png</t>
        </is>
      </c>
      <c r="L1392" s="11">
        <f>HYPERLINK("2\1\" &amp; K1392, "Ver Imagen")</f>
        <v/>
      </c>
      <c r="M1392" t="inlineStr">
        <is>
          <t>Moda</t>
        </is>
      </c>
    </row>
    <row r="1393">
      <c r="A1393" t="n">
        <v>1392</v>
      </c>
      <c r="B1393" t="inlineStr">
        <is>
          <t>A-5058__71</t>
        </is>
      </c>
      <c r="C1393" s="1" t="n">
        <v>37.2266855199</v>
      </c>
      <c r="D1393" s="1" t="n">
        <v>-7.04425934307</v>
      </c>
      <c r="E1393" s="3" t="n">
        <v>2</v>
      </c>
      <c r="F1393" s="2" t="n">
        <v>1</v>
      </c>
      <c r="G1393" s="4" t="n">
        <v>2</v>
      </c>
      <c r="H1393" s="13" t="n"/>
      <c r="I1393" s="15" t="n"/>
      <c r="J1393" s="19" t="n">
        <v>2</v>
      </c>
      <c r="K1393" s="2" t="inlineStr">
        <is>
          <t>marker_115_380765.png</t>
        </is>
      </c>
      <c r="L1393" s="11">
        <f>HYPERLINK("2\1\" &amp; K1393, "Ver Imagen")</f>
        <v/>
      </c>
      <c r="M1393" t="inlineStr">
        <is>
          <t>Moda</t>
        </is>
      </c>
    </row>
    <row r="1394">
      <c r="A1394" t="n">
        <v>1393</v>
      </c>
      <c r="B1394" t="inlineStr">
        <is>
          <t>A-5058__72</t>
        </is>
      </c>
      <c r="C1394" s="1" t="n">
        <v>37.2268057995</v>
      </c>
      <c r="D1394" s="1" t="n">
        <v>-7.04446415791</v>
      </c>
      <c r="E1394" s="3" t="n">
        <v>2</v>
      </c>
      <c r="F1394" s="2" t="n">
        <v>3</v>
      </c>
      <c r="G1394" s="4" t="n">
        <v>2</v>
      </c>
      <c r="H1394" s="13" t="n"/>
      <c r="I1394" s="15" t="n"/>
      <c r="J1394" s="19" t="n">
        <v>2</v>
      </c>
      <c r="K1394" s="2" t="inlineStr">
        <is>
          <t>marker_456_380775.png</t>
        </is>
      </c>
      <c r="L1394" s="11">
        <f>HYPERLINK("2\1\" &amp; K1394, "Ver Imagen")</f>
        <v/>
      </c>
      <c r="M1394" t="inlineStr">
        <is>
          <t>Moda</t>
        </is>
      </c>
    </row>
    <row r="1395">
      <c r="A1395" t="n">
        <v>1394</v>
      </c>
      <c r="B1395" t="inlineStr">
        <is>
          <t>A-5058__93</t>
        </is>
      </c>
      <c r="C1395" s="1" t="n">
        <v>37.229738925</v>
      </c>
      <c r="D1395" s="1" t="n">
        <v>-7.04827174586</v>
      </c>
      <c r="E1395" s="3" t="n">
        <v>2</v>
      </c>
      <c r="F1395" s="2" t="n">
        <v>2</v>
      </c>
      <c r="G1395" s="4" t="n">
        <v>3</v>
      </c>
      <c r="H1395" s="13" t="n"/>
      <c r="I1395" s="15" t="n"/>
      <c r="J1395" s="19" t="n">
        <v>2</v>
      </c>
      <c r="K1395" s="2" t="inlineStr">
        <is>
          <t>marker_236_381041.png</t>
        </is>
      </c>
      <c r="L1395" s="11">
        <f>HYPERLINK("2\1\" &amp; K1395, "Ver Imagen")</f>
        <v/>
      </c>
      <c r="M1395" t="inlineStr">
        <is>
          <t>Moda</t>
        </is>
      </c>
    </row>
    <row r="1396">
      <c r="A1396" t="n">
        <v>1395</v>
      </c>
      <c r="B1396" t="inlineStr">
        <is>
          <t>A-5058__97</t>
        </is>
      </c>
      <c r="C1396" s="1" t="n">
        <v>37.2302235473</v>
      </c>
      <c r="D1396" s="1" t="n">
        <v>-7.04907835941</v>
      </c>
      <c r="E1396" s="3" t="n">
        <v>2</v>
      </c>
      <c r="F1396" s="2" t="n">
        <v>2</v>
      </c>
      <c r="G1396" s="4" t="n">
        <v>3</v>
      </c>
      <c r="H1396" s="13" t="n"/>
      <c r="I1396" s="15" t="n"/>
      <c r="J1396" s="19" t="n">
        <v>2</v>
      </c>
      <c r="K1396" s="2" t="inlineStr">
        <is>
          <t>marker_623_381081.png</t>
        </is>
      </c>
      <c r="L1396" s="11">
        <f>HYPERLINK("2\1\" &amp; K1396, "Ver Imagen")</f>
        <v/>
      </c>
      <c r="M1396" t="inlineStr">
        <is>
          <t>Moda</t>
        </is>
      </c>
    </row>
    <row r="1397">
      <c r="A1397" t="n">
        <v>1396</v>
      </c>
      <c r="B1397" t="inlineStr">
        <is>
          <t>A-5058__101</t>
        </is>
      </c>
      <c r="C1397" s="1" t="n">
        <v>37.2307216108</v>
      </c>
      <c r="D1397" s="1" t="n">
        <v>-7.04992142487</v>
      </c>
      <c r="E1397" s="3" t="n">
        <v>2</v>
      </c>
      <c r="F1397" s="2" t="n">
        <v>2</v>
      </c>
      <c r="G1397" s="4" t="n">
        <v>3</v>
      </c>
      <c r="H1397" s="13" t="n"/>
      <c r="I1397" s="15" t="n"/>
      <c r="J1397" s="19" t="n">
        <v>2</v>
      </c>
      <c r="K1397" s="2" t="inlineStr">
        <is>
          <t>marker_725_381129.png</t>
        </is>
      </c>
      <c r="L1397" s="11">
        <f>HYPERLINK("2\1\" &amp; K1397, "Ver Imagen")</f>
        <v/>
      </c>
      <c r="M1397" t="inlineStr">
        <is>
          <t>Moda</t>
        </is>
      </c>
    </row>
    <row r="1398">
      <c r="A1398" t="n">
        <v>1397</v>
      </c>
      <c r="B1398" t="inlineStr">
        <is>
          <t>A-5058__189</t>
        </is>
      </c>
      <c r="C1398" s="1" t="n">
        <v>37.2343106266</v>
      </c>
      <c r="D1398" s="1" t="n">
        <v>-7.07077939631</v>
      </c>
      <c r="E1398" s="3" t="n">
        <v>2</v>
      </c>
      <c r="F1398" s="2" t="n">
        <v>1</v>
      </c>
      <c r="G1398" s="4" t="n">
        <v>2</v>
      </c>
      <c r="H1398" s="13" t="n"/>
      <c r="I1398" s="15" t="n"/>
      <c r="J1398" s="19" t="n">
        <v>2</v>
      </c>
      <c r="K1398" s="2" t="inlineStr">
        <is>
          <t>marker_840_382770.png</t>
        </is>
      </c>
      <c r="L1398" s="11">
        <f>HYPERLINK("2\1\" &amp; K1398, "Ver Imagen")</f>
        <v/>
      </c>
      <c r="M1398" t="inlineStr">
        <is>
          <t>Moda</t>
        </is>
      </c>
    </row>
    <row r="1399">
      <c r="A1399" t="n">
        <v>1398</v>
      </c>
      <c r="B1399" t="inlineStr">
        <is>
          <t>A-495_1__194</t>
        </is>
      </c>
      <c r="C1399" s="1" t="n">
        <v>37.4846103885</v>
      </c>
      <c r="D1399" s="1" t="n">
        <v>-7.13039368881</v>
      </c>
      <c r="E1399" s="3" t="n">
        <v>2</v>
      </c>
      <c r="F1399" s="2" t="n">
        <v>3</v>
      </c>
      <c r="G1399" s="4" t="n">
        <v>2</v>
      </c>
      <c r="H1399" s="13" t="n"/>
      <c r="I1399" s="15" t="n"/>
      <c r="J1399" s="19" t="n">
        <v>2</v>
      </c>
      <c r="K1399" s="2" t="inlineStr">
        <is>
          <t>marker_508_383691.png</t>
        </is>
      </c>
      <c r="L1399" s="11">
        <f>HYPERLINK("2\1\" &amp; K1399, "Ver Imagen")</f>
        <v/>
      </c>
      <c r="M1399" t="inlineStr">
        <is>
          <t>Moda</t>
        </is>
      </c>
    </row>
    <row r="1400">
      <c r="A1400" t="n">
        <v>1399</v>
      </c>
      <c r="B1400" t="inlineStr">
        <is>
          <t>A-495_1__187</t>
        </is>
      </c>
      <c r="C1400" s="1" t="n">
        <v>37.4834859136</v>
      </c>
      <c r="D1400" s="1" t="n">
        <v>-7.12937146424</v>
      </c>
      <c r="E1400" s="3" t="n">
        <v>2</v>
      </c>
      <c r="F1400" s="2" t="n">
        <v>3</v>
      </c>
      <c r="G1400" s="4" t="n">
        <v>2</v>
      </c>
      <c r="H1400" s="13" t="n"/>
      <c r="I1400" s="15" t="n"/>
      <c r="J1400" s="19" t="n">
        <v>2</v>
      </c>
      <c r="K1400" s="2" t="inlineStr">
        <is>
          <t>marker_821_383757.png</t>
        </is>
      </c>
      <c r="L1400" s="11">
        <f>HYPERLINK("2\1\" &amp; K1400, "Ver Imagen")</f>
        <v/>
      </c>
      <c r="M1400" t="inlineStr">
        <is>
          <t>Moda</t>
        </is>
      </c>
    </row>
    <row r="1401">
      <c r="A1401" t="n">
        <v>1400</v>
      </c>
      <c r="B1401" t="inlineStr">
        <is>
          <t>A-495_1__186</t>
        </is>
      </c>
      <c r="C1401" s="1" t="n">
        <v>37.4833131443</v>
      </c>
      <c r="D1401" s="1" t="n">
        <v>-7.12919445215</v>
      </c>
      <c r="E1401" s="3" t="n">
        <v>2</v>
      </c>
      <c r="F1401" s="2" t="n">
        <v>3</v>
      </c>
      <c r="G1401" s="4" t="n">
        <v>2</v>
      </c>
      <c r="H1401" s="13" t="n"/>
      <c r="I1401" s="15" t="n"/>
      <c r="J1401" s="19" t="n">
        <v>2</v>
      </c>
      <c r="K1401" s="2" t="inlineStr">
        <is>
          <t>marker_321_383767.png</t>
        </is>
      </c>
      <c r="L1401" s="11">
        <f>HYPERLINK("2\1\" &amp; K1401, "Ver Imagen")</f>
        <v/>
      </c>
      <c r="M1401" t="inlineStr">
        <is>
          <t>Moda</t>
        </is>
      </c>
    </row>
    <row r="1402">
      <c r="A1402" t="n">
        <v>1401</v>
      </c>
      <c r="B1402" t="inlineStr">
        <is>
          <t>A-495_1__120</t>
        </is>
      </c>
      <c r="C1402" s="1" t="n">
        <v>37.4711302983</v>
      </c>
      <c r="D1402" s="1" t="n">
        <v>-7.12551069334</v>
      </c>
      <c r="E1402" s="3" t="n">
        <v>3</v>
      </c>
      <c r="F1402" s="2" t="n">
        <v>2</v>
      </c>
      <c r="G1402" s="4" t="n">
        <v>2</v>
      </c>
      <c r="H1402" s="13" t="n"/>
      <c r="I1402" s="15" t="n"/>
      <c r="J1402" s="19" t="n">
        <v>2</v>
      </c>
      <c r="K1402" s="2" t="inlineStr">
        <is>
          <t>marker_901_384570.png</t>
        </is>
      </c>
      <c r="L1402" s="11">
        <f>HYPERLINK("2\1\" &amp; K1402, "Ver Imagen")</f>
        <v/>
      </c>
      <c r="M1402" t="inlineStr">
        <is>
          <t>Moda</t>
        </is>
      </c>
    </row>
    <row r="1403">
      <c r="A1403" t="n">
        <v>1402</v>
      </c>
      <c r="B1403" t="inlineStr">
        <is>
          <t>A-495_1__115</t>
        </is>
      </c>
      <c r="C1403" s="1" t="n">
        <v>37.4702569535</v>
      </c>
      <c r="D1403" s="1" t="n">
        <v>-7.12482382037</v>
      </c>
      <c r="E1403" s="3" t="n">
        <v>2</v>
      </c>
      <c r="F1403" s="2" t="n">
        <v>3</v>
      </c>
      <c r="G1403" s="4" t="n">
        <v>2</v>
      </c>
      <c r="H1403" s="13" t="n"/>
      <c r="I1403" s="15" t="n"/>
      <c r="J1403" s="19" t="n">
        <v>2</v>
      </c>
      <c r="K1403" s="2" t="inlineStr">
        <is>
          <t>marker_320_384668.png</t>
        </is>
      </c>
      <c r="L1403" s="11">
        <f>HYPERLINK("2\1\" &amp; K1403, "Ver Imagen")</f>
        <v/>
      </c>
      <c r="M1403" t="inlineStr">
        <is>
          <t>Moda</t>
        </is>
      </c>
    </row>
    <row r="1404">
      <c r="A1404" t="n">
        <v>1403</v>
      </c>
      <c r="B1404" t="inlineStr">
        <is>
          <t>A-495_1__113</t>
        </is>
      </c>
      <c r="C1404" s="1" t="n">
        <v>37.4699050568</v>
      </c>
      <c r="D1404" s="1" t="n">
        <v>-7.12456641136</v>
      </c>
      <c r="E1404" s="3" t="n">
        <v>2</v>
      </c>
      <c r="F1404" s="2" t="n">
        <v>3</v>
      </c>
      <c r="G1404" s="4" t="n">
        <v>2</v>
      </c>
      <c r="H1404" s="13" t="n"/>
      <c r="I1404" s="15" t="n"/>
      <c r="J1404" s="19" t="n">
        <v>2</v>
      </c>
      <c r="K1404" s="2" t="inlineStr">
        <is>
          <t>marker_560_384692.png</t>
        </is>
      </c>
      <c r="L1404" s="11">
        <f>HYPERLINK("2\1\" &amp; K1404, "Ver Imagen")</f>
        <v/>
      </c>
      <c r="M1404" t="inlineStr">
        <is>
          <t>Moda</t>
        </is>
      </c>
    </row>
    <row r="1405">
      <c r="A1405" t="n">
        <v>1404</v>
      </c>
      <c r="B1405" t="inlineStr">
        <is>
          <t>A-495_1__97</t>
        </is>
      </c>
      <c r="C1405" s="1" t="n">
        <v>37.46698553</v>
      </c>
      <c r="D1405" s="1" t="n">
        <v>-7.12279913612</v>
      </c>
      <c r="E1405" s="3" t="n">
        <v>2</v>
      </c>
      <c r="F1405" s="2" t="n">
        <v>3</v>
      </c>
      <c r="G1405" s="4" t="n">
        <v>2</v>
      </c>
      <c r="H1405" s="13" t="n"/>
      <c r="I1405" s="15" t="n"/>
      <c r="J1405" s="19" t="n">
        <v>2</v>
      </c>
      <c r="K1405" s="2" t="inlineStr">
        <is>
          <t>marker_835_385070.png</t>
        </is>
      </c>
      <c r="L1405" s="11">
        <f>HYPERLINK("2\1\" &amp; K1405, "Ver Imagen")</f>
        <v/>
      </c>
      <c r="M1405" t="inlineStr">
        <is>
          <t>Moda</t>
        </is>
      </c>
    </row>
    <row r="1406">
      <c r="A1406" t="n">
        <v>1405</v>
      </c>
      <c r="B1406" t="inlineStr">
        <is>
          <t>A-495_1__96</t>
        </is>
      </c>
      <c r="C1406" s="1" t="n">
        <v>37.4667784339</v>
      </c>
      <c r="D1406" s="1" t="n">
        <v>-7.12275217862</v>
      </c>
      <c r="E1406" s="3" t="n">
        <v>2</v>
      </c>
      <c r="F1406" s="2" t="n">
        <v>1</v>
      </c>
      <c r="G1406" s="4" t="n">
        <v>2</v>
      </c>
      <c r="H1406" s="13" t="n"/>
      <c r="I1406" s="15" t="n"/>
      <c r="J1406" s="19" t="n">
        <v>2</v>
      </c>
      <c r="K1406" s="2" t="inlineStr">
        <is>
          <t>marker_840_385079.png</t>
        </is>
      </c>
      <c r="L1406" s="11">
        <f>HYPERLINK("2\1\" &amp; K1406, "Ver Imagen")</f>
        <v/>
      </c>
      <c r="M1406" t="inlineStr">
        <is>
          <t>Moda</t>
        </is>
      </c>
    </row>
    <row r="1407">
      <c r="A1407" t="n">
        <v>1406</v>
      </c>
      <c r="B1407" t="inlineStr">
        <is>
          <t>A-495_1__90</t>
        </is>
      </c>
      <c r="C1407" s="1" t="n">
        <v>37.4656161605</v>
      </c>
      <c r="D1407" s="1" t="n">
        <v>-7.1228731488</v>
      </c>
      <c r="E1407" s="3" t="n">
        <v>2</v>
      </c>
      <c r="F1407" s="2" t="n">
        <v>3</v>
      </c>
      <c r="G1407" s="4" t="n">
        <v>2</v>
      </c>
      <c r="H1407" s="13" t="n"/>
      <c r="I1407" s="15" t="n"/>
      <c r="J1407" s="19" t="n">
        <v>2</v>
      </c>
      <c r="K1407" s="2" t="inlineStr">
        <is>
          <t>marker_408_385145.png</t>
        </is>
      </c>
      <c r="L1407" s="11">
        <f>HYPERLINK("2\1\" &amp; K1407, "Ver Imagen")</f>
        <v/>
      </c>
      <c r="M1407" t="inlineStr">
        <is>
          <t>Moda</t>
        </is>
      </c>
    </row>
    <row r="1408">
      <c r="A1408" t="n">
        <v>1407</v>
      </c>
      <c r="B1408" t="inlineStr">
        <is>
          <t>A-495_1__84</t>
        </is>
      </c>
      <c r="C1408" s="1" t="n">
        <v>37.464503982</v>
      </c>
      <c r="D1408" s="1" t="n">
        <v>-7.12355161277</v>
      </c>
      <c r="E1408" s="3" t="n">
        <v>2</v>
      </c>
      <c r="F1408" s="2" t="n">
        <v>3</v>
      </c>
      <c r="G1408" s="4" t="n">
        <v>2</v>
      </c>
      <c r="H1408" s="13" t="n"/>
      <c r="I1408" s="15" t="n"/>
      <c r="J1408" s="19" t="n">
        <v>2</v>
      </c>
      <c r="K1408" s="2" t="inlineStr">
        <is>
          <t>marker_332_385200.png</t>
        </is>
      </c>
      <c r="L1408" s="11">
        <f>HYPERLINK("2\1\" &amp; K1408, "Ver Imagen")</f>
        <v/>
      </c>
      <c r="M1408" t="inlineStr">
        <is>
          <t>Moda</t>
        </is>
      </c>
    </row>
    <row r="1409">
      <c r="A1409" t="n">
        <v>1408</v>
      </c>
      <c r="B1409" t="inlineStr">
        <is>
          <t>A-495_1__75</t>
        </is>
      </c>
      <c r="C1409" s="1" t="n">
        <v>37.4627740805</v>
      </c>
      <c r="D1409" s="1" t="n">
        <v>-7.12420665937</v>
      </c>
      <c r="E1409" s="3" t="n">
        <v>2</v>
      </c>
      <c r="F1409" s="2" t="n">
        <v>3</v>
      </c>
      <c r="G1409" s="4" t="n">
        <v>2</v>
      </c>
      <c r="H1409" s="13" t="n"/>
      <c r="I1409" s="15" t="n"/>
      <c r="J1409" s="19" t="n">
        <v>2</v>
      </c>
      <c r="K1409" s="2" t="inlineStr">
        <is>
          <t>marker_868_385281.png</t>
        </is>
      </c>
      <c r="L1409" s="11">
        <f>HYPERLINK("2\1\" &amp; K1409, "Ver Imagen")</f>
        <v/>
      </c>
      <c r="M1409" t="inlineStr">
        <is>
          <t>Moda</t>
        </is>
      </c>
    </row>
    <row r="1410">
      <c r="A1410" t="n">
        <v>1409</v>
      </c>
      <c r="B1410" t="inlineStr">
        <is>
          <t>A-495_1__74</t>
        </is>
      </c>
      <c r="C1410" s="1" t="n">
        <v>37.4625831846</v>
      </c>
      <c r="D1410" s="1" t="n">
        <v>-7.12423776209</v>
      </c>
      <c r="E1410" s="3" t="n">
        <v>2</v>
      </c>
      <c r="F1410" s="2" t="n">
        <v>3</v>
      </c>
      <c r="G1410" s="4" t="n">
        <v>2</v>
      </c>
      <c r="H1410" s="13" t="n"/>
      <c r="I1410" s="15" t="n"/>
      <c r="J1410" s="19" t="n">
        <v>2</v>
      </c>
      <c r="K1410" s="2" t="inlineStr">
        <is>
          <t>marker_119_385290.png</t>
        </is>
      </c>
      <c r="L1410" s="11">
        <f>HYPERLINK("2\1\" &amp; K1410, "Ver Imagen")</f>
        <v/>
      </c>
      <c r="M1410" t="inlineStr">
        <is>
          <t>Moda</t>
        </is>
      </c>
    </row>
    <row r="1411">
      <c r="A1411" t="n">
        <v>1410</v>
      </c>
      <c r="B1411" t="inlineStr">
        <is>
          <t>A-495_1__71</t>
        </is>
      </c>
      <c r="C1411" s="1" t="n">
        <v>37.4619794604</v>
      </c>
      <c r="D1411" s="1" t="n">
        <v>-7.12434839755</v>
      </c>
      <c r="E1411" s="3" t="n">
        <v>2</v>
      </c>
      <c r="F1411" s="2" t="n">
        <v>3</v>
      </c>
      <c r="G1411" s="4" t="n">
        <v>2</v>
      </c>
      <c r="H1411" s="13" t="n"/>
      <c r="I1411" s="15" t="n"/>
      <c r="J1411" s="19" t="n">
        <v>2</v>
      </c>
      <c r="K1411" s="2" t="inlineStr">
        <is>
          <t>marker_809_385318.png</t>
        </is>
      </c>
      <c r="L1411" s="11">
        <f>HYPERLINK("2\1\" &amp; K1411, "Ver Imagen")</f>
        <v/>
      </c>
      <c r="M1411" t="inlineStr">
        <is>
          <t>Moda</t>
        </is>
      </c>
    </row>
    <row r="1412">
      <c r="A1412" t="n">
        <v>1411</v>
      </c>
      <c r="B1412" t="inlineStr">
        <is>
          <t>A-495_1__58</t>
        </is>
      </c>
      <c r="C1412" s="1" t="n">
        <v>37.4594262683</v>
      </c>
      <c r="D1412" s="1" t="n">
        <v>-7.12510358176</v>
      </c>
      <c r="E1412" s="3" t="n">
        <v>2</v>
      </c>
      <c r="F1412" s="2" t="n">
        <v>3</v>
      </c>
      <c r="G1412" s="4" t="n">
        <v>2</v>
      </c>
      <c r="H1412" s="13" t="n"/>
      <c r="I1412" s="15" t="n"/>
      <c r="J1412" s="19" t="n">
        <v>2</v>
      </c>
      <c r="K1412" s="2" t="inlineStr">
        <is>
          <t>marker_341_385487.png</t>
        </is>
      </c>
      <c r="L1412" s="11">
        <f>HYPERLINK("2\1\" &amp; K1412, "Ver Imagen")</f>
        <v/>
      </c>
      <c r="M1412" t="inlineStr">
        <is>
          <t>Moda</t>
        </is>
      </c>
    </row>
    <row r="1413">
      <c r="A1413" t="n">
        <v>1412</v>
      </c>
      <c r="B1413" t="inlineStr">
        <is>
          <t>A-495_1__49</t>
        </is>
      </c>
      <c r="C1413" s="1" t="n">
        <v>37.4576547736</v>
      </c>
      <c r="D1413" s="1" t="n">
        <v>-7.12574805846</v>
      </c>
      <c r="E1413" s="3" t="n">
        <v>2</v>
      </c>
      <c r="F1413" s="2" t="n">
        <v>1</v>
      </c>
      <c r="G1413" s="4" t="n">
        <v>2</v>
      </c>
      <c r="H1413" s="13" t="n"/>
      <c r="I1413" s="15" t="n"/>
      <c r="J1413" s="19" t="n">
        <v>2</v>
      </c>
      <c r="K1413" s="2" t="inlineStr">
        <is>
          <t>marker_926_385570.png</t>
        </is>
      </c>
      <c r="L1413" s="11">
        <f>HYPERLINK("2\1\" &amp; K1413, "Ver Imagen")</f>
        <v/>
      </c>
      <c r="M1413" t="inlineStr">
        <is>
          <t>Moda</t>
        </is>
      </c>
    </row>
    <row r="1414">
      <c r="A1414" t="n">
        <v>1413</v>
      </c>
      <c r="B1414" t="inlineStr">
        <is>
          <t>A-495_1__46</t>
        </is>
      </c>
      <c r="C1414" s="1" t="n">
        <v>37.4571008367</v>
      </c>
      <c r="D1414" s="1" t="n">
        <v>-7.12594868053</v>
      </c>
      <c r="E1414" s="3" t="n">
        <v>2</v>
      </c>
      <c r="F1414" s="2" t="n">
        <v>3</v>
      </c>
      <c r="G1414" s="4" t="n">
        <v>2</v>
      </c>
      <c r="H1414" s="13" t="n"/>
      <c r="I1414" s="15" t="n"/>
      <c r="J1414" s="19" t="n">
        <v>2</v>
      </c>
      <c r="K1414" s="2" t="inlineStr">
        <is>
          <t>marker_259_385597.png</t>
        </is>
      </c>
      <c r="L1414" s="11">
        <f>HYPERLINK("2\1\" &amp; K1414, "Ver Imagen")</f>
        <v/>
      </c>
      <c r="M1414" t="inlineStr">
        <is>
          <t>Moda</t>
        </is>
      </c>
    </row>
    <row r="1415">
      <c r="A1415" t="n">
        <v>1414</v>
      </c>
      <c r="B1415" t="inlineStr">
        <is>
          <t>A-495_1__44</t>
        </is>
      </c>
      <c r="C1415" s="1" t="n">
        <v>37.4567079746</v>
      </c>
      <c r="D1415" s="1" t="n">
        <v>-7.1260958139</v>
      </c>
      <c r="E1415" s="3" t="n">
        <v>2</v>
      </c>
      <c r="F1415" s="2" t="n">
        <v>3</v>
      </c>
      <c r="G1415" s="4" t="n">
        <v>2</v>
      </c>
      <c r="H1415" s="13" t="n"/>
      <c r="I1415" s="15" t="n"/>
      <c r="J1415" s="19" t="n">
        <v>2</v>
      </c>
      <c r="K1415" s="2" t="inlineStr">
        <is>
          <t>marker_467_385618.png</t>
        </is>
      </c>
      <c r="L1415" s="11">
        <f>HYPERLINK("2\1\" &amp; K1415, "Ver Imagen")</f>
        <v/>
      </c>
      <c r="M1415" t="inlineStr">
        <is>
          <t>Moda</t>
        </is>
      </c>
    </row>
    <row r="1416">
      <c r="A1416" t="n">
        <v>1415</v>
      </c>
      <c r="B1416" t="inlineStr">
        <is>
          <t>A-495_1__42</t>
        </is>
      </c>
      <c r="C1416" s="1" t="n">
        <v>37.45623978</v>
      </c>
      <c r="D1416" s="1" t="n">
        <v>-7.12627119983</v>
      </c>
      <c r="E1416" s="3" t="n">
        <v>2</v>
      </c>
      <c r="F1416" s="2" t="n">
        <v>3</v>
      </c>
      <c r="G1416" s="4" t="n">
        <v>2</v>
      </c>
      <c r="H1416" s="13" t="n"/>
      <c r="I1416" s="15" t="n"/>
      <c r="J1416" s="19" t="n">
        <v>2</v>
      </c>
      <c r="K1416" s="2" t="inlineStr">
        <is>
          <t>marker_928_385635.png</t>
        </is>
      </c>
      <c r="L1416" s="11">
        <f>HYPERLINK("2\1\" &amp; K1416, "Ver Imagen")</f>
        <v/>
      </c>
      <c r="M1416" t="inlineStr">
        <is>
          <t>Moda</t>
        </is>
      </c>
    </row>
    <row r="1417">
      <c r="A1417" t="n">
        <v>1416</v>
      </c>
      <c r="B1417" t="inlineStr">
        <is>
          <t>A-495_1__40</t>
        </is>
      </c>
      <c r="C1417" s="1" t="n">
        <v>37.4559082992</v>
      </c>
      <c r="D1417" s="1" t="n">
        <v>-7.12639321531</v>
      </c>
      <c r="E1417" s="3" t="n">
        <v>2</v>
      </c>
      <c r="F1417" s="2" t="n">
        <v>3</v>
      </c>
      <c r="G1417" s="4" t="n">
        <v>2</v>
      </c>
      <c r="H1417" s="13" t="n"/>
      <c r="I1417" s="15" t="n"/>
      <c r="J1417" s="19" t="n">
        <v>2</v>
      </c>
      <c r="K1417" s="2" t="inlineStr">
        <is>
          <t>marker_454_385655.png</t>
        </is>
      </c>
      <c r="L1417" s="11">
        <f>HYPERLINK("2\1\" &amp; K1417, "Ver Imagen")</f>
        <v/>
      </c>
      <c r="M1417" t="inlineStr">
        <is>
          <t>Moda</t>
        </is>
      </c>
    </row>
    <row r="1418">
      <c r="A1418" t="n">
        <v>1417</v>
      </c>
      <c r="B1418" t="inlineStr">
        <is>
          <t>A-495_1__28</t>
        </is>
      </c>
      <c r="C1418" s="1" t="n">
        <v>37.4535976339</v>
      </c>
      <c r="D1418" s="1" t="n">
        <v>-7.12721071538</v>
      </c>
      <c r="E1418" s="3" t="n">
        <v>1</v>
      </c>
      <c r="F1418" s="2" t="n">
        <v>2</v>
      </c>
      <c r="G1418" s="4" t="n">
        <v>2</v>
      </c>
      <c r="H1418" s="13" t="n"/>
      <c r="I1418" s="15" t="n"/>
      <c r="J1418" s="19" t="n">
        <v>2</v>
      </c>
      <c r="K1418" s="2" t="inlineStr">
        <is>
          <t>marker_204_385899.png</t>
        </is>
      </c>
      <c r="L1418" s="11">
        <f>HYPERLINK("2\1\" &amp; K1418, "Ver Imagen")</f>
        <v/>
      </c>
      <c r="M1418" t="inlineStr">
        <is>
          <t>Moda</t>
        </is>
      </c>
    </row>
    <row r="1419">
      <c r="A1419" t="n">
        <v>1418</v>
      </c>
      <c r="B1419" t="inlineStr">
        <is>
          <t>A-495_1__24</t>
        </is>
      </c>
      <c r="C1419" s="1" t="n">
        <v>37.4527311841</v>
      </c>
      <c r="D1419" s="1" t="n">
        <v>-7.12739811967</v>
      </c>
      <c r="E1419" s="3" t="n">
        <v>2</v>
      </c>
      <c r="F1419" s="2" t="n">
        <v>1</v>
      </c>
      <c r="G1419" s="4" t="n">
        <v>2</v>
      </c>
      <c r="H1419" s="13" t="n"/>
      <c r="I1419" s="15" t="n"/>
      <c r="J1419" s="19" t="n">
        <v>2</v>
      </c>
      <c r="K1419" s="2" t="inlineStr">
        <is>
          <t>marker_798_385933.png</t>
        </is>
      </c>
      <c r="L1419" s="11">
        <f>HYPERLINK("2\1\" &amp; K1419, "Ver Imagen")</f>
        <v/>
      </c>
      <c r="M1419" t="inlineStr">
        <is>
          <t>Moda</t>
        </is>
      </c>
    </row>
    <row r="1420">
      <c r="A1420" t="n">
        <v>1419</v>
      </c>
      <c r="B1420" t="inlineStr">
        <is>
          <t>A-499__3</t>
        </is>
      </c>
      <c r="C1420" s="1" t="n">
        <v>37.4873627182</v>
      </c>
      <c r="D1420" s="1" t="n">
        <v>-7.27999552907</v>
      </c>
      <c r="E1420" s="3" t="n">
        <v>2</v>
      </c>
      <c r="F1420" s="2" t="n">
        <v>1</v>
      </c>
      <c r="G1420" s="4" t="n">
        <v>2</v>
      </c>
      <c r="H1420" s="13" t="n"/>
      <c r="I1420" s="15" t="n"/>
      <c r="J1420" s="19" t="n">
        <v>2</v>
      </c>
      <c r="K1420" s="2" t="inlineStr">
        <is>
          <t>marker_839_529205.png</t>
        </is>
      </c>
      <c r="L1420" s="11">
        <f>HYPERLINK("2\1\" &amp; K1420, "Ver Imagen")</f>
        <v/>
      </c>
      <c r="M1420" t="inlineStr">
        <is>
          <t>Moda</t>
        </is>
      </c>
    </row>
    <row r="1421">
      <c r="A1421" t="n">
        <v>1420</v>
      </c>
      <c r="B1421" t="inlineStr">
        <is>
          <t>A-499__4</t>
        </is>
      </c>
      <c r="C1421" s="1" t="n">
        <v>37.4875539399</v>
      </c>
      <c r="D1421" s="1" t="n">
        <v>-7.27989638883</v>
      </c>
      <c r="E1421" s="3" t="n">
        <v>2</v>
      </c>
      <c r="F1421" s="2" t="n">
        <v>3</v>
      </c>
      <c r="G1421" s="4" t="n">
        <v>2</v>
      </c>
      <c r="H1421" s="13" t="n"/>
      <c r="I1421" s="15" t="n"/>
      <c r="J1421" s="19" t="n">
        <v>2</v>
      </c>
      <c r="K1421" s="2" t="inlineStr">
        <is>
          <t>marker_873_529214.png</t>
        </is>
      </c>
      <c r="L1421" s="11">
        <f>HYPERLINK("2\1\" &amp; K1421, "Ver Imagen")</f>
        <v/>
      </c>
      <c r="M1421" t="inlineStr">
        <is>
          <t>Moda</t>
        </is>
      </c>
    </row>
    <row r="1422">
      <c r="A1422" t="n">
        <v>1421</v>
      </c>
      <c r="B1422" t="inlineStr">
        <is>
          <t>A-499__7</t>
        </is>
      </c>
      <c r="C1422" s="1" t="n">
        <v>37.4881127344</v>
      </c>
      <c r="D1422" s="1" t="n">
        <v>-7.27960585302</v>
      </c>
      <c r="E1422" s="3" t="n">
        <v>2</v>
      </c>
      <c r="F1422" s="2" t="n">
        <v>1</v>
      </c>
      <c r="G1422" s="4" t="n">
        <v>2</v>
      </c>
      <c r="H1422" s="13" t="n"/>
      <c r="I1422" s="15" t="n"/>
      <c r="J1422" s="19" t="n">
        <v>2</v>
      </c>
      <c r="K1422" s="2" t="inlineStr">
        <is>
          <t>marker_807_529247.png</t>
        </is>
      </c>
      <c r="L1422" s="11">
        <f>HYPERLINK("2\1\" &amp; K1422, "Ver Imagen")</f>
        <v/>
      </c>
      <c r="M1422" t="inlineStr">
        <is>
          <t>Moda</t>
        </is>
      </c>
    </row>
    <row r="1423">
      <c r="A1423" t="n">
        <v>1422</v>
      </c>
      <c r="B1423" t="inlineStr">
        <is>
          <t>A-499__10</t>
        </is>
      </c>
      <c r="C1423" s="1" t="n">
        <v>37.4886611978</v>
      </c>
      <c r="D1423" s="1" t="n">
        <v>-7.27931965353</v>
      </c>
      <c r="E1423" s="3" t="n">
        <v>2</v>
      </c>
      <c r="F1423" s="2" t="n">
        <v>3</v>
      </c>
      <c r="G1423" s="4" t="n">
        <v>2</v>
      </c>
      <c r="H1423" s="13" t="n"/>
      <c r="I1423" s="15" t="n"/>
      <c r="J1423" s="19" t="n">
        <v>2</v>
      </c>
      <c r="K1423" s="2" t="inlineStr">
        <is>
          <t>marker_563_529302.png</t>
        </is>
      </c>
      <c r="L1423" s="11">
        <f>HYPERLINK("2\1\" &amp; K1423, "Ver Imagen")</f>
        <v/>
      </c>
      <c r="M1423" t="inlineStr">
        <is>
          <t>Moda</t>
        </is>
      </c>
    </row>
    <row r="1424">
      <c r="A1424" t="n">
        <v>1423</v>
      </c>
      <c r="B1424" t="inlineStr">
        <is>
          <t>A-499__11</t>
        </is>
      </c>
      <c r="C1424" s="1" t="n">
        <v>37.4888359097</v>
      </c>
      <c r="D1424" s="1" t="n">
        <v>-7.27922919773</v>
      </c>
      <c r="E1424" s="3" t="n">
        <v>2</v>
      </c>
      <c r="F1424" s="2" t="n">
        <v>1</v>
      </c>
      <c r="G1424" s="4" t="n">
        <v>2</v>
      </c>
      <c r="H1424" s="13" t="n"/>
      <c r="I1424" s="15" t="n"/>
      <c r="J1424" s="19" t="n">
        <v>2</v>
      </c>
      <c r="K1424" s="2" t="inlineStr">
        <is>
          <t>marker_994_529312.png</t>
        </is>
      </c>
      <c r="L1424" s="11">
        <f>HYPERLINK("2\1\" &amp; K1424, "Ver Imagen")</f>
        <v/>
      </c>
      <c r="M1424" t="inlineStr">
        <is>
          <t>Moda</t>
        </is>
      </c>
    </row>
    <row r="1425">
      <c r="A1425" t="n">
        <v>1424</v>
      </c>
      <c r="B1425" t="inlineStr">
        <is>
          <t>A-499__12</t>
        </is>
      </c>
      <c r="C1425" s="1" t="n">
        <v>37.4890134642</v>
      </c>
      <c r="D1425" s="1" t="n">
        <v>-7.27913754457</v>
      </c>
      <c r="E1425" s="3" t="n">
        <v>2</v>
      </c>
      <c r="F1425" s="2" t="n">
        <v>3</v>
      </c>
      <c r="G1425" s="4" t="n">
        <v>2</v>
      </c>
      <c r="H1425" s="13" t="n"/>
      <c r="I1425" s="15" t="n"/>
      <c r="J1425" s="19" t="n">
        <v>2</v>
      </c>
      <c r="K1425" s="2" t="inlineStr">
        <is>
          <t>marker_620_529321.png</t>
        </is>
      </c>
      <c r="L1425" s="11">
        <f>HYPERLINK("2\1\" &amp; K1425, "Ver Imagen")</f>
        <v/>
      </c>
      <c r="M1425" t="inlineStr">
        <is>
          <t>Moda</t>
        </is>
      </c>
    </row>
    <row r="1426">
      <c r="A1426" t="n">
        <v>1425</v>
      </c>
      <c r="B1426" t="inlineStr">
        <is>
          <t>A-499__25</t>
        </is>
      </c>
      <c r="C1426" s="1" t="n">
        <v>37.4914925996</v>
      </c>
      <c r="D1426" s="1" t="n">
        <v>-7.27789657524</v>
      </c>
      <c r="E1426" s="3" t="n">
        <v>2</v>
      </c>
      <c r="F1426" s="2" t="n">
        <v>1</v>
      </c>
      <c r="G1426" s="4" t="n">
        <v>2</v>
      </c>
      <c r="H1426" s="13" t="n"/>
      <c r="I1426" s="15" t="n"/>
      <c r="J1426" s="19" t="n">
        <v>2</v>
      </c>
      <c r="K1426" s="2" t="inlineStr">
        <is>
          <t>marker_954_529493.png</t>
        </is>
      </c>
      <c r="L1426" s="11">
        <f>HYPERLINK("2\1\" &amp; K1426, "Ver Imagen")</f>
        <v/>
      </c>
      <c r="M1426" t="inlineStr">
        <is>
          <t>Moda</t>
        </is>
      </c>
    </row>
    <row r="1427">
      <c r="A1427" t="n">
        <v>1426</v>
      </c>
      <c r="B1427" t="inlineStr">
        <is>
          <t>A-499__28</t>
        </is>
      </c>
      <c r="C1427" s="1" t="n">
        <v>37.4920390542</v>
      </c>
      <c r="D1427" s="1" t="n">
        <v>-7.27766609232</v>
      </c>
      <c r="E1427" s="3" t="n">
        <v>2</v>
      </c>
      <c r="F1427" s="2" t="n">
        <v>3</v>
      </c>
      <c r="G1427" s="4" t="n">
        <v>2</v>
      </c>
      <c r="H1427" s="13" t="n"/>
      <c r="I1427" s="15" t="n"/>
      <c r="J1427" s="19" t="n">
        <v>2</v>
      </c>
      <c r="K1427" s="2" t="inlineStr">
        <is>
          <t>marker_857_529519.png</t>
        </is>
      </c>
      <c r="L1427" s="11">
        <f>HYPERLINK("2\1\" &amp; K1427, "Ver Imagen")</f>
        <v/>
      </c>
      <c r="M1427" t="inlineStr">
        <is>
          <t>Moda</t>
        </is>
      </c>
    </row>
    <row r="1428">
      <c r="A1428" t="n">
        <v>1427</v>
      </c>
      <c r="B1428" t="inlineStr">
        <is>
          <t>A-499__33</t>
        </is>
      </c>
      <c r="C1428" s="1" t="n">
        <v>37.4930217718</v>
      </c>
      <c r="D1428" s="1" t="n">
        <v>-7.27730137784</v>
      </c>
      <c r="E1428" s="3" t="n">
        <v>2</v>
      </c>
      <c r="F1428" s="2" t="n">
        <v>3</v>
      </c>
      <c r="G1428" s="4" t="n">
        <v>2</v>
      </c>
      <c r="H1428" s="13" t="n"/>
      <c r="I1428" s="15" t="n"/>
      <c r="J1428" s="19" t="n">
        <v>2</v>
      </c>
      <c r="K1428" s="2" t="inlineStr">
        <is>
          <t>marker_846_529955.png</t>
        </is>
      </c>
      <c r="L1428" s="11">
        <f>HYPERLINK("2\1\" &amp; K1428, "Ver Imagen")</f>
        <v/>
      </c>
      <c r="M1428" t="inlineStr">
        <is>
          <t>Moda</t>
        </is>
      </c>
    </row>
    <row r="1429">
      <c r="A1429" t="n">
        <v>1428</v>
      </c>
      <c r="B1429" t="inlineStr">
        <is>
          <t>A-499__37</t>
        </is>
      </c>
      <c r="C1429" s="1" t="n">
        <v>37.4938041111</v>
      </c>
      <c r="D1429" s="1" t="n">
        <v>-7.27703972908</v>
      </c>
      <c r="E1429" s="3" t="n">
        <v>2</v>
      </c>
      <c r="F1429" s="2" t="n">
        <v>1</v>
      </c>
      <c r="G1429" s="4" t="n">
        <v>2</v>
      </c>
      <c r="H1429" s="13" t="n"/>
      <c r="I1429" s="15" t="n"/>
      <c r="J1429" s="19" t="n">
        <v>2</v>
      </c>
      <c r="K1429" s="2" t="inlineStr">
        <is>
          <t>marker_197_529995.png</t>
        </is>
      </c>
      <c r="L1429" s="11">
        <f>HYPERLINK("2\1\" &amp; K1429, "Ver Imagen")</f>
        <v/>
      </c>
      <c r="M1429" t="inlineStr">
        <is>
          <t>Moda</t>
        </is>
      </c>
    </row>
    <row r="1430">
      <c r="A1430" t="n">
        <v>1429</v>
      </c>
      <c r="B1430" t="inlineStr">
        <is>
          <t>A-499__40</t>
        </is>
      </c>
      <c r="C1430" s="1" t="n">
        <v>37.4943916292</v>
      </c>
      <c r="D1430" s="1" t="n">
        <v>-7.27684606456</v>
      </c>
      <c r="E1430" s="3" t="n">
        <v>2</v>
      </c>
      <c r="F1430" s="2" t="n">
        <v>1</v>
      </c>
      <c r="G1430" s="4" t="n">
        <v>2</v>
      </c>
      <c r="H1430" s="13" t="n"/>
      <c r="I1430" s="15" t="n"/>
      <c r="J1430" s="19" t="n">
        <v>2</v>
      </c>
      <c r="K1430" s="2" t="inlineStr">
        <is>
          <t>marker_452_530022.png</t>
        </is>
      </c>
      <c r="L1430" s="11">
        <f>HYPERLINK("2\1\" &amp; K1430, "Ver Imagen")</f>
        <v/>
      </c>
      <c r="M1430" t="inlineStr">
        <is>
          <t>Moda</t>
        </is>
      </c>
    </row>
    <row r="1431">
      <c r="A1431" t="n">
        <v>1430</v>
      </c>
      <c r="B1431" t="inlineStr">
        <is>
          <t>A-499__42</t>
        </is>
      </c>
      <c r="C1431" s="1" t="n">
        <v>37.4947862294</v>
      </c>
      <c r="D1431" s="1" t="n">
        <v>-7.27672084299</v>
      </c>
      <c r="E1431" s="3" t="n">
        <v>2</v>
      </c>
      <c r="F1431" s="2" t="n">
        <v>1</v>
      </c>
      <c r="G1431" s="4" t="n">
        <v>2</v>
      </c>
      <c r="H1431" s="13" t="n"/>
      <c r="I1431" s="15" t="n"/>
      <c r="J1431" s="19" t="n">
        <v>2</v>
      </c>
      <c r="K1431" s="2" t="inlineStr">
        <is>
          <t>marker_548_530042.png</t>
        </is>
      </c>
      <c r="L1431" s="11">
        <f>HYPERLINK("2\1\" &amp; K1431, "Ver Imagen")</f>
        <v/>
      </c>
      <c r="M1431" t="inlineStr">
        <is>
          <t>Moda</t>
        </is>
      </c>
    </row>
    <row r="1432">
      <c r="A1432" t="n">
        <v>1431</v>
      </c>
      <c r="B1432" t="inlineStr">
        <is>
          <t>A-499__49</t>
        </is>
      </c>
      <c r="C1432" s="1" t="n">
        <v>37.4956146362</v>
      </c>
      <c r="D1432" s="1" t="n">
        <v>-7.27552484365</v>
      </c>
      <c r="E1432" s="3" t="n">
        <v>2</v>
      </c>
      <c r="F1432" s="2" t="n">
        <v>1</v>
      </c>
      <c r="G1432" s="4" t="n">
        <v>2</v>
      </c>
      <c r="H1432" s="13" t="n"/>
      <c r="I1432" s="15" t="n"/>
      <c r="J1432" s="19" t="n">
        <v>2</v>
      </c>
      <c r="K1432" s="2" t="inlineStr">
        <is>
          <t>marker_514_534884.png</t>
        </is>
      </c>
      <c r="L1432" s="11">
        <f>HYPERLINK("2\1\" &amp; K1432, "Ver Imagen")</f>
        <v/>
      </c>
      <c r="M1432" t="inlineStr">
        <is>
          <t>Moda</t>
        </is>
      </c>
    </row>
    <row r="1433">
      <c r="A1433" t="n">
        <v>1432</v>
      </c>
      <c r="B1433" t="inlineStr">
        <is>
          <t>A-499__50</t>
        </is>
      </c>
      <c r="C1433" s="1" t="n">
        <v>37.4956451042</v>
      </c>
      <c r="D1433" s="1" t="n">
        <v>-7.2752567246</v>
      </c>
      <c r="E1433" s="3" t="n">
        <v>3</v>
      </c>
      <c r="F1433" s="2" t="n">
        <v>2</v>
      </c>
      <c r="G1433" s="4" t="n">
        <v>2</v>
      </c>
      <c r="H1433" s="13" t="n"/>
      <c r="I1433" s="15" t="n"/>
      <c r="J1433" s="19" t="n">
        <v>2</v>
      </c>
      <c r="K1433" s="2" t="inlineStr">
        <is>
          <t>marker_709_534893.png</t>
        </is>
      </c>
      <c r="L1433" s="11">
        <f>HYPERLINK("2\1\" &amp; K1433, "Ver Imagen")</f>
        <v/>
      </c>
      <c r="M1433" t="inlineStr">
        <is>
          <t>Moda</t>
        </is>
      </c>
    </row>
    <row r="1434">
      <c r="A1434" t="n">
        <v>1433</v>
      </c>
      <c r="B1434" t="inlineStr">
        <is>
          <t>A-499__51</t>
        </is>
      </c>
      <c r="C1434" s="1" t="n">
        <v>37.4956750243</v>
      </c>
      <c r="D1434" s="1" t="n">
        <v>-7.27499037362</v>
      </c>
      <c r="E1434" s="3" t="n">
        <v>2</v>
      </c>
      <c r="F1434" s="2" t="n">
        <v>1</v>
      </c>
      <c r="G1434" s="4" t="n">
        <v>2</v>
      </c>
      <c r="H1434" s="13" t="n"/>
      <c r="I1434" s="15" t="n"/>
      <c r="J1434" s="19" t="n">
        <v>2</v>
      </c>
      <c r="K1434" s="2" t="inlineStr">
        <is>
          <t>marker_372_534902.png</t>
        </is>
      </c>
      <c r="L1434" s="11">
        <f>HYPERLINK("2\1\" &amp; K1434, "Ver Imagen")</f>
        <v/>
      </c>
      <c r="M1434" t="inlineStr">
        <is>
          <t>Moda</t>
        </is>
      </c>
    </row>
    <row r="1435">
      <c r="A1435" t="n">
        <v>1434</v>
      </c>
      <c r="B1435" t="inlineStr">
        <is>
          <t>A-499__60</t>
        </is>
      </c>
      <c r="C1435" s="1" t="n">
        <v>37.495510949</v>
      </c>
      <c r="D1435" s="1" t="n">
        <v>-7.27276825856</v>
      </c>
      <c r="E1435" s="3" t="n">
        <v>2</v>
      </c>
      <c r="F1435" s="2" t="n">
        <v>1</v>
      </c>
      <c r="G1435" s="4" t="n">
        <v>2</v>
      </c>
      <c r="H1435" s="13" t="n"/>
      <c r="I1435" s="15" t="n"/>
      <c r="J1435" s="19" t="n">
        <v>2</v>
      </c>
      <c r="K1435" s="2" t="inlineStr">
        <is>
          <t>marker_219_535072.png</t>
        </is>
      </c>
      <c r="L1435" s="11">
        <f>HYPERLINK("2\1\" &amp; K1435, "Ver Imagen")</f>
        <v/>
      </c>
      <c r="M1435" t="inlineStr">
        <is>
          <t>Moda</t>
        </is>
      </c>
    </row>
    <row r="1436">
      <c r="A1436" t="n">
        <v>1435</v>
      </c>
      <c r="B1436" t="inlineStr">
        <is>
          <t>A-499__61</t>
        </is>
      </c>
      <c r="C1436" s="1" t="n">
        <v>37.4954711503</v>
      </c>
      <c r="D1436" s="1" t="n">
        <v>-7.27252937976</v>
      </c>
      <c r="E1436" s="3" t="n">
        <v>2</v>
      </c>
      <c r="F1436" s="2" t="n">
        <v>3</v>
      </c>
      <c r="G1436" s="4" t="n">
        <v>2</v>
      </c>
      <c r="H1436" s="13" t="n"/>
      <c r="I1436" s="15" t="n"/>
      <c r="J1436" s="19" t="n">
        <v>2</v>
      </c>
      <c r="K1436" s="2" t="inlineStr">
        <is>
          <t>marker_798_535081.png</t>
        </is>
      </c>
      <c r="L1436" s="11">
        <f>HYPERLINK("2\1\" &amp; K1436, "Ver Imagen")</f>
        <v/>
      </c>
      <c r="M1436" t="inlineStr">
        <is>
          <t>Moda</t>
        </is>
      </c>
    </row>
    <row r="1437">
      <c r="A1437" t="n">
        <v>1436</v>
      </c>
      <c r="B1437" t="inlineStr">
        <is>
          <t>A-499__87</t>
        </is>
      </c>
      <c r="C1437" s="1" t="n">
        <v>37.4962214553</v>
      </c>
      <c r="D1437" s="1" t="n">
        <v>-7.26819717205</v>
      </c>
      <c r="E1437" s="3" t="n">
        <v>2</v>
      </c>
      <c r="F1437" s="2" t="n">
        <v>2</v>
      </c>
      <c r="G1437" s="4" t="n">
        <v>3</v>
      </c>
      <c r="H1437" s="13" t="n"/>
      <c r="I1437" s="15" t="n"/>
      <c r="J1437" s="19" t="n">
        <v>2</v>
      </c>
      <c r="K1437" s="2" t="inlineStr">
        <is>
          <t>marker_640_789892.png</t>
        </is>
      </c>
      <c r="L1437" s="11">
        <f>HYPERLINK("2\1\" &amp; K1437, "Ver Imagen")</f>
        <v/>
      </c>
      <c r="M1437" t="inlineStr">
        <is>
          <t>Moda</t>
        </is>
      </c>
    </row>
    <row r="1438">
      <c r="A1438" t="n">
        <v>1437</v>
      </c>
      <c r="B1438" t="inlineStr">
        <is>
          <t>A-499__88</t>
        </is>
      </c>
      <c r="C1438" s="1" t="n">
        <v>37.496434219</v>
      </c>
      <c r="D1438" s="1" t="n">
        <v>-7.26820386434</v>
      </c>
      <c r="E1438" s="3" t="n">
        <v>2</v>
      </c>
      <c r="F1438" s="2" t="n">
        <v>3</v>
      </c>
      <c r="G1438" s="4" t="n">
        <v>2</v>
      </c>
      <c r="H1438" s="13" t="n"/>
      <c r="I1438" s="15" t="n"/>
      <c r="J1438" s="19" t="n">
        <v>2</v>
      </c>
      <c r="K1438" s="2" t="inlineStr">
        <is>
          <t>marker_221_789911.png</t>
        </is>
      </c>
      <c r="L1438" s="11">
        <f>HYPERLINK("2\1\" &amp; K1438, "Ver Imagen")</f>
        <v/>
      </c>
      <c r="M1438" t="inlineStr">
        <is>
          <t>Moda</t>
        </is>
      </c>
    </row>
    <row r="1439">
      <c r="A1439" t="n">
        <v>1438</v>
      </c>
      <c r="B1439" t="inlineStr">
        <is>
          <t>A-499__89</t>
        </is>
      </c>
      <c r="C1439" s="1" t="n">
        <v>37.4966313146</v>
      </c>
      <c r="D1439" s="1" t="n">
        <v>-7.26819002393</v>
      </c>
      <c r="E1439" s="3" t="n">
        <v>2</v>
      </c>
      <c r="F1439" s="2" t="n">
        <v>1</v>
      </c>
      <c r="G1439" s="4" t="n">
        <v>2</v>
      </c>
      <c r="H1439" s="13" t="n"/>
      <c r="I1439" s="15" t="n"/>
      <c r="J1439" s="19" t="n">
        <v>2</v>
      </c>
      <c r="K1439" s="2" t="inlineStr">
        <is>
          <t>marker_271_789925.png</t>
        </is>
      </c>
      <c r="L1439" s="11">
        <f>HYPERLINK("2\1\" &amp; K1439, "Ver Imagen")</f>
        <v/>
      </c>
      <c r="M1439" t="inlineStr">
        <is>
          <t>Moda</t>
        </is>
      </c>
    </row>
    <row r="1440">
      <c r="A1440" t="n">
        <v>1439</v>
      </c>
      <c r="B1440" t="inlineStr">
        <is>
          <t>A-499__99</t>
        </is>
      </c>
      <c r="C1440" s="1" t="n">
        <v>37.4986179872</v>
      </c>
      <c r="D1440" s="1" t="n">
        <v>-7.26757560413</v>
      </c>
      <c r="E1440" s="3" t="n">
        <v>2</v>
      </c>
      <c r="F1440" s="2" t="n">
        <v>3</v>
      </c>
      <c r="G1440" s="4" t="n">
        <v>2</v>
      </c>
      <c r="H1440" s="13" t="n"/>
      <c r="I1440" s="15" t="n"/>
      <c r="J1440" s="19" t="n">
        <v>2</v>
      </c>
      <c r="K1440" s="2" t="inlineStr">
        <is>
          <t>marker_816_793218.png</t>
        </is>
      </c>
      <c r="L1440" s="11">
        <f>HYPERLINK("2\1\" &amp; K1440, "Ver Imagen")</f>
        <v/>
      </c>
      <c r="M1440" t="inlineStr">
        <is>
          <t>Moda</t>
        </is>
      </c>
    </row>
    <row r="1441">
      <c r="A1441" t="n">
        <v>1440</v>
      </c>
      <c r="B1441" t="inlineStr">
        <is>
          <t>A-499__101</t>
        </is>
      </c>
      <c r="C1441" s="1" t="n">
        <v>37.4990020277</v>
      </c>
      <c r="D1441" s="1" t="n">
        <v>-7.26744203753</v>
      </c>
      <c r="E1441" s="3" t="n">
        <v>2</v>
      </c>
      <c r="F1441" s="2" t="n">
        <v>3</v>
      </c>
      <c r="G1441" s="4" t="n">
        <v>2</v>
      </c>
      <c r="H1441" s="13" t="n"/>
      <c r="I1441" s="15" t="n"/>
      <c r="J1441" s="19" t="n">
        <v>2</v>
      </c>
      <c r="K1441" s="2" t="inlineStr">
        <is>
          <t>marker_941_793245.png</t>
        </is>
      </c>
      <c r="L1441" s="11">
        <f>HYPERLINK("2\1\" &amp; K1441, "Ver Imagen")</f>
        <v/>
      </c>
      <c r="M1441" t="inlineStr">
        <is>
          <t>Moda</t>
        </is>
      </c>
    </row>
    <row r="1442">
      <c r="A1442" t="n">
        <v>1441</v>
      </c>
      <c r="B1442" t="inlineStr">
        <is>
          <t>A-499__104</t>
        </is>
      </c>
      <c r="C1442" s="1" t="n">
        <v>37.4995895481</v>
      </c>
      <c r="D1442" s="1" t="n">
        <v>-7.26724089998</v>
      </c>
      <c r="E1442" s="3" t="n">
        <v>2</v>
      </c>
      <c r="F1442" s="2" t="n">
        <v>1</v>
      </c>
      <c r="G1442" s="4" t="n">
        <v>2</v>
      </c>
      <c r="H1442" s="13" t="n"/>
      <c r="I1442" s="15" t="n"/>
      <c r="J1442" s="19" t="n">
        <v>2</v>
      </c>
      <c r="K1442" s="2" t="inlineStr">
        <is>
          <t>marker_249_793291.png</t>
        </is>
      </c>
      <c r="L1442" s="11">
        <f>HYPERLINK("2\1\" &amp; K1442, "Ver Imagen")</f>
        <v/>
      </c>
      <c r="M1442" t="inlineStr">
        <is>
          <t>Moda</t>
        </is>
      </c>
    </row>
    <row r="1443">
      <c r="A1443" t="n">
        <v>1442</v>
      </c>
      <c r="B1443" t="inlineStr">
        <is>
          <t>A-497__845</t>
        </is>
      </c>
      <c r="C1443" s="1" t="n">
        <v>37.1996200589</v>
      </c>
      <c r="D1443" s="1" t="n">
        <v>-6.98494371066</v>
      </c>
      <c r="E1443" s="3" t="n">
        <v>2</v>
      </c>
      <c r="F1443" s="2" t="n">
        <v>3</v>
      </c>
      <c r="G1443" s="4" t="n">
        <v>2</v>
      </c>
      <c r="H1443" s="13" t="n"/>
      <c r="I1443" s="15" t="n"/>
      <c r="J1443" s="19" t="n">
        <v>2</v>
      </c>
      <c r="K1443" s="2" t="inlineStr">
        <is>
          <t>marker_543_367493.png</t>
        </is>
      </c>
      <c r="L1443" s="11">
        <f>HYPERLINK("2\1\" &amp; K1443, "Ver Imagen")</f>
        <v/>
      </c>
      <c r="M1443" t="inlineStr">
        <is>
          <t>Moda</t>
        </is>
      </c>
    </row>
    <row r="1444">
      <c r="A1444" t="n">
        <v>1443</v>
      </c>
      <c r="B1444" t="inlineStr">
        <is>
          <t>A-497__794</t>
        </is>
      </c>
      <c r="C1444" s="1" t="n">
        <v>37.1921978083</v>
      </c>
      <c r="D1444" s="1" t="n">
        <v>-6.9776763763</v>
      </c>
      <c r="E1444" s="3" t="n">
        <v>2</v>
      </c>
      <c r="F1444" s="2" t="n">
        <v>2</v>
      </c>
      <c r="G1444" s="4" t="n">
        <v>3</v>
      </c>
      <c r="H1444" s="13" t="n"/>
      <c r="I1444" s="15" t="n"/>
      <c r="J1444" s="19" t="n">
        <v>2</v>
      </c>
      <c r="K1444" s="2" t="inlineStr">
        <is>
          <t>marker_604_368016.png</t>
        </is>
      </c>
      <c r="L1444" s="11">
        <f>HYPERLINK("2\1\" &amp; K1444, "Ver Imagen")</f>
        <v/>
      </c>
      <c r="M1444" t="inlineStr">
        <is>
          <t>Moda</t>
        </is>
      </c>
    </row>
    <row r="1445">
      <c r="A1445" t="n">
        <v>1444</v>
      </c>
      <c r="B1445" t="inlineStr">
        <is>
          <t>A-497__774</t>
        </is>
      </c>
      <c r="C1445" s="1" t="n">
        <v>37.1882747768</v>
      </c>
      <c r="D1445" s="1" t="n">
        <v>-6.9787430482</v>
      </c>
      <c r="E1445" s="3" t="n">
        <v>2</v>
      </c>
      <c r="F1445" s="2" t="n">
        <v>3</v>
      </c>
      <c r="G1445" s="4" t="n">
        <v>2</v>
      </c>
      <c r="H1445" s="13" t="n"/>
      <c r="I1445" s="15" t="n"/>
      <c r="J1445" s="19" t="n">
        <v>2</v>
      </c>
      <c r="K1445" s="2" t="inlineStr">
        <is>
          <t>marker_123_368248.png</t>
        </is>
      </c>
      <c r="L1445" s="11">
        <f>HYPERLINK("2\1\" &amp; K1445, "Ver Imagen")</f>
        <v/>
      </c>
      <c r="M1445" t="inlineStr">
        <is>
          <t>Moda</t>
        </is>
      </c>
    </row>
    <row r="1446">
      <c r="A1446" t="n">
        <v>1445</v>
      </c>
      <c r="B1446" t="inlineStr">
        <is>
          <t>A-499__116</t>
        </is>
      </c>
      <c r="C1446" s="1" t="n">
        <v>37.5019199673</v>
      </c>
      <c r="D1446" s="1" t="n">
        <v>-7.26644529908</v>
      </c>
      <c r="E1446" s="3" t="n">
        <v>2</v>
      </c>
      <c r="F1446" s="2" t="n">
        <v>3</v>
      </c>
      <c r="G1446" s="4" t="n">
        <v>2</v>
      </c>
      <c r="H1446" s="13" t="n"/>
      <c r="I1446" s="15" t="n"/>
      <c r="J1446" s="19" t="n">
        <v>2</v>
      </c>
      <c r="K1446" s="2" t="inlineStr">
        <is>
          <t>marker_537_793524.png</t>
        </is>
      </c>
      <c r="L1446" s="11">
        <f>HYPERLINK("2\1\" &amp; K1446, "Ver Imagen")</f>
        <v/>
      </c>
      <c r="M1446" t="inlineStr">
        <is>
          <t>Moda</t>
        </is>
      </c>
    </row>
    <row r="1447">
      <c r="A1447" t="n">
        <v>1446</v>
      </c>
      <c r="B1447" t="inlineStr">
        <is>
          <t>A-499__118</t>
        </is>
      </c>
      <c r="C1447" s="1" t="n">
        <v>37.5023016732</v>
      </c>
      <c r="D1447" s="1" t="n">
        <v>-7.26631273576</v>
      </c>
      <c r="E1447" s="3" t="n">
        <v>2</v>
      </c>
      <c r="F1447" s="2" t="n">
        <v>2</v>
      </c>
      <c r="G1447" s="4" t="n">
        <v>3</v>
      </c>
      <c r="H1447" s="13" t="n"/>
      <c r="I1447" s="15" t="n"/>
      <c r="J1447" s="19" t="n">
        <v>2</v>
      </c>
      <c r="K1447" s="2" t="inlineStr">
        <is>
          <t>marker_219_793560.png</t>
        </is>
      </c>
      <c r="L1447" s="11">
        <f>HYPERLINK("2\1\" &amp; K1447, "Ver Imagen")</f>
        <v/>
      </c>
      <c r="M1447" t="inlineStr">
        <is>
          <t>Moda</t>
        </is>
      </c>
    </row>
    <row r="1448">
      <c r="A1448" t="n">
        <v>1447</v>
      </c>
      <c r="B1448" t="inlineStr">
        <is>
          <t>A-499__120</t>
        </is>
      </c>
      <c r="C1448" s="1" t="n">
        <v>37.5026766339</v>
      </c>
      <c r="D1448" s="1" t="n">
        <v>-7.26618611262</v>
      </c>
      <c r="E1448" s="3" t="n">
        <v>2</v>
      </c>
      <c r="F1448" s="2" t="n">
        <v>2</v>
      </c>
      <c r="G1448" s="4" t="n">
        <v>3</v>
      </c>
      <c r="H1448" s="13" t="n"/>
      <c r="I1448" s="15" t="n"/>
      <c r="J1448" s="19" t="n">
        <v>2</v>
      </c>
      <c r="K1448" s="2" t="inlineStr">
        <is>
          <t>marker_512_793603.png</t>
        </is>
      </c>
      <c r="L1448" s="11">
        <f>HYPERLINK("2\1\" &amp; K1448, "Ver Imagen")</f>
        <v/>
      </c>
      <c r="M1448" t="inlineStr">
        <is>
          <t>Moda</t>
        </is>
      </c>
    </row>
    <row r="1449">
      <c r="A1449" t="n">
        <v>1448</v>
      </c>
      <c r="B1449" t="inlineStr">
        <is>
          <t>A-499__122</t>
        </is>
      </c>
      <c r="C1449" s="1" t="n">
        <v>37.5031098772</v>
      </c>
      <c r="D1449" s="1" t="n">
        <v>-7.26604074274</v>
      </c>
      <c r="E1449" s="3" t="n">
        <v>2</v>
      </c>
      <c r="F1449" s="2" t="n">
        <v>3</v>
      </c>
      <c r="G1449" s="4" t="n">
        <v>2</v>
      </c>
      <c r="H1449" s="13" t="n"/>
      <c r="I1449" s="15" t="n"/>
      <c r="J1449" s="19" t="n">
        <v>2</v>
      </c>
      <c r="K1449" s="2" t="inlineStr">
        <is>
          <t>marker_884_793644.png</t>
        </is>
      </c>
      <c r="L1449" s="11">
        <f>HYPERLINK("2\1\" &amp; K1449, "Ver Imagen")</f>
        <v/>
      </c>
      <c r="M1449" t="inlineStr">
        <is>
          <t>Moda</t>
        </is>
      </c>
    </row>
    <row r="1450">
      <c r="A1450" t="n">
        <v>1449</v>
      </c>
      <c r="B1450" t="inlineStr">
        <is>
          <t>A-497_2C__7</t>
        </is>
      </c>
      <c r="C1450" s="1" t="n">
        <v>37.2673571939</v>
      </c>
      <c r="D1450" s="1" t="n">
        <v>-6.95873299341</v>
      </c>
      <c r="E1450" s="3" t="n">
        <v>2</v>
      </c>
      <c r="F1450" s="2" t="n">
        <v>3</v>
      </c>
      <c r="G1450" s="4" t="n">
        <v>2</v>
      </c>
      <c r="H1450" s="13" t="n"/>
      <c r="I1450" s="15" t="n"/>
      <c r="J1450" s="19" t="n">
        <v>2</v>
      </c>
      <c r="K1450" s="2" t="inlineStr">
        <is>
          <t>marker_929_653789.png</t>
        </is>
      </c>
      <c r="L1450" s="11">
        <f>HYPERLINK("2\1\" &amp; K1450, "Ver Imagen")</f>
        <v/>
      </c>
      <c r="M1450" t="inlineStr">
        <is>
          <t>Moda</t>
        </is>
      </c>
    </row>
    <row r="1451">
      <c r="A1451" t="n">
        <v>1450</v>
      </c>
      <c r="B1451" t="inlineStr">
        <is>
          <t>A-497_2C__11</t>
        </is>
      </c>
      <c r="C1451" s="1" t="n">
        <v>37.2674634527</v>
      </c>
      <c r="D1451" s="1" t="n">
        <v>-6.95971589154</v>
      </c>
      <c r="E1451" s="3" t="n">
        <v>2</v>
      </c>
      <c r="F1451" s="2" t="n">
        <v>3</v>
      </c>
      <c r="G1451" s="4" t="n">
        <v>2</v>
      </c>
      <c r="H1451" s="13" t="n"/>
      <c r="I1451" s="15" t="n"/>
      <c r="J1451" s="19" t="n">
        <v>2</v>
      </c>
      <c r="K1451" s="2" t="inlineStr">
        <is>
          <t>marker_973_653994.png</t>
        </is>
      </c>
      <c r="L1451" s="11">
        <f>HYPERLINK("2\1\" &amp; K1451, "Ver Imagen")</f>
        <v/>
      </c>
      <c r="M1451" t="inlineStr">
        <is>
          <t>Moda</t>
        </is>
      </c>
    </row>
    <row r="1452">
      <c r="A1452" t="n">
        <v>1451</v>
      </c>
      <c r="B1452" t="inlineStr">
        <is>
          <t>A-499__123</t>
        </is>
      </c>
      <c r="C1452" s="1" t="n">
        <v>37.5032817598</v>
      </c>
      <c r="D1452" s="1" t="n">
        <v>-7.26598156755</v>
      </c>
      <c r="E1452" s="3" t="n">
        <v>3</v>
      </c>
      <c r="F1452" s="2" t="n">
        <v>2</v>
      </c>
      <c r="G1452" s="4" t="n">
        <v>2</v>
      </c>
      <c r="H1452" s="13" t="n"/>
      <c r="I1452" s="15" t="n"/>
      <c r="J1452" s="19" t="n">
        <v>2</v>
      </c>
      <c r="K1452" s="2" t="inlineStr">
        <is>
          <t>marker_471_793659.png</t>
        </is>
      </c>
      <c r="L1452" s="11">
        <f>HYPERLINK("2\1\" &amp; K1452, "Ver Imagen")</f>
        <v/>
      </c>
      <c r="M1452" t="inlineStr">
        <is>
          <t>Moda</t>
        </is>
      </c>
    </row>
    <row r="1453">
      <c r="A1453" t="n">
        <v>1452</v>
      </c>
      <c r="B1453" t="inlineStr">
        <is>
          <t>A-499__128</t>
        </is>
      </c>
      <c r="C1453" s="1" t="n">
        <v>37.5042432352</v>
      </c>
      <c r="D1453" s="1" t="n">
        <v>-7.26565479069</v>
      </c>
      <c r="E1453" s="3" t="n">
        <v>2</v>
      </c>
      <c r="F1453" s="2" t="n">
        <v>2</v>
      </c>
      <c r="G1453" s="4" t="n">
        <v>3</v>
      </c>
      <c r="H1453" s="13" t="n"/>
      <c r="I1453" s="15" t="n"/>
      <c r="J1453" s="19" t="n">
        <v>2</v>
      </c>
      <c r="K1453" s="2" t="inlineStr">
        <is>
          <t>marker_633_793739.png</t>
        </is>
      </c>
      <c r="L1453" s="11">
        <f>HYPERLINK("2\1\" &amp; K1453, "Ver Imagen")</f>
        <v/>
      </c>
      <c r="M1453" t="inlineStr">
        <is>
          <t>Moda</t>
        </is>
      </c>
    </row>
    <row r="1454">
      <c r="A1454" t="n">
        <v>1453</v>
      </c>
      <c r="B1454" t="inlineStr">
        <is>
          <t>A-499__130</t>
        </is>
      </c>
      <c r="C1454" s="1" t="n">
        <v>37.5046385184</v>
      </c>
      <c r="D1454" s="1" t="n">
        <v>-7.26551657682</v>
      </c>
      <c r="E1454" s="3" t="n">
        <v>2</v>
      </c>
      <c r="F1454" s="2" t="n">
        <v>1</v>
      </c>
      <c r="G1454" s="4" t="n">
        <v>2</v>
      </c>
      <c r="H1454" s="13" t="n"/>
      <c r="I1454" s="15" t="n"/>
      <c r="J1454" s="19" t="n">
        <v>2</v>
      </c>
      <c r="K1454" s="2" t="inlineStr">
        <is>
          <t>marker_282_793798.png</t>
        </is>
      </c>
      <c r="L1454" s="11">
        <f>HYPERLINK("2\1\" &amp; K1454, "Ver Imagen")</f>
        <v/>
      </c>
      <c r="M1454" t="inlineStr">
        <is>
          <t>Moda</t>
        </is>
      </c>
    </row>
    <row r="1455">
      <c r="A1455" t="n">
        <v>1454</v>
      </c>
      <c r="B1455" t="inlineStr">
        <is>
          <t>A-499__131</t>
        </is>
      </c>
      <c r="C1455" s="1" t="n">
        <v>37.5048509239</v>
      </c>
      <c r="D1455" s="1" t="n">
        <v>-7.26544414675</v>
      </c>
      <c r="E1455" s="3" t="n">
        <v>2</v>
      </c>
      <c r="F1455" s="2" t="n">
        <v>1</v>
      </c>
      <c r="G1455" s="4" t="n">
        <v>2</v>
      </c>
      <c r="H1455" s="13" t="n"/>
      <c r="I1455" s="15" t="n"/>
      <c r="J1455" s="19" t="n">
        <v>2</v>
      </c>
      <c r="K1455" s="2" t="inlineStr">
        <is>
          <t>marker_504_793812.png</t>
        </is>
      </c>
      <c r="L1455" s="11">
        <f>HYPERLINK("2\1\" &amp; K1455, "Ver Imagen")</f>
        <v/>
      </c>
      <c r="M1455" t="inlineStr">
        <is>
          <t>Moda</t>
        </is>
      </c>
    </row>
    <row r="1456">
      <c r="A1456" t="n">
        <v>1455</v>
      </c>
      <c r="B1456" t="inlineStr">
        <is>
          <t>A-499__137</t>
        </is>
      </c>
      <c r="C1456" s="1" t="n">
        <v>37.5060428275</v>
      </c>
      <c r="D1456" s="1" t="n">
        <v>-7.26526531154</v>
      </c>
      <c r="E1456" s="3" t="n">
        <v>2</v>
      </c>
      <c r="F1456" s="2" t="n">
        <v>1</v>
      </c>
      <c r="G1456" s="4" t="n">
        <v>2</v>
      </c>
      <c r="H1456" s="13" t="n"/>
      <c r="I1456" s="15" t="n"/>
      <c r="J1456" s="19" t="n">
        <v>2</v>
      </c>
      <c r="K1456" s="2" t="inlineStr">
        <is>
          <t>marker_666_793945.png</t>
        </is>
      </c>
      <c r="L1456" s="11">
        <f>HYPERLINK("2\1\" &amp; K1456, "Ver Imagen")</f>
        <v/>
      </c>
      <c r="M1456" t="inlineStr">
        <is>
          <t>Moda</t>
        </is>
      </c>
    </row>
    <row r="1457">
      <c r="A1457" t="n">
        <v>1456</v>
      </c>
      <c r="B1457" t="inlineStr">
        <is>
          <t>A-499__144</t>
        </is>
      </c>
      <c r="C1457" s="1" t="n">
        <v>37.5073829396</v>
      </c>
      <c r="D1457" s="1" t="n">
        <v>-7.2658597391</v>
      </c>
      <c r="E1457" s="3" t="n">
        <v>2</v>
      </c>
      <c r="F1457" s="2" t="n">
        <v>2</v>
      </c>
      <c r="G1457" s="4" t="n">
        <v>3</v>
      </c>
      <c r="H1457" s="13" t="n"/>
      <c r="I1457" s="15" t="n"/>
      <c r="J1457" s="19" t="n">
        <v>2</v>
      </c>
      <c r="K1457" s="2" t="inlineStr">
        <is>
          <t>marker_324_794144.png</t>
        </is>
      </c>
      <c r="L1457" s="11">
        <f>HYPERLINK("2\1\" &amp; K1457, "Ver Imagen")</f>
        <v/>
      </c>
      <c r="M1457" t="inlineStr">
        <is>
          <t>Moda</t>
        </is>
      </c>
    </row>
    <row r="1458">
      <c r="A1458" t="n">
        <v>1457</v>
      </c>
      <c r="B1458" t="inlineStr">
        <is>
          <t>A-499__145</t>
        </is>
      </c>
      <c r="C1458" s="1" t="n">
        <v>37.5075660258</v>
      </c>
      <c r="D1458" s="1" t="n">
        <v>-7.26600478718</v>
      </c>
      <c r="E1458" s="3" t="n">
        <v>2</v>
      </c>
      <c r="F1458" s="2" t="n">
        <v>2</v>
      </c>
      <c r="G1458" s="4" t="n">
        <v>3</v>
      </c>
      <c r="H1458" s="13" t="n"/>
      <c r="I1458" s="15" t="n"/>
      <c r="J1458" s="19" t="n">
        <v>2</v>
      </c>
      <c r="K1458" s="2" t="inlineStr">
        <is>
          <t>marker_885_794167.png</t>
        </is>
      </c>
      <c r="L1458" s="11">
        <f>HYPERLINK("2\1\" &amp; K1458, "Ver Imagen")</f>
        <v/>
      </c>
      <c r="M1458" t="inlineStr">
        <is>
          <t>Moda</t>
        </is>
      </c>
    </row>
    <row r="1459">
      <c r="A1459" t="n">
        <v>1458</v>
      </c>
      <c r="B1459" t="inlineStr">
        <is>
          <t>A-499__146</t>
        </is>
      </c>
      <c r="C1459" s="1" t="n">
        <v>37.5077300863</v>
      </c>
      <c r="D1459" s="1" t="n">
        <v>-7.26613825123</v>
      </c>
      <c r="E1459" s="3" t="n">
        <v>2</v>
      </c>
      <c r="F1459" s="2" t="n">
        <v>2</v>
      </c>
      <c r="G1459" s="4" t="n">
        <v>3</v>
      </c>
      <c r="H1459" s="13" t="n"/>
      <c r="I1459" s="15" t="n"/>
      <c r="J1459" s="19" t="n">
        <v>2</v>
      </c>
      <c r="K1459" s="2" t="inlineStr">
        <is>
          <t>marker_877_794202.png</t>
        </is>
      </c>
      <c r="L1459" s="11">
        <f>HYPERLINK("2\1\" &amp; K1459, "Ver Imagen")</f>
        <v/>
      </c>
      <c r="M1459" t="inlineStr">
        <is>
          <t>Moda</t>
        </is>
      </c>
    </row>
    <row r="1460">
      <c r="A1460" t="n">
        <v>1459</v>
      </c>
      <c r="B1460" t="inlineStr">
        <is>
          <t>A-499__147</t>
        </is>
      </c>
      <c r="C1460" s="1" t="n">
        <v>37.5079105741</v>
      </c>
      <c r="D1460" s="1" t="n">
        <v>-7.26628600202</v>
      </c>
      <c r="E1460" s="3" t="n">
        <v>2</v>
      </c>
      <c r="F1460" s="2" t="n">
        <v>2</v>
      </c>
      <c r="G1460" s="4" t="n">
        <v>3</v>
      </c>
      <c r="H1460" s="13" t="n"/>
      <c r="I1460" s="15" t="n"/>
      <c r="J1460" s="19" t="n">
        <v>2</v>
      </c>
      <c r="K1460" s="2" t="inlineStr">
        <is>
          <t>marker_347_794238.png</t>
        </is>
      </c>
      <c r="L1460" s="11">
        <f>HYPERLINK("2\1\" &amp; K1460, "Ver Imagen")</f>
        <v/>
      </c>
      <c r="M1460" t="inlineStr">
        <is>
          <t>Moda</t>
        </is>
      </c>
    </row>
    <row r="1461">
      <c r="A1461" t="n">
        <v>1460</v>
      </c>
      <c r="B1461" t="inlineStr">
        <is>
          <t>A-499__153</t>
        </is>
      </c>
      <c r="C1461" s="1" t="n">
        <v>37.5089304407</v>
      </c>
      <c r="D1461" s="1" t="n">
        <v>-7.26706254361</v>
      </c>
      <c r="E1461" s="3" t="n">
        <v>2</v>
      </c>
      <c r="F1461" s="2" t="n">
        <v>1</v>
      </c>
      <c r="G1461" s="4" t="n">
        <v>2</v>
      </c>
      <c r="H1461" s="13" t="n"/>
      <c r="I1461" s="15" t="n"/>
      <c r="J1461" s="19" t="n">
        <v>2</v>
      </c>
      <c r="K1461" s="2" t="inlineStr">
        <is>
          <t>marker_696_794410.png</t>
        </is>
      </c>
      <c r="L1461" s="11">
        <f>HYPERLINK("2\1\" &amp; K1461, "Ver Imagen")</f>
        <v/>
      </c>
      <c r="M1461" t="inlineStr">
        <is>
          <t>Moda</t>
        </is>
      </c>
    </row>
    <row r="1462">
      <c r="A1462" t="n">
        <v>1461</v>
      </c>
      <c r="B1462" t="inlineStr">
        <is>
          <t>A-499__154</t>
        </is>
      </c>
      <c r="C1462" s="1" t="n">
        <v>37.5090978108</v>
      </c>
      <c r="D1462" s="1" t="n">
        <v>-7.26716624311</v>
      </c>
      <c r="E1462" s="3" t="n">
        <v>2</v>
      </c>
      <c r="F1462" s="2" t="n">
        <v>1</v>
      </c>
      <c r="G1462" s="4" t="n">
        <v>2</v>
      </c>
      <c r="H1462" s="13" t="n"/>
      <c r="I1462" s="15" t="n"/>
      <c r="J1462" s="19" t="n">
        <v>2</v>
      </c>
      <c r="K1462" s="2" t="inlineStr">
        <is>
          <t>marker_832_794422.png</t>
        </is>
      </c>
      <c r="L1462" s="11">
        <f>HYPERLINK("2\1\" &amp; K1462, "Ver Imagen")</f>
        <v/>
      </c>
      <c r="M1462" t="inlineStr">
        <is>
          <t>Moda</t>
        </is>
      </c>
    </row>
    <row r="1463">
      <c r="A1463" t="n">
        <v>1462</v>
      </c>
      <c r="B1463" t="inlineStr">
        <is>
          <t>A-499__155</t>
        </is>
      </c>
      <c r="C1463" s="1" t="n">
        <v>37.5092873068</v>
      </c>
      <c r="D1463" s="1" t="n">
        <v>-7.26727338322</v>
      </c>
      <c r="E1463" s="3" t="n">
        <v>2</v>
      </c>
      <c r="F1463" s="2" t="n">
        <v>1</v>
      </c>
      <c r="G1463" s="4" t="n">
        <v>2</v>
      </c>
      <c r="H1463" s="13" t="n"/>
      <c r="I1463" s="15" t="n"/>
      <c r="J1463" s="19" t="n">
        <v>2</v>
      </c>
      <c r="K1463" s="2" t="inlineStr">
        <is>
          <t>marker_451_794457.png</t>
        </is>
      </c>
      <c r="L1463" s="11">
        <f>HYPERLINK("2\1\" &amp; K1463, "Ver Imagen")</f>
        <v/>
      </c>
      <c r="M1463" t="inlineStr">
        <is>
          <t>Moda</t>
        </is>
      </c>
    </row>
    <row r="1464">
      <c r="A1464" t="n">
        <v>1463</v>
      </c>
      <c r="B1464" t="inlineStr">
        <is>
          <t>A-499__156</t>
        </is>
      </c>
      <c r="C1464" s="1" t="n">
        <v>37.5094662452</v>
      </c>
      <c r="D1464" s="1" t="n">
        <v>-7.26736319272</v>
      </c>
      <c r="E1464" s="3" t="n">
        <v>2</v>
      </c>
      <c r="F1464" s="2" t="n">
        <v>2</v>
      </c>
      <c r="G1464" s="4" t="n">
        <v>3</v>
      </c>
      <c r="H1464" s="13" t="n"/>
      <c r="I1464" s="15" t="n"/>
      <c r="J1464" s="19" t="n">
        <v>2</v>
      </c>
      <c r="K1464" s="2" t="inlineStr">
        <is>
          <t>marker_309_794520.png</t>
        </is>
      </c>
      <c r="L1464" s="11">
        <f>HYPERLINK("2\1\" &amp; K1464, "Ver Imagen")</f>
        <v/>
      </c>
      <c r="M1464" t="inlineStr">
        <is>
          <t>Moda</t>
        </is>
      </c>
    </row>
    <row r="1465">
      <c r="A1465" t="n">
        <v>1464</v>
      </c>
      <c r="B1465" t="inlineStr">
        <is>
          <t>A-499__158</t>
        </is>
      </c>
      <c r="C1465" s="1" t="n">
        <v>37.5098511628</v>
      </c>
      <c r="D1465" s="1" t="n">
        <v>-7.26752743567</v>
      </c>
      <c r="E1465" s="3" t="n">
        <v>2</v>
      </c>
      <c r="F1465" s="2" t="n">
        <v>2</v>
      </c>
      <c r="G1465" s="4" t="n">
        <v>3</v>
      </c>
      <c r="H1465" s="13" t="n"/>
      <c r="I1465" s="15" t="n"/>
      <c r="J1465" s="19" t="n">
        <v>2</v>
      </c>
      <c r="K1465" s="2" t="inlineStr">
        <is>
          <t>marker_313_794554.png</t>
        </is>
      </c>
      <c r="L1465" s="11">
        <f>HYPERLINK("2\1\" &amp; K1465, "Ver Imagen")</f>
        <v/>
      </c>
      <c r="M1465" t="inlineStr">
        <is>
          <t>Moda</t>
        </is>
      </c>
    </row>
    <row r="1466">
      <c r="A1466" t="n">
        <v>1465</v>
      </c>
      <c r="B1466" t="inlineStr">
        <is>
          <t>A-499__160</t>
        </is>
      </c>
      <c r="C1466" s="1" t="n">
        <v>37.5102501682</v>
      </c>
      <c r="D1466" s="1" t="n">
        <v>-7.26767319378</v>
      </c>
      <c r="E1466" s="3" t="n">
        <v>2</v>
      </c>
      <c r="F1466" s="2" t="n">
        <v>3</v>
      </c>
      <c r="G1466" s="4" t="n">
        <v>2</v>
      </c>
      <c r="H1466" s="13" t="n"/>
      <c r="I1466" s="15" t="n"/>
      <c r="J1466" s="19" t="n">
        <v>2</v>
      </c>
      <c r="K1466" s="2" t="inlineStr">
        <is>
          <t>marker_660_794576.png</t>
        </is>
      </c>
      <c r="L1466" s="11">
        <f>HYPERLINK("2\1\" &amp; K1466, "Ver Imagen")</f>
        <v/>
      </c>
      <c r="M1466" t="inlineStr">
        <is>
          <t>Moda</t>
        </is>
      </c>
    </row>
    <row r="1467">
      <c r="A1467" t="n">
        <v>1466</v>
      </c>
      <c r="B1467" t="inlineStr">
        <is>
          <t>A-499__161</t>
        </is>
      </c>
      <c r="C1467" s="1" t="n">
        <v>37.5104298567</v>
      </c>
      <c r="D1467" s="1" t="n">
        <v>-7.26773439915</v>
      </c>
      <c r="E1467" s="3" t="n">
        <v>2</v>
      </c>
      <c r="F1467" s="2" t="n">
        <v>2</v>
      </c>
      <c r="G1467" s="4" t="n">
        <v>3</v>
      </c>
      <c r="H1467" s="13" t="n"/>
      <c r="I1467" s="15" t="n"/>
      <c r="J1467" s="19" t="n">
        <v>2</v>
      </c>
      <c r="K1467" s="2" t="inlineStr">
        <is>
          <t>marker_465_794596.png</t>
        </is>
      </c>
      <c r="L1467" s="11">
        <f>HYPERLINK("2\1\" &amp; K1467, "Ver Imagen")</f>
        <v/>
      </c>
      <c r="M1467" t="inlineStr">
        <is>
          <t>Moda</t>
        </is>
      </c>
    </row>
    <row r="1468">
      <c r="A1468" t="n">
        <v>1467</v>
      </c>
      <c r="B1468" t="inlineStr">
        <is>
          <t>A-499__162</t>
        </is>
      </c>
      <c r="C1468" s="1" t="n">
        <v>37.5106306636</v>
      </c>
      <c r="D1468" s="1" t="n">
        <v>-7.26780449573</v>
      </c>
      <c r="E1468" s="3" t="n">
        <v>2</v>
      </c>
      <c r="F1468" s="2" t="n">
        <v>3</v>
      </c>
      <c r="G1468" s="4" t="n">
        <v>2</v>
      </c>
      <c r="H1468" s="13" t="n"/>
      <c r="I1468" s="15" t="n"/>
      <c r="J1468" s="19" t="n">
        <v>2</v>
      </c>
      <c r="K1468" s="2" t="inlineStr">
        <is>
          <t>marker_157_794615.png</t>
        </is>
      </c>
      <c r="L1468" s="11">
        <f>HYPERLINK("2\1\" &amp; K1468, "Ver Imagen")</f>
        <v/>
      </c>
      <c r="M1468" t="inlineStr">
        <is>
          <t>Moda</t>
        </is>
      </c>
    </row>
    <row r="1469">
      <c r="A1469" t="n">
        <v>1468</v>
      </c>
      <c r="B1469" t="inlineStr">
        <is>
          <t>A-499__163</t>
        </is>
      </c>
      <c r="C1469" s="1" t="n">
        <v>37.5108223956</v>
      </c>
      <c r="D1469" s="1" t="n">
        <v>-7.267877119</v>
      </c>
      <c r="E1469" s="3" t="n">
        <v>2</v>
      </c>
      <c r="F1469" s="2" t="n">
        <v>2</v>
      </c>
      <c r="G1469" s="4" t="n">
        <v>3</v>
      </c>
      <c r="H1469" s="13" t="n"/>
      <c r="I1469" s="15" t="n"/>
      <c r="J1469" s="19" t="n">
        <v>2</v>
      </c>
      <c r="K1469" s="2" t="inlineStr">
        <is>
          <t>marker_202_794646.png</t>
        </is>
      </c>
      <c r="L1469" s="11">
        <f>HYPERLINK("2\1\" &amp; K1469, "Ver Imagen")</f>
        <v/>
      </c>
      <c r="M1469" t="inlineStr">
        <is>
          <t>Moda</t>
        </is>
      </c>
    </row>
    <row r="1470">
      <c r="A1470" t="n">
        <v>1469</v>
      </c>
      <c r="B1470" t="inlineStr">
        <is>
          <t>A-499__164</t>
        </is>
      </c>
      <c r="C1470" s="1" t="n">
        <v>37.5110147214</v>
      </c>
      <c r="D1470" s="1" t="n">
        <v>-7.26795500232</v>
      </c>
      <c r="E1470" s="3" t="n">
        <v>2</v>
      </c>
      <c r="F1470" s="2" t="n">
        <v>2</v>
      </c>
      <c r="G1470" s="4" t="n">
        <v>3</v>
      </c>
      <c r="H1470" s="13" t="n"/>
      <c r="I1470" s="15" t="n"/>
      <c r="J1470" s="19" t="n">
        <v>2</v>
      </c>
      <c r="K1470" s="2" t="inlineStr">
        <is>
          <t>marker_994_794674.png</t>
        </is>
      </c>
      <c r="L1470" s="11">
        <f>HYPERLINK("2\1\" &amp; K1470, "Ver Imagen")</f>
        <v/>
      </c>
      <c r="M1470" t="inlineStr">
        <is>
          <t>Moda</t>
        </is>
      </c>
    </row>
    <row r="1471">
      <c r="A1471" t="n">
        <v>1470</v>
      </c>
      <c r="B1471" t="inlineStr">
        <is>
          <t>A-499__168</t>
        </is>
      </c>
      <c r="C1471" s="1" t="n">
        <v>37.5118391792</v>
      </c>
      <c r="D1471" s="1" t="n">
        <v>-7.26830817742</v>
      </c>
      <c r="E1471" s="3" t="n">
        <v>2</v>
      </c>
      <c r="F1471" s="2" t="n">
        <v>3</v>
      </c>
      <c r="G1471" s="4" t="n">
        <v>2</v>
      </c>
      <c r="H1471" s="13" t="n"/>
      <c r="I1471" s="15" t="n"/>
      <c r="J1471" s="19" t="n">
        <v>2</v>
      </c>
      <c r="K1471" s="2" t="inlineStr">
        <is>
          <t>marker_732_794768.png</t>
        </is>
      </c>
      <c r="L1471" s="11">
        <f>HYPERLINK("2\1\" &amp; K1471, "Ver Imagen")</f>
        <v/>
      </c>
      <c r="M1471" t="inlineStr">
        <is>
          <t>Moda</t>
        </is>
      </c>
    </row>
    <row r="1472">
      <c r="A1472" t="n">
        <v>1471</v>
      </c>
      <c r="B1472" t="inlineStr">
        <is>
          <t>A-499__174</t>
        </is>
      </c>
      <c r="C1472" s="1" t="n">
        <v>37.5129605401</v>
      </c>
      <c r="D1472" s="1" t="n">
        <v>-7.2687616429</v>
      </c>
      <c r="E1472" s="3" t="n">
        <v>2</v>
      </c>
      <c r="F1472" s="2" t="n">
        <v>1</v>
      </c>
      <c r="G1472" s="4" t="n">
        <v>2</v>
      </c>
      <c r="H1472" s="13" t="n"/>
      <c r="I1472" s="15" t="n"/>
      <c r="J1472" s="19" t="n">
        <v>2</v>
      </c>
      <c r="K1472" s="2" t="inlineStr">
        <is>
          <t>marker_626_795544.png</t>
        </is>
      </c>
      <c r="L1472" s="11">
        <f>HYPERLINK("2\1\" &amp; K1472, "Ver Imagen")</f>
        <v/>
      </c>
      <c r="M1472" t="inlineStr">
        <is>
          <t>Moda</t>
        </is>
      </c>
    </row>
    <row r="1473">
      <c r="A1473" t="n">
        <v>1472</v>
      </c>
      <c r="B1473" t="inlineStr">
        <is>
          <t>A-499__175</t>
        </is>
      </c>
      <c r="C1473" s="1" t="n">
        <v>37.5131551606</v>
      </c>
      <c r="D1473" s="1" t="n">
        <v>-7.26883341766</v>
      </c>
      <c r="E1473" s="3" t="n">
        <v>2</v>
      </c>
      <c r="F1473" s="2" t="n">
        <v>3</v>
      </c>
      <c r="G1473" s="4" t="n">
        <v>2</v>
      </c>
      <c r="H1473" s="13" t="n"/>
      <c r="I1473" s="15" t="n"/>
      <c r="J1473" s="19" t="n">
        <v>2</v>
      </c>
      <c r="K1473" s="2" t="inlineStr">
        <is>
          <t>marker_968_795561.png</t>
        </is>
      </c>
      <c r="L1473" s="11">
        <f>HYPERLINK("2\1\" &amp; K1473, "Ver Imagen")</f>
        <v/>
      </c>
      <c r="M1473" t="inlineStr">
        <is>
          <t>Moda</t>
        </is>
      </c>
    </row>
    <row r="1474">
      <c r="A1474" t="n">
        <v>1473</v>
      </c>
      <c r="B1474" t="inlineStr">
        <is>
          <t>A-499__176</t>
        </is>
      </c>
      <c r="C1474" s="1" t="n">
        <v>37.5133456759</v>
      </c>
      <c r="D1474" s="1" t="n">
        <v>-7.26889677755</v>
      </c>
      <c r="E1474" s="3" t="n">
        <v>3</v>
      </c>
      <c r="F1474" s="2" t="n">
        <v>2</v>
      </c>
      <c r="G1474" s="4" t="n">
        <v>2</v>
      </c>
      <c r="H1474" s="13" t="n"/>
      <c r="I1474" s="15" t="n"/>
      <c r="J1474" s="19" t="n">
        <v>2</v>
      </c>
      <c r="K1474" s="2" t="inlineStr">
        <is>
          <t>marker_575_795575.png</t>
        </is>
      </c>
      <c r="L1474" s="11">
        <f>HYPERLINK("2\1\" &amp; K1474, "Ver Imagen")</f>
        <v/>
      </c>
      <c r="M1474" t="inlineStr">
        <is>
          <t>Moda</t>
        </is>
      </c>
    </row>
    <row r="1475">
      <c r="A1475" t="n">
        <v>1474</v>
      </c>
      <c r="B1475" t="inlineStr">
        <is>
          <t>A-499__178</t>
        </is>
      </c>
      <c r="C1475" s="1" t="n">
        <v>37.5137358633</v>
      </c>
      <c r="D1475" s="1" t="n">
        <v>-7.2689869494</v>
      </c>
      <c r="E1475" s="3" t="n">
        <v>2</v>
      </c>
      <c r="F1475" s="2" t="n">
        <v>3</v>
      </c>
      <c r="G1475" s="4" t="n">
        <v>2</v>
      </c>
      <c r="H1475" s="13" t="n"/>
      <c r="I1475" s="15" t="n"/>
      <c r="J1475" s="19" t="n">
        <v>2</v>
      </c>
      <c r="K1475" s="2" t="inlineStr">
        <is>
          <t>marker_605_795598.png</t>
        </is>
      </c>
      <c r="L1475" s="11">
        <f>HYPERLINK("2\1\" &amp; K1475, "Ver Imagen")</f>
        <v/>
      </c>
      <c r="M1475" t="inlineStr">
        <is>
          <t>Moda</t>
        </is>
      </c>
    </row>
    <row r="1476">
      <c r="A1476" t="n">
        <v>1475</v>
      </c>
      <c r="B1476" t="inlineStr">
        <is>
          <t>A-499__179</t>
        </is>
      </c>
      <c r="C1476" s="1" t="n">
        <v>37.5139391091</v>
      </c>
      <c r="D1476" s="1" t="n">
        <v>-7.26899965584</v>
      </c>
      <c r="E1476" s="3" t="n">
        <v>2</v>
      </c>
      <c r="F1476" s="2" t="n">
        <v>1</v>
      </c>
      <c r="G1476" s="4" t="n">
        <v>2</v>
      </c>
      <c r="H1476" s="13" t="n"/>
      <c r="I1476" s="15" t="n"/>
      <c r="J1476" s="19" t="n">
        <v>2</v>
      </c>
      <c r="K1476" s="2" t="inlineStr">
        <is>
          <t>marker_142_795608.png</t>
        </is>
      </c>
      <c r="L1476" s="11">
        <f>HYPERLINK("2\1\" &amp; K1476, "Ver Imagen")</f>
        <v/>
      </c>
      <c r="M1476" t="inlineStr">
        <is>
          <t>Moda</t>
        </is>
      </c>
    </row>
    <row r="1477">
      <c r="A1477" t="n">
        <v>1476</v>
      </c>
      <c r="B1477" t="inlineStr">
        <is>
          <t>A-499__180</t>
        </is>
      </c>
      <c r="C1477" s="1" t="n">
        <v>37.5141260487</v>
      </c>
      <c r="D1477" s="1" t="n">
        <v>-7.26898977581</v>
      </c>
      <c r="E1477" s="3" t="n">
        <v>2</v>
      </c>
      <c r="F1477" s="2" t="n">
        <v>3</v>
      </c>
      <c r="G1477" s="4" t="n">
        <v>2</v>
      </c>
      <c r="H1477" s="13" t="n"/>
      <c r="I1477" s="15" t="n"/>
      <c r="J1477" s="19" t="n">
        <v>2</v>
      </c>
      <c r="K1477" s="2" t="inlineStr">
        <is>
          <t>marker_127_795622.png</t>
        </is>
      </c>
      <c r="L1477" s="11">
        <f>HYPERLINK("2\1\" &amp; K1477, "Ver Imagen")</f>
        <v/>
      </c>
      <c r="M1477" t="inlineStr">
        <is>
          <t>Moda</t>
        </is>
      </c>
    </row>
    <row r="1478">
      <c r="A1478" t="n">
        <v>1477</v>
      </c>
      <c r="B1478" t="inlineStr">
        <is>
          <t>A-499__183</t>
        </is>
      </c>
      <c r="C1478" s="1" t="n">
        <v>37.5147388203</v>
      </c>
      <c r="D1478" s="1" t="n">
        <v>-7.2688362828</v>
      </c>
      <c r="E1478" s="3" t="n">
        <v>2</v>
      </c>
      <c r="F1478" s="2" t="n">
        <v>1</v>
      </c>
      <c r="G1478" s="4" t="n">
        <v>2</v>
      </c>
      <c r="H1478" s="13" t="n"/>
      <c r="I1478" s="15" t="n"/>
      <c r="J1478" s="19" t="n">
        <v>2</v>
      </c>
      <c r="K1478" s="2" t="inlineStr">
        <is>
          <t>marker_281_795664.png</t>
        </is>
      </c>
      <c r="L1478" s="11">
        <f>HYPERLINK("2\1\" &amp; K1478, "Ver Imagen")</f>
        <v/>
      </c>
      <c r="M1478" t="inlineStr">
        <is>
          <t>Moda</t>
        </is>
      </c>
    </row>
    <row r="1479">
      <c r="A1479" t="n">
        <v>1478</v>
      </c>
      <c r="B1479" t="inlineStr">
        <is>
          <t>A-499__187</t>
        </is>
      </c>
      <c r="C1479" s="1" t="n">
        <v>37.5154281103</v>
      </c>
      <c r="D1479" s="1" t="n">
        <v>-7.26841481777</v>
      </c>
      <c r="E1479" s="3" t="n">
        <v>2</v>
      </c>
      <c r="F1479" s="2" t="n">
        <v>1</v>
      </c>
      <c r="G1479" s="4" t="n">
        <v>2</v>
      </c>
      <c r="H1479" s="13" t="n"/>
      <c r="I1479" s="15" t="n"/>
      <c r="J1479" s="19" t="n">
        <v>2</v>
      </c>
      <c r="K1479" s="2" t="inlineStr">
        <is>
          <t>marker_102_795763.png</t>
        </is>
      </c>
      <c r="L1479" s="11">
        <f>HYPERLINK("2\1\" &amp; K1479, "Ver Imagen")</f>
        <v/>
      </c>
      <c r="M1479" t="inlineStr">
        <is>
          <t>Moda</t>
        </is>
      </c>
    </row>
    <row r="1480">
      <c r="A1480" t="n">
        <v>1479</v>
      </c>
      <c r="B1480" t="inlineStr">
        <is>
          <t>A-499__190</t>
        </is>
      </c>
      <c r="C1480" s="1" t="n">
        <v>37.5158828436</v>
      </c>
      <c r="D1480" s="1" t="n">
        <v>-7.26791567397</v>
      </c>
      <c r="E1480" s="3" t="n">
        <v>2</v>
      </c>
      <c r="F1480" s="2" t="n">
        <v>1</v>
      </c>
      <c r="G1480" s="4" t="n">
        <v>2</v>
      </c>
      <c r="H1480" s="13" t="n"/>
      <c r="I1480" s="15" t="n"/>
      <c r="J1480" s="19" t="n">
        <v>2</v>
      </c>
      <c r="K1480" s="2" t="inlineStr">
        <is>
          <t>marker_588_795808.png</t>
        </is>
      </c>
      <c r="L1480" s="11">
        <f>HYPERLINK("2\1\" &amp; K1480, "Ver Imagen")</f>
        <v/>
      </c>
      <c r="M1480" t="inlineStr">
        <is>
          <t>Moda</t>
        </is>
      </c>
    </row>
    <row r="1481">
      <c r="A1481" t="n">
        <v>1480</v>
      </c>
      <c r="B1481" t="inlineStr">
        <is>
          <t>A-499__191</t>
        </is>
      </c>
      <c r="C1481" s="1" t="n">
        <v>37.5160308506</v>
      </c>
      <c r="D1481" s="1" t="n">
        <v>-7.26769900429</v>
      </c>
      <c r="E1481" s="3" t="n">
        <v>2</v>
      </c>
      <c r="F1481" s="2" t="n">
        <v>1</v>
      </c>
      <c r="G1481" s="4" t="n">
        <v>2</v>
      </c>
      <c r="H1481" s="13" t="n"/>
      <c r="I1481" s="15" t="n"/>
      <c r="J1481" s="19" t="n">
        <v>2</v>
      </c>
      <c r="K1481" s="2" t="inlineStr">
        <is>
          <t>marker_645_795824.png</t>
        </is>
      </c>
      <c r="L1481" s="11">
        <f>HYPERLINK("2\1\" &amp; K1481, "Ver Imagen")</f>
        <v/>
      </c>
      <c r="M1481" t="inlineStr">
        <is>
          <t>Moda</t>
        </is>
      </c>
    </row>
    <row r="1482">
      <c r="A1482" t="n">
        <v>1481</v>
      </c>
      <c r="B1482" t="inlineStr">
        <is>
          <t>A-499__192</t>
        </is>
      </c>
      <c r="C1482" s="1" t="n">
        <v>37.5161554175</v>
      </c>
      <c r="D1482" s="1" t="n">
        <v>-7.26749129919</v>
      </c>
      <c r="E1482" s="3" t="n">
        <v>2</v>
      </c>
      <c r="F1482" s="2" t="n">
        <v>1</v>
      </c>
      <c r="G1482" s="4" t="n">
        <v>2</v>
      </c>
      <c r="H1482" s="13" t="n"/>
      <c r="I1482" s="15" t="n"/>
      <c r="J1482" s="19" t="n">
        <v>2</v>
      </c>
      <c r="K1482" s="2" t="inlineStr">
        <is>
          <t>marker_763_795845.png</t>
        </is>
      </c>
      <c r="L1482" s="11">
        <f>HYPERLINK("2\1\" &amp; K1482, "Ver Imagen")</f>
        <v/>
      </c>
      <c r="M1482" t="inlineStr">
        <is>
          <t>Moda</t>
        </is>
      </c>
    </row>
    <row r="1483">
      <c r="A1483" t="n">
        <v>1482</v>
      </c>
      <c r="B1483" t="inlineStr">
        <is>
          <t>A-499__193</t>
        </is>
      </c>
      <c r="C1483" s="1" t="n">
        <v>37.516280141</v>
      </c>
      <c r="D1483" s="1" t="n">
        <v>-7.26726377497</v>
      </c>
      <c r="E1483" s="3" t="n">
        <v>2</v>
      </c>
      <c r="F1483" s="2" t="n">
        <v>1</v>
      </c>
      <c r="G1483" s="4" t="n">
        <v>2</v>
      </c>
      <c r="H1483" s="13" t="n"/>
      <c r="I1483" s="15" t="n"/>
      <c r="J1483" s="19" t="n">
        <v>2</v>
      </c>
      <c r="K1483" s="2" t="inlineStr">
        <is>
          <t>marker_144_795857.png</t>
        </is>
      </c>
      <c r="L1483" s="11">
        <f>HYPERLINK("2\1\" &amp; K1483, "Ver Imagen")</f>
        <v/>
      </c>
      <c r="M1483" t="inlineStr">
        <is>
          <t>Moda</t>
        </is>
      </c>
    </row>
    <row r="1484">
      <c r="A1484" t="n">
        <v>1483</v>
      </c>
      <c r="B1484" t="inlineStr">
        <is>
          <t>A-499__201</t>
        </is>
      </c>
      <c r="C1484" s="1" t="n">
        <v>37.5171473573</v>
      </c>
      <c r="D1484" s="1" t="n">
        <v>-7.26557498674</v>
      </c>
      <c r="E1484" s="3" t="n">
        <v>2</v>
      </c>
      <c r="F1484" s="2" t="n">
        <v>1</v>
      </c>
      <c r="G1484" s="4" t="n">
        <v>2</v>
      </c>
      <c r="H1484" s="13" t="n"/>
      <c r="I1484" s="15" t="n"/>
      <c r="J1484" s="19" t="n">
        <v>2</v>
      </c>
      <c r="K1484" s="2" t="inlineStr">
        <is>
          <t>marker_465_796099.png</t>
        </is>
      </c>
      <c r="L1484" s="11">
        <f>HYPERLINK("2\1\" &amp; K1484, "Ver Imagen")</f>
        <v/>
      </c>
      <c r="M1484" t="inlineStr">
        <is>
          <t>Moda</t>
        </is>
      </c>
    </row>
    <row r="1485">
      <c r="A1485" t="n">
        <v>1484</v>
      </c>
      <c r="B1485" t="inlineStr">
        <is>
          <t>A-499__202</t>
        </is>
      </c>
      <c r="C1485" s="1" t="n">
        <v>37.5172661501</v>
      </c>
      <c r="D1485" s="1" t="n">
        <v>-7.26534206004</v>
      </c>
      <c r="E1485" s="3" t="n">
        <v>2</v>
      </c>
      <c r="F1485" s="2" t="n">
        <v>1</v>
      </c>
      <c r="G1485" s="4" t="n">
        <v>2</v>
      </c>
      <c r="H1485" s="13" t="n"/>
      <c r="I1485" s="15" t="n"/>
      <c r="J1485" s="19" t="n">
        <v>2</v>
      </c>
      <c r="K1485" s="2" t="inlineStr">
        <is>
          <t>marker_944_796111.png</t>
        </is>
      </c>
      <c r="L1485" s="11">
        <f>HYPERLINK("2\1\" &amp; K1485, "Ver Imagen")</f>
        <v/>
      </c>
      <c r="M1485" t="inlineStr">
        <is>
          <t>Moda</t>
        </is>
      </c>
    </row>
    <row r="1486">
      <c r="A1486" t="n">
        <v>1485</v>
      </c>
      <c r="B1486" t="inlineStr">
        <is>
          <t>A-499__203</t>
        </is>
      </c>
      <c r="C1486" s="1" t="n">
        <v>37.5173871975</v>
      </c>
      <c r="D1486" s="1" t="n">
        <v>-7.26510459131</v>
      </c>
      <c r="E1486" s="3" t="n">
        <v>2</v>
      </c>
      <c r="F1486" s="2" t="n">
        <v>1</v>
      </c>
      <c r="G1486" s="4" t="n">
        <v>2</v>
      </c>
      <c r="H1486" s="13" t="n"/>
      <c r="I1486" s="15" t="n"/>
      <c r="J1486" s="19" t="n">
        <v>2</v>
      </c>
      <c r="K1486" s="2" t="inlineStr">
        <is>
          <t>marker_591_796130.png</t>
        </is>
      </c>
      <c r="L1486" s="11">
        <f>HYPERLINK("2\1\" &amp; K1486, "Ver Imagen")</f>
        <v/>
      </c>
      <c r="M1486" t="inlineStr">
        <is>
          <t>Moda</t>
        </is>
      </c>
    </row>
    <row r="1487">
      <c r="A1487" t="n">
        <v>1486</v>
      </c>
      <c r="B1487" t="inlineStr">
        <is>
          <t>A-499__204</t>
        </is>
      </c>
      <c r="C1487" s="1" t="n">
        <v>37.5174795088</v>
      </c>
      <c r="D1487" s="1" t="n">
        <v>-7.26492320547</v>
      </c>
      <c r="E1487" s="3" t="n">
        <v>2</v>
      </c>
      <c r="F1487" s="2" t="n">
        <v>3</v>
      </c>
      <c r="G1487" s="4" t="n">
        <v>2</v>
      </c>
      <c r="H1487" s="13" t="n"/>
      <c r="I1487" s="15" t="n"/>
      <c r="J1487" s="19" t="n">
        <v>2</v>
      </c>
      <c r="K1487" s="2" t="inlineStr">
        <is>
          <t>marker_917_796196.png</t>
        </is>
      </c>
      <c r="L1487" s="11">
        <f>HYPERLINK("2\1\" &amp; K1487, "Ver Imagen")</f>
        <v/>
      </c>
      <c r="M1487" t="inlineStr">
        <is>
          <t>Moda</t>
        </is>
      </c>
    </row>
    <row r="1488">
      <c r="A1488" t="n">
        <v>1487</v>
      </c>
      <c r="B1488" t="inlineStr">
        <is>
          <t>A-499__205</t>
        </is>
      </c>
      <c r="C1488" s="1" t="n">
        <v>37.5175782417</v>
      </c>
      <c r="D1488" s="1" t="n">
        <v>-7.26472931846</v>
      </c>
      <c r="E1488" s="3" t="n">
        <v>2</v>
      </c>
      <c r="F1488" s="2" t="n">
        <v>1</v>
      </c>
      <c r="G1488" s="4" t="n">
        <v>2</v>
      </c>
      <c r="H1488" s="13" t="n"/>
      <c r="I1488" s="15" t="n"/>
      <c r="J1488" s="19" t="n">
        <v>2</v>
      </c>
      <c r="K1488" s="2" t="inlineStr">
        <is>
          <t>marker_186_796212.png</t>
        </is>
      </c>
      <c r="L1488" s="11">
        <f>HYPERLINK("2\1\" &amp; K1488, "Ver Imagen")</f>
        <v/>
      </c>
      <c r="M1488" t="inlineStr">
        <is>
          <t>Moda</t>
        </is>
      </c>
    </row>
    <row r="1489">
      <c r="A1489" t="n">
        <v>1488</v>
      </c>
      <c r="B1489" t="inlineStr">
        <is>
          <t>A-499__213</t>
        </is>
      </c>
      <c r="C1489" s="1" t="n">
        <v>37.5184556442</v>
      </c>
      <c r="D1489" s="1" t="n">
        <v>-7.26301412614</v>
      </c>
      <c r="E1489" s="3" t="n">
        <v>2</v>
      </c>
      <c r="F1489" s="2" t="n">
        <v>1</v>
      </c>
      <c r="G1489" s="4" t="n">
        <v>2</v>
      </c>
      <c r="H1489" s="13" t="n"/>
      <c r="I1489" s="15" t="n"/>
      <c r="J1489" s="19" t="n">
        <v>2</v>
      </c>
      <c r="K1489" s="2" t="inlineStr">
        <is>
          <t>marker_690_796349.png</t>
        </is>
      </c>
      <c r="L1489" s="11">
        <f>HYPERLINK("2\1\" &amp; K1489, "Ver Imagen")</f>
        <v/>
      </c>
      <c r="M1489" t="inlineStr">
        <is>
          <t>Moda</t>
        </is>
      </c>
    </row>
    <row r="1490">
      <c r="A1490" t="n">
        <v>1489</v>
      </c>
      <c r="B1490" t="inlineStr">
        <is>
          <t>A-499__214</t>
        </is>
      </c>
      <c r="C1490" s="1" t="n">
        <v>37.5185694159</v>
      </c>
      <c r="D1490" s="1" t="n">
        <v>-7.26281225456</v>
      </c>
      <c r="E1490" s="3" t="n">
        <v>2</v>
      </c>
      <c r="F1490" s="2" t="n">
        <v>2</v>
      </c>
      <c r="G1490" s="4" t="n">
        <v>3</v>
      </c>
      <c r="H1490" s="13" t="n"/>
      <c r="I1490" s="15" t="n"/>
      <c r="J1490" s="19" t="n">
        <v>2</v>
      </c>
      <c r="K1490" s="2" t="inlineStr">
        <is>
          <t>marker_971_796399.png</t>
        </is>
      </c>
      <c r="L1490" s="11">
        <f>HYPERLINK("2\1\" &amp; K1490, "Ver Imagen")</f>
        <v/>
      </c>
      <c r="M1490" t="inlineStr">
        <is>
          <t>Moda</t>
        </is>
      </c>
    </row>
    <row r="1491">
      <c r="A1491" t="n">
        <v>1490</v>
      </c>
      <c r="B1491" t="inlineStr">
        <is>
          <t>A-499__216</t>
        </is>
      </c>
      <c r="C1491" s="1" t="n">
        <v>37.5188272777</v>
      </c>
      <c r="D1491" s="1" t="n">
        <v>-7.26242984376</v>
      </c>
      <c r="E1491" s="3" t="n">
        <v>2</v>
      </c>
      <c r="F1491" s="2" t="n">
        <v>1</v>
      </c>
      <c r="G1491" s="4" t="n">
        <v>2</v>
      </c>
      <c r="H1491" s="13" t="n"/>
      <c r="I1491" s="15" t="n"/>
      <c r="J1491" s="19" t="n">
        <v>2</v>
      </c>
      <c r="K1491" s="2" t="inlineStr">
        <is>
          <t>marker_367_796423.png</t>
        </is>
      </c>
      <c r="L1491" s="11">
        <f>HYPERLINK("2\1\" &amp; K1491, "Ver Imagen")</f>
        <v/>
      </c>
      <c r="M1491" t="inlineStr">
        <is>
          <t>Moda</t>
        </is>
      </c>
    </row>
    <row r="1492">
      <c r="A1492" t="n">
        <v>1491</v>
      </c>
      <c r="B1492" t="inlineStr">
        <is>
          <t>A-499__218</t>
        </is>
      </c>
      <c r="C1492" s="1" t="n">
        <v>37.5191292747</v>
      </c>
      <c r="D1492" s="1" t="n">
        <v>-7.2620838752</v>
      </c>
      <c r="E1492" s="3" t="n">
        <v>2</v>
      </c>
      <c r="F1492" s="2" t="n">
        <v>1</v>
      </c>
      <c r="G1492" s="4" t="n">
        <v>2</v>
      </c>
      <c r="H1492" s="13" t="n"/>
      <c r="I1492" s="15" t="n"/>
      <c r="J1492" s="19" t="n">
        <v>2</v>
      </c>
      <c r="K1492" s="2" t="inlineStr">
        <is>
          <t>marker_996_796446.png</t>
        </is>
      </c>
      <c r="L1492" s="11">
        <f>HYPERLINK("2\1\" &amp; K1492, "Ver Imagen")</f>
        <v/>
      </c>
      <c r="M1492" t="inlineStr">
        <is>
          <t>Moda</t>
        </is>
      </c>
    </row>
    <row r="1493">
      <c r="A1493" t="n">
        <v>1492</v>
      </c>
      <c r="B1493" t="inlineStr">
        <is>
          <t>A-499__220</t>
        </is>
      </c>
      <c r="C1493" s="1" t="n">
        <v>37.5194419341</v>
      </c>
      <c r="D1493" s="1" t="n">
        <v>-7.26177644757</v>
      </c>
      <c r="E1493" s="3" t="n">
        <v>2</v>
      </c>
      <c r="F1493" s="2" t="n">
        <v>1</v>
      </c>
      <c r="G1493" s="4" t="n">
        <v>2</v>
      </c>
      <c r="H1493" s="13" t="n"/>
      <c r="I1493" s="15" t="n"/>
      <c r="J1493" s="19" t="n">
        <v>2</v>
      </c>
      <c r="K1493" s="2" t="inlineStr">
        <is>
          <t>marker_526_796470.png</t>
        </is>
      </c>
      <c r="L1493" s="11">
        <f>HYPERLINK("2\1\" &amp; K1493, "Ver Imagen")</f>
        <v/>
      </c>
      <c r="M1493" t="inlineStr">
        <is>
          <t>Moda</t>
        </is>
      </c>
    </row>
    <row r="1494">
      <c r="A1494" t="n">
        <v>1493</v>
      </c>
      <c r="B1494" t="inlineStr">
        <is>
          <t>A-499__224</t>
        </is>
      </c>
      <c r="C1494" s="1" t="n">
        <v>37.5201026188</v>
      </c>
      <c r="D1494" s="1" t="n">
        <v>-7.26115969782</v>
      </c>
      <c r="E1494" s="3" t="n">
        <v>2</v>
      </c>
      <c r="F1494" s="2" t="n">
        <v>2</v>
      </c>
      <c r="G1494" s="4" t="n">
        <v>3</v>
      </c>
      <c r="H1494" s="13" t="n"/>
      <c r="I1494" s="15" t="n"/>
      <c r="J1494" s="19" t="n">
        <v>2</v>
      </c>
      <c r="K1494" s="2" t="inlineStr">
        <is>
          <t>marker_770_796530.png</t>
        </is>
      </c>
      <c r="L1494" s="11">
        <f>HYPERLINK("2\1\" &amp; K1494, "Ver Imagen")</f>
        <v/>
      </c>
      <c r="M1494" t="inlineStr">
        <is>
          <t>Moda</t>
        </is>
      </c>
    </row>
    <row r="1495">
      <c r="A1495" t="n">
        <v>1494</v>
      </c>
      <c r="B1495" t="inlineStr">
        <is>
          <t>A-499__226</t>
        </is>
      </c>
      <c r="C1495" s="1" t="n">
        <v>37.5204288405</v>
      </c>
      <c r="D1495" s="1" t="n">
        <v>-7.26085318472</v>
      </c>
      <c r="E1495" s="3" t="n">
        <v>2</v>
      </c>
      <c r="F1495" s="2" t="n">
        <v>1</v>
      </c>
      <c r="G1495" s="4" t="n">
        <v>2</v>
      </c>
      <c r="H1495" s="13" t="n"/>
      <c r="I1495" s="15" t="n"/>
      <c r="J1495" s="19" t="n">
        <v>2</v>
      </c>
      <c r="K1495" s="2" t="inlineStr">
        <is>
          <t>marker_957_796562.png</t>
        </is>
      </c>
      <c r="L1495" s="11">
        <f>HYPERLINK("2\1\" &amp; K1495, "Ver Imagen")</f>
        <v/>
      </c>
      <c r="M1495" t="inlineStr">
        <is>
          <t>Moda</t>
        </is>
      </c>
    </row>
    <row r="1496">
      <c r="A1496" t="n">
        <v>1495</v>
      </c>
      <c r="B1496" t="inlineStr">
        <is>
          <t>A-499__228</t>
        </is>
      </c>
      <c r="C1496" s="1" t="n">
        <v>37.5207306967</v>
      </c>
      <c r="D1496" s="1" t="n">
        <v>-7.26056876802</v>
      </c>
      <c r="E1496" s="3" t="n">
        <v>2</v>
      </c>
      <c r="F1496" s="2" t="n">
        <v>2</v>
      </c>
      <c r="G1496" s="4" t="n">
        <v>3</v>
      </c>
      <c r="H1496" s="13" t="n"/>
      <c r="I1496" s="15" t="n"/>
      <c r="J1496" s="19" t="n">
        <v>2</v>
      </c>
      <c r="K1496" s="2" t="inlineStr">
        <is>
          <t>marker_423_796593.png</t>
        </is>
      </c>
      <c r="L1496" s="11">
        <f>HYPERLINK("2\1\" &amp; K1496, "Ver Imagen")</f>
        <v/>
      </c>
      <c r="M1496" t="inlineStr">
        <is>
          <t>Moda</t>
        </is>
      </c>
    </row>
    <row r="1497">
      <c r="A1497" t="n">
        <v>1496</v>
      </c>
      <c r="B1497" t="inlineStr">
        <is>
          <t>A-497_2C__32</t>
        </is>
      </c>
      <c r="C1497" s="1" t="n">
        <v>37.2676726537</v>
      </c>
      <c r="D1497" s="1" t="n">
        <v>-6.96509702729</v>
      </c>
      <c r="E1497" s="3" t="n">
        <v>2</v>
      </c>
      <c r="F1497" s="2" t="n">
        <v>2</v>
      </c>
      <c r="G1497" s="4" t="n">
        <v>3</v>
      </c>
      <c r="H1497" s="13" t="n"/>
      <c r="I1497" s="15" t="n"/>
      <c r="J1497" s="19" t="n">
        <v>2</v>
      </c>
      <c r="K1497" s="2" t="inlineStr">
        <is>
          <t>marker_670_654508.png</t>
        </is>
      </c>
      <c r="L1497" s="11">
        <f>HYPERLINK("2\1\" &amp; K1497, "Ver Imagen")</f>
        <v/>
      </c>
      <c r="M1497" t="inlineStr">
        <is>
          <t>Moda</t>
        </is>
      </c>
    </row>
    <row r="1498">
      <c r="A1498" t="n">
        <v>1497</v>
      </c>
      <c r="B1498" t="inlineStr">
        <is>
          <t>A-499__230</t>
        </is>
      </c>
      <c r="C1498" s="1" t="n">
        <v>37.5210691684</v>
      </c>
      <c r="D1498" s="1" t="n">
        <v>-7.26025083941</v>
      </c>
      <c r="E1498" s="3" t="n">
        <v>2</v>
      </c>
      <c r="F1498" s="2" t="n">
        <v>1</v>
      </c>
      <c r="G1498" s="4" t="n">
        <v>2</v>
      </c>
      <c r="H1498" s="13" t="n"/>
      <c r="I1498" s="15" t="n"/>
      <c r="J1498" s="19" t="n">
        <v>2</v>
      </c>
      <c r="K1498" s="2" t="inlineStr">
        <is>
          <t>marker_697_796624.png</t>
        </is>
      </c>
      <c r="L1498" s="11">
        <f>HYPERLINK("2\1\" &amp; K1498, "Ver Imagen")</f>
        <v/>
      </c>
      <c r="M1498" t="inlineStr">
        <is>
          <t>Moda</t>
        </is>
      </c>
    </row>
    <row r="1499">
      <c r="A1499" t="n">
        <v>1498</v>
      </c>
      <c r="B1499" t="inlineStr">
        <is>
          <t>A-499__231</t>
        </is>
      </c>
      <c r="C1499" s="1" t="n">
        <v>37.521232986</v>
      </c>
      <c r="D1499" s="1" t="n">
        <v>-7.26010158326</v>
      </c>
      <c r="E1499" s="3" t="n">
        <v>2</v>
      </c>
      <c r="F1499" s="2" t="n">
        <v>1</v>
      </c>
      <c r="G1499" s="4" t="n">
        <v>2</v>
      </c>
      <c r="H1499" s="13" t="n"/>
      <c r="I1499" s="15" t="n"/>
      <c r="J1499" s="19" t="n">
        <v>2</v>
      </c>
      <c r="K1499" s="2" t="inlineStr">
        <is>
          <t>marker_815_796659.png</t>
        </is>
      </c>
      <c r="L1499" s="11">
        <f>HYPERLINK("2\1\" &amp; K1499, "Ver Imagen")</f>
        <v/>
      </c>
      <c r="M1499" t="inlineStr">
        <is>
          <t>Moda</t>
        </is>
      </c>
    </row>
    <row r="1500">
      <c r="A1500" t="n">
        <v>1499</v>
      </c>
      <c r="B1500" t="inlineStr">
        <is>
          <t>A-499__233</t>
        </is>
      </c>
      <c r="C1500" s="1" t="n">
        <v>37.5215709666</v>
      </c>
      <c r="D1500" s="1" t="n">
        <v>-7.25982849554</v>
      </c>
      <c r="E1500" s="3" t="n">
        <v>2</v>
      </c>
      <c r="F1500" s="2" t="n">
        <v>1</v>
      </c>
      <c r="G1500" s="4" t="n">
        <v>2</v>
      </c>
      <c r="H1500" s="13" t="n"/>
      <c r="I1500" s="15" t="n"/>
      <c r="J1500" s="19" t="n">
        <v>2</v>
      </c>
      <c r="K1500" s="2" t="inlineStr">
        <is>
          <t>marker_763_796680.png</t>
        </is>
      </c>
      <c r="L1500" s="11">
        <f>HYPERLINK("2\1\" &amp; K1500, "Ver Imagen")</f>
        <v/>
      </c>
      <c r="M1500" t="inlineStr">
        <is>
          <t>Moda</t>
        </is>
      </c>
    </row>
    <row r="1501">
      <c r="A1501" t="n">
        <v>1500</v>
      </c>
      <c r="B1501" t="inlineStr">
        <is>
          <t>A-499__237</t>
        </is>
      </c>
      <c r="C1501" s="1" t="n">
        <v>37.5223111793</v>
      </c>
      <c r="D1501" s="1" t="n">
        <v>-7.25941656659</v>
      </c>
      <c r="E1501" s="3" t="n">
        <v>2</v>
      </c>
      <c r="F1501" s="2" t="n">
        <v>1</v>
      </c>
      <c r="G1501" s="4" t="n">
        <v>2</v>
      </c>
      <c r="H1501" s="13" t="n"/>
      <c r="I1501" s="15" t="n"/>
      <c r="J1501" s="19" t="n">
        <v>2</v>
      </c>
      <c r="K1501" s="2" t="inlineStr">
        <is>
          <t>marker_690_796740.png</t>
        </is>
      </c>
      <c r="L1501" s="11">
        <f>HYPERLINK("2\1\" &amp; K1501, "Ver Imagen")</f>
        <v/>
      </c>
      <c r="M1501" t="inlineStr">
        <is>
          <t>Moda</t>
        </is>
      </c>
    </row>
    <row r="1502">
      <c r="A1502" t="n">
        <v>1501</v>
      </c>
      <c r="B1502" t="inlineStr">
        <is>
          <t>A-499__238</t>
        </is>
      </c>
      <c r="C1502" s="1" t="n">
        <v>37.5225085349</v>
      </c>
      <c r="D1502" s="1" t="n">
        <v>-7.25933998628</v>
      </c>
      <c r="E1502" s="3" t="n">
        <v>2</v>
      </c>
      <c r="F1502" s="2" t="n">
        <v>2</v>
      </c>
      <c r="G1502" s="4" t="n">
        <v>3</v>
      </c>
      <c r="H1502" s="13" t="n"/>
      <c r="I1502" s="15" t="n"/>
      <c r="J1502" s="19" t="n">
        <v>2</v>
      </c>
      <c r="K1502" s="2" t="inlineStr">
        <is>
          <t>marker_916_796779.png</t>
        </is>
      </c>
      <c r="L1502" s="11">
        <f>HYPERLINK("2\1\" &amp; K1502, "Ver Imagen")</f>
        <v/>
      </c>
      <c r="M1502" t="inlineStr">
        <is>
          <t>Moda</t>
        </is>
      </c>
    </row>
    <row r="1503">
      <c r="A1503" t="n">
        <v>1502</v>
      </c>
      <c r="B1503" t="inlineStr">
        <is>
          <t>A-499__242</t>
        </is>
      </c>
      <c r="C1503" s="1" t="n">
        <v>37.5232853619</v>
      </c>
      <c r="D1503" s="1" t="n">
        <v>-7.25904054209</v>
      </c>
      <c r="E1503" s="3" t="n">
        <v>2</v>
      </c>
      <c r="F1503" s="2" t="n">
        <v>1</v>
      </c>
      <c r="G1503" s="4" t="n">
        <v>2</v>
      </c>
      <c r="H1503" s="13" t="n"/>
      <c r="I1503" s="15" t="n"/>
      <c r="J1503" s="19" t="n">
        <v>2</v>
      </c>
      <c r="K1503" s="2" t="inlineStr">
        <is>
          <t>marker_100_796895.png</t>
        </is>
      </c>
      <c r="L1503" s="11">
        <f>HYPERLINK("2\1\" &amp; K1503, "Ver Imagen")</f>
        <v/>
      </c>
      <c r="M1503" t="inlineStr">
        <is>
          <t>Moda</t>
        </is>
      </c>
    </row>
    <row r="1504">
      <c r="A1504" t="n">
        <v>1503</v>
      </c>
      <c r="B1504" t="inlineStr">
        <is>
          <t>A-497_2C__51</t>
        </is>
      </c>
      <c r="C1504" s="1" t="n">
        <v>37.2680127653</v>
      </c>
      <c r="D1504" s="1" t="n">
        <v>-6.96988327855</v>
      </c>
      <c r="E1504" s="3" t="n">
        <v>2</v>
      </c>
      <c r="F1504" s="2" t="n">
        <v>3</v>
      </c>
      <c r="G1504" s="4" t="n">
        <v>2</v>
      </c>
      <c r="H1504" s="13" t="n"/>
      <c r="I1504" s="15" t="n"/>
      <c r="J1504" s="19" t="n">
        <v>2</v>
      </c>
      <c r="K1504" s="2" t="inlineStr">
        <is>
          <t>marker_878_654763.png</t>
        </is>
      </c>
      <c r="L1504" s="11">
        <f>HYPERLINK("2\1\" &amp; K1504, "Ver Imagen")</f>
        <v/>
      </c>
      <c r="M1504" t="inlineStr">
        <is>
          <t>Moda</t>
        </is>
      </c>
    </row>
    <row r="1505">
      <c r="A1505" t="n">
        <v>1504</v>
      </c>
      <c r="B1505" t="inlineStr">
        <is>
          <t>A-499__245</t>
        </is>
      </c>
      <c r="C1505" s="1" t="n">
        <v>37.5238274379</v>
      </c>
      <c r="D1505" s="1" t="n">
        <v>-7.25870002215</v>
      </c>
      <c r="E1505" s="3" t="n">
        <v>2</v>
      </c>
      <c r="F1505" s="2" t="n">
        <v>3</v>
      </c>
      <c r="G1505" s="4" t="n">
        <v>2</v>
      </c>
      <c r="H1505" s="13" t="n"/>
      <c r="I1505" s="15" t="n"/>
      <c r="J1505" s="19" t="n">
        <v>2</v>
      </c>
      <c r="K1505" s="2" t="inlineStr">
        <is>
          <t>marker_615_796930.png</t>
        </is>
      </c>
      <c r="L1505" s="11">
        <f>HYPERLINK("2\1\" &amp; K1505, "Ver Imagen")</f>
        <v/>
      </c>
      <c r="M1505" t="inlineStr">
        <is>
          <t>Moda</t>
        </is>
      </c>
    </row>
    <row r="1506">
      <c r="A1506" t="n">
        <v>1505</v>
      </c>
      <c r="B1506" t="inlineStr">
        <is>
          <t>A-499__246</t>
        </is>
      </c>
      <c r="C1506" s="1" t="n">
        <v>37.5240045437</v>
      </c>
      <c r="D1506" s="1" t="n">
        <v>-7.25854947512</v>
      </c>
      <c r="E1506" s="3" t="n">
        <v>2</v>
      </c>
      <c r="F1506" s="2" t="n">
        <v>3</v>
      </c>
      <c r="G1506" s="4" t="n">
        <v>2</v>
      </c>
      <c r="H1506" s="13" t="n"/>
      <c r="I1506" s="15" t="n"/>
      <c r="J1506" s="19" t="n">
        <v>2</v>
      </c>
      <c r="K1506" s="2" t="inlineStr">
        <is>
          <t>marker_654_796951.png</t>
        </is>
      </c>
      <c r="L1506" s="11">
        <f>HYPERLINK("2\1\" &amp; K1506, "Ver Imagen")</f>
        <v/>
      </c>
      <c r="M1506" t="inlineStr">
        <is>
          <t>Moda</t>
        </is>
      </c>
    </row>
    <row r="1507">
      <c r="A1507" t="n">
        <v>1506</v>
      </c>
      <c r="B1507" t="inlineStr">
        <is>
          <t>A-499__247</t>
        </is>
      </c>
      <c r="C1507" s="1" t="n">
        <v>37.5241411943</v>
      </c>
      <c r="D1507" s="1" t="n">
        <v>-7.25841663321</v>
      </c>
      <c r="E1507" s="3" t="n">
        <v>2</v>
      </c>
      <c r="F1507" s="2" t="n">
        <v>1</v>
      </c>
      <c r="G1507" s="4" t="n">
        <v>2</v>
      </c>
      <c r="H1507" s="13" t="n"/>
      <c r="I1507" s="15" t="n"/>
      <c r="J1507" s="19" t="n">
        <v>2</v>
      </c>
      <c r="K1507" s="2" t="inlineStr">
        <is>
          <t>marker_825_796961.png</t>
        </is>
      </c>
      <c r="L1507" s="11">
        <f>HYPERLINK("2\1\" &amp; K1507, "Ver Imagen")</f>
        <v/>
      </c>
      <c r="M1507" t="inlineStr">
        <is>
          <t>Moda</t>
        </is>
      </c>
    </row>
    <row r="1508">
      <c r="A1508" t="n">
        <v>1507</v>
      </c>
      <c r="B1508" t="inlineStr">
        <is>
          <t>A-499__252</t>
        </is>
      </c>
      <c r="C1508" s="1" t="n">
        <v>37.5248355106</v>
      </c>
      <c r="D1508" s="1" t="n">
        <v>-7.25747523293</v>
      </c>
      <c r="E1508" s="3" t="n">
        <v>2</v>
      </c>
      <c r="F1508" s="2" t="n">
        <v>1</v>
      </c>
      <c r="G1508" s="4" t="n">
        <v>2</v>
      </c>
      <c r="H1508" s="13" t="n"/>
      <c r="I1508" s="15" t="n"/>
      <c r="J1508" s="19" t="n">
        <v>2</v>
      </c>
      <c r="K1508" s="2" t="inlineStr">
        <is>
          <t>marker_101_797030.png</t>
        </is>
      </c>
      <c r="L1508" s="11">
        <f>HYPERLINK("2\1\" &amp; K1508, "Ver Imagen")</f>
        <v/>
      </c>
      <c r="M1508" t="inlineStr">
        <is>
          <t>Moda</t>
        </is>
      </c>
    </row>
    <row r="1509">
      <c r="A1509" t="n">
        <v>1508</v>
      </c>
      <c r="B1509" t="inlineStr">
        <is>
          <t>A-499__259</t>
        </is>
      </c>
      <c r="C1509" s="1" t="n">
        <v>37.5257279665</v>
      </c>
      <c r="D1509" s="1" t="n">
        <v>-7.2560609606</v>
      </c>
      <c r="E1509" s="3" t="n">
        <v>2</v>
      </c>
      <c r="F1509" s="2" t="n">
        <v>1</v>
      </c>
      <c r="G1509" s="4" t="n">
        <v>2</v>
      </c>
      <c r="H1509" s="13" t="n"/>
      <c r="I1509" s="15" t="n"/>
      <c r="J1509" s="19" t="n">
        <v>2</v>
      </c>
      <c r="K1509" s="2" t="inlineStr">
        <is>
          <t>marker_623_797247.png</t>
        </is>
      </c>
      <c r="L1509" s="11">
        <f>HYPERLINK("2\1\" &amp; K1509, "Ver Imagen")</f>
        <v/>
      </c>
      <c r="M1509" t="inlineStr">
        <is>
          <t>Moda</t>
        </is>
      </c>
    </row>
    <row r="1510">
      <c r="A1510" t="n">
        <v>1509</v>
      </c>
      <c r="B1510" t="inlineStr">
        <is>
          <t>A-499__261</t>
        </is>
      </c>
      <c r="C1510" s="1" t="n">
        <v>37.5260022379</v>
      </c>
      <c r="D1510" s="1" t="n">
        <v>-7.25570237512</v>
      </c>
      <c r="E1510" s="3" t="n">
        <v>2</v>
      </c>
      <c r="F1510" s="2" t="n">
        <v>1</v>
      </c>
      <c r="G1510" s="4" t="n">
        <v>2</v>
      </c>
      <c r="H1510" s="13" t="n"/>
      <c r="I1510" s="15" t="n"/>
      <c r="J1510" s="19" t="n">
        <v>2</v>
      </c>
      <c r="K1510" s="2" t="inlineStr">
        <is>
          <t>marker_578_797272.png</t>
        </is>
      </c>
      <c r="L1510" s="11">
        <f>HYPERLINK("2\1\" &amp; K1510, "Ver Imagen")</f>
        <v/>
      </c>
      <c r="M1510" t="inlineStr">
        <is>
          <t>Moda</t>
        </is>
      </c>
    </row>
    <row r="1511">
      <c r="A1511" t="n">
        <v>1510</v>
      </c>
      <c r="B1511" t="inlineStr">
        <is>
          <t>A-497_2C__95</t>
        </is>
      </c>
      <c r="C1511" s="1" t="n">
        <v>37.2704498556</v>
      </c>
      <c r="D1511" s="1" t="n">
        <v>-6.98060453292</v>
      </c>
      <c r="E1511" s="3" t="n">
        <v>2</v>
      </c>
      <c r="F1511" s="2" t="n">
        <v>3</v>
      </c>
      <c r="G1511" s="4" t="n">
        <v>2</v>
      </c>
      <c r="H1511" s="13" t="n"/>
      <c r="I1511" s="15" t="n"/>
      <c r="J1511" s="19" t="n">
        <v>2</v>
      </c>
      <c r="K1511" s="2" t="inlineStr">
        <is>
          <t>marker_859_655358.png</t>
        </is>
      </c>
      <c r="L1511" s="11">
        <f>HYPERLINK("2\1\" &amp; K1511, "Ver Imagen")</f>
        <v/>
      </c>
      <c r="M1511" t="inlineStr">
        <is>
          <t>Moda</t>
        </is>
      </c>
    </row>
    <row r="1512">
      <c r="A1512" t="n">
        <v>1511</v>
      </c>
      <c r="B1512" t="inlineStr">
        <is>
          <t>A-497_2C__98</t>
        </is>
      </c>
      <c r="C1512" s="1" t="n">
        <v>37.2706411421</v>
      </c>
      <c r="D1512" s="1" t="n">
        <v>-6.98127267822</v>
      </c>
      <c r="E1512" s="3" t="n">
        <v>2</v>
      </c>
      <c r="F1512" s="2" t="n">
        <v>3</v>
      </c>
      <c r="G1512" s="4" t="n">
        <v>2</v>
      </c>
      <c r="H1512" s="13" t="n"/>
      <c r="I1512" s="15" t="n"/>
      <c r="J1512" s="19" t="n">
        <v>2</v>
      </c>
      <c r="K1512" s="2" t="inlineStr">
        <is>
          <t>marker_963_655388.png</t>
        </is>
      </c>
      <c r="L1512" s="11">
        <f>HYPERLINK("2\1\" &amp; K1512, "Ver Imagen")</f>
        <v/>
      </c>
      <c r="M1512" t="inlineStr">
        <is>
          <t>Moda</t>
        </is>
      </c>
    </row>
    <row r="1513">
      <c r="A1513" t="n">
        <v>1512</v>
      </c>
      <c r="B1513" t="inlineStr">
        <is>
          <t>A-497_2C__125</t>
        </is>
      </c>
      <c r="C1513" s="1" t="n">
        <v>37.2716033231</v>
      </c>
      <c r="D1513" s="1" t="n">
        <v>-6.98789177447</v>
      </c>
      <c r="E1513" s="3" t="n">
        <v>2</v>
      </c>
      <c r="F1513" s="2" t="n">
        <v>3</v>
      </c>
      <c r="G1513" s="4" t="n">
        <v>2</v>
      </c>
      <c r="H1513" s="13" t="n"/>
      <c r="I1513" s="15" t="n"/>
      <c r="J1513" s="19" t="n">
        <v>2</v>
      </c>
      <c r="K1513" s="2" t="inlineStr">
        <is>
          <t>marker_308_655723.png</t>
        </is>
      </c>
      <c r="L1513" s="11">
        <f>HYPERLINK("2\1\" &amp; K1513, "Ver Imagen")</f>
        <v/>
      </c>
      <c r="M1513" t="inlineStr">
        <is>
          <t>Moda</t>
        </is>
      </c>
    </row>
    <row r="1514">
      <c r="A1514" t="n">
        <v>1513</v>
      </c>
      <c r="B1514" t="inlineStr">
        <is>
          <t>A-497_2C__126</t>
        </is>
      </c>
      <c r="C1514" s="1" t="n">
        <v>37.2714976988</v>
      </c>
      <c r="D1514" s="1" t="n">
        <v>-6.98813507234</v>
      </c>
      <c r="E1514" s="3" t="n">
        <v>2</v>
      </c>
      <c r="F1514" s="2" t="n">
        <v>1</v>
      </c>
      <c r="G1514" s="4" t="n">
        <v>2</v>
      </c>
      <c r="H1514" s="13" t="n"/>
      <c r="I1514" s="15" t="n"/>
      <c r="J1514" s="19" t="n">
        <v>2</v>
      </c>
      <c r="K1514" s="2" t="inlineStr">
        <is>
          <t>marker_118_655733.png</t>
        </is>
      </c>
      <c r="L1514" s="11">
        <f>HYPERLINK("2\1\" &amp; K1514, "Ver Imagen")</f>
        <v/>
      </c>
      <c r="M1514" t="inlineStr">
        <is>
          <t>Moda</t>
        </is>
      </c>
    </row>
    <row r="1515">
      <c r="A1515" t="n">
        <v>1514</v>
      </c>
      <c r="B1515" t="inlineStr">
        <is>
          <t>A-497_2C__146</t>
        </is>
      </c>
      <c r="C1515" s="1" t="n">
        <v>37.2681830781</v>
      </c>
      <c r="D1515" s="1" t="n">
        <v>-6.99092479946</v>
      </c>
      <c r="E1515" s="3" t="n">
        <v>2</v>
      </c>
      <c r="F1515" s="2" t="n">
        <v>3</v>
      </c>
      <c r="G1515" s="4" t="n">
        <v>2</v>
      </c>
      <c r="H1515" s="13" t="n"/>
      <c r="I1515" s="15" t="n"/>
      <c r="J1515" s="19" t="n">
        <v>2</v>
      </c>
      <c r="K1515" s="2" t="inlineStr">
        <is>
          <t>marker_577_655930.png</t>
        </is>
      </c>
      <c r="L1515" s="11">
        <f>HYPERLINK("2\1\" &amp; K1515, "Ver Imagen")</f>
        <v/>
      </c>
      <c r="M1515" t="inlineStr">
        <is>
          <t>Moda</t>
        </is>
      </c>
    </row>
    <row r="1516">
      <c r="A1516" t="n">
        <v>1515</v>
      </c>
      <c r="B1516" t="inlineStr">
        <is>
          <t>A-497_2C__150</t>
        </is>
      </c>
      <c r="C1516" s="1" t="n">
        <v>37.2674730029</v>
      </c>
      <c r="D1516" s="1" t="n">
        <v>-6.99145427812</v>
      </c>
      <c r="E1516" s="3" t="n">
        <v>2</v>
      </c>
      <c r="F1516" s="2" t="n">
        <v>3</v>
      </c>
      <c r="G1516" s="4" t="n">
        <v>2</v>
      </c>
      <c r="H1516" s="13" t="n"/>
      <c r="I1516" s="15" t="n"/>
      <c r="J1516" s="19" t="n">
        <v>2</v>
      </c>
      <c r="K1516" s="2" t="inlineStr">
        <is>
          <t>marker_850_656002.png</t>
        </is>
      </c>
      <c r="L1516" s="11">
        <f>HYPERLINK("2\1\" &amp; K1516, "Ver Imagen")</f>
        <v/>
      </c>
      <c r="M1516" t="inlineStr">
        <is>
          <t>Moda</t>
        </is>
      </c>
    </row>
    <row r="1517">
      <c r="A1517" t="n">
        <v>1516</v>
      </c>
      <c r="B1517" t="inlineStr">
        <is>
          <t>A-497_2C__157</t>
        </is>
      </c>
      <c r="C1517" s="1" t="n">
        <v>37.2664653984</v>
      </c>
      <c r="D1517" s="1" t="n">
        <v>-6.99265408919</v>
      </c>
      <c r="E1517" s="3" t="n">
        <v>2</v>
      </c>
      <c r="F1517" s="2" t="n">
        <v>3</v>
      </c>
      <c r="G1517" s="4" t="n">
        <v>2</v>
      </c>
      <c r="H1517" s="13" t="n"/>
      <c r="I1517" s="15" t="n"/>
      <c r="J1517" s="19" t="n">
        <v>2</v>
      </c>
      <c r="K1517" s="2" t="inlineStr">
        <is>
          <t>marker_135_656076.png</t>
        </is>
      </c>
      <c r="L1517" s="11">
        <f>HYPERLINK("2\1\" &amp; K1517, "Ver Imagen")</f>
        <v/>
      </c>
      <c r="M1517" t="inlineStr">
        <is>
          <t>Moda</t>
        </is>
      </c>
    </row>
    <row r="1518">
      <c r="A1518" t="n">
        <v>1517</v>
      </c>
      <c r="B1518" t="inlineStr">
        <is>
          <t>A-497__734</t>
        </is>
      </c>
      <c r="C1518" s="1" t="n">
        <v>37.190145812</v>
      </c>
      <c r="D1518" s="1" t="n">
        <v>-6.97791923418</v>
      </c>
      <c r="E1518" s="3" t="n">
        <v>2</v>
      </c>
      <c r="F1518" s="2" t="n">
        <v>3</v>
      </c>
      <c r="G1518" s="4" t="n">
        <v>2</v>
      </c>
      <c r="H1518" s="13" t="n"/>
      <c r="I1518" s="15" t="n"/>
      <c r="J1518" s="19" t="n">
        <v>2</v>
      </c>
      <c r="K1518" s="2" t="inlineStr">
        <is>
          <t>marker_864_368904.png</t>
        </is>
      </c>
      <c r="L1518" s="11">
        <f>HYPERLINK("2\1\" &amp; K1518, "Ver Imagen")</f>
        <v/>
      </c>
      <c r="M1518" t="inlineStr">
        <is>
          <t>Moda</t>
        </is>
      </c>
    </row>
    <row r="1519">
      <c r="A1519" t="n">
        <v>1518</v>
      </c>
      <c r="B1519" t="inlineStr">
        <is>
          <t>A-497__731</t>
        </is>
      </c>
      <c r="C1519" s="1" t="n">
        <v>37.1907560831</v>
      </c>
      <c r="D1519" s="1" t="n">
        <v>-6.97776404147</v>
      </c>
      <c r="E1519" s="3" t="n">
        <v>2</v>
      </c>
      <c r="F1519" s="2" t="n">
        <v>3</v>
      </c>
      <c r="G1519" s="4" t="n">
        <v>2</v>
      </c>
      <c r="H1519" s="13" t="n"/>
      <c r="I1519" s="15" t="n"/>
      <c r="J1519" s="19" t="n">
        <v>2</v>
      </c>
      <c r="K1519" s="2" t="inlineStr">
        <is>
          <t>marker_988_368936.png</t>
        </is>
      </c>
      <c r="L1519" s="11">
        <f>HYPERLINK("2\1\" &amp; K1519, "Ver Imagen")</f>
        <v/>
      </c>
      <c r="M1519" t="inlineStr">
        <is>
          <t>Moda</t>
        </is>
      </c>
    </row>
    <row r="1520">
      <c r="A1520" t="n">
        <v>1519</v>
      </c>
      <c r="B1520" t="inlineStr">
        <is>
          <t>A-497__730</t>
        </is>
      </c>
      <c r="C1520" s="1" t="n">
        <v>37.1910076587</v>
      </c>
      <c r="D1520" s="1" t="n">
        <v>-6.9777053377</v>
      </c>
      <c r="E1520" s="3" t="n">
        <v>2</v>
      </c>
      <c r="F1520" s="2" t="n">
        <v>3</v>
      </c>
      <c r="G1520" s="4" t="n">
        <v>2</v>
      </c>
      <c r="H1520" s="13" t="n"/>
      <c r="I1520" s="15" t="n"/>
      <c r="J1520" s="19" t="n">
        <v>2</v>
      </c>
      <c r="K1520" s="2" t="inlineStr">
        <is>
          <t>marker_927_368946.png</t>
        </is>
      </c>
      <c r="L1520" s="11">
        <f>HYPERLINK("2\1\" &amp; K1520, "Ver Imagen")</f>
        <v/>
      </c>
      <c r="M1520" t="inlineStr">
        <is>
          <t>Moda</t>
        </is>
      </c>
    </row>
    <row r="1521">
      <c r="A1521" t="n">
        <v>1520</v>
      </c>
      <c r="B1521" t="inlineStr">
        <is>
          <t>A-497_2C__169</t>
        </is>
      </c>
      <c r="C1521" s="1" t="n">
        <v>37.2656088672</v>
      </c>
      <c r="D1521" s="1" t="n">
        <v>-6.99546439366</v>
      </c>
      <c r="E1521" s="3" t="n">
        <v>2</v>
      </c>
      <c r="F1521" s="2" t="n">
        <v>2</v>
      </c>
      <c r="G1521" s="4" t="n">
        <v>1</v>
      </c>
      <c r="H1521" s="13" t="n"/>
      <c r="I1521" s="15" t="n"/>
      <c r="J1521" s="19" t="n">
        <v>2</v>
      </c>
      <c r="K1521" s="2" t="inlineStr">
        <is>
          <t>marker_320_656190.png</t>
        </is>
      </c>
      <c r="L1521" s="11">
        <f>HYPERLINK("2\1\" &amp; K1521, "Ver Imagen")</f>
        <v/>
      </c>
      <c r="M1521" t="inlineStr">
        <is>
          <t>Moda</t>
        </is>
      </c>
    </row>
    <row r="1522">
      <c r="A1522" t="n">
        <v>1521</v>
      </c>
      <c r="B1522" t="inlineStr">
        <is>
          <t>A-497__698</t>
        </is>
      </c>
      <c r="C1522" s="1" t="n">
        <v>37.197099102</v>
      </c>
      <c r="D1522" s="1" t="n">
        <v>-6.9793245497</v>
      </c>
      <c r="E1522" s="3" t="n">
        <v>2</v>
      </c>
      <c r="F1522" s="2" t="n">
        <v>3</v>
      </c>
      <c r="G1522" s="4" t="n">
        <v>2</v>
      </c>
      <c r="H1522" s="13" t="n"/>
      <c r="I1522" s="15" t="n"/>
      <c r="J1522" s="19" t="n">
        <v>2</v>
      </c>
      <c r="K1522" s="2" t="inlineStr">
        <is>
          <t>marker_606_370397.png</t>
        </is>
      </c>
      <c r="L1522" s="11">
        <f>HYPERLINK("2\1\" &amp; K1522, "Ver Imagen")</f>
        <v/>
      </c>
      <c r="M1522" t="inlineStr">
        <is>
          <t>Moda</t>
        </is>
      </c>
    </row>
    <row r="1523">
      <c r="A1523" t="n">
        <v>1522</v>
      </c>
      <c r="B1523" t="inlineStr">
        <is>
          <t>A-497__680</t>
        </is>
      </c>
      <c r="C1523" s="1" t="n">
        <v>37.1992025595</v>
      </c>
      <c r="D1523" s="1" t="n">
        <v>-6.98296970375</v>
      </c>
      <c r="E1523" s="3" t="n">
        <v>2</v>
      </c>
      <c r="F1523" s="2" t="n">
        <v>3</v>
      </c>
      <c r="G1523" s="4" t="n">
        <v>2</v>
      </c>
      <c r="H1523" s="13" t="n"/>
      <c r="I1523" s="15" t="n"/>
      <c r="J1523" s="19" t="n">
        <v>2</v>
      </c>
      <c r="K1523" s="2" t="inlineStr">
        <is>
          <t>marker_910_370574.png</t>
        </is>
      </c>
      <c r="L1523" s="11">
        <f>HYPERLINK("2\1\" &amp; K1523, "Ver Imagen")</f>
        <v/>
      </c>
      <c r="M1523" t="inlineStr">
        <is>
          <t>Moda</t>
        </is>
      </c>
    </row>
    <row r="1524">
      <c r="A1524" t="n">
        <v>1523</v>
      </c>
      <c r="B1524" t="inlineStr">
        <is>
          <t>A-497__673</t>
        </is>
      </c>
      <c r="C1524" s="1" t="n">
        <v>37.1996833857</v>
      </c>
      <c r="D1524" s="1" t="n">
        <v>-6.98460500966</v>
      </c>
      <c r="E1524" s="3" t="n">
        <v>2</v>
      </c>
      <c r="F1524" s="2" t="n">
        <v>3</v>
      </c>
      <c r="G1524" s="4" t="n">
        <v>2</v>
      </c>
      <c r="H1524" s="13" t="n"/>
      <c r="I1524" s="15" t="n"/>
      <c r="J1524" s="19" t="n">
        <v>2</v>
      </c>
      <c r="K1524" s="2" t="inlineStr">
        <is>
          <t>marker_916_370997.png</t>
        </is>
      </c>
      <c r="L1524" s="11">
        <f>HYPERLINK("2\1\" &amp; K1524, "Ver Imagen")</f>
        <v/>
      </c>
      <c r="M1524" t="inlineStr">
        <is>
          <t>Moda</t>
        </is>
      </c>
    </row>
    <row r="1525">
      <c r="A1525" t="n">
        <v>1524</v>
      </c>
      <c r="B1525" t="inlineStr">
        <is>
          <t>A-497_2C__235</t>
        </is>
      </c>
      <c r="C1525" s="1" t="n">
        <v>37.2613127047</v>
      </c>
      <c r="D1525" s="1" t="n">
        <v>-7.01086094361</v>
      </c>
      <c r="E1525" s="3" t="n">
        <v>2</v>
      </c>
      <c r="F1525" s="2" t="n">
        <v>3</v>
      </c>
      <c r="G1525" s="4" t="n">
        <v>2</v>
      </c>
      <c r="H1525" s="13" t="n"/>
      <c r="I1525" s="15" t="n"/>
      <c r="J1525" s="19" t="n">
        <v>2</v>
      </c>
      <c r="K1525" s="2" t="inlineStr">
        <is>
          <t>marker_549_656925.png</t>
        </is>
      </c>
      <c r="L1525" s="11">
        <f>HYPERLINK("2\1\" &amp; K1525, "Ver Imagen")</f>
        <v/>
      </c>
      <c r="M1525" t="inlineStr">
        <is>
          <t>Moda</t>
        </is>
      </c>
    </row>
    <row r="1526">
      <c r="A1526" t="n">
        <v>1525</v>
      </c>
      <c r="B1526" t="inlineStr">
        <is>
          <t>A-497_2C__238</t>
        </is>
      </c>
      <c r="C1526" s="1" t="n">
        <v>37.2608049822</v>
      </c>
      <c r="D1526" s="1" t="n">
        <v>-7.01119651988</v>
      </c>
      <c r="E1526" s="3" t="n">
        <v>2</v>
      </c>
      <c r="F1526" s="2" t="n">
        <v>1</v>
      </c>
      <c r="G1526" s="4" t="n">
        <v>2</v>
      </c>
      <c r="H1526" s="13" t="n"/>
      <c r="I1526" s="15" t="n"/>
      <c r="J1526" s="19" t="n">
        <v>2</v>
      </c>
      <c r="K1526" s="2" t="inlineStr">
        <is>
          <t>marker_106_656972.png</t>
        </is>
      </c>
      <c r="L1526" s="11">
        <f>HYPERLINK("2\1\" &amp; K1526, "Ver Imagen")</f>
        <v/>
      </c>
      <c r="M1526" t="inlineStr">
        <is>
          <t>Moda</t>
        </is>
      </c>
    </row>
    <row r="1527">
      <c r="A1527" t="n">
        <v>1526</v>
      </c>
      <c r="B1527" t="inlineStr">
        <is>
          <t>A-497_2C__240</t>
        </is>
      </c>
      <c r="C1527" s="1" t="n">
        <v>37.2604269881</v>
      </c>
      <c r="D1527" s="1" t="n">
        <v>-7.01143683312</v>
      </c>
      <c r="E1527" s="3" t="n">
        <v>2</v>
      </c>
      <c r="F1527" s="2" t="n">
        <v>3</v>
      </c>
      <c r="G1527" s="4" t="n">
        <v>2</v>
      </c>
      <c r="H1527" s="13" t="n"/>
      <c r="I1527" s="15" t="n"/>
      <c r="J1527" s="19" t="n">
        <v>2</v>
      </c>
      <c r="K1527" s="2" t="inlineStr">
        <is>
          <t>marker_938_657027.png</t>
        </is>
      </c>
      <c r="L1527" s="11">
        <f>HYPERLINK("2\1\" &amp; K1527, "Ver Imagen")</f>
        <v/>
      </c>
      <c r="M1527" t="inlineStr">
        <is>
          <t>Moda</t>
        </is>
      </c>
    </row>
    <row r="1528">
      <c r="A1528" t="n">
        <v>1527</v>
      </c>
      <c r="B1528" t="inlineStr">
        <is>
          <t>A-497__664</t>
        </is>
      </c>
      <c r="C1528" s="1" t="n">
        <v>37.2002379973</v>
      </c>
      <c r="D1528" s="1" t="n">
        <v>-6.98681418982</v>
      </c>
      <c r="E1528" s="3" t="n">
        <v>2</v>
      </c>
      <c r="F1528" s="2" t="n">
        <v>3</v>
      </c>
      <c r="G1528" s="4" t="n">
        <v>2</v>
      </c>
      <c r="H1528" s="13" t="n"/>
      <c r="I1528" s="15" t="n"/>
      <c r="J1528" s="19" t="n">
        <v>2</v>
      </c>
      <c r="K1528" s="2" t="inlineStr">
        <is>
          <t>marker_552_371116.png</t>
        </is>
      </c>
      <c r="L1528" s="11">
        <f>HYPERLINK("2\1\" &amp; K1528, "Ver Imagen")</f>
        <v/>
      </c>
      <c r="M1528" t="inlineStr">
        <is>
          <t>Moda</t>
        </is>
      </c>
    </row>
    <row r="1529">
      <c r="A1529" t="n">
        <v>1528</v>
      </c>
      <c r="B1529" t="inlineStr">
        <is>
          <t>A-497_2C__249</t>
        </is>
      </c>
      <c r="C1529" s="1" t="n">
        <v>37.2587793576</v>
      </c>
      <c r="D1529" s="1" t="n">
        <v>-7.01248544736</v>
      </c>
      <c r="E1529" s="3" t="n">
        <v>2</v>
      </c>
      <c r="F1529" s="2" t="n">
        <v>3</v>
      </c>
      <c r="G1529" s="4" t="n">
        <v>2</v>
      </c>
      <c r="H1529" s="13" t="n"/>
      <c r="I1529" s="15" t="n"/>
      <c r="J1529" s="19" t="n">
        <v>2</v>
      </c>
      <c r="K1529" s="2" t="inlineStr">
        <is>
          <t>marker_825_319392.png</t>
        </is>
      </c>
      <c r="L1529" s="11">
        <f>HYPERLINK("2\1\" &amp; K1529, "Ver Imagen")</f>
        <v/>
      </c>
      <c r="M1529" t="inlineStr">
        <is>
          <t>Moda</t>
        </is>
      </c>
    </row>
    <row r="1530">
      <c r="A1530" t="n">
        <v>1529</v>
      </c>
      <c r="B1530" t="inlineStr">
        <is>
          <t>A-497_2C__265</t>
        </is>
      </c>
      <c r="C1530" s="1" t="n">
        <v>37.2558840797</v>
      </c>
      <c r="D1530" s="1" t="n">
        <v>-7.01432397459</v>
      </c>
      <c r="E1530" s="3" t="n">
        <v>2</v>
      </c>
      <c r="F1530" s="2" t="n">
        <v>2</v>
      </c>
      <c r="G1530" s="4" t="n">
        <v>3</v>
      </c>
      <c r="H1530" s="13" t="n"/>
      <c r="I1530" s="15" t="n"/>
      <c r="J1530" s="19" t="n">
        <v>2</v>
      </c>
      <c r="K1530" s="2" t="inlineStr">
        <is>
          <t>marker_555_319678.png</t>
        </is>
      </c>
      <c r="L1530" s="11">
        <f>HYPERLINK("2\1\" &amp; K1530, "Ver Imagen")</f>
        <v/>
      </c>
      <c r="M1530" t="inlineStr">
        <is>
          <t>Moda</t>
        </is>
      </c>
    </row>
    <row r="1531">
      <c r="A1531" t="n">
        <v>1530</v>
      </c>
      <c r="B1531" t="inlineStr">
        <is>
          <t>A-497__561</t>
        </is>
      </c>
      <c r="C1531" s="1" t="n">
        <v>37.2043668269</v>
      </c>
      <c r="D1531" s="1" t="n">
        <v>-7.01237077428</v>
      </c>
      <c r="E1531" s="3" t="n">
        <v>3</v>
      </c>
      <c r="F1531" s="2" t="n">
        <v>2</v>
      </c>
      <c r="G1531" s="4" t="n">
        <v>2</v>
      </c>
      <c r="H1531" s="13" t="n"/>
      <c r="I1531" s="15" t="n"/>
      <c r="J1531" s="19" t="n">
        <v>2</v>
      </c>
      <c r="K1531" s="2" t="inlineStr">
        <is>
          <t>marker_576_372136.png</t>
        </is>
      </c>
      <c r="L1531" s="11">
        <f>HYPERLINK("2\1\" &amp; K1531, "Ver Imagen")</f>
        <v/>
      </c>
      <c r="M1531" t="inlineStr">
        <is>
          <t>Moda</t>
        </is>
      </c>
    </row>
    <row r="1532">
      <c r="A1532" t="n">
        <v>1531</v>
      </c>
      <c r="B1532" t="inlineStr">
        <is>
          <t>A-497_2C__303</t>
        </is>
      </c>
      <c r="C1532" s="1" t="n">
        <v>37.2489023502</v>
      </c>
      <c r="D1532" s="1" t="n">
        <v>-7.01831633383</v>
      </c>
      <c r="E1532" s="3" t="n">
        <v>2</v>
      </c>
      <c r="F1532" s="2" t="n">
        <v>3</v>
      </c>
      <c r="G1532" s="4" t="n">
        <v>2</v>
      </c>
      <c r="H1532" s="13" t="n"/>
      <c r="I1532" s="15" t="n"/>
      <c r="J1532" s="19" t="n">
        <v>2</v>
      </c>
      <c r="K1532" s="2" t="inlineStr">
        <is>
          <t>marker_653_320200.png</t>
        </is>
      </c>
      <c r="L1532" s="11">
        <f>HYPERLINK("2\1\" &amp; K1532, "Ver Imagen")</f>
        <v/>
      </c>
      <c r="M1532" t="inlineStr">
        <is>
          <t>Moda</t>
        </is>
      </c>
    </row>
    <row r="1533">
      <c r="A1533" t="n">
        <v>1532</v>
      </c>
      <c r="B1533" t="inlineStr">
        <is>
          <t>A-497_2C__317</t>
        </is>
      </c>
      <c r="C1533" s="1" t="n">
        <v>37.2460862342</v>
      </c>
      <c r="D1533" s="1" t="n">
        <v>-7.01844865825</v>
      </c>
      <c r="E1533" s="3" t="n">
        <v>2</v>
      </c>
      <c r="F1533" s="2" t="n">
        <v>3</v>
      </c>
      <c r="G1533" s="4" t="n">
        <v>2</v>
      </c>
      <c r="H1533" s="13" t="n"/>
      <c r="I1533" s="15" t="n"/>
      <c r="J1533" s="19" t="n">
        <v>2</v>
      </c>
      <c r="K1533" s="2" t="inlineStr">
        <is>
          <t>marker_356_361898.png</t>
        </is>
      </c>
      <c r="L1533" s="11">
        <f>HYPERLINK("2\1\" &amp; K1533, "Ver Imagen")</f>
        <v/>
      </c>
      <c r="M1533" t="inlineStr">
        <is>
          <t>Moda</t>
        </is>
      </c>
    </row>
    <row r="1534">
      <c r="A1534" t="n">
        <v>1533</v>
      </c>
      <c r="B1534" t="inlineStr">
        <is>
          <t>A-497_2C__411</t>
        </is>
      </c>
      <c r="C1534" s="1" t="n">
        <v>37.2278921656</v>
      </c>
      <c r="D1534" s="1" t="n">
        <v>-7.0220638218</v>
      </c>
      <c r="E1534" s="3" t="n">
        <v>2</v>
      </c>
      <c r="F1534" s="2" t="n">
        <v>1</v>
      </c>
      <c r="G1534" s="4" t="n">
        <v>2</v>
      </c>
      <c r="H1534" s="13" t="n"/>
      <c r="I1534" s="15" t="n"/>
      <c r="J1534" s="19" t="n">
        <v>2</v>
      </c>
      <c r="K1534" s="2" t="inlineStr">
        <is>
          <t>marker_525_363018.png</t>
        </is>
      </c>
      <c r="L1534" s="11">
        <f>HYPERLINK("2\1\" &amp; K1534, "Ver Imagen")</f>
        <v/>
      </c>
      <c r="M1534" t="inlineStr">
        <is>
          <t>Moda</t>
        </is>
      </c>
    </row>
    <row r="1535">
      <c r="A1535" t="n">
        <v>1534</v>
      </c>
      <c r="B1535" t="inlineStr">
        <is>
          <t>A-497_2C__421</t>
        </is>
      </c>
      <c r="C1535" s="1" t="n">
        <v>37.2261292646</v>
      </c>
      <c r="D1535" s="1" t="n">
        <v>-7.02315040786</v>
      </c>
      <c r="E1535" s="3" t="n">
        <v>2</v>
      </c>
      <c r="F1535" s="2" t="n">
        <v>1</v>
      </c>
      <c r="G1535" s="4" t="n">
        <v>2</v>
      </c>
      <c r="H1535" s="13" t="n"/>
      <c r="I1535" s="15" t="n"/>
      <c r="J1535" s="19" t="n">
        <v>2</v>
      </c>
      <c r="K1535" s="2" t="inlineStr">
        <is>
          <t>marker_871_363122.png</t>
        </is>
      </c>
      <c r="L1535" s="11">
        <f>HYPERLINK("2\1\" &amp; K1535, "Ver Imagen")</f>
        <v/>
      </c>
      <c r="M1535" t="inlineStr">
        <is>
          <t>Moda</t>
        </is>
      </c>
    </row>
    <row r="1536">
      <c r="A1536" t="n">
        <v>1535</v>
      </c>
      <c r="B1536" t="inlineStr">
        <is>
          <t>A-497_2C__422</t>
        </is>
      </c>
      <c r="C1536" s="1" t="n">
        <v>37.225880216</v>
      </c>
      <c r="D1536" s="1" t="n">
        <v>-7.02323442356</v>
      </c>
      <c r="E1536" s="3" t="n">
        <v>2</v>
      </c>
      <c r="F1536" s="2" t="n">
        <v>1</v>
      </c>
      <c r="G1536" s="4" t="n">
        <v>2</v>
      </c>
      <c r="H1536" s="13" t="n"/>
      <c r="I1536" s="15" t="n"/>
      <c r="J1536" s="19" t="n">
        <v>2</v>
      </c>
      <c r="K1536" s="2" t="inlineStr">
        <is>
          <t>marker_579_363132.png</t>
        </is>
      </c>
      <c r="L1536" s="11">
        <f>HYPERLINK("2\1\" &amp; K1536, "Ver Imagen")</f>
        <v/>
      </c>
      <c r="M1536" t="inlineStr">
        <is>
          <t>Moda</t>
        </is>
      </c>
    </row>
    <row r="1537">
      <c r="A1537" t="n">
        <v>1536</v>
      </c>
      <c r="B1537" t="inlineStr">
        <is>
          <t>A-497__483</t>
        </is>
      </c>
      <c r="C1537" s="1" t="n">
        <v>37.2145833507</v>
      </c>
      <c r="D1537" s="1" t="n">
        <v>-7.02348664904</v>
      </c>
      <c r="E1537" s="3" t="n">
        <v>2</v>
      </c>
      <c r="F1537" s="2" t="n">
        <v>1</v>
      </c>
      <c r="G1537" s="4" t="n">
        <v>2</v>
      </c>
      <c r="H1537" s="13" t="n"/>
      <c r="I1537" s="15" t="n"/>
      <c r="J1537" s="19" t="n">
        <v>2</v>
      </c>
      <c r="K1537" s="2" t="inlineStr">
        <is>
          <t>marker_842_376270.png</t>
        </is>
      </c>
      <c r="L1537" s="11">
        <f>HYPERLINK("2\1\" &amp; K1537, "Ver Imagen")</f>
        <v/>
      </c>
      <c r="M1537" t="inlineStr">
        <is>
          <t>Moda</t>
        </is>
      </c>
    </row>
    <row r="1538">
      <c r="A1538" t="n">
        <v>1537</v>
      </c>
      <c r="B1538" t="inlineStr">
        <is>
          <t>A-497__481</t>
        </is>
      </c>
      <c r="C1538" s="1" t="n">
        <v>37.2149559358</v>
      </c>
      <c r="D1538" s="1" t="n">
        <v>-7.02341875555</v>
      </c>
      <c r="E1538" s="3" t="n">
        <v>2</v>
      </c>
      <c r="F1538" s="2" t="n">
        <v>3</v>
      </c>
      <c r="G1538" s="4" t="n">
        <v>2</v>
      </c>
      <c r="H1538" s="13" t="n"/>
      <c r="I1538" s="15" t="n"/>
      <c r="J1538" s="19" t="n">
        <v>2</v>
      </c>
      <c r="K1538" s="2" t="inlineStr">
        <is>
          <t>marker_601_376296.png</t>
        </is>
      </c>
      <c r="L1538" s="11">
        <f>HYPERLINK("2\1\" &amp; K1538, "Ver Imagen")</f>
        <v/>
      </c>
      <c r="M1538" t="inlineStr">
        <is>
          <t>Moda</t>
        </is>
      </c>
    </row>
    <row r="1539">
      <c r="A1539" t="n">
        <v>1538</v>
      </c>
      <c r="B1539" t="inlineStr">
        <is>
          <t>A-497_2C__428</t>
        </is>
      </c>
      <c r="C1539" s="1" t="n">
        <v>37.2246506838</v>
      </c>
      <c r="D1539" s="1" t="n">
        <v>-7.02339089137</v>
      </c>
      <c r="E1539" s="3" t="n">
        <v>2</v>
      </c>
      <c r="F1539" s="2" t="n">
        <v>3</v>
      </c>
      <c r="G1539" s="4" t="n">
        <v>2</v>
      </c>
      <c r="H1539" s="13" t="n"/>
      <c r="I1539" s="15" t="n"/>
      <c r="J1539" s="19" t="n">
        <v>2</v>
      </c>
      <c r="K1539" s="2" t="inlineStr">
        <is>
          <t>marker_351_363189.png</t>
        </is>
      </c>
      <c r="L1539" s="11">
        <f>HYPERLINK("2\1\" &amp; K1539, "Ver Imagen")</f>
        <v/>
      </c>
      <c r="M1539" t="inlineStr">
        <is>
          <t>Moda</t>
        </is>
      </c>
    </row>
    <row r="1540">
      <c r="A1540" t="n">
        <v>1539</v>
      </c>
      <c r="B1540" t="inlineStr">
        <is>
          <t>A-497_2C__436</t>
        </is>
      </c>
      <c r="C1540" s="1" t="n">
        <v>37.2230512809</v>
      </c>
      <c r="D1540" s="1" t="n">
        <v>-7.02325358404</v>
      </c>
      <c r="E1540" s="3" t="n">
        <v>2</v>
      </c>
      <c r="F1540" s="2" t="n">
        <v>1</v>
      </c>
      <c r="G1540" s="4" t="n">
        <v>2</v>
      </c>
      <c r="H1540" s="13" t="n"/>
      <c r="I1540" s="15" t="n"/>
      <c r="J1540" s="19" t="n">
        <v>2</v>
      </c>
      <c r="K1540" s="2" t="inlineStr">
        <is>
          <t>marker_200_363268.png</t>
        </is>
      </c>
      <c r="L1540" s="11">
        <f>HYPERLINK("2\1\" &amp; K1540, "Ver Imagen")</f>
        <v/>
      </c>
      <c r="M1540" t="inlineStr">
        <is>
          <t>Moda</t>
        </is>
      </c>
    </row>
    <row r="1541">
      <c r="A1541" t="n">
        <v>1540</v>
      </c>
      <c r="B1541" t="inlineStr">
        <is>
          <t>A-497__465</t>
        </is>
      </c>
      <c r="C1541" s="1" t="n">
        <v>37.2181927114</v>
      </c>
      <c r="D1541" s="1" t="n">
        <v>-7.02285214065</v>
      </c>
      <c r="E1541" s="3" t="n">
        <v>2</v>
      </c>
      <c r="F1541" s="2" t="n">
        <v>1</v>
      </c>
      <c r="G1541" s="4" t="n">
        <v>2</v>
      </c>
      <c r="H1541" s="13" t="n"/>
      <c r="I1541" s="15" t="n"/>
      <c r="J1541" s="19" t="n">
        <v>2</v>
      </c>
      <c r="K1541" s="2" t="inlineStr">
        <is>
          <t>marker_848_376522.png</t>
        </is>
      </c>
      <c r="L1541" s="11">
        <f>HYPERLINK("2\1\" &amp; K1541, "Ver Imagen")</f>
        <v/>
      </c>
      <c r="M1541" t="inlineStr">
        <is>
          <t>Moda</t>
        </is>
      </c>
    </row>
    <row r="1542">
      <c r="A1542" t="n">
        <v>1541</v>
      </c>
      <c r="B1542" t="inlineStr">
        <is>
          <t>A-497__461</t>
        </is>
      </c>
      <c r="C1542" s="1" t="n">
        <v>37.2189391759</v>
      </c>
      <c r="D1542" s="1" t="n">
        <v>-7.02277911083</v>
      </c>
      <c r="E1542" s="3" t="n">
        <v>2</v>
      </c>
      <c r="F1542" s="2" t="n">
        <v>3</v>
      </c>
      <c r="G1542" s="4" t="n">
        <v>2</v>
      </c>
      <c r="H1542" s="13" t="n"/>
      <c r="I1542" s="15" t="n"/>
      <c r="J1542" s="19" t="n">
        <v>2</v>
      </c>
      <c r="K1542" s="2" t="inlineStr">
        <is>
          <t>marker_416_376557.png</t>
        </is>
      </c>
      <c r="L1542" s="11">
        <f>HYPERLINK("2\1\" &amp; K1542, "Ver Imagen")</f>
        <v/>
      </c>
      <c r="M1542" t="inlineStr">
        <is>
          <t>Moda</t>
        </is>
      </c>
    </row>
    <row r="1543">
      <c r="A1543" t="n">
        <v>1542</v>
      </c>
      <c r="B1543" t="inlineStr">
        <is>
          <t>A-497__458</t>
        </is>
      </c>
      <c r="C1543" s="1" t="n">
        <v>37.2196155637</v>
      </c>
      <c r="D1543" s="1" t="n">
        <v>-7.0227688115</v>
      </c>
      <c r="E1543" s="3" t="n">
        <v>2</v>
      </c>
      <c r="F1543" s="2" t="n">
        <v>1</v>
      </c>
      <c r="G1543" s="4" t="n">
        <v>2</v>
      </c>
      <c r="H1543" s="13" t="n"/>
      <c r="I1543" s="15" t="n"/>
      <c r="J1543" s="19" t="n">
        <v>2</v>
      </c>
      <c r="K1543" s="2" t="inlineStr">
        <is>
          <t>marker_106_376594.png</t>
        </is>
      </c>
      <c r="L1543" s="11">
        <f>HYPERLINK("2\1\" &amp; K1543, "Ver Imagen")</f>
        <v/>
      </c>
      <c r="M1543" t="inlineStr">
        <is>
          <t>Moda</t>
        </is>
      </c>
    </row>
    <row r="1544">
      <c r="A1544" t="n">
        <v>1543</v>
      </c>
      <c r="B1544" t="inlineStr">
        <is>
          <t>A-497_2C__501</t>
        </is>
      </c>
      <c r="C1544" s="1" t="n">
        <v>37.2099817996</v>
      </c>
      <c r="D1544" s="1" t="n">
        <v>-7.02371176641</v>
      </c>
      <c r="E1544" s="3" t="n">
        <v>2</v>
      </c>
      <c r="F1544" s="2" t="n">
        <v>1</v>
      </c>
      <c r="G1544" s="4" t="n">
        <v>2</v>
      </c>
      <c r="H1544" s="13" t="n"/>
      <c r="I1544" s="15" t="n"/>
      <c r="J1544" s="19" t="n">
        <v>2</v>
      </c>
      <c r="K1544" s="2" t="inlineStr">
        <is>
          <t>marker_822_364073.png</t>
        </is>
      </c>
      <c r="L1544" s="11">
        <f>HYPERLINK("2\1\" &amp; K1544, "Ver Imagen")</f>
        <v/>
      </c>
      <c r="M1544" t="inlineStr">
        <is>
          <t>Moda</t>
        </is>
      </c>
    </row>
    <row r="1545">
      <c r="A1545" t="n">
        <v>1544</v>
      </c>
      <c r="B1545" t="inlineStr">
        <is>
          <t>A-497_2C__509</t>
        </is>
      </c>
      <c r="C1545" s="1" t="n">
        <v>37.208512837</v>
      </c>
      <c r="D1545" s="1" t="n">
        <v>-7.02292024725</v>
      </c>
      <c r="E1545" s="3" t="n">
        <v>2</v>
      </c>
      <c r="F1545" s="2" t="n">
        <v>1</v>
      </c>
      <c r="G1545" s="4" t="n">
        <v>2</v>
      </c>
      <c r="H1545" s="13" t="n"/>
      <c r="I1545" s="15" t="n"/>
      <c r="J1545" s="19" t="n">
        <v>2</v>
      </c>
      <c r="K1545" s="2" t="inlineStr">
        <is>
          <t>marker_682_364150.png</t>
        </is>
      </c>
      <c r="L1545" s="11">
        <f>HYPERLINK("2\1\" &amp; K1545, "Ver Imagen")</f>
        <v/>
      </c>
      <c r="M1545" t="inlineStr">
        <is>
          <t>Moda</t>
        </is>
      </c>
    </row>
    <row r="1546">
      <c r="A1546" t="n">
        <v>1545</v>
      </c>
      <c r="B1546" t="inlineStr">
        <is>
          <t>A-497_2C__511</t>
        </is>
      </c>
      <c r="C1546" s="1" t="n">
        <v>37.2081583735</v>
      </c>
      <c r="D1546" s="1" t="n">
        <v>-7.02264139645</v>
      </c>
      <c r="E1546" s="3" t="n">
        <v>2</v>
      </c>
      <c r="F1546" s="2" t="n">
        <v>3</v>
      </c>
      <c r="G1546" s="4" t="n">
        <v>2</v>
      </c>
      <c r="H1546" s="13" t="n"/>
      <c r="I1546" s="15" t="n"/>
      <c r="J1546" s="19" t="n">
        <v>2</v>
      </c>
      <c r="K1546" s="2" t="inlineStr">
        <is>
          <t>marker_490_364170.png</t>
        </is>
      </c>
      <c r="L1546" s="11">
        <f>HYPERLINK("2\1\" &amp; K1546, "Ver Imagen")</f>
        <v/>
      </c>
      <c r="M1546" t="inlineStr">
        <is>
          <t>Moda</t>
        </is>
      </c>
    </row>
    <row r="1547">
      <c r="A1547" t="n">
        <v>1546</v>
      </c>
      <c r="B1547" t="inlineStr">
        <is>
          <t>A-497_2C__522</t>
        </is>
      </c>
      <c r="C1547" s="1" t="n">
        <v>37.2065674171</v>
      </c>
      <c r="D1547" s="1" t="n">
        <v>-7.02077498028</v>
      </c>
      <c r="E1547" s="3" t="n">
        <v>2</v>
      </c>
      <c r="F1547" s="2" t="n">
        <v>3</v>
      </c>
      <c r="G1547" s="4" t="n">
        <v>2</v>
      </c>
      <c r="H1547" s="13" t="n"/>
      <c r="I1547" s="15" t="n"/>
      <c r="J1547" s="19" t="n">
        <v>2</v>
      </c>
      <c r="K1547" s="2" t="inlineStr">
        <is>
          <t>marker_836_364295.png</t>
        </is>
      </c>
      <c r="L1547" s="11">
        <f>HYPERLINK("2\1\" &amp; K1547, "Ver Imagen")</f>
        <v/>
      </c>
      <c r="M1547" t="inlineStr">
        <is>
          <t>Moda</t>
        </is>
      </c>
    </row>
    <row r="1548">
      <c r="A1548" t="n">
        <v>1547</v>
      </c>
      <c r="B1548" t="inlineStr">
        <is>
          <t>A-497_2C__527</t>
        </is>
      </c>
      <c r="C1548" s="1" t="n">
        <v>37.2059772017</v>
      </c>
      <c r="D1548" s="1" t="n">
        <v>-7.01962570445</v>
      </c>
      <c r="E1548" s="3" t="n">
        <v>2</v>
      </c>
      <c r="F1548" s="2" t="n">
        <v>3</v>
      </c>
      <c r="G1548" s="4" t="n">
        <v>2</v>
      </c>
      <c r="H1548" s="13" t="n"/>
      <c r="I1548" s="15" t="n"/>
      <c r="J1548" s="19" t="n">
        <v>2</v>
      </c>
      <c r="K1548" s="2" t="inlineStr">
        <is>
          <t>marker_611_364408.png</t>
        </is>
      </c>
      <c r="L1548" s="11">
        <f>HYPERLINK("2\1\" &amp; K1548, "Ver Imagen")</f>
        <v/>
      </c>
      <c r="M1548" t="inlineStr">
        <is>
          <t>Moda</t>
        </is>
      </c>
    </row>
    <row r="1549">
      <c r="A1549" t="n">
        <v>1548</v>
      </c>
      <c r="B1549" t="inlineStr">
        <is>
          <t>A-497_2C__573</t>
        </is>
      </c>
      <c r="C1549" s="1" t="n">
        <v>37.2035871156</v>
      </c>
      <c r="D1549" s="1" t="n">
        <v>-7.00856779158</v>
      </c>
      <c r="E1549" s="3" t="n">
        <v>2</v>
      </c>
      <c r="F1549" s="2" t="n">
        <v>3</v>
      </c>
      <c r="G1549" s="4" t="n">
        <v>2</v>
      </c>
      <c r="H1549" s="13" t="n"/>
      <c r="I1549" s="15" t="n"/>
      <c r="J1549" s="19" t="n">
        <v>2</v>
      </c>
      <c r="K1549" s="2" t="inlineStr">
        <is>
          <t>marker_666_366511.png</t>
        </is>
      </c>
      <c r="L1549" s="11">
        <f>HYPERLINK("2\1\" &amp; K1549, "Ver Imagen")</f>
        <v/>
      </c>
      <c r="M1549" t="inlineStr">
        <is>
          <t>Moda</t>
        </is>
      </c>
    </row>
    <row r="1550">
      <c r="A1550" t="n">
        <v>1549</v>
      </c>
      <c r="B1550" t="inlineStr">
        <is>
          <t>A-497_2C__625</t>
        </is>
      </c>
      <c r="C1550" s="1" t="n">
        <v>37.2018557019</v>
      </c>
      <c r="D1550" s="1" t="n">
        <v>-6.99557629423</v>
      </c>
      <c r="E1550" s="3" t="n">
        <v>2</v>
      </c>
      <c r="F1550" s="2" t="n">
        <v>3</v>
      </c>
      <c r="G1550" s="4" t="n">
        <v>2</v>
      </c>
      <c r="H1550" s="13" t="n"/>
      <c r="I1550" s="15" t="n"/>
      <c r="J1550" s="19" t="n">
        <v>2</v>
      </c>
      <c r="K1550" s="2" t="inlineStr">
        <is>
          <t>marker_933_367034.png</t>
        </is>
      </c>
      <c r="L1550" s="11">
        <f>HYPERLINK("2\1\" &amp; K1550, "Ver Imagen")</f>
        <v/>
      </c>
      <c r="M1550" t="inlineStr">
        <is>
          <t>Moda</t>
        </is>
      </c>
    </row>
    <row r="1551">
      <c r="A1551" t="n">
        <v>1550</v>
      </c>
      <c r="B1551" t="inlineStr">
        <is>
          <t>A-497_2C__635</t>
        </is>
      </c>
      <c r="C1551" s="1" t="n">
        <v>37.2014306475</v>
      </c>
      <c r="D1551" s="1" t="n">
        <v>-6.99312550196</v>
      </c>
      <c r="E1551" s="3" t="n">
        <v>2</v>
      </c>
      <c r="F1551" s="2" t="n">
        <v>1</v>
      </c>
      <c r="G1551" s="4" t="n">
        <v>2</v>
      </c>
      <c r="H1551" s="13" t="n"/>
      <c r="I1551" s="15" t="n"/>
      <c r="J1551" s="19" t="n">
        <v>2</v>
      </c>
      <c r="K1551" s="2" t="inlineStr">
        <is>
          <t>marker_136_367130.png</t>
        </is>
      </c>
      <c r="L1551" s="11">
        <f>HYPERLINK("2\1\" &amp; K1551, "Ver Imagen")</f>
        <v/>
      </c>
      <c r="M1551" t="inlineStr">
        <is>
          <t>Moda</t>
        </is>
      </c>
    </row>
    <row r="1552">
      <c r="A1552" t="n">
        <v>1551</v>
      </c>
      <c r="B1552" t="inlineStr">
        <is>
          <t>A-497_2C__637</t>
        </is>
      </c>
      <c r="C1552" s="1" t="n">
        <v>37.2013385399</v>
      </c>
      <c r="D1552" s="1" t="n">
        <v>-6.99264039053</v>
      </c>
      <c r="E1552" s="3" t="n">
        <v>2</v>
      </c>
      <c r="F1552" s="2" t="n">
        <v>3</v>
      </c>
      <c r="G1552" s="4" t="n">
        <v>2</v>
      </c>
      <c r="H1552" s="13" t="n"/>
      <c r="I1552" s="15" t="n"/>
      <c r="J1552" s="19" t="n">
        <v>2</v>
      </c>
      <c r="K1552" s="2" t="inlineStr">
        <is>
          <t>marker_482_367149.png</t>
        </is>
      </c>
      <c r="L1552" s="11">
        <f>HYPERLINK("2\1\" &amp; K1552, "Ver Imagen")</f>
        <v/>
      </c>
      <c r="M1552" t="inlineStr">
        <is>
          <t>Moda</t>
        </is>
      </c>
    </row>
    <row r="1553">
      <c r="A1553" t="n">
        <v>1552</v>
      </c>
      <c r="B1553" t="inlineStr">
        <is>
          <t>A-497_2C__639</t>
        </is>
      </c>
      <c r="C1553" s="1" t="n">
        <v>37.2012383214</v>
      </c>
      <c r="D1553" s="1" t="n">
        <v>-6.99212148136</v>
      </c>
      <c r="E1553" s="3" t="n">
        <v>2</v>
      </c>
      <c r="F1553" s="2" t="n">
        <v>3</v>
      </c>
      <c r="G1553" s="4" t="n">
        <v>2</v>
      </c>
      <c r="H1553" s="13" t="n"/>
      <c r="I1553" s="15" t="n"/>
      <c r="J1553" s="19" t="n">
        <v>2</v>
      </c>
      <c r="K1553" s="2" t="inlineStr">
        <is>
          <t>marker_331_367168.png</t>
        </is>
      </c>
      <c r="L1553" s="11">
        <f>HYPERLINK("2\1\" &amp; K1553, "Ver Imagen")</f>
        <v/>
      </c>
      <c r="M1553" t="inlineStr">
        <is>
          <t>Moda</t>
        </is>
      </c>
    </row>
    <row r="1554">
      <c r="A1554" t="n">
        <v>1553</v>
      </c>
      <c r="B1554" t="inlineStr">
        <is>
          <t>A-497_2C__645</t>
        </is>
      </c>
      <c r="C1554" s="1" t="n">
        <v>37.2009438749</v>
      </c>
      <c r="D1554" s="1" t="n">
        <v>-6.99062798532</v>
      </c>
      <c r="E1554" s="3" t="n">
        <v>2</v>
      </c>
      <c r="F1554" s="2" t="n">
        <v>3</v>
      </c>
      <c r="G1554" s="4" t="n">
        <v>2</v>
      </c>
      <c r="H1554" s="13" t="n"/>
      <c r="I1554" s="15" t="n"/>
      <c r="J1554" s="19" t="n">
        <v>2</v>
      </c>
      <c r="K1554" s="2" t="inlineStr">
        <is>
          <t>marker_574_367229.png</t>
        </is>
      </c>
      <c r="L1554" s="11">
        <f>HYPERLINK("2\1\" &amp; K1554, "Ver Imagen")</f>
        <v/>
      </c>
      <c r="M1554" t="inlineStr">
        <is>
          <t>Moda</t>
        </is>
      </c>
    </row>
    <row r="1555">
      <c r="A1555" t="n">
        <v>1554</v>
      </c>
      <c r="B1555" t="inlineStr">
        <is>
          <t>A-497_2C__647</t>
        </is>
      </c>
      <c r="C1555" s="1" t="n">
        <v>37.200841842</v>
      </c>
      <c r="D1555" s="1" t="n">
        <v>-6.99014768003</v>
      </c>
      <c r="E1555" s="3" t="n">
        <v>2</v>
      </c>
      <c r="F1555" s="2" t="n">
        <v>3</v>
      </c>
      <c r="G1555" s="4" t="n">
        <v>2</v>
      </c>
      <c r="H1555" s="13" t="n"/>
      <c r="I1555" s="15" t="n"/>
      <c r="J1555" s="19" t="n">
        <v>2</v>
      </c>
      <c r="K1555" s="2" t="inlineStr">
        <is>
          <t>marker_898_367247.png</t>
        </is>
      </c>
      <c r="L1555" s="11">
        <f>HYPERLINK("2\1\" &amp; K1555, "Ver Imagen")</f>
        <v/>
      </c>
      <c r="M1555" t="inlineStr">
        <is>
          <t>Moda</t>
        </is>
      </c>
    </row>
    <row r="1556">
      <c r="A1556" t="n">
        <v>1555</v>
      </c>
      <c r="B1556" t="inlineStr">
        <is>
          <t>A-497_2C__648</t>
        </is>
      </c>
      <c r="C1556" s="1" t="n">
        <v>37.200795221</v>
      </c>
      <c r="D1556" s="1" t="n">
        <v>-6.989933336</v>
      </c>
      <c r="E1556" s="3" t="n">
        <v>2</v>
      </c>
      <c r="F1556" s="2" t="n">
        <v>3</v>
      </c>
      <c r="G1556" s="4" t="n">
        <v>2</v>
      </c>
      <c r="H1556" s="13" t="n"/>
      <c r="I1556" s="15" t="n"/>
      <c r="J1556" s="19" t="n">
        <v>2</v>
      </c>
      <c r="K1556" s="2" t="inlineStr">
        <is>
          <t>marker_946_367258.png</t>
        </is>
      </c>
      <c r="L1556" s="11">
        <f>HYPERLINK("2\1\" &amp; K1556, "Ver Imagen")</f>
        <v/>
      </c>
      <c r="M1556" t="inlineStr">
        <is>
          <t>Moda</t>
        </is>
      </c>
    </row>
    <row r="1557">
      <c r="A1557" t="n">
        <v>1556</v>
      </c>
      <c r="B1557" t="inlineStr">
        <is>
          <t>A-497_2C__651</t>
        </is>
      </c>
      <c r="C1557" s="1" t="n">
        <v>37.2006315734</v>
      </c>
      <c r="D1557" s="1" t="n">
        <v>-6.98918789889</v>
      </c>
      <c r="E1557" s="3" t="n">
        <v>2</v>
      </c>
      <c r="F1557" s="2" t="n">
        <v>1</v>
      </c>
      <c r="G1557" s="4" t="n">
        <v>2</v>
      </c>
      <c r="H1557" s="13" t="n"/>
      <c r="I1557" s="15" t="n"/>
      <c r="J1557" s="19" t="n">
        <v>2</v>
      </c>
      <c r="K1557" s="2" t="inlineStr">
        <is>
          <t>marker_879_367286.png</t>
        </is>
      </c>
      <c r="L1557" s="11">
        <f>HYPERLINK("2\1\" &amp; K1557, "Ver Imagen")</f>
        <v/>
      </c>
      <c r="M1557" t="inlineStr">
        <is>
          <t>Moda</t>
        </is>
      </c>
    </row>
    <row r="1558">
      <c r="A1558" t="n">
        <v>1557</v>
      </c>
      <c r="B1558" t="inlineStr">
        <is>
          <t>A-497_2C__657</t>
        </is>
      </c>
      <c r="C1558" s="1" t="n">
        <v>37.2003057834</v>
      </c>
      <c r="D1558" s="1" t="n">
        <v>-6.9877451606</v>
      </c>
      <c r="E1558" s="3" t="n">
        <v>2</v>
      </c>
      <c r="F1558" s="2" t="n">
        <v>3</v>
      </c>
      <c r="G1558" s="4" t="n">
        <v>2</v>
      </c>
      <c r="H1558" s="13" t="n"/>
      <c r="I1558" s="15" t="n"/>
      <c r="J1558" s="19" t="n">
        <v>2</v>
      </c>
      <c r="K1558" s="2" t="inlineStr">
        <is>
          <t>marker_555_367360.png</t>
        </is>
      </c>
      <c r="L1558" s="11">
        <f>HYPERLINK("2\1\" &amp; K1558, "Ver Imagen")</f>
        <v/>
      </c>
      <c r="M1558" t="inlineStr">
        <is>
          <t>Moda</t>
        </is>
      </c>
    </row>
    <row r="1559">
      <c r="A1559" t="n">
        <v>1558</v>
      </c>
      <c r="B1559" t="inlineStr">
        <is>
          <t>A-497_2C__658</t>
        </is>
      </c>
      <c r="C1559" s="1" t="n">
        <v>37.2002549485</v>
      </c>
      <c r="D1559" s="1" t="n">
        <v>-6.98752643952</v>
      </c>
      <c r="E1559" s="3" t="n">
        <v>2</v>
      </c>
      <c r="F1559" s="2" t="n">
        <v>3</v>
      </c>
      <c r="G1559" s="4" t="n">
        <v>2</v>
      </c>
      <c r="H1559" s="13" t="n"/>
      <c r="I1559" s="15" t="n"/>
      <c r="J1559" s="19" t="n">
        <v>2</v>
      </c>
      <c r="K1559" s="2" t="inlineStr">
        <is>
          <t>marker_477_367369.png</t>
        </is>
      </c>
      <c r="L1559" s="11">
        <f>HYPERLINK("2\1\" &amp; K1559, "Ver Imagen")</f>
        <v/>
      </c>
      <c r="M1559" t="inlineStr">
        <is>
          <t>Moda</t>
        </is>
      </c>
    </row>
    <row r="1560">
      <c r="A1560" t="n">
        <v>1559</v>
      </c>
      <c r="B1560" t="inlineStr">
        <is>
          <t>A-497_2C__659</t>
        </is>
      </c>
      <c r="C1560" s="1" t="n">
        <v>37.2002017975</v>
      </c>
      <c r="D1560" s="1" t="n">
        <v>-6.98729794184</v>
      </c>
      <c r="E1560" s="3" t="n">
        <v>2</v>
      </c>
      <c r="F1560" s="2" t="n">
        <v>3</v>
      </c>
      <c r="G1560" s="4" t="n">
        <v>2</v>
      </c>
      <c r="H1560" s="13" t="n"/>
      <c r="I1560" s="15" t="n"/>
      <c r="J1560" s="19" t="n">
        <v>2</v>
      </c>
      <c r="K1560" s="2" t="inlineStr">
        <is>
          <t>marker_124_367377.png</t>
        </is>
      </c>
      <c r="L1560" s="11">
        <f>HYPERLINK("2\1\" &amp; K1560, "Ver Imagen")</f>
        <v/>
      </c>
      <c r="M1560" t="inlineStr">
        <is>
          <t>Moda</t>
        </is>
      </c>
    </row>
    <row r="1561">
      <c r="A1561" t="n">
        <v>1560</v>
      </c>
      <c r="B1561" t="inlineStr">
        <is>
          <t>A-497__441</t>
        </is>
      </c>
      <c r="C1561" s="1" t="n">
        <v>37.2230180747</v>
      </c>
      <c r="D1561" s="1" t="n">
        <v>-7.02306300012</v>
      </c>
      <c r="E1561" s="3" t="n">
        <v>2</v>
      </c>
      <c r="F1561" s="2" t="n">
        <v>1</v>
      </c>
      <c r="G1561" s="4" t="n">
        <v>2</v>
      </c>
      <c r="H1561" s="13" t="n"/>
      <c r="I1561" s="15" t="n"/>
      <c r="J1561" s="19" t="n">
        <v>2</v>
      </c>
      <c r="K1561" s="2" t="inlineStr">
        <is>
          <t>marker_204_376793.png</t>
        </is>
      </c>
      <c r="L1561" s="11">
        <f>HYPERLINK("2\1\" &amp; K1561, "Ver Imagen")</f>
        <v/>
      </c>
      <c r="M1561" t="inlineStr">
        <is>
          <t>Moda</t>
        </is>
      </c>
    </row>
    <row r="1562">
      <c r="A1562" t="n">
        <v>1561</v>
      </c>
      <c r="B1562" t="inlineStr">
        <is>
          <t>A-497__437</t>
        </is>
      </c>
      <c r="C1562" s="1" t="n">
        <v>37.2238303031</v>
      </c>
      <c r="D1562" s="1" t="n">
        <v>-7.02314214677</v>
      </c>
      <c r="E1562" s="3" t="n">
        <v>2</v>
      </c>
      <c r="F1562" s="2" t="n">
        <v>3</v>
      </c>
      <c r="G1562" s="4" t="n">
        <v>2</v>
      </c>
      <c r="H1562" s="13" t="n"/>
      <c r="I1562" s="15" t="n"/>
      <c r="J1562" s="19" t="n">
        <v>2</v>
      </c>
      <c r="K1562" s="2" t="inlineStr">
        <is>
          <t>marker_249_376833.png</t>
        </is>
      </c>
      <c r="L1562" s="11">
        <f>HYPERLINK("2\1\" &amp; K1562, "Ver Imagen")</f>
        <v/>
      </c>
      <c r="M1562" t="inlineStr">
        <is>
          <t>Moda</t>
        </is>
      </c>
    </row>
    <row r="1563">
      <c r="A1563" t="n">
        <v>1562</v>
      </c>
      <c r="B1563" t="inlineStr">
        <is>
          <t>A-497__434</t>
        </is>
      </c>
      <c r="C1563" s="1" t="n">
        <v>37.2244119604</v>
      </c>
      <c r="D1563" s="1" t="n">
        <v>-7.02319532765</v>
      </c>
      <c r="E1563" s="3" t="n">
        <v>2</v>
      </c>
      <c r="F1563" s="2" t="n">
        <v>1</v>
      </c>
      <c r="G1563" s="4" t="n">
        <v>2</v>
      </c>
      <c r="H1563" s="13" t="n"/>
      <c r="I1563" s="15" t="n"/>
      <c r="J1563" s="19" t="n">
        <v>2</v>
      </c>
      <c r="K1563" s="2" t="inlineStr">
        <is>
          <t>marker_585_376861.png</t>
        </is>
      </c>
      <c r="L1563" s="11">
        <f>HYPERLINK("2\1\" &amp; K1563, "Ver Imagen")</f>
        <v/>
      </c>
      <c r="M1563" t="inlineStr">
        <is>
          <t>Moda</t>
        </is>
      </c>
    </row>
    <row r="1564">
      <c r="A1564" t="n">
        <v>1563</v>
      </c>
      <c r="B1564" t="inlineStr">
        <is>
          <t>A-497__429</t>
        </is>
      </c>
      <c r="C1564" s="1" t="n">
        <v>37.2254425891</v>
      </c>
      <c r="D1564" s="1" t="n">
        <v>-7.02315640778</v>
      </c>
      <c r="E1564" s="3" t="n">
        <v>2</v>
      </c>
      <c r="F1564" s="2" t="n">
        <v>3</v>
      </c>
      <c r="G1564" s="4" t="n">
        <v>2</v>
      </c>
      <c r="H1564" s="13" t="n"/>
      <c r="I1564" s="15" t="n"/>
      <c r="J1564" s="19" t="n">
        <v>2</v>
      </c>
      <c r="K1564" s="2" t="inlineStr">
        <is>
          <t>marker_614_376921.png</t>
        </is>
      </c>
      <c r="L1564" s="11">
        <f>HYPERLINK("2\1\" &amp; K1564, "Ver Imagen")</f>
        <v/>
      </c>
      <c r="M1564" t="inlineStr">
        <is>
          <t>Moda</t>
        </is>
      </c>
    </row>
    <row r="1565">
      <c r="A1565" t="n">
        <v>1564</v>
      </c>
      <c r="B1565" t="inlineStr">
        <is>
          <t>A-497__427</t>
        </is>
      </c>
      <c r="C1565" s="1" t="n">
        <v>37.2258380176</v>
      </c>
      <c r="D1565" s="1" t="n">
        <v>-7.02306787894</v>
      </c>
      <c r="E1565" s="3" t="n">
        <v>2</v>
      </c>
      <c r="F1565" s="2" t="n">
        <v>3</v>
      </c>
      <c r="G1565" s="4" t="n">
        <v>2</v>
      </c>
      <c r="H1565" s="13" t="n"/>
      <c r="I1565" s="15" t="n"/>
      <c r="J1565" s="19" t="n">
        <v>2</v>
      </c>
      <c r="K1565" s="2" t="inlineStr">
        <is>
          <t>marker_964_376945.png</t>
        </is>
      </c>
      <c r="L1565" s="11">
        <f>HYPERLINK("2\1\" &amp; K1565, "Ver Imagen")</f>
        <v/>
      </c>
      <c r="M1565" t="inlineStr">
        <is>
          <t>Moda</t>
        </is>
      </c>
    </row>
    <row r="1566">
      <c r="A1566" t="n">
        <v>1565</v>
      </c>
      <c r="B1566" t="inlineStr">
        <is>
          <t>A-497__424</t>
        </is>
      </c>
      <c r="C1566" s="1" t="n">
        <v>37.2264128064</v>
      </c>
      <c r="D1566" s="1" t="n">
        <v>-7.02285170853</v>
      </c>
      <c r="E1566" s="3" t="n">
        <v>2</v>
      </c>
      <c r="F1566" s="2" t="n">
        <v>3</v>
      </c>
      <c r="G1566" s="4" t="n">
        <v>2</v>
      </c>
      <c r="H1566" s="13" t="n"/>
      <c r="I1566" s="15" t="n"/>
      <c r="J1566" s="19" t="n">
        <v>2</v>
      </c>
      <c r="K1566" s="2" t="inlineStr">
        <is>
          <t>marker_601_376975.png</t>
        </is>
      </c>
      <c r="L1566" s="11">
        <f>HYPERLINK("2\1\" &amp; K1566, "Ver Imagen")</f>
        <v/>
      </c>
      <c r="M1566" t="inlineStr">
        <is>
          <t>Moda</t>
        </is>
      </c>
    </row>
    <row r="1567">
      <c r="A1567" t="n">
        <v>1566</v>
      </c>
      <c r="B1567" t="inlineStr">
        <is>
          <t>A-497__420</t>
        </is>
      </c>
      <c r="C1567" s="1" t="n">
        <v>37.2271228381</v>
      </c>
      <c r="D1567" s="1" t="n">
        <v>-7.02242729765</v>
      </c>
      <c r="E1567" s="3" t="n">
        <v>2</v>
      </c>
      <c r="F1567" s="2" t="n">
        <v>3</v>
      </c>
      <c r="G1567" s="4" t="n">
        <v>2</v>
      </c>
      <c r="H1567" s="13" t="n"/>
      <c r="I1567" s="15" t="n"/>
      <c r="J1567" s="19" t="n">
        <v>2</v>
      </c>
      <c r="K1567" s="2" t="inlineStr">
        <is>
          <t>marker_305_377012.png</t>
        </is>
      </c>
      <c r="L1567" s="11">
        <f>HYPERLINK("2\1\" &amp; K1567, "Ver Imagen")</f>
        <v/>
      </c>
      <c r="M1567" t="inlineStr">
        <is>
          <t>Moda</t>
        </is>
      </c>
    </row>
    <row r="1568">
      <c r="A1568" t="n">
        <v>1567</v>
      </c>
      <c r="B1568" t="inlineStr">
        <is>
          <t>A-497__381</t>
        </is>
      </c>
      <c r="C1568" s="1" t="n">
        <v>37.2340808674</v>
      </c>
      <c r="D1568" s="1" t="n">
        <v>-7.01799571856</v>
      </c>
      <c r="E1568" s="3" t="n">
        <v>2</v>
      </c>
      <c r="F1568" s="2" t="n">
        <v>3</v>
      </c>
      <c r="G1568" s="4" t="n">
        <v>2</v>
      </c>
      <c r="H1568" s="13" t="n"/>
      <c r="I1568" s="15" t="n"/>
      <c r="J1568" s="19" t="n">
        <v>2</v>
      </c>
      <c r="K1568" s="2" t="inlineStr">
        <is>
          <t>marker_902_377361.png</t>
        </is>
      </c>
      <c r="L1568" s="11">
        <f>HYPERLINK("2\1\" &amp; K1568, "Ver Imagen")</f>
        <v/>
      </c>
      <c r="M1568" t="inlineStr">
        <is>
          <t>Moda</t>
        </is>
      </c>
    </row>
    <row r="1569">
      <c r="A1569" t="n">
        <v>1568</v>
      </c>
      <c r="B1569" t="inlineStr">
        <is>
          <t>A-497__373</t>
        </is>
      </c>
      <c r="C1569" s="1" t="n">
        <v>37.2356924968</v>
      </c>
      <c r="D1569" s="1" t="n">
        <v>-7.01828665301</v>
      </c>
      <c r="E1569" s="3" t="n">
        <v>2</v>
      </c>
      <c r="F1569" s="2" t="n">
        <v>3</v>
      </c>
      <c r="G1569" s="4" t="n">
        <v>2</v>
      </c>
      <c r="H1569" s="13" t="n"/>
      <c r="I1569" s="15" t="n"/>
      <c r="J1569" s="19" t="n">
        <v>2</v>
      </c>
      <c r="K1569" s="2" t="inlineStr">
        <is>
          <t>marker_123_377428.png</t>
        </is>
      </c>
      <c r="L1569" s="11">
        <f>HYPERLINK("2\1\" &amp; K1569, "Ver Imagen")</f>
        <v/>
      </c>
      <c r="M1569" t="inlineStr">
        <is>
          <t>Moda</t>
        </is>
      </c>
    </row>
    <row r="1570">
      <c r="A1570" t="n">
        <v>1569</v>
      </c>
      <c r="B1570" t="inlineStr">
        <is>
          <t>A-497__370</t>
        </is>
      </c>
      <c r="C1570" s="1" t="n">
        <v>37.2363450983</v>
      </c>
      <c r="D1570" s="1" t="n">
        <v>-7.01844762463</v>
      </c>
      <c r="E1570" s="3" t="n">
        <v>2</v>
      </c>
      <c r="F1570" s="2" t="n">
        <v>3</v>
      </c>
      <c r="G1570" s="4" t="n">
        <v>2</v>
      </c>
      <c r="H1570" s="13" t="n"/>
      <c r="I1570" s="15" t="n"/>
      <c r="J1570" s="19" t="n">
        <v>2</v>
      </c>
      <c r="K1570" s="2" t="inlineStr">
        <is>
          <t>marker_902_377456.png</t>
        </is>
      </c>
      <c r="L1570" s="11">
        <f>HYPERLINK("2\1\" &amp; K1570, "Ver Imagen")</f>
        <v/>
      </c>
      <c r="M1570" t="inlineStr">
        <is>
          <t>Moda</t>
        </is>
      </c>
    </row>
    <row r="1571">
      <c r="A1571" t="n">
        <v>1570</v>
      </c>
      <c r="B1571" t="inlineStr">
        <is>
          <t>A-497__367</t>
        </is>
      </c>
      <c r="C1571" s="1" t="n">
        <v>37.2369071021</v>
      </c>
      <c r="D1571" s="1" t="n">
        <v>-7.01853053597</v>
      </c>
      <c r="E1571" s="3" t="n">
        <v>2</v>
      </c>
      <c r="F1571" s="2" t="n">
        <v>3</v>
      </c>
      <c r="G1571" s="4" t="n">
        <v>2</v>
      </c>
      <c r="H1571" s="13" t="n"/>
      <c r="I1571" s="15" t="n"/>
      <c r="J1571" s="19" t="n">
        <v>2</v>
      </c>
      <c r="K1571" s="2" t="inlineStr">
        <is>
          <t>marker_678_377484.png</t>
        </is>
      </c>
      <c r="L1571" s="11">
        <f>HYPERLINK("2\1\" &amp; K1571, "Ver Imagen")</f>
        <v/>
      </c>
      <c r="M1571" t="inlineStr">
        <is>
          <t>Moda</t>
        </is>
      </c>
    </row>
    <row r="1572">
      <c r="A1572" t="n">
        <v>1571</v>
      </c>
      <c r="B1572" t="inlineStr">
        <is>
          <t>A-497__364</t>
        </is>
      </c>
      <c r="C1572" s="1" t="n">
        <v>37.2375126769</v>
      </c>
      <c r="D1572" s="1" t="n">
        <v>-7.01856939093</v>
      </c>
      <c r="E1572" s="3" t="n">
        <v>2</v>
      </c>
      <c r="F1572" s="2" t="n">
        <v>3</v>
      </c>
      <c r="G1572" s="4" t="n">
        <v>2</v>
      </c>
      <c r="H1572" s="13" t="n"/>
      <c r="I1572" s="15" t="n"/>
      <c r="J1572" s="19" t="n">
        <v>2</v>
      </c>
      <c r="K1572" s="2" t="inlineStr">
        <is>
          <t>marker_181_377513.png</t>
        </is>
      </c>
      <c r="L1572" s="11">
        <f>HYPERLINK("2\1\" &amp; K1572, "Ver Imagen")</f>
        <v/>
      </c>
      <c r="M1572" t="inlineStr">
        <is>
          <t>Moda</t>
        </is>
      </c>
    </row>
    <row r="1573">
      <c r="A1573" t="n">
        <v>1572</v>
      </c>
      <c r="B1573" t="inlineStr">
        <is>
          <t>A-497__362</t>
        </is>
      </c>
      <c r="C1573" s="1" t="n">
        <v>37.2379038552</v>
      </c>
      <c r="D1573" s="1" t="n">
        <v>-7.01856960477</v>
      </c>
      <c r="E1573" s="3" t="n">
        <v>2</v>
      </c>
      <c r="F1573" s="2" t="n">
        <v>3</v>
      </c>
      <c r="G1573" s="4" t="n">
        <v>2</v>
      </c>
      <c r="H1573" s="13" t="n"/>
      <c r="I1573" s="15" t="n"/>
      <c r="J1573" s="19" t="n">
        <v>2</v>
      </c>
      <c r="K1573" s="2" t="inlineStr">
        <is>
          <t>marker_701_377531.png</t>
        </is>
      </c>
      <c r="L1573" s="11">
        <f>HYPERLINK("2\1\" &amp; K1573, "Ver Imagen")</f>
        <v/>
      </c>
      <c r="M1573" t="inlineStr">
        <is>
          <t>Moda</t>
        </is>
      </c>
    </row>
    <row r="1574">
      <c r="A1574" t="n">
        <v>1573</v>
      </c>
      <c r="B1574" t="inlineStr">
        <is>
          <t>A-497__313</t>
        </is>
      </c>
      <c r="C1574" s="1" t="n">
        <v>37.2478227384</v>
      </c>
      <c r="D1574" s="1" t="n">
        <v>-7.01819273023</v>
      </c>
      <c r="E1574" s="3" t="n">
        <v>2</v>
      </c>
      <c r="F1574" s="2" t="n">
        <v>3</v>
      </c>
      <c r="G1574" s="4" t="n">
        <v>2</v>
      </c>
      <c r="H1574" s="13" t="n"/>
      <c r="I1574" s="15" t="n"/>
      <c r="J1574" s="19" t="n">
        <v>2</v>
      </c>
      <c r="K1574" s="2" t="inlineStr">
        <is>
          <t>marker_767_378041.png</t>
        </is>
      </c>
      <c r="L1574" s="11">
        <f>HYPERLINK("2\1\" &amp; K1574, "Ver Imagen")</f>
        <v/>
      </c>
      <c r="M1574" t="inlineStr">
        <is>
          <t>Moda</t>
        </is>
      </c>
    </row>
    <row r="1575">
      <c r="A1575" t="n">
        <v>1574</v>
      </c>
      <c r="B1575" t="inlineStr">
        <is>
          <t>A-497__300</t>
        </is>
      </c>
      <c r="C1575" s="1" t="n">
        <v>37.250365224</v>
      </c>
      <c r="D1575" s="1" t="n">
        <v>-7.01762904624</v>
      </c>
      <c r="E1575" s="3" t="n">
        <v>2</v>
      </c>
      <c r="F1575" s="2" t="n">
        <v>3</v>
      </c>
      <c r="G1575" s="4" t="n">
        <v>2</v>
      </c>
      <c r="H1575" s="13" t="n"/>
      <c r="I1575" s="15" t="n"/>
      <c r="J1575" s="19" t="n">
        <v>2</v>
      </c>
      <c r="K1575" s="2" t="inlineStr">
        <is>
          <t>marker_326_378215.png</t>
        </is>
      </c>
      <c r="L1575" s="11">
        <f>HYPERLINK("2\1\" &amp; K1575, "Ver Imagen")</f>
        <v/>
      </c>
      <c r="M1575" t="inlineStr">
        <is>
          <t>Moda</t>
        </is>
      </c>
    </row>
    <row r="1576">
      <c r="A1576" t="n">
        <v>1575</v>
      </c>
      <c r="B1576" t="inlineStr">
        <is>
          <t>A-497__287</t>
        </is>
      </c>
      <c r="C1576" s="1" t="n">
        <v>37.2527800548</v>
      </c>
      <c r="D1576" s="1" t="n">
        <v>-7.01610876279</v>
      </c>
      <c r="E1576" s="3" t="n">
        <v>2</v>
      </c>
      <c r="F1576" s="2" t="n">
        <v>3</v>
      </c>
      <c r="G1576" s="4" t="n">
        <v>2</v>
      </c>
      <c r="H1576" s="13" t="n"/>
      <c r="I1576" s="15" t="n"/>
      <c r="J1576" s="19" t="n">
        <v>2</v>
      </c>
      <c r="K1576" s="2" t="inlineStr">
        <is>
          <t>marker_217_378386.png</t>
        </is>
      </c>
      <c r="L1576" s="11">
        <f>HYPERLINK("2\1\" &amp; K1576, "Ver Imagen")</f>
        <v/>
      </c>
      <c r="M1576" t="inlineStr">
        <is>
          <t>Moda</t>
        </is>
      </c>
    </row>
    <row r="1577">
      <c r="A1577" t="n">
        <v>1576</v>
      </c>
      <c r="B1577" t="inlineStr">
        <is>
          <t>A-497__284</t>
        </is>
      </c>
      <c r="C1577" s="1" t="n">
        <v>37.2532534673</v>
      </c>
      <c r="D1577" s="1" t="n">
        <v>-7.0158078254</v>
      </c>
      <c r="E1577" s="3" t="n">
        <v>2</v>
      </c>
      <c r="F1577" s="2" t="n">
        <v>3</v>
      </c>
      <c r="G1577" s="4" t="n">
        <v>2</v>
      </c>
      <c r="H1577" s="13" t="n"/>
      <c r="I1577" s="15" t="n"/>
      <c r="J1577" s="19" t="n">
        <v>2</v>
      </c>
      <c r="K1577" s="2" t="inlineStr">
        <is>
          <t>marker_845_378427.png</t>
        </is>
      </c>
      <c r="L1577" s="11">
        <f>HYPERLINK("2\1\" &amp; K1577, "Ver Imagen")</f>
        <v/>
      </c>
      <c r="M1577" t="inlineStr">
        <is>
          <t>Moda</t>
        </is>
      </c>
    </row>
    <row r="1578">
      <c r="A1578" t="n">
        <v>1577</v>
      </c>
      <c r="B1578" t="inlineStr">
        <is>
          <t>A-497__282</t>
        </is>
      </c>
      <c r="C1578" s="1" t="n">
        <v>37.2536711957</v>
      </c>
      <c r="D1578" s="1" t="n">
        <v>-7.01554177462</v>
      </c>
      <c r="E1578" s="3" t="n">
        <v>2</v>
      </c>
      <c r="F1578" s="2" t="n">
        <v>3</v>
      </c>
      <c r="G1578" s="4" t="n">
        <v>2</v>
      </c>
      <c r="H1578" s="13" t="n"/>
      <c r="I1578" s="15" t="n"/>
      <c r="J1578" s="19" t="n">
        <v>2</v>
      </c>
      <c r="K1578" s="2" t="inlineStr">
        <is>
          <t>marker_501_378448.png</t>
        </is>
      </c>
      <c r="L1578" s="11">
        <f>HYPERLINK("2\1\" &amp; K1578, "Ver Imagen")</f>
        <v/>
      </c>
      <c r="M1578" t="inlineStr">
        <is>
          <t>Moda</t>
        </is>
      </c>
    </row>
    <row r="1579">
      <c r="A1579" t="n">
        <v>1578</v>
      </c>
      <c r="B1579" t="inlineStr">
        <is>
          <t>A-497__274</t>
        </is>
      </c>
      <c r="C1579" s="1" t="n">
        <v>37.2550727927</v>
      </c>
      <c r="D1579" s="1" t="n">
        <v>-7.01464421559</v>
      </c>
      <c r="E1579" s="3" t="n">
        <v>2</v>
      </c>
      <c r="F1579" s="2" t="n">
        <v>2</v>
      </c>
      <c r="G1579" s="4" t="n">
        <v>3</v>
      </c>
      <c r="H1579" s="13" t="n"/>
      <c r="I1579" s="15" t="n"/>
      <c r="J1579" s="19" t="n">
        <v>2</v>
      </c>
      <c r="K1579" s="2" t="inlineStr">
        <is>
          <t>marker_987_378540.png</t>
        </is>
      </c>
      <c r="L1579" s="11">
        <f>HYPERLINK("2\1\" &amp; K1579, "Ver Imagen")</f>
        <v/>
      </c>
      <c r="M1579" t="inlineStr">
        <is>
          <t>Moda</t>
        </is>
      </c>
    </row>
    <row r="1580">
      <c r="A1580" t="n">
        <v>1579</v>
      </c>
      <c r="B1580" t="inlineStr">
        <is>
          <t>A-497__186</t>
        </is>
      </c>
      <c r="C1580" s="1" t="n">
        <v>37.2649848075</v>
      </c>
      <c r="D1580" s="1" t="n">
        <v>-6.99831395347</v>
      </c>
      <c r="E1580" s="3" t="n">
        <v>2</v>
      </c>
      <c r="F1580" s="2" t="n">
        <v>3</v>
      </c>
      <c r="G1580" s="4" t="n">
        <v>2</v>
      </c>
      <c r="H1580" s="13" t="n"/>
      <c r="I1580" s="15" t="n"/>
      <c r="J1580" s="19" t="n">
        <v>2</v>
      </c>
      <c r="K1580" s="2" t="inlineStr">
        <is>
          <t>marker_991_379565.png</t>
        </is>
      </c>
      <c r="L1580" s="11">
        <f>HYPERLINK("2\1\" &amp; K1580, "Ver Imagen")</f>
        <v/>
      </c>
      <c r="M1580" t="inlineStr">
        <is>
          <t>Moda</t>
        </is>
      </c>
    </row>
    <row r="1581">
      <c r="A1581" t="n">
        <v>1580</v>
      </c>
      <c r="B1581" t="inlineStr">
        <is>
          <t>A-497__180</t>
        </is>
      </c>
      <c r="C1581" s="1" t="n">
        <v>37.2652423168</v>
      </c>
      <c r="D1581" s="1" t="n">
        <v>-6.99687980693</v>
      </c>
      <c r="E1581" s="3" t="n">
        <v>2</v>
      </c>
      <c r="F1581" s="2" t="n">
        <v>2</v>
      </c>
      <c r="G1581" s="4" t="n">
        <v>1</v>
      </c>
      <c r="H1581" s="13" t="n"/>
      <c r="I1581" s="15" t="n"/>
      <c r="J1581" s="19" t="n">
        <v>2</v>
      </c>
      <c r="K1581" s="2" t="inlineStr">
        <is>
          <t>marker_783_379642.png</t>
        </is>
      </c>
      <c r="L1581" s="11">
        <f>HYPERLINK("2\1\" &amp; K1581, "Ver Imagen")</f>
        <v/>
      </c>
      <c r="M1581" t="inlineStr">
        <is>
          <t>Moda</t>
        </is>
      </c>
    </row>
    <row r="1582">
      <c r="A1582" t="n">
        <v>1581</v>
      </c>
      <c r="B1582" t="inlineStr">
        <is>
          <t>A-497__176</t>
        </is>
      </c>
      <c r="C1582" s="1" t="n">
        <v>37.2654169236</v>
      </c>
      <c r="D1582" s="1" t="n">
        <v>-6.99591001485</v>
      </c>
      <c r="E1582" s="3" t="n">
        <v>2</v>
      </c>
      <c r="F1582" s="2" t="n">
        <v>2</v>
      </c>
      <c r="G1582" s="4" t="n">
        <v>1</v>
      </c>
      <c r="H1582" s="13" t="n"/>
      <c r="I1582" s="15" t="n"/>
      <c r="J1582" s="19" t="n">
        <v>2</v>
      </c>
      <c r="K1582" s="2" t="inlineStr">
        <is>
          <t>marker_732_379688.png</t>
        </is>
      </c>
      <c r="L1582" s="11">
        <f>HYPERLINK("2\1\" &amp; K1582, "Ver Imagen")</f>
        <v/>
      </c>
      <c r="M1582" t="inlineStr">
        <is>
          <t>Moda</t>
        </is>
      </c>
    </row>
    <row r="1583">
      <c r="A1583" t="n">
        <v>1582</v>
      </c>
      <c r="B1583" t="inlineStr">
        <is>
          <t>A-497__168</t>
        </is>
      </c>
      <c r="C1583" s="1" t="n">
        <v>37.2658150231</v>
      </c>
      <c r="D1583" s="1" t="n">
        <v>-6.99390453132</v>
      </c>
      <c r="E1583" s="3" t="n">
        <v>2</v>
      </c>
      <c r="F1583" s="2" t="n">
        <v>3</v>
      </c>
      <c r="G1583" s="4" t="n">
        <v>2</v>
      </c>
      <c r="H1583" s="13" t="n"/>
      <c r="I1583" s="15" t="n"/>
      <c r="J1583" s="19" t="n">
        <v>2</v>
      </c>
      <c r="K1583" s="2" t="inlineStr">
        <is>
          <t>marker_976_380172.png</t>
        </is>
      </c>
      <c r="L1583" s="11">
        <f>HYPERLINK("2\1\" &amp; K1583, "Ver Imagen")</f>
        <v/>
      </c>
      <c r="M1583" t="inlineStr">
        <is>
          <t>Moda</t>
        </is>
      </c>
    </row>
    <row r="1584">
      <c r="A1584" t="n">
        <v>1583</v>
      </c>
      <c r="B1584" t="inlineStr">
        <is>
          <t>A-490__207</t>
        </is>
      </c>
      <c r="C1584" s="1" t="n">
        <v>37.4607218091</v>
      </c>
      <c r="D1584" s="1" t="n">
        <v>-7.17302245987</v>
      </c>
      <c r="E1584" s="3" t="n">
        <v>2</v>
      </c>
      <c r="F1584" s="2" t="n">
        <v>2</v>
      </c>
      <c r="G1584" s="4" t="n">
        <v>3</v>
      </c>
      <c r="H1584" s="13" t="n"/>
      <c r="I1584" s="15" t="n"/>
      <c r="J1584" s="19" t="n">
        <v>2</v>
      </c>
      <c r="K1584" s="2" t="inlineStr">
        <is>
          <t>marker_156_742526.png</t>
        </is>
      </c>
      <c r="L1584" s="11">
        <f>HYPERLINK("2\1\" &amp; K1584, "Ver Imagen")</f>
        <v/>
      </c>
      <c r="M1584" t="inlineStr">
        <is>
          <t>Moda</t>
        </is>
      </c>
    </row>
    <row r="1585">
      <c r="A1585" t="n">
        <v>1584</v>
      </c>
      <c r="B1585" t="inlineStr">
        <is>
          <t>A-490__223</t>
        </is>
      </c>
      <c r="C1585" s="1" t="n">
        <v>37.4626859653</v>
      </c>
      <c r="D1585" s="1" t="n">
        <v>-7.17625107754</v>
      </c>
      <c r="E1585" s="3" t="n">
        <v>2</v>
      </c>
      <c r="F1585" s="2" t="n">
        <v>2</v>
      </c>
      <c r="G1585" s="4" t="n">
        <v>3</v>
      </c>
      <c r="H1585" s="13" t="n"/>
      <c r="I1585" s="15" t="n"/>
      <c r="J1585" s="19" t="n">
        <v>2</v>
      </c>
      <c r="K1585" s="2" t="inlineStr">
        <is>
          <t>marker_509_743630.png</t>
        </is>
      </c>
      <c r="L1585" s="11">
        <f>HYPERLINK("2\1\" &amp; K1585, "Ver Imagen")</f>
        <v/>
      </c>
      <c r="M1585" t="inlineStr">
        <is>
          <t>Moda</t>
        </is>
      </c>
    </row>
    <row r="1586">
      <c r="A1586" t="n">
        <v>1585</v>
      </c>
      <c r="B1586" t="inlineStr">
        <is>
          <t>A-490__226</t>
        </is>
      </c>
      <c r="C1586" s="1" t="n">
        <v>37.4630949314</v>
      </c>
      <c r="D1586" s="1" t="n">
        <v>-7.17692022153</v>
      </c>
      <c r="E1586" s="3" t="n">
        <v>2</v>
      </c>
      <c r="F1586" s="2" t="n">
        <v>2</v>
      </c>
      <c r="G1586" s="4" t="n">
        <v>3</v>
      </c>
      <c r="H1586" s="13" t="n"/>
      <c r="I1586" s="15" t="n"/>
      <c r="J1586" s="19" t="n">
        <v>2</v>
      </c>
      <c r="K1586" s="2" t="inlineStr">
        <is>
          <t>marker_751_743733.png</t>
        </is>
      </c>
      <c r="L1586" s="11">
        <f>HYPERLINK("2\1\" &amp; K1586, "Ver Imagen")</f>
        <v/>
      </c>
      <c r="M1586" t="inlineStr">
        <is>
          <t>Moda</t>
        </is>
      </c>
    </row>
    <row r="1587">
      <c r="A1587" t="n">
        <v>1586</v>
      </c>
      <c r="B1587" t="inlineStr">
        <is>
          <t>A-490__354</t>
        </is>
      </c>
      <c r="C1587" s="1" t="n">
        <v>37.4772647725</v>
      </c>
      <c r="D1587" s="1" t="n">
        <v>-7.20400668697</v>
      </c>
      <c r="E1587" s="3" t="n">
        <v>2</v>
      </c>
      <c r="F1587" s="2" t="n">
        <v>2</v>
      </c>
      <c r="G1587" s="4" t="n">
        <v>3</v>
      </c>
      <c r="H1587" s="13" t="n"/>
      <c r="I1587" s="15" t="n"/>
      <c r="J1587" s="19" t="n">
        <v>2</v>
      </c>
      <c r="K1587" s="2" t="inlineStr">
        <is>
          <t>marker_111_751747.png</t>
        </is>
      </c>
      <c r="L1587" s="11">
        <f>HYPERLINK("2\1\" &amp; K1587, "Ver Imagen")</f>
        <v/>
      </c>
      <c r="M1587" t="inlineStr">
        <is>
          <t>Moda</t>
        </is>
      </c>
    </row>
    <row r="1588">
      <c r="A1588" t="n">
        <v>1587</v>
      </c>
      <c r="B1588" t="inlineStr">
        <is>
          <t>A-490__384</t>
        </is>
      </c>
      <c r="C1588" s="1" t="n">
        <v>37.4801701786</v>
      </c>
      <c r="D1588" s="1" t="n">
        <v>-7.21075660335</v>
      </c>
      <c r="E1588" s="3" t="n">
        <v>2</v>
      </c>
      <c r="F1588" s="2" t="n">
        <v>2</v>
      </c>
      <c r="G1588" s="4" t="n">
        <v>3</v>
      </c>
      <c r="H1588" s="13" t="n"/>
      <c r="I1588" s="15" t="n"/>
      <c r="J1588" s="19" t="n">
        <v>2</v>
      </c>
      <c r="K1588" s="2" t="inlineStr">
        <is>
          <t>marker_473_752425.png</t>
        </is>
      </c>
      <c r="L1588" s="11">
        <f>HYPERLINK("2\1\" &amp; K1588, "Ver Imagen")</f>
        <v/>
      </c>
      <c r="M1588" t="inlineStr">
        <is>
          <t>Moda</t>
        </is>
      </c>
    </row>
    <row r="1589">
      <c r="A1589" t="n">
        <v>1588</v>
      </c>
      <c r="B1589" t="inlineStr">
        <is>
          <t>A-490__532</t>
        </is>
      </c>
      <c r="C1589" s="1" t="n">
        <v>37.4884886779</v>
      </c>
      <c r="D1589" s="1" t="n">
        <v>-7.24664921351</v>
      </c>
      <c r="E1589" s="3" t="n">
        <v>2</v>
      </c>
      <c r="F1589" s="2" t="n">
        <v>2</v>
      </c>
      <c r="G1589" s="4" t="n">
        <v>3</v>
      </c>
      <c r="H1589" s="13" t="n"/>
      <c r="I1589" s="15" t="n"/>
      <c r="J1589" s="19" t="n">
        <v>2</v>
      </c>
      <c r="K1589" s="2" t="inlineStr">
        <is>
          <t>marker_100_818231.png</t>
        </is>
      </c>
      <c r="L1589" s="11">
        <f>HYPERLINK("2\1\" &amp; K1589, "Ver Imagen")</f>
        <v/>
      </c>
      <c r="M1589" t="inlineStr">
        <is>
          <t>Moda</t>
        </is>
      </c>
    </row>
    <row r="1590">
      <c r="A1590" t="n">
        <v>1589</v>
      </c>
      <c r="B1590" t="inlineStr">
        <is>
          <t>A-490__540</t>
        </is>
      </c>
      <c r="C1590" s="1" t="n">
        <v>37.4894930538</v>
      </c>
      <c r="D1590" s="1" t="n">
        <v>-7.24820539581</v>
      </c>
      <c r="E1590" s="3" t="n">
        <v>2</v>
      </c>
      <c r="F1590" s="2" t="n">
        <v>2</v>
      </c>
      <c r="G1590" s="4" t="n">
        <v>3</v>
      </c>
      <c r="H1590" s="13" t="n"/>
      <c r="I1590" s="15" t="n"/>
      <c r="J1590" s="19" t="n">
        <v>2</v>
      </c>
      <c r="K1590" s="2" t="inlineStr">
        <is>
          <t>marker_197_818346.png</t>
        </is>
      </c>
      <c r="L1590" s="11">
        <f>HYPERLINK("2\1\" &amp; K1590, "Ver Imagen")</f>
        <v/>
      </c>
      <c r="M1590" t="inlineStr">
        <is>
          <t>Moda</t>
        </is>
      </c>
    </row>
    <row r="1591">
      <c r="A1591" t="n">
        <v>1590</v>
      </c>
      <c r="B1591" t="inlineStr">
        <is>
          <t>A-492__104</t>
        </is>
      </c>
      <c r="C1591" s="1" t="n">
        <v>37.2791561928</v>
      </c>
      <c r="D1591" s="1" t="n">
        <v>-7.00816128555</v>
      </c>
      <c r="E1591" s="3" t="n">
        <v>2</v>
      </c>
      <c r="F1591" s="2" t="n">
        <v>2</v>
      </c>
      <c r="G1591" s="4" t="n">
        <v>3</v>
      </c>
      <c r="H1591" s="13" t="n"/>
      <c r="I1591" s="15" t="n"/>
      <c r="J1591" s="19" t="n">
        <v>2</v>
      </c>
      <c r="K1591" s="2" t="inlineStr">
        <is>
          <t>marker_460_823807.png</t>
        </is>
      </c>
      <c r="L1591" s="11">
        <f>HYPERLINK("2\1\" &amp; K1591, "Ver Imagen")</f>
        <v/>
      </c>
      <c r="M1591" t="inlineStr">
        <is>
          <t>Moda</t>
        </is>
      </c>
    </row>
    <row r="1592">
      <c r="A1592" t="n">
        <v>1591</v>
      </c>
      <c r="B1592" t="inlineStr">
        <is>
          <t>A-492__141</t>
        </is>
      </c>
      <c r="C1592" s="1" t="n">
        <v>37.2754351997</v>
      </c>
      <c r="D1592" s="1" t="n">
        <v>-7.01602698437</v>
      </c>
      <c r="E1592" s="3" t="n">
        <v>2</v>
      </c>
      <c r="F1592" s="2" t="n">
        <v>2</v>
      </c>
      <c r="G1592" s="4" t="n">
        <v>3</v>
      </c>
      <c r="H1592" s="13" t="n"/>
      <c r="I1592" s="15" t="n"/>
      <c r="J1592" s="19" t="n">
        <v>2</v>
      </c>
      <c r="K1592" s="2" t="inlineStr">
        <is>
          <t>marker_468_824687.png</t>
        </is>
      </c>
      <c r="L1592" s="11">
        <f>HYPERLINK("2\1\" &amp; K1592, "Ver Imagen")</f>
        <v/>
      </c>
      <c r="M1592" t="inlineStr">
        <is>
          <t>Moda</t>
        </is>
      </c>
    </row>
    <row r="1593">
      <c r="A1593" t="n">
        <v>1592</v>
      </c>
      <c r="B1593" t="inlineStr">
        <is>
          <t>A-492__142</t>
        </is>
      </c>
      <c r="C1593" s="1" t="n">
        <v>37.2753748689</v>
      </c>
      <c r="D1593" s="1" t="n">
        <v>-7.0162810453</v>
      </c>
      <c r="E1593" s="3" t="n">
        <v>2</v>
      </c>
      <c r="F1593" s="2" t="n">
        <v>2</v>
      </c>
      <c r="G1593" s="4" t="n">
        <v>3</v>
      </c>
      <c r="H1593" s="13" t="n"/>
      <c r="I1593" s="15" t="n"/>
      <c r="J1593" s="19" t="n">
        <v>2</v>
      </c>
      <c r="K1593" s="2" t="inlineStr">
        <is>
          <t>marker_538_824698.png</t>
        </is>
      </c>
      <c r="L1593" s="11">
        <f>HYPERLINK("2\1\" &amp; K1593, "Ver Imagen")</f>
        <v/>
      </c>
      <c r="M1593" t="inlineStr">
        <is>
          <t>Moda</t>
        </is>
      </c>
    </row>
    <row r="1594">
      <c r="A1594" t="n">
        <v>1593</v>
      </c>
      <c r="B1594" t="inlineStr">
        <is>
          <t>A-492__143</t>
        </is>
      </c>
      <c r="C1594" s="1" t="n">
        <v>37.2753535885</v>
      </c>
      <c r="D1594" s="1" t="n">
        <v>-7.01652565799</v>
      </c>
      <c r="E1594" s="3" t="n">
        <v>2</v>
      </c>
      <c r="F1594" s="2" t="n">
        <v>2</v>
      </c>
      <c r="G1594" s="4" t="n">
        <v>3</v>
      </c>
      <c r="H1594" s="13" t="n"/>
      <c r="I1594" s="15" t="n"/>
      <c r="J1594" s="19" t="n">
        <v>2</v>
      </c>
      <c r="K1594" s="2" t="inlineStr">
        <is>
          <t>marker_422_824709.png</t>
        </is>
      </c>
      <c r="L1594" s="11">
        <f>HYPERLINK("2\1\" &amp; K1594, "Ver Imagen")</f>
        <v/>
      </c>
      <c r="M1594" t="inlineStr">
        <is>
          <t>Moda</t>
        </is>
      </c>
    </row>
    <row r="1595">
      <c r="A1595" t="n">
        <v>1594</v>
      </c>
      <c r="B1595" t="inlineStr">
        <is>
          <t>A-492__170</t>
        </is>
      </c>
      <c r="C1595" s="1" t="n">
        <v>37.2762252394</v>
      </c>
      <c r="D1595" s="1" t="n">
        <v>-7.02322410137</v>
      </c>
      <c r="E1595" s="3" t="n">
        <v>2</v>
      </c>
      <c r="F1595" s="2" t="n">
        <v>2</v>
      </c>
      <c r="G1595" s="4" t="n">
        <v>3</v>
      </c>
      <c r="H1595" s="13" t="n"/>
      <c r="I1595" s="15" t="n"/>
      <c r="J1595" s="19" t="n">
        <v>2</v>
      </c>
      <c r="K1595" s="2" t="inlineStr">
        <is>
          <t>marker_305_831458.png</t>
        </is>
      </c>
      <c r="L1595" s="11">
        <f>HYPERLINK("2\1\" &amp; K1595, "Ver Imagen")</f>
        <v/>
      </c>
      <c r="M1595" t="inlineStr">
        <is>
          <t>Moda</t>
        </is>
      </c>
    </row>
    <row r="1596">
      <c r="A1596" t="n">
        <v>1595</v>
      </c>
      <c r="B1596" t="inlineStr">
        <is>
          <t>A-492__274</t>
        </is>
      </c>
      <c r="C1596" s="1" t="n">
        <v>37.2880520703</v>
      </c>
      <c r="D1596" s="1" t="n">
        <v>-7.04247108021</v>
      </c>
      <c r="E1596" s="3" t="n">
        <v>2</v>
      </c>
      <c r="F1596" s="2" t="n">
        <v>2</v>
      </c>
      <c r="G1596" s="4" t="n">
        <v>3</v>
      </c>
      <c r="H1596" s="13" t="n"/>
      <c r="I1596" s="15" t="n"/>
      <c r="J1596" s="19" t="n">
        <v>2</v>
      </c>
      <c r="K1596" s="2" t="inlineStr">
        <is>
          <t>marker_542_836839.png</t>
        </is>
      </c>
      <c r="L1596" s="11">
        <f>HYPERLINK("2\1\" &amp; K1596, "Ver Imagen")</f>
        <v/>
      </c>
      <c r="M1596" t="inlineStr">
        <is>
          <t>Moda</t>
        </is>
      </c>
    </row>
    <row r="1597">
      <c r="A1597" t="n">
        <v>1596</v>
      </c>
      <c r="B1597" t="inlineStr">
        <is>
          <t>A-492__311</t>
        </is>
      </c>
      <c r="C1597" s="1" t="n">
        <v>37.2940946962</v>
      </c>
      <c r="D1597" s="1" t="n">
        <v>-7.04741237991</v>
      </c>
      <c r="E1597" s="3" t="n">
        <v>2</v>
      </c>
      <c r="F1597" s="2" t="n">
        <v>2</v>
      </c>
      <c r="G1597" s="4" t="n">
        <v>3</v>
      </c>
      <c r="H1597" s="13" t="n"/>
      <c r="I1597" s="15" t="n"/>
      <c r="J1597" s="19" t="n">
        <v>2</v>
      </c>
      <c r="K1597" s="2" t="inlineStr">
        <is>
          <t>marker_810_837684.png</t>
        </is>
      </c>
      <c r="L1597" s="11">
        <f>HYPERLINK("2\1\" &amp; K1597, "Ver Imagen")</f>
        <v/>
      </c>
      <c r="M1597" t="inlineStr">
        <is>
          <t>Moda</t>
        </is>
      </c>
    </row>
    <row r="1598">
      <c r="A1598" t="n">
        <v>1597</v>
      </c>
      <c r="B1598" t="inlineStr">
        <is>
          <t>A-492__312</t>
        </is>
      </c>
      <c r="C1598" s="1" t="n">
        <v>37.2942314285</v>
      </c>
      <c r="D1598" s="1" t="n">
        <v>-7.04760022916</v>
      </c>
      <c r="E1598" s="3" t="n">
        <v>2</v>
      </c>
      <c r="F1598" s="2" t="n">
        <v>2</v>
      </c>
      <c r="G1598" s="4" t="n">
        <v>3</v>
      </c>
      <c r="H1598" s="13" t="n"/>
      <c r="I1598" s="15" t="n"/>
      <c r="J1598" s="19" t="n">
        <v>2</v>
      </c>
      <c r="K1598" s="2" t="inlineStr">
        <is>
          <t>marker_610_837695.png</t>
        </is>
      </c>
      <c r="L1598" s="11">
        <f>HYPERLINK("2\1\" &amp; K1598, "Ver Imagen")</f>
        <v/>
      </c>
      <c r="M1598" t="inlineStr">
        <is>
          <t>Moda</t>
        </is>
      </c>
    </row>
    <row r="1599">
      <c r="A1599" t="n">
        <v>1598</v>
      </c>
      <c r="B1599" t="inlineStr">
        <is>
          <t>A-492__326</t>
        </is>
      </c>
      <c r="C1599" s="1" t="n">
        <v>37.2962690251</v>
      </c>
      <c r="D1599" s="1" t="n">
        <v>-7.05007624582</v>
      </c>
      <c r="E1599" s="3" t="n">
        <v>2</v>
      </c>
      <c r="F1599" s="2" t="n">
        <v>2</v>
      </c>
      <c r="G1599" s="4" t="n">
        <v>3</v>
      </c>
      <c r="H1599" s="13" t="n"/>
      <c r="I1599" s="15" t="n"/>
      <c r="J1599" s="19" t="n">
        <v>2</v>
      </c>
      <c r="K1599" s="2" t="inlineStr">
        <is>
          <t>marker_115_838025.png</t>
        </is>
      </c>
      <c r="L1599" s="11">
        <f>HYPERLINK("2\1\" &amp; K1599, "Ver Imagen")</f>
        <v/>
      </c>
      <c r="M1599" t="inlineStr">
        <is>
          <t>Moda</t>
        </is>
      </c>
    </row>
    <row r="1600">
      <c r="A1600" t="n">
        <v>1599</v>
      </c>
      <c r="B1600" t="inlineStr">
        <is>
          <t>A-497__3</t>
        </is>
      </c>
      <c r="C1600" s="1" t="n">
        <v>37.2671835192</v>
      </c>
      <c r="D1600" s="1" t="n">
        <v>-6.95731025639</v>
      </c>
      <c r="E1600" s="3" t="n">
        <v>2</v>
      </c>
      <c r="F1600" s="2" t="n">
        <v>2</v>
      </c>
      <c r="G1600" s="4" t="n">
        <v>3</v>
      </c>
      <c r="H1600" s="13" t="n"/>
      <c r="I1600" s="15" t="n"/>
      <c r="J1600" s="19" t="n">
        <v>2</v>
      </c>
      <c r="K1600" s="2" t="inlineStr">
        <is>
          <t>marker_661_944050.png</t>
        </is>
      </c>
      <c r="L1600" s="11">
        <f>HYPERLINK("2\1\" &amp; K1600, "Ver Imagen")</f>
        <v/>
      </c>
      <c r="M1600" t="inlineStr">
        <is>
          <t>Moda</t>
        </is>
      </c>
    </row>
    <row r="1601">
      <c r="A1601" t="n">
        <v>1600</v>
      </c>
      <c r="B1601" t="inlineStr">
        <is>
          <t>A-5050__173</t>
        </is>
      </c>
      <c r="C1601" s="1" t="n">
        <v>37.1907869682</v>
      </c>
      <c r="D1601" s="1" t="n">
        <v>-6.99054469294</v>
      </c>
      <c r="E1601" s="3" t="n">
        <v>2</v>
      </c>
      <c r="F1601" s="2" t="n">
        <v>2</v>
      </c>
      <c r="G1601" s="4" t="n">
        <v>3</v>
      </c>
      <c r="H1601" s="13" t="n"/>
      <c r="I1601" s="15" t="n"/>
      <c r="J1601" s="19" t="n">
        <v>2</v>
      </c>
      <c r="K1601" s="2" t="inlineStr">
        <is>
          <t>marker_440_944253.png</t>
        </is>
      </c>
      <c r="L1601" s="11">
        <f>HYPERLINK("2\1\" &amp; K1601, "Ver Imagen")</f>
        <v/>
      </c>
      <c r="M1601" t="inlineStr">
        <is>
          <t>Moda</t>
        </is>
      </c>
    </row>
    <row r="1602">
      <c r="A1602" t="n">
        <v>1601</v>
      </c>
      <c r="B1602" t="inlineStr">
        <is>
          <t>A-5050__151</t>
        </is>
      </c>
      <c r="C1602" s="1" t="n">
        <v>37.1930277896</v>
      </c>
      <c r="D1602" s="1" t="n">
        <v>-6.99536820966</v>
      </c>
      <c r="E1602" s="3" t="n">
        <v>2</v>
      </c>
      <c r="F1602" s="2" t="n">
        <v>2</v>
      </c>
      <c r="G1602" s="4" t="n">
        <v>3</v>
      </c>
      <c r="H1602" s="13" t="n"/>
      <c r="I1602" s="15" t="n"/>
      <c r="J1602" s="19" t="n">
        <v>2</v>
      </c>
      <c r="K1602" s="2" t="inlineStr">
        <is>
          <t>marker_639_945377.png</t>
        </is>
      </c>
      <c r="L1602" s="11">
        <f>HYPERLINK("2\1\" &amp; K1602, "Ver Imagen")</f>
        <v/>
      </c>
      <c r="M1602" t="inlineStr">
        <is>
          <t>Moda</t>
        </is>
      </c>
    </row>
    <row r="1603">
      <c r="A1603" t="n">
        <v>1602</v>
      </c>
      <c r="B1603" t="inlineStr">
        <is>
          <t>A-5050__111</t>
        </is>
      </c>
      <c r="C1603" s="1" t="n">
        <v>37.1967593094</v>
      </c>
      <c r="D1603" s="1" t="n">
        <v>-7.00433771775</v>
      </c>
      <c r="E1603" s="3" t="n">
        <v>2</v>
      </c>
      <c r="F1603" s="2" t="n">
        <v>2</v>
      </c>
      <c r="G1603" s="4" t="n">
        <v>3</v>
      </c>
      <c r="H1603" s="13" t="n"/>
      <c r="I1603" s="15" t="n"/>
      <c r="J1603" s="19" t="n">
        <v>2</v>
      </c>
      <c r="K1603" s="2" t="inlineStr">
        <is>
          <t>marker_359_946650.png</t>
        </is>
      </c>
      <c r="L1603" s="11">
        <f>HYPERLINK("2\1\" &amp; K1603, "Ver Imagen")</f>
        <v/>
      </c>
      <c r="M1603" t="inlineStr">
        <is>
          <t>Moda</t>
        </is>
      </c>
    </row>
    <row r="1604">
      <c r="A1604" t="n">
        <v>1603</v>
      </c>
      <c r="B1604" t="inlineStr">
        <is>
          <t>A-5050__106</t>
        </is>
      </c>
      <c r="C1604" s="1" t="n">
        <v>37.1972102729</v>
      </c>
      <c r="D1604" s="1" t="n">
        <v>-7.00545710383</v>
      </c>
      <c r="E1604" s="3" t="n">
        <v>2</v>
      </c>
      <c r="F1604" s="2" t="n">
        <v>2</v>
      </c>
      <c r="G1604" s="4" t="n">
        <v>3</v>
      </c>
      <c r="H1604" s="13" t="n"/>
      <c r="I1604" s="15" t="n"/>
      <c r="J1604" s="19" t="n">
        <v>2</v>
      </c>
      <c r="K1604" s="2" t="inlineStr">
        <is>
          <t>marker_217_946709.png</t>
        </is>
      </c>
      <c r="L1604" s="11">
        <f>HYPERLINK("2\1\" &amp; K1604, "Ver Imagen")</f>
        <v/>
      </c>
      <c r="M1604" t="inlineStr">
        <is>
          <t>Moda</t>
        </is>
      </c>
    </row>
    <row r="1605">
      <c r="A1605" t="n">
        <v>1604</v>
      </c>
      <c r="B1605" t="inlineStr">
        <is>
          <t>A-5050__95</t>
        </is>
      </c>
      <c r="C1605" s="1" t="n">
        <v>37.1983401988</v>
      </c>
      <c r="D1605" s="1" t="n">
        <v>-7.00785540597</v>
      </c>
      <c r="E1605" s="3" t="n">
        <v>2</v>
      </c>
      <c r="F1605" s="2" t="n">
        <v>2</v>
      </c>
      <c r="G1605" s="4" t="n">
        <v>3</v>
      </c>
      <c r="H1605" s="13" t="n"/>
      <c r="I1605" s="15" t="n"/>
      <c r="J1605" s="19" t="n">
        <v>2</v>
      </c>
      <c r="K1605" s="2" t="inlineStr">
        <is>
          <t>marker_780_946922.png</t>
        </is>
      </c>
      <c r="L1605" s="11">
        <f>HYPERLINK("2\1\" &amp; K1605, "Ver Imagen")</f>
        <v/>
      </c>
      <c r="M1605" t="inlineStr">
        <is>
          <t>Moda</t>
        </is>
      </c>
    </row>
    <row r="1606">
      <c r="A1606" t="n">
        <v>1605</v>
      </c>
      <c r="B1606" t="inlineStr">
        <is>
          <t>A-5052__122</t>
        </is>
      </c>
      <c r="C1606" s="1" t="n">
        <v>37.2166363875</v>
      </c>
      <c r="D1606" s="1" t="n">
        <v>-7.09541613975</v>
      </c>
      <c r="E1606" s="3" t="n">
        <v>2</v>
      </c>
      <c r="F1606" s="2" t="n">
        <v>2</v>
      </c>
      <c r="G1606" s="4" t="n">
        <v>3</v>
      </c>
      <c r="H1606" s="13" t="n"/>
      <c r="I1606" s="15" t="n"/>
      <c r="J1606" s="19" t="n">
        <v>2</v>
      </c>
      <c r="K1606" s="2" t="inlineStr">
        <is>
          <t>marker_568_957968.png</t>
        </is>
      </c>
      <c r="L1606" s="11">
        <f>HYPERLINK("2\1\" &amp; K1606, "Ver Imagen")</f>
        <v/>
      </c>
      <c r="M1606" t="inlineStr">
        <is>
          <t>Moda</t>
        </is>
      </c>
    </row>
    <row r="1607">
      <c r="A1607" t="n">
        <v>1606</v>
      </c>
      <c r="B1607" t="inlineStr">
        <is>
          <t>A-499__90</t>
        </is>
      </c>
      <c r="C1607" s="1" t="n">
        <v>37.4968134339</v>
      </c>
      <c r="D1607" s="1" t="n">
        <v>-7.26816241275</v>
      </c>
      <c r="E1607" s="3" t="n">
        <v>3</v>
      </c>
      <c r="F1607" s="2" t="n">
        <v>2</v>
      </c>
      <c r="G1607" s="4" t="n">
        <v>2</v>
      </c>
      <c r="H1607" s="13" t="n"/>
      <c r="I1607" s="15" t="n"/>
      <c r="J1607" s="19" t="n">
        <v>2</v>
      </c>
      <c r="K1607" s="2" t="inlineStr">
        <is>
          <t>marker_186_789989.png</t>
        </is>
      </c>
      <c r="L1607" s="11">
        <f>HYPERLINK("2\1\" &amp; K1607, "Ver Imagen")</f>
        <v/>
      </c>
      <c r="M1607" t="inlineStr">
        <is>
          <t>Moda</t>
        </is>
      </c>
    </row>
    <row r="1608">
      <c r="A1608" t="n">
        <v>1607</v>
      </c>
      <c r="B1608" t="inlineStr">
        <is>
          <t>A-499__96</t>
        </is>
      </c>
      <c r="C1608" s="1" t="n">
        <v>37.4980262995</v>
      </c>
      <c r="D1608" s="1" t="n">
        <v>-7.26777789312</v>
      </c>
      <c r="E1608" s="3" t="n">
        <v>3</v>
      </c>
      <c r="F1608" s="2" t="n">
        <v>2</v>
      </c>
      <c r="G1608" s="4" t="n">
        <v>2</v>
      </c>
      <c r="H1608" s="13" t="n"/>
      <c r="I1608" s="15" t="n"/>
      <c r="J1608" s="19" t="n">
        <v>2</v>
      </c>
      <c r="K1608" s="2" t="inlineStr">
        <is>
          <t>marker_150_793150.png</t>
        </is>
      </c>
      <c r="L1608" s="11">
        <f>HYPERLINK("2\1\" &amp; K1608, "Ver Imagen")</f>
        <v/>
      </c>
      <c r="M1608" t="inlineStr">
        <is>
          <t>Moda</t>
        </is>
      </c>
    </row>
    <row r="1609">
      <c r="A1609" t="n">
        <v>1608</v>
      </c>
      <c r="B1609" t="inlineStr">
        <is>
          <t>A-490__60</t>
        </is>
      </c>
      <c r="C1609" s="1" t="n"/>
      <c r="D1609" s="1" t="n"/>
      <c r="E1609" s="3" t="n">
        <v>2</v>
      </c>
      <c r="F1609" s="2" t="n">
        <v>2</v>
      </c>
      <c r="G1609" s="4" t="n">
        <v>3</v>
      </c>
      <c r="H1609" s="13" t="n"/>
      <c r="I1609" s="15" t="n"/>
      <c r="J1609" s="20" t="n">
        <v>3</v>
      </c>
      <c r="K1609" s="3" t="inlineStr">
        <is>
          <t>marker_309_648402.png</t>
        </is>
      </c>
      <c r="L1609" s="11">
        <f>HYPERLINK("2\1\" &amp; K1609, "Ver Imagen")</f>
        <v/>
      </c>
      <c r="M1609" t="inlineStr">
        <is>
          <t>Modificado</t>
        </is>
      </c>
    </row>
    <row r="1610">
      <c r="A1610" t="n">
        <v>1609</v>
      </c>
      <c r="B1610" t="inlineStr">
        <is>
          <t>A-490__373</t>
        </is>
      </c>
      <c r="C1610" s="1" t="n">
        <v>37.4791034636</v>
      </c>
      <c r="D1610" s="1" t="n">
        <v>-7.20827761558</v>
      </c>
      <c r="E1610" s="3" t="n">
        <v>2</v>
      </c>
      <c r="F1610" s="2" t="n">
        <v>2</v>
      </c>
      <c r="G1610" s="4" t="n">
        <v>3</v>
      </c>
      <c r="H1610" s="13" t="n"/>
      <c r="I1610" s="15" t="n"/>
      <c r="J1610" s="19" t="n">
        <v>2</v>
      </c>
      <c r="K1610" s="2" t="inlineStr">
        <is>
          <t>marker_205_752162.png</t>
        </is>
      </c>
      <c r="L1610" s="11">
        <f>HYPERLINK("2\1\" &amp; K1610, "Ver Imagen")</f>
        <v/>
      </c>
      <c r="M1610" t="inlineStr">
        <is>
          <t>Moda</t>
        </is>
      </c>
    </row>
    <row r="1611">
      <c r="A1611" t="n">
        <v>1610</v>
      </c>
      <c r="B1611" t="inlineStr">
        <is>
          <t>A-490__419</t>
        </is>
      </c>
      <c r="C1611" s="1" t="n">
        <v>37.4827739099</v>
      </c>
      <c r="D1611" s="1" t="n">
        <v>-7.21902106822</v>
      </c>
      <c r="E1611" s="3" t="n">
        <v>1</v>
      </c>
      <c r="F1611" s="2" t="n">
        <v>2</v>
      </c>
      <c r="G1611" s="4" t="n">
        <v>2</v>
      </c>
      <c r="H1611" s="13" t="n"/>
      <c r="I1611" s="15" t="n"/>
      <c r="J1611" s="19" t="n">
        <v>2</v>
      </c>
      <c r="K1611" s="2" t="inlineStr">
        <is>
          <t>marker_743_754280.png</t>
        </is>
      </c>
      <c r="L1611" s="11">
        <f>HYPERLINK("2\1\" &amp; K1611, "Ver Imagen")</f>
        <v/>
      </c>
      <c r="M1611" t="inlineStr">
        <is>
          <t>Moda</t>
        </is>
      </c>
    </row>
    <row r="1612">
      <c r="A1612" t="n">
        <v>1611</v>
      </c>
      <c r="B1612" t="inlineStr">
        <is>
          <t>A-490__420</t>
        </is>
      </c>
      <c r="C1612" s="1" t="n">
        <v>37.482811379</v>
      </c>
      <c r="D1612" s="1" t="n">
        <v>-7.21921341936</v>
      </c>
      <c r="E1612" s="3" t="n">
        <v>1</v>
      </c>
      <c r="F1612" s="2" t="n">
        <v>2</v>
      </c>
      <c r="G1612" s="4" t="n">
        <v>2</v>
      </c>
      <c r="H1612" s="13" t="n"/>
      <c r="I1612" s="15" t="n"/>
      <c r="J1612" s="19" t="n">
        <v>2</v>
      </c>
      <c r="K1612" s="2" t="inlineStr">
        <is>
          <t>marker_803_754293.png</t>
        </is>
      </c>
      <c r="L1612" s="11">
        <f>HYPERLINK("2\1\" &amp; K1612, "Ver Imagen")</f>
        <v/>
      </c>
      <c r="M1612" t="inlineStr">
        <is>
          <t>Moda</t>
        </is>
      </c>
    </row>
    <row r="1613">
      <c r="A1613" t="n">
        <v>1612</v>
      </c>
      <c r="B1613" t="inlineStr">
        <is>
          <t>A-490__465</t>
        </is>
      </c>
      <c r="C1613" s="1" t="n">
        <v>37.4849685863</v>
      </c>
      <c r="D1613" s="1" t="n">
        <v>-7.23028844782</v>
      </c>
      <c r="E1613" s="3" t="n">
        <v>1</v>
      </c>
      <c r="F1613" s="2" t="n">
        <v>2</v>
      </c>
      <c r="G1613" s="4" t="n">
        <v>2</v>
      </c>
      <c r="H1613" s="13" t="n"/>
      <c r="I1613" s="15" t="n"/>
      <c r="J1613" s="19" t="n">
        <v>2</v>
      </c>
      <c r="K1613" s="2" t="inlineStr">
        <is>
          <t>marker_202_755299.png</t>
        </is>
      </c>
      <c r="L1613" s="11">
        <f>HYPERLINK("2\1\" &amp; K1613, "Ver Imagen")</f>
        <v/>
      </c>
      <c r="M1613" t="inlineStr">
        <is>
          <t>Moda</t>
        </is>
      </c>
    </row>
    <row r="1614">
      <c r="A1614" t="n">
        <v>1613</v>
      </c>
      <c r="B1614" t="inlineStr">
        <is>
          <t>A-490__475</t>
        </is>
      </c>
      <c r="C1614" s="1" t="n">
        <v>37.4854602575</v>
      </c>
      <c r="D1614" s="1" t="n">
        <v>-7.23285058258</v>
      </c>
      <c r="E1614" s="3" t="n">
        <v>1</v>
      </c>
      <c r="F1614" s="2" t="n">
        <v>2</v>
      </c>
      <c r="G1614" s="4" t="n">
        <v>2</v>
      </c>
      <c r="H1614" s="13" t="n"/>
      <c r="I1614" s="15" t="n"/>
      <c r="J1614" s="19" t="n">
        <v>2</v>
      </c>
      <c r="K1614" s="2" t="inlineStr">
        <is>
          <t>marker_994_755497.png</t>
        </is>
      </c>
      <c r="L1614" s="11">
        <f>HYPERLINK("2\1\" &amp; K1614, "Ver Imagen")</f>
        <v/>
      </c>
      <c r="M1614" t="inlineStr">
        <is>
          <t>Moda</t>
        </is>
      </c>
    </row>
    <row r="1615">
      <c r="A1615" t="n">
        <v>1614</v>
      </c>
      <c r="B1615" t="inlineStr">
        <is>
          <t>A-490__476</t>
        </is>
      </c>
      <c r="C1615" s="1" t="n">
        <v>37.4855028877</v>
      </c>
      <c r="D1615" s="1" t="n">
        <v>-7.23307182017</v>
      </c>
      <c r="E1615" s="3" t="n">
        <v>1</v>
      </c>
      <c r="F1615" s="2" t="n">
        <v>2</v>
      </c>
      <c r="G1615" s="4" t="n">
        <v>2</v>
      </c>
      <c r="H1615" s="13" t="n"/>
      <c r="I1615" s="15" t="n"/>
      <c r="J1615" s="19" t="n">
        <v>2</v>
      </c>
      <c r="K1615" s="2" t="inlineStr">
        <is>
          <t>marker_959_755512.png</t>
        </is>
      </c>
      <c r="L1615" s="11">
        <f>HYPERLINK("2\1\" &amp; K1615, "Ver Imagen")</f>
        <v/>
      </c>
      <c r="M1615" t="inlineStr">
        <is>
          <t>Moda</t>
        </is>
      </c>
    </row>
    <row r="1616">
      <c r="A1616" t="n">
        <v>1615</v>
      </c>
      <c r="B1616" t="inlineStr">
        <is>
          <t>A-490__477</t>
        </is>
      </c>
      <c r="C1616" s="1" t="n">
        <v>37.4855448</v>
      </c>
      <c r="D1616" s="1" t="n">
        <v>-7.23329231052</v>
      </c>
      <c r="E1616" s="3" t="n">
        <v>1</v>
      </c>
      <c r="F1616" s="2" t="n">
        <v>2</v>
      </c>
      <c r="G1616" s="4" t="n">
        <v>2</v>
      </c>
      <c r="H1616" s="13" t="n"/>
      <c r="I1616" s="15" t="n"/>
      <c r="J1616" s="19" t="n">
        <v>2</v>
      </c>
      <c r="K1616" s="2" t="inlineStr">
        <is>
          <t>marker_272_755527.png</t>
        </is>
      </c>
      <c r="L1616" s="11">
        <f>HYPERLINK("2\1\" &amp; K1616, "Ver Imagen")</f>
        <v/>
      </c>
      <c r="M1616" t="inlineStr">
        <is>
          <t>Moda</t>
        </is>
      </c>
    </row>
    <row r="1617">
      <c r="A1617" t="n">
        <v>1616</v>
      </c>
      <c r="B1617" t="inlineStr">
        <is>
          <t>A-490__478</t>
        </is>
      </c>
      <c r="C1617" s="1" t="n">
        <v>37.4855935026</v>
      </c>
      <c r="D1617" s="1" t="n">
        <v>-7.23355355599</v>
      </c>
      <c r="E1617" s="3" t="n">
        <v>1</v>
      </c>
      <c r="F1617" s="2" t="n">
        <v>2</v>
      </c>
      <c r="G1617" s="4" t="n">
        <v>2</v>
      </c>
      <c r="H1617" s="13" t="n"/>
      <c r="I1617" s="15" t="n"/>
      <c r="J1617" s="19" t="n">
        <v>2</v>
      </c>
      <c r="K1617" s="2" t="inlineStr">
        <is>
          <t>marker_197_755544.png</t>
        </is>
      </c>
      <c r="L1617" s="11">
        <f>HYPERLINK("2\1\" &amp; K1617, "Ver Imagen")</f>
        <v/>
      </c>
      <c r="M1617" t="inlineStr">
        <is>
          <t>Moda</t>
        </is>
      </c>
    </row>
    <row r="1618">
      <c r="A1618" t="n">
        <v>1617</v>
      </c>
      <c r="B1618" t="inlineStr">
        <is>
          <t>A-490__488</t>
        </is>
      </c>
      <c r="C1618" s="1" t="n">
        <v>37.4860643778</v>
      </c>
      <c r="D1618" s="1" t="n">
        <v>-7.23599605183</v>
      </c>
      <c r="E1618" s="3" t="n">
        <v>1</v>
      </c>
      <c r="F1618" s="2" t="n">
        <v>2</v>
      </c>
      <c r="G1618" s="4" t="n">
        <v>2</v>
      </c>
      <c r="H1618" s="13" t="n"/>
      <c r="I1618" s="15" t="n"/>
      <c r="J1618" s="19" t="n">
        <v>2</v>
      </c>
      <c r="K1618" s="2" t="inlineStr">
        <is>
          <t>marker_804_755735.png</t>
        </is>
      </c>
      <c r="L1618" s="11">
        <f>HYPERLINK("2\1\" &amp; K1618, "Ver Imagen")</f>
        <v/>
      </c>
      <c r="M1618" t="inlineStr">
        <is>
          <t>Moda</t>
        </is>
      </c>
    </row>
    <row r="1619">
      <c r="A1619" t="n">
        <v>1618</v>
      </c>
      <c r="B1619" t="inlineStr">
        <is>
          <t>A-490__491</t>
        </is>
      </c>
      <c r="C1619" s="1" t="n">
        <v>37.4862097412</v>
      </c>
      <c r="D1619" s="1" t="n">
        <v>-7.2367448545</v>
      </c>
      <c r="E1619" s="3" t="n">
        <v>1</v>
      </c>
      <c r="F1619" s="2" t="n">
        <v>2</v>
      </c>
      <c r="G1619" s="4" t="n">
        <v>2</v>
      </c>
      <c r="H1619" s="13" t="n"/>
      <c r="I1619" s="15" t="n"/>
      <c r="J1619" s="19" t="n">
        <v>2</v>
      </c>
      <c r="K1619" s="2" t="inlineStr">
        <is>
          <t>marker_330_755778.png</t>
        </is>
      </c>
      <c r="L1619" s="11">
        <f>HYPERLINK("2\1\" &amp; K1619, "Ver Imagen")</f>
        <v/>
      </c>
      <c r="M1619" t="inlineStr">
        <is>
          <t>Moda</t>
        </is>
      </c>
    </row>
    <row r="1620">
      <c r="A1620" t="n">
        <v>1619</v>
      </c>
      <c r="B1620" t="inlineStr">
        <is>
          <t>A-490__493</t>
        </is>
      </c>
      <c r="C1620" s="1" t="n">
        <v>37.486299651</v>
      </c>
      <c r="D1620" s="1" t="n">
        <v>-7.23720923628</v>
      </c>
      <c r="E1620" s="3" t="n">
        <v>1</v>
      </c>
      <c r="F1620" s="2" t="n">
        <v>2</v>
      </c>
      <c r="G1620" s="4" t="n">
        <v>2</v>
      </c>
      <c r="H1620" s="13" t="n"/>
      <c r="I1620" s="15" t="n"/>
      <c r="J1620" s="19" t="n">
        <v>2</v>
      </c>
      <c r="K1620" s="2" t="inlineStr">
        <is>
          <t>marker_197_755811.png</t>
        </is>
      </c>
      <c r="L1620" s="11">
        <f>HYPERLINK("2\1\" &amp; K1620, "Ver Imagen")</f>
        <v/>
      </c>
      <c r="M1620" t="inlineStr">
        <is>
          <t>Moda</t>
        </is>
      </c>
    </row>
    <row r="1621">
      <c r="A1621" t="n">
        <v>1620</v>
      </c>
      <c r="B1621" t="inlineStr">
        <is>
          <t>A-490__496</t>
        </is>
      </c>
      <c r="C1621" s="1" t="n">
        <v>37.4864407655</v>
      </c>
      <c r="D1621" s="1" t="n">
        <v>-7.23795185396</v>
      </c>
      <c r="E1621" s="3" t="n">
        <v>1</v>
      </c>
      <c r="F1621" s="2" t="n">
        <v>2</v>
      </c>
      <c r="G1621" s="4" t="n">
        <v>2</v>
      </c>
      <c r="H1621" s="13" t="n"/>
      <c r="I1621" s="15" t="n"/>
      <c r="J1621" s="19" t="n">
        <v>2</v>
      </c>
      <c r="K1621" s="2" t="inlineStr">
        <is>
          <t>marker_371_755902.png</t>
        </is>
      </c>
      <c r="L1621" s="11">
        <f>HYPERLINK("2\1\" &amp; K1621, "Ver Imagen")</f>
        <v/>
      </c>
      <c r="M1621" t="inlineStr">
        <is>
          <t>Moda</t>
        </is>
      </c>
    </row>
    <row r="1622">
      <c r="A1622" t="n">
        <v>1621</v>
      </c>
      <c r="B1622" t="inlineStr">
        <is>
          <t>A-490__562</t>
        </is>
      </c>
      <c r="C1622" s="1" t="n">
        <v>37.490618104</v>
      </c>
      <c r="D1622" s="1" t="n">
        <v>-7.25327979402</v>
      </c>
      <c r="E1622" s="3" t="n">
        <v>1</v>
      </c>
      <c r="F1622" s="2" t="n">
        <v>2</v>
      </c>
      <c r="G1622" s="4" t="n">
        <v>2</v>
      </c>
      <c r="H1622" s="13" t="n"/>
      <c r="I1622" s="15" t="n"/>
      <c r="J1622" s="19" t="n">
        <v>2</v>
      </c>
      <c r="K1622" s="2" t="inlineStr">
        <is>
          <t>marker_914_819203.png</t>
        </is>
      </c>
      <c r="L1622" s="11">
        <f>HYPERLINK("2\1\" &amp; K1622, "Ver Imagen")</f>
        <v/>
      </c>
      <c r="M1622" t="inlineStr">
        <is>
          <t>Moda</t>
        </is>
      </c>
    </row>
    <row r="1623">
      <c r="A1623" t="n">
        <v>1622</v>
      </c>
      <c r="B1623" t="inlineStr">
        <is>
          <t>A-490__571</t>
        </is>
      </c>
      <c r="C1623" s="1" t="n">
        <v>37.4904291306</v>
      </c>
      <c r="D1623" s="1" t="n">
        <v>-7.25550784097</v>
      </c>
      <c r="E1623" s="3" t="n">
        <v>1</v>
      </c>
      <c r="F1623" s="2" t="n">
        <v>2</v>
      </c>
      <c r="G1623" s="4" t="n">
        <v>2</v>
      </c>
      <c r="H1623" s="13" t="n"/>
      <c r="I1623" s="15" t="n"/>
      <c r="J1623" s="19" t="n">
        <v>2</v>
      </c>
      <c r="K1623" s="2" t="inlineStr">
        <is>
          <t>marker_305_819342.png</t>
        </is>
      </c>
      <c r="L1623" s="11">
        <f>HYPERLINK("2\1\" &amp; K1623, "Ver Imagen")</f>
        <v/>
      </c>
      <c r="M1623" t="inlineStr">
        <is>
          <t>Moda</t>
        </is>
      </c>
    </row>
    <row r="1624">
      <c r="A1624" t="n">
        <v>1623</v>
      </c>
      <c r="B1624" t="inlineStr">
        <is>
          <t>A-490__621</t>
        </is>
      </c>
      <c r="C1624" s="1" t="n">
        <v>37.4944257609</v>
      </c>
      <c r="D1624" s="1" t="n">
        <v>-7.26603617101</v>
      </c>
      <c r="E1624" s="3" t="n">
        <v>1</v>
      </c>
      <c r="F1624" s="2" t="n">
        <v>2</v>
      </c>
      <c r="G1624" s="4" t="n">
        <v>2</v>
      </c>
      <c r="H1624" s="13" t="n"/>
      <c r="I1624" s="15" t="n"/>
      <c r="J1624" s="19" t="n">
        <v>2</v>
      </c>
      <c r="K1624" s="2" t="inlineStr">
        <is>
          <t>marker_297_820322.png</t>
        </is>
      </c>
      <c r="L1624" s="11">
        <f>HYPERLINK("2\1\" &amp; K1624, "Ver Imagen")</f>
        <v/>
      </c>
      <c r="M1624" t="inlineStr">
        <is>
          <t>Moda</t>
        </is>
      </c>
    </row>
    <row r="1625">
      <c r="A1625" t="n">
        <v>1624</v>
      </c>
      <c r="B1625" t="inlineStr">
        <is>
          <t>A-492__52</t>
        </is>
      </c>
      <c r="C1625" s="1" t="n">
        <v>37.2794086944</v>
      </c>
      <c r="D1625" s="1" t="n">
        <v>-6.99608114297</v>
      </c>
      <c r="E1625" s="3" t="n">
        <v>2</v>
      </c>
      <c r="F1625" s="2" t="n">
        <v>2</v>
      </c>
      <c r="G1625" s="4" t="n">
        <v>3</v>
      </c>
      <c r="H1625" s="13" t="n"/>
      <c r="I1625" s="15" t="n"/>
      <c r="J1625" s="19" t="n">
        <v>2</v>
      </c>
      <c r="K1625" s="2" t="inlineStr">
        <is>
          <t>marker_429_823028.png</t>
        </is>
      </c>
      <c r="L1625" s="11">
        <f>HYPERLINK("2\1\" &amp; K1625, "Ver Imagen")</f>
        <v/>
      </c>
      <c r="M1625" t="inlineStr">
        <is>
          <t>Moda</t>
        </is>
      </c>
    </row>
    <row r="1626">
      <c r="A1626" t="n">
        <v>1625</v>
      </c>
      <c r="B1626" t="inlineStr">
        <is>
          <t>A-492__55</t>
        </is>
      </c>
      <c r="C1626" s="1" t="n">
        <v>37.2795761674</v>
      </c>
      <c r="D1626" s="1" t="n">
        <v>-6.99682629058</v>
      </c>
      <c r="E1626" s="3" t="n">
        <v>2</v>
      </c>
      <c r="F1626" s="2" t="n">
        <v>2</v>
      </c>
      <c r="G1626" s="4" t="n">
        <v>3</v>
      </c>
      <c r="H1626" s="13" t="n"/>
      <c r="I1626" s="15" t="n"/>
      <c r="J1626" s="19" t="n">
        <v>2</v>
      </c>
      <c r="K1626" s="2" t="inlineStr">
        <is>
          <t>marker_319_823076.png</t>
        </is>
      </c>
      <c r="L1626" s="11">
        <f>HYPERLINK("2\1\" &amp; K1626, "Ver Imagen")</f>
        <v/>
      </c>
      <c r="M1626" t="inlineStr">
        <is>
          <t>Moda</t>
        </is>
      </c>
    </row>
    <row r="1627">
      <c r="A1627" t="n">
        <v>1626</v>
      </c>
      <c r="B1627" t="inlineStr">
        <is>
          <t>A-492__56</t>
        </is>
      </c>
      <c r="C1627" s="1" t="n">
        <v>37.2796175832</v>
      </c>
      <c r="D1627" s="1" t="n">
        <v>-6.99702900202</v>
      </c>
      <c r="E1627" s="3" t="n">
        <v>2</v>
      </c>
      <c r="F1627" s="2" t="n">
        <v>2</v>
      </c>
      <c r="G1627" s="4" t="n">
        <v>3</v>
      </c>
      <c r="H1627" s="13" t="n"/>
      <c r="I1627" s="15" t="n"/>
      <c r="J1627" s="19" t="n">
        <v>2</v>
      </c>
      <c r="K1627" s="2" t="inlineStr">
        <is>
          <t>marker_956_823086.png</t>
        </is>
      </c>
      <c r="L1627" s="11">
        <f>HYPERLINK("2\1\" &amp; K1627, "Ver Imagen")</f>
        <v/>
      </c>
      <c r="M1627" t="inlineStr">
        <is>
          <t>Moda</t>
        </is>
      </c>
    </row>
    <row r="1628">
      <c r="A1628" t="n">
        <v>1627</v>
      </c>
      <c r="B1628" t="inlineStr">
        <is>
          <t>A-492__147</t>
        </is>
      </c>
      <c r="C1628" s="1" t="n">
        <v>37.2754459109</v>
      </c>
      <c r="D1628" s="1" t="n">
        <v>-7.0175266367</v>
      </c>
      <c r="E1628" s="3" t="n">
        <v>1</v>
      </c>
      <c r="F1628" s="2" t="n">
        <v>2</v>
      </c>
      <c r="G1628" s="4" t="n">
        <v>2</v>
      </c>
      <c r="H1628" s="13" t="n"/>
      <c r="I1628" s="15" t="n"/>
      <c r="J1628" s="19" t="n">
        <v>2</v>
      </c>
      <c r="K1628" s="2" t="inlineStr">
        <is>
          <t>marker_219_824758.png</t>
        </is>
      </c>
      <c r="L1628" s="11">
        <f>HYPERLINK("2\1\" &amp; K1628, "Ver Imagen")</f>
        <v/>
      </c>
      <c r="M1628" t="inlineStr">
        <is>
          <t>Moda</t>
        </is>
      </c>
    </row>
    <row r="1629">
      <c r="A1629" t="n">
        <v>1628</v>
      </c>
      <c r="B1629" t="inlineStr">
        <is>
          <t>A-492__263</t>
        </is>
      </c>
      <c r="C1629" s="1" t="n">
        <v>37.2859923011</v>
      </c>
      <c r="D1629" s="1" t="n">
        <v>-7.04139966962</v>
      </c>
      <c r="E1629" s="3" t="n">
        <v>1</v>
      </c>
      <c r="F1629" s="2" t="n">
        <v>2</v>
      </c>
      <c r="G1629" s="4" t="n">
        <v>2</v>
      </c>
      <c r="H1629" s="13" t="n"/>
      <c r="I1629" s="15" t="n"/>
      <c r="J1629" s="19" t="n">
        <v>2</v>
      </c>
      <c r="K1629" s="2" t="inlineStr">
        <is>
          <t>marker_341_836626.png</t>
        </is>
      </c>
      <c r="L1629" s="11">
        <f>HYPERLINK("2\1\" &amp; K1629, "Ver Imagen")</f>
        <v/>
      </c>
      <c r="M1629" t="inlineStr">
        <is>
          <t>Moda</t>
        </is>
      </c>
    </row>
    <row r="1630">
      <c r="A1630" t="n">
        <v>1629</v>
      </c>
      <c r="B1630" t="inlineStr">
        <is>
          <t>A-492__268</t>
        </is>
      </c>
      <c r="C1630" s="1" t="n">
        <v>37.2869001646</v>
      </c>
      <c r="D1630" s="1" t="n">
        <v>-7.04191625375</v>
      </c>
      <c r="E1630" s="3" t="n">
        <v>1</v>
      </c>
      <c r="F1630" s="2" t="n">
        <v>2</v>
      </c>
      <c r="G1630" s="4" t="n">
        <v>2</v>
      </c>
      <c r="H1630" s="13" t="n"/>
      <c r="I1630" s="15" t="n"/>
      <c r="J1630" s="19" t="n">
        <v>2</v>
      </c>
      <c r="K1630" s="2" t="inlineStr">
        <is>
          <t>marker_546_836725.png</t>
        </is>
      </c>
      <c r="L1630" s="11">
        <f>HYPERLINK("2\1\" &amp; K1630, "Ver Imagen")</f>
        <v/>
      </c>
      <c r="M1630" t="inlineStr">
        <is>
          <t>Moda</t>
        </is>
      </c>
    </row>
    <row r="1631">
      <c r="A1631" t="n">
        <v>1630</v>
      </c>
      <c r="B1631" t="inlineStr">
        <is>
          <t>A-492__270</t>
        </is>
      </c>
      <c r="C1631" s="1" t="n">
        <v>37.2873060943</v>
      </c>
      <c r="D1631" s="1" t="n">
        <v>-7.04209802497</v>
      </c>
      <c r="E1631" s="3" t="n">
        <v>1</v>
      </c>
      <c r="F1631" s="2" t="n">
        <v>2</v>
      </c>
      <c r="G1631" s="4" t="n">
        <v>2</v>
      </c>
      <c r="H1631" s="13" t="n"/>
      <c r="I1631" s="15" t="n"/>
      <c r="J1631" s="19" t="n">
        <v>2</v>
      </c>
      <c r="K1631" s="2" t="inlineStr">
        <is>
          <t>marker_730_836750.png</t>
        </is>
      </c>
      <c r="L1631" s="11">
        <f>HYPERLINK("2\1\" &amp; K1631, "Ver Imagen")</f>
        <v/>
      </c>
      <c r="M1631" t="inlineStr">
        <is>
          <t>Moda</t>
        </is>
      </c>
    </row>
    <row r="1632">
      <c r="A1632" t="n">
        <v>1631</v>
      </c>
      <c r="B1632" t="inlineStr">
        <is>
          <t>A-492__322</t>
        </is>
      </c>
      <c r="C1632" s="1" t="n">
        <v>37.2956640634</v>
      </c>
      <c r="D1632" s="1" t="n">
        <v>-7.04940179701</v>
      </c>
      <c r="E1632" s="3" t="n">
        <v>1</v>
      </c>
      <c r="F1632" s="2" t="n">
        <v>2</v>
      </c>
      <c r="G1632" s="4" t="n">
        <v>2</v>
      </c>
      <c r="H1632" s="13" t="n"/>
      <c r="I1632" s="15" t="n"/>
      <c r="J1632" s="19" t="n">
        <v>2</v>
      </c>
      <c r="K1632" s="2" t="inlineStr">
        <is>
          <t>marker_293_837984.png</t>
        </is>
      </c>
      <c r="L1632" s="11">
        <f>HYPERLINK("2\1\" &amp; K1632, "Ver Imagen")</f>
        <v/>
      </c>
      <c r="M1632" t="inlineStr">
        <is>
          <t>Moda</t>
        </is>
      </c>
    </row>
    <row r="1633">
      <c r="A1633" t="n">
        <v>1632</v>
      </c>
      <c r="B1633" t="inlineStr">
        <is>
          <t>A-492__339</t>
        </is>
      </c>
      <c r="C1633" s="1" t="n">
        <v>37.2975866417</v>
      </c>
      <c r="D1633" s="1" t="n">
        <v>-7.05294275082</v>
      </c>
      <c r="E1633" s="3" t="n">
        <v>1</v>
      </c>
      <c r="F1633" s="2" t="n">
        <v>2</v>
      </c>
      <c r="G1633" s="4" t="n">
        <v>2</v>
      </c>
      <c r="H1633" s="13" t="n"/>
      <c r="I1633" s="15" t="n"/>
      <c r="J1633" s="19" t="n">
        <v>2</v>
      </c>
      <c r="K1633" s="2" t="inlineStr">
        <is>
          <t>marker_599_838190.png</t>
        </is>
      </c>
      <c r="L1633" s="11">
        <f>HYPERLINK("2\1\" &amp; K1633, "Ver Imagen")</f>
        <v/>
      </c>
      <c r="M1633" t="inlineStr">
        <is>
          <t>Moda</t>
        </is>
      </c>
    </row>
    <row r="1634">
      <c r="A1634" t="n">
        <v>1633</v>
      </c>
      <c r="B1634" t="inlineStr">
        <is>
          <t>A-492__423</t>
        </is>
      </c>
      <c r="C1634" s="1" t="n">
        <v>37.3125339586</v>
      </c>
      <c r="D1634" s="1" t="n">
        <v>-7.06100826199</v>
      </c>
      <c r="E1634" s="3" t="n">
        <v>1</v>
      </c>
      <c r="F1634" s="2" t="n">
        <v>2</v>
      </c>
      <c r="G1634" s="4" t="n">
        <v>2</v>
      </c>
      <c r="H1634" s="13" t="n"/>
      <c r="I1634" s="15" t="n"/>
      <c r="J1634" s="19" t="n">
        <v>2</v>
      </c>
      <c r="K1634" s="2" t="inlineStr">
        <is>
          <t>marker_617_839448.png</t>
        </is>
      </c>
      <c r="L1634" s="11">
        <f>HYPERLINK("2\1\" &amp; K1634, "Ver Imagen")</f>
        <v/>
      </c>
      <c r="M1634" t="inlineStr">
        <is>
          <t>Moda</t>
        </is>
      </c>
    </row>
    <row r="1635">
      <c r="A1635" t="n">
        <v>1634</v>
      </c>
      <c r="B1635" t="inlineStr">
        <is>
          <t>A-492__444</t>
        </is>
      </c>
      <c r="C1635" s="1" t="n">
        <v>37.3149449888</v>
      </c>
      <c r="D1635" s="1" t="n">
        <v>-7.06538215545</v>
      </c>
      <c r="E1635" s="3" t="n">
        <v>1</v>
      </c>
      <c r="F1635" s="2" t="n">
        <v>2</v>
      </c>
      <c r="G1635" s="4" t="n">
        <v>2</v>
      </c>
      <c r="H1635" s="13" t="n"/>
      <c r="I1635" s="15" t="n"/>
      <c r="J1635" s="19" t="n">
        <v>2</v>
      </c>
      <c r="K1635" s="2" t="inlineStr">
        <is>
          <t>marker_441_839744.png</t>
        </is>
      </c>
      <c r="L1635" s="11">
        <f>HYPERLINK("2\1\" &amp; K1635, "Ver Imagen")</f>
        <v/>
      </c>
      <c r="M1635" t="inlineStr">
        <is>
          <t>Moda</t>
        </is>
      </c>
    </row>
    <row r="1636">
      <c r="A1636" t="n">
        <v>1635</v>
      </c>
      <c r="B1636" t="inlineStr">
        <is>
          <t>A-492__475</t>
        </is>
      </c>
      <c r="C1636" s="1" t="n">
        <v>37.3183624819</v>
      </c>
      <c r="D1636" s="1" t="n">
        <v>-7.07131830153</v>
      </c>
      <c r="E1636" s="3" t="n">
        <v>2</v>
      </c>
      <c r="F1636" s="2" t="n">
        <v>2</v>
      </c>
      <c r="G1636" s="4" t="n">
        <v>3</v>
      </c>
      <c r="H1636" s="13" t="n"/>
      <c r="I1636" s="15" t="n"/>
      <c r="J1636" s="19" t="n">
        <v>2</v>
      </c>
      <c r="K1636" s="2" t="inlineStr">
        <is>
          <t>marker_677_840102.png</t>
        </is>
      </c>
      <c r="L1636" s="11">
        <f>HYPERLINK("2\1\" &amp; K1636, "Ver Imagen")</f>
        <v/>
      </c>
      <c r="M1636" t="inlineStr">
        <is>
          <t>Moda</t>
        </is>
      </c>
    </row>
    <row r="1637">
      <c r="A1637" t="n">
        <v>1636</v>
      </c>
      <c r="B1637" t="inlineStr">
        <is>
          <t>A-492__477</t>
        </is>
      </c>
      <c r="C1637" s="1" t="n">
        <v>37.3187626631</v>
      </c>
      <c r="D1637" s="1" t="n">
        <v>-7.07138873772</v>
      </c>
      <c r="E1637" s="3" t="n">
        <v>2</v>
      </c>
      <c r="F1637" s="2" t="n">
        <v>2</v>
      </c>
      <c r="G1637" s="4" t="n">
        <v>3</v>
      </c>
      <c r="H1637" s="13" t="n"/>
      <c r="I1637" s="15" t="n"/>
      <c r="J1637" s="19" t="n">
        <v>2</v>
      </c>
      <c r="K1637" s="2" t="inlineStr">
        <is>
          <t>marker_336_840122.png</t>
        </is>
      </c>
      <c r="L1637" s="11">
        <f>HYPERLINK("2\1\" &amp; K1637, "Ver Imagen")</f>
        <v/>
      </c>
      <c r="M1637" t="inlineStr">
        <is>
          <t>Moda</t>
        </is>
      </c>
    </row>
    <row r="1638">
      <c r="A1638" t="n">
        <v>1637</v>
      </c>
      <c r="B1638" t="inlineStr">
        <is>
          <t>A-5050__166</t>
        </is>
      </c>
      <c r="C1638" s="1" t="n">
        <v>37.1915162075</v>
      </c>
      <c r="D1638" s="1" t="n">
        <v>-6.99205553974</v>
      </c>
      <c r="E1638" s="3" t="n">
        <v>2</v>
      </c>
      <c r="F1638" s="2" t="n">
        <v>2</v>
      </c>
      <c r="G1638" s="4" t="n">
        <v>3</v>
      </c>
      <c r="H1638" s="13" t="n"/>
      <c r="I1638" s="15" t="n"/>
      <c r="J1638" s="19" t="n">
        <v>2</v>
      </c>
      <c r="K1638" s="2" t="inlineStr">
        <is>
          <t>marker_374_944331.png</t>
        </is>
      </c>
      <c r="L1638" s="11">
        <f>HYPERLINK("2\1\" &amp; K1638, "Ver Imagen")</f>
        <v/>
      </c>
      <c r="M1638" t="inlineStr">
        <is>
          <t>Moda</t>
        </is>
      </c>
    </row>
    <row r="1639">
      <c r="A1639" t="n">
        <v>1638</v>
      </c>
      <c r="B1639" t="inlineStr">
        <is>
          <t>A-5050__162</t>
        </is>
      </c>
      <c r="C1639" s="1" t="n">
        <v>37.1919296768</v>
      </c>
      <c r="D1639" s="1" t="n">
        <v>-6.99291349848</v>
      </c>
      <c r="E1639" s="3" t="n">
        <v>2</v>
      </c>
      <c r="F1639" s="2" t="n">
        <v>2</v>
      </c>
      <c r="G1639" s="4" t="n">
        <v>3</v>
      </c>
      <c r="H1639" s="13" t="n"/>
      <c r="I1639" s="15" t="n"/>
      <c r="J1639" s="19" t="n">
        <v>2</v>
      </c>
      <c r="K1639" s="2" t="inlineStr">
        <is>
          <t>marker_251_944669.png</t>
        </is>
      </c>
      <c r="L1639" s="11">
        <f>HYPERLINK("2\1\" &amp; K1639, "Ver Imagen")</f>
        <v/>
      </c>
      <c r="M1639" t="inlineStr">
        <is>
          <t>Moda</t>
        </is>
      </c>
    </row>
    <row r="1640">
      <c r="A1640" t="n">
        <v>1639</v>
      </c>
      <c r="B1640" t="inlineStr">
        <is>
          <t>A-5052__20</t>
        </is>
      </c>
      <c r="C1640" s="1" t="n">
        <v>37.2179971644</v>
      </c>
      <c r="D1640" s="1" t="n">
        <v>-7.12103967902</v>
      </c>
      <c r="E1640" s="3" t="n">
        <v>3</v>
      </c>
      <c r="F1640" s="2" t="n">
        <v>2</v>
      </c>
      <c r="G1640" s="4" t="n">
        <v>2</v>
      </c>
      <c r="H1640" s="13" t="n"/>
      <c r="I1640" s="15" t="n"/>
      <c r="J1640" s="19" t="n">
        <v>2</v>
      </c>
      <c r="K1640" s="2" t="inlineStr">
        <is>
          <t>marker_201_951472.png</t>
        </is>
      </c>
      <c r="L1640" s="11">
        <f>HYPERLINK("2\1\" &amp; K1640, "Ver Imagen")</f>
        <v/>
      </c>
      <c r="M1640" t="inlineStr">
        <is>
          <t>Moda</t>
        </is>
      </c>
    </row>
    <row r="1641">
      <c r="A1641" t="n">
        <v>1640</v>
      </c>
      <c r="B1641" t="inlineStr">
        <is>
          <t>A-5052__21</t>
        </is>
      </c>
      <c r="C1641" s="1" t="n">
        <v>37.2180166962</v>
      </c>
      <c r="D1641" s="1" t="n">
        <v>-7.12078974614</v>
      </c>
      <c r="E1641" s="3" t="n">
        <v>2</v>
      </c>
      <c r="F1641" s="2" t="n">
        <v>2</v>
      </c>
      <c r="G1641" s="4" t="n">
        <v>3</v>
      </c>
      <c r="H1641" s="13" t="n"/>
      <c r="I1641" s="15" t="n"/>
      <c r="J1641" s="19" t="n">
        <v>2</v>
      </c>
      <c r="K1641" s="2" t="inlineStr">
        <is>
          <t>marker_225_951484.png</t>
        </is>
      </c>
      <c r="L1641" s="11">
        <f>HYPERLINK("2\1\" &amp; K1641, "Ver Imagen")</f>
        <v/>
      </c>
      <c r="M1641" t="inlineStr">
        <is>
          <t>Moda</t>
        </is>
      </c>
    </row>
    <row r="1642">
      <c r="A1642" t="n">
        <v>1641</v>
      </c>
      <c r="B1642" t="inlineStr">
        <is>
          <t>A-5052__26</t>
        </is>
      </c>
      <c r="C1642" s="1" t="n">
        <v>37.2181073132</v>
      </c>
      <c r="D1642" s="1" t="n">
        <v>-7.11951733347</v>
      </c>
      <c r="E1642" s="3" t="n">
        <v>2</v>
      </c>
      <c r="F1642" s="2" t="n">
        <v>2</v>
      </c>
      <c r="G1642" s="4" t="n">
        <v>3</v>
      </c>
      <c r="H1642" s="13" t="n"/>
      <c r="I1642" s="15" t="n"/>
      <c r="J1642" s="19" t="n">
        <v>2</v>
      </c>
      <c r="K1642" s="2" t="inlineStr">
        <is>
          <t>marker_171_951547.png</t>
        </is>
      </c>
      <c r="L1642" s="11">
        <f>HYPERLINK("2\1\" &amp; K1642, "Ver Imagen")</f>
        <v/>
      </c>
      <c r="M1642" t="inlineStr">
        <is>
          <t>Moda</t>
        </is>
      </c>
    </row>
    <row r="1643">
      <c r="A1643" t="n">
        <v>1642</v>
      </c>
      <c r="B1643" t="inlineStr">
        <is>
          <t>A-5052__106</t>
        </is>
      </c>
      <c r="C1643" s="1" t="n">
        <v>37.2170313882</v>
      </c>
      <c r="D1643" s="1" t="n">
        <v>-7.09944792779</v>
      </c>
      <c r="E1643" s="3" t="n">
        <v>2</v>
      </c>
      <c r="F1643" s="2" t="n">
        <v>2</v>
      </c>
      <c r="G1643" s="4" t="n">
        <v>3</v>
      </c>
      <c r="H1643" s="13" t="n"/>
      <c r="I1643" s="15" t="n"/>
      <c r="J1643" s="19" t="n">
        <v>2</v>
      </c>
      <c r="K1643" s="2" t="inlineStr">
        <is>
          <t>marker_581_957744.png</t>
        </is>
      </c>
      <c r="L1643" s="11">
        <f>HYPERLINK("2\1\" &amp; K1643, "Ver Imagen")</f>
        <v/>
      </c>
      <c r="M1643" t="inlineStr">
        <is>
          <t>Moda</t>
        </is>
      </c>
    </row>
    <row r="1644">
      <c r="A1644" t="n">
        <v>1643</v>
      </c>
      <c r="B1644" t="inlineStr">
        <is>
          <t>A-5052__131</t>
        </is>
      </c>
      <c r="C1644" s="1" t="n">
        <v>37.2165775939</v>
      </c>
      <c r="D1644" s="1" t="n">
        <v>-7.09318192279</v>
      </c>
      <c r="E1644" s="3" t="n">
        <v>2</v>
      </c>
      <c r="F1644" s="2" t="n">
        <v>2</v>
      </c>
      <c r="G1644" s="4" t="n">
        <v>3</v>
      </c>
      <c r="H1644" s="13" t="n"/>
      <c r="I1644" s="15" t="n"/>
      <c r="J1644" s="19" t="n">
        <v>2</v>
      </c>
      <c r="K1644" s="2" t="inlineStr">
        <is>
          <t>marker_221_958121.png</t>
        </is>
      </c>
      <c r="L1644" s="11">
        <f>HYPERLINK("2\1\" &amp; K1644, "Ver Imagen")</f>
        <v/>
      </c>
      <c r="M1644" t="inlineStr">
        <is>
          <t>Moda</t>
        </is>
      </c>
    </row>
    <row r="1645">
      <c r="A1645" t="n">
        <v>1644</v>
      </c>
      <c r="B1645" t="inlineStr">
        <is>
          <t>A-5052__148</t>
        </is>
      </c>
      <c r="C1645" s="1" t="n">
        <v>37.2160449638</v>
      </c>
      <c r="D1645" s="1" t="n">
        <v>-7.0889238755</v>
      </c>
      <c r="E1645" s="3" t="n">
        <v>2</v>
      </c>
      <c r="F1645" s="2" t="n">
        <v>2</v>
      </c>
      <c r="G1645" s="4" t="n">
        <v>3</v>
      </c>
      <c r="H1645" s="13" t="n"/>
      <c r="I1645" s="15" t="n"/>
      <c r="J1645" s="19" t="n">
        <v>2</v>
      </c>
      <c r="K1645" s="2" t="inlineStr">
        <is>
          <t>marker_224_958456.png</t>
        </is>
      </c>
      <c r="L1645" s="11">
        <f>HYPERLINK("2\1\" &amp; K1645, "Ver Imagen")</f>
        <v/>
      </c>
      <c r="M1645" t="inlineStr">
        <is>
          <t>Moda</t>
        </is>
      </c>
    </row>
    <row r="1646">
      <c r="A1646" t="n">
        <v>1645</v>
      </c>
      <c r="B1646" t="inlineStr">
        <is>
          <t>A-5052__168</t>
        </is>
      </c>
      <c r="C1646" s="1" t="n">
        <v>37.2161506673</v>
      </c>
      <c r="D1646" s="1" t="n">
        <v>-7.08387261882</v>
      </c>
      <c r="E1646" s="3" t="n">
        <v>2</v>
      </c>
      <c r="F1646" s="2" t="n">
        <v>2</v>
      </c>
      <c r="G1646" s="4" t="n">
        <v>3</v>
      </c>
      <c r="H1646" s="13" t="n"/>
      <c r="I1646" s="15" t="n"/>
      <c r="J1646" s="19" t="n">
        <v>2</v>
      </c>
      <c r="K1646" s="2" t="inlineStr">
        <is>
          <t>marker_766_958935.png</t>
        </is>
      </c>
      <c r="L1646" s="11">
        <f>HYPERLINK("2\1\" &amp; K1646, "Ver Imagen")</f>
        <v/>
      </c>
      <c r="M1646" t="inlineStr">
        <is>
          <t>Moda</t>
        </is>
      </c>
    </row>
    <row r="1647">
      <c r="A1647" t="n">
        <v>1646</v>
      </c>
      <c r="B1647" t="inlineStr">
        <is>
          <t>A-5052__169</t>
        </is>
      </c>
      <c r="C1647" s="1" t="n">
        <v>37.2160948609</v>
      </c>
      <c r="D1647" s="1" t="n">
        <v>-7.08363317313</v>
      </c>
      <c r="E1647" s="3" t="n">
        <v>2</v>
      </c>
      <c r="F1647" s="2" t="n">
        <v>2</v>
      </c>
      <c r="G1647" s="4" t="n">
        <v>3</v>
      </c>
      <c r="H1647" s="13" t="n"/>
      <c r="I1647" s="15" t="n"/>
      <c r="J1647" s="19" t="n">
        <v>2</v>
      </c>
      <c r="K1647" s="2" t="inlineStr">
        <is>
          <t>marker_403_958944.png</t>
        </is>
      </c>
      <c r="L1647" s="11">
        <f>HYPERLINK("2\1\" &amp; K1647, "Ver Imagen")</f>
        <v/>
      </c>
      <c r="M1647" t="inlineStr">
        <is>
          <t>Moda</t>
        </is>
      </c>
    </row>
    <row r="1648">
      <c r="A1648" t="n">
        <v>1647</v>
      </c>
      <c r="B1648" t="inlineStr">
        <is>
          <t>A-5052__170</t>
        </is>
      </c>
      <c r="C1648" s="1" t="n">
        <v>37.2160408418</v>
      </c>
      <c r="D1648" s="1" t="n">
        <v>-7.08340857192</v>
      </c>
      <c r="E1648" s="3" t="n">
        <v>2</v>
      </c>
      <c r="F1648" s="2" t="n">
        <v>2</v>
      </c>
      <c r="G1648" s="4" t="n">
        <v>3</v>
      </c>
      <c r="H1648" s="13" t="n"/>
      <c r="I1648" s="15" t="n"/>
      <c r="J1648" s="19" t="n">
        <v>2</v>
      </c>
      <c r="K1648" s="2" t="inlineStr">
        <is>
          <t>marker_689_958953.png</t>
        </is>
      </c>
      <c r="L1648" s="11">
        <f>HYPERLINK("2\1\" &amp; K1648, "Ver Imagen")</f>
        <v/>
      </c>
      <c r="M1648" t="inlineStr">
        <is>
          <t>Moda</t>
        </is>
      </c>
    </row>
    <row r="1649">
      <c r="A1649" t="n">
        <v>1648</v>
      </c>
      <c r="B1649" t="inlineStr">
        <is>
          <t>A-5052__171</t>
        </is>
      </c>
      <c r="C1649" s="1" t="n">
        <v>37.2159728303</v>
      </c>
      <c r="D1649" s="1" t="n">
        <v>-7.08313676273</v>
      </c>
      <c r="E1649" s="3" t="n">
        <v>2</v>
      </c>
      <c r="F1649" s="2" t="n">
        <v>2</v>
      </c>
      <c r="G1649" s="4" t="n">
        <v>3</v>
      </c>
      <c r="H1649" s="13" t="n"/>
      <c r="I1649" s="15" t="n"/>
      <c r="J1649" s="19" t="n">
        <v>2</v>
      </c>
      <c r="K1649" s="2" t="inlineStr">
        <is>
          <t>marker_922_958965.png</t>
        </is>
      </c>
      <c r="L1649" s="11">
        <f>HYPERLINK("2\1\" &amp; K1649, "Ver Imagen")</f>
        <v/>
      </c>
      <c r="M1649" t="inlineStr">
        <is>
          <t>Moda</t>
        </is>
      </c>
    </row>
    <row r="1650">
      <c r="A1650" t="n">
        <v>1649</v>
      </c>
      <c r="B1650" t="inlineStr">
        <is>
          <t>A-5052__212</t>
        </is>
      </c>
      <c r="C1650" s="1" t="n">
        <v>37.2138310839</v>
      </c>
      <c r="D1650" s="1" t="n">
        <v>-7.07313672663</v>
      </c>
      <c r="E1650" s="3" t="n">
        <v>2</v>
      </c>
      <c r="F1650" s="2" t="n">
        <v>2</v>
      </c>
      <c r="G1650" s="4" t="n">
        <v>3</v>
      </c>
      <c r="H1650" s="13" t="n"/>
      <c r="I1650" s="15" t="n"/>
      <c r="J1650" s="19" t="n">
        <v>2</v>
      </c>
      <c r="K1650" s="2" t="inlineStr">
        <is>
          <t>marker_358_959614.png</t>
        </is>
      </c>
      <c r="L1650" s="11">
        <f>HYPERLINK("2\1\" &amp; K1650, "Ver Imagen")</f>
        <v/>
      </c>
      <c r="M1650" t="inlineStr">
        <is>
          <t>Moda</t>
        </is>
      </c>
    </row>
    <row r="1651">
      <c r="A1651" t="n">
        <v>1650</v>
      </c>
      <c r="B1651" t="inlineStr">
        <is>
          <t>A-5052__240</t>
        </is>
      </c>
      <c r="C1651" s="1" t="n">
        <v>37.2133261472</v>
      </c>
      <c r="D1651" s="1" t="n">
        <v>-7.06609968274</v>
      </c>
      <c r="E1651" s="3" t="n">
        <v>2</v>
      </c>
      <c r="F1651" s="2" t="n">
        <v>2</v>
      </c>
      <c r="G1651" s="4" t="n">
        <v>3</v>
      </c>
      <c r="H1651" s="13" t="n"/>
      <c r="I1651" s="15" t="n"/>
      <c r="J1651" s="19" t="n">
        <v>2</v>
      </c>
      <c r="K1651" s="2" t="inlineStr">
        <is>
          <t>marker_859_959946.png</t>
        </is>
      </c>
      <c r="L1651" s="11">
        <f>HYPERLINK("2\1\" &amp; K1651, "Ver Imagen")</f>
        <v/>
      </c>
      <c r="M1651" t="inlineStr">
        <is>
          <t>Moda</t>
        </is>
      </c>
    </row>
    <row r="1652">
      <c r="A1652" t="n">
        <v>1651</v>
      </c>
      <c r="B1652" t="inlineStr">
        <is>
          <t>A-5052__468</t>
        </is>
      </c>
      <c r="C1652" s="1" t="n">
        <v>37.1989117493</v>
      </c>
      <c r="D1652" s="1" t="n">
        <v>-7.01285020063</v>
      </c>
      <c r="E1652" s="3" t="n">
        <v>2</v>
      </c>
      <c r="F1652" s="2" t="n">
        <v>2</v>
      </c>
      <c r="G1652" s="4" t="n">
        <v>3</v>
      </c>
      <c r="H1652" s="13" t="n"/>
      <c r="I1652" s="15" t="n"/>
      <c r="J1652" s="19" t="n">
        <v>2</v>
      </c>
      <c r="K1652" s="2" t="inlineStr">
        <is>
          <t>marker_977_963373.png</t>
        </is>
      </c>
      <c r="L1652" s="11">
        <f>HYPERLINK("2\1\" &amp; K1652, "Ver Imagen")</f>
        <v/>
      </c>
      <c r="M1652" t="inlineStr">
        <is>
          <t>Moda</t>
        </is>
      </c>
    </row>
    <row r="1653">
      <c r="A1653" t="n">
        <v>1652</v>
      </c>
      <c r="B1653" t="inlineStr">
        <is>
          <t>A-5052__483</t>
        </is>
      </c>
      <c r="C1653" s="1" t="n">
        <v>37.1975917026</v>
      </c>
      <c r="D1653" s="1" t="n">
        <v>-7.00944520608</v>
      </c>
      <c r="E1653" s="3" t="n">
        <v>2</v>
      </c>
      <c r="F1653" s="2" t="n">
        <v>2</v>
      </c>
      <c r="G1653" s="4" t="n">
        <v>3</v>
      </c>
      <c r="H1653" s="13" t="n"/>
      <c r="I1653" s="15" t="n"/>
      <c r="J1653" s="19" t="n">
        <v>2</v>
      </c>
      <c r="K1653" s="2" t="inlineStr">
        <is>
          <t>marker_824_963522.png</t>
        </is>
      </c>
      <c r="L1653" s="11">
        <f>HYPERLINK("2\1\" &amp; K1653, "Ver Imagen")</f>
        <v/>
      </c>
      <c r="M1653" t="inlineStr">
        <is>
          <t>Moda</t>
        </is>
      </c>
    </row>
    <row r="1654">
      <c r="A1654" t="n">
        <v>1653</v>
      </c>
      <c r="B1654" t="inlineStr">
        <is>
          <t>A-5053__382</t>
        </is>
      </c>
      <c r="C1654" s="1" t="n">
        <v>37.288499323</v>
      </c>
      <c r="D1654" s="1" t="n">
        <v>-7.14124532464</v>
      </c>
      <c r="E1654" s="3" t="n">
        <v>2</v>
      </c>
      <c r="F1654" s="2" t="n">
        <v>2</v>
      </c>
      <c r="G1654" s="4" t="n">
        <v>3</v>
      </c>
      <c r="H1654" s="13" t="n"/>
      <c r="I1654" s="15" t="n"/>
      <c r="J1654" s="19" t="n">
        <v>2</v>
      </c>
      <c r="K1654" s="2" t="inlineStr">
        <is>
          <t>marker_316_963825.png</t>
        </is>
      </c>
      <c r="L1654" s="11">
        <f>HYPERLINK("2\1\" &amp; K1654, "Ver Imagen")</f>
        <v/>
      </c>
      <c r="M1654" t="inlineStr">
        <is>
          <t>Moda</t>
        </is>
      </c>
    </row>
    <row r="1655">
      <c r="A1655" t="n">
        <v>1654</v>
      </c>
      <c r="B1655" t="inlineStr">
        <is>
          <t>A-5053__288</t>
        </is>
      </c>
      <c r="C1655" s="1" t="n">
        <v>37.2720421289</v>
      </c>
      <c r="D1655" s="1" t="n">
        <v>-7.14118676371</v>
      </c>
      <c r="E1655" s="3" t="n">
        <v>3</v>
      </c>
      <c r="F1655" s="2" t="n">
        <v>2</v>
      </c>
      <c r="G1655" s="4" t="n">
        <v>2</v>
      </c>
      <c r="H1655" s="13" t="n"/>
      <c r="I1655" s="15" t="n"/>
      <c r="J1655" s="19" t="n">
        <v>2</v>
      </c>
      <c r="K1655" s="2" t="inlineStr">
        <is>
          <t>marker_275_964976.png</t>
        </is>
      </c>
      <c r="L1655" s="11">
        <f>HYPERLINK("2\1\" &amp; K1655, "Ver Imagen")</f>
        <v/>
      </c>
      <c r="M1655" t="inlineStr">
        <is>
          <t>Moda</t>
        </is>
      </c>
    </row>
    <row r="1656">
      <c r="A1656" t="n">
        <v>1655</v>
      </c>
      <c r="B1656" t="inlineStr">
        <is>
          <t>A-5053__223</t>
        </is>
      </c>
      <c r="C1656" s="1" t="n">
        <v>37.262656539</v>
      </c>
      <c r="D1656" s="1" t="n">
        <v>-7.13075210775</v>
      </c>
      <c r="E1656" s="3" t="n">
        <v>3</v>
      </c>
      <c r="F1656" s="2" t="n">
        <v>2</v>
      </c>
      <c r="G1656" s="4" t="n">
        <v>2</v>
      </c>
      <c r="H1656" s="13" t="n"/>
      <c r="I1656" s="15" t="n"/>
      <c r="J1656" s="19" t="n">
        <v>2</v>
      </c>
      <c r="K1656" s="2" t="inlineStr">
        <is>
          <t>marker_857_965662.png</t>
        </is>
      </c>
      <c r="L1656" s="11">
        <f>HYPERLINK("2\1\" &amp; K1656, "Ver Imagen")</f>
        <v/>
      </c>
      <c r="M1656" t="inlineStr">
        <is>
          <t>Moda</t>
        </is>
      </c>
    </row>
    <row r="1657">
      <c r="A1657" t="n">
        <v>1656</v>
      </c>
      <c r="B1657" t="inlineStr">
        <is>
          <t>A-5053__165</t>
        </is>
      </c>
      <c r="C1657" s="1" t="n">
        <v>37.2517414489</v>
      </c>
      <c r="D1657" s="1" t="n">
        <v>-7.12701726858</v>
      </c>
      <c r="E1657" s="3" t="n">
        <v>3</v>
      </c>
      <c r="F1657" s="2" t="n">
        <v>2</v>
      </c>
      <c r="G1657" s="4" t="n">
        <v>2</v>
      </c>
      <c r="H1657" s="13" t="n"/>
      <c r="I1657" s="15" t="n"/>
      <c r="J1657" s="19" t="n">
        <v>2</v>
      </c>
      <c r="K1657" s="2" t="inlineStr">
        <is>
          <t>marker_281_966239.png</t>
        </is>
      </c>
      <c r="L1657" s="11">
        <f>HYPERLINK("2\1\" &amp; K1657, "Ver Imagen")</f>
        <v/>
      </c>
      <c r="M1657" t="inlineStr">
        <is>
          <t>Moda</t>
        </is>
      </c>
    </row>
    <row r="1658">
      <c r="A1658" t="n">
        <v>1657</v>
      </c>
      <c r="B1658" t="inlineStr">
        <is>
          <t>A-5053__121</t>
        </is>
      </c>
      <c r="C1658" s="1" t="n">
        <v>37.2428643473</v>
      </c>
      <c r="D1658" s="1" t="n">
        <v>-7.12833564072</v>
      </c>
      <c r="E1658" s="3" t="n">
        <v>2</v>
      </c>
      <c r="F1658" s="2" t="n">
        <v>2</v>
      </c>
      <c r="G1658" s="4" t="n">
        <v>3</v>
      </c>
      <c r="H1658" s="13" t="n"/>
      <c r="I1658" s="15" t="n"/>
      <c r="J1658" s="19" t="n">
        <v>2</v>
      </c>
      <c r="K1658" s="2" t="inlineStr">
        <is>
          <t>marker_342_019592.png</t>
        </is>
      </c>
      <c r="L1658" s="11">
        <f>HYPERLINK("2\1\" &amp; K1658, "Ver Imagen")</f>
        <v/>
      </c>
      <c r="M1658" t="inlineStr">
        <is>
          <t>Moda</t>
        </is>
      </c>
    </row>
    <row r="1659">
      <c r="A1659" t="n">
        <v>1658</v>
      </c>
      <c r="B1659" t="inlineStr">
        <is>
          <t>A-5053__94</t>
        </is>
      </c>
      <c r="C1659" s="1" t="n">
        <v>37.2374378753</v>
      </c>
      <c r="D1659" s="1" t="n">
        <v>-7.12831977558</v>
      </c>
      <c r="E1659" s="3" t="n">
        <v>2</v>
      </c>
      <c r="F1659" s="2" t="n">
        <v>2</v>
      </c>
      <c r="G1659" s="4" t="n">
        <v>3</v>
      </c>
      <c r="H1659" s="13" t="n"/>
      <c r="I1659" s="15" t="n"/>
      <c r="J1659" s="19" t="n">
        <v>2</v>
      </c>
      <c r="K1659" s="2" t="inlineStr">
        <is>
          <t>marker_891_019870.png</t>
        </is>
      </c>
      <c r="L1659" s="11">
        <f>HYPERLINK("2\1\" &amp; K1659, "Ver Imagen")</f>
        <v/>
      </c>
      <c r="M1659" t="inlineStr">
        <is>
          <t>Moda</t>
        </is>
      </c>
    </row>
    <row r="1660">
      <c r="A1660" t="n">
        <v>1659</v>
      </c>
      <c r="B1660" t="inlineStr">
        <is>
          <t>A-5053__93</t>
        </is>
      </c>
      <c r="C1660" s="1" t="n">
        <v>37.2372078419</v>
      </c>
      <c r="D1660" s="1" t="n">
        <v>-7.12829757133</v>
      </c>
      <c r="E1660" s="3" t="n">
        <v>2</v>
      </c>
      <c r="F1660" s="2" t="n">
        <v>2</v>
      </c>
      <c r="G1660" s="4" t="n">
        <v>3</v>
      </c>
      <c r="H1660" s="13" t="n"/>
      <c r="I1660" s="15" t="n"/>
      <c r="J1660" s="19" t="n">
        <v>2</v>
      </c>
      <c r="K1660" s="2" t="inlineStr">
        <is>
          <t>marker_445_019879.png</t>
        </is>
      </c>
      <c r="L1660" s="11">
        <f>HYPERLINK("2\1\" &amp; K1660, "Ver Imagen")</f>
        <v/>
      </c>
      <c r="M1660" t="inlineStr">
        <is>
          <t>Moda</t>
        </is>
      </c>
    </row>
    <row r="1661">
      <c r="A1661" t="n">
        <v>1660</v>
      </c>
      <c r="B1661" t="inlineStr">
        <is>
          <t>A-5053__84</t>
        </is>
      </c>
      <c r="C1661" s="1" t="n">
        <v>37.2354144453</v>
      </c>
      <c r="D1661" s="1" t="n">
        <v>-7.1280953189</v>
      </c>
      <c r="E1661" s="3" t="n">
        <v>2</v>
      </c>
      <c r="F1661" s="2" t="n">
        <v>2</v>
      </c>
      <c r="G1661" s="4" t="n">
        <v>3</v>
      </c>
      <c r="H1661" s="13" t="n"/>
      <c r="I1661" s="15" t="n"/>
      <c r="J1661" s="19" t="n">
        <v>2</v>
      </c>
      <c r="K1661" s="2" t="inlineStr">
        <is>
          <t>marker_433_019974.png</t>
        </is>
      </c>
      <c r="L1661" s="11">
        <f>HYPERLINK("2\1\" &amp; K1661, "Ver Imagen")</f>
        <v/>
      </c>
      <c r="M1661" t="inlineStr">
        <is>
          <t>Moda</t>
        </is>
      </c>
    </row>
    <row r="1662">
      <c r="A1662" t="n">
        <v>1661</v>
      </c>
      <c r="B1662" t="inlineStr">
        <is>
          <t>A-5053__81</t>
        </is>
      </c>
      <c r="C1662" s="1" t="n">
        <v>37.234825729</v>
      </c>
      <c r="D1662" s="1" t="n">
        <v>-7.12789013063</v>
      </c>
      <c r="E1662" s="3" t="n">
        <v>2</v>
      </c>
      <c r="F1662" s="2" t="n">
        <v>2</v>
      </c>
      <c r="G1662" s="4" t="n">
        <v>3</v>
      </c>
      <c r="H1662" s="13" t="n"/>
      <c r="I1662" s="15" t="n"/>
      <c r="J1662" s="19" t="n">
        <v>2</v>
      </c>
      <c r="K1662" s="2" t="inlineStr">
        <is>
          <t>marker_132_020001.png</t>
        </is>
      </c>
      <c r="L1662" s="11">
        <f>HYPERLINK("2\1\" &amp; K1662, "Ver Imagen")</f>
        <v/>
      </c>
      <c r="M1662" t="inlineStr">
        <is>
          <t>Moda</t>
        </is>
      </c>
    </row>
    <row r="1663">
      <c r="A1663" t="n">
        <v>1662</v>
      </c>
      <c r="B1663" t="inlineStr">
        <is>
          <t>A-5053__64</t>
        </is>
      </c>
      <c r="C1663" s="1" t="n">
        <v>37.2314567141</v>
      </c>
      <c r="D1663" s="1" t="n">
        <v>-7.12709501083</v>
      </c>
      <c r="E1663" s="3" t="n">
        <v>2</v>
      </c>
      <c r="F1663" s="2" t="n">
        <v>2</v>
      </c>
      <c r="G1663" s="4" t="n">
        <v>3</v>
      </c>
      <c r="H1663" s="13" t="n"/>
      <c r="I1663" s="15" t="n"/>
      <c r="J1663" s="19" t="n">
        <v>2</v>
      </c>
      <c r="K1663" s="2" t="inlineStr">
        <is>
          <t>marker_679_020764.png</t>
        </is>
      </c>
      <c r="L1663" s="11">
        <f>HYPERLINK("2\1\" &amp; K1663, "Ver Imagen")</f>
        <v/>
      </c>
      <c r="M1663" t="inlineStr">
        <is>
          <t>Moda</t>
        </is>
      </c>
    </row>
    <row r="1664">
      <c r="A1664" t="n">
        <v>1663</v>
      </c>
      <c r="B1664" t="inlineStr">
        <is>
          <t>A-5053__56</t>
        </is>
      </c>
      <c r="C1664" s="1" t="n">
        <v>37.2298488049</v>
      </c>
      <c r="D1664" s="1" t="n">
        <v>-7.12694663534</v>
      </c>
      <c r="E1664" s="3" t="n">
        <v>2</v>
      </c>
      <c r="F1664" s="2" t="n">
        <v>2</v>
      </c>
      <c r="G1664" s="4" t="n">
        <v>3</v>
      </c>
      <c r="H1664" s="13" t="n"/>
      <c r="I1664" s="15" t="n"/>
      <c r="J1664" s="19" t="n">
        <v>2</v>
      </c>
      <c r="K1664" s="2" t="inlineStr">
        <is>
          <t>marker_862_020923.png</t>
        </is>
      </c>
      <c r="L1664" s="11">
        <f>HYPERLINK("2\1\" &amp; K1664, "Ver Imagen")</f>
        <v/>
      </c>
      <c r="M1664" t="inlineStr">
        <is>
          <t>Moda</t>
        </is>
      </c>
    </row>
    <row r="1665">
      <c r="A1665" t="n">
        <v>1664</v>
      </c>
      <c r="B1665" t="inlineStr">
        <is>
          <t>A-5053__55</t>
        </is>
      </c>
      <c r="C1665" s="1" t="n">
        <v>37.2296558712</v>
      </c>
      <c r="D1665" s="1" t="n">
        <v>-7.12692860669</v>
      </c>
      <c r="E1665" s="3" t="n">
        <v>2</v>
      </c>
      <c r="F1665" s="2" t="n">
        <v>2</v>
      </c>
      <c r="G1665" s="4" t="n">
        <v>3</v>
      </c>
      <c r="H1665" s="13" t="n"/>
      <c r="I1665" s="15" t="n"/>
      <c r="J1665" s="19" t="n">
        <v>2</v>
      </c>
      <c r="K1665" s="2" t="inlineStr">
        <is>
          <t>marker_994_020932.png</t>
        </is>
      </c>
      <c r="L1665" s="11">
        <f>HYPERLINK("2\1\" &amp; K1665, "Ver Imagen")</f>
        <v/>
      </c>
      <c r="M1665" t="inlineStr">
        <is>
          <t>Moda</t>
        </is>
      </c>
    </row>
    <row r="1666">
      <c r="A1666" t="n">
        <v>1665</v>
      </c>
      <c r="B1666" t="inlineStr">
        <is>
          <t>A-5053__22</t>
        </is>
      </c>
      <c r="C1666" s="1" t="n">
        <v>37.2231812711</v>
      </c>
      <c r="D1666" s="1" t="n">
        <v>-7.12503616668</v>
      </c>
      <c r="E1666" s="3" t="n">
        <v>3</v>
      </c>
      <c r="F1666" s="2" t="n">
        <v>2</v>
      </c>
      <c r="G1666" s="4" t="n">
        <v>2</v>
      </c>
      <c r="H1666" s="13" t="n"/>
      <c r="I1666" s="15" t="n"/>
      <c r="J1666" s="19" t="n">
        <v>2</v>
      </c>
      <c r="K1666" s="2" t="inlineStr">
        <is>
          <t>marker_389_022884.png</t>
        </is>
      </c>
      <c r="L1666" s="11">
        <f>HYPERLINK("2\1\" &amp; K1666, "Ver Imagen")</f>
        <v/>
      </c>
      <c r="M1666" t="inlineStr">
        <is>
          <t>Moda</t>
        </is>
      </c>
    </row>
    <row r="1667">
      <c r="A1667" t="n">
        <v>1666</v>
      </c>
      <c r="B1667" t="inlineStr">
        <is>
          <t>A-5053__20</t>
        </is>
      </c>
      <c r="C1667" s="1" t="n">
        <v>37.2227800912</v>
      </c>
      <c r="D1667" s="1" t="n">
        <v>-7.12501051426</v>
      </c>
      <c r="E1667" s="3" t="n">
        <v>2</v>
      </c>
      <c r="F1667" s="2" t="n">
        <v>2</v>
      </c>
      <c r="G1667" s="4" t="n">
        <v>3</v>
      </c>
      <c r="H1667" s="13" t="n"/>
      <c r="I1667" s="15" t="n"/>
      <c r="J1667" s="19" t="n">
        <v>2</v>
      </c>
      <c r="K1667" s="2" t="inlineStr">
        <is>
          <t>marker_677_022902.png</t>
        </is>
      </c>
      <c r="L1667" s="11">
        <f>HYPERLINK("2\1\" &amp; K1667, "Ver Imagen")</f>
        <v/>
      </c>
      <c r="M1667" t="inlineStr">
        <is>
          <t>Moda</t>
        </is>
      </c>
    </row>
    <row r="1668">
      <c r="A1668" t="n">
        <v>1667</v>
      </c>
      <c r="B1668" t="inlineStr">
        <is>
          <t>A-495__12</t>
        </is>
      </c>
      <c r="C1668" s="1" t="n">
        <v>37.4439465327</v>
      </c>
      <c r="D1668" s="1" t="n">
        <v>-7.097457499</v>
      </c>
      <c r="E1668" s="3" t="n">
        <v>3</v>
      </c>
      <c r="F1668" s="2" t="n">
        <v>2</v>
      </c>
      <c r="G1668" s="4" t="n">
        <v>2</v>
      </c>
      <c r="H1668" s="13" t="n"/>
      <c r="I1668" s="15" t="n"/>
      <c r="J1668" s="19" t="n">
        <v>2</v>
      </c>
      <c r="K1668" s="2" t="inlineStr">
        <is>
          <t>marker_944_381180.png</t>
        </is>
      </c>
      <c r="L1668" s="11">
        <f>HYPERLINK("2\1\" &amp; K1668, "Ver Imagen")</f>
        <v/>
      </c>
      <c r="M1668" t="inlineStr">
        <is>
          <t>Moda</t>
        </is>
      </c>
    </row>
    <row r="1669">
      <c r="A1669" t="n">
        <v>1668</v>
      </c>
      <c r="B1669" t="inlineStr">
        <is>
          <t>A-495__16</t>
        </is>
      </c>
      <c r="C1669" s="1" t="n">
        <v>37.4437526995</v>
      </c>
      <c r="D1669" s="1" t="n">
        <v>-7.09645726938</v>
      </c>
      <c r="E1669" s="3" t="n">
        <v>3</v>
      </c>
      <c r="F1669" s="2" t="n">
        <v>2</v>
      </c>
      <c r="G1669" s="4" t="n">
        <v>2</v>
      </c>
      <c r="H1669" s="13" t="n"/>
      <c r="I1669" s="15" t="n"/>
      <c r="J1669" s="19" t="n">
        <v>2</v>
      </c>
      <c r="K1669" s="2" t="inlineStr">
        <is>
          <t>marker_484_381223.png</t>
        </is>
      </c>
      <c r="L1669" s="11">
        <f>HYPERLINK("2\1\" &amp; K1669, "Ver Imagen")</f>
        <v/>
      </c>
      <c r="M1669" t="inlineStr">
        <is>
          <t>Moda</t>
        </is>
      </c>
    </row>
    <row r="1670">
      <c r="A1670" t="n">
        <v>1669</v>
      </c>
      <c r="B1670" t="inlineStr">
        <is>
          <t>A-495__17</t>
        </is>
      </c>
      <c r="C1670" s="1" t="n">
        <v>37.4436738602</v>
      </c>
      <c r="D1670" s="1" t="n">
        <v>-7.0962244803</v>
      </c>
      <c r="E1670" s="3" t="n">
        <v>3</v>
      </c>
      <c r="F1670" s="2" t="n">
        <v>2</v>
      </c>
      <c r="G1670" s="4" t="n">
        <v>2</v>
      </c>
      <c r="H1670" s="13" t="n"/>
      <c r="I1670" s="15" t="n"/>
      <c r="J1670" s="19" t="n">
        <v>2</v>
      </c>
      <c r="K1670" s="2" t="inlineStr">
        <is>
          <t>marker_153_381234.png</t>
        </is>
      </c>
      <c r="L1670" s="11">
        <f>HYPERLINK("2\1\" &amp; K1670, "Ver Imagen")</f>
        <v/>
      </c>
      <c r="M1670" t="inlineStr">
        <is>
          <t>Moda</t>
        </is>
      </c>
    </row>
    <row r="1671">
      <c r="A1671" t="n">
        <v>1670</v>
      </c>
      <c r="B1671" t="inlineStr">
        <is>
          <t>A-495__21</t>
        </is>
      </c>
      <c r="C1671" s="1" t="n">
        <v>37.4433321683</v>
      </c>
      <c r="D1671" s="1" t="n">
        <v>-7.09532195543</v>
      </c>
      <c r="E1671" s="3" t="n">
        <v>3</v>
      </c>
      <c r="F1671" s="2" t="n">
        <v>2</v>
      </c>
      <c r="G1671" s="4" t="n">
        <v>2</v>
      </c>
      <c r="H1671" s="13" t="n"/>
      <c r="I1671" s="15" t="n"/>
      <c r="J1671" s="19" t="n">
        <v>2</v>
      </c>
      <c r="K1671" s="2" t="inlineStr">
        <is>
          <t>marker_469_381302.png</t>
        </is>
      </c>
      <c r="L1671" s="11">
        <f>HYPERLINK("2\1\" &amp; K1671, "Ver Imagen")</f>
        <v/>
      </c>
      <c r="M1671" t="inlineStr">
        <is>
          <t>Moda</t>
        </is>
      </c>
    </row>
    <row r="1672">
      <c r="A1672" t="n">
        <v>1671</v>
      </c>
      <c r="B1672" t="inlineStr">
        <is>
          <t>A-5059__71</t>
        </is>
      </c>
      <c r="C1672" s="1" t="n">
        <v>37.2228220488</v>
      </c>
      <c r="D1672" s="1" t="n">
        <v>-7.05572083969</v>
      </c>
      <c r="E1672" s="3" t="n">
        <v>3</v>
      </c>
      <c r="F1672" s="2" t="n">
        <v>2</v>
      </c>
      <c r="G1672" s="4" t="n">
        <v>2</v>
      </c>
      <c r="H1672" s="13" t="n"/>
      <c r="I1672" s="15" t="n"/>
      <c r="J1672" s="19" t="n">
        <v>2</v>
      </c>
      <c r="K1672" s="2" t="inlineStr">
        <is>
          <t>marker_752_378838.png</t>
        </is>
      </c>
      <c r="L1672" s="11">
        <f>HYPERLINK("2\1\" &amp; K1672, "Ver Imagen")</f>
        <v/>
      </c>
      <c r="M1672" t="inlineStr">
        <is>
          <t>Moda</t>
        </is>
      </c>
    </row>
    <row r="1673">
      <c r="A1673" t="n">
        <v>1672</v>
      </c>
      <c r="B1673" t="inlineStr">
        <is>
          <t>A-5059__70</t>
        </is>
      </c>
      <c r="C1673" s="1" t="n">
        <v>37.2230179318</v>
      </c>
      <c r="D1673" s="1" t="n">
        <v>-7.05580846946</v>
      </c>
      <c r="E1673" s="3" t="n">
        <v>3</v>
      </c>
      <c r="F1673" s="2" t="n">
        <v>2</v>
      </c>
      <c r="G1673" s="4" t="n">
        <v>2</v>
      </c>
      <c r="H1673" s="13" t="n"/>
      <c r="I1673" s="15" t="n"/>
      <c r="J1673" s="19" t="n">
        <v>2</v>
      </c>
      <c r="K1673" s="2" t="inlineStr">
        <is>
          <t>marker_293_378846.png</t>
        </is>
      </c>
      <c r="L1673" s="11">
        <f>HYPERLINK("2\1\" &amp; K1673, "Ver Imagen")</f>
        <v/>
      </c>
      <c r="M1673" t="inlineStr">
        <is>
          <t>Moda</t>
        </is>
      </c>
    </row>
    <row r="1674">
      <c r="A1674" t="n">
        <v>1673</v>
      </c>
      <c r="B1674" t="inlineStr">
        <is>
          <t>A-5058__52</t>
        </is>
      </c>
      <c r="C1674" s="1" t="n">
        <v>37.2249656605</v>
      </c>
      <c r="D1674" s="1" t="n">
        <v>-7.03999839446</v>
      </c>
      <c r="E1674" s="3" t="n">
        <v>2</v>
      </c>
      <c r="F1674" s="2" t="n">
        <v>2</v>
      </c>
      <c r="G1674" s="4" t="n">
        <v>3</v>
      </c>
      <c r="H1674" s="13" t="n"/>
      <c r="I1674" s="15" t="n"/>
      <c r="J1674" s="19" t="n">
        <v>2</v>
      </c>
      <c r="K1674" s="2" t="inlineStr">
        <is>
          <t>marker_828_380551.png</t>
        </is>
      </c>
      <c r="L1674" s="11">
        <f>HYPERLINK("2\1\" &amp; K1674, "Ver Imagen")</f>
        <v/>
      </c>
      <c r="M1674" t="inlineStr">
        <is>
          <t>Moda</t>
        </is>
      </c>
    </row>
    <row r="1675">
      <c r="A1675" t="n">
        <v>1674</v>
      </c>
      <c r="B1675" t="inlineStr">
        <is>
          <t>A-5058__57</t>
        </is>
      </c>
      <c r="C1675" s="1" t="n">
        <v>37.2253025536</v>
      </c>
      <c r="D1675" s="1" t="n">
        <v>-7.04117979599</v>
      </c>
      <c r="E1675" s="3" t="n">
        <v>2</v>
      </c>
      <c r="F1675" s="2" t="n">
        <v>2</v>
      </c>
      <c r="G1675" s="4" t="n">
        <v>3</v>
      </c>
      <c r="H1675" s="13" t="n"/>
      <c r="I1675" s="15" t="n"/>
      <c r="J1675" s="19" t="n">
        <v>2</v>
      </c>
      <c r="K1675" s="2" t="inlineStr">
        <is>
          <t>marker_734_380608.png</t>
        </is>
      </c>
      <c r="L1675" s="11">
        <f>HYPERLINK("2\1\" &amp; K1675, "Ver Imagen")</f>
        <v/>
      </c>
      <c r="M1675" t="inlineStr">
        <is>
          <t>Moda</t>
        </is>
      </c>
    </row>
    <row r="1676">
      <c r="A1676" t="n">
        <v>1675</v>
      </c>
      <c r="B1676" t="inlineStr">
        <is>
          <t>A-5058__61</t>
        </is>
      </c>
      <c r="C1676" s="1" t="n">
        <v>37.2256797538</v>
      </c>
      <c r="D1676" s="1" t="n">
        <v>-7.04209020497</v>
      </c>
      <c r="E1676" s="3" t="n">
        <v>2</v>
      </c>
      <c r="F1676" s="2" t="n">
        <v>2</v>
      </c>
      <c r="G1676" s="4" t="n">
        <v>3</v>
      </c>
      <c r="H1676" s="13" t="n"/>
      <c r="I1676" s="15" t="n"/>
      <c r="J1676" s="19" t="n">
        <v>2</v>
      </c>
      <c r="K1676" s="2" t="inlineStr">
        <is>
          <t>marker_519_380655.png</t>
        </is>
      </c>
      <c r="L1676" s="11">
        <f>HYPERLINK("2\1\" &amp; K1676, "Ver Imagen")</f>
        <v/>
      </c>
      <c r="M1676" t="inlineStr">
        <is>
          <t>Moda</t>
        </is>
      </c>
    </row>
    <row r="1677">
      <c r="A1677" t="n">
        <v>1676</v>
      </c>
      <c r="B1677" t="inlineStr">
        <is>
          <t>A-5058__65</t>
        </is>
      </c>
      <c r="C1677" s="1" t="n">
        <v>37.2260743601</v>
      </c>
      <c r="D1677" s="1" t="n">
        <v>-7.04296207274</v>
      </c>
      <c r="E1677" s="3" t="n">
        <v>2</v>
      </c>
      <c r="F1677" s="2" t="n">
        <v>2</v>
      </c>
      <c r="G1677" s="4" t="n">
        <v>3</v>
      </c>
      <c r="H1677" s="13" t="n"/>
      <c r="I1677" s="15" t="n"/>
      <c r="J1677" s="19" t="n">
        <v>2</v>
      </c>
      <c r="K1677" s="2" t="inlineStr">
        <is>
          <t>marker_733_380701.png</t>
        </is>
      </c>
      <c r="L1677" s="11">
        <f>HYPERLINK("2\1\" &amp; K1677, "Ver Imagen")</f>
        <v/>
      </c>
      <c r="M1677" t="inlineStr">
        <is>
          <t>Moda</t>
        </is>
      </c>
    </row>
    <row r="1678">
      <c r="A1678" t="n">
        <v>1677</v>
      </c>
      <c r="B1678" t="inlineStr">
        <is>
          <t>A-5058__66</t>
        </is>
      </c>
      <c r="C1678" s="1" t="n">
        <v>37.2261807465</v>
      </c>
      <c r="D1678" s="1" t="n">
        <v>-7.04319219018</v>
      </c>
      <c r="E1678" s="3" t="n">
        <v>2</v>
      </c>
      <c r="F1678" s="2" t="n">
        <v>2</v>
      </c>
      <c r="G1678" s="4" t="n">
        <v>3</v>
      </c>
      <c r="H1678" s="13" t="n"/>
      <c r="I1678" s="15" t="n"/>
      <c r="J1678" s="19" t="n">
        <v>2</v>
      </c>
      <c r="K1678" s="2" t="inlineStr">
        <is>
          <t>marker_526_380711.png</t>
        </is>
      </c>
      <c r="L1678" s="11">
        <f>HYPERLINK("2\1\" &amp; K1678, "Ver Imagen")</f>
        <v/>
      </c>
      <c r="M1678" t="inlineStr">
        <is>
          <t>Moda</t>
        </is>
      </c>
    </row>
    <row r="1679">
      <c r="A1679" t="n">
        <v>1678</v>
      </c>
      <c r="B1679" t="inlineStr">
        <is>
          <t>A-5058__67</t>
        </is>
      </c>
      <c r="C1679" s="1" t="n">
        <v>37.2262721872</v>
      </c>
      <c r="D1679" s="1" t="n">
        <v>-7.04339229699</v>
      </c>
      <c r="E1679" s="3" t="n">
        <v>2</v>
      </c>
      <c r="F1679" s="2" t="n">
        <v>2</v>
      </c>
      <c r="G1679" s="4" t="n">
        <v>3</v>
      </c>
      <c r="H1679" s="13" t="n"/>
      <c r="I1679" s="15" t="n"/>
      <c r="J1679" s="19" t="n">
        <v>2</v>
      </c>
      <c r="K1679" s="2" t="inlineStr">
        <is>
          <t>marker_766_380726.png</t>
        </is>
      </c>
      <c r="L1679" s="11">
        <f>HYPERLINK("2\1\" &amp; K1679, "Ver Imagen")</f>
        <v/>
      </c>
      <c r="M1679" t="inlineStr">
        <is>
          <t>Moda</t>
        </is>
      </c>
    </row>
    <row r="1680">
      <c r="A1680" t="n">
        <v>1679</v>
      </c>
      <c r="B1680" t="inlineStr">
        <is>
          <t>A-5058__69</t>
        </is>
      </c>
      <c r="C1680" s="1" t="n">
        <v>37.2264886288</v>
      </c>
      <c r="D1680" s="1" t="n">
        <v>-7.04386604492</v>
      </c>
      <c r="E1680" s="3" t="n">
        <v>2</v>
      </c>
      <c r="F1680" s="2" t="n">
        <v>2</v>
      </c>
      <c r="G1680" s="4" t="n">
        <v>3</v>
      </c>
      <c r="H1680" s="13" t="n"/>
      <c r="I1680" s="15" t="n"/>
      <c r="J1680" s="19" t="n">
        <v>2</v>
      </c>
      <c r="K1680" s="2" t="inlineStr">
        <is>
          <t>marker_351_380746.png</t>
        </is>
      </c>
      <c r="L1680" s="11">
        <f>HYPERLINK("2\1\" &amp; K1680, "Ver Imagen")</f>
        <v/>
      </c>
      <c r="M1680" t="inlineStr">
        <is>
          <t>Moda</t>
        </is>
      </c>
    </row>
    <row r="1681">
      <c r="A1681" t="n">
        <v>1680</v>
      </c>
      <c r="B1681" t="inlineStr">
        <is>
          <t>A-5058__70</t>
        </is>
      </c>
      <c r="C1681" s="1" t="n">
        <v>37.2265824713</v>
      </c>
      <c r="D1681" s="1" t="n">
        <v>-7.04406029752</v>
      </c>
      <c r="E1681" s="3" t="n">
        <v>2</v>
      </c>
      <c r="F1681" s="2" t="n">
        <v>2</v>
      </c>
      <c r="G1681" s="4" t="n">
        <v>3</v>
      </c>
      <c r="H1681" s="13" t="n"/>
      <c r="I1681" s="15" t="n"/>
      <c r="J1681" s="19" t="n">
        <v>2</v>
      </c>
      <c r="K1681" s="2" t="inlineStr">
        <is>
          <t>marker_670_380755.png</t>
        </is>
      </c>
      <c r="L1681" s="11">
        <f>HYPERLINK("2\1\" &amp; K1681, "Ver Imagen")</f>
        <v/>
      </c>
      <c r="M1681" t="inlineStr">
        <is>
          <t>Moda</t>
        </is>
      </c>
    </row>
    <row r="1682">
      <c r="A1682" t="n">
        <v>1681</v>
      </c>
      <c r="B1682" t="inlineStr">
        <is>
          <t>A-5058__74</t>
        </is>
      </c>
      <c r="C1682" s="1" t="n">
        <v>37.2270935639</v>
      </c>
      <c r="D1682" s="1" t="n">
        <v>-7.04483731124</v>
      </c>
      <c r="E1682" s="3" t="n">
        <v>2</v>
      </c>
      <c r="F1682" s="2" t="n">
        <v>2</v>
      </c>
      <c r="G1682" s="4" t="n">
        <v>3</v>
      </c>
      <c r="H1682" s="13" t="n"/>
      <c r="I1682" s="15" t="n"/>
      <c r="J1682" s="19" t="n">
        <v>2</v>
      </c>
      <c r="K1682" s="2" t="inlineStr">
        <is>
          <t>marker_246_380794.png</t>
        </is>
      </c>
      <c r="L1682" s="11">
        <f>HYPERLINK("2\1\" &amp; K1682, "Ver Imagen")</f>
        <v/>
      </c>
      <c r="M1682" t="inlineStr">
        <is>
          <t>Moda</t>
        </is>
      </c>
    </row>
    <row r="1683">
      <c r="A1683" t="n">
        <v>1682</v>
      </c>
      <c r="B1683" t="inlineStr">
        <is>
          <t>A-5058__76</t>
        </is>
      </c>
      <c r="C1683" s="1" t="n">
        <v>37.2274011958</v>
      </c>
      <c r="D1683" s="1" t="n">
        <v>-7.04514636118</v>
      </c>
      <c r="E1683" s="3" t="n">
        <v>3</v>
      </c>
      <c r="F1683" s="2" t="n">
        <v>2</v>
      </c>
      <c r="G1683" s="4" t="n">
        <v>2</v>
      </c>
      <c r="H1683" s="13" t="n"/>
      <c r="I1683" s="15" t="n"/>
      <c r="J1683" s="19" t="n">
        <v>2</v>
      </c>
      <c r="K1683" s="2" t="inlineStr">
        <is>
          <t>marker_321_380819.png</t>
        </is>
      </c>
      <c r="L1683" s="11">
        <f>HYPERLINK("2\1\" &amp; K1683, "Ver Imagen")</f>
        <v/>
      </c>
      <c r="M1683" t="inlineStr">
        <is>
          <t>Moda</t>
        </is>
      </c>
    </row>
    <row r="1684">
      <c r="A1684" t="n">
        <v>1683</v>
      </c>
      <c r="B1684" t="inlineStr">
        <is>
          <t>A-5058__77</t>
        </is>
      </c>
      <c r="C1684" s="1" t="n">
        <v>37.2275763192</v>
      </c>
      <c r="D1684" s="1" t="n">
        <v>-7.04531227155</v>
      </c>
      <c r="E1684" s="3" t="n">
        <v>3</v>
      </c>
      <c r="F1684" s="2" t="n">
        <v>2</v>
      </c>
      <c r="G1684" s="4" t="n">
        <v>2</v>
      </c>
      <c r="H1684" s="13" t="n"/>
      <c r="I1684" s="15" t="n"/>
      <c r="J1684" s="19" t="n">
        <v>2</v>
      </c>
      <c r="K1684" s="2" t="inlineStr">
        <is>
          <t>marker_934_380828.png</t>
        </is>
      </c>
      <c r="L1684" s="11">
        <f>HYPERLINK("2\1\" &amp; K1684, "Ver Imagen")</f>
        <v/>
      </c>
      <c r="M1684" t="inlineStr">
        <is>
          <t>Moda</t>
        </is>
      </c>
    </row>
    <row r="1685">
      <c r="A1685" t="n">
        <v>1684</v>
      </c>
      <c r="B1685" t="inlineStr">
        <is>
          <t>A-5058__78</t>
        </is>
      </c>
      <c r="C1685" s="1" t="n">
        <v>37.2277269454</v>
      </c>
      <c r="D1685" s="1" t="n">
        <v>-7.04545430925</v>
      </c>
      <c r="E1685" s="3" t="n">
        <v>2</v>
      </c>
      <c r="F1685" s="2" t="n">
        <v>2</v>
      </c>
      <c r="G1685" s="4" t="n">
        <v>3</v>
      </c>
      <c r="H1685" s="13" t="n"/>
      <c r="I1685" s="15" t="n"/>
      <c r="J1685" s="19" t="n">
        <v>2</v>
      </c>
      <c r="K1685" s="2" t="inlineStr">
        <is>
          <t>marker_692_380839.png</t>
        </is>
      </c>
      <c r="L1685" s="11">
        <f>HYPERLINK("2\1\" &amp; K1685, "Ver Imagen")</f>
        <v/>
      </c>
      <c r="M1685" t="inlineStr">
        <is>
          <t>Moda</t>
        </is>
      </c>
    </row>
    <row r="1686">
      <c r="A1686" t="n">
        <v>1685</v>
      </c>
      <c r="B1686" t="inlineStr">
        <is>
          <t>A-5058__82</t>
        </is>
      </c>
      <c r="C1686" s="1" t="n">
        <v>37.2283423206</v>
      </c>
      <c r="D1686" s="1" t="n">
        <v>-7.04610001366</v>
      </c>
      <c r="E1686" s="3" t="n">
        <v>2</v>
      </c>
      <c r="F1686" s="2" t="n">
        <v>2</v>
      </c>
      <c r="G1686" s="4" t="n">
        <v>3</v>
      </c>
      <c r="H1686" s="13" t="n"/>
      <c r="I1686" s="15" t="n"/>
      <c r="J1686" s="19" t="n">
        <v>2</v>
      </c>
      <c r="K1686" s="2" t="inlineStr">
        <is>
          <t>marker_690_380886.png</t>
        </is>
      </c>
      <c r="L1686" s="11">
        <f>HYPERLINK("2\1\" &amp; K1686, "Ver Imagen")</f>
        <v/>
      </c>
      <c r="M1686" t="inlineStr">
        <is>
          <t>Moda</t>
        </is>
      </c>
    </row>
    <row r="1687">
      <c r="A1687" t="n">
        <v>1686</v>
      </c>
      <c r="B1687" t="inlineStr">
        <is>
          <t>A-5058__83</t>
        </is>
      </c>
      <c r="C1687" s="1" t="n">
        <v>37.2284929521</v>
      </c>
      <c r="D1687" s="1" t="n">
        <v>-7.04628761626</v>
      </c>
      <c r="E1687" s="3" t="n">
        <v>2</v>
      </c>
      <c r="F1687" s="2" t="n">
        <v>2</v>
      </c>
      <c r="G1687" s="4" t="n">
        <v>3</v>
      </c>
      <c r="H1687" s="13" t="n"/>
      <c r="I1687" s="15" t="n"/>
      <c r="J1687" s="19" t="n">
        <v>2</v>
      </c>
      <c r="K1687" s="2" t="inlineStr">
        <is>
          <t>marker_462_380905.png</t>
        </is>
      </c>
      <c r="L1687" s="11">
        <f>HYPERLINK("2\1\" &amp; K1687, "Ver Imagen")</f>
        <v/>
      </c>
      <c r="M1687" t="inlineStr">
        <is>
          <t>Moda</t>
        </is>
      </c>
    </row>
    <row r="1688">
      <c r="A1688" t="n">
        <v>1687</v>
      </c>
      <c r="B1688" t="inlineStr">
        <is>
          <t>A-5058__84</t>
        </is>
      </c>
      <c r="C1688" s="1" t="n">
        <v>37.228635919</v>
      </c>
      <c r="D1688" s="1" t="n">
        <v>-7.04648217511</v>
      </c>
      <c r="E1688" s="3" t="n">
        <v>2</v>
      </c>
      <c r="F1688" s="2" t="n">
        <v>2</v>
      </c>
      <c r="G1688" s="4" t="n">
        <v>3</v>
      </c>
      <c r="H1688" s="13" t="n"/>
      <c r="I1688" s="15" t="n"/>
      <c r="J1688" s="19" t="n">
        <v>2</v>
      </c>
      <c r="K1688" s="2" t="inlineStr">
        <is>
          <t>marker_143_380919.png</t>
        </is>
      </c>
      <c r="L1688" s="11">
        <f>HYPERLINK("2\1\" &amp; K1688, "Ver Imagen")</f>
        <v/>
      </c>
      <c r="M1688" t="inlineStr">
        <is>
          <t>Moda</t>
        </is>
      </c>
    </row>
    <row r="1689">
      <c r="A1689" t="n">
        <v>1688</v>
      </c>
      <c r="B1689" t="inlineStr">
        <is>
          <t>A-5058__85</t>
        </is>
      </c>
      <c r="C1689" s="1" t="n">
        <v>37.2287623594</v>
      </c>
      <c r="D1689" s="1" t="n">
        <v>-7.04666754706</v>
      </c>
      <c r="E1689" s="3" t="n">
        <v>2</v>
      </c>
      <c r="F1689" s="2" t="n">
        <v>2</v>
      </c>
      <c r="G1689" s="4" t="n">
        <v>3</v>
      </c>
      <c r="H1689" s="13" t="n"/>
      <c r="I1689" s="15" t="n"/>
      <c r="J1689" s="19" t="n">
        <v>2</v>
      </c>
      <c r="K1689" s="2" t="inlineStr">
        <is>
          <t>marker_219_380934.png</t>
        </is>
      </c>
      <c r="L1689" s="11">
        <f>HYPERLINK("2\1\" &amp; K1689, "Ver Imagen")</f>
        <v/>
      </c>
      <c r="M1689" t="inlineStr">
        <is>
          <t>Moda</t>
        </is>
      </c>
    </row>
    <row r="1690">
      <c r="A1690" t="n">
        <v>1689</v>
      </c>
      <c r="B1690" t="inlineStr">
        <is>
          <t>A-5058__88</t>
        </is>
      </c>
      <c r="C1690" s="1" t="n">
        <v>37.2291334763</v>
      </c>
      <c r="D1690" s="1" t="n">
        <v>-7.04726264875</v>
      </c>
      <c r="E1690" s="3" t="n">
        <v>2</v>
      </c>
      <c r="F1690" s="2" t="n">
        <v>2</v>
      </c>
      <c r="G1690" s="4" t="n">
        <v>3</v>
      </c>
      <c r="H1690" s="13" t="n"/>
      <c r="I1690" s="15" t="n"/>
      <c r="J1690" s="19" t="n">
        <v>2</v>
      </c>
      <c r="K1690" s="2" t="inlineStr">
        <is>
          <t>marker_557_380964.png</t>
        </is>
      </c>
      <c r="L1690" s="11">
        <f>HYPERLINK("2\1\" &amp; K1690, "Ver Imagen")</f>
        <v/>
      </c>
      <c r="M1690" t="inlineStr">
        <is>
          <t>Moda</t>
        </is>
      </c>
    </row>
    <row r="1691">
      <c r="A1691" t="n">
        <v>1690</v>
      </c>
      <c r="B1691" t="inlineStr">
        <is>
          <t>A-5058__89</t>
        </is>
      </c>
      <c r="C1691" s="1" t="n">
        <v>37.2292575335</v>
      </c>
      <c r="D1691" s="1" t="n">
        <v>-7.04746745425</v>
      </c>
      <c r="E1691" s="3" t="n">
        <v>2</v>
      </c>
      <c r="F1691" s="2" t="n">
        <v>2</v>
      </c>
      <c r="G1691" s="4" t="n">
        <v>3</v>
      </c>
      <c r="H1691" s="13" t="n"/>
      <c r="I1691" s="15" t="n"/>
      <c r="J1691" s="19" t="n">
        <v>2</v>
      </c>
      <c r="K1691" s="2" t="inlineStr">
        <is>
          <t>marker_375_380973.png</t>
        </is>
      </c>
      <c r="L1691" s="11">
        <f>HYPERLINK("2\1\" &amp; K1691, "Ver Imagen")</f>
        <v/>
      </c>
      <c r="M1691" t="inlineStr">
        <is>
          <t>Moda</t>
        </is>
      </c>
    </row>
    <row r="1692">
      <c r="A1692" t="n">
        <v>1691</v>
      </c>
      <c r="B1692" t="inlineStr">
        <is>
          <t>A-5058__90</t>
        </is>
      </c>
      <c r="C1692" s="1" t="n">
        <v>37.2293765596</v>
      </c>
      <c r="D1692" s="1" t="n">
        <v>-7.04766463575</v>
      </c>
      <c r="E1692" s="3" t="n">
        <v>2</v>
      </c>
      <c r="F1692" s="2" t="n">
        <v>2</v>
      </c>
      <c r="G1692" s="4" t="n">
        <v>3</v>
      </c>
      <c r="H1692" s="13" t="n"/>
      <c r="I1692" s="15" t="n"/>
      <c r="J1692" s="19" t="n">
        <v>2</v>
      </c>
      <c r="K1692" s="2" t="inlineStr">
        <is>
          <t>marker_555_380986.png</t>
        </is>
      </c>
      <c r="L1692" s="11">
        <f>HYPERLINK("2\1\" &amp; K1692, "Ver Imagen")</f>
        <v/>
      </c>
      <c r="M1692" t="inlineStr">
        <is>
          <t>Moda</t>
        </is>
      </c>
    </row>
    <row r="1693">
      <c r="A1693" t="n">
        <v>1692</v>
      </c>
      <c r="B1693" t="inlineStr">
        <is>
          <t>A-5058__91</t>
        </is>
      </c>
      <c r="C1693" s="1" t="n">
        <v>37.2295000947</v>
      </c>
      <c r="D1693" s="1" t="n">
        <v>-7.04787172681</v>
      </c>
      <c r="E1693" s="3" t="n">
        <v>2</v>
      </c>
      <c r="F1693" s="2" t="n">
        <v>2</v>
      </c>
      <c r="G1693" s="4" t="n">
        <v>3</v>
      </c>
      <c r="H1693" s="13" t="n"/>
      <c r="I1693" s="15" t="n"/>
      <c r="J1693" s="19" t="n">
        <v>2</v>
      </c>
      <c r="K1693" s="2" t="inlineStr">
        <is>
          <t>marker_367_381014.png</t>
        </is>
      </c>
      <c r="L1693" s="11">
        <f>HYPERLINK("2\1\" &amp; K1693, "Ver Imagen")</f>
        <v/>
      </c>
      <c r="M1693" t="inlineStr">
        <is>
          <t>Moda</t>
        </is>
      </c>
    </row>
    <row r="1694">
      <c r="A1694" t="n">
        <v>1693</v>
      </c>
      <c r="B1694" t="inlineStr">
        <is>
          <t>A-5058__92</t>
        </is>
      </c>
      <c r="C1694" s="1" t="n">
        <v>37.229620822</v>
      </c>
      <c r="D1694" s="1" t="n">
        <v>-7.04807459834</v>
      </c>
      <c r="E1694" s="3" t="n">
        <v>2</v>
      </c>
      <c r="F1694" s="2" t="n">
        <v>2</v>
      </c>
      <c r="G1694" s="4" t="n">
        <v>3</v>
      </c>
      <c r="H1694" s="13" t="n"/>
      <c r="I1694" s="15" t="n"/>
      <c r="J1694" s="19" t="n">
        <v>2</v>
      </c>
      <c r="K1694" s="2" t="inlineStr">
        <is>
          <t>marker_491_381024.png</t>
        </is>
      </c>
      <c r="L1694" s="11">
        <f>HYPERLINK("2\1\" &amp; K1694, "Ver Imagen")</f>
        <v/>
      </c>
      <c r="M1694" t="inlineStr">
        <is>
          <t>Moda</t>
        </is>
      </c>
    </row>
    <row r="1695">
      <c r="A1695" t="n">
        <v>1694</v>
      </c>
      <c r="B1695" t="inlineStr">
        <is>
          <t>A-5058__94</t>
        </is>
      </c>
      <c r="C1695" s="1" t="n">
        <v>37.2298710844</v>
      </c>
      <c r="D1695" s="1" t="n">
        <v>-7.04849331505</v>
      </c>
      <c r="E1695" s="3" t="n">
        <v>2</v>
      </c>
      <c r="F1695" s="2" t="n">
        <v>2</v>
      </c>
      <c r="G1695" s="4" t="n">
        <v>3</v>
      </c>
      <c r="H1695" s="13" t="n"/>
      <c r="I1695" s="15" t="n"/>
      <c r="J1695" s="19" t="n">
        <v>2</v>
      </c>
      <c r="K1695" s="2" t="inlineStr">
        <is>
          <t>marker_277_381051.png</t>
        </is>
      </c>
      <c r="L1695" s="11">
        <f>HYPERLINK("2\1\" &amp; K1695, "Ver Imagen")</f>
        <v/>
      </c>
      <c r="M1695" t="inlineStr">
        <is>
          <t>Moda</t>
        </is>
      </c>
    </row>
    <row r="1696">
      <c r="A1696" t="n">
        <v>1695</v>
      </c>
      <c r="B1696" t="inlineStr">
        <is>
          <t>A-5058__95</t>
        </is>
      </c>
      <c r="C1696" s="1" t="n">
        <v>37.2300034154</v>
      </c>
      <c r="D1696" s="1" t="n">
        <v>-7.04871344828</v>
      </c>
      <c r="E1696" s="3" t="n">
        <v>2</v>
      </c>
      <c r="F1696" s="2" t="n">
        <v>2</v>
      </c>
      <c r="G1696" s="4" t="n">
        <v>3</v>
      </c>
      <c r="H1696" s="13" t="n"/>
      <c r="I1696" s="15" t="n"/>
      <c r="J1696" s="19" t="n">
        <v>2</v>
      </c>
      <c r="K1696" s="2" t="inlineStr">
        <is>
          <t>marker_898_381061.png</t>
        </is>
      </c>
      <c r="L1696" s="11">
        <f>HYPERLINK("2\1\" &amp; K1696, "Ver Imagen")</f>
        <v/>
      </c>
      <c r="M1696" t="inlineStr">
        <is>
          <t>Moda</t>
        </is>
      </c>
    </row>
    <row r="1697">
      <c r="A1697" t="n">
        <v>1696</v>
      </c>
      <c r="B1697" t="inlineStr">
        <is>
          <t>A-5058__98</t>
        </is>
      </c>
      <c r="C1697" s="1" t="n">
        <v>37.2303486867</v>
      </c>
      <c r="D1697" s="1" t="n">
        <v>-7.04928790523</v>
      </c>
      <c r="E1697" s="3" t="n">
        <v>2</v>
      </c>
      <c r="F1697" s="2" t="n">
        <v>2</v>
      </c>
      <c r="G1697" s="4" t="n">
        <v>3</v>
      </c>
      <c r="H1697" s="13" t="n"/>
      <c r="I1697" s="15" t="n"/>
      <c r="J1697" s="19" t="n">
        <v>2</v>
      </c>
      <c r="K1697" s="2" t="inlineStr">
        <is>
          <t>marker_771_381090.png</t>
        </is>
      </c>
      <c r="L1697" s="11">
        <f>HYPERLINK("2\1\" &amp; K1697, "Ver Imagen")</f>
        <v/>
      </c>
      <c r="M1697" t="inlineStr">
        <is>
          <t>Moda</t>
        </is>
      </c>
    </row>
    <row r="1698">
      <c r="A1698" t="n">
        <v>1697</v>
      </c>
      <c r="B1698" t="inlineStr">
        <is>
          <t>A-5058__105</t>
        </is>
      </c>
      <c r="C1698" s="1" t="n">
        <v>37.2311662232</v>
      </c>
      <c r="D1698" s="1" t="n">
        <v>-7.05072991893</v>
      </c>
      <c r="E1698" s="3" t="n">
        <v>2</v>
      </c>
      <c r="F1698" s="2" t="n">
        <v>2</v>
      </c>
      <c r="G1698" s="4" t="n">
        <v>3</v>
      </c>
      <c r="H1698" s="13" t="n"/>
      <c r="I1698" s="15" t="n"/>
      <c r="J1698" s="19" t="n">
        <v>2</v>
      </c>
      <c r="K1698" s="2" t="inlineStr">
        <is>
          <t>marker_968_381185.png</t>
        </is>
      </c>
      <c r="L1698" s="11">
        <f>HYPERLINK("2\1\" &amp; K1698, "Ver Imagen")</f>
        <v/>
      </c>
      <c r="M1698" t="inlineStr">
        <is>
          <t>Moda</t>
        </is>
      </c>
    </row>
    <row r="1699">
      <c r="A1699" t="n">
        <v>1698</v>
      </c>
      <c r="B1699" t="inlineStr">
        <is>
          <t>A-5058__108</t>
        </is>
      </c>
      <c r="C1699" s="1" t="n">
        <v>37.2315063081</v>
      </c>
      <c r="D1699" s="1" t="n">
        <v>-7.05137998947</v>
      </c>
      <c r="E1699" s="3" t="n">
        <v>2</v>
      </c>
      <c r="F1699" s="2" t="n">
        <v>2</v>
      </c>
      <c r="G1699" s="4" t="n">
        <v>3</v>
      </c>
      <c r="H1699" s="13" t="n"/>
      <c r="I1699" s="15" t="n"/>
      <c r="J1699" s="19" t="n">
        <v>2</v>
      </c>
      <c r="K1699" s="2" t="inlineStr">
        <is>
          <t>marker_869_381219.png</t>
        </is>
      </c>
      <c r="L1699" s="11">
        <f>HYPERLINK("2\1\" &amp; K1699, "Ver Imagen")</f>
        <v/>
      </c>
      <c r="M1699" t="inlineStr">
        <is>
          <t>Moda</t>
        </is>
      </c>
    </row>
    <row r="1700">
      <c r="A1700" t="n">
        <v>1699</v>
      </c>
      <c r="B1700" t="inlineStr">
        <is>
          <t>A-5058__114</t>
        </is>
      </c>
      <c r="C1700" s="1" t="n">
        <v>37.2321794718</v>
      </c>
      <c r="D1700" s="1" t="n">
        <v>-7.05263215183</v>
      </c>
      <c r="E1700" s="3" t="n">
        <v>2</v>
      </c>
      <c r="F1700" s="2" t="n">
        <v>2</v>
      </c>
      <c r="G1700" s="4" t="n">
        <v>3</v>
      </c>
      <c r="H1700" s="13" t="n"/>
      <c r="I1700" s="15" t="n"/>
      <c r="J1700" s="19" t="n">
        <v>2</v>
      </c>
      <c r="K1700" s="2" t="inlineStr">
        <is>
          <t>marker_427_381283.png</t>
        </is>
      </c>
      <c r="L1700" s="11">
        <f>HYPERLINK("2\1\" &amp; K1700, "Ver Imagen")</f>
        <v/>
      </c>
      <c r="M1700" t="inlineStr">
        <is>
          <t>Moda</t>
        </is>
      </c>
    </row>
    <row r="1701">
      <c r="A1701" t="n">
        <v>1700</v>
      </c>
      <c r="B1701" t="inlineStr">
        <is>
          <t>A-5058__117</t>
        </is>
      </c>
      <c r="C1701" s="1" t="n">
        <v>37.2325307192</v>
      </c>
      <c r="D1701" s="1" t="n">
        <v>-7.05328284338</v>
      </c>
      <c r="E1701" s="3" t="n">
        <v>2</v>
      </c>
      <c r="F1701" s="2" t="n">
        <v>2</v>
      </c>
      <c r="G1701" s="4" t="n">
        <v>3</v>
      </c>
      <c r="H1701" s="13" t="n"/>
      <c r="I1701" s="15" t="n"/>
      <c r="J1701" s="19" t="n">
        <v>2</v>
      </c>
      <c r="K1701" s="2" t="inlineStr">
        <is>
          <t>marker_955_381315.png</t>
        </is>
      </c>
      <c r="L1701" s="11">
        <f>HYPERLINK("2\1\" &amp; K1701, "Ver Imagen")</f>
        <v/>
      </c>
      <c r="M1701" t="inlineStr">
        <is>
          <t>Moda</t>
        </is>
      </c>
    </row>
    <row r="1702">
      <c r="A1702" t="n">
        <v>1701</v>
      </c>
      <c r="B1702" t="inlineStr">
        <is>
          <t>A-5058__119</t>
        </is>
      </c>
      <c r="C1702" s="1" t="n">
        <v>37.2327383632</v>
      </c>
      <c r="D1702" s="1" t="n">
        <v>-7.05370918448</v>
      </c>
      <c r="E1702" s="3" t="n">
        <v>2</v>
      </c>
      <c r="F1702" s="2" t="n">
        <v>2</v>
      </c>
      <c r="G1702" s="4" t="n">
        <v>3</v>
      </c>
      <c r="H1702" s="13" t="n"/>
      <c r="I1702" s="15" t="n"/>
      <c r="J1702" s="19" t="n">
        <v>2</v>
      </c>
      <c r="K1702" s="2" t="inlineStr">
        <is>
          <t>marker_789_381334.png</t>
        </is>
      </c>
      <c r="L1702" s="11">
        <f>HYPERLINK("2\1\" &amp; K1702, "Ver Imagen")</f>
        <v/>
      </c>
      <c r="M1702" t="inlineStr">
        <is>
          <t>Moda</t>
        </is>
      </c>
    </row>
    <row r="1703">
      <c r="A1703" t="n">
        <v>1702</v>
      </c>
      <c r="B1703" t="inlineStr">
        <is>
          <t>A-5058__120</t>
        </is>
      </c>
      <c r="C1703" s="1" t="n">
        <v>37.2328278614</v>
      </c>
      <c r="D1703" s="1" t="n">
        <v>-7.05391945411</v>
      </c>
      <c r="E1703" s="3" t="n">
        <v>2</v>
      </c>
      <c r="F1703" s="2" t="n">
        <v>2</v>
      </c>
      <c r="G1703" s="4" t="n">
        <v>3</v>
      </c>
      <c r="H1703" s="13" t="n"/>
      <c r="I1703" s="15" t="n"/>
      <c r="J1703" s="19" t="n">
        <v>2</v>
      </c>
      <c r="K1703" s="2" t="inlineStr">
        <is>
          <t>marker_215_381342.png</t>
        </is>
      </c>
      <c r="L1703" s="11">
        <f>HYPERLINK("2\1\" &amp; K1703, "Ver Imagen")</f>
        <v/>
      </c>
      <c r="M1703" t="inlineStr">
        <is>
          <t>Moda</t>
        </is>
      </c>
    </row>
    <row r="1704">
      <c r="A1704" t="n">
        <v>1703</v>
      </c>
      <c r="B1704" t="inlineStr">
        <is>
          <t>A-5058__121</t>
        </is>
      </c>
      <c r="C1704" s="1" t="n">
        <v>37.2329224331</v>
      </c>
      <c r="D1704" s="1" t="n">
        <v>-7.05415626657</v>
      </c>
      <c r="E1704" s="3" t="n">
        <v>2</v>
      </c>
      <c r="F1704" s="2" t="n">
        <v>2</v>
      </c>
      <c r="G1704" s="4" t="n">
        <v>3</v>
      </c>
      <c r="H1704" s="13" t="n"/>
      <c r="I1704" s="15" t="n"/>
      <c r="J1704" s="19" t="n">
        <v>2</v>
      </c>
      <c r="K1704" s="2" t="inlineStr">
        <is>
          <t>marker_716_381351.png</t>
        </is>
      </c>
      <c r="L1704" s="11">
        <f>HYPERLINK("2\1\" &amp; K1704, "Ver Imagen")</f>
        <v/>
      </c>
      <c r="M1704" t="inlineStr">
        <is>
          <t>Moda</t>
        </is>
      </c>
    </row>
    <row r="1705">
      <c r="A1705" t="n">
        <v>1704</v>
      </c>
      <c r="B1705" t="inlineStr">
        <is>
          <t>A-5058__122</t>
        </is>
      </c>
      <c r="C1705" s="1" t="n">
        <v>37.2330057404</v>
      </c>
      <c r="D1705" s="1" t="n">
        <v>-7.05438361736</v>
      </c>
      <c r="E1705" s="3" t="n">
        <v>2</v>
      </c>
      <c r="F1705" s="2" t="n">
        <v>2</v>
      </c>
      <c r="G1705" s="4" t="n">
        <v>3</v>
      </c>
      <c r="H1705" s="13" t="n"/>
      <c r="I1705" s="15" t="n"/>
      <c r="J1705" s="19" t="n">
        <v>2</v>
      </c>
      <c r="K1705" s="2" t="inlineStr">
        <is>
          <t>marker_899_381360.png</t>
        </is>
      </c>
      <c r="L1705" s="11">
        <f>HYPERLINK("2\1\" &amp; K1705, "Ver Imagen")</f>
        <v/>
      </c>
      <c r="M1705" t="inlineStr">
        <is>
          <t>Moda</t>
        </is>
      </c>
    </row>
    <row r="1706">
      <c r="A1706" t="n">
        <v>1705</v>
      </c>
      <c r="B1706" t="inlineStr">
        <is>
          <t>A-5058__123</t>
        </is>
      </c>
      <c r="C1706" s="1" t="n">
        <v>37.2330787923</v>
      </c>
      <c r="D1706" s="1" t="n">
        <v>-7.05461009127</v>
      </c>
      <c r="E1706" s="3" t="n">
        <v>2</v>
      </c>
      <c r="F1706" s="2" t="n">
        <v>2</v>
      </c>
      <c r="G1706" s="4" t="n">
        <v>3</v>
      </c>
      <c r="H1706" s="13" t="n"/>
      <c r="I1706" s="15" t="n"/>
      <c r="J1706" s="19" t="n">
        <v>2</v>
      </c>
      <c r="K1706" s="2" t="inlineStr">
        <is>
          <t>marker_771_381369.png</t>
        </is>
      </c>
      <c r="L1706" s="11">
        <f>HYPERLINK("2\1\" &amp; K1706, "Ver Imagen")</f>
        <v/>
      </c>
      <c r="M1706" t="inlineStr">
        <is>
          <t>Moda</t>
        </is>
      </c>
    </row>
    <row r="1707">
      <c r="A1707" t="n">
        <v>1706</v>
      </c>
      <c r="B1707" t="inlineStr">
        <is>
          <t>A-5058__125</t>
        </is>
      </c>
      <c r="C1707" s="1" t="n">
        <v>37.2332098495</v>
      </c>
      <c r="D1707" s="1" t="n">
        <v>-7.05508306502</v>
      </c>
      <c r="E1707" s="3" t="n">
        <v>2</v>
      </c>
      <c r="F1707" s="2" t="n">
        <v>2</v>
      </c>
      <c r="G1707" s="4" t="n">
        <v>3</v>
      </c>
      <c r="H1707" s="13" t="n"/>
      <c r="I1707" s="15" t="n"/>
      <c r="J1707" s="19" t="n">
        <v>2</v>
      </c>
      <c r="K1707" s="2" t="inlineStr">
        <is>
          <t>marker_775_381389.png</t>
        </is>
      </c>
      <c r="L1707" s="11">
        <f>HYPERLINK("2\1\" &amp; K1707, "Ver Imagen")</f>
        <v/>
      </c>
      <c r="M1707" t="inlineStr">
        <is>
          <t>Moda</t>
        </is>
      </c>
    </row>
    <row r="1708">
      <c r="A1708" t="n">
        <v>1707</v>
      </c>
      <c r="B1708" t="inlineStr">
        <is>
          <t>A-5058__126</t>
        </is>
      </c>
      <c r="C1708" s="1" t="n">
        <v>37.2332693087</v>
      </c>
      <c r="D1708" s="1" t="n">
        <v>-7.05531469651</v>
      </c>
      <c r="E1708" s="3" t="n">
        <v>2</v>
      </c>
      <c r="F1708" s="2" t="n">
        <v>2</v>
      </c>
      <c r="G1708" s="4" t="n">
        <v>3</v>
      </c>
      <c r="H1708" s="13" t="n"/>
      <c r="I1708" s="15" t="n"/>
      <c r="J1708" s="19" t="n">
        <v>2</v>
      </c>
      <c r="K1708" s="2" t="inlineStr">
        <is>
          <t>marker_465_381398.png</t>
        </is>
      </c>
      <c r="L1708" s="11">
        <f>HYPERLINK("2\1\" &amp; K1708, "Ver Imagen")</f>
        <v/>
      </c>
      <c r="M1708" t="inlineStr">
        <is>
          <t>Moda</t>
        </is>
      </c>
    </row>
    <row r="1709">
      <c r="A1709" t="n">
        <v>1708</v>
      </c>
      <c r="B1709" t="inlineStr">
        <is>
          <t>A-5058__127</t>
        </is>
      </c>
      <c r="C1709" s="1" t="n">
        <v>37.2333274756</v>
      </c>
      <c r="D1709" s="1" t="n">
        <v>-7.05554061527</v>
      </c>
      <c r="E1709" s="3" t="n">
        <v>2</v>
      </c>
      <c r="F1709" s="2" t="n">
        <v>2</v>
      </c>
      <c r="G1709" s="4" t="n">
        <v>3</v>
      </c>
      <c r="H1709" s="13" t="n"/>
      <c r="I1709" s="15" t="n"/>
      <c r="J1709" s="19" t="n">
        <v>2</v>
      </c>
      <c r="K1709" s="2" t="inlineStr">
        <is>
          <t>marker_542_381422.png</t>
        </is>
      </c>
      <c r="L1709" s="11">
        <f>HYPERLINK("2\1\" &amp; K1709, "Ver Imagen")</f>
        <v/>
      </c>
      <c r="M1709" t="inlineStr">
        <is>
          <t>Moda</t>
        </is>
      </c>
    </row>
    <row r="1710">
      <c r="A1710" t="n">
        <v>1709</v>
      </c>
      <c r="B1710" t="inlineStr">
        <is>
          <t>A-5058__129</t>
        </is>
      </c>
      <c r="C1710" s="1" t="n">
        <v>37.2334633621</v>
      </c>
      <c r="D1710" s="1" t="n">
        <v>-7.05606400083</v>
      </c>
      <c r="E1710" s="3" t="n">
        <v>2</v>
      </c>
      <c r="F1710" s="2" t="n">
        <v>2</v>
      </c>
      <c r="G1710" s="4" t="n">
        <v>3</v>
      </c>
      <c r="H1710" s="13" t="n"/>
      <c r="I1710" s="15" t="n"/>
      <c r="J1710" s="19" t="n">
        <v>2</v>
      </c>
      <c r="K1710" s="2" t="inlineStr">
        <is>
          <t>marker_400_381446.png</t>
        </is>
      </c>
      <c r="L1710" s="11">
        <f>HYPERLINK("2\1\" &amp; K1710, "Ver Imagen")</f>
        <v/>
      </c>
      <c r="M1710" t="inlineStr">
        <is>
          <t>Moda</t>
        </is>
      </c>
    </row>
    <row r="1711">
      <c r="A1711" t="n">
        <v>1710</v>
      </c>
      <c r="B1711" t="inlineStr">
        <is>
          <t>A-5058__131</t>
        </is>
      </c>
      <c r="C1711" s="1" t="n">
        <v>37.2335869789</v>
      </c>
      <c r="D1711" s="1" t="n">
        <v>-7.0565314661</v>
      </c>
      <c r="E1711" s="3" t="n">
        <v>2</v>
      </c>
      <c r="F1711" s="2" t="n">
        <v>2</v>
      </c>
      <c r="G1711" s="4" t="n">
        <v>3</v>
      </c>
      <c r="H1711" s="13" t="n"/>
      <c r="I1711" s="15" t="n"/>
      <c r="J1711" s="19" t="n">
        <v>2</v>
      </c>
      <c r="K1711" s="2" t="inlineStr">
        <is>
          <t>marker_728_381466.png</t>
        </is>
      </c>
      <c r="L1711" s="11">
        <f>HYPERLINK("2\1\" &amp; K1711, "Ver Imagen")</f>
        <v/>
      </c>
      <c r="M1711" t="inlineStr">
        <is>
          <t>Moda</t>
        </is>
      </c>
    </row>
    <row r="1712">
      <c r="A1712" t="n">
        <v>1711</v>
      </c>
      <c r="B1712" t="inlineStr">
        <is>
          <t>A-5058__132</t>
        </is>
      </c>
      <c r="C1712" s="1" t="n">
        <v>37.233656557</v>
      </c>
      <c r="D1712" s="1" t="n">
        <v>-7.05679547031</v>
      </c>
      <c r="E1712" s="3" t="n">
        <v>2</v>
      </c>
      <c r="F1712" s="2" t="n">
        <v>2</v>
      </c>
      <c r="G1712" s="4" t="n">
        <v>3</v>
      </c>
      <c r="H1712" s="13" t="n"/>
      <c r="I1712" s="15" t="n"/>
      <c r="J1712" s="19" t="n">
        <v>2</v>
      </c>
      <c r="K1712" s="2" t="inlineStr">
        <is>
          <t>marker_946_381484.png</t>
        </is>
      </c>
      <c r="L1712" s="11">
        <f>HYPERLINK("2\1\" &amp; K1712, "Ver Imagen")</f>
        <v/>
      </c>
      <c r="M1712" t="inlineStr">
        <is>
          <t>Moda</t>
        </is>
      </c>
    </row>
    <row r="1713">
      <c r="A1713" t="n">
        <v>1712</v>
      </c>
      <c r="B1713" t="inlineStr">
        <is>
          <t>A-5058__133</t>
        </is>
      </c>
      <c r="C1713" s="1" t="n">
        <v>37.2337185396</v>
      </c>
      <c r="D1713" s="1" t="n">
        <v>-7.05703017198</v>
      </c>
      <c r="E1713" s="3" t="n">
        <v>2</v>
      </c>
      <c r="F1713" s="2" t="n">
        <v>2</v>
      </c>
      <c r="G1713" s="4" t="n">
        <v>3</v>
      </c>
      <c r="H1713" s="13" t="n"/>
      <c r="I1713" s="15" t="n"/>
      <c r="J1713" s="19" t="n">
        <v>2</v>
      </c>
      <c r="K1713" s="2" t="inlineStr">
        <is>
          <t>marker_641_381497.png</t>
        </is>
      </c>
      <c r="L1713" s="11">
        <f>HYPERLINK("2\1\" &amp; K1713, "Ver Imagen")</f>
        <v/>
      </c>
      <c r="M1713" t="inlineStr">
        <is>
          <t>Moda</t>
        </is>
      </c>
    </row>
    <row r="1714">
      <c r="A1714" t="n">
        <v>1713</v>
      </c>
      <c r="B1714" t="inlineStr">
        <is>
          <t>A-5058__134</t>
        </is>
      </c>
      <c r="C1714" s="1" t="n">
        <v>37.2337777324</v>
      </c>
      <c r="D1714" s="1" t="n">
        <v>-7.05725395764</v>
      </c>
      <c r="E1714" s="3" t="n">
        <v>2</v>
      </c>
      <c r="F1714" s="2" t="n">
        <v>2</v>
      </c>
      <c r="G1714" s="4" t="n">
        <v>3</v>
      </c>
      <c r="H1714" s="13" t="n"/>
      <c r="I1714" s="15" t="n"/>
      <c r="J1714" s="19" t="n">
        <v>2</v>
      </c>
      <c r="K1714" s="2" t="inlineStr">
        <is>
          <t>marker_819_381508.png</t>
        </is>
      </c>
      <c r="L1714" s="11">
        <f>HYPERLINK("2\1\" &amp; K1714, "Ver Imagen")</f>
        <v/>
      </c>
      <c r="M1714" t="inlineStr">
        <is>
          <t>Moda</t>
        </is>
      </c>
    </row>
    <row r="1715">
      <c r="A1715" t="n">
        <v>1714</v>
      </c>
      <c r="B1715" t="inlineStr">
        <is>
          <t>A-5058__160</t>
        </is>
      </c>
      <c r="C1715" s="1" t="n">
        <v>37.2340375351</v>
      </c>
      <c r="D1715" s="1" t="n">
        <v>-7.06381739657</v>
      </c>
      <c r="E1715" s="3" t="n">
        <v>2</v>
      </c>
      <c r="F1715" s="2" t="n">
        <v>2</v>
      </c>
      <c r="G1715" s="4" t="n">
        <v>3</v>
      </c>
      <c r="H1715" s="13" t="n"/>
      <c r="I1715" s="15" t="n"/>
      <c r="J1715" s="19" t="n">
        <v>2</v>
      </c>
      <c r="K1715" s="2" t="inlineStr">
        <is>
          <t>marker_501_381826.png</t>
        </is>
      </c>
      <c r="L1715" s="11">
        <f>HYPERLINK("2\1\" &amp; K1715, "Ver Imagen")</f>
        <v/>
      </c>
      <c r="M1715" t="inlineStr">
        <is>
          <t>Moda</t>
        </is>
      </c>
    </row>
    <row r="1716">
      <c r="A1716" t="n">
        <v>1715</v>
      </c>
      <c r="B1716" t="inlineStr">
        <is>
          <t>A-5058__236</t>
        </is>
      </c>
      <c r="C1716" s="1" t="n">
        <v>37.2394992655</v>
      </c>
      <c r="D1716" s="1" t="n">
        <v>-7.08064143974</v>
      </c>
      <c r="E1716" s="3" t="n">
        <v>2</v>
      </c>
      <c r="F1716" s="2" t="n">
        <v>2</v>
      </c>
      <c r="G1716" s="4" t="n">
        <v>3</v>
      </c>
      <c r="H1716" s="13" t="n"/>
      <c r="I1716" s="15" t="n"/>
      <c r="J1716" s="19" t="n">
        <v>2</v>
      </c>
      <c r="K1716" s="2" t="inlineStr">
        <is>
          <t>marker_579_383323.png</t>
        </is>
      </c>
      <c r="L1716" s="11">
        <f>HYPERLINK("2\1\" &amp; K1716, "Ver Imagen")</f>
        <v/>
      </c>
      <c r="M1716" t="inlineStr">
        <is>
          <t>Moda</t>
        </is>
      </c>
    </row>
    <row r="1717">
      <c r="A1717" t="n">
        <v>1716</v>
      </c>
      <c r="B1717" t="inlineStr">
        <is>
          <t>A-5058__343</t>
        </is>
      </c>
      <c r="C1717" s="1" t="n">
        <v>37.2502271421</v>
      </c>
      <c r="D1717" s="1" t="n">
        <v>-7.10296308123</v>
      </c>
      <c r="E1717" s="3" t="n">
        <v>2</v>
      </c>
      <c r="F1717" s="2" t="n">
        <v>2</v>
      </c>
      <c r="G1717" s="4" t="n">
        <v>3</v>
      </c>
      <c r="H1717" s="13" t="n"/>
      <c r="I1717" s="15" t="n"/>
      <c r="J1717" s="19" t="n">
        <v>2</v>
      </c>
      <c r="K1717" s="2" t="inlineStr">
        <is>
          <t>marker_446_384795.png</t>
        </is>
      </c>
      <c r="L1717" s="11">
        <f>HYPERLINK("2\1\" &amp; K1717, "Ver Imagen")</f>
        <v/>
      </c>
      <c r="M1717" t="inlineStr">
        <is>
          <t>Moda</t>
        </is>
      </c>
    </row>
    <row r="1718">
      <c r="A1718" t="n">
        <v>1717</v>
      </c>
      <c r="B1718" t="inlineStr">
        <is>
          <t>A-5058__348</t>
        </is>
      </c>
      <c r="C1718" s="1" t="n">
        <v>37.2511413442</v>
      </c>
      <c r="D1718" s="1" t="n">
        <v>-7.10349675147</v>
      </c>
      <c r="E1718" s="3" t="n">
        <v>2</v>
      </c>
      <c r="F1718" s="2" t="n">
        <v>2</v>
      </c>
      <c r="G1718" s="4" t="n">
        <v>3</v>
      </c>
      <c r="H1718" s="13" t="n"/>
      <c r="I1718" s="15" t="n"/>
      <c r="J1718" s="19" t="n">
        <v>2</v>
      </c>
      <c r="K1718" s="2" t="inlineStr">
        <is>
          <t>marker_488_384845.png</t>
        </is>
      </c>
      <c r="L1718" s="11">
        <f>HYPERLINK("2\1\" &amp; K1718, "Ver Imagen")</f>
        <v/>
      </c>
      <c r="M1718" t="inlineStr">
        <is>
          <t>Moda</t>
        </is>
      </c>
    </row>
    <row r="1719">
      <c r="A1719" t="n">
        <v>1718</v>
      </c>
      <c r="B1719" t="inlineStr">
        <is>
          <t>A-5058__359</t>
        </is>
      </c>
      <c r="C1719" s="1" t="n">
        <v>37.2527817957</v>
      </c>
      <c r="D1719" s="1" t="n">
        <v>-7.10532255891</v>
      </c>
      <c r="E1719" s="3" t="n">
        <v>2</v>
      </c>
      <c r="F1719" s="2" t="n">
        <v>2</v>
      </c>
      <c r="G1719" s="4" t="n">
        <v>3</v>
      </c>
      <c r="H1719" s="13" t="n"/>
      <c r="I1719" s="15" t="n"/>
      <c r="J1719" s="19" t="n">
        <v>2</v>
      </c>
      <c r="K1719" s="2" t="inlineStr">
        <is>
          <t>marker_321_384963.png</t>
        </is>
      </c>
      <c r="L1719" s="11">
        <f>HYPERLINK("2\1\" &amp; K1719, "Ver Imagen")</f>
        <v/>
      </c>
      <c r="M1719" t="inlineStr">
        <is>
          <t>Moda</t>
        </is>
      </c>
    </row>
    <row r="1720">
      <c r="A1720" t="n">
        <v>1719</v>
      </c>
      <c r="B1720" t="inlineStr">
        <is>
          <t>A-5058__368</t>
        </is>
      </c>
      <c r="C1720" s="1" t="n">
        <v>37.2536919036</v>
      </c>
      <c r="D1720" s="1" t="n">
        <v>-7.10727469034</v>
      </c>
      <c r="E1720" s="3" t="n">
        <v>2</v>
      </c>
      <c r="F1720" s="2" t="n">
        <v>2</v>
      </c>
      <c r="G1720" s="4" t="n">
        <v>3</v>
      </c>
      <c r="H1720" s="13" t="n"/>
      <c r="I1720" s="15" t="n"/>
      <c r="J1720" s="19" t="n">
        <v>2</v>
      </c>
      <c r="K1720" s="2" t="inlineStr">
        <is>
          <t>marker_243_385055.png</t>
        </is>
      </c>
      <c r="L1720" s="11">
        <f>HYPERLINK("2\1\" &amp; K1720, "Ver Imagen")</f>
        <v/>
      </c>
      <c r="M1720" t="inlineStr">
        <is>
          <t>Moda</t>
        </is>
      </c>
    </row>
    <row r="1721">
      <c r="A1721" t="n">
        <v>1720</v>
      </c>
      <c r="B1721" t="inlineStr">
        <is>
          <t>A-5058__369</t>
        </is>
      </c>
      <c r="C1721" s="1" t="n">
        <v>37.2538188436</v>
      </c>
      <c r="D1721" s="1" t="n">
        <v>-7.10745298028</v>
      </c>
      <c r="E1721" s="3" t="n">
        <v>2</v>
      </c>
      <c r="F1721" s="2" t="n">
        <v>2</v>
      </c>
      <c r="G1721" s="4" t="n">
        <v>3</v>
      </c>
      <c r="H1721" s="13" t="n"/>
      <c r="I1721" s="15" t="n"/>
      <c r="J1721" s="19" t="n">
        <v>2</v>
      </c>
      <c r="K1721" s="2" t="inlineStr">
        <is>
          <t>marker_685_385063.png</t>
        </is>
      </c>
      <c r="L1721" s="11">
        <f>HYPERLINK("2\1\" &amp; K1721, "Ver Imagen")</f>
        <v/>
      </c>
      <c r="M1721" t="inlineStr">
        <is>
          <t>Moda</t>
        </is>
      </c>
    </row>
    <row r="1722">
      <c r="A1722" t="n">
        <v>1721</v>
      </c>
      <c r="B1722" t="inlineStr">
        <is>
          <t>A-495__5</t>
        </is>
      </c>
      <c r="C1722" s="1" t="n">
        <v>37.4440457854</v>
      </c>
      <c r="D1722" s="1" t="n">
        <v>-7.09918285575</v>
      </c>
      <c r="E1722" s="3" t="n">
        <v>2</v>
      </c>
      <c r="F1722" s="2" t="n">
        <v>2</v>
      </c>
      <c r="G1722" s="4" t="n">
        <v>3</v>
      </c>
      <c r="H1722" s="13" t="n"/>
      <c r="I1722" s="15" t="n"/>
      <c r="J1722" s="19" t="n">
        <v>2</v>
      </c>
      <c r="K1722" s="2" t="inlineStr">
        <is>
          <t>marker_705_381029.png</t>
        </is>
      </c>
      <c r="L1722" s="11">
        <f>HYPERLINK("2\1\" &amp; K1722, "Ver Imagen")</f>
        <v/>
      </c>
      <c r="M1722" t="inlineStr">
        <is>
          <t>Moda</t>
        </is>
      </c>
    </row>
    <row r="1723">
      <c r="A1723" t="n">
        <v>1722</v>
      </c>
      <c r="B1723" t="inlineStr">
        <is>
          <t>A-495_1__179</t>
        </is>
      </c>
      <c r="C1723" s="1" t="n">
        <v>37.4820889405</v>
      </c>
      <c r="D1723" s="1" t="n">
        <v>-7.12831068675</v>
      </c>
      <c r="E1723" s="3" t="n">
        <v>2</v>
      </c>
      <c r="F1723" s="2" t="n">
        <v>2</v>
      </c>
      <c r="G1723" s="4" t="n">
        <v>3</v>
      </c>
      <c r="H1723" s="13" t="n"/>
      <c r="I1723" s="15" t="n"/>
      <c r="J1723" s="19" t="n">
        <v>2</v>
      </c>
      <c r="K1723" s="2" t="inlineStr">
        <is>
          <t>marker_622_383830.png</t>
        </is>
      </c>
      <c r="L1723" s="11">
        <f>HYPERLINK("2\1\" &amp; K1723, "Ver Imagen")</f>
        <v/>
      </c>
      <c r="M1723" t="inlineStr">
        <is>
          <t>Moda</t>
        </is>
      </c>
    </row>
    <row r="1724">
      <c r="A1724" t="n">
        <v>1723</v>
      </c>
      <c r="B1724" t="inlineStr">
        <is>
          <t>A-495_1__177</t>
        </is>
      </c>
      <c r="C1724" s="1" t="n">
        <v>37.4817471404</v>
      </c>
      <c r="D1724" s="1" t="n">
        <v>-7.12810144537</v>
      </c>
      <c r="E1724" s="3" t="n">
        <v>2</v>
      </c>
      <c r="F1724" s="2" t="n">
        <v>2</v>
      </c>
      <c r="G1724" s="4" t="n">
        <v>3</v>
      </c>
      <c r="H1724" s="13" t="n"/>
      <c r="I1724" s="15" t="n"/>
      <c r="J1724" s="19" t="n">
        <v>2</v>
      </c>
      <c r="K1724" s="2" t="inlineStr">
        <is>
          <t>marker_322_383925.png</t>
        </is>
      </c>
      <c r="L1724" s="11">
        <f>HYPERLINK("2\1\" &amp; K1724, "Ver Imagen")</f>
        <v/>
      </c>
      <c r="M1724" t="inlineStr">
        <is>
          <t>Moda</t>
        </is>
      </c>
    </row>
    <row r="1725">
      <c r="A1725" t="n">
        <v>1724</v>
      </c>
      <c r="B1725" t="inlineStr">
        <is>
          <t>A-495_1__176</t>
        </is>
      </c>
      <c r="C1725" s="1" t="n">
        <v>37.4815285801</v>
      </c>
      <c r="D1725" s="1" t="n">
        <v>-7.12799367997</v>
      </c>
      <c r="E1725" s="3" t="n">
        <v>2</v>
      </c>
      <c r="F1725" s="2" t="n">
        <v>2</v>
      </c>
      <c r="G1725" s="4" t="n">
        <v>3</v>
      </c>
      <c r="H1725" s="13" t="n"/>
      <c r="I1725" s="15" t="n"/>
      <c r="J1725" s="19" t="n">
        <v>2</v>
      </c>
      <c r="K1725" s="2" t="inlineStr">
        <is>
          <t>marker_153_383935.png</t>
        </is>
      </c>
      <c r="L1725" s="11">
        <f>HYPERLINK("2\1\" &amp; K1725, "Ver Imagen")</f>
        <v/>
      </c>
      <c r="M1725" t="inlineStr">
        <is>
          <t>Moda</t>
        </is>
      </c>
    </row>
    <row r="1726">
      <c r="A1726" t="n">
        <v>1725</v>
      </c>
      <c r="B1726" t="inlineStr">
        <is>
          <t>A-495_1__116</t>
        </is>
      </c>
      <c r="C1726" s="1" t="n">
        <v>37.4704227045</v>
      </c>
      <c r="D1726" s="1" t="n">
        <v>-7.12494984769</v>
      </c>
      <c r="E1726" s="3" t="n">
        <v>3</v>
      </c>
      <c r="F1726" s="2" t="n">
        <v>2</v>
      </c>
      <c r="G1726" s="4" t="n">
        <v>2</v>
      </c>
      <c r="H1726" s="13" t="n"/>
      <c r="I1726" s="15" t="n"/>
      <c r="J1726" s="19" t="n">
        <v>2</v>
      </c>
      <c r="K1726" s="2" t="inlineStr">
        <is>
          <t>marker_526_384614.png</t>
        </is>
      </c>
      <c r="L1726" s="11">
        <f>HYPERLINK("2\1\" &amp; K1726, "Ver Imagen")</f>
        <v/>
      </c>
      <c r="M1726" t="inlineStr">
        <is>
          <t>Moda</t>
        </is>
      </c>
    </row>
    <row r="1727">
      <c r="A1727" t="n">
        <v>1726</v>
      </c>
      <c r="B1727" t="inlineStr">
        <is>
          <t>A-495_1__15</t>
        </is>
      </c>
      <c r="C1727" s="1" t="n">
        <v>37.4509801926</v>
      </c>
      <c r="D1727" s="1" t="n">
        <v>-7.12741991481</v>
      </c>
      <c r="E1727" s="3" t="n">
        <v>2</v>
      </c>
      <c r="F1727" s="2" t="n">
        <v>2</v>
      </c>
      <c r="G1727" s="4" t="n">
        <v>3</v>
      </c>
      <c r="H1727" s="13" t="n"/>
      <c r="I1727" s="15" t="n"/>
      <c r="J1727" s="19" t="n">
        <v>2</v>
      </c>
      <c r="K1727" s="2" t="inlineStr">
        <is>
          <t>marker_269_386179.png</t>
        </is>
      </c>
      <c r="L1727" s="11">
        <f>HYPERLINK("2\1\" &amp; K1727, "Ver Imagen")</f>
        <v/>
      </c>
      <c r="M1727" t="inlineStr">
        <is>
          <t>Moda</t>
        </is>
      </c>
    </row>
    <row r="1728">
      <c r="A1728" t="n">
        <v>1727</v>
      </c>
      <c r="B1728" t="inlineStr">
        <is>
          <t>A-499__31</t>
        </is>
      </c>
      <c r="C1728" s="1" t="n">
        <v>37.4926101033</v>
      </c>
      <c r="D1728" s="1" t="n">
        <v>-7.27744373431</v>
      </c>
      <c r="E1728" s="3" t="n">
        <v>2</v>
      </c>
      <c r="F1728" s="2" t="n">
        <v>2</v>
      </c>
      <c r="G1728" s="4" t="n">
        <v>3</v>
      </c>
      <c r="H1728" s="13" t="n"/>
      <c r="I1728" s="15" t="n"/>
      <c r="J1728" s="19" t="n">
        <v>2</v>
      </c>
      <c r="K1728" s="2" t="inlineStr">
        <is>
          <t>marker_338_529936.png</t>
        </is>
      </c>
      <c r="L1728" s="11">
        <f>HYPERLINK("2\1\" &amp; K1728, "Ver Imagen")</f>
        <v/>
      </c>
      <c r="M1728" t="inlineStr">
        <is>
          <t>Moda</t>
        </is>
      </c>
    </row>
    <row r="1729">
      <c r="A1729" t="n">
        <v>1728</v>
      </c>
      <c r="B1729" t="inlineStr">
        <is>
          <t>A-499__32</t>
        </is>
      </c>
      <c r="C1729" s="1" t="n">
        <v>37.492823373</v>
      </c>
      <c r="D1729" s="1" t="n">
        <v>-7.27736824202</v>
      </c>
      <c r="E1729" s="3" t="n">
        <v>2</v>
      </c>
      <c r="F1729" s="2" t="n">
        <v>2</v>
      </c>
      <c r="G1729" s="4" t="n">
        <v>3</v>
      </c>
      <c r="H1729" s="13" t="n"/>
      <c r="I1729" s="15" t="n"/>
      <c r="J1729" s="19" t="n">
        <v>2</v>
      </c>
      <c r="K1729" s="2" t="inlineStr">
        <is>
          <t>marker_520_529946.png</t>
        </is>
      </c>
      <c r="L1729" s="11">
        <f>HYPERLINK("2\1\" &amp; K1729, "Ver Imagen")</f>
        <v/>
      </c>
      <c r="M1729" t="inlineStr">
        <is>
          <t>Moda</t>
        </is>
      </c>
    </row>
    <row r="1730">
      <c r="A1730" t="n">
        <v>1729</v>
      </c>
      <c r="B1730" t="inlineStr">
        <is>
          <t>A-499__44</t>
        </is>
      </c>
      <c r="C1730" s="1" t="n">
        <v>37.495168009</v>
      </c>
      <c r="D1730" s="1" t="n">
        <v>-7.27656937791</v>
      </c>
      <c r="E1730" s="3" t="n">
        <v>3</v>
      </c>
      <c r="F1730" s="2" t="n">
        <v>2</v>
      </c>
      <c r="G1730" s="4" t="n">
        <v>2</v>
      </c>
      <c r="H1730" s="13" t="n"/>
      <c r="I1730" s="15" t="n"/>
      <c r="J1730" s="19" t="n">
        <v>2</v>
      </c>
      <c r="K1730" s="2" t="inlineStr">
        <is>
          <t>marker_753_534801.png</t>
        </is>
      </c>
      <c r="L1730" s="11">
        <f>HYPERLINK("2\1\" &amp; K1730, "Ver Imagen")</f>
        <v/>
      </c>
      <c r="M1730" t="inlineStr">
        <is>
          <t>Moda</t>
        </is>
      </c>
    </row>
    <row r="1731">
      <c r="A1731" t="n">
        <v>1730</v>
      </c>
      <c r="B1731" t="inlineStr">
        <is>
          <t>A-499__47</t>
        </is>
      </c>
      <c r="C1731" s="1" t="n">
        <v>37.495536257</v>
      </c>
      <c r="D1731" s="1" t="n">
        <v>-7.27603525411</v>
      </c>
      <c r="E1731" s="3" t="n">
        <v>3</v>
      </c>
      <c r="F1731" s="2" t="n">
        <v>2</v>
      </c>
      <c r="G1731" s="4" t="n">
        <v>2</v>
      </c>
      <c r="H1731" s="13" t="n"/>
      <c r="I1731" s="15" t="n"/>
      <c r="J1731" s="19" t="n">
        <v>2</v>
      </c>
      <c r="K1731" s="2" t="inlineStr">
        <is>
          <t>marker_463_534834.png</t>
        </is>
      </c>
      <c r="L1731" s="11">
        <f>HYPERLINK("2\1\" &amp; K1731, "Ver Imagen")</f>
        <v/>
      </c>
      <c r="M1731" t="inlineStr">
        <is>
          <t>Moda</t>
        </is>
      </c>
    </row>
    <row r="1732">
      <c r="A1732" t="n">
        <v>1731</v>
      </c>
      <c r="B1732" t="inlineStr">
        <is>
          <t>A-499__53</t>
        </is>
      </c>
      <c r="C1732" s="1" t="n">
        <v>37.4957147779</v>
      </c>
      <c r="D1732" s="1" t="n">
        <v>-7.27452661377</v>
      </c>
      <c r="E1732" s="3" t="n">
        <v>2</v>
      </c>
      <c r="F1732" s="2" t="n">
        <v>2</v>
      </c>
      <c r="G1732" s="4" t="n">
        <v>3</v>
      </c>
      <c r="H1732" s="13" t="n"/>
      <c r="I1732" s="15" t="n"/>
      <c r="J1732" s="19" t="n">
        <v>2</v>
      </c>
      <c r="K1732" s="2" t="inlineStr">
        <is>
          <t>marker_560_534925.png</t>
        </is>
      </c>
      <c r="L1732" s="11">
        <f>HYPERLINK("2\1\" &amp; K1732, "Ver Imagen")</f>
        <v/>
      </c>
      <c r="M1732" t="inlineStr">
        <is>
          <t>Moda</t>
        </is>
      </c>
    </row>
    <row r="1733">
      <c r="A1733" t="n">
        <v>1732</v>
      </c>
      <c r="B1733" t="inlineStr">
        <is>
          <t>A-499__117</t>
        </is>
      </c>
      <c r="C1733" s="1" t="n">
        <v>37.5021227753</v>
      </c>
      <c r="D1733" s="1" t="n">
        <v>-7.26637475198</v>
      </c>
      <c r="E1733" s="3" t="n">
        <v>2</v>
      </c>
      <c r="F1733" s="2" t="n">
        <v>2</v>
      </c>
      <c r="G1733" s="4" t="n">
        <v>3</v>
      </c>
      <c r="H1733" s="13" t="n"/>
      <c r="I1733" s="15" t="n"/>
      <c r="J1733" s="19" t="n">
        <v>2</v>
      </c>
      <c r="K1733" s="2" t="inlineStr">
        <is>
          <t>marker_393_793542.png</t>
        </is>
      </c>
      <c r="L1733" s="11">
        <f>HYPERLINK("2\1\" &amp; K1733, "Ver Imagen")</f>
        <v/>
      </c>
      <c r="M1733" t="inlineStr">
        <is>
          <t>Moda</t>
        </is>
      </c>
    </row>
    <row r="1734">
      <c r="A1734" t="n">
        <v>1733</v>
      </c>
      <c r="B1734" t="inlineStr">
        <is>
          <t>A-497_2C__127</t>
        </is>
      </c>
      <c r="C1734" s="1" t="n">
        <v>37.2714018412</v>
      </c>
      <c r="D1734" s="1" t="n">
        <v>-6.98832023595</v>
      </c>
      <c r="E1734" s="3" t="n">
        <v>3</v>
      </c>
      <c r="F1734" s="2" t="n">
        <v>2</v>
      </c>
      <c r="G1734" s="4" t="n">
        <v>2</v>
      </c>
      <c r="H1734" s="13" t="n"/>
      <c r="I1734" s="15" t="n"/>
      <c r="J1734" s="19" t="n">
        <v>2</v>
      </c>
      <c r="K1734" s="2" t="inlineStr">
        <is>
          <t>marker_715_655741.png</t>
        </is>
      </c>
      <c r="L1734" s="11">
        <f>HYPERLINK("2\1\" &amp; K1734, "Ver Imagen")</f>
        <v/>
      </c>
      <c r="M1734" t="inlineStr">
        <is>
          <t>Moda</t>
        </is>
      </c>
    </row>
    <row r="1735">
      <c r="A1735" t="n">
        <v>1734</v>
      </c>
      <c r="B1735" t="inlineStr">
        <is>
          <t>A-497_2C__144</t>
        </is>
      </c>
      <c r="C1735" s="1" t="n">
        <v>37.2685550787</v>
      </c>
      <c r="D1735" s="1" t="n">
        <v>-6.99066287621</v>
      </c>
      <c r="E1735" s="3" t="n">
        <v>2</v>
      </c>
      <c r="F1735" s="2" t="n">
        <v>2</v>
      </c>
      <c r="G1735" s="4" t="n">
        <v>3</v>
      </c>
      <c r="H1735" s="13" t="n"/>
      <c r="I1735" s="15" t="n"/>
      <c r="J1735" s="19" t="n">
        <v>2</v>
      </c>
      <c r="K1735" s="2" t="inlineStr">
        <is>
          <t>marker_236_655906.png</t>
        </is>
      </c>
      <c r="L1735" s="11">
        <f>HYPERLINK("2\1\" &amp; K1735, "Ver Imagen")</f>
        <v/>
      </c>
      <c r="M1735" t="inlineStr">
        <is>
          <t>Moda</t>
        </is>
      </c>
    </row>
    <row r="1736">
      <c r="A1736" t="n">
        <v>1735</v>
      </c>
      <c r="B1736" t="inlineStr">
        <is>
          <t>A-497_2C__218</t>
        </is>
      </c>
      <c r="C1736" s="1" t="n">
        <v>37.2634258616</v>
      </c>
      <c r="D1736" s="1" t="n">
        <v>-7.00758061765</v>
      </c>
      <c r="E1736" s="3" t="n">
        <v>2</v>
      </c>
      <c r="F1736" s="2" t="n">
        <v>2</v>
      </c>
      <c r="G1736" s="4" t="n">
        <v>3</v>
      </c>
      <c r="H1736" s="13" t="n"/>
      <c r="I1736" s="15" t="n"/>
      <c r="J1736" s="19" t="n">
        <v>2</v>
      </c>
      <c r="K1736" s="2" t="inlineStr">
        <is>
          <t>marker_626_656735.png</t>
        </is>
      </c>
      <c r="L1736" s="11">
        <f>HYPERLINK("2\1\" &amp; K1736, "Ver Imagen")</f>
        <v/>
      </c>
      <c r="M1736" t="inlineStr">
        <is>
          <t>Moda</t>
        </is>
      </c>
    </row>
    <row r="1737">
      <c r="A1737" t="n">
        <v>1736</v>
      </c>
      <c r="B1737" t="inlineStr">
        <is>
          <t>A-497__652</t>
        </is>
      </c>
      <c r="C1737" s="1" t="n">
        <v>37.2009137797</v>
      </c>
      <c r="D1737" s="1" t="n">
        <v>-6.98975988812</v>
      </c>
      <c r="E1737" s="3" t="n">
        <v>2</v>
      </c>
      <c r="F1737" s="2" t="n">
        <v>2</v>
      </c>
      <c r="G1737" s="4" t="n">
        <v>3</v>
      </c>
      <c r="H1737" s="13" t="n"/>
      <c r="I1737" s="15" t="n"/>
      <c r="J1737" s="19" t="n">
        <v>2</v>
      </c>
      <c r="K1737" s="2" t="inlineStr">
        <is>
          <t>marker_810_371218.png</t>
        </is>
      </c>
      <c r="L1737" s="11">
        <f>HYPERLINK("2\1\" &amp; K1737, "Ver Imagen")</f>
        <v/>
      </c>
      <c r="M1737" t="inlineStr">
        <is>
          <t>Moda</t>
        </is>
      </c>
    </row>
    <row r="1738">
      <c r="A1738" t="n">
        <v>1737</v>
      </c>
      <c r="B1738" t="inlineStr">
        <is>
          <t>A-497_2C__298</t>
        </is>
      </c>
      <c r="C1738" s="1" t="n">
        <v>37.2499048051</v>
      </c>
      <c r="D1738" s="1" t="n">
        <v>-7.01805764192</v>
      </c>
      <c r="E1738" s="3" t="n">
        <v>2</v>
      </c>
      <c r="F1738" s="2" t="n">
        <v>2</v>
      </c>
      <c r="G1738" s="4" t="n">
        <v>3</v>
      </c>
      <c r="H1738" s="13" t="n"/>
      <c r="I1738" s="15" t="n"/>
      <c r="J1738" s="19" t="n">
        <v>2</v>
      </c>
      <c r="K1738" s="2" t="inlineStr">
        <is>
          <t>marker_298_320151.png</t>
        </is>
      </c>
      <c r="L1738" s="11">
        <f>HYPERLINK("2\1\" &amp; K1738, "Ver Imagen")</f>
        <v/>
      </c>
      <c r="M1738" t="inlineStr">
        <is>
          <t>Moda</t>
        </is>
      </c>
    </row>
    <row r="1739">
      <c r="A1739" t="n">
        <v>1738</v>
      </c>
      <c r="B1739" t="inlineStr">
        <is>
          <t>A-497__543</t>
        </is>
      </c>
      <c r="C1739" s="1" t="n">
        <v>37.2052417011</v>
      </c>
      <c r="D1739" s="1" t="n">
        <v>-7.01675545444</v>
      </c>
      <c r="E1739" s="3" t="n">
        <v>3</v>
      </c>
      <c r="F1739" s="2" t="n">
        <v>2</v>
      </c>
      <c r="G1739" s="4" t="n">
        <v>2</v>
      </c>
      <c r="H1739" s="13" t="n"/>
      <c r="I1739" s="15" t="n"/>
      <c r="J1739" s="19" t="n">
        <v>2</v>
      </c>
      <c r="K1739" s="2" t="inlineStr">
        <is>
          <t>marker_667_372349.png</t>
        </is>
      </c>
      <c r="L1739" s="11">
        <f>HYPERLINK("2\1\" &amp; K1739, "Ver Imagen")</f>
        <v/>
      </c>
      <c r="M1739" t="inlineStr">
        <is>
          <t>Moda</t>
        </is>
      </c>
    </row>
    <row r="1740">
      <c r="A1740" t="n">
        <v>1739</v>
      </c>
      <c r="B1740" t="inlineStr">
        <is>
          <t>A-497_2C__359</t>
        </is>
      </c>
      <c r="C1740" s="1" t="n">
        <v>37.2375870325</v>
      </c>
      <c r="D1740" s="1" t="n">
        <v>-7.01875637783</v>
      </c>
      <c r="E1740" s="3" t="n">
        <v>2</v>
      </c>
      <c r="F1740" s="2" t="n">
        <v>2</v>
      </c>
      <c r="G1740" s="4" t="n">
        <v>3</v>
      </c>
      <c r="H1740" s="13" t="n"/>
      <c r="I1740" s="15" t="n"/>
      <c r="J1740" s="19" t="n">
        <v>2</v>
      </c>
      <c r="K1740" s="2" t="inlineStr">
        <is>
          <t>marker_881_362318.png</t>
        </is>
      </c>
      <c r="L1740" s="11">
        <f>HYPERLINK("2\1\" &amp; K1740, "Ver Imagen")</f>
        <v/>
      </c>
      <c r="M1740" t="inlineStr">
        <is>
          <t>Moda</t>
        </is>
      </c>
    </row>
    <row r="1741">
      <c r="A1741" t="n">
        <v>1740</v>
      </c>
      <c r="B1741" t="inlineStr">
        <is>
          <t>A-497_2C__360</t>
        </is>
      </c>
      <c r="C1741" s="1" t="n">
        <v>37.2373875229</v>
      </c>
      <c r="D1741" s="1" t="n">
        <v>-7.01875078019</v>
      </c>
      <c r="E1741" s="3" t="n">
        <v>2</v>
      </c>
      <c r="F1741" s="2" t="n">
        <v>2</v>
      </c>
      <c r="G1741" s="4" t="n">
        <v>3</v>
      </c>
      <c r="H1741" s="13" t="n"/>
      <c r="I1741" s="15" t="n"/>
      <c r="J1741" s="19" t="n">
        <v>2</v>
      </c>
      <c r="K1741" s="2" t="inlineStr">
        <is>
          <t>marker_155_362327.png</t>
        </is>
      </c>
      <c r="L1741" s="11">
        <f>HYPERLINK("2\1\" &amp; K1741, "Ver Imagen")</f>
        <v/>
      </c>
      <c r="M1741" t="inlineStr">
        <is>
          <t>Moda</t>
        </is>
      </c>
    </row>
    <row r="1742">
      <c r="A1742" t="n">
        <v>1741</v>
      </c>
      <c r="B1742" t="inlineStr">
        <is>
          <t>A-497_2C__374</t>
        </is>
      </c>
      <c r="C1742" s="1" t="n">
        <v>37.2345783602</v>
      </c>
      <c r="D1742" s="1" t="n">
        <v>-7.01819963956</v>
      </c>
      <c r="E1742" s="3" t="n">
        <v>2</v>
      </c>
      <c r="F1742" s="2" t="n">
        <v>2</v>
      </c>
      <c r="G1742" s="4" t="n">
        <v>3</v>
      </c>
      <c r="H1742" s="13" t="n"/>
      <c r="I1742" s="15" t="n"/>
      <c r="J1742" s="19" t="n">
        <v>2</v>
      </c>
      <c r="K1742" s="2" t="inlineStr">
        <is>
          <t>marker_578_362533.png</t>
        </is>
      </c>
      <c r="L1742" s="11">
        <f>HYPERLINK("2\1\" &amp; K1742, "Ver Imagen")</f>
        <v/>
      </c>
      <c r="M1742" t="inlineStr">
        <is>
          <t>Moda</t>
        </is>
      </c>
    </row>
    <row r="1743">
      <c r="A1743" t="n">
        <v>1742</v>
      </c>
      <c r="B1743" t="inlineStr">
        <is>
          <t>A-497_2C__381</t>
        </is>
      </c>
      <c r="C1743" s="1" t="n">
        <v>37.2331673355</v>
      </c>
      <c r="D1743" s="1" t="n">
        <v>-7.01831692461</v>
      </c>
      <c r="E1743" s="3" t="n">
        <v>2</v>
      </c>
      <c r="F1743" s="2" t="n">
        <v>2</v>
      </c>
      <c r="G1743" s="4" t="n">
        <v>3</v>
      </c>
      <c r="H1743" s="13" t="n"/>
      <c r="I1743" s="15" t="n"/>
      <c r="J1743" s="19" t="n">
        <v>2</v>
      </c>
      <c r="K1743" s="2" t="inlineStr">
        <is>
          <t>marker_394_362713.png</t>
        </is>
      </c>
      <c r="L1743" s="11">
        <f>HYPERLINK("2\1\" &amp; K1743, "Ver Imagen")</f>
        <v/>
      </c>
      <c r="M1743" t="inlineStr">
        <is>
          <t>Moda</t>
        </is>
      </c>
    </row>
    <row r="1744">
      <c r="A1744" t="n">
        <v>1743</v>
      </c>
      <c r="B1744" t="inlineStr">
        <is>
          <t>A-497_2C__404</t>
        </is>
      </c>
      <c r="C1744" s="1" t="n">
        <v>37.2290790376</v>
      </c>
      <c r="D1744" s="1" t="n">
        <v>-7.02116180872</v>
      </c>
      <c r="E1744" s="3" t="n">
        <v>3</v>
      </c>
      <c r="F1744" s="2" t="n">
        <v>2</v>
      </c>
      <c r="G1744" s="4" t="n">
        <v>2</v>
      </c>
      <c r="H1744" s="13" t="n"/>
      <c r="I1744" s="15" t="n"/>
      <c r="J1744" s="19" t="n">
        <v>2</v>
      </c>
      <c r="K1744" s="2" t="inlineStr">
        <is>
          <t>marker_515_362951.png</t>
        </is>
      </c>
      <c r="L1744" s="11">
        <f>HYPERLINK("2\1\" &amp; K1744, "Ver Imagen")</f>
        <v/>
      </c>
      <c r="M1744" t="inlineStr">
        <is>
          <t>Moda</t>
        </is>
      </c>
    </row>
    <row r="1745">
      <c r="A1745" t="n">
        <v>1744</v>
      </c>
      <c r="B1745" t="inlineStr">
        <is>
          <t>A-497_2C__408</t>
        </is>
      </c>
      <c r="C1745" s="1" t="n">
        <v>37.2283931579</v>
      </c>
      <c r="D1745" s="1" t="n">
        <v>-7.02168013079</v>
      </c>
      <c r="E1745" s="3" t="n">
        <v>3</v>
      </c>
      <c r="F1745" s="2" t="n">
        <v>2</v>
      </c>
      <c r="G1745" s="4" t="n">
        <v>2</v>
      </c>
      <c r="H1745" s="13" t="n"/>
      <c r="I1745" s="15" t="n"/>
      <c r="J1745" s="19" t="n">
        <v>2</v>
      </c>
      <c r="K1745" s="2" t="inlineStr">
        <is>
          <t>marker_425_362990.png</t>
        </is>
      </c>
      <c r="L1745" s="11">
        <f>HYPERLINK("2\1\" &amp; K1745, "Ver Imagen")</f>
        <v/>
      </c>
      <c r="M1745" t="inlineStr">
        <is>
          <t>Moda</t>
        </is>
      </c>
    </row>
    <row r="1746">
      <c r="A1746" t="n">
        <v>1745</v>
      </c>
      <c r="B1746" t="inlineStr">
        <is>
          <t>A-497_2C__409</t>
        </is>
      </c>
      <c r="C1746" s="1" t="n">
        <v>37.2282047622</v>
      </c>
      <c r="D1746" s="1" t="n">
        <v>-7.02182401093</v>
      </c>
      <c r="E1746" s="3" t="n">
        <v>3</v>
      </c>
      <c r="F1746" s="2" t="n">
        <v>2</v>
      </c>
      <c r="G1746" s="4" t="n">
        <v>2</v>
      </c>
      <c r="H1746" s="13" t="n"/>
      <c r="I1746" s="15" t="n"/>
      <c r="J1746" s="19" t="n">
        <v>2</v>
      </c>
      <c r="K1746" s="2" t="inlineStr">
        <is>
          <t>marker_478_362998.png</t>
        </is>
      </c>
      <c r="L1746" s="11">
        <f>HYPERLINK("2\1\" &amp; K1746, "Ver Imagen")</f>
        <v/>
      </c>
      <c r="M1746" t="inlineStr">
        <is>
          <t>Moda</t>
        </is>
      </c>
    </row>
    <row r="1747">
      <c r="A1747" t="n">
        <v>1746</v>
      </c>
      <c r="B1747" t="inlineStr">
        <is>
          <t>A-497_2C__413</t>
        </is>
      </c>
      <c r="C1747" s="1" t="n">
        <v>37.2275749489</v>
      </c>
      <c r="D1747" s="1" t="n">
        <v>-7.02230458828</v>
      </c>
      <c r="E1747" s="3" t="n">
        <v>3</v>
      </c>
      <c r="F1747" s="2" t="n">
        <v>2</v>
      </c>
      <c r="G1747" s="4" t="n">
        <v>2</v>
      </c>
      <c r="H1747" s="13" t="n"/>
      <c r="I1747" s="15" t="n"/>
      <c r="J1747" s="19" t="n">
        <v>2</v>
      </c>
      <c r="K1747" s="2" t="inlineStr">
        <is>
          <t>marker_753_363045.png</t>
        </is>
      </c>
      <c r="L1747" s="11">
        <f>HYPERLINK("2\1\" &amp; K1747, "Ver Imagen")</f>
        <v/>
      </c>
      <c r="M1747" t="inlineStr">
        <is>
          <t>Moda</t>
        </is>
      </c>
    </row>
    <row r="1748">
      <c r="A1748" t="n">
        <v>1747</v>
      </c>
      <c r="B1748" t="inlineStr">
        <is>
          <t>A-497__479</t>
        </is>
      </c>
      <c r="C1748" s="1" t="n">
        <v>37.2153599228</v>
      </c>
      <c r="D1748" s="1" t="n">
        <v>-7.02334591071</v>
      </c>
      <c r="E1748" s="3" t="n">
        <v>2</v>
      </c>
      <c r="F1748" s="2" t="n">
        <v>2</v>
      </c>
      <c r="G1748" s="4" t="n">
        <v>3</v>
      </c>
      <c r="H1748" s="13" t="n"/>
      <c r="I1748" s="15" t="n"/>
      <c r="J1748" s="19" t="n">
        <v>2</v>
      </c>
      <c r="K1748" s="2" t="inlineStr">
        <is>
          <t>marker_139_376319.png</t>
        </is>
      </c>
      <c r="L1748" s="11">
        <f>HYPERLINK("2\1\" &amp; K1748, "Ver Imagen")</f>
        <v/>
      </c>
      <c r="M1748" t="inlineStr">
        <is>
          <t>Moda</t>
        </is>
      </c>
    </row>
    <row r="1749">
      <c r="A1749" t="n">
        <v>1748</v>
      </c>
      <c r="B1749" t="inlineStr">
        <is>
          <t>A-497__478</t>
        </is>
      </c>
      <c r="C1749" s="1" t="n">
        <v>37.2155796521</v>
      </c>
      <c r="D1749" s="1" t="n">
        <v>-7.02330660159</v>
      </c>
      <c r="E1749" s="3" t="n">
        <v>2</v>
      </c>
      <c r="F1749" s="2" t="n">
        <v>2</v>
      </c>
      <c r="G1749" s="4" t="n">
        <v>3</v>
      </c>
      <c r="H1749" s="13" t="n"/>
      <c r="I1749" s="15" t="n"/>
      <c r="J1749" s="19" t="n">
        <v>2</v>
      </c>
      <c r="K1749" s="2" t="inlineStr">
        <is>
          <t>marker_605_376330.png</t>
        </is>
      </c>
      <c r="L1749" s="11">
        <f>HYPERLINK("2\1\" &amp; K1749, "Ver Imagen")</f>
        <v/>
      </c>
      <c r="M1749" t="inlineStr">
        <is>
          <t>Moda</t>
        </is>
      </c>
    </row>
    <row r="1750">
      <c r="A1750" t="n">
        <v>1749</v>
      </c>
      <c r="B1750" t="inlineStr">
        <is>
          <t>A-497__476</t>
        </is>
      </c>
      <c r="C1750" s="1" t="n">
        <v>37.2159493317</v>
      </c>
      <c r="D1750" s="1" t="n">
        <v>-7.02323950359</v>
      </c>
      <c r="E1750" s="3" t="n">
        <v>3</v>
      </c>
      <c r="F1750" s="2" t="n">
        <v>2</v>
      </c>
      <c r="G1750" s="4" t="n">
        <v>2</v>
      </c>
      <c r="H1750" s="13" t="n"/>
      <c r="I1750" s="15" t="n"/>
      <c r="J1750" s="19" t="n">
        <v>2</v>
      </c>
      <c r="K1750" s="2" t="inlineStr">
        <is>
          <t>marker_345_376362.png</t>
        </is>
      </c>
      <c r="L1750" s="11">
        <f>HYPERLINK("2\1\" &amp; K1750, "Ver Imagen")</f>
        <v/>
      </c>
      <c r="M1750" t="inlineStr">
        <is>
          <t>Moda</t>
        </is>
      </c>
    </row>
    <row r="1751">
      <c r="A1751" t="n">
        <v>1750</v>
      </c>
      <c r="B1751" t="inlineStr">
        <is>
          <t>A-497__475</t>
        </is>
      </c>
      <c r="C1751" s="1" t="n">
        <v>37.21617353</v>
      </c>
      <c r="D1751" s="1" t="n">
        <v>-7.02319912541</v>
      </c>
      <c r="E1751" s="3" t="n">
        <v>3</v>
      </c>
      <c r="F1751" s="2" t="n">
        <v>2</v>
      </c>
      <c r="G1751" s="4" t="n">
        <v>2</v>
      </c>
      <c r="H1751" s="13" t="n"/>
      <c r="I1751" s="15" t="n"/>
      <c r="J1751" s="19" t="n">
        <v>2</v>
      </c>
      <c r="K1751" s="2" t="inlineStr">
        <is>
          <t>marker_467_376372.png</t>
        </is>
      </c>
      <c r="L1751" s="11">
        <f>HYPERLINK("2\1\" &amp; K1751, "Ver Imagen")</f>
        <v/>
      </c>
      <c r="M1751" t="inlineStr">
        <is>
          <t>Moda</t>
        </is>
      </c>
    </row>
    <row r="1752">
      <c r="A1752" t="n">
        <v>1751</v>
      </c>
      <c r="B1752" t="inlineStr">
        <is>
          <t>A-497__452</t>
        </is>
      </c>
      <c r="C1752" s="1" t="n">
        <v>37.2207949339</v>
      </c>
      <c r="D1752" s="1" t="n">
        <v>-7.02284861638</v>
      </c>
      <c r="E1752" s="3" t="n">
        <v>2</v>
      </c>
      <c r="F1752" s="2" t="n">
        <v>2</v>
      </c>
      <c r="G1752" s="4" t="n">
        <v>3</v>
      </c>
      <c r="H1752" s="13" t="n"/>
      <c r="I1752" s="15" t="n"/>
      <c r="J1752" s="19" t="n">
        <v>2</v>
      </c>
      <c r="K1752" s="2" t="inlineStr">
        <is>
          <t>marker_448_376666.png</t>
        </is>
      </c>
      <c r="L1752" s="11">
        <f>HYPERLINK("2\1\" &amp; K1752, "Ver Imagen")</f>
        <v/>
      </c>
      <c r="M1752" t="inlineStr">
        <is>
          <t>Moda</t>
        </is>
      </c>
    </row>
    <row r="1753">
      <c r="A1753" t="n">
        <v>1752</v>
      </c>
      <c r="B1753" t="inlineStr">
        <is>
          <t>A-497_2C__520</t>
        </is>
      </c>
      <c r="C1753" s="1" t="n">
        <v>37.206779394</v>
      </c>
      <c r="D1753" s="1" t="n">
        <v>-7.02110686371</v>
      </c>
      <c r="E1753" s="3" t="n">
        <v>2</v>
      </c>
      <c r="F1753" s="2" t="n">
        <v>2</v>
      </c>
      <c r="G1753" s="4" t="n">
        <v>3</v>
      </c>
      <c r="H1753" s="13" t="n"/>
      <c r="I1753" s="15" t="n"/>
      <c r="J1753" s="19" t="n">
        <v>2</v>
      </c>
      <c r="K1753" s="2" t="inlineStr">
        <is>
          <t>marker_730_364276.png</t>
        </is>
      </c>
      <c r="L1753" s="11">
        <f>HYPERLINK("2\1\" &amp; K1753, "Ver Imagen")</f>
        <v/>
      </c>
      <c r="M1753" t="inlineStr">
        <is>
          <t>Moda</t>
        </is>
      </c>
    </row>
    <row r="1754">
      <c r="A1754" t="n">
        <v>1753</v>
      </c>
      <c r="B1754" t="inlineStr">
        <is>
          <t>A-497_2C__523</t>
        </is>
      </c>
      <c r="C1754" s="1" t="n">
        <v>37.2064378099</v>
      </c>
      <c r="D1754" s="1" t="n">
        <v>-7.02055425311</v>
      </c>
      <c r="E1754" s="3" t="n">
        <v>2</v>
      </c>
      <c r="F1754" s="2" t="n">
        <v>2</v>
      </c>
      <c r="G1754" s="4" t="n">
        <v>3</v>
      </c>
      <c r="H1754" s="13" t="n"/>
      <c r="I1754" s="15" t="n"/>
      <c r="J1754" s="19" t="n">
        <v>2</v>
      </c>
      <c r="K1754" s="2" t="inlineStr">
        <is>
          <t>marker_260_364363.png</t>
        </is>
      </c>
      <c r="L1754" s="11">
        <f>HYPERLINK("2\1\" &amp; K1754, "Ver Imagen")</f>
        <v/>
      </c>
      <c r="M1754" t="inlineStr">
        <is>
          <t>Moda</t>
        </is>
      </c>
    </row>
    <row r="1755">
      <c r="A1755" t="n">
        <v>1754</v>
      </c>
      <c r="B1755" t="inlineStr">
        <is>
          <t>A-497_2C__524</t>
        </is>
      </c>
      <c r="C1755" s="1" t="n">
        <v>37.2063284213</v>
      </c>
      <c r="D1755" s="1" t="n">
        <v>-7.02035656278</v>
      </c>
      <c r="E1755" s="3" t="n">
        <v>2</v>
      </c>
      <c r="F1755" s="2" t="n">
        <v>2</v>
      </c>
      <c r="G1755" s="4" t="n">
        <v>3</v>
      </c>
      <c r="H1755" s="13" t="n"/>
      <c r="I1755" s="15" t="n"/>
      <c r="J1755" s="19" t="n">
        <v>2</v>
      </c>
      <c r="K1755" s="2" t="inlineStr">
        <is>
          <t>marker_720_364380.png</t>
        </is>
      </c>
      <c r="L1755" s="11">
        <f>HYPERLINK("2\1\" &amp; K1755, "Ver Imagen")</f>
        <v/>
      </c>
      <c r="M1755" t="inlineStr">
        <is>
          <t>Moda</t>
        </is>
      </c>
    </row>
    <row r="1756">
      <c r="A1756" t="n">
        <v>1755</v>
      </c>
      <c r="B1756" t="inlineStr">
        <is>
          <t>A-497_2C__530</t>
        </is>
      </c>
      <c r="C1756" s="1" t="n">
        <v>37.2057304518</v>
      </c>
      <c r="D1756" s="1" t="n">
        <v>-7.0189952039</v>
      </c>
      <c r="E1756" s="3" t="n">
        <v>2</v>
      </c>
      <c r="F1756" s="2" t="n">
        <v>2</v>
      </c>
      <c r="G1756" s="4" t="n">
        <v>3</v>
      </c>
      <c r="H1756" s="13" t="n"/>
      <c r="I1756" s="15" t="n"/>
      <c r="J1756" s="19" t="n">
        <v>2</v>
      </c>
      <c r="K1756" s="2" t="inlineStr">
        <is>
          <t>marker_819_364435.png</t>
        </is>
      </c>
      <c r="L1756" s="11">
        <f>HYPERLINK("2\1\" &amp; K1756, "Ver Imagen")</f>
        <v/>
      </c>
      <c r="M1756" t="inlineStr">
        <is>
          <t>Moda</t>
        </is>
      </c>
    </row>
    <row r="1757">
      <c r="A1757" t="n">
        <v>1756</v>
      </c>
      <c r="B1757" t="inlineStr">
        <is>
          <t>A-497_2C__538</t>
        </is>
      </c>
      <c r="C1757" s="1" t="n">
        <v>37.2051750055</v>
      </c>
      <c r="D1757" s="1" t="n">
        <v>-7.0171147527</v>
      </c>
      <c r="E1757" s="3" t="n">
        <v>3</v>
      </c>
      <c r="F1757" s="2" t="n">
        <v>2</v>
      </c>
      <c r="G1757" s="4" t="n">
        <v>2</v>
      </c>
      <c r="H1757" s="13" t="n"/>
      <c r="I1757" s="15" t="n"/>
      <c r="J1757" s="19" t="n">
        <v>2</v>
      </c>
      <c r="K1757" s="2" t="inlineStr">
        <is>
          <t>marker_525_364520.png</t>
        </is>
      </c>
      <c r="L1757" s="11">
        <f>HYPERLINK("2\1\" &amp; K1757, "Ver Imagen")</f>
        <v/>
      </c>
      <c r="M1757" t="inlineStr">
        <is>
          <t>Moda</t>
        </is>
      </c>
    </row>
    <row r="1758">
      <c r="A1758" t="n">
        <v>1757</v>
      </c>
      <c r="B1758" t="inlineStr">
        <is>
          <t>A-497_2C__557</t>
        </is>
      </c>
      <c r="C1758" s="1" t="n">
        <v>37.2042517611</v>
      </c>
      <c r="D1758" s="1" t="n">
        <v>-7.01253973675</v>
      </c>
      <c r="E1758" s="3" t="n">
        <v>2</v>
      </c>
      <c r="F1758" s="2" t="n">
        <v>2</v>
      </c>
      <c r="G1758" s="4" t="n">
        <v>3</v>
      </c>
      <c r="H1758" s="13" t="n"/>
      <c r="I1758" s="15" t="n"/>
      <c r="J1758" s="19" t="n">
        <v>2</v>
      </c>
      <c r="K1758" s="2" t="inlineStr">
        <is>
          <t>marker_237_366347.png</t>
        </is>
      </c>
      <c r="L1758" s="11">
        <f>HYPERLINK("2\1\" &amp; K1758, "Ver Imagen")</f>
        <v/>
      </c>
      <c r="M1758" t="inlineStr">
        <is>
          <t>Moda</t>
        </is>
      </c>
    </row>
    <row r="1759">
      <c r="A1759" t="n">
        <v>1758</v>
      </c>
      <c r="B1759" t="inlineStr">
        <is>
          <t>A-497_2C__572</t>
        </is>
      </c>
      <c r="C1759" s="1" t="n">
        <v>37.2036250579</v>
      </c>
      <c r="D1759" s="1" t="n">
        <v>-7.0088194818</v>
      </c>
      <c r="E1759" s="3" t="n">
        <v>2</v>
      </c>
      <c r="F1759" s="2" t="n">
        <v>2</v>
      </c>
      <c r="G1759" s="4" t="n">
        <v>3</v>
      </c>
      <c r="H1759" s="13" t="n"/>
      <c r="I1759" s="15" t="n"/>
      <c r="J1759" s="19" t="n">
        <v>2</v>
      </c>
      <c r="K1759" s="2" t="inlineStr">
        <is>
          <t>marker_875_366503.png</t>
        </is>
      </c>
      <c r="L1759" s="11">
        <f>HYPERLINK("2\1\" &amp; K1759, "Ver Imagen")</f>
        <v/>
      </c>
      <c r="M1759" t="inlineStr">
        <is>
          <t>Moda</t>
        </is>
      </c>
    </row>
    <row r="1760">
      <c r="A1760" t="n">
        <v>1759</v>
      </c>
      <c r="B1760" t="inlineStr">
        <is>
          <t>A-497_2C__575</t>
        </is>
      </c>
      <c r="C1760" s="1" t="n">
        <v>37.2035201278</v>
      </c>
      <c r="D1760" s="1" t="n">
        <v>-7.00812108192</v>
      </c>
      <c r="E1760" s="3" t="n">
        <v>2</v>
      </c>
      <c r="F1760" s="2" t="n">
        <v>2</v>
      </c>
      <c r="G1760" s="4" t="n">
        <v>3</v>
      </c>
      <c r="H1760" s="13" t="n"/>
      <c r="I1760" s="15" t="n"/>
      <c r="J1760" s="19" t="n">
        <v>2</v>
      </c>
      <c r="K1760" s="2" t="inlineStr">
        <is>
          <t>marker_649_366529.png</t>
        </is>
      </c>
      <c r="L1760" s="11">
        <f>HYPERLINK("2\1\" &amp; K1760, "Ver Imagen")</f>
        <v/>
      </c>
      <c r="M1760" t="inlineStr">
        <is>
          <t>Moda</t>
        </is>
      </c>
    </row>
    <row r="1761">
      <c r="A1761" t="n">
        <v>1760</v>
      </c>
      <c r="B1761" t="inlineStr">
        <is>
          <t>A-497__415</t>
        </is>
      </c>
      <c r="C1761" s="1" t="n">
        <v>37.2280405405</v>
      </c>
      <c r="D1761" s="1" t="n">
        <v>-7.02174627722</v>
      </c>
      <c r="E1761" s="3" t="n">
        <v>3</v>
      </c>
      <c r="F1761" s="2" t="n">
        <v>2</v>
      </c>
      <c r="G1761" s="4" t="n">
        <v>2</v>
      </c>
      <c r="H1761" s="13" t="n"/>
      <c r="I1761" s="15" t="n"/>
      <c r="J1761" s="19" t="n">
        <v>2</v>
      </c>
      <c r="K1761" s="2" t="inlineStr">
        <is>
          <t>marker_497_377057.png</t>
        </is>
      </c>
      <c r="L1761" s="11">
        <f>HYPERLINK("2\1\" &amp; K1761, "Ver Imagen")</f>
        <v/>
      </c>
      <c r="M1761" t="inlineStr">
        <is>
          <t>Moda</t>
        </is>
      </c>
    </row>
    <row r="1762">
      <c r="A1762" t="n">
        <v>1761</v>
      </c>
      <c r="B1762" t="inlineStr">
        <is>
          <t>A-497__387</t>
        </is>
      </c>
      <c r="C1762" s="1" t="n">
        <v>37.2328762188</v>
      </c>
      <c r="D1762" s="1" t="n">
        <v>-7.01824158972</v>
      </c>
      <c r="E1762" s="3" t="n">
        <v>2</v>
      </c>
      <c r="F1762" s="2" t="n">
        <v>2</v>
      </c>
      <c r="G1762" s="4" t="n">
        <v>3</v>
      </c>
      <c r="H1762" s="13" t="n"/>
      <c r="I1762" s="15" t="n"/>
      <c r="J1762" s="19" t="n">
        <v>2</v>
      </c>
      <c r="K1762" s="2" t="inlineStr">
        <is>
          <t>marker_993_377310.png</t>
        </is>
      </c>
      <c r="L1762" s="11">
        <f>HYPERLINK("2\1\" &amp; K1762, "Ver Imagen")</f>
        <v/>
      </c>
      <c r="M1762" t="inlineStr">
        <is>
          <t>Moda</t>
        </is>
      </c>
    </row>
    <row r="1763">
      <c r="A1763" t="n">
        <v>1762</v>
      </c>
      <c r="B1763" t="inlineStr">
        <is>
          <t>A-497__376</t>
        </is>
      </c>
      <c r="C1763" s="1" t="n">
        <v>37.2351064273</v>
      </c>
      <c r="D1763" s="1" t="n">
        <v>-7.01813421303</v>
      </c>
      <c r="E1763" s="3" t="n">
        <v>2</v>
      </c>
      <c r="F1763" s="2" t="n">
        <v>2</v>
      </c>
      <c r="G1763" s="4" t="n">
        <v>3</v>
      </c>
      <c r="H1763" s="13" t="n"/>
      <c r="I1763" s="15" t="n"/>
      <c r="J1763" s="19" t="n">
        <v>2</v>
      </c>
      <c r="K1763" s="2" t="inlineStr">
        <is>
          <t>marker_898_377405.png</t>
        </is>
      </c>
      <c r="L1763" s="11">
        <f>HYPERLINK("2\1\" &amp; K1763, "Ver Imagen")</f>
        <v/>
      </c>
      <c r="M1763" t="inlineStr">
        <is>
          <t>Moda</t>
        </is>
      </c>
    </row>
    <row r="1764">
      <c r="A1764" t="n">
        <v>1763</v>
      </c>
      <c r="B1764" t="inlineStr">
        <is>
          <t>A-497__369</t>
        </is>
      </c>
      <c r="C1764" s="1" t="n">
        <v>37.2364940012</v>
      </c>
      <c r="D1764" s="1" t="n">
        <v>-7.01847512958</v>
      </c>
      <c r="E1764" s="3" t="n">
        <v>2</v>
      </c>
      <c r="F1764" s="2" t="n">
        <v>2</v>
      </c>
      <c r="G1764" s="4" t="n">
        <v>3</v>
      </c>
      <c r="H1764" s="13" t="n"/>
      <c r="I1764" s="15" t="n"/>
      <c r="J1764" s="19" t="n">
        <v>2</v>
      </c>
      <c r="K1764" s="2" t="inlineStr">
        <is>
          <t>marker_528_377467.png</t>
        </is>
      </c>
      <c r="L1764" s="11">
        <f>HYPERLINK("2\1\" &amp; K1764, "Ver Imagen")</f>
        <v/>
      </c>
      <c r="M1764" t="inlineStr">
        <is>
          <t>Moda</t>
        </is>
      </c>
    </row>
    <row r="1765">
      <c r="A1765" t="n">
        <v>1764</v>
      </c>
      <c r="B1765" t="inlineStr">
        <is>
          <t>A-497__368</t>
        </is>
      </c>
      <c r="C1765" s="1" t="n">
        <v>37.2367008085</v>
      </c>
      <c r="D1765" s="1" t="n">
        <v>-7.01850622024</v>
      </c>
      <c r="E1765" s="3" t="n">
        <v>2</v>
      </c>
      <c r="F1765" s="2" t="n">
        <v>2</v>
      </c>
      <c r="G1765" s="4" t="n">
        <v>3</v>
      </c>
      <c r="H1765" s="13" t="n"/>
      <c r="I1765" s="15" t="n"/>
      <c r="J1765" s="19" t="n">
        <v>2</v>
      </c>
      <c r="K1765" s="2" t="inlineStr">
        <is>
          <t>marker_228_377476.png</t>
        </is>
      </c>
      <c r="L1765" s="11">
        <f>HYPERLINK("2\1\" &amp; K1765, "Ver Imagen")</f>
        <v/>
      </c>
      <c r="M1765" t="inlineStr">
        <is>
          <t>Moda</t>
        </is>
      </c>
    </row>
    <row r="1766">
      <c r="A1766" t="n">
        <v>1765</v>
      </c>
      <c r="B1766" t="inlineStr">
        <is>
          <t>A-497__312</t>
        </is>
      </c>
      <c r="C1766" s="1" t="n">
        <v>37.2480395167</v>
      </c>
      <c r="D1766" s="1" t="n">
        <v>-7.0181822282</v>
      </c>
      <c r="E1766" s="3" t="n">
        <v>2</v>
      </c>
      <c r="F1766" s="2" t="n">
        <v>2</v>
      </c>
      <c r="G1766" s="4" t="n">
        <v>3</v>
      </c>
      <c r="H1766" s="13" t="n"/>
      <c r="I1766" s="15" t="n"/>
      <c r="J1766" s="19" t="n">
        <v>2</v>
      </c>
      <c r="K1766" s="2" t="inlineStr">
        <is>
          <t>marker_738_378051.png</t>
        </is>
      </c>
      <c r="L1766" s="11">
        <f>HYPERLINK("2\1\" &amp; K1766, "Ver Imagen")</f>
        <v/>
      </c>
      <c r="M1766" t="inlineStr">
        <is>
          <t>Moda</t>
        </is>
      </c>
    </row>
    <row r="1767">
      <c r="A1767" t="n">
        <v>1766</v>
      </c>
      <c r="B1767" t="inlineStr">
        <is>
          <t>A-497__285</t>
        </is>
      </c>
      <c r="C1767" s="1" t="n">
        <v>37.2530764656</v>
      </c>
      <c r="D1767" s="1" t="n">
        <v>-7.01592020379</v>
      </c>
      <c r="E1767" s="3" t="n">
        <v>2</v>
      </c>
      <c r="F1767" s="2" t="n">
        <v>2</v>
      </c>
      <c r="G1767" s="4" t="n">
        <v>3</v>
      </c>
      <c r="H1767" s="13" t="n"/>
      <c r="I1767" s="15" t="n"/>
      <c r="J1767" s="19" t="n">
        <v>2</v>
      </c>
      <c r="K1767" s="2" t="inlineStr">
        <is>
          <t>marker_901_378417.png</t>
        </is>
      </c>
      <c r="L1767" s="11">
        <f>HYPERLINK("2\1\" &amp; K1767, "Ver Imagen")</f>
        <v/>
      </c>
      <c r="M1767" t="inlineStr">
        <is>
          <t>Moda</t>
        </is>
      </c>
    </row>
    <row r="1768">
      <c r="A1768" t="n">
        <v>1767</v>
      </c>
      <c r="B1768" t="inlineStr">
        <is>
          <t>A-497__267</t>
        </is>
      </c>
      <c r="C1768" s="1" t="n">
        <v>37.2563404343</v>
      </c>
      <c r="D1768" s="1" t="n">
        <v>-7.01384139053</v>
      </c>
      <c r="E1768" s="3" t="n">
        <v>2</v>
      </c>
      <c r="F1768" s="2" t="n">
        <v>2</v>
      </c>
      <c r="G1768" s="4" t="n">
        <v>3</v>
      </c>
      <c r="H1768" s="13" t="n"/>
      <c r="I1768" s="15" t="n"/>
      <c r="J1768" s="19" t="n">
        <v>2</v>
      </c>
      <c r="K1768" s="2" t="inlineStr">
        <is>
          <t>marker_871_378609.png</t>
        </is>
      </c>
      <c r="L1768" s="11">
        <f>HYPERLINK("2\1\" &amp; K1768, "Ver Imagen")</f>
        <v/>
      </c>
      <c r="M1768" t="inlineStr">
        <is>
          <t>Moda</t>
        </is>
      </c>
    </row>
    <row r="1769">
      <c r="A1769" t="n">
        <v>1768</v>
      </c>
      <c r="B1769" t="inlineStr">
        <is>
          <t>A-497__261</t>
        </is>
      </c>
      <c r="C1769" s="1" t="n">
        <v>37.2574184168</v>
      </c>
      <c r="D1769" s="1" t="n">
        <v>-7.01315312885</v>
      </c>
      <c r="E1769" s="3" t="n">
        <v>2</v>
      </c>
      <c r="F1769" s="2" t="n">
        <v>2</v>
      </c>
      <c r="G1769" s="4" t="n">
        <v>3</v>
      </c>
      <c r="H1769" s="13" t="n"/>
      <c r="I1769" s="15" t="n"/>
      <c r="J1769" s="19" t="n">
        <v>2</v>
      </c>
      <c r="K1769" s="2" t="inlineStr">
        <is>
          <t>marker_319_378667.png</t>
        </is>
      </c>
      <c r="L1769" s="11">
        <f>HYPERLINK("2\1\" &amp; K1769, "Ver Imagen")</f>
        <v/>
      </c>
      <c r="M1769" t="inlineStr">
        <is>
          <t>Moda</t>
        </is>
      </c>
    </row>
    <row r="1770">
      <c r="A1770" t="n">
        <v>1769</v>
      </c>
      <c r="B1770" t="inlineStr">
        <is>
          <t>A-497__254</t>
        </is>
      </c>
      <c r="C1770" s="1" t="n">
        <v>37.2586777102</v>
      </c>
      <c r="D1770" s="1" t="n">
        <v>-7.01235200464</v>
      </c>
      <c r="E1770" s="3" t="n">
        <v>2</v>
      </c>
      <c r="F1770" s="2" t="n">
        <v>2</v>
      </c>
      <c r="G1770" s="4" t="n">
        <v>3</v>
      </c>
      <c r="H1770" s="13" t="n"/>
      <c r="I1770" s="15" t="n"/>
      <c r="J1770" s="19" t="n">
        <v>2</v>
      </c>
      <c r="K1770" s="2" t="inlineStr">
        <is>
          <t>marker_171_378743.png</t>
        </is>
      </c>
      <c r="L1770" s="11">
        <f>HYPERLINK("2\1\" &amp; K1770, "Ver Imagen")</f>
        <v/>
      </c>
      <c r="M1770" t="inlineStr">
        <is>
          <t>Moda</t>
        </is>
      </c>
    </row>
    <row r="1771">
      <c r="A1771" t="n">
        <v>1770</v>
      </c>
      <c r="B1771" t="inlineStr">
        <is>
          <t>A-497__252</t>
        </is>
      </c>
      <c r="C1771" s="1" t="n">
        <v>37.2590397507</v>
      </c>
      <c r="D1771" s="1" t="n">
        <v>-7.01212116728</v>
      </c>
      <c r="E1771" s="3" t="n">
        <v>2</v>
      </c>
      <c r="F1771" s="2" t="n">
        <v>2</v>
      </c>
      <c r="G1771" s="4" t="n">
        <v>3</v>
      </c>
      <c r="H1771" s="13" t="n"/>
      <c r="I1771" s="15" t="n"/>
      <c r="J1771" s="19" t="n">
        <v>2</v>
      </c>
      <c r="K1771" s="2" t="inlineStr">
        <is>
          <t>marker_532_378764.png</t>
        </is>
      </c>
      <c r="L1771" s="11">
        <f>HYPERLINK("2\1\" &amp; K1771, "Ver Imagen")</f>
        <v/>
      </c>
      <c r="M1771" t="inlineStr">
        <is>
          <t>Moda</t>
        </is>
      </c>
    </row>
    <row r="1772">
      <c r="A1772" t="n">
        <v>1771</v>
      </c>
      <c r="B1772" t="inlineStr">
        <is>
          <t>A-497__251</t>
        </is>
      </c>
      <c r="C1772" s="1" t="n">
        <v>37.2592161204</v>
      </c>
      <c r="D1772" s="1" t="n">
        <v>-7.01200775841</v>
      </c>
      <c r="E1772" s="3" t="n">
        <v>2</v>
      </c>
      <c r="F1772" s="2" t="n">
        <v>2</v>
      </c>
      <c r="G1772" s="4" t="n">
        <v>3</v>
      </c>
      <c r="H1772" s="13" t="n"/>
      <c r="I1772" s="15" t="n"/>
      <c r="J1772" s="19" t="n">
        <v>2</v>
      </c>
      <c r="K1772" s="2" t="inlineStr">
        <is>
          <t>marker_167_378773.png</t>
        </is>
      </c>
      <c r="L1772" s="11">
        <f>HYPERLINK("2\1\" &amp; K1772, "Ver Imagen")</f>
        <v/>
      </c>
      <c r="M1772" t="inlineStr">
        <is>
          <t>Moda</t>
        </is>
      </c>
    </row>
    <row r="1773">
      <c r="A1773" t="n">
        <v>1772</v>
      </c>
      <c r="B1773" t="inlineStr">
        <is>
          <t>A-497__250</t>
        </is>
      </c>
      <c r="C1773" s="1" t="n">
        <v>37.2593856449</v>
      </c>
      <c r="D1773" s="1" t="n">
        <v>-7.01189841237</v>
      </c>
      <c r="E1773" s="3" t="n">
        <v>2</v>
      </c>
      <c r="F1773" s="2" t="n">
        <v>2</v>
      </c>
      <c r="G1773" s="4" t="n">
        <v>3</v>
      </c>
      <c r="H1773" s="13" t="n"/>
      <c r="I1773" s="15" t="n"/>
      <c r="J1773" s="19" t="n">
        <v>2</v>
      </c>
      <c r="K1773" s="2" t="inlineStr">
        <is>
          <t>marker_468_378782.png</t>
        </is>
      </c>
      <c r="L1773" s="11">
        <f>HYPERLINK("2\1\" &amp; K1773, "Ver Imagen")</f>
        <v/>
      </c>
      <c r="M1773" t="inlineStr">
        <is>
          <t>Moda</t>
        </is>
      </c>
    </row>
    <row r="1774">
      <c r="A1774" t="n">
        <v>1773</v>
      </c>
      <c r="B1774" t="inlineStr">
        <is>
          <t>A-497__240</t>
        </is>
      </c>
      <c r="C1774" s="1" t="n">
        <v>37.2612121835</v>
      </c>
      <c r="D1774" s="1" t="n">
        <v>-7.01072388991</v>
      </c>
      <c r="E1774" s="3" t="n">
        <v>2</v>
      </c>
      <c r="F1774" s="2" t="n">
        <v>2</v>
      </c>
      <c r="G1774" s="4" t="n">
        <v>3</v>
      </c>
      <c r="H1774" s="13" t="n"/>
      <c r="I1774" s="15" t="n"/>
      <c r="J1774" s="19" t="n">
        <v>2</v>
      </c>
      <c r="K1774" s="2" t="inlineStr">
        <is>
          <t>marker_216_378918.png</t>
        </is>
      </c>
      <c r="L1774" s="11">
        <f>HYPERLINK("2\1\" &amp; K1774, "Ver Imagen")</f>
        <v/>
      </c>
      <c r="M1774" t="inlineStr">
        <is>
          <t>Moda</t>
        </is>
      </c>
    </row>
    <row r="1775">
      <c r="A1775" t="n">
        <v>1774</v>
      </c>
      <c r="B1775" t="inlineStr">
        <is>
          <t>A-497__237</t>
        </is>
      </c>
      <c r="C1775" s="1" t="n">
        <v>37.2617050644</v>
      </c>
      <c r="D1775" s="1" t="n">
        <v>-7.01033116088</v>
      </c>
      <c r="E1775" s="3" t="n">
        <v>2</v>
      </c>
      <c r="F1775" s="2" t="n">
        <v>2</v>
      </c>
      <c r="G1775" s="4" t="n">
        <v>3</v>
      </c>
      <c r="H1775" s="13" t="n"/>
      <c r="I1775" s="15" t="n"/>
      <c r="J1775" s="19" t="n">
        <v>2</v>
      </c>
      <c r="K1775" s="2" t="inlineStr">
        <is>
          <t>marker_672_378943.png</t>
        </is>
      </c>
      <c r="L1775" s="11">
        <f>HYPERLINK("2\1\" &amp; K1775, "Ver Imagen")</f>
        <v/>
      </c>
      <c r="M1775" t="inlineStr">
        <is>
          <t>Moda</t>
        </is>
      </c>
    </row>
    <row r="1776">
      <c r="A1776" t="n">
        <v>1775</v>
      </c>
      <c r="B1776" t="inlineStr">
        <is>
          <t>A-497__216</t>
        </is>
      </c>
      <c r="C1776" s="1" t="n">
        <v>37.2636539552</v>
      </c>
      <c r="D1776" s="1" t="n">
        <v>-7.00580963064</v>
      </c>
      <c r="E1776" s="3" t="n">
        <v>2</v>
      </c>
      <c r="F1776" s="2" t="n">
        <v>2</v>
      </c>
      <c r="G1776" s="4" t="n">
        <v>3</v>
      </c>
      <c r="H1776" s="13" t="n"/>
      <c r="I1776" s="15" t="n"/>
      <c r="J1776" s="19" t="n">
        <v>2</v>
      </c>
      <c r="K1776" s="2" t="inlineStr">
        <is>
          <t>marker_956_379193.png</t>
        </is>
      </c>
      <c r="L1776" s="11">
        <f>HYPERLINK("2\1\" &amp; K1776, "Ver Imagen")</f>
        <v/>
      </c>
      <c r="M1776" t="inlineStr">
        <is>
          <t>Moda</t>
        </is>
      </c>
    </row>
    <row r="1777">
      <c r="A1777" t="n">
        <v>1776</v>
      </c>
      <c r="B1777" t="inlineStr">
        <is>
          <t>A-497__215</t>
        </is>
      </c>
      <c r="C1777" s="1" t="n">
        <v>37.2636940206</v>
      </c>
      <c r="D1777" s="1" t="n">
        <v>-7.00558203683</v>
      </c>
      <c r="E1777" s="3" t="n">
        <v>2</v>
      </c>
      <c r="F1777" s="2" t="n">
        <v>2</v>
      </c>
      <c r="G1777" s="4" t="n">
        <v>3</v>
      </c>
      <c r="H1777" s="13" t="n"/>
      <c r="I1777" s="15" t="n"/>
      <c r="J1777" s="19" t="n">
        <v>2</v>
      </c>
      <c r="K1777" s="2" t="inlineStr">
        <is>
          <t>marker_724_379205.png</t>
        </is>
      </c>
      <c r="L1777" s="11">
        <f>HYPERLINK("2\1\" &amp; K1777, "Ver Imagen")</f>
        <v/>
      </c>
      <c r="M1777" t="inlineStr">
        <is>
          <t>Moda</t>
        </is>
      </c>
    </row>
    <row r="1778">
      <c r="A1778" t="n">
        <v>1777</v>
      </c>
      <c r="B1778" t="inlineStr">
        <is>
          <t>A-497__214</t>
        </is>
      </c>
      <c r="C1778" s="1" t="n">
        <v>37.2637392487</v>
      </c>
      <c r="D1778" s="1" t="n">
        <v>-7.00532577436</v>
      </c>
      <c r="E1778" s="3" t="n">
        <v>2</v>
      </c>
      <c r="F1778" s="2" t="n">
        <v>2</v>
      </c>
      <c r="G1778" s="4" t="n">
        <v>3</v>
      </c>
      <c r="H1778" s="13" t="n"/>
      <c r="I1778" s="15" t="n"/>
      <c r="J1778" s="19" t="n">
        <v>2</v>
      </c>
      <c r="K1778" s="2" t="inlineStr">
        <is>
          <t>marker_847_379215.png</t>
        </is>
      </c>
      <c r="L1778" s="11">
        <f>HYPERLINK("2\1\" &amp; K1778, "Ver Imagen")</f>
        <v/>
      </c>
      <c r="M1778" t="inlineStr">
        <is>
          <t>Moda</t>
        </is>
      </c>
    </row>
    <row r="1779">
      <c r="A1779" t="n">
        <v>1778</v>
      </c>
      <c r="B1779" t="inlineStr">
        <is>
          <t>A-497__213</t>
        </is>
      </c>
      <c r="C1779" s="1" t="n">
        <v>37.263783166</v>
      </c>
      <c r="D1779" s="1" t="n">
        <v>-7.00507894518</v>
      </c>
      <c r="E1779" s="3" t="n">
        <v>2</v>
      </c>
      <c r="F1779" s="2" t="n">
        <v>2</v>
      </c>
      <c r="G1779" s="4" t="n">
        <v>3</v>
      </c>
      <c r="H1779" s="13" t="n"/>
      <c r="I1779" s="15" t="n"/>
      <c r="J1779" s="19" t="n">
        <v>2</v>
      </c>
      <c r="K1779" s="2" t="inlineStr">
        <is>
          <t>marker_449_379226.png</t>
        </is>
      </c>
      <c r="L1779" s="11">
        <f>HYPERLINK("2\1\" &amp; K1779, "Ver Imagen")</f>
        <v/>
      </c>
      <c r="M1779" t="inlineStr">
        <is>
          <t>Moda</t>
        </is>
      </c>
    </row>
    <row r="1780">
      <c r="A1780" t="n">
        <v>1779</v>
      </c>
      <c r="B1780" t="inlineStr">
        <is>
          <t>A-497__211</t>
        </is>
      </c>
      <c r="C1780" s="1" t="n">
        <v>37.2638825369</v>
      </c>
      <c r="D1780" s="1" t="n">
        <v>-7.00453165793</v>
      </c>
      <c r="E1780" s="3" t="n">
        <v>2</v>
      </c>
      <c r="F1780" s="2" t="n">
        <v>2</v>
      </c>
      <c r="G1780" s="4" t="n">
        <v>3</v>
      </c>
      <c r="H1780" s="13" t="n"/>
      <c r="I1780" s="15" t="n"/>
      <c r="J1780" s="19" t="n">
        <v>2</v>
      </c>
      <c r="K1780" s="2" t="inlineStr">
        <is>
          <t>marker_357_379246.png</t>
        </is>
      </c>
      <c r="L1780" s="11">
        <f>HYPERLINK("2\1\" &amp; K1780, "Ver Imagen")</f>
        <v/>
      </c>
      <c r="M1780" t="inlineStr">
        <is>
          <t>Moda</t>
        </is>
      </c>
    </row>
    <row r="1781">
      <c r="A1781" t="n">
        <v>1780</v>
      </c>
      <c r="B1781" t="inlineStr">
        <is>
          <t>A-497__208</t>
        </is>
      </c>
      <c r="C1781" s="1" t="n">
        <v>37.2640070522</v>
      </c>
      <c r="D1781" s="1" t="n">
        <v>-7.00382252087</v>
      </c>
      <c r="E1781" s="3" t="n">
        <v>2</v>
      </c>
      <c r="F1781" s="2" t="n">
        <v>2</v>
      </c>
      <c r="G1781" s="4" t="n">
        <v>3</v>
      </c>
      <c r="H1781" s="13" t="n"/>
      <c r="I1781" s="15" t="n"/>
      <c r="J1781" s="19" t="n">
        <v>2</v>
      </c>
      <c r="K1781" s="2" t="inlineStr">
        <is>
          <t>marker_682_379278.png</t>
        </is>
      </c>
      <c r="L1781" s="11">
        <f>HYPERLINK("2\1\" &amp; K1781, "Ver Imagen")</f>
        <v/>
      </c>
      <c r="M1781" t="inlineStr">
        <is>
          <t>Moda</t>
        </is>
      </c>
    </row>
    <row r="1782">
      <c r="A1782" t="n">
        <v>1781</v>
      </c>
      <c r="B1782" t="inlineStr">
        <is>
          <t>A-497__207</t>
        </is>
      </c>
      <c r="C1782" s="1" t="n">
        <v>37.2640577659</v>
      </c>
      <c r="D1782" s="1" t="n">
        <v>-7.00353327464</v>
      </c>
      <c r="E1782" s="3" t="n">
        <v>2</v>
      </c>
      <c r="F1782" s="2" t="n">
        <v>2</v>
      </c>
      <c r="G1782" s="4" t="n">
        <v>3</v>
      </c>
      <c r="H1782" s="13" t="n"/>
      <c r="I1782" s="15" t="n"/>
      <c r="J1782" s="19" t="n">
        <v>2</v>
      </c>
      <c r="K1782" s="2" t="inlineStr">
        <is>
          <t>marker_692_379302.png</t>
        </is>
      </c>
      <c r="L1782" s="11">
        <f>HYPERLINK("2\1\" &amp; K1782, "Ver Imagen")</f>
        <v/>
      </c>
      <c r="M1782" t="inlineStr">
        <is>
          <t>Moda</t>
        </is>
      </c>
    </row>
    <row r="1783">
      <c r="A1783" t="n">
        <v>1782</v>
      </c>
      <c r="B1783" t="inlineStr">
        <is>
          <t>A-497__157</t>
        </is>
      </c>
      <c r="C1783" s="1" t="n">
        <v>37.2670459393</v>
      </c>
      <c r="D1783" s="1" t="n">
        <v>-6.99166626748</v>
      </c>
      <c r="E1783" s="3" t="n">
        <v>2</v>
      </c>
      <c r="F1783" s="2" t="n">
        <v>2</v>
      </c>
      <c r="G1783" s="4" t="n">
        <v>3</v>
      </c>
      <c r="H1783" s="13" t="n"/>
      <c r="I1783" s="15" t="n"/>
      <c r="J1783" s="19" t="n">
        <v>2</v>
      </c>
      <c r="K1783" s="2" t="inlineStr">
        <is>
          <t>marker_359_380279.png</t>
        </is>
      </c>
      <c r="L1783" s="11">
        <f>HYPERLINK("2\1\" &amp; K1783, "Ver Imagen")</f>
        <v/>
      </c>
      <c r="M1783" t="inlineStr">
        <is>
          <t>Moda</t>
        </is>
      </c>
    </row>
    <row r="1784">
      <c r="A1784" t="n">
        <v>1783</v>
      </c>
      <c r="B1784" t="inlineStr">
        <is>
          <t>A-497__139</t>
        </is>
      </c>
      <c r="C1784" s="1" t="n">
        <v>37.2701915856</v>
      </c>
      <c r="D1784" s="1" t="n">
        <v>-6.98933786283</v>
      </c>
      <c r="E1784" s="3" t="n">
        <v>2</v>
      </c>
      <c r="F1784" s="2" t="n">
        <v>2</v>
      </c>
      <c r="G1784" s="4" t="n">
        <v>3</v>
      </c>
      <c r="H1784" s="13" t="n"/>
      <c r="I1784" s="15" t="n"/>
      <c r="J1784" s="19" t="n">
        <v>2</v>
      </c>
      <c r="K1784" s="2" t="inlineStr">
        <is>
          <t>marker_539_380450.png</t>
        </is>
      </c>
      <c r="L1784" s="11">
        <f>HYPERLINK("2\1\" &amp; K1784, "Ver Imagen")</f>
        <v/>
      </c>
      <c r="M1784" t="inlineStr">
        <is>
          <t>Moda</t>
        </is>
      </c>
    </row>
    <row r="1785">
      <c r="A1785" t="n">
        <v>1784</v>
      </c>
      <c r="B1785" t="inlineStr">
        <is>
          <t>A-497__138</t>
        </is>
      </c>
      <c r="C1785" s="1" t="n">
        <v>37.270366556</v>
      </c>
      <c r="D1785" s="1" t="n">
        <v>-6.98921351571</v>
      </c>
      <c r="E1785" s="3" t="n">
        <v>2</v>
      </c>
      <c r="F1785" s="2" t="n">
        <v>2</v>
      </c>
      <c r="G1785" s="4" t="n">
        <v>3</v>
      </c>
      <c r="H1785" s="13" t="n"/>
      <c r="I1785" s="15" t="n"/>
      <c r="J1785" s="19" t="n">
        <v>2</v>
      </c>
      <c r="K1785" s="2" t="inlineStr">
        <is>
          <t>marker_653_380459.png</t>
        </is>
      </c>
      <c r="L1785" s="11">
        <f>HYPERLINK("2\1\" &amp; K1785, "Ver Imagen")</f>
        <v/>
      </c>
      <c r="M1785" t="inlineStr">
        <is>
          <t>Moda</t>
        </is>
      </c>
    </row>
    <row r="1786">
      <c r="A1786" t="n">
        <v>1785</v>
      </c>
      <c r="B1786" t="inlineStr">
        <is>
          <t>A-497__137</t>
        </is>
      </c>
      <c r="C1786" s="1" t="n">
        <v>37.2705553572</v>
      </c>
      <c r="D1786" s="1" t="n">
        <v>-6.98907453736</v>
      </c>
      <c r="E1786" s="3" t="n">
        <v>2</v>
      </c>
      <c r="F1786" s="2" t="n">
        <v>2</v>
      </c>
      <c r="G1786" s="4" t="n">
        <v>3</v>
      </c>
      <c r="H1786" s="13" t="n"/>
      <c r="I1786" s="15" t="n"/>
      <c r="J1786" s="19" t="n">
        <v>2</v>
      </c>
      <c r="K1786" s="2" t="inlineStr">
        <is>
          <t>marker_580_380467.png</t>
        </is>
      </c>
      <c r="L1786" s="11">
        <f>HYPERLINK("2\1\" &amp; K1786, "Ver Imagen")</f>
        <v/>
      </c>
      <c r="M1786" t="inlineStr">
        <is>
          <t>Moda</t>
        </is>
      </c>
    </row>
    <row r="1787">
      <c r="A1787" t="n">
        <v>1786</v>
      </c>
      <c r="B1787" t="inlineStr">
        <is>
          <t>A-497__136</t>
        </is>
      </c>
      <c r="C1787" s="1" t="n">
        <v>37.2707196667</v>
      </c>
      <c r="D1787" s="1" t="n">
        <v>-6.98894275539</v>
      </c>
      <c r="E1787" s="3" t="n">
        <v>2</v>
      </c>
      <c r="F1787" s="2" t="n">
        <v>2</v>
      </c>
      <c r="G1787" s="4" t="n">
        <v>3</v>
      </c>
      <c r="H1787" s="13" t="n"/>
      <c r="I1787" s="15" t="n"/>
      <c r="J1787" s="19" t="n">
        <v>2</v>
      </c>
      <c r="K1787" s="2" t="inlineStr">
        <is>
          <t>marker_526_380477.png</t>
        </is>
      </c>
      <c r="L1787" s="11">
        <f>HYPERLINK("2\1\" &amp; K1787, "Ver Imagen")</f>
        <v/>
      </c>
      <c r="M1787" t="inlineStr">
        <is>
          <t>Moda</t>
        </is>
      </c>
    </row>
    <row r="1788">
      <c r="A1788" t="n">
        <v>1787</v>
      </c>
      <c r="B1788" t="inlineStr">
        <is>
          <t>A-497__135</t>
        </is>
      </c>
      <c r="C1788" s="1" t="n">
        <v>37.2708865532</v>
      </c>
      <c r="D1788" s="1" t="n">
        <v>-6.98878577354</v>
      </c>
      <c r="E1788" s="3" t="n">
        <v>2</v>
      </c>
      <c r="F1788" s="2" t="n">
        <v>2</v>
      </c>
      <c r="G1788" s="4" t="n">
        <v>3</v>
      </c>
      <c r="H1788" s="13" t="n"/>
      <c r="I1788" s="15" t="n"/>
      <c r="J1788" s="19" t="n">
        <v>2</v>
      </c>
      <c r="K1788" s="2" t="inlineStr">
        <is>
          <t>marker_257_380485.png</t>
        </is>
      </c>
      <c r="L1788" s="11">
        <f>HYPERLINK("2\1\" &amp; K1788, "Ver Imagen")</f>
        <v/>
      </c>
      <c r="M1788" t="inlineStr">
        <is>
          <t>Moda</t>
        </is>
      </c>
    </row>
    <row r="1789">
      <c r="A1789" t="n">
        <v>1788</v>
      </c>
      <c r="B1789" t="inlineStr">
        <is>
          <t>A-497__134</t>
        </is>
      </c>
      <c r="C1789" s="1" t="n">
        <v>37.2710282769</v>
      </c>
      <c r="D1789" s="1" t="n">
        <v>-6.98862698238</v>
      </c>
      <c r="E1789" s="3" t="n">
        <v>2</v>
      </c>
      <c r="F1789" s="2" t="n">
        <v>2</v>
      </c>
      <c r="G1789" s="4" t="n">
        <v>3</v>
      </c>
      <c r="H1789" s="13" t="n"/>
      <c r="I1789" s="15" t="n"/>
      <c r="J1789" s="19" t="n">
        <v>2</v>
      </c>
      <c r="K1789" s="2" t="inlineStr">
        <is>
          <t>marker_624_380495.png</t>
        </is>
      </c>
      <c r="L1789" s="11">
        <f>HYPERLINK("2\1\" &amp; K1789, "Ver Imagen")</f>
        <v/>
      </c>
      <c r="M1789" t="inlineStr">
        <is>
          <t>Moda</t>
        </is>
      </c>
    </row>
    <row r="1790">
      <c r="A1790" t="n">
        <v>1789</v>
      </c>
      <c r="B1790" t="inlineStr">
        <is>
          <t>A-490__24</t>
        </is>
      </c>
      <c r="C1790" s="1" t="n">
        <v>37.4465784911</v>
      </c>
      <c r="D1790" s="1" t="n">
        <v>-7.13223819488</v>
      </c>
      <c r="E1790" s="3" t="n">
        <v>3</v>
      </c>
      <c r="F1790" s="2" t="n">
        <v>3</v>
      </c>
      <c r="G1790" s="4" t="n">
        <v>3</v>
      </c>
      <c r="H1790" s="13" t="n"/>
      <c r="I1790" s="15" t="n"/>
      <c r="J1790" s="19" t="n">
        <v>3</v>
      </c>
      <c r="K1790" s="2" t="inlineStr">
        <is>
          <t>marker_174_730754.png</t>
        </is>
      </c>
      <c r="L1790" s="11">
        <f>HYPERLINK("3\0\" &amp; K1790, "Ver Imagen")</f>
        <v/>
      </c>
      <c r="M1790" t="inlineStr">
        <is>
          <t>Moda</t>
        </is>
      </c>
    </row>
    <row r="1791">
      <c r="A1791" t="n">
        <v>1790</v>
      </c>
      <c r="B1791" t="inlineStr">
        <is>
          <t>A-490__18</t>
        </is>
      </c>
      <c r="C1791" s="1" t="n">
        <v>37.4468470756</v>
      </c>
      <c r="D1791" s="1" t="n">
        <v>-7.13073247604</v>
      </c>
      <c r="E1791" s="3" t="n">
        <v>3</v>
      </c>
      <c r="F1791" s="2" t="n">
        <v>3</v>
      </c>
      <c r="G1791" s="4" t="n">
        <v>3</v>
      </c>
      <c r="H1791" s="13" t="n"/>
      <c r="I1791" s="15" t="n"/>
      <c r="J1791" s="19" t="n">
        <v>3</v>
      </c>
      <c r="K1791" s="2" t="inlineStr">
        <is>
          <t>marker_244_730563.png</t>
        </is>
      </c>
      <c r="L1791" s="11">
        <f>HYPERLINK("3\0\" &amp; K1791, "Ver Imagen")</f>
        <v/>
      </c>
      <c r="M1791" t="inlineStr">
        <is>
          <t>Moda</t>
        </is>
      </c>
    </row>
    <row r="1792">
      <c r="A1792" t="n">
        <v>1791</v>
      </c>
      <c r="B1792" t="inlineStr">
        <is>
          <t>A-490__214</t>
        </is>
      </c>
      <c r="C1792" s="1" t="n">
        <v>37.4615719532</v>
      </c>
      <c r="D1792" s="1" t="n">
        <v>-7.17442932149</v>
      </c>
      <c r="E1792" s="3" t="n">
        <v>3</v>
      </c>
      <c r="F1792" s="2" t="n">
        <v>3</v>
      </c>
      <c r="G1792" s="4" t="n">
        <v>3</v>
      </c>
      <c r="H1792" s="13" t="n"/>
      <c r="I1792" s="15" t="n"/>
      <c r="J1792" s="19" t="n">
        <v>3</v>
      </c>
      <c r="K1792" s="2" t="inlineStr">
        <is>
          <t>marker_141_742987.png</t>
        </is>
      </c>
      <c r="L1792" s="11">
        <f>HYPERLINK("3\0\" &amp; K1792, "Ver Imagen")</f>
        <v/>
      </c>
      <c r="M1792" t="inlineStr">
        <is>
          <t>Moda</t>
        </is>
      </c>
    </row>
    <row r="1793">
      <c r="A1793" t="n">
        <v>1792</v>
      </c>
      <c r="B1793" t="inlineStr">
        <is>
          <t>A-490__224</t>
        </is>
      </c>
      <c r="C1793" s="1" t="n">
        <v>37.4628149092</v>
      </c>
      <c r="D1793" s="1" t="n">
        <v>-7.17646179006</v>
      </c>
      <c r="E1793" s="3" t="n">
        <v>3</v>
      </c>
      <c r="F1793" s="2" t="n">
        <v>3</v>
      </c>
      <c r="G1793" s="4" t="n">
        <v>3</v>
      </c>
      <c r="H1793" s="13" t="n"/>
      <c r="I1793" s="15" t="n"/>
      <c r="J1793" s="19" t="n">
        <v>3</v>
      </c>
      <c r="K1793" s="2" t="inlineStr">
        <is>
          <t>marker_722_743676.png</t>
        </is>
      </c>
      <c r="L1793" s="11">
        <f>HYPERLINK("3\0\" &amp; K1793, "Ver Imagen")</f>
        <v/>
      </c>
      <c r="M1793" t="inlineStr">
        <is>
          <t>Moda</t>
        </is>
      </c>
    </row>
    <row r="1794">
      <c r="A1794" t="n">
        <v>1793</v>
      </c>
      <c r="B1794" t="inlineStr">
        <is>
          <t>A-490__231</t>
        </is>
      </c>
      <c r="C1794" s="1" t="n">
        <v>37.4636423132</v>
      </c>
      <c r="D1794" s="1" t="n">
        <v>-7.17784589656</v>
      </c>
      <c r="E1794" s="3" t="n">
        <v>3</v>
      </c>
      <c r="F1794" s="2" t="n">
        <v>3</v>
      </c>
      <c r="G1794" s="4" t="n">
        <v>3</v>
      </c>
      <c r="H1794" s="13" t="n"/>
      <c r="I1794" s="15" t="n"/>
      <c r="J1794" s="19" t="n">
        <v>3</v>
      </c>
      <c r="K1794" s="2" t="inlineStr">
        <is>
          <t>marker_480_743862.png</t>
        </is>
      </c>
      <c r="L1794" s="11">
        <f>HYPERLINK("3\0\" &amp; K1794, "Ver Imagen")</f>
        <v/>
      </c>
      <c r="M1794" t="inlineStr">
        <is>
          <t>Moda</t>
        </is>
      </c>
    </row>
    <row r="1795">
      <c r="A1795" t="n">
        <v>1794</v>
      </c>
      <c r="B1795" t="inlineStr">
        <is>
          <t>A-490__245</t>
        </is>
      </c>
      <c r="C1795" s="1" t="n">
        <v>37.4652506305</v>
      </c>
      <c r="D1795" s="1" t="n">
        <v>-7.18077492251</v>
      </c>
      <c r="E1795" s="3" t="n">
        <v>3</v>
      </c>
      <c r="F1795" s="2" t="n">
        <v>3</v>
      </c>
      <c r="G1795" s="4" t="n">
        <v>3</v>
      </c>
      <c r="H1795" s="13" t="n"/>
      <c r="I1795" s="15" t="n"/>
      <c r="J1795" s="19" t="n">
        <v>3</v>
      </c>
      <c r="K1795" s="2" t="inlineStr">
        <is>
          <t>marker_688_749402.png</t>
        </is>
      </c>
      <c r="L1795" s="11">
        <f>HYPERLINK("3\0\" &amp; K1795, "Ver Imagen")</f>
        <v/>
      </c>
      <c r="M1795" t="inlineStr">
        <is>
          <t>Moda</t>
        </is>
      </c>
    </row>
    <row r="1796">
      <c r="A1796" t="n">
        <v>1795</v>
      </c>
      <c r="B1796" t="inlineStr">
        <is>
          <t>A-490__587</t>
        </is>
      </c>
      <c r="C1796" s="1" t="n">
        <v>37.49017194</v>
      </c>
      <c r="D1796" s="1" t="n">
        <v>-7.25946555941</v>
      </c>
      <c r="E1796" s="3" t="n">
        <v>3</v>
      </c>
      <c r="F1796" s="2" t="n">
        <v>3</v>
      </c>
      <c r="G1796" s="4" t="n">
        <v>3</v>
      </c>
      <c r="H1796" s="13" t="n"/>
      <c r="I1796" s="15" t="n"/>
      <c r="J1796" s="19" t="n">
        <v>3</v>
      </c>
      <c r="K1796" s="2" t="inlineStr">
        <is>
          <t>marker_908_819577.png</t>
        </is>
      </c>
      <c r="L1796" s="11">
        <f>HYPERLINK("3\0\" &amp; K1796, "Ver Imagen")</f>
        <v/>
      </c>
      <c r="M1796" t="inlineStr">
        <is>
          <t>Moda</t>
        </is>
      </c>
    </row>
    <row r="1797">
      <c r="A1797" t="n">
        <v>1796</v>
      </c>
      <c r="B1797" t="inlineStr">
        <is>
          <t>A-492__79</t>
        </is>
      </c>
      <c r="C1797" s="1" t="n">
        <v>37.280579206</v>
      </c>
      <c r="D1797" s="1" t="n">
        <v>-7.00225055188</v>
      </c>
      <c r="E1797" s="3" t="n">
        <v>3</v>
      </c>
      <c r="F1797" s="2" t="n">
        <v>3</v>
      </c>
      <c r="G1797" s="4" t="n">
        <v>3</v>
      </c>
      <c r="H1797" s="13" t="n"/>
      <c r="I1797" s="15" t="n"/>
      <c r="J1797" s="19" t="n">
        <v>3</v>
      </c>
      <c r="K1797" s="2" t="inlineStr">
        <is>
          <t>marker_941_823480.png</t>
        </is>
      </c>
      <c r="L1797" s="11">
        <f>HYPERLINK("3\0\" &amp; K1797, "Ver Imagen")</f>
        <v/>
      </c>
      <c r="M1797" t="inlineStr">
        <is>
          <t>Moda</t>
        </is>
      </c>
    </row>
    <row r="1798">
      <c r="A1798" t="n">
        <v>1797</v>
      </c>
      <c r="B1798" t="inlineStr">
        <is>
          <t>A-492__82</t>
        </is>
      </c>
      <c r="C1798" s="1" t="n">
        <v>37.2806880016</v>
      </c>
      <c r="D1798" s="1" t="n">
        <v>-7.0029920334</v>
      </c>
      <c r="E1798" s="3" t="n">
        <v>3</v>
      </c>
      <c r="F1798" s="2" t="n">
        <v>3</v>
      </c>
      <c r="G1798" s="4" t="n">
        <v>3</v>
      </c>
      <c r="H1798" s="13" t="n"/>
      <c r="I1798" s="15" t="n"/>
      <c r="J1798" s="19" t="n">
        <v>3</v>
      </c>
      <c r="K1798" s="2" t="inlineStr">
        <is>
          <t>marker_185_823512.png</t>
        </is>
      </c>
      <c r="L1798" s="11">
        <f>HYPERLINK("3\0\" &amp; K1798, "Ver Imagen")</f>
        <v/>
      </c>
      <c r="M1798" t="inlineStr">
        <is>
          <t>Moda</t>
        </is>
      </c>
    </row>
    <row r="1799">
      <c r="A1799" t="n">
        <v>1798</v>
      </c>
      <c r="B1799" t="inlineStr">
        <is>
          <t>A-492__89</t>
        </is>
      </c>
      <c r="C1799" s="1" t="n">
        <v>37.2804768059</v>
      </c>
      <c r="D1799" s="1" t="n">
        <v>-7.00475923726</v>
      </c>
      <c r="E1799" s="3" t="n">
        <v>3</v>
      </c>
      <c r="F1799" s="2" t="n">
        <v>3</v>
      </c>
      <c r="G1799" s="4" t="n">
        <v>3</v>
      </c>
      <c r="H1799" s="13" t="n"/>
      <c r="I1799" s="15" t="n"/>
      <c r="J1799" s="19" t="n">
        <v>3</v>
      </c>
      <c r="K1799" s="2" t="inlineStr">
        <is>
          <t>marker_967_823605.png</t>
        </is>
      </c>
      <c r="L1799" s="11">
        <f>HYPERLINK("3\0\" &amp; K1799, "Ver Imagen")</f>
        <v/>
      </c>
      <c r="M1799" t="inlineStr">
        <is>
          <t>Moda</t>
        </is>
      </c>
    </row>
    <row r="1800">
      <c r="A1800" t="n">
        <v>1799</v>
      </c>
      <c r="B1800" t="inlineStr">
        <is>
          <t>A-492__116</t>
        </is>
      </c>
      <c r="C1800" s="1" t="n">
        <v>37.2779466502</v>
      </c>
      <c r="D1800" s="1" t="n">
        <v>-7.01082500468</v>
      </c>
      <c r="E1800" s="3" t="n">
        <v>3</v>
      </c>
      <c r="F1800" s="2" t="n">
        <v>3</v>
      </c>
      <c r="G1800" s="4" t="n">
        <v>3</v>
      </c>
      <c r="H1800" s="13" t="n"/>
      <c r="I1800" s="15" t="n"/>
      <c r="J1800" s="19" t="n">
        <v>3</v>
      </c>
      <c r="K1800" s="2" t="inlineStr">
        <is>
          <t>marker_283_824360.png</t>
        </is>
      </c>
      <c r="L1800" s="11">
        <f>HYPERLINK("3\0\" &amp; K1800, "Ver Imagen")</f>
        <v/>
      </c>
      <c r="M1800" t="inlineStr">
        <is>
          <t>Moda</t>
        </is>
      </c>
    </row>
    <row r="1801">
      <c r="A1801" t="n">
        <v>1800</v>
      </c>
      <c r="B1801" t="inlineStr">
        <is>
          <t>A-492__470</t>
        </is>
      </c>
      <c r="C1801" s="1" t="n">
        <v>37.3174097367</v>
      </c>
      <c r="D1801" s="1" t="n">
        <v>-7.070998004</v>
      </c>
      <c r="E1801" s="3" t="n">
        <v>3</v>
      </c>
      <c r="F1801" s="2" t="n">
        <v>3</v>
      </c>
      <c r="G1801" s="4" t="n">
        <v>3</v>
      </c>
      <c r="H1801" s="13" t="n"/>
      <c r="I1801" s="15" t="n"/>
      <c r="J1801" s="19" t="n">
        <v>3</v>
      </c>
      <c r="K1801" s="2" t="inlineStr">
        <is>
          <t>marker_950_840045.png</t>
        </is>
      </c>
      <c r="L1801" s="11">
        <f>HYPERLINK("3\0\" &amp; K1801, "Ver Imagen")</f>
        <v/>
      </c>
      <c r="M1801" t="inlineStr">
        <is>
          <t>Moda</t>
        </is>
      </c>
    </row>
    <row r="1802">
      <c r="A1802" t="n">
        <v>1801</v>
      </c>
      <c r="B1802" t="inlineStr">
        <is>
          <t>A-495R__44</t>
        </is>
      </c>
      <c r="C1802" s="1" t="n">
        <v>37.4531378102</v>
      </c>
      <c r="D1802" s="1" t="n">
        <v>-7.11214203966</v>
      </c>
      <c r="E1802" s="3" t="n">
        <v>3</v>
      </c>
      <c r="F1802" s="2" t="n">
        <v>3</v>
      </c>
      <c r="G1802" s="4" t="n">
        <v>3</v>
      </c>
      <c r="H1802" s="13" t="n"/>
      <c r="I1802" s="15" t="n"/>
      <c r="J1802" s="19" t="n">
        <v>3</v>
      </c>
      <c r="K1802" s="2" t="inlineStr">
        <is>
          <t>marker_237_935721.png</t>
        </is>
      </c>
      <c r="L1802" s="11">
        <f>HYPERLINK("3\0\" &amp; K1802, "Ver Imagen")</f>
        <v/>
      </c>
      <c r="M1802" t="inlineStr">
        <is>
          <t>Moda</t>
        </is>
      </c>
    </row>
    <row r="1803">
      <c r="A1803" t="n">
        <v>1802</v>
      </c>
      <c r="B1803" t="inlineStr">
        <is>
          <t>A-497__68</t>
        </is>
      </c>
      <c r="C1803" s="1" t="n">
        <v>37.2683240427</v>
      </c>
      <c r="D1803" s="1" t="n">
        <v>-6.97278793688</v>
      </c>
      <c r="E1803" s="3" t="n">
        <v>3</v>
      </c>
      <c r="F1803" s="2" t="n">
        <v>3</v>
      </c>
      <c r="G1803" s="4" t="n">
        <v>3</v>
      </c>
      <c r="H1803" s="13" t="n"/>
      <c r="I1803" s="15" t="n"/>
      <c r="J1803" s="19" t="n">
        <v>3</v>
      </c>
      <c r="K1803" s="2" t="inlineStr">
        <is>
          <t>marker_679_938063.png</t>
        </is>
      </c>
      <c r="L1803" s="11">
        <f>HYPERLINK("3\0\" &amp; K1803, "Ver Imagen")</f>
        <v/>
      </c>
      <c r="M1803" t="inlineStr">
        <is>
          <t>Moda</t>
        </is>
      </c>
    </row>
    <row r="1804">
      <c r="A1804" t="n">
        <v>1803</v>
      </c>
      <c r="B1804" t="inlineStr">
        <is>
          <t>A-497__66</t>
        </is>
      </c>
      <c r="C1804" s="1" t="n">
        <v>37.2682520375</v>
      </c>
      <c r="D1804" s="1" t="n">
        <v>-6.97239138153</v>
      </c>
      <c r="E1804" s="3" t="n">
        <v>3</v>
      </c>
      <c r="F1804" s="2" t="n">
        <v>3</v>
      </c>
      <c r="G1804" s="4" t="n">
        <v>3</v>
      </c>
      <c r="H1804" s="13" t="n"/>
      <c r="I1804" s="15" t="n"/>
      <c r="J1804" s="19" t="n">
        <v>3</v>
      </c>
      <c r="K1804" s="2" t="inlineStr">
        <is>
          <t>marker_944_938191.png</t>
        </is>
      </c>
      <c r="L1804" s="11">
        <f>HYPERLINK("3\0\" &amp; K1804, "Ver Imagen")</f>
        <v/>
      </c>
      <c r="M1804" t="inlineStr">
        <is>
          <t>Moda</t>
        </is>
      </c>
    </row>
    <row r="1805">
      <c r="A1805" t="n">
        <v>1804</v>
      </c>
      <c r="B1805" t="inlineStr">
        <is>
          <t>A-497__65</t>
        </is>
      </c>
      <c r="C1805" s="1" t="n">
        <v>37.2681942415</v>
      </c>
      <c r="D1805" s="1" t="n">
        <v>-6.97205460715</v>
      </c>
      <c r="E1805" s="3" t="n">
        <v>3</v>
      </c>
      <c r="F1805" s="2" t="n">
        <v>3</v>
      </c>
      <c r="G1805" s="4" t="n">
        <v>3</v>
      </c>
      <c r="H1805" s="13" t="n"/>
      <c r="I1805" s="15" t="n"/>
      <c r="J1805" s="19" t="n">
        <v>3</v>
      </c>
      <c r="K1805" s="2" t="inlineStr">
        <is>
          <t>marker_150_938206.png</t>
        </is>
      </c>
      <c r="L1805" s="11">
        <f>HYPERLINK("3\0\" &amp; K1805, "Ver Imagen")</f>
        <v/>
      </c>
      <c r="M1805" t="inlineStr">
        <is>
          <t>Moda</t>
        </is>
      </c>
    </row>
    <row r="1806">
      <c r="A1806" t="n">
        <v>1805</v>
      </c>
      <c r="B1806" t="inlineStr">
        <is>
          <t>A-497__50</t>
        </is>
      </c>
      <c r="C1806" s="1" t="n">
        <v>37.2677100402</v>
      </c>
      <c r="D1806" s="1" t="n">
        <v>-6.9682686943</v>
      </c>
      <c r="E1806" s="3" t="n">
        <v>3</v>
      </c>
      <c r="F1806" s="2" t="n">
        <v>3</v>
      </c>
      <c r="G1806" s="4" t="n">
        <v>3</v>
      </c>
      <c r="H1806" s="13" t="n"/>
      <c r="I1806" s="15" t="n"/>
      <c r="J1806" s="19" t="n">
        <v>3</v>
      </c>
      <c r="K1806" s="2" t="inlineStr">
        <is>
          <t>marker_989_938394.png</t>
        </is>
      </c>
      <c r="L1806" s="11">
        <f>HYPERLINK("3\0\" &amp; K1806, "Ver Imagen")</f>
        <v/>
      </c>
      <c r="M1806" t="inlineStr">
        <is>
          <t>Moda</t>
        </is>
      </c>
    </row>
    <row r="1807">
      <c r="A1807" t="n">
        <v>1806</v>
      </c>
      <c r="B1807" t="inlineStr">
        <is>
          <t>A-497__35</t>
        </is>
      </c>
      <c r="C1807" s="1" t="n">
        <v>37.2675313621</v>
      </c>
      <c r="D1807" s="1" t="n">
        <v>-6.96456463715</v>
      </c>
      <c r="E1807" s="3" t="n">
        <v>3</v>
      </c>
      <c r="F1807" s="2" t="n">
        <v>3</v>
      </c>
      <c r="G1807" s="4" t="n">
        <v>3</v>
      </c>
      <c r="H1807" s="13" t="n"/>
      <c r="I1807" s="15" t="n"/>
      <c r="J1807" s="19" t="n">
        <v>3</v>
      </c>
      <c r="K1807" s="2" t="inlineStr">
        <is>
          <t>marker_612_940330.png</t>
        </is>
      </c>
      <c r="L1807" s="11">
        <f>HYPERLINK("3\0\" &amp; K1807, "Ver Imagen")</f>
        <v/>
      </c>
      <c r="M1807" t="inlineStr">
        <is>
          <t>Moda</t>
        </is>
      </c>
    </row>
    <row r="1808">
      <c r="A1808" t="n">
        <v>1807</v>
      </c>
      <c r="B1808" t="inlineStr">
        <is>
          <t>A-497__26</t>
        </is>
      </c>
      <c r="C1808" s="1" t="n">
        <v>37.2674826505</v>
      </c>
      <c r="D1808" s="1" t="n">
        <v>-6.96225579733</v>
      </c>
      <c r="E1808" s="3" t="n">
        <v>3</v>
      </c>
      <c r="F1808" s="2" t="n">
        <v>3</v>
      </c>
      <c r="G1808" s="4" t="n">
        <v>3</v>
      </c>
      <c r="H1808" s="13" t="n"/>
      <c r="I1808" s="15" t="n"/>
      <c r="J1808" s="19" t="n">
        <v>3</v>
      </c>
      <c r="K1808" s="2" t="inlineStr">
        <is>
          <t>marker_745_940911.png</t>
        </is>
      </c>
      <c r="L1808" s="11">
        <f>HYPERLINK("3\0\" &amp; K1808, "Ver Imagen")</f>
        <v/>
      </c>
      <c r="M1808" t="inlineStr">
        <is>
          <t>Moda</t>
        </is>
      </c>
    </row>
    <row r="1809">
      <c r="A1809" t="n">
        <v>1808</v>
      </c>
      <c r="B1809" t="inlineStr">
        <is>
          <t>A-5050__117</t>
        </is>
      </c>
      <c r="C1809" s="1" t="n">
        <v>37.1962068863</v>
      </c>
      <c r="D1809" s="1" t="n">
        <v>-7.00300165156</v>
      </c>
      <c r="E1809" s="3" t="n">
        <v>3</v>
      </c>
      <c r="F1809" s="2" t="n">
        <v>3</v>
      </c>
      <c r="G1809" s="4" t="n">
        <v>3</v>
      </c>
      <c r="H1809" s="13" t="n"/>
      <c r="I1809" s="15" t="n"/>
      <c r="J1809" s="19" t="n">
        <v>3</v>
      </c>
      <c r="K1809" s="2" t="inlineStr">
        <is>
          <t>marker_561_946540.png</t>
        </is>
      </c>
      <c r="L1809" s="11">
        <f>HYPERLINK("3\0\" &amp; K1809, "Ver Imagen")</f>
        <v/>
      </c>
      <c r="M1809" t="inlineStr">
        <is>
          <t>Moda</t>
        </is>
      </c>
    </row>
    <row r="1810">
      <c r="A1810" t="n">
        <v>1809</v>
      </c>
      <c r="B1810" t="inlineStr">
        <is>
          <t>A-5050__116</t>
        </is>
      </c>
      <c r="C1810" s="1" t="n">
        <v>37.1962841871</v>
      </c>
      <c r="D1810" s="1" t="n">
        <v>-7.00317450536</v>
      </c>
      <c r="E1810" s="3" t="n">
        <v>3</v>
      </c>
      <c r="F1810" s="2" t="n">
        <v>3</v>
      </c>
      <c r="G1810" s="4" t="n">
        <v>3</v>
      </c>
      <c r="H1810" s="13" t="n"/>
      <c r="I1810" s="15" t="n"/>
      <c r="J1810" s="19" t="n">
        <v>3</v>
      </c>
      <c r="K1810" s="2" t="inlineStr">
        <is>
          <t>marker_421_946554.png</t>
        </is>
      </c>
      <c r="L1810" s="11">
        <f>HYPERLINK("3\0\" &amp; K1810, "Ver Imagen")</f>
        <v/>
      </c>
      <c r="M1810" t="inlineStr">
        <is>
          <t>Moda</t>
        </is>
      </c>
    </row>
    <row r="1811">
      <c r="A1811" t="n">
        <v>1810</v>
      </c>
      <c r="B1811" t="inlineStr">
        <is>
          <t>A-5050__104</t>
        </is>
      </c>
      <c r="C1811" s="1" t="n">
        <v>37.1974081917</v>
      </c>
      <c r="D1811" s="1" t="n">
        <v>-7.00591252505</v>
      </c>
      <c r="E1811" s="3" t="n">
        <v>3</v>
      </c>
      <c r="F1811" s="2" t="n">
        <v>3</v>
      </c>
      <c r="G1811" s="4" t="n">
        <v>3</v>
      </c>
      <c r="H1811" s="13" t="n"/>
      <c r="I1811" s="15" t="n"/>
      <c r="J1811" s="19" t="n">
        <v>3</v>
      </c>
      <c r="K1811" s="2" t="inlineStr">
        <is>
          <t>marker_100_946738.png</t>
        </is>
      </c>
      <c r="L1811" s="11">
        <f>HYPERLINK("3\0\" &amp; K1811, "Ver Imagen")</f>
        <v/>
      </c>
      <c r="M1811" t="inlineStr">
        <is>
          <t>Moda</t>
        </is>
      </c>
    </row>
    <row r="1812">
      <c r="A1812" t="n">
        <v>1811</v>
      </c>
      <c r="B1812" t="inlineStr">
        <is>
          <t>A-5050__80</t>
        </is>
      </c>
      <c r="C1812" s="1" t="n">
        <v>37.2001225642</v>
      </c>
      <c r="D1812" s="1" t="n">
        <v>-7.01094420473</v>
      </c>
      <c r="E1812" s="3" t="n">
        <v>3</v>
      </c>
      <c r="F1812" s="2" t="n">
        <v>3</v>
      </c>
      <c r="G1812" s="4" t="n">
        <v>3</v>
      </c>
      <c r="H1812" s="13" t="n"/>
      <c r="I1812" s="15" t="n"/>
      <c r="J1812" s="19" t="n">
        <v>3</v>
      </c>
      <c r="K1812" s="2" t="inlineStr">
        <is>
          <t>marker_960_948775.png</t>
        </is>
      </c>
      <c r="L1812" s="11">
        <f>HYPERLINK("3\0\" &amp; K1812, "Ver Imagen")</f>
        <v/>
      </c>
      <c r="M1812" t="inlineStr">
        <is>
          <t>Moda</t>
        </is>
      </c>
    </row>
    <row r="1813">
      <c r="A1813" t="n">
        <v>1812</v>
      </c>
      <c r="B1813" t="inlineStr">
        <is>
          <t>A-5050__76</t>
        </is>
      </c>
      <c r="C1813" s="1" t="n">
        <v>37.2006025766</v>
      </c>
      <c r="D1813" s="1" t="n">
        <v>-7.01168156327</v>
      </c>
      <c r="E1813" s="3" t="n">
        <v>3</v>
      </c>
      <c r="F1813" s="2" t="n">
        <v>3</v>
      </c>
      <c r="G1813" s="4" t="n">
        <v>3</v>
      </c>
      <c r="H1813" s="13" t="n"/>
      <c r="I1813" s="15" t="n"/>
      <c r="J1813" s="19" t="n">
        <v>3</v>
      </c>
      <c r="K1813" s="2" t="inlineStr">
        <is>
          <t>marker_380_948815.png</t>
        </is>
      </c>
      <c r="L1813" s="11">
        <f>HYPERLINK("3\0\" &amp; K1813, "Ver Imagen")</f>
        <v/>
      </c>
      <c r="M1813" t="inlineStr">
        <is>
          <t>Moda</t>
        </is>
      </c>
    </row>
    <row r="1814">
      <c r="A1814" t="n">
        <v>1813</v>
      </c>
      <c r="B1814" t="inlineStr">
        <is>
          <t>A-5050__43</t>
        </is>
      </c>
      <c r="C1814" s="1" t="n">
        <v>37.2048342602</v>
      </c>
      <c r="D1814" s="1" t="n">
        <v>-7.01818068301</v>
      </c>
      <c r="E1814" s="3" t="n">
        <v>3</v>
      </c>
      <c r="F1814" s="2" t="n">
        <v>3</v>
      </c>
      <c r="G1814" s="4" t="n">
        <v>3</v>
      </c>
      <c r="H1814" s="13" t="n"/>
      <c r="I1814" s="15" t="n"/>
      <c r="J1814" s="19" t="n">
        <v>3</v>
      </c>
      <c r="K1814" s="2" t="inlineStr">
        <is>
          <t>marker_965_949220.png</t>
        </is>
      </c>
      <c r="L1814" s="11">
        <f>HYPERLINK("3\0\" &amp; K1814, "Ver Imagen")</f>
        <v/>
      </c>
      <c r="M1814" t="inlineStr">
        <is>
          <t>Moda</t>
        </is>
      </c>
    </row>
    <row r="1815">
      <c r="A1815" t="n">
        <v>1814</v>
      </c>
      <c r="B1815" t="inlineStr">
        <is>
          <t>A-5050__42</t>
        </is>
      </c>
      <c r="C1815" s="1" t="n">
        <v>37.2049791116</v>
      </c>
      <c r="D1815" s="1" t="n">
        <v>-7.01840459699</v>
      </c>
      <c r="E1815" s="3" t="n">
        <v>3</v>
      </c>
      <c r="F1815" s="2" t="n">
        <v>3</v>
      </c>
      <c r="G1815" s="4" t="n">
        <v>3</v>
      </c>
      <c r="H1815" s="13" t="n"/>
      <c r="I1815" s="15" t="n"/>
      <c r="J1815" s="19" t="n">
        <v>3</v>
      </c>
      <c r="K1815" s="2" t="inlineStr">
        <is>
          <t>marker_660_949229.png</t>
        </is>
      </c>
      <c r="L1815" s="11">
        <f>HYPERLINK("3\0\" &amp; K1815, "Ver Imagen")</f>
        <v/>
      </c>
      <c r="M1815" t="inlineStr">
        <is>
          <t>Moda</t>
        </is>
      </c>
    </row>
    <row r="1816">
      <c r="A1816" t="n">
        <v>1815</v>
      </c>
      <c r="B1816" t="inlineStr">
        <is>
          <t>A-5050__41</t>
        </is>
      </c>
      <c r="C1816" s="1" t="n">
        <v>37.2051026725</v>
      </c>
      <c r="D1816" s="1" t="n">
        <v>-7.01859518012</v>
      </c>
      <c r="E1816" s="3" t="n">
        <v>3</v>
      </c>
      <c r="F1816" s="2" t="n">
        <v>3</v>
      </c>
      <c r="G1816" s="4" t="n">
        <v>3</v>
      </c>
      <c r="H1816" s="13" t="n"/>
      <c r="I1816" s="15" t="n"/>
      <c r="J1816" s="19" t="n">
        <v>3</v>
      </c>
      <c r="K1816" s="2" t="inlineStr">
        <is>
          <t>marker_865_949238.png</t>
        </is>
      </c>
      <c r="L1816" s="11">
        <f>HYPERLINK("3\0\" &amp; K1816, "Ver Imagen")</f>
        <v/>
      </c>
      <c r="M1816" t="inlineStr">
        <is>
          <t>Moda</t>
        </is>
      </c>
    </row>
    <row r="1817">
      <c r="A1817" t="n">
        <v>1816</v>
      </c>
      <c r="B1817" t="inlineStr">
        <is>
          <t>A-5050__39</t>
        </is>
      </c>
      <c r="C1817" s="1" t="n">
        <v>37.2053601164</v>
      </c>
      <c r="D1817" s="1" t="n">
        <v>-7.0189907466</v>
      </c>
      <c r="E1817" s="3" t="n">
        <v>3</v>
      </c>
      <c r="F1817" s="2" t="n">
        <v>3</v>
      </c>
      <c r="G1817" s="4" t="n">
        <v>3</v>
      </c>
      <c r="H1817" s="13" t="n"/>
      <c r="I1817" s="15" t="n"/>
      <c r="J1817" s="19" t="n">
        <v>3</v>
      </c>
      <c r="K1817" s="2" t="inlineStr">
        <is>
          <t>marker_774_949259.png</t>
        </is>
      </c>
      <c r="L1817" s="11">
        <f>HYPERLINK("3\0\" &amp; K1817, "Ver Imagen")</f>
        <v/>
      </c>
      <c r="M1817" t="inlineStr">
        <is>
          <t>Moda</t>
        </is>
      </c>
    </row>
    <row r="1818">
      <c r="A1818" t="n">
        <v>1817</v>
      </c>
      <c r="B1818" t="inlineStr">
        <is>
          <t>A-5050__38</t>
        </is>
      </c>
      <c r="C1818" s="1" t="n">
        <v>37.2054881641</v>
      </c>
      <c r="D1818" s="1" t="n">
        <v>-7.01918894123</v>
      </c>
      <c r="E1818" s="3" t="n">
        <v>3</v>
      </c>
      <c r="F1818" s="2" t="n">
        <v>3</v>
      </c>
      <c r="G1818" s="4" t="n">
        <v>3</v>
      </c>
      <c r="H1818" s="13" t="n"/>
      <c r="I1818" s="15" t="n"/>
      <c r="J1818" s="19" t="n">
        <v>3</v>
      </c>
      <c r="K1818" s="2" t="inlineStr">
        <is>
          <t>marker_107_949272.png</t>
        </is>
      </c>
      <c r="L1818" s="11">
        <f>HYPERLINK("3\0\" &amp; K1818, "Ver Imagen")</f>
        <v/>
      </c>
      <c r="M1818" t="inlineStr">
        <is>
          <t>Moda</t>
        </is>
      </c>
    </row>
    <row r="1819">
      <c r="A1819" t="n">
        <v>1818</v>
      </c>
      <c r="B1819" t="inlineStr">
        <is>
          <t>A-5050__37</t>
        </is>
      </c>
      <c r="C1819" s="1" t="n">
        <v>37.2056244471</v>
      </c>
      <c r="D1819" s="1" t="n">
        <v>-7.01940201454</v>
      </c>
      <c r="E1819" s="3" t="n">
        <v>3</v>
      </c>
      <c r="F1819" s="2" t="n">
        <v>3</v>
      </c>
      <c r="G1819" s="4" t="n">
        <v>3</v>
      </c>
      <c r="H1819" s="13" t="n"/>
      <c r="I1819" s="15" t="n"/>
      <c r="J1819" s="19" t="n">
        <v>3</v>
      </c>
      <c r="K1819" s="2" t="inlineStr">
        <is>
          <t>marker_238_949289.png</t>
        </is>
      </c>
      <c r="L1819" s="11">
        <f>HYPERLINK("3\0\" &amp; K1819, "Ver Imagen")</f>
        <v/>
      </c>
      <c r="M1819" t="inlineStr">
        <is>
          <t>Moda</t>
        </is>
      </c>
    </row>
    <row r="1820">
      <c r="A1820" t="n">
        <v>1819</v>
      </c>
      <c r="B1820" t="inlineStr">
        <is>
          <t>A-5050__36</t>
        </is>
      </c>
      <c r="C1820" s="1" t="n">
        <v>37.2057205546</v>
      </c>
      <c r="D1820" s="1" t="n">
        <v>-7.01955508344</v>
      </c>
      <c r="E1820" s="3" t="n">
        <v>3</v>
      </c>
      <c r="F1820" s="2" t="n">
        <v>3</v>
      </c>
      <c r="G1820" s="4" t="n">
        <v>3</v>
      </c>
      <c r="H1820" s="13" t="n"/>
      <c r="I1820" s="15" t="n"/>
      <c r="J1820" s="19" t="n">
        <v>3</v>
      </c>
      <c r="K1820" s="2" t="inlineStr">
        <is>
          <t>marker_763_949300.png</t>
        </is>
      </c>
      <c r="L1820" s="11">
        <f>HYPERLINK("3\0\" &amp; K1820, "Ver Imagen")</f>
        <v/>
      </c>
      <c r="M1820" t="inlineStr">
        <is>
          <t>Moda</t>
        </is>
      </c>
    </row>
    <row r="1821">
      <c r="A1821" t="n">
        <v>1820</v>
      </c>
      <c r="B1821" t="inlineStr">
        <is>
          <t>A-5050__34</t>
        </is>
      </c>
      <c r="C1821" s="1" t="n">
        <v>37.2059730719</v>
      </c>
      <c r="D1821" s="1" t="n">
        <v>-7.01998889516</v>
      </c>
      <c r="E1821" s="3" t="n">
        <v>3</v>
      </c>
      <c r="F1821" s="2" t="n">
        <v>3</v>
      </c>
      <c r="G1821" s="4" t="n">
        <v>3</v>
      </c>
      <c r="H1821" s="13" t="n"/>
      <c r="I1821" s="15" t="n"/>
      <c r="J1821" s="19" t="n">
        <v>3</v>
      </c>
      <c r="K1821" s="2" t="inlineStr">
        <is>
          <t>marker_633_949321.png</t>
        </is>
      </c>
      <c r="L1821" s="11">
        <f>HYPERLINK("3\0\" &amp; K1821, "Ver Imagen")</f>
        <v/>
      </c>
      <c r="M1821" t="inlineStr">
        <is>
          <t>Moda</t>
        </is>
      </c>
    </row>
    <row r="1822">
      <c r="A1822" t="n">
        <v>1821</v>
      </c>
      <c r="B1822" t="inlineStr">
        <is>
          <t>A-5050__33</t>
        </is>
      </c>
      <c r="C1822" s="1" t="n">
        <v>37.2060882395</v>
      </c>
      <c r="D1822" s="1" t="n">
        <v>-7.02019881338</v>
      </c>
      <c r="E1822" s="3" t="n">
        <v>3</v>
      </c>
      <c r="F1822" s="2" t="n">
        <v>3</v>
      </c>
      <c r="G1822" s="4" t="n">
        <v>3</v>
      </c>
      <c r="H1822" s="13" t="n"/>
      <c r="I1822" s="15" t="n"/>
      <c r="J1822" s="19" t="n">
        <v>3</v>
      </c>
      <c r="K1822" s="2" t="inlineStr">
        <is>
          <t>marker_399_949332.png</t>
        </is>
      </c>
      <c r="L1822" s="11">
        <f>HYPERLINK("3\0\" &amp; K1822, "Ver Imagen")</f>
        <v/>
      </c>
      <c r="M1822" t="inlineStr">
        <is>
          <t>Moda</t>
        </is>
      </c>
    </row>
    <row r="1823">
      <c r="A1823" t="n">
        <v>1822</v>
      </c>
      <c r="B1823" t="inlineStr">
        <is>
          <t>A-5050__32</t>
        </is>
      </c>
      <c r="C1823" s="1" t="n">
        <v>37.2062012402</v>
      </c>
      <c r="D1823" s="1" t="n">
        <v>-7.02040350911</v>
      </c>
      <c r="E1823" s="3" t="n">
        <v>3</v>
      </c>
      <c r="F1823" s="2" t="n">
        <v>3</v>
      </c>
      <c r="G1823" s="4" t="n">
        <v>3</v>
      </c>
      <c r="H1823" s="13" t="n"/>
      <c r="I1823" s="15" t="n"/>
      <c r="J1823" s="19" t="n">
        <v>3</v>
      </c>
      <c r="K1823" s="2" t="inlineStr">
        <is>
          <t>marker_226_949341.png</t>
        </is>
      </c>
      <c r="L1823" s="11">
        <f>HYPERLINK("3\0\" &amp; K1823, "Ver Imagen")</f>
        <v/>
      </c>
      <c r="M1823" t="inlineStr">
        <is>
          <t>Moda</t>
        </is>
      </c>
    </row>
    <row r="1824">
      <c r="A1824" t="n">
        <v>1823</v>
      </c>
      <c r="B1824" t="inlineStr">
        <is>
          <t>A-5050__26</t>
        </is>
      </c>
      <c r="C1824" s="1" t="n">
        <v>37.206959974</v>
      </c>
      <c r="D1824" s="1" t="n">
        <v>-7.02155843965</v>
      </c>
      <c r="E1824" s="3" t="n">
        <v>3</v>
      </c>
      <c r="F1824" s="2" t="n">
        <v>3</v>
      </c>
      <c r="G1824" s="4" t="n">
        <v>3</v>
      </c>
      <c r="H1824" s="13" t="n"/>
      <c r="I1824" s="15" t="n"/>
      <c r="J1824" s="19" t="n">
        <v>3</v>
      </c>
      <c r="K1824" s="2" t="inlineStr">
        <is>
          <t>marker_956_949397.png</t>
        </is>
      </c>
      <c r="L1824" s="11">
        <f>HYPERLINK("3\0\" &amp; K1824, "Ver Imagen")</f>
        <v/>
      </c>
      <c r="M1824" t="inlineStr">
        <is>
          <t>Moda</t>
        </is>
      </c>
    </row>
    <row r="1825">
      <c r="A1825" t="n">
        <v>1824</v>
      </c>
      <c r="B1825" t="inlineStr">
        <is>
          <t>A-5050__14</t>
        </is>
      </c>
      <c r="C1825" s="1" t="n">
        <v>37.2082658984</v>
      </c>
      <c r="D1825" s="1" t="n">
        <v>-7.02397208813</v>
      </c>
      <c r="E1825" s="3" t="n">
        <v>3</v>
      </c>
      <c r="F1825" s="2" t="n">
        <v>3</v>
      </c>
      <c r="G1825" s="4" t="n">
        <v>3</v>
      </c>
      <c r="H1825" s="13" t="n"/>
      <c r="I1825" s="15" t="n"/>
      <c r="J1825" s="19" t="n">
        <v>3</v>
      </c>
      <c r="K1825" s="2" t="inlineStr">
        <is>
          <t>marker_600_949554.png</t>
        </is>
      </c>
      <c r="L1825" s="11">
        <f>HYPERLINK("3\0\" &amp; K1825, "Ver Imagen")</f>
        <v/>
      </c>
      <c r="M1825" t="inlineStr">
        <is>
          <t>Moda</t>
        </is>
      </c>
    </row>
    <row r="1826">
      <c r="A1826" t="n">
        <v>1825</v>
      </c>
      <c r="B1826" t="inlineStr">
        <is>
          <t>A-5050__13</t>
        </is>
      </c>
      <c r="C1826" s="1" t="n">
        <v>37.2082753181</v>
      </c>
      <c r="D1826" s="1" t="n">
        <v>-7.02422227992</v>
      </c>
      <c r="E1826" s="3" t="n">
        <v>3</v>
      </c>
      <c r="F1826" s="2" t="n">
        <v>3</v>
      </c>
      <c r="G1826" s="4" t="n">
        <v>3</v>
      </c>
      <c r="H1826" s="13" t="n"/>
      <c r="I1826" s="15" t="n"/>
      <c r="J1826" s="19" t="n">
        <v>3</v>
      </c>
      <c r="K1826" s="2" t="inlineStr">
        <is>
          <t>marker_334_949565.png</t>
        </is>
      </c>
      <c r="L1826" s="11">
        <f>HYPERLINK("3\0\" &amp; K1826, "Ver Imagen")</f>
        <v/>
      </c>
      <c r="M1826" t="inlineStr">
        <is>
          <t>Moda</t>
        </is>
      </c>
    </row>
    <row r="1827">
      <c r="A1827" t="n">
        <v>1826</v>
      </c>
      <c r="B1827" t="inlineStr">
        <is>
          <t>A-5050__10</t>
        </is>
      </c>
      <c r="C1827" s="1" t="n">
        <v>37.2084160112</v>
      </c>
      <c r="D1827" s="1" t="n">
        <v>-7.02497130422</v>
      </c>
      <c r="E1827" s="3" t="n">
        <v>3</v>
      </c>
      <c r="F1827" s="2" t="n">
        <v>3</v>
      </c>
      <c r="G1827" s="4" t="n">
        <v>3</v>
      </c>
      <c r="H1827" s="13" t="n"/>
      <c r="I1827" s="15" t="n"/>
      <c r="J1827" s="19" t="n">
        <v>3</v>
      </c>
      <c r="K1827" s="2" t="inlineStr">
        <is>
          <t>marker_698_949608.png</t>
        </is>
      </c>
      <c r="L1827" s="11">
        <f>HYPERLINK("3\0\" &amp; K1827, "Ver Imagen")</f>
        <v/>
      </c>
      <c r="M1827" t="inlineStr">
        <is>
          <t>Moda</t>
        </is>
      </c>
    </row>
    <row r="1828">
      <c r="A1828" t="n">
        <v>1827</v>
      </c>
      <c r="B1828" t="inlineStr">
        <is>
          <t>A-5050__3</t>
        </is>
      </c>
      <c r="C1828" s="1" t="n">
        <v>37.2088339792</v>
      </c>
      <c r="D1828" s="1" t="n">
        <v>-7.02663400845</v>
      </c>
      <c r="E1828" s="3" t="n">
        <v>3</v>
      </c>
      <c r="F1828" s="2" t="n">
        <v>3</v>
      </c>
      <c r="G1828" s="4" t="n">
        <v>3</v>
      </c>
      <c r="H1828" s="13" t="n"/>
      <c r="I1828" s="15" t="n"/>
      <c r="J1828" s="19" t="n">
        <v>3</v>
      </c>
      <c r="K1828" s="2" t="inlineStr">
        <is>
          <t>marker_490_949681.png</t>
        </is>
      </c>
      <c r="L1828" s="11">
        <f>HYPERLINK("3\0\" &amp; K1828, "Ver Imagen")</f>
        <v/>
      </c>
      <c r="M1828" t="inlineStr">
        <is>
          <t>Moda</t>
        </is>
      </c>
    </row>
    <row r="1829">
      <c r="A1829" t="n">
        <v>1828</v>
      </c>
      <c r="B1829" t="inlineStr">
        <is>
          <t>A-5052__3</t>
        </is>
      </c>
      <c r="C1829" s="1" t="n">
        <v>37.2184998174</v>
      </c>
      <c r="D1829" s="1" t="n">
        <v>-7.12517976996</v>
      </c>
      <c r="E1829" s="3" t="n">
        <v>3</v>
      </c>
      <c r="F1829" s="2" t="n">
        <v>3</v>
      </c>
      <c r="G1829" s="4" t="n">
        <v>3</v>
      </c>
      <c r="H1829" s="13" t="n"/>
      <c r="I1829" s="15" t="n"/>
      <c r="J1829" s="19" t="n">
        <v>3</v>
      </c>
      <c r="K1829" s="2" t="inlineStr">
        <is>
          <t>marker_793_949891.png</t>
        </is>
      </c>
      <c r="L1829" s="11">
        <f>HYPERLINK("3\0\" &amp; K1829, "Ver Imagen")</f>
        <v/>
      </c>
      <c r="M1829" t="inlineStr">
        <is>
          <t>Moda</t>
        </is>
      </c>
    </row>
    <row r="1830">
      <c r="A1830" t="n">
        <v>1829</v>
      </c>
      <c r="B1830" t="inlineStr">
        <is>
          <t>A-5052__10</t>
        </is>
      </c>
      <c r="C1830" s="1" t="n">
        <v>37.2183176975</v>
      </c>
      <c r="D1830" s="1" t="n">
        <v>-7.12345844891</v>
      </c>
      <c r="E1830" s="3" t="n">
        <v>3</v>
      </c>
      <c r="F1830" s="2" t="n">
        <v>3</v>
      </c>
      <c r="G1830" s="4" t="n">
        <v>3</v>
      </c>
      <c r="H1830" s="13" t="n"/>
      <c r="I1830" s="15" t="n"/>
      <c r="J1830" s="19" t="n">
        <v>3</v>
      </c>
      <c r="K1830" s="2" t="inlineStr">
        <is>
          <t>marker_977_950021.png</t>
        </is>
      </c>
      <c r="L1830" s="11">
        <f>HYPERLINK("3\0\" &amp; K1830, "Ver Imagen")</f>
        <v/>
      </c>
      <c r="M1830" t="inlineStr">
        <is>
          <t>Moda</t>
        </is>
      </c>
    </row>
    <row r="1831">
      <c r="A1831" t="n">
        <v>1830</v>
      </c>
      <c r="B1831" t="inlineStr">
        <is>
          <t>A-5052__53</t>
        </is>
      </c>
      <c r="C1831" s="1" t="n">
        <v>37.217536696</v>
      </c>
      <c r="D1831" s="1" t="n">
        <v>-7.11273306866</v>
      </c>
      <c r="E1831" s="3" t="n">
        <v>3</v>
      </c>
      <c r="F1831" s="2" t="n">
        <v>3</v>
      </c>
      <c r="G1831" s="4" t="n">
        <v>3</v>
      </c>
      <c r="H1831" s="13" t="n"/>
      <c r="I1831" s="15" t="n"/>
      <c r="J1831" s="19" t="n">
        <v>3</v>
      </c>
      <c r="K1831" s="2" t="inlineStr">
        <is>
          <t>marker_710_956957.png</t>
        </is>
      </c>
      <c r="L1831" s="11">
        <f>HYPERLINK("3\0\" &amp; K1831, "Ver Imagen")</f>
        <v/>
      </c>
      <c r="M1831" t="inlineStr">
        <is>
          <t>Moda</t>
        </is>
      </c>
    </row>
    <row r="1832">
      <c r="A1832" t="n">
        <v>1831</v>
      </c>
      <c r="B1832" t="inlineStr">
        <is>
          <t>A-5052__55</t>
        </is>
      </c>
      <c r="C1832" s="1" t="n">
        <v>37.2175603767</v>
      </c>
      <c r="D1832" s="1" t="n">
        <v>-7.11223666925</v>
      </c>
      <c r="E1832" s="3" t="n">
        <v>3</v>
      </c>
      <c r="F1832" s="2" t="n">
        <v>3</v>
      </c>
      <c r="G1832" s="4" t="n">
        <v>3</v>
      </c>
      <c r="H1832" s="13" t="n"/>
      <c r="I1832" s="15" t="n"/>
      <c r="J1832" s="19" t="n">
        <v>3</v>
      </c>
      <c r="K1832" s="2" t="inlineStr">
        <is>
          <t>marker_352_956980.png</t>
        </is>
      </c>
      <c r="L1832" s="11">
        <f>HYPERLINK("3\0\" &amp; K1832, "Ver Imagen")</f>
        <v/>
      </c>
      <c r="M1832" t="inlineStr">
        <is>
          <t>Moda</t>
        </is>
      </c>
    </row>
    <row r="1833">
      <c r="A1833" t="n">
        <v>1832</v>
      </c>
      <c r="B1833" t="inlineStr">
        <is>
          <t>A-5052__103</t>
        </is>
      </c>
      <c r="C1833" s="1" t="n">
        <v>37.217018068</v>
      </c>
      <c r="D1833" s="1" t="n">
        <v>-7.10019833828</v>
      </c>
      <c r="E1833" s="3" t="n">
        <v>3</v>
      </c>
      <c r="F1833" s="2" t="n">
        <v>3</v>
      </c>
      <c r="G1833" s="4" t="n">
        <v>3</v>
      </c>
      <c r="H1833" s="13" t="n"/>
      <c r="I1833" s="15" t="n"/>
      <c r="J1833" s="19" t="n">
        <v>3</v>
      </c>
      <c r="K1833" s="2" t="inlineStr">
        <is>
          <t>marker_893_957711.png</t>
        </is>
      </c>
      <c r="L1833" s="11">
        <f>HYPERLINK("3\0\" &amp; K1833, "Ver Imagen")</f>
        <v/>
      </c>
      <c r="M1833" t="inlineStr">
        <is>
          <t>Moda</t>
        </is>
      </c>
    </row>
    <row r="1834">
      <c r="A1834" t="n">
        <v>1833</v>
      </c>
      <c r="B1834" t="inlineStr">
        <is>
          <t>A-5052__213</t>
        </is>
      </c>
      <c r="C1834" s="1" t="n">
        <v>37.2138051423</v>
      </c>
      <c r="D1834" s="1" t="n">
        <v>-7.07288228236</v>
      </c>
      <c r="E1834" s="3" t="n">
        <v>3</v>
      </c>
      <c r="F1834" s="2" t="n">
        <v>3</v>
      </c>
      <c r="G1834" s="4" t="n">
        <v>3</v>
      </c>
      <c r="H1834" s="13" t="n"/>
      <c r="I1834" s="15" t="n"/>
      <c r="J1834" s="19" t="n">
        <v>3</v>
      </c>
      <c r="K1834" s="2" t="inlineStr">
        <is>
          <t>marker_344_959623.png</t>
        </is>
      </c>
      <c r="L1834" s="11">
        <f>HYPERLINK("3\0\" &amp; K1834, "Ver Imagen")</f>
        <v/>
      </c>
      <c r="M1834" t="inlineStr">
        <is>
          <t>Moda</t>
        </is>
      </c>
    </row>
    <row r="1835">
      <c r="A1835" t="n">
        <v>1834</v>
      </c>
      <c r="B1835" t="inlineStr">
        <is>
          <t>A-5052__251</t>
        </is>
      </c>
      <c r="C1835" s="1" t="n">
        <v>37.2132287738</v>
      </c>
      <c r="D1835" s="1" t="n">
        <v>-7.06341015058</v>
      </c>
      <c r="E1835" s="3" t="n">
        <v>3</v>
      </c>
      <c r="F1835" s="2" t="n">
        <v>3</v>
      </c>
      <c r="G1835" s="4" t="n">
        <v>3</v>
      </c>
      <c r="H1835" s="13" t="n"/>
      <c r="I1835" s="15" t="n"/>
      <c r="J1835" s="19" t="n">
        <v>3</v>
      </c>
      <c r="K1835" s="2" t="inlineStr">
        <is>
          <t>marker_853_960103.png</t>
        </is>
      </c>
      <c r="L1835" s="11">
        <f>HYPERLINK("3\0\" &amp; K1835, "Ver Imagen")</f>
        <v/>
      </c>
      <c r="M1835" t="inlineStr">
        <is>
          <t>Moda</t>
        </is>
      </c>
    </row>
    <row r="1836">
      <c r="A1836" t="n">
        <v>1835</v>
      </c>
      <c r="B1836" t="inlineStr">
        <is>
          <t>A-5052__252</t>
        </is>
      </c>
      <c r="C1836" s="1" t="n">
        <v>37.2132202454</v>
      </c>
      <c r="D1836" s="1" t="n">
        <v>-7.06318263952</v>
      </c>
      <c r="E1836" s="3" t="n">
        <v>3</v>
      </c>
      <c r="F1836" s="2" t="n">
        <v>3</v>
      </c>
      <c r="G1836" s="4" t="n">
        <v>3</v>
      </c>
      <c r="H1836" s="13" t="n"/>
      <c r="I1836" s="15" t="n"/>
      <c r="J1836" s="19" t="n">
        <v>3</v>
      </c>
      <c r="K1836" s="2" t="inlineStr">
        <is>
          <t>marker_547_960114.png</t>
        </is>
      </c>
      <c r="L1836" s="11">
        <f>HYPERLINK("3\0\" &amp; K1836, "Ver Imagen")</f>
        <v/>
      </c>
      <c r="M1836" t="inlineStr">
        <is>
          <t>Moda</t>
        </is>
      </c>
    </row>
    <row r="1837">
      <c r="A1837" t="n">
        <v>1836</v>
      </c>
      <c r="B1837" t="inlineStr">
        <is>
          <t>A-5052__263</t>
        </is>
      </c>
      <c r="C1837" s="1" t="n">
        <v>37.2125607793</v>
      </c>
      <c r="D1837" s="1" t="n">
        <v>-7.06055311894</v>
      </c>
      <c r="E1837" s="3" t="n">
        <v>3</v>
      </c>
      <c r="F1837" s="2" t="n">
        <v>3</v>
      </c>
      <c r="G1837" s="4" t="n">
        <v>3</v>
      </c>
      <c r="H1837" s="13" t="n"/>
      <c r="I1837" s="15" t="n"/>
      <c r="J1837" s="19" t="n">
        <v>3</v>
      </c>
      <c r="K1837" s="2" t="inlineStr">
        <is>
          <t>marker_149_960234.png</t>
        </is>
      </c>
      <c r="L1837" s="11">
        <f>HYPERLINK("3\0\" &amp; K1837, "Ver Imagen")</f>
        <v/>
      </c>
      <c r="M1837" t="inlineStr">
        <is>
          <t>Moda</t>
        </is>
      </c>
    </row>
    <row r="1838">
      <c r="A1838" t="n">
        <v>1837</v>
      </c>
      <c r="B1838" t="inlineStr">
        <is>
          <t>A-5052__275</t>
        </is>
      </c>
      <c r="C1838" s="1" t="n">
        <v>37.2115393698</v>
      </c>
      <c r="D1838" s="1" t="n">
        <v>-7.05775366275</v>
      </c>
      <c r="E1838" s="3" t="n">
        <v>3</v>
      </c>
      <c r="F1838" s="2" t="n">
        <v>3</v>
      </c>
      <c r="G1838" s="4" t="n">
        <v>3</v>
      </c>
      <c r="H1838" s="13" t="n"/>
      <c r="I1838" s="15" t="n"/>
      <c r="J1838" s="19" t="n">
        <v>3</v>
      </c>
      <c r="K1838" s="2" t="inlineStr">
        <is>
          <t>marker_826_960378.png</t>
        </is>
      </c>
      <c r="L1838" s="11">
        <f>HYPERLINK("3\0\" &amp; K1838, "Ver Imagen")</f>
        <v/>
      </c>
      <c r="M1838" t="inlineStr">
        <is>
          <t>Moda</t>
        </is>
      </c>
    </row>
    <row r="1839">
      <c r="A1839" t="n">
        <v>1838</v>
      </c>
      <c r="B1839" t="inlineStr">
        <is>
          <t>A-5052__277</t>
        </is>
      </c>
      <c r="C1839" s="1" t="n">
        <v>37.2114095549</v>
      </c>
      <c r="D1839" s="1" t="n">
        <v>-7.05726701446</v>
      </c>
      <c r="E1839" s="3" t="n">
        <v>3</v>
      </c>
      <c r="F1839" s="2" t="n">
        <v>3</v>
      </c>
      <c r="G1839" s="4" t="n">
        <v>3</v>
      </c>
      <c r="H1839" s="13" t="n"/>
      <c r="I1839" s="15" t="n"/>
      <c r="J1839" s="19" t="n">
        <v>3</v>
      </c>
      <c r="K1839" s="2" t="inlineStr">
        <is>
          <t>marker_931_960477.png</t>
        </is>
      </c>
      <c r="L1839" s="11">
        <f>HYPERLINK("3\0\" &amp; K1839, "Ver Imagen")</f>
        <v/>
      </c>
      <c r="M1839" t="inlineStr">
        <is>
          <t>Moda</t>
        </is>
      </c>
    </row>
    <row r="1840">
      <c r="A1840" t="n">
        <v>1839</v>
      </c>
      <c r="B1840" t="inlineStr">
        <is>
          <t>A-5052__273</t>
        </is>
      </c>
      <c r="C1840" s="1" t="n">
        <v>37.2116858687</v>
      </c>
      <c r="D1840" s="1" t="n">
        <v>-7.05820011872</v>
      </c>
      <c r="E1840" s="3" t="n">
        <v>3</v>
      </c>
      <c r="F1840" s="2" t="n">
        <v>3</v>
      </c>
      <c r="G1840" s="4" t="n">
        <v>3</v>
      </c>
      <c r="H1840" s="13" t="n"/>
      <c r="I1840" s="15" t="n"/>
      <c r="J1840" s="19" t="n">
        <v>3</v>
      </c>
      <c r="K1840" s="2" t="inlineStr">
        <is>
          <t>marker_287_960359.png</t>
        </is>
      </c>
      <c r="L1840" s="11">
        <f>HYPERLINK("3\0\" &amp; K1840, "Ver Imagen")</f>
        <v/>
      </c>
      <c r="M1840" t="inlineStr">
        <is>
          <t>Moda</t>
        </is>
      </c>
    </row>
    <row r="1841">
      <c r="A1841" t="n">
        <v>1840</v>
      </c>
      <c r="B1841" t="inlineStr">
        <is>
          <t>A-5052__297</t>
        </is>
      </c>
      <c r="C1841" s="1" t="n">
        <v>37.2107925648</v>
      </c>
      <c r="D1841" s="1" t="n">
        <v>-7.05230991991</v>
      </c>
      <c r="E1841" s="3" t="n">
        <v>3</v>
      </c>
      <c r="F1841" s="2" t="n">
        <v>3</v>
      </c>
      <c r="G1841" s="4" t="n">
        <v>3</v>
      </c>
      <c r="H1841" s="13" t="n"/>
      <c r="I1841" s="15" t="n"/>
      <c r="J1841" s="19" t="n">
        <v>3</v>
      </c>
      <c r="K1841" s="2" t="inlineStr">
        <is>
          <t>marker_885_960865.png</t>
        </is>
      </c>
      <c r="L1841" s="11">
        <f>HYPERLINK("3\0\" &amp; K1841, "Ver Imagen")</f>
        <v/>
      </c>
      <c r="M1841" t="inlineStr">
        <is>
          <t>Moda</t>
        </is>
      </c>
    </row>
    <row r="1842">
      <c r="A1842" t="n">
        <v>1841</v>
      </c>
      <c r="B1842" t="inlineStr">
        <is>
          <t>A-5052__334</t>
        </is>
      </c>
      <c r="C1842" s="1" t="n">
        <v>37.2106256157</v>
      </c>
      <c r="D1842" s="1" t="n">
        <v>-7.04342323314</v>
      </c>
      <c r="E1842" s="3" t="n">
        <v>3</v>
      </c>
      <c r="F1842" s="2" t="n">
        <v>3</v>
      </c>
      <c r="G1842" s="4" t="n">
        <v>3</v>
      </c>
      <c r="H1842" s="13" t="n"/>
      <c r="I1842" s="15" t="n"/>
      <c r="J1842" s="19" t="n">
        <v>3</v>
      </c>
      <c r="K1842" s="2" t="inlineStr">
        <is>
          <t>marker_899_961550.png</t>
        </is>
      </c>
      <c r="L1842" s="11">
        <f>HYPERLINK("3\0\" &amp; K1842, "Ver Imagen")</f>
        <v/>
      </c>
      <c r="M1842" t="inlineStr">
        <is>
          <t>Moda</t>
        </is>
      </c>
    </row>
    <row r="1843">
      <c r="A1843" t="n">
        <v>1842</v>
      </c>
      <c r="B1843" t="inlineStr">
        <is>
          <t>A-5052__335</t>
        </is>
      </c>
      <c r="C1843" s="1" t="n">
        <v>37.2105189757</v>
      </c>
      <c r="D1843" s="1" t="n">
        <v>-7.04313663502</v>
      </c>
      <c r="E1843" s="3" t="n">
        <v>3</v>
      </c>
      <c r="F1843" s="2" t="n">
        <v>3</v>
      </c>
      <c r="G1843" s="4" t="n">
        <v>3</v>
      </c>
      <c r="H1843" s="13" t="n"/>
      <c r="I1843" s="15" t="n"/>
      <c r="J1843" s="19" t="n">
        <v>3</v>
      </c>
      <c r="K1843" s="2" t="inlineStr">
        <is>
          <t>marker_502_961560.png</t>
        </is>
      </c>
      <c r="L1843" s="11">
        <f>HYPERLINK("3\0\" &amp; K1843, "Ver Imagen")</f>
        <v/>
      </c>
      <c r="M1843" t="inlineStr">
        <is>
          <t>Moda</t>
        </is>
      </c>
    </row>
    <row r="1844">
      <c r="A1844" t="n">
        <v>1843</v>
      </c>
      <c r="B1844" t="inlineStr">
        <is>
          <t>A-5052__338</t>
        </is>
      </c>
      <c r="C1844" s="1" t="n">
        <v>37.2102849075</v>
      </c>
      <c r="D1844" s="1" t="n">
        <v>-7.04251141437</v>
      </c>
      <c r="E1844" s="3" t="n">
        <v>3</v>
      </c>
      <c r="F1844" s="2" t="n">
        <v>3</v>
      </c>
      <c r="G1844" s="4" t="n">
        <v>3</v>
      </c>
      <c r="H1844" s="13" t="n"/>
      <c r="I1844" s="15" t="n"/>
      <c r="J1844" s="19" t="n">
        <v>3</v>
      </c>
      <c r="K1844" s="2" t="inlineStr">
        <is>
          <t>marker_106_961589.png</t>
        </is>
      </c>
      <c r="L1844" s="11">
        <f>HYPERLINK("3\0\" &amp; K1844, "Ver Imagen")</f>
        <v/>
      </c>
      <c r="M1844" t="inlineStr">
        <is>
          <t>Moda</t>
        </is>
      </c>
    </row>
    <row r="1845">
      <c r="A1845" t="n">
        <v>1844</v>
      </c>
      <c r="B1845" t="inlineStr">
        <is>
          <t>A-5052__348</t>
        </is>
      </c>
      <c r="C1845" s="1" t="n">
        <v>37.2094206434</v>
      </c>
      <c r="D1845" s="1" t="n">
        <v>-7.04019532331</v>
      </c>
      <c r="E1845" s="3" t="n">
        <v>3</v>
      </c>
      <c r="F1845" s="2" t="n">
        <v>3</v>
      </c>
      <c r="G1845" s="4" t="n">
        <v>3</v>
      </c>
      <c r="H1845" s="13" t="n"/>
      <c r="I1845" s="15" t="n"/>
      <c r="J1845" s="19" t="n">
        <v>3</v>
      </c>
      <c r="K1845" s="2" t="inlineStr">
        <is>
          <t>marker_391_961723.png</t>
        </is>
      </c>
      <c r="L1845" s="11">
        <f>HYPERLINK("3\0\" &amp; K1845, "Ver Imagen")</f>
        <v/>
      </c>
      <c r="M1845" t="inlineStr">
        <is>
          <t>Moda</t>
        </is>
      </c>
    </row>
    <row r="1846">
      <c r="A1846" t="n">
        <v>1845</v>
      </c>
      <c r="B1846" t="inlineStr">
        <is>
          <t>A-5052__356</t>
        </is>
      </c>
      <c r="C1846" s="1" t="n">
        <v>37.2086992034</v>
      </c>
      <c r="D1846" s="1" t="n">
        <v>-7.03833994873</v>
      </c>
      <c r="E1846" s="3" t="n">
        <v>3</v>
      </c>
      <c r="F1846" s="2" t="n">
        <v>3</v>
      </c>
      <c r="G1846" s="4" t="n">
        <v>3</v>
      </c>
      <c r="H1846" s="13" t="n"/>
      <c r="I1846" s="15" t="n"/>
      <c r="J1846" s="19" t="n">
        <v>3</v>
      </c>
      <c r="K1846" s="2" t="inlineStr">
        <is>
          <t>marker_810_961820.png</t>
        </is>
      </c>
      <c r="L1846" s="11">
        <f>HYPERLINK("3\0\" &amp; K1846, "Ver Imagen")</f>
        <v/>
      </c>
      <c r="M1846" t="inlineStr">
        <is>
          <t>Moda</t>
        </is>
      </c>
    </row>
    <row r="1847">
      <c r="A1847" t="n">
        <v>1846</v>
      </c>
      <c r="B1847" t="inlineStr">
        <is>
          <t>A-5052__357</t>
        </is>
      </c>
      <c r="C1847" s="1" t="n">
        <v>37.2086035841</v>
      </c>
      <c r="D1847" s="1" t="n">
        <v>-7.038094551</v>
      </c>
      <c r="E1847" s="3" t="n">
        <v>3</v>
      </c>
      <c r="F1847" s="2" t="n">
        <v>3</v>
      </c>
      <c r="G1847" s="4" t="n">
        <v>3</v>
      </c>
      <c r="H1847" s="13" t="n"/>
      <c r="I1847" s="15" t="n"/>
      <c r="J1847" s="19" t="n">
        <v>3</v>
      </c>
      <c r="K1847" s="2" t="inlineStr">
        <is>
          <t>marker_246_961829.png</t>
        </is>
      </c>
      <c r="L1847" s="11">
        <f>HYPERLINK("3\0\" &amp; K1847, "Ver Imagen")</f>
        <v/>
      </c>
      <c r="M1847" t="inlineStr">
        <is>
          <t>Moda</t>
        </is>
      </c>
    </row>
    <row r="1848">
      <c r="A1848" t="n">
        <v>1847</v>
      </c>
      <c r="B1848" t="inlineStr">
        <is>
          <t>A-5052__358</t>
        </is>
      </c>
      <c r="C1848" s="1" t="n">
        <v>37.208520396</v>
      </c>
      <c r="D1848" s="1" t="n">
        <v>-7.03788098201</v>
      </c>
      <c r="E1848" s="3" t="n">
        <v>3</v>
      </c>
      <c r="F1848" s="2" t="n">
        <v>3</v>
      </c>
      <c r="G1848" s="4" t="n">
        <v>3</v>
      </c>
      <c r="H1848" s="13" t="n"/>
      <c r="I1848" s="15" t="n"/>
      <c r="J1848" s="19" t="n">
        <v>3</v>
      </c>
      <c r="K1848" s="2" t="inlineStr">
        <is>
          <t>marker_686_961840.png</t>
        </is>
      </c>
      <c r="L1848" s="11">
        <f>HYPERLINK("3\0\" &amp; K1848, "Ver Imagen")</f>
        <v/>
      </c>
      <c r="M1848" t="inlineStr">
        <is>
          <t>Moda</t>
        </is>
      </c>
    </row>
    <row r="1849">
      <c r="A1849" t="n">
        <v>1848</v>
      </c>
      <c r="B1849" t="inlineStr">
        <is>
          <t>A-5052__359</t>
        </is>
      </c>
      <c r="C1849" s="1" t="n">
        <v>37.2084551361</v>
      </c>
      <c r="D1849" s="1" t="n">
        <v>-7.03771099412</v>
      </c>
      <c r="E1849" s="3" t="n">
        <v>3</v>
      </c>
      <c r="F1849" s="2" t="n">
        <v>3</v>
      </c>
      <c r="G1849" s="4" t="n">
        <v>3</v>
      </c>
      <c r="H1849" s="13" t="n"/>
      <c r="I1849" s="15" t="n"/>
      <c r="J1849" s="19" t="n">
        <v>3</v>
      </c>
      <c r="K1849" s="2" t="inlineStr">
        <is>
          <t>marker_488_961849.png</t>
        </is>
      </c>
      <c r="L1849" s="11">
        <f>HYPERLINK("3\0\" &amp; K1849, "Ver Imagen")</f>
        <v/>
      </c>
      <c r="M1849" t="inlineStr">
        <is>
          <t>Moda</t>
        </is>
      </c>
    </row>
    <row r="1850">
      <c r="A1850" t="n">
        <v>1849</v>
      </c>
      <c r="B1850" t="inlineStr">
        <is>
          <t>A-5052__370</t>
        </is>
      </c>
      <c r="C1850" s="1" t="n">
        <v>37.2074776793</v>
      </c>
      <c r="D1850" s="1" t="n">
        <v>-7.0351751928</v>
      </c>
      <c r="E1850" s="3" t="n">
        <v>3</v>
      </c>
      <c r="F1850" s="2" t="n">
        <v>3</v>
      </c>
      <c r="G1850" s="4" t="n">
        <v>3</v>
      </c>
      <c r="H1850" s="13" t="n"/>
      <c r="I1850" s="15" t="n"/>
      <c r="J1850" s="19" t="n">
        <v>3</v>
      </c>
      <c r="K1850" s="2" t="inlineStr">
        <is>
          <t>marker_501_962294.png</t>
        </is>
      </c>
      <c r="L1850" s="11">
        <f>HYPERLINK("3\0\" &amp; K1850, "Ver Imagen")</f>
        <v/>
      </c>
      <c r="M1850" t="inlineStr">
        <is>
          <t>Moda</t>
        </is>
      </c>
    </row>
    <row r="1851">
      <c r="A1851" t="n">
        <v>1850</v>
      </c>
      <c r="B1851" t="inlineStr">
        <is>
          <t>A-5052__381</t>
        </is>
      </c>
      <c r="C1851" s="1" t="n">
        <v>37.20651533</v>
      </c>
      <c r="D1851" s="1" t="n">
        <v>-7.03267694203</v>
      </c>
      <c r="E1851" s="3" t="n">
        <v>3</v>
      </c>
      <c r="F1851" s="2" t="n">
        <v>3</v>
      </c>
      <c r="G1851" s="4" t="n">
        <v>3</v>
      </c>
      <c r="H1851" s="13" t="n"/>
      <c r="I1851" s="15" t="n"/>
      <c r="J1851" s="19" t="n">
        <v>3</v>
      </c>
      <c r="K1851" s="2" t="inlineStr">
        <is>
          <t>marker_125_962486.png</t>
        </is>
      </c>
      <c r="L1851" s="11">
        <f>HYPERLINK("3\0\" &amp; K1851, "Ver Imagen")</f>
        <v/>
      </c>
      <c r="M1851" t="inlineStr">
        <is>
          <t>Moda</t>
        </is>
      </c>
    </row>
    <row r="1852">
      <c r="A1852" t="n">
        <v>1851</v>
      </c>
      <c r="B1852" t="inlineStr">
        <is>
          <t>A-5052__384</t>
        </is>
      </c>
      <c r="C1852" s="1" t="n">
        <v>37.2062507333</v>
      </c>
      <c r="D1852" s="1" t="n">
        <v>-7.03199874194</v>
      </c>
      <c r="E1852" s="3" t="n">
        <v>3</v>
      </c>
      <c r="F1852" s="2" t="n">
        <v>3</v>
      </c>
      <c r="G1852" s="4" t="n">
        <v>3</v>
      </c>
      <c r="H1852" s="13" t="n"/>
      <c r="I1852" s="15" t="n"/>
      <c r="J1852" s="19" t="n">
        <v>3</v>
      </c>
      <c r="K1852" s="2" t="inlineStr">
        <is>
          <t>marker_857_962520.png</t>
        </is>
      </c>
      <c r="L1852" s="11">
        <f>HYPERLINK("3\0\" &amp; K1852, "Ver Imagen")</f>
        <v/>
      </c>
      <c r="M1852" t="inlineStr">
        <is>
          <t>Moda</t>
        </is>
      </c>
    </row>
    <row r="1853">
      <c r="A1853" t="n">
        <v>1852</v>
      </c>
      <c r="B1853" t="inlineStr">
        <is>
          <t>A-5052__391</t>
        </is>
      </c>
      <c r="C1853" s="1" t="n">
        <v>37.2056292586</v>
      </c>
      <c r="D1853" s="1" t="n">
        <v>-7.03038171232</v>
      </c>
      <c r="E1853" s="3" t="n">
        <v>3</v>
      </c>
      <c r="F1853" s="2" t="n">
        <v>3</v>
      </c>
      <c r="G1853" s="4" t="n">
        <v>3</v>
      </c>
      <c r="H1853" s="13" t="n"/>
      <c r="I1853" s="15" t="n"/>
      <c r="J1853" s="19" t="n">
        <v>3</v>
      </c>
      <c r="K1853" s="2" t="inlineStr">
        <is>
          <t>marker_384_962587.png</t>
        </is>
      </c>
      <c r="L1853" s="11">
        <f>HYPERLINK("3\0\" &amp; K1853, "Ver Imagen")</f>
        <v/>
      </c>
      <c r="M1853" t="inlineStr">
        <is>
          <t>Moda</t>
        </is>
      </c>
    </row>
    <row r="1854">
      <c r="A1854" t="n">
        <v>1853</v>
      </c>
      <c r="B1854" t="inlineStr">
        <is>
          <t>A-5052__395</t>
        </is>
      </c>
      <c r="C1854" s="1" t="n">
        <v>37.2052875342</v>
      </c>
      <c r="D1854" s="1" t="n">
        <v>-7.02947757783</v>
      </c>
      <c r="E1854" s="3" t="n">
        <v>3</v>
      </c>
      <c r="F1854" s="2" t="n">
        <v>3</v>
      </c>
      <c r="G1854" s="4" t="n">
        <v>3</v>
      </c>
      <c r="H1854" s="13" t="n"/>
      <c r="I1854" s="15" t="n"/>
      <c r="J1854" s="19" t="n">
        <v>3</v>
      </c>
      <c r="K1854" s="2" t="inlineStr">
        <is>
          <t>marker_261_962621.png</t>
        </is>
      </c>
      <c r="L1854" s="11">
        <f>HYPERLINK("3\0\" &amp; K1854, "Ver Imagen")</f>
        <v/>
      </c>
      <c r="M1854" t="inlineStr">
        <is>
          <t>Moda</t>
        </is>
      </c>
    </row>
    <row r="1855">
      <c r="A1855" t="n">
        <v>1854</v>
      </c>
      <c r="B1855" t="inlineStr">
        <is>
          <t>A-5052__398</t>
        </is>
      </c>
      <c r="C1855" s="1" t="n">
        <v>37.2050312514</v>
      </c>
      <c r="D1855" s="1" t="n">
        <v>-7.0288209906</v>
      </c>
      <c r="E1855" s="3" t="n">
        <v>3</v>
      </c>
      <c r="F1855" s="2" t="n">
        <v>3</v>
      </c>
      <c r="G1855" s="4" t="n">
        <v>3</v>
      </c>
      <c r="H1855" s="13" t="n"/>
      <c r="I1855" s="15" t="n"/>
      <c r="J1855" s="19" t="n">
        <v>3</v>
      </c>
      <c r="K1855" s="2" t="inlineStr">
        <is>
          <t>marker_841_962647.png</t>
        </is>
      </c>
      <c r="L1855" s="11">
        <f>HYPERLINK("3\0\" &amp; K1855, "Ver Imagen")</f>
        <v/>
      </c>
      <c r="M1855" t="inlineStr">
        <is>
          <t>Moda</t>
        </is>
      </c>
    </row>
    <row r="1856">
      <c r="A1856" t="n">
        <v>1855</v>
      </c>
      <c r="B1856" t="inlineStr">
        <is>
          <t>A-5052__399</t>
        </is>
      </c>
      <c r="C1856" s="1" t="n">
        <v>37.2049267444</v>
      </c>
      <c r="D1856" s="1" t="n">
        <v>-7.02858680606</v>
      </c>
      <c r="E1856" s="3" t="n">
        <v>3</v>
      </c>
      <c r="F1856" s="2" t="n">
        <v>3</v>
      </c>
      <c r="G1856" s="4" t="n">
        <v>3</v>
      </c>
      <c r="H1856" s="13" t="n"/>
      <c r="I1856" s="15" t="n"/>
      <c r="J1856" s="19" t="n">
        <v>3</v>
      </c>
      <c r="K1856" s="2" t="inlineStr">
        <is>
          <t>marker_424_962656.png</t>
        </is>
      </c>
      <c r="L1856" s="11">
        <f>HYPERLINK("3\0\" &amp; K1856, "Ver Imagen")</f>
        <v/>
      </c>
      <c r="M1856" t="inlineStr">
        <is>
          <t>Moda</t>
        </is>
      </c>
    </row>
    <row r="1857">
      <c r="A1857" t="n">
        <v>1856</v>
      </c>
      <c r="B1857" t="inlineStr">
        <is>
          <t>A-5052__405</t>
        </is>
      </c>
      <c r="C1857" s="1" t="n">
        <v>37.2043147155</v>
      </c>
      <c r="D1857" s="1" t="n">
        <v>-7.02726759823</v>
      </c>
      <c r="E1857" s="3" t="n">
        <v>3</v>
      </c>
      <c r="F1857" s="2" t="n">
        <v>3</v>
      </c>
      <c r="G1857" s="4" t="n">
        <v>3</v>
      </c>
      <c r="H1857" s="13" t="n"/>
      <c r="I1857" s="15" t="n"/>
      <c r="J1857" s="19" t="n">
        <v>3</v>
      </c>
      <c r="K1857" s="2" t="inlineStr">
        <is>
          <t>marker_309_962720.png</t>
        </is>
      </c>
      <c r="L1857" s="11">
        <f>HYPERLINK("3\0\" &amp; K1857, "Ver Imagen")</f>
        <v/>
      </c>
      <c r="M1857" t="inlineStr">
        <is>
          <t>Moda</t>
        </is>
      </c>
    </row>
    <row r="1858">
      <c r="A1858" t="n">
        <v>1857</v>
      </c>
      <c r="B1858" t="inlineStr">
        <is>
          <t>A-5052__406</t>
        </is>
      </c>
      <c r="C1858" s="1" t="n">
        <v>37.2042680646</v>
      </c>
      <c r="D1858" s="1" t="n">
        <v>-7.0270488589</v>
      </c>
      <c r="E1858" s="3" t="n">
        <v>3</v>
      </c>
      <c r="F1858" s="2" t="n">
        <v>3</v>
      </c>
      <c r="G1858" s="4" t="n">
        <v>3</v>
      </c>
      <c r="H1858" s="13" t="n"/>
      <c r="I1858" s="15" t="n"/>
      <c r="J1858" s="19" t="n">
        <v>3</v>
      </c>
      <c r="K1858" s="2" t="inlineStr">
        <is>
          <t>marker_501_962729.png</t>
        </is>
      </c>
      <c r="L1858" s="11">
        <f>HYPERLINK("3\0\" &amp; K1858, "Ver Imagen")</f>
        <v/>
      </c>
      <c r="M1858" t="inlineStr">
        <is>
          <t>Moda</t>
        </is>
      </c>
    </row>
    <row r="1859">
      <c r="A1859" t="n">
        <v>1858</v>
      </c>
      <c r="B1859" t="inlineStr">
        <is>
          <t>A-5053__329</t>
        </is>
      </c>
      <c r="C1859" s="1" t="n">
        <v>37.2796250257</v>
      </c>
      <c r="D1859" s="1" t="n">
        <v>-7.14519224261</v>
      </c>
      <c r="E1859" s="3" t="n">
        <v>3</v>
      </c>
      <c r="F1859" s="2" t="n">
        <v>3</v>
      </c>
      <c r="G1859" s="4" t="n">
        <v>3</v>
      </c>
      <c r="H1859" s="13" t="n"/>
      <c r="I1859" s="15" t="n"/>
      <c r="J1859" s="19" t="n">
        <v>3</v>
      </c>
      <c r="K1859" s="2" t="inlineStr">
        <is>
          <t>marker_855_964477.png</t>
        </is>
      </c>
      <c r="L1859" s="11">
        <f>HYPERLINK("3\0\" &amp; K1859, "Ver Imagen")</f>
        <v/>
      </c>
      <c r="M1859" t="inlineStr">
        <is>
          <t>Moda</t>
        </is>
      </c>
    </row>
    <row r="1860">
      <c r="A1860" t="n">
        <v>1859</v>
      </c>
      <c r="B1860" t="inlineStr">
        <is>
          <t>A-5053__327</t>
        </is>
      </c>
      <c r="C1860" s="1" t="n">
        <v>37.2793011028</v>
      </c>
      <c r="D1860" s="1" t="n">
        <v>-7.14485323732</v>
      </c>
      <c r="E1860" s="3" t="n">
        <v>3</v>
      </c>
      <c r="F1860" s="2" t="n">
        <v>3</v>
      </c>
      <c r="G1860" s="4" t="n">
        <v>3</v>
      </c>
      <c r="H1860" s="13" t="n"/>
      <c r="I1860" s="15" t="n"/>
      <c r="J1860" s="19" t="n">
        <v>3</v>
      </c>
      <c r="K1860" s="2" t="inlineStr">
        <is>
          <t>marker_754_964497.png</t>
        </is>
      </c>
      <c r="L1860" s="11">
        <f>HYPERLINK("3\0\" &amp; K1860, "Ver Imagen")</f>
        <v/>
      </c>
      <c r="M1860" t="inlineStr">
        <is>
          <t>Moda</t>
        </is>
      </c>
    </row>
    <row r="1861">
      <c r="A1861" t="n">
        <v>1860</v>
      </c>
      <c r="B1861" t="inlineStr">
        <is>
          <t>A-5053__326</t>
        </is>
      </c>
      <c r="C1861" s="1" t="n">
        <v>37.2791289835</v>
      </c>
      <c r="D1861" s="1" t="n">
        <v>-7.14471137952</v>
      </c>
      <c r="E1861" s="3" t="n">
        <v>3</v>
      </c>
      <c r="F1861" s="2" t="n">
        <v>3</v>
      </c>
      <c r="G1861" s="4" t="n">
        <v>3</v>
      </c>
      <c r="H1861" s="13" t="n"/>
      <c r="I1861" s="15" t="n"/>
      <c r="J1861" s="19" t="n">
        <v>3</v>
      </c>
      <c r="K1861" s="2" t="inlineStr">
        <is>
          <t>marker_798_964507.png</t>
        </is>
      </c>
      <c r="L1861" s="11">
        <f>HYPERLINK("3\0\" &amp; K1861, "Ver Imagen")</f>
        <v/>
      </c>
      <c r="M1861" t="inlineStr">
        <is>
          <t>Moda</t>
        </is>
      </c>
    </row>
    <row r="1862">
      <c r="A1862" t="n">
        <v>1861</v>
      </c>
      <c r="B1862" t="inlineStr">
        <is>
          <t>A-5053__316</t>
        </is>
      </c>
      <c r="C1862" s="1" t="n">
        <v>37.2773707726</v>
      </c>
      <c r="D1862" s="1" t="n">
        <v>-7.14343108519</v>
      </c>
      <c r="E1862" s="3" t="n">
        <v>3</v>
      </c>
      <c r="F1862" s="2" t="n">
        <v>3</v>
      </c>
      <c r="G1862" s="4" t="n">
        <v>3</v>
      </c>
      <c r="H1862" s="13" t="n"/>
      <c r="I1862" s="15" t="n"/>
      <c r="J1862" s="19" t="n">
        <v>3</v>
      </c>
      <c r="K1862" s="2" t="inlineStr">
        <is>
          <t>marker_471_964618.png</t>
        </is>
      </c>
      <c r="L1862" s="11">
        <f>HYPERLINK("3\0\" &amp; K1862, "Ver Imagen")</f>
        <v/>
      </c>
      <c r="M1862" t="inlineStr">
        <is>
          <t>Moda</t>
        </is>
      </c>
    </row>
    <row r="1863">
      <c r="A1863" t="n">
        <v>1862</v>
      </c>
      <c r="B1863" t="inlineStr">
        <is>
          <t>A-5053__302</t>
        </is>
      </c>
      <c r="C1863" s="1" t="n">
        <v>37.2746457092</v>
      </c>
      <c r="D1863" s="1" t="n">
        <v>-7.14250898497</v>
      </c>
      <c r="E1863" s="3" t="n">
        <v>3</v>
      </c>
      <c r="F1863" s="2" t="n">
        <v>3</v>
      </c>
      <c r="G1863" s="4" t="n">
        <v>3</v>
      </c>
      <c r="H1863" s="13" t="n"/>
      <c r="I1863" s="15" t="n"/>
      <c r="J1863" s="19" t="n">
        <v>3</v>
      </c>
      <c r="K1863" s="2" t="inlineStr">
        <is>
          <t>marker_480_964752.png</t>
        </is>
      </c>
      <c r="L1863" s="11">
        <f>HYPERLINK("3\0\" &amp; K1863, "Ver Imagen")</f>
        <v/>
      </c>
      <c r="M1863" t="inlineStr">
        <is>
          <t>Moda</t>
        </is>
      </c>
    </row>
    <row r="1864">
      <c r="A1864" t="n">
        <v>1863</v>
      </c>
      <c r="B1864" t="inlineStr">
        <is>
          <t>A-5053__299</t>
        </is>
      </c>
      <c r="C1864" s="1" t="n">
        <v>37.2740897613</v>
      </c>
      <c r="D1864" s="1" t="n">
        <v>-7.14226227602</v>
      </c>
      <c r="E1864" s="3" t="n">
        <v>3</v>
      </c>
      <c r="F1864" s="2" t="n">
        <v>3</v>
      </c>
      <c r="G1864" s="4" t="n">
        <v>3</v>
      </c>
      <c r="H1864" s="13" t="n"/>
      <c r="I1864" s="15" t="n"/>
      <c r="J1864" s="19" t="n">
        <v>3</v>
      </c>
      <c r="K1864" s="2" t="inlineStr">
        <is>
          <t>marker_317_964874.png</t>
        </is>
      </c>
      <c r="L1864" s="11">
        <f>HYPERLINK("3\0\" &amp; K1864, "Ver Imagen")</f>
        <v/>
      </c>
      <c r="M1864" t="inlineStr">
        <is>
          <t>Moda</t>
        </is>
      </c>
    </row>
    <row r="1865">
      <c r="A1865" t="n">
        <v>1864</v>
      </c>
      <c r="B1865" t="inlineStr">
        <is>
          <t>A-5053__294</t>
        </is>
      </c>
      <c r="C1865" s="1" t="n">
        <v>37.2731334662</v>
      </c>
      <c r="D1865" s="1" t="n">
        <v>-7.14184446515</v>
      </c>
      <c r="E1865" s="3" t="n">
        <v>3</v>
      </c>
      <c r="F1865" s="2" t="n">
        <v>3</v>
      </c>
      <c r="G1865" s="4" t="n">
        <v>3</v>
      </c>
      <c r="H1865" s="13" t="n"/>
      <c r="I1865" s="15" t="n"/>
      <c r="J1865" s="19" t="n">
        <v>3</v>
      </c>
      <c r="K1865" s="2" t="inlineStr">
        <is>
          <t>marker_592_964922.png</t>
        </is>
      </c>
      <c r="L1865" s="11">
        <f>HYPERLINK("3\0\" &amp; K1865, "Ver Imagen")</f>
        <v/>
      </c>
      <c r="M1865" t="inlineStr">
        <is>
          <t>Moda</t>
        </is>
      </c>
    </row>
    <row r="1866">
      <c r="A1866" t="n">
        <v>1865</v>
      </c>
      <c r="B1866" t="inlineStr">
        <is>
          <t>A-5053__280</t>
        </is>
      </c>
      <c r="C1866" s="1" t="n">
        <v>37.2706963309</v>
      </c>
      <c r="D1866" s="1" t="n">
        <v>-7.14007406619</v>
      </c>
      <c r="E1866" s="3" t="n">
        <v>3</v>
      </c>
      <c r="F1866" s="2" t="n">
        <v>3</v>
      </c>
      <c r="G1866" s="4" t="n">
        <v>3</v>
      </c>
      <c r="H1866" s="13" t="n"/>
      <c r="I1866" s="15" t="n"/>
      <c r="J1866" s="19" t="n">
        <v>3</v>
      </c>
      <c r="K1866" s="2" t="inlineStr">
        <is>
          <t>marker_694_965060.png</t>
        </is>
      </c>
      <c r="L1866" s="11">
        <f>HYPERLINK("3\0\" &amp; K1866, "Ver Imagen")</f>
        <v/>
      </c>
      <c r="M1866" t="inlineStr">
        <is>
          <t>Moda</t>
        </is>
      </c>
    </row>
    <row r="1867">
      <c r="A1867" t="n">
        <v>1866</v>
      </c>
      <c r="B1867" t="inlineStr">
        <is>
          <t>A-5053__278</t>
        </is>
      </c>
      <c r="C1867" s="1" t="n">
        <v>37.2703398422</v>
      </c>
      <c r="D1867" s="1" t="n">
        <v>-7.1398195134</v>
      </c>
      <c r="E1867" s="3" t="n">
        <v>3</v>
      </c>
      <c r="F1867" s="2" t="n">
        <v>3</v>
      </c>
      <c r="G1867" s="4" t="n">
        <v>3</v>
      </c>
      <c r="H1867" s="13" t="n"/>
      <c r="I1867" s="15" t="n"/>
      <c r="J1867" s="19" t="n">
        <v>3</v>
      </c>
      <c r="K1867" s="2" t="inlineStr">
        <is>
          <t>marker_730_965078.png</t>
        </is>
      </c>
      <c r="L1867" s="11">
        <f>HYPERLINK("3\0\" &amp; K1867, "Ver Imagen")</f>
        <v/>
      </c>
      <c r="M1867" t="inlineStr">
        <is>
          <t>Moda</t>
        </is>
      </c>
    </row>
    <row r="1868">
      <c r="A1868" t="n">
        <v>1867</v>
      </c>
      <c r="B1868" t="inlineStr">
        <is>
          <t>A-5053__270</t>
        </is>
      </c>
      <c r="C1868" s="1" t="n">
        <v>37.2690811489</v>
      </c>
      <c r="D1868" s="1" t="n">
        <v>-7.13857484452</v>
      </c>
      <c r="E1868" s="3" t="n">
        <v>3</v>
      </c>
      <c r="F1868" s="2" t="n">
        <v>3</v>
      </c>
      <c r="G1868" s="4" t="n">
        <v>3</v>
      </c>
      <c r="H1868" s="13" t="n"/>
      <c r="I1868" s="15" t="n"/>
      <c r="J1868" s="19" t="n">
        <v>3</v>
      </c>
      <c r="K1868" s="2" t="inlineStr">
        <is>
          <t>marker_567_965147.png</t>
        </is>
      </c>
      <c r="L1868" s="11">
        <f>HYPERLINK("3\0\" &amp; K1868, "Ver Imagen")</f>
        <v/>
      </c>
      <c r="M1868" t="inlineStr">
        <is>
          <t>Moda</t>
        </is>
      </c>
    </row>
    <row r="1869">
      <c r="A1869" t="n">
        <v>1868</v>
      </c>
      <c r="B1869" t="inlineStr">
        <is>
          <t>A-5053__268</t>
        </is>
      </c>
      <c r="C1869" s="1" t="n">
        <v>37.2688798033</v>
      </c>
      <c r="D1869" s="1" t="n">
        <v>-7.13816983078</v>
      </c>
      <c r="E1869" s="3" t="n">
        <v>3</v>
      </c>
      <c r="F1869" s="2" t="n">
        <v>3</v>
      </c>
      <c r="G1869" s="4" t="n">
        <v>3</v>
      </c>
      <c r="H1869" s="13" t="n"/>
      <c r="I1869" s="15" t="n"/>
      <c r="J1869" s="19" t="n">
        <v>3</v>
      </c>
      <c r="K1869" s="2" t="inlineStr">
        <is>
          <t>marker_173_965164.png</t>
        </is>
      </c>
      <c r="L1869" s="11">
        <f>HYPERLINK("3\0\" &amp; K1869, "Ver Imagen")</f>
        <v/>
      </c>
      <c r="M1869" t="inlineStr">
        <is>
          <t>Moda</t>
        </is>
      </c>
    </row>
    <row r="1870">
      <c r="A1870" t="n">
        <v>1869</v>
      </c>
      <c r="B1870" t="inlineStr">
        <is>
          <t>A-5053__250</t>
        </is>
      </c>
      <c r="C1870" s="1" t="n">
        <v>37.267462542</v>
      </c>
      <c r="D1870" s="1" t="n">
        <v>-7.13399939295</v>
      </c>
      <c r="E1870" s="3" t="n">
        <v>3</v>
      </c>
      <c r="F1870" s="2" t="n">
        <v>3</v>
      </c>
      <c r="G1870" s="4" t="n">
        <v>3</v>
      </c>
      <c r="H1870" s="13" t="n"/>
      <c r="I1870" s="15" t="n"/>
      <c r="J1870" s="19" t="n">
        <v>3</v>
      </c>
      <c r="K1870" s="2" t="inlineStr">
        <is>
          <t>marker_390_965350.png</t>
        </is>
      </c>
      <c r="L1870" s="11">
        <f>HYPERLINK("3\0\" &amp; K1870, "Ver Imagen")</f>
        <v/>
      </c>
      <c r="M1870" t="inlineStr">
        <is>
          <t>Moda</t>
        </is>
      </c>
    </row>
    <row r="1871">
      <c r="A1871" t="n">
        <v>1870</v>
      </c>
      <c r="B1871" t="inlineStr">
        <is>
          <t>A-5053__249</t>
        </is>
      </c>
      <c r="C1871" s="1" t="n">
        <v>37.267325683</v>
      </c>
      <c r="D1871" s="1" t="n">
        <v>-7.13383825868</v>
      </c>
      <c r="E1871" s="3" t="n">
        <v>3</v>
      </c>
      <c r="F1871" s="2" t="n">
        <v>3</v>
      </c>
      <c r="G1871" s="4" t="n">
        <v>3</v>
      </c>
      <c r="H1871" s="13" t="n"/>
      <c r="I1871" s="15" t="n"/>
      <c r="J1871" s="19" t="n">
        <v>3</v>
      </c>
      <c r="K1871" s="2" t="inlineStr">
        <is>
          <t>marker_624_965421.png</t>
        </is>
      </c>
      <c r="L1871" s="11">
        <f>HYPERLINK("3\0\" &amp; K1871, "Ver Imagen")</f>
        <v/>
      </c>
      <c r="M1871" t="inlineStr">
        <is>
          <t>Moda</t>
        </is>
      </c>
    </row>
    <row r="1872">
      <c r="A1872" t="n">
        <v>1871</v>
      </c>
      <c r="B1872" t="inlineStr">
        <is>
          <t>A-5053__246</t>
        </is>
      </c>
      <c r="C1872" s="1" t="n">
        <v>37.2668036401</v>
      </c>
      <c r="D1872" s="1" t="n">
        <v>-7.13337675775</v>
      </c>
      <c r="E1872" s="3" t="n">
        <v>3</v>
      </c>
      <c r="F1872" s="2" t="n">
        <v>3</v>
      </c>
      <c r="G1872" s="4" t="n">
        <v>3</v>
      </c>
      <c r="H1872" s="13" t="n"/>
      <c r="I1872" s="15" t="n"/>
      <c r="J1872" s="19" t="n">
        <v>3</v>
      </c>
      <c r="K1872" s="2" t="inlineStr">
        <is>
          <t>marker_199_965447.png</t>
        </is>
      </c>
      <c r="L1872" s="11">
        <f>HYPERLINK("3\0\" &amp; K1872, "Ver Imagen")</f>
        <v/>
      </c>
      <c r="M1872" t="inlineStr">
        <is>
          <t>Moda</t>
        </is>
      </c>
    </row>
    <row r="1873">
      <c r="A1873" t="n">
        <v>1872</v>
      </c>
      <c r="B1873" t="inlineStr">
        <is>
          <t>A-5053__242</t>
        </is>
      </c>
      <c r="C1873" s="1" t="n">
        <v>37.266120987</v>
      </c>
      <c r="D1873" s="1" t="n">
        <v>-7.13292875272</v>
      </c>
      <c r="E1873" s="3" t="n">
        <v>3</v>
      </c>
      <c r="F1873" s="2" t="n">
        <v>3</v>
      </c>
      <c r="G1873" s="4" t="n">
        <v>3</v>
      </c>
      <c r="H1873" s="13" t="n"/>
      <c r="I1873" s="15" t="n"/>
      <c r="J1873" s="19" t="n">
        <v>3</v>
      </c>
      <c r="K1873" s="2" t="inlineStr">
        <is>
          <t>marker_234_965481.png</t>
        </is>
      </c>
      <c r="L1873" s="11">
        <f>HYPERLINK("3\0\" &amp; K1873, "Ver Imagen")</f>
        <v/>
      </c>
      <c r="M1873" t="inlineStr">
        <is>
          <t>Moda</t>
        </is>
      </c>
    </row>
    <row r="1874">
      <c r="A1874" t="n">
        <v>1873</v>
      </c>
      <c r="B1874" t="inlineStr">
        <is>
          <t>A-5053__237</t>
        </is>
      </c>
      <c r="C1874" s="1" t="n">
        <v>37.2651862466</v>
      </c>
      <c r="D1874" s="1" t="n">
        <v>-7.13233774493</v>
      </c>
      <c r="E1874" s="3" t="n">
        <v>3</v>
      </c>
      <c r="F1874" s="2" t="n">
        <v>3</v>
      </c>
      <c r="G1874" s="4" t="n">
        <v>3</v>
      </c>
      <c r="H1874" s="13" t="n"/>
      <c r="I1874" s="15" t="n"/>
      <c r="J1874" s="19" t="n">
        <v>3</v>
      </c>
      <c r="K1874" s="2" t="inlineStr">
        <is>
          <t>marker_227_965527.png</t>
        </is>
      </c>
      <c r="L1874" s="11">
        <f>HYPERLINK("3\0\" &amp; K1874, "Ver Imagen")</f>
        <v/>
      </c>
      <c r="M1874" t="inlineStr">
        <is>
          <t>Moda</t>
        </is>
      </c>
    </row>
    <row r="1875">
      <c r="A1875" t="n">
        <v>1874</v>
      </c>
      <c r="B1875" t="inlineStr">
        <is>
          <t>A-5053__236</t>
        </is>
      </c>
      <c r="C1875" s="1" t="n">
        <v>37.2650011744</v>
      </c>
      <c r="D1875" s="1" t="n">
        <v>-7.13222045496</v>
      </c>
      <c r="E1875" s="3" t="n">
        <v>3</v>
      </c>
      <c r="F1875" s="2" t="n">
        <v>3</v>
      </c>
      <c r="G1875" s="4" t="n">
        <v>3</v>
      </c>
      <c r="H1875" s="13" t="n"/>
      <c r="I1875" s="15" t="n"/>
      <c r="J1875" s="19" t="n">
        <v>3</v>
      </c>
      <c r="K1875" s="2" t="inlineStr">
        <is>
          <t>marker_122_965537.png</t>
        </is>
      </c>
      <c r="L1875" s="11">
        <f>HYPERLINK("3\0\" &amp; K1875, "Ver Imagen")</f>
        <v/>
      </c>
      <c r="M1875" t="inlineStr">
        <is>
          <t>Moda</t>
        </is>
      </c>
    </row>
    <row r="1876">
      <c r="A1876" t="n">
        <v>1875</v>
      </c>
      <c r="B1876" t="inlineStr">
        <is>
          <t>A-5053__216</t>
        </is>
      </c>
      <c r="C1876" s="1" t="n">
        <v>37.2614343096</v>
      </c>
      <c r="D1876" s="1" t="n">
        <v>-7.12993614427</v>
      </c>
      <c r="E1876" s="3" t="n">
        <v>3</v>
      </c>
      <c r="F1876" s="2" t="n">
        <v>3</v>
      </c>
      <c r="G1876" s="4" t="n">
        <v>3</v>
      </c>
      <c r="H1876" s="13" t="n"/>
      <c r="I1876" s="15" t="n"/>
      <c r="J1876" s="19" t="n">
        <v>3</v>
      </c>
      <c r="K1876" s="2" t="inlineStr">
        <is>
          <t>marker_627_965728.png</t>
        </is>
      </c>
      <c r="L1876" s="11">
        <f>HYPERLINK("3\0\" &amp; K1876, "Ver Imagen")</f>
        <v/>
      </c>
      <c r="M1876" t="inlineStr">
        <is>
          <t>Moda</t>
        </is>
      </c>
    </row>
    <row r="1877">
      <c r="A1877" t="n">
        <v>1876</v>
      </c>
      <c r="B1877" t="inlineStr">
        <is>
          <t>A-5053__210</t>
        </is>
      </c>
      <c r="C1877" s="1" t="n">
        <v>37.2603458608</v>
      </c>
      <c r="D1877" s="1" t="n">
        <v>-7.12924730318</v>
      </c>
      <c r="E1877" s="3" t="n">
        <v>3</v>
      </c>
      <c r="F1877" s="2" t="n">
        <v>3</v>
      </c>
      <c r="G1877" s="4" t="n">
        <v>3</v>
      </c>
      <c r="H1877" s="13" t="n"/>
      <c r="I1877" s="15" t="n"/>
      <c r="J1877" s="19" t="n">
        <v>3</v>
      </c>
      <c r="K1877" s="2" t="inlineStr">
        <is>
          <t>marker_101_965789.png</t>
        </is>
      </c>
      <c r="L1877" s="11">
        <f>HYPERLINK("3\0\" &amp; K1877, "Ver Imagen")</f>
        <v/>
      </c>
      <c r="M1877" t="inlineStr">
        <is>
          <t>Moda</t>
        </is>
      </c>
    </row>
    <row r="1878">
      <c r="A1878" t="n">
        <v>1877</v>
      </c>
      <c r="B1878" t="inlineStr">
        <is>
          <t>A-5053__205</t>
        </is>
      </c>
      <c r="C1878" s="1" t="n">
        <v>37.2594418341</v>
      </c>
      <c r="D1878" s="1" t="n">
        <v>-7.12873693202</v>
      </c>
      <c r="E1878" s="3" t="n">
        <v>3</v>
      </c>
      <c r="F1878" s="2" t="n">
        <v>3</v>
      </c>
      <c r="G1878" s="4" t="n">
        <v>3</v>
      </c>
      <c r="H1878" s="13" t="n"/>
      <c r="I1878" s="15" t="n"/>
      <c r="J1878" s="19" t="n">
        <v>3</v>
      </c>
      <c r="K1878" s="2" t="inlineStr">
        <is>
          <t>marker_843_965843.png</t>
        </is>
      </c>
      <c r="L1878" s="11">
        <f>HYPERLINK("3\0\" &amp; K1878, "Ver Imagen")</f>
        <v/>
      </c>
      <c r="M1878" t="inlineStr">
        <is>
          <t>Moda</t>
        </is>
      </c>
    </row>
    <row r="1879">
      <c r="A1879" t="n">
        <v>1878</v>
      </c>
      <c r="B1879" t="inlineStr">
        <is>
          <t>A-5053__199</t>
        </is>
      </c>
      <c r="C1879" s="1" t="n">
        <v>37.2583306035</v>
      </c>
      <c r="D1879" s="1" t="n">
        <v>-7.12802967802</v>
      </c>
      <c r="E1879" s="3" t="n">
        <v>3</v>
      </c>
      <c r="F1879" s="2" t="n">
        <v>3</v>
      </c>
      <c r="G1879" s="4" t="n">
        <v>3</v>
      </c>
      <c r="H1879" s="13" t="n"/>
      <c r="I1879" s="15" t="n"/>
      <c r="J1879" s="19" t="n">
        <v>3</v>
      </c>
      <c r="K1879" s="2" t="inlineStr">
        <is>
          <t>marker_732_965894.png</t>
        </is>
      </c>
      <c r="L1879" s="11">
        <f>HYPERLINK("3\0\" &amp; K1879, "Ver Imagen")</f>
        <v/>
      </c>
      <c r="M1879" t="inlineStr">
        <is>
          <t>Moda</t>
        </is>
      </c>
    </row>
    <row r="1880">
      <c r="A1880" t="n">
        <v>1879</v>
      </c>
      <c r="B1880" t="inlineStr">
        <is>
          <t>A-5053__154</t>
        </is>
      </c>
      <c r="C1880" s="1" t="n">
        <v>37.2495060012</v>
      </c>
      <c r="D1880" s="1" t="n">
        <v>-7.12735557859</v>
      </c>
      <c r="E1880" s="3" t="n">
        <v>3</v>
      </c>
      <c r="F1880" s="2" t="n">
        <v>3</v>
      </c>
      <c r="G1880" s="4" t="n">
        <v>3</v>
      </c>
      <c r="H1880" s="13" t="n"/>
      <c r="I1880" s="15" t="n"/>
      <c r="J1880" s="19" t="n">
        <v>3</v>
      </c>
      <c r="K1880" s="2" t="inlineStr">
        <is>
          <t>marker_446_966350.png</t>
        </is>
      </c>
      <c r="L1880" s="11">
        <f>HYPERLINK("3\0\" &amp; K1880, "Ver Imagen")</f>
        <v/>
      </c>
      <c r="M1880" t="inlineStr">
        <is>
          <t>Moda</t>
        </is>
      </c>
    </row>
    <row r="1881">
      <c r="A1881" t="n">
        <v>1880</v>
      </c>
      <c r="B1881" t="inlineStr">
        <is>
          <t>A-5053__148</t>
        </is>
      </c>
      <c r="C1881" s="1" t="n">
        <v>37.2483161337</v>
      </c>
      <c r="D1881" s="1" t="n">
        <v>-7.12753231216</v>
      </c>
      <c r="E1881" s="3" t="n">
        <v>3</v>
      </c>
      <c r="F1881" s="2" t="n">
        <v>3</v>
      </c>
      <c r="G1881" s="4" t="n">
        <v>3</v>
      </c>
      <c r="H1881" s="13" t="n"/>
      <c r="I1881" s="15" t="n"/>
      <c r="J1881" s="19" t="n">
        <v>3</v>
      </c>
      <c r="K1881" s="2" t="inlineStr">
        <is>
          <t>marker_851_966407.png</t>
        </is>
      </c>
      <c r="L1881" s="11">
        <f>HYPERLINK("3\0\" &amp; K1881, "Ver Imagen")</f>
        <v/>
      </c>
      <c r="M1881" t="inlineStr">
        <is>
          <t>Moda</t>
        </is>
      </c>
    </row>
    <row r="1882">
      <c r="A1882" t="n">
        <v>1881</v>
      </c>
      <c r="B1882" t="inlineStr">
        <is>
          <t>A-5053__147</t>
        </is>
      </c>
      <c r="C1882" s="1" t="n">
        <v>37.248077978</v>
      </c>
      <c r="D1882" s="1" t="n">
        <v>-7.12756700587</v>
      </c>
      <c r="E1882" s="3" t="n">
        <v>3</v>
      </c>
      <c r="F1882" s="2" t="n">
        <v>3</v>
      </c>
      <c r="G1882" s="4" t="n">
        <v>3</v>
      </c>
      <c r="H1882" s="13" t="n"/>
      <c r="I1882" s="15" t="n"/>
      <c r="J1882" s="19" t="n">
        <v>3</v>
      </c>
      <c r="K1882" s="2" t="inlineStr">
        <is>
          <t>marker_195_966422.png</t>
        </is>
      </c>
      <c r="L1882" s="11">
        <f>HYPERLINK("3\0\" &amp; K1882, "Ver Imagen")</f>
        <v/>
      </c>
      <c r="M1882" t="inlineStr">
        <is>
          <t>Moda</t>
        </is>
      </c>
    </row>
    <row r="1883">
      <c r="A1883" t="n">
        <v>1882</v>
      </c>
      <c r="B1883" t="inlineStr">
        <is>
          <t>A-5053__146</t>
        </is>
      </c>
      <c r="C1883" s="1" t="n">
        <v>37.2479030947</v>
      </c>
      <c r="D1883" s="1" t="n">
        <v>-7.12759316918</v>
      </c>
      <c r="E1883" s="3" t="n">
        <v>3</v>
      </c>
      <c r="F1883" s="2" t="n">
        <v>3</v>
      </c>
      <c r="G1883" s="4" t="n">
        <v>3</v>
      </c>
      <c r="H1883" s="13" t="n"/>
      <c r="I1883" s="15" t="n"/>
      <c r="J1883" s="19" t="n">
        <v>3</v>
      </c>
      <c r="K1883" s="2" t="inlineStr">
        <is>
          <t>marker_724_966430.png</t>
        </is>
      </c>
      <c r="L1883" s="11">
        <f>HYPERLINK("3\0\" &amp; K1883, "Ver Imagen")</f>
        <v/>
      </c>
      <c r="M1883" t="inlineStr">
        <is>
          <t>Moda</t>
        </is>
      </c>
    </row>
    <row r="1884">
      <c r="A1884" t="n">
        <v>1883</v>
      </c>
      <c r="B1884" t="inlineStr">
        <is>
          <t>A-5053__145</t>
        </is>
      </c>
      <c r="C1884" s="1" t="n">
        <v>37.2476975451</v>
      </c>
      <c r="D1884" s="1" t="n">
        <v>-7.12762437575</v>
      </c>
      <c r="E1884" s="3" t="n">
        <v>3</v>
      </c>
      <c r="F1884" s="2" t="n">
        <v>3</v>
      </c>
      <c r="G1884" s="4" t="n">
        <v>3</v>
      </c>
      <c r="H1884" s="13" t="n"/>
      <c r="I1884" s="15" t="n"/>
      <c r="J1884" s="19" t="n">
        <v>3</v>
      </c>
      <c r="K1884" s="2" t="inlineStr">
        <is>
          <t>marker_420_966439.png</t>
        </is>
      </c>
      <c r="L1884" s="11">
        <f>HYPERLINK("3\0\" &amp; K1884, "Ver Imagen")</f>
        <v/>
      </c>
      <c r="M1884" t="inlineStr">
        <is>
          <t>Moda</t>
        </is>
      </c>
    </row>
    <row r="1885">
      <c r="A1885" t="n">
        <v>1884</v>
      </c>
      <c r="B1885" t="inlineStr">
        <is>
          <t>A-5053__144</t>
        </is>
      </c>
      <c r="C1885" s="1" t="n">
        <v>37.2474845549</v>
      </c>
      <c r="D1885" s="1" t="n">
        <v>-7.12765618908</v>
      </c>
      <c r="E1885" s="3" t="n">
        <v>3</v>
      </c>
      <c r="F1885" s="2" t="n">
        <v>3</v>
      </c>
      <c r="G1885" s="4" t="n">
        <v>3</v>
      </c>
      <c r="H1885" s="13" t="n"/>
      <c r="I1885" s="15" t="n"/>
      <c r="J1885" s="19" t="n">
        <v>3</v>
      </c>
      <c r="K1885" s="2" t="inlineStr">
        <is>
          <t>marker_990_966448.png</t>
        </is>
      </c>
      <c r="L1885" s="11">
        <f>HYPERLINK("3\0\" &amp; K1885, "Ver Imagen")</f>
        <v/>
      </c>
      <c r="M1885" t="inlineStr">
        <is>
          <t>Moda</t>
        </is>
      </c>
    </row>
    <row r="1886">
      <c r="A1886" t="n">
        <v>1885</v>
      </c>
      <c r="B1886" t="inlineStr">
        <is>
          <t>A-5053__142</t>
        </is>
      </c>
      <c r="C1886" s="1" t="n">
        <v>37.2471121135</v>
      </c>
      <c r="D1886" s="1" t="n">
        <v>-7.12770968024</v>
      </c>
      <c r="E1886" s="3" t="n">
        <v>3</v>
      </c>
      <c r="F1886" s="2" t="n">
        <v>3</v>
      </c>
      <c r="G1886" s="4" t="n">
        <v>3</v>
      </c>
      <c r="H1886" s="13" t="n"/>
      <c r="I1886" s="15" t="n"/>
      <c r="J1886" s="19" t="n">
        <v>3</v>
      </c>
      <c r="K1886" s="2" t="inlineStr">
        <is>
          <t>marker_266_966464.png</t>
        </is>
      </c>
      <c r="L1886" s="11">
        <f>HYPERLINK("3\0\" &amp; K1886, "Ver Imagen")</f>
        <v/>
      </c>
      <c r="M1886" t="inlineStr">
        <is>
          <t>Moda</t>
        </is>
      </c>
    </row>
    <row r="1887">
      <c r="A1887" t="n">
        <v>1886</v>
      </c>
      <c r="B1887" t="inlineStr">
        <is>
          <t>A-5053__141</t>
        </is>
      </c>
      <c r="C1887" s="1" t="n">
        <v>37.2469085743</v>
      </c>
      <c r="D1887" s="1" t="n">
        <v>-7.12773928752</v>
      </c>
      <c r="E1887" s="3" t="n">
        <v>3</v>
      </c>
      <c r="F1887" s="2" t="n">
        <v>3</v>
      </c>
      <c r="G1887" s="4" t="n">
        <v>3</v>
      </c>
      <c r="H1887" s="13" t="n"/>
      <c r="I1887" s="15" t="n"/>
      <c r="J1887" s="19" t="n">
        <v>3</v>
      </c>
      <c r="K1887" s="2" t="inlineStr">
        <is>
          <t>marker_401_966476.png</t>
        </is>
      </c>
      <c r="L1887" s="11">
        <f>HYPERLINK("3\0\" &amp; K1887, "Ver Imagen")</f>
        <v/>
      </c>
      <c r="M1887" t="inlineStr">
        <is>
          <t>Moda</t>
        </is>
      </c>
    </row>
    <row r="1888">
      <c r="A1888" t="n">
        <v>1887</v>
      </c>
      <c r="B1888" t="inlineStr">
        <is>
          <t>A-5053__40</t>
        </is>
      </c>
      <c r="C1888" s="1" t="n">
        <v>37.2266883565</v>
      </c>
      <c r="D1888" s="1" t="n">
        <v>-7.1262869725</v>
      </c>
      <c r="E1888" s="3" t="n">
        <v>3</v>
      </c>
      <c r="F1888" s="2" t="n">
        <v>3</v>
      </c>
      <c r="G1888" s="4" t="n">
        <v>3</v>
      </c>
      <c r="H1888" s="13" t="n"/>
      <c r="I1888" s="15" t="n"/>
      <c r="J1888" s="19" t="n">
        <v>3</v>
      </c>
      <c r="K1888" s="2" t="inlineStr">
        <is>
          <t>marker_107_021715.png</t>
        </is>
      </c>
      <c r="L1888" s="11">
        <f>HYPERLINK("3\0\" &amp; K1888, "Ver Imagen")</f>
        <v/>
      </c>
      <c r="M1888" t="inlineStr">
        <is>
          <t>Moda</t>
        </is>
      </c>
    </row>
    <row r="1889">
      <c r="A1889" t="n">
        <v>1888</v>
      </c>
      <c r="B1889" t="inlineStr">
        <is>
          <t>A-5053__39</t>
        </is>
      </c>
      <c r="C1889" s="1" t="n">
        <v>37.226490379</v>
      </c>
      <c r="D1889" s="1" t="n">
        <v>-7.12622690539</v>
      </c>
      <c r="E1889" s="3" t="n">
        <v>3</v>
      </c>
      <c r="F1889" s="2" t="n">
        <v>3</v>
      </c>
      <c r="G1889" s="4" t="n">
        <v>3</v>
      </c>
      <c r="H1889" s="13" t="n"/>
      <c r="I1889" s="15" t="n"/>
      <c r="J1889" s="19" t="n">
        <v>3</v>
      </c>
      <c r="K1889" s="2" t="inlineStr">
        <is>
          <t>marker_825_021725.png</t>
        </is>
      </c>
      <c r="L1889" s="11">
        <f>HYPERLINK("3\0\" &amp; K1889, "Ver Imagen")</f>
        <v/>
      </c>
      <c r="M1889" t="inlineStr">
        <is>
          <t>Moda</t>
        </is>
      </c>
    </row>
    <row r="1890">
      <c r="A1890" t="n">
        <v>1889</v>
      </c>
      <c r="B1890" t="inlineStr">
        <is>
          <t>A-5053__34</t>
        </is>
      </c>
      <c r="C1890" s="1" t="n">
        <v>37.2255079171</v>
      </c>
      <c r="D1890" s="1" t="n">
        <v>-7.12593470499</v>
      </c>
      <c r="E1890" s="3" t="n">
        <v>3</v>
      </c>
      <c r="F1890" s="2" t="n">
        <v>3</v>
      </c>
      <c r="G1890" s="4" t="n">
        <v>3</v>
      </c>
      <c r="H1890" s="13" t="n"/>
      <c r="I1890" s="15" t="n"/>
      <c r="J1890" s="19" t="n">
        <v>3</v>
      </c>
      <c r="K1890" s="2" t="inlineStr">
        <is>
          <t>marker_307_021771.png</t>
        </is>
      </c>
      <c r="L1890" s="11">
        <f>HYPERLINK("3\0\" &amp; K1890, "Ver Imagen")</f>
        <v/>
      </c>
      <c r="M1890" t="inlineStr">
        <is>
          <t>Moda</t>
        </is>
      </c>
    </row>
    <row r="1891">
      <c r="A1891" t="n">
        <v>1890</v>
      </c>
      <c r="B1891" t="inlineStr">
        <is>
          <t>A-5053__33</t>
        </is>
      </c>
      <c r="C1891" s="1" t="n">
        <v>37.2253040344</v>
      </c>
      <c r="D1891" s="1" t="n">
        <v>-7.12587181638</v>
      </c>
      <c r="E1891" s="3" t="n">
        <v>3</v>
      </c>
      <c r="F1891" s="2" t="n">
        <v>3</v>
      </c>
      <c r="G1891" s="4" t="n">
        <v>3</v>
      </c>
      <c r="H1891" s="13" t="n"/>
      <c r="I1891" s="15" t="n"/>
      <c r="J1891" s="19" t="n">
        <v>3</v>
      </c>
      <c r="K1891" s="2" t="inlineStr">
        <is>
          <t>marker_805_021780.png</t>
        </is>
      </c>
      <c r="L1891" s="11">
        <f>HYPERLINK("3\0\" &amp; K1891, "Ver Imagen")</f>
        <v/>
      </c>
      <c r="M1891" t="inlineStr">
        <is>
          <t>Moda</t>
        </is>
      </c>
    </row>
    <row r="1892">
      <c r="A1892" t="n">
        <v>1891</v>
      </c>
      <c r="B1892" t="inlineStr">
        <is>
          <t>A-5053__32</t>
        </is>
      </c>
      <c r="C1892" s="1" t="n">
        <v>37.2251022459</v>
      </c>
      <c r="D1892" s="1" t="n">
        <v>-7.12580505045</v>
      </c>
      <c r="E1892" s="3" t="n">
        <v>3</v>
      </c>
      <c r="F1892" s="2" t="n">
        <v>3</v>
      </c>
      <c r="G1892" s="4" t="n">
        <v>3</v>
      </c>
      <c r="H1892" s="13" t="n"/>
      <c r="I1892" s="15" t="n"/>
      <c r="J1892" s="19" t="n">
        <v>3</v>
      </c>
      <c r="K1892" s="2" t="inlineStr">
        <is>
          <t>marker_458_021789.png</t>
        </is>
      </c>
      <c r="L1892" s="11">
        <f>HYPERLINK("3\0\" &amp; K1892, "Ver Imagen")</f>
        <v/>
      </c>
      <c r="M1892" t="inlineStr">
        <is>
          <t>Moda</t>
        </is>
      </c>
    </row>
    <row r="1893">
      <c r="A1893" t="n">
        <v>1892</v>
      </c>
      <c r="B1893" t="inlineStr">
        <is>
          <t>A-5053__31</t>
        </is>
      </c>
      <c r="C1893" s="1" t="n">
        <v>37.2249236907</v>
      </c>
      <c r="D1893" s="1" t="n">
        <v>-7.12573594787</v>
      </c>
      <c r="E1893" s="3" t="n">
        <v>3</v>
      </c>
      <c r="F1893" s="2" t="n">
        <v>3</v>
      </c>
      <c r="G1893" s="4" t="n">
        <v>3</v>
      </c>
      <c r="H1893" s="13" t="n"/>
      <c r="I1893" s="15" t="n"/>
      <c r="J1893" s="19" t="n">
        <v>3</v>
      </c>
      <c r="K1893" s="2" t="inlineStr">
        <is>
          <t>marker_745_021799.png</t>
        </is>
      </c>
      <c r="L1893" s="11">
        <f>HYPERLINK("3\0\" &amp; K1893, "Ver Imagen")</f>
        <v/>
      </c>
      <c r="M1893" t="inlineStr">
        <is>
          <t>Moda</t>
        </is>
      </c>
    </row>
    <row r="1894">
      <c r="A1894" t="n">
        <v>1893</v>
      </c>
      <c r="B1894" t="inlineStr">
        <is>
          <t>A-5053__30</t>
        </is>
      </c>
      <c r="C1894" s="1" t="n">
        <v>37.2247440959</v>
      </c>
      <c r="D1894" s="1" t="n">
        <v>-7.12565524722</v>
      </c>
      <c r="E1894" s="3" t="n">
        <v>3</v>
      </c>
      <c r="F1894" s="2" t="n">
        <v>3</v>
      </c>
      <c r="G1894" s="4" t="n">
        <v>3</v>
      </c>
      <c r="H1894" s="13" t="n"/>
      <c r="I1894" s="15" t="n"/>
      <c r="J1894" s="19" t="n">
        <v>3</v>
      </c>
      <c r="K1894" s="2" t="inlineStr">
        <is>
          <t>marker_548_021809.png</t>
        </is>
      </c>
      <c r="L1894" s="11">
        <f>HYPERLINK("3\0\" &amp; K1894, "Ver Imagen")</f>
        <v/>
      </c>
      <c r="M1894" t="inlineStr">
        <is>
          <t>Moda</t>
        </is>
      </c>
    </row>
    <row r="1895">
      <c r="A1895" t="n">
        <v>1894</v>
      </c>
      <c r="B1895" t="inlineStr">
        <is>
          <t>A-5053__27</t>
        </is>
      </c>
      <c r="C1895" s="1" t="n">
        <v>37.224167032</v>
      </c>
      <c r="D1895" s="1" t="n">
        <v>-7.12535929022</v>
      </c>
      <c r="E1895" s="3" t="n">
        <v>3</v>
      </c>
      <c r="F1895" s="2" t="n">
        <v>3</v>
      </c>
      <c r="G1895" s="4" t="n">
        <v>3</v>
      </c>
      <c r="H1895" s="13" t="n"/>
      <c r="I1895" s="15" t="n"/>
      <c r="J1895" s="19" t="n">
        <v>3</v>
      </c>
      <c r="K1895" s="2" t="inlineStr">
        <is>
          <t>marker_194_022304.png</t>
        </is>
      </c>
      <c r="L1895" s="11">
        <f>HYPERLINK("3\0\" &amp; K1895, "Ver Imagen")</f>
        <v/>
      </c>
      <c r="M1895" t="inlineStr">
        <is>
          <t>Moda</t>
        </is>
      </c>
    </row>
    <row r="1896">
      <c r="A1896" t="n">
        <v>1895</v>
      </c>
      <c r="B1896" t="inlineStr">
        <is>
          <t>A-5053__24</t>
        </is>
      </c>
      <c r="C1896" s="1" t="n">
        <v>37.2235863888</v>
      </c>
      <c r="D1896" s="1" t="n">
        <v>-7.12513650586</v>
      </c>
      <c r="E1896" s="3" t="n">
        <v>3</v>
      </c>
      <c r="F1896" s="2" t="n">
        <v>3</v>
      </c>
      <c r="G1896" s="4" t="n">
        <v>3</v>
      </c>
      <c r="H1896" s="13" t="n"/>
      <c r="I1896" s="15" t="n"/>
      <c r="J1896" s="19" t="n">
        <v>3</v>
      </c>
      <c r="K1896" s="2" t="inlineStr">
        <is>
          <t>marker_753_022846.png</t>
        </is>
      </c>
      <c r="L1896" s="11">
        <f>HYPERLINK("3\0\" &amp; K1896, "Ver Imagen")</f>
        <v/>
      </c>
      <c r="M1896" t="inlineStr">
        <is>
          <t>Moda</t>
        </is>
      </c>
    </row>
    <row r="1897">
      <c r="A1897" t="n">
        <v>1896</v>
      </c>
      <c r="B1897" t="inlineStr">
        <is>
          <t>A-5053__13</t>
        </is>
      </c>
      <c r="C1897" s="1" t="n">
        <v>37.2214381671</v>
      </c>
      <c r="D1897" s="1" t="n">
        <v>-7.12545422589</v>
      </c>
      <c r="E1897" s="3" t="n">
        <v>3</v>
      </c>
      <c r="F1897" s="2" t="n">
        <v>3</v>
      </c>
      <c r="G1897" s="4" t="n">
        <v>3</v>
      </c>
      <c r="H1897" s="13" t="n"/>
      <c r="I1897" s="15" t="n"/>
      <c r="J1897" s="19" t="n">
        <v>3</v>
      </c>
      <c r="K1897" s="2" t="inlineStr">
        <is>
          <t>marker_634_025072.png</t>
        </is>
      </c>
      <c r="L1897" s="11">
        <f>HYPERLINK("3\0\" &amp; K1897, "Ver Imagen")</f>
        <v/>
      </c>
      <c r="M1897" t="inlineStr">
        <is>
          <t>Moda</t>
        </is>
      </c>
    </row>
    <row r="1898">
      <c r="A1898" t="n">
        <v>1897</v>
      </c>
      <c r="B1898" t="inlineStr">
        <is>
          <t>A-5053__9</t>
        </is>
      </c>
      <c r="C1898" s="1" t="n">
        <v>37.2207203137</v>
      </c>
      <c r="D1898" s="1" t="n">
        <v>-7.12574569996</v>
      </c>
      <c r="E1898" s="3" t="n">
        <v>3</v>
      </c>
      <c r="F1898" s="2" t="n">
        <v>3</v>
      </c>
      <c r="G1898" s="4" t="n">
        <v>3</v>
      </c>
      <c r="H1898" s="13" t="n"/>
      <c r="I1898" s="15" t="n"/>
      <c r="J1898" s="19" t="n">
        <v>3</v>
      </c>
      <c r="K1898" s="2" t="inlineStr">
        <is>
          <t>marker_326_025120.png</t>
        </is>
      </c>
      <c r="L1898" s="11">
        <f>HYPERLINK("3\0\" &amp; K1898, "Ver Imagen")</f>
        <v/>
      </c>
      <c r="M1898" t="inlineStr">
        <is>
          <t>Moda</t>
        </is>
      </c>
    </row>
    <row r="1899">
      <c r="A1899" t="n">
        <v>1898</v>
      </c>
      <c r="B1899" t="inlineStr">
        <is>
          <t>A-5053__8</t>
        </is>
      </c>
      <c r="C1899" s="1" t="n">
        <v>37.220539736</v>
      </c>
      <c r="D1899" s="1" t="n">
        <v>-7.12576153085</v>
      </c>
      <c r="E1899" s="3" t="n">
        <v>3</v>
      </c>
      <c r="F1899" s="2" t="n">
        <v>3</v>
      </c>
      <c r="G1899" s="4" t="n">
        <v>3</v>
      </c>
      <c r="H1899" s="13" t="n"/>
      <c r="I1899" s="15" t="n"/>
      <c r="J1899" s="19" t="n">
        <v>3</v>
      </c>
      <c r="K1899" s="2" t="inlineStr">
        <is>
          <t>marker_932_025131.png</t>
        </is>
      </c>
      <c r="L1899" s="11">
        <f>HYPERLINK("3\0\" &amp; K1899, "Ver Imagen")</f>
        <v/>
      </c>
      <c r="M1899" t="inlineStr">
        <is>
          <t>Moda</t>
        </is>
      </c>
    </row>
    <row r="1900">
      <c r="A1900" t="n">
        <v>1899</v>
      </c>
      <c r="B1900" t="inlineStr">
        <is>
          <t>A-5053__2</t>
        </is>
      </c>
      <c r="C1900" s="1" t="n">
        <v>37.2193460747</v>
      </c>
      <c r="D1900" s="1" t="n">
        <v>-7.12592133739</v>
      </c>
      <c r="E1900" s="3" t="n">
        <v>3</v>
      </c>
      <c r="F1900" s="2" t="n">
        <v>3</v>
      </c>
      <c r="G1900" s="4" t="n">
        <v>3</v>
      </c>
      <c r="H1900" s="13" t="n"/>
      <c r="I1900" s="15" t="n"/>
      <c r="J1900" s="19" t="n">
        <v>3</v>
      </c>
      <c r="K1900" s="2" t="inlineStr">
        <is>
          <t>marker_704_025197.png</t>
        </is>
      </c>
      <c r="L1900" s="11">
        <f>HYPERLINK("3\0\" &amp; K1900, "Ver Imagen")</f>
        <v/>
      </c>
      <c r="M1900" t="inlineStr">
        <is>
          <t>Moda</t>
        </is>
      </c>
    </row>
    <row r="1901">
      <c r="A1901" t="n">
        <v>1900</v>
      </c>
      <c r="B1901" t="inlineStr">
        <is>
          <t>A-5053__1</t>
        </is>
      </c>
      <c r="C1901" s="1" t="n">
        <v>37.2191294799</v>
      </c>
      <c r="D1901" s="1" t="n">
        <v>-7.12599187192</v>
      </c>
      <c r="E1901" s="3" t="n">
        <v>3</v>
      </c>
      <c r="F1901" s="2" t="n">
        <v>3</v>
      </c>
      <c r="G1901" s="4" t="n">
        <v>3</v>
      </c>
      <c r="H1901" s="13" t="n"/>
      <c r="I1901" s="15" t="n"/>
      <c r="J1901" s="19" t="n">
        <v>3</v>
      </c>
      <c r="K1901" s="2" t="inlineStr">
        <is>
          <t>marker_969_025210.png</t>
        </is>
      </c>
      <c r="L1901" s="11">
        <f>HYPERLINK("3\0\" &amp; K1901, "Ver Imagen")</f>
        <v/>
      </c>
      <c r="M1901" t="inlineStr">
        <is>
          <t>Moda</t>
        </is>
      </c>
    </row>
    <row r="1902">
      <c r="A1902" t="n">
        <v>1901</v>
      </c>
      <c r="B1902" t="inlineStr">
        <is>
          <t>A-495__19</t>
        </is>
      </c>
      <c r="C1902" s="1" t="n">
        <v>37.4435166526</v>
      </c>
      <c r="D1902" s="1" t="n">
        <v>-7.09580176616</v>
      </c>
      <c r="E1902" s="3" t="n">
        <v>3</v>
      </c>
      <c r="F1902" s="2" t="n">
        <v>3</v>
      </c>
      <c r="G1902" s="4" t="n">
        <v>3</v>
      </c>
      <c r="H1902" s="13" t="n"/>
      <c r="I1902" s="15" t="n"/>
      <c r="J1902" s="19" t="n">
        <v>3</v>
      </c>
      <c r="K1902" s="2" t="inlineStr">
        <is>
          <t>marker_973_381254.png</t>
        </is>
      </c>
      <c r="L1902" s="11">
        <f>HYPERLINK("3\0\" &amp; K1902, "Ver Imagen")</f>
        <v/>
      </c>
      <c r="M1902" t="inlineStr">
        <is>
          <t>Moda</t>
        </is>
      </c>
    </row>
    <row r="1903">
      <c r="A1903" t="n">
        <v>1902</v>
      </c>
      <c r="B1903" t="inlineStr">
        <is>
          <t>A-495__32</t>
        </is>
      </c>
      <c r="C1903" s="1" t="n">
        <v>37.4423520162</v>
      </c>
      <c r="D1903" s="1" t="n">
        <v>-7.09277041821</v>
      </c>
      <c r="E1903" s="3" t="n">
        <v>3</v>
      </c>
      <c r="F1903" s="2" t="n">
        <v>3</v>
      </c>
      <c r="G1903" s="4" t="n">
        <v>3</v>
      </c>
      <c r="H1903" s="13" t="n"/>
      <c r="I1903" s="15" t="n"/>
      <c r="J1903" s="19" t="n">
        <v>3</v>
      </c>
      <c r="K1903" s="2" t="inlineStr">
        <is>
          <t>marker_854_381413.png</t>
        </is>
      </c>
      <c r="L1903" s="11">
        <f>HYPERLINK("3\0\" &amp; K1903, "Ver Imagen")</f>
        <v/>
      </c>
      <c r="M1903" t="inlineStr">
        <is>
          <t>Moda</t>
        </is>
      </c>
    </row>
    <row r="1904">
      <c r="A1904" t="n">
        <v>1903</v>
      </c>
      <c r="B1904" t="inlineStr">
        <is>
          <t>A-495__35</t>
        </is>
      </c>
      <c r="C1904" s="1" t="n">
        <v>37.4420905413</v>
      </c>
      <c r="D1904" s="1" t="n">
        <v>-7.09212730466</v>
      </c>
      <c r="E1904" s="3" t="n">
        <v>3</v>
      </c>
      <c r="F1904" s="2" t="n">
        <v>3</v>
      </c>
      <c r="G1904" s="4" t="n">
        <v>3</v>
      </c>
      <c r="H1904" s="13" t="n"/>
      <c r="I1904" s="15" t="n"/>
      <c r="J1904" s="19" t="n">
        <v>3</v>
      </c>
      <c r="K1904" s="2" t="inlineStr">
        <is>
          <t>marker_909_381454.png</t>
        </is>
      </c>
      <c r="L1904" s="11">
        <f>HYPERLINK("3\0\" &amp; K1904, "Ver Imagen")</f>
        <v/>
      </c>
      <c r="M1904" t="inlineStr">
        <is>
          <t>Moda</t>
        </is>
      </c>
    </row>
    <row r="1905">
      <c r="A1905" t="n">
        <v>1904</v>
      </c>
      <c r="B1905" t="inlineStr">
        <is>
          <t>A-495__36</t>
        </is>
      </c>
      <c r="C1905" s="1" t="n">
        <v>37.4419816785</v>
      </c>
      <c r="D1905" s="1" t="n">
        <v>-7.0918680717</v>
      </c>
      <c r="E1905" s="3" t="n">
        <v>3</v>
      </c>
      <c r="F1905" s="2" t="n">
        <v>3</v>
      </c>
      <c r="G1905" s="4" t="n">
        <v>3</v>
      </c>
      <c r="H1905" s="13" t="n"/>
      <c r="I1905" s="15" t="n"/>
      <c r="J1905" s="19" t="n">
        <v>3</v>
      </c>
      <c r="K1905" s="2" t="inlineStr">
        <is>
          <t>marker_132_381463.png</t>
        </is>
      </c>
      <c r="L1905" s="11">
        <f>HYPERLINK("3\0\" &amp; K1905, "Ver Imagen")</f>
        <v/>
      </c>
      <c r="M1905" t="inlineStr">
        <is>
          <t>Moda</t>
        </is>
      </c>
    </row>
    <row r="1906">
      <c r="A1906" t="n">
        <v>1905</v>
      </c>
      <c r="B1906" t="inlineStr">
        <is>
          <t>A-495__37</t>
        </is>
      </c>
      <c r="C1906" s="1" t="n">
        <v>37.4418945863</v>
      </c>
      <c r="D1906" s="1" t="n">
        <v>-7.09166751232</v>
      </c>
      <c r="E1906" s="3" t="n">
        <v>3</v>
      </c>
      <c r="F1906" s="2" t="n">
        <v>3</v>
      </c>
      <c r="G1906" s="4" t="n">
        <v>3</v>
      </c>
      <c r="H1906" s="13" t="n"/>
      <c r="I1906" s="15" t="n"/>
      <c r="J1906" s="19" t="n">
        <v>3</v>
      </c>
      <c r="K1906" s="2" t="inlineStr">
        <is>
          <t>marker_497_381484.png</t>
        </is>
      </c>
      <c r="L1906" s="11">
        <f>HYPERLINK("3\0\" &amp; K1906, "Ver Imagen")</f>
        <v/>
      </c>
      <c r="M1906" t="inlineStr">
        <is>
          <t>Moda</t>
        </is>
      </c>
    </row>
    <row r="1907">
      <c r="A1907" t="n">
        <v>1906</v>
      </c>
      <c r="B1907" t="inlineStr">
        <is>
          <t>A-495__38</t>
        </is>
      </c>
      <c r="C1907" s="1" t="n">
        <v>37.4417889287</v>
      </c>
      <c r="D1907" s="1" t="n">
        <v>-7.09143330231</v>
      </c>
      <c r="E1907" s="3" t="n">
        <v>3</v>
      </c>
      <c r="F1907" s="2" t="n">
        <v>3</v>
      </c>
      <c r="G1907" s="4" t="n">
        <v>3</v>
      </c>
      <c r="H1907" s="13" t="n"/>
      <c r="I1907" s="15" t="n"/>
      <c r="J1907" s="19" t="n">
        <v>3</v>
      </c>
      <c r="K1907" s="2" t="inlineStr">
        <is>
          <t>marker_749_381493.png</t>
        </is>
      </c>
      <c r="L1907" s="11">
        <f>HYPERLINK("3\0\" &amp; K1907, "Ver Imagen")</f>
        <v/>
      </c>
      <c r="M1907" t="inlineStr">
        <is>
          <t>Moda</t>
        </is>
      </c>
    </row>
    <row r="1908">
      <c r="A1908" t="n">
        <v>1907</v>
      </c>
      <c r="B1908" t="inlineStr">
        <is>
          <t>A-495__39</t>
        </is>
      </c>
      <c r="C1908" s="1" t="n">
        <v>37.4416908877</v>
      </c>
      <c r="D1908" s="1" t="n">
        <v>-7.09122346222</v>
      </c>
      <c r="E1908" s="3" t="n">
        <v>3</v>
      </c>
      <c r="F1908" s="2" t="n">
        <v>3</v>
      </c>
      <c r="G1908" s="4" t="n">
        <v>3</v>
      </c>
      <c r="H1908" s="13" t="n"/>
      <c r="I1908" s="15" t="n"/>
      <c r="J1908" s="19" t="n">
        <v>3</v>
      </c>
      <c r="K1908" s="2" t="inlineStr">
        <is>
          <t>marker_906_381502.png</t>
        </is>
      </c>
      <c r="L1908" s="11">
        <f>HYPERLINK("3\0\" &amp; K1908, "Ver Imagen")</f>
        <v/>
      </c>
      <c r="M1908" t="inlineStr">
        <is>
          <t>Moda</t>
        </is>
      </c>
    </row>
    <row r="1909">
      <c r="A1909" t="n">
        <v>1908</v>
      </c>
      <c r="B1909" t="inlineStr">
        <is>
          <t>A-495__40</t>
        </is>
      </c>
      <c r="C1909" s="1" t="n">
        <v>37.4415811631</v>
      </c>
      <c r="D1909" s="1" t="n">
        <v>-7.09099228653</v>
      </c>
      <c r="E1909" s="3" t="n">
        <v>3</v>
      </c>
      <c r="F1909" s="2" t="n">
        <v>3</v>
      </c>
      <c r="G1909" s="4" t="n">
        <v>3</v>
      </c>
      <c r="H1909" s="13" t="n"/>
      <c r="I1909" s="15" t="n"/>
      <c r="J1909" s="19" t="n">
        <v>3</v>
      </c>
      <c r="K1909" s="2" t="inlineStr">
        <is>
          <t>marker_565_381512.png</t>
        </is>
      </c>
      <c r="L1909" s="11">
        <f>HYPERLINK("3\0\" &amp; K1909, "Ver Imagen")</f>
        <v/>
      </c>
      <c r="M1909" t="inlineStr">
        <is>
          <t>Moda</t>
        </is>
      </c>
    </row>
    <row r="1910">
      <c r="A1910" t="n">
        <v>1909</v>
      </c>
      <c r="B1910" t="inlineStr">
        <is>
          <t>A-495__41</t>
        </is>
      </c>
      <c r="C1910" s="1" t="n">
        <v>37.4414802427</v>
      </c>
      <c r="D1910" s="1" t="n">
        <v>-7.09077619508</v>
      </c>
      <c r="E1910" s="3" t="n">
        <v>3</v>
      </c>
      <c r="F1910" s="2" t="n">
        <v>3</v>
      </c>
      <c r="G1910" s="4" t="n">
        <v>3</v>
      </c>
      <c r="H1910" s="13" t="n"/>
      <c r="I1910" s="15" t="n"/>
      <c r="J1910" s="19" t="n">
        <v>3</v>
      </c>
      <c r="K1910" s="2" t="inlineStr">
        <is>
          <t>marker_793_381521.png</t>
        </is>
      </c>
      <c r="L1910" s="11">
        <f>HYPERLINK("3\0\" &amp; K1910, "Ver Imagen")</f>
        <v/>
      </c>
      <c r="M1910" t="inlineStr">
        <is>
          <t>Moda</t>
        </is>
      </c>
    </row>
    <row r="1911">
      <c r="A1911" t="n">
        <v>1910</v>
      </c>
      <c r="B1911" t="inlineStr">
        <is>
          <t>A-495__44</t>
        </is>
      </c>
      <c r="C1911" s="1" t="n">
        <v>37.4411712321</v>
      </c>
      <c r="D1911" s="1" t="n">
        <v>-7.09011578826</v>
      </c>
      <c r="E1911" s="3" t="n">
        <v>3</v>
      </c>
      <c r="F1911" s="2" t="n">
        <v>3</v>
      </c>
      <c r="G1911" s="4" t="n">
        <v>3</v>
      </c>
      <c r="H1911" s="13" t="n"/>
      <c r="I1911" s="15" t="n"/>
      <c r="J1911" s="19" t="n">
        <v>3</v>
      </c>
      <c r="K1911" s="2" t="inlineStr">
        <is>
          <t>marker_843_381554.png</t>
        </is>
      </c>
      <c r="L1911" s="11">
        <f>HYPERLINK("3\0\" &amp; K1911, "Ver Imagen")</f>
        <v/>
      </c>
      <c r="M1911" t="inlineStr">
        <is>
          <t>Moda</t>
        </is>
      </c>
    </row>
    <row r="1912">
      <c r="A1912" t="n">
        <v>1911</v>
      </c>
      <c r="B1912" t="inlineStr">
        <is>
          <t>A-495__45</t>
        </is>
      </c>
      <c r="C1912" s="1" t="n">
        <v>37.4410581457</v>
      </c>
      <c r="D1912" s="1" t="n">
        <v>-7.08987766264</v>
      </c>
      <c r="E1912" s="3" t="n">
        <v>3</v>
      </c>
      <c r="F1912" s="2" t="n">
        <v>3</v>
      </c>
      <c r="G1912" s="4" t="n">
        <v>3</v>
      </c>
      <c r="H1912" s="13" t="n"/>
      <c r="I1912" s="15" t="n"/>
      <c r="J1912" s="19" t="n">
        <v>3</v>
      </c>
      <c r="K1912" s="2" t="inlineStr">
        <is>
          <t>marker_877_381562.png</t>
        </is>
      </c>
      <c r="L1912" s="11">
        <f>HYPERLINK("3\0\" &amp; K1912, "Ver Imagen")</f>
        <v/>
      </c>
      <c r="M1912" t="inlineStr">
        <is>
          <t>Moda</t>
        </is>
      </c>
    </row>
    <row r="1913">
      <c r="A1913" t="n">
        <v>1912</v>
      </c>
      <c r="B1913" t="inlineStr">
        <is>
          <t>A-495__46</t>
        </is>
      </c>
      <c r="C1913" s="1" t="n">
        <v>37.4409541123</v>
      </c>
      <c r="D1913" s="1" t="n">
        <v>-7.0896564211</v>
      </c>
      <c r="E1913" s="3" t="n">
        <v>3</v>
      </c>
      <c r="F1913" s="2" t="n">
        <v>3</v>
      </c>
      <c r="G1913" s="4" t="n">
        <v>3</v>
      </c>
      <c r="H1913" s="13" t="n"/>
      <c r="I1913" s="15" t="n"/>
      <c r="J1913" s="19" t="n">
        <v>3</v>
      </c>
      <c r="K1913" s="2" t="inlineStr">
        <is>
          <t>marker_834_381571.png</t>
        </is>
      </c>
      <c r="L1913" s="11">
        <f>HYPERLINK("3\0\" &amp; K1913, "Ver Imagen")</f>
        <v/>
      </c>
      <c r="M1913" t="inlineStr">
        <is>
          <t>Moda</t>
        </is>
      </c>
    </row>
    <row r="1914">
      <c r="A1914" t="n">
        <v>1913</v>
      </c>
      <c r="B1914" t="inlineStr">
        <is>
          <t>A-495__47</t>
        </is>
      </c>
      <c r="C1914" s="1" t="n">
        <v>37.4408642923</v>
      </c>
      <c r="D1914" s="1" t="n">
        <v>-7.08946104736</v>
      </c>
      <c r="E1914" s="3" t="n">
        <v>3</v>
      </c>
      <c r="F1914" s="2" t="n">
        <v>3</v>
      </c>
      <c r="G1914" s="4" t="n">
        <v>3</v>
      </c>
      <c r="H1914" s="13" t="n"/>
      <c r="I1914" s="15" t="n"/>
      <c r="J1914" s="19" t="n">
        <v>3</v>
      </c>
      <c r="K1914" s="2" t="inlineStr">
        <is>
          <t>marker_127_381581.png</t>
        </is>
      </c>
      <c r="L1914" s="11">
        <f>HYPERLINK("3\0\" &amp; K1914, "Ver Imagen")</f>
        <v/>
      </c>
      <c r="M1914" t="inlineStr">
        <is>
          <t>Moda</t>
        </is>
      </c>
    </row>
    <row r="1915">
      <c r="A1915" t="n">
        <v>1914</v>
      </c>
      <c r="B1915" t="inlineStr">
        <is>
          <t>A-495__48</t>
        </is>
      </c>
      <c r="C1915" s="1" t="n">
        <v>37.4407618158</v>
      </c>
      <c r="D1915" s="1" t="n">
        <v>-7.08924046664</v>
      </c>
      <c r="E1915" s="3" t="n">
        <v>3</v>
      </c>
      <c r="F1915" s="2" t="n">
        <v>3</v>
      </c>
      <c r="G1915" s="4" t="n">
        <v>3</v>
      </c>
      <c r="H1915" s="13" t="n"/>
      <c r="I1915" s="15" t="n"/>
      <c r="J1915" s="19" t="n">
        <v>3</v>
      </c>
      <c r="K1915" s="2" t="inlineStr">
        <is>
          <t>marker_365_381591.png</t>
        </is>
      </c>
      <c r="L1915" s="11">
        <f>HYPERLINK("3\0\" &amp; K1915, "Ver Imagen")</f>
        <v/>
      </c>
      <c r="M1915" t="inlineStr">
        <is>
          <t>Moda</t>
        </is>
      </c>
    </row>
    <row r="1916">
      <c r="A1916" t="n">
        <v>1915</v>
      </c>
      <c r="B1916" t="inlineStr">
        <is>
          <t>A-495__50</t>
        </is>
      </c>
      <c r="C1916" s="1" t="n">
        <v>37.4405684615</v>
      </c>
      <c r="D1916" s="1" t="n">
        <v>-7.08883449759</v>
      </c>
      <c r="E1916" s="3" t="n">
        <v>3</v>
      </c>
      <c r="F1916" s="2" t="n">
        <v>3</v>
      </c>
      <c r="G1916" s="4" t="n">
        <v>3</v>
      </c>
      <c r="H1916" s="13" t="n"/>
      <c r="I1916" s="15" t="n"/>
      <c r="J1916" s="19" t="n">
        <v>3</v>
      </c>
      <c r="K1916" s="2" t="inlineStr">
        <is>
          <t>marker_794_381612.png</t>
        </is>
      </c>
      <c r="L1916" s="11">
        <f>HYPERLINK("3\0\" &amp; K1916, "Ver Imagen")</f>
        <v/>
      </c>
      <c r="M1916" t="inlineStr">
        <is>
          <t>Moda</t>
        </is>
      </c>
    </row>
    <row r="1917">
      <c r="A1917" t="n">
        <v>1916</v>
      </c>
      <c r="B1917" t="inlineStr">
        <is>
          <t>A-495__59</t>
        </is>
      </c>
      <c r="C1917" s="1" t="n">
        <v>37.4396156896</v>
      </c>
      <c r="D1917" s="1" t="n">
        <v>-7.08685038074</v>
      </c>
      <c r="E1917" s="3" t="n">
        <v>3</v>
      </c>
      <c r="F1917" s="2" t="n">
        <v>3</v>
      </c>
      <c r="G1917" s="4" t="n">
        <v>3</v>
      </c>
      <c r="H1917" s="13" t="n"/>
      <c r="I1917" s="15" t="n"/>
      <c r="J1917" s="19" t="n">
        <v>3</v>
      </c>
      <c r="K1917" s="2" t="inlineStr">
        <is>
          <t>marker_821_381702.png</t>
        </is>
      </c>
      <c r="L1917" s="11">
        <f>HYPERLINK("3\0\" &amp; K1917, "Ver Imagen")</f>
        <v/>
      </c>
      <c r="M1917" t="inlineStr">
        <is>
          <t>Moda</t>
        </is>
      </c>
    </row>
    <row r="1918">
      <c r="A1918" t="n">
        <v>1917</v>
      </c>
      <c r="B1918" t="inlineStr">
        <is>
          <t>A-495__60</t>
        </is>
      </c>
      <c r="C1918" s="1" t="n">
        <v>37.4395221774</v>
      </c>
      <c r="D1918" s="1" t="n">
        <v>-7.08665053199</v>
      </c>
      <c r="E1918" s="3" t="n">
        <v>3</v>
      </c>
      <c r="F1918" s="2" t="n">
        <v>3</v>
      </c>
      <c r="G1918" s="4" t="n">
        <v>3</v>
      </c>
      <c r="H1918" s="13" t="n"/>
      <c r="I1918" s="15" t="n"/>
      <c r="J1918" s="19" t="n">
        <v>3</v>
      </c>
      <c r="K1918" s="2" t="inlineStr">
        <is>
          <t>marker_824_381711.png</t>
        </is>
      </c>
      <c r="L1918" s="11">
        <f>HYPERLINK("3\0\" &amp; K1918, "Ver Imagen")</f>
        <v/>
      </c>
      <c r="M1918" t="inlineStr">
        <is>
          <t>Moda</t>
        </is>
      </c>
    </row>
    <row r="1919">
      <c r="A1919" t="n">
        <v>1918</v>
      </c>
      <c r="B1919" t="inlineStr">
        <is>
          <t>A-495__66</t>
        </is>
      </c>
      <c r="C1919" s="1" t="n">
        <v>37.4389146908</v>
      </c>
      <c r="D1919" s="1" t="n">
        <v>-7.08530657066</v>
      </c>
      <c r="E1919" s="3" t="n">
        <v>3</v>
      </c>
      <c r="F1919" s="2" t="n">
        <v>3</v>
      </c>
      <c r="G1919" s="4" t="n">
        <v>3</v>
      </c>
      <c r="H1919" s="13" t="n"/>
      <c r="I1919" s="15" t="n"/>
      <c r="J1919" s="19" t="n">
        <v>3</v>
      </c>
      <c r="K1919" s="2" t="inlineStr">
        <is>
          <t>marker_911_381776.png</t>
        </is>
      </c>
      <c r="L1919" s="11">
        <f>HYPERLINK("3\0\" &amp; K1919, "Ver Imagen")</f>
        <v/>
      </c>
      <c r="M1919" t="inlineStr">
        <is>
          <t>Moda</t>
        </is>
      </c>
    </row>
    <row r="1920">
      <c r="A1920" t="n">
        <v>1919</v>
      </c>
      <c r="B1920" t="inlineStr">
        <is>
          <t>A-495__79</t>
        </is>
      </c>
      <c r="C1920" s="1" t="n">
        <v>37.4378607216</v>
      </c>
      <c r="D1920" s="1" t="n">
        <v>-7.08231059657</v>
      </c>
      <c r="E1920" s="3" t="n">
        <v>3</v>
      </c>
      <c r="F1920" s="2" t="n">
        <v>3</v>
      </c>
      <c r="G1920" s="4" t="n">
        <v>3</v>
      </c>
      <c r="H1920" s="13" t="n"/>
      <c r="I1920" s="15" t="n"/>
      <c r="J1920" s="19" t="n">
        <v>3</v>
      </c>
      <c r="K1920" s="2" t="inlineStr">
        <is>
          <t>marker_318_381921.png</t>
        </is>
      </c>
      <c r="L1920" s="11">
        <f>HYPERLINK("3\0\" &amp; K1920, "Ver Imagen")</f>
        <v/>
      </c>
      <c r="M1920" t="inlineStr">
        <is>
          <t>Moda</t>
        </is>
      </c>
    </row>
    <row r="1921">
      <c r="A1921" t="n">
        <v>1920</v>
      </c>
      <c r="B1921" t="inlineStr">
        <is>
          <t>A-495__92</t>
        </is>
      </c>
      <c r="C1921" s="1" t="n">
        <v>37.4368492978</v>
      </c>
      <c r="D1921" s="1" t="n">
        <v>-7.07942613734</v>
      </c>
      <c r="E1921" s="3" t="n">
        <v>3</v>
      </c>
      <c r="F1921" s="2" t="n">
        <v>3</v>
      </c>
      <c r="G1921" s="4" t="n">
        <v>3</v>
      </c>
      <c r="H1921" s="13" t="n"/>
      <c r="I1921" s="15" t="n"/>
      <c r="J1921" s="19" t="n">
        <v>3</v>
      </c>
      <c r="K1921" s="2" t="inlineStr">
        <is>
          <t>marker_378_382079.png</t>
        </is>
      </c>
      <c r="L1921" s="11">
        <f>HYPERLINK("3\0\" &amp; K1921, "Ver Imagen")</f>
        <v/>
      </c>
      <c r="M1921" t="inlineStr">
        <is>
          <t>Moda</t>
        </is>
      </c>
    </row>
    <row r="1922">
      <c r="A1922" t="n">
        <v>1921</v>
      </c>
      <c r="B1922" t="inlineStr">
        <is>
          <t>A-495__93</t>
        </is>
      </c>
      <c r="C1922" s="1" t="n">
        <v>37.4367696445</v>
      </c>
      <c r="D1922" s="1" t="n">
        <v>-7.07919861516</v>
      </c>
      <c r="E1922" s="3" t="n">
        <v>3</v>
      </c>
      <c r="F1922" s="2" t="n">
        <v>3</v>
      </c>
      <c r="G1922" s="4" t="n">
        <v>3</v>
      </c>
      <c r="H1922" s="13" t="n"/>
      <c r="I1922" s="15" t="n"/>
      <c r="J1922" s="19" t="n">
        <v>3</v>
      </c>
      <c r="K1922" s="2" t="inlineStr">
        <is>
          <t>marker_900_382088.png</t>
        </is>
      </c>
      <c r="L1922" s="11">
        <f>HYPERLINK("3\0\" &amp; K1922, "Ver Imagen")</f>
        <v/>
      </c>
      <c r="M1922" t="inlineStr">
        <is>
          <t>Moda</t>
        </is>
      </c>
    </row>
    <row r="1923">
      <c r="A1923" t="n">
        <v>1922</v>
      </c>
      <c r="B1923" t="inlineStr">
        <is>
          <t>A-495__102</t>
        </is>
      </c>
      <c r="C1923" s="1" t="n">
        <v>37.4360308517</v>
      </c>
      <c r="D1923" s="1" t="n">
        <v>-7.077123705</v>
      </c>
      <c r="E1923" s="3" t="n">
        <v>3</v>
      </c>
      <c r="F1923" s="2" t="n">
        <v>3</v>
      </c>
      <c r="G1923" s="4" t="n">
        <v>3</v>
      </c>
      <c r="H1923" s="13" t="n"/>
      <c r="I1923" s="15" t="n"/>
      <c r="J1923" s="19" t="n">
        <v>3</v>
      </c>
      <c r="K1923" s="2" t="inlineStr">
        <is>
          <t>marker_208_382173.png</t>
        </is>
      </c>
      <c r="L1923" s="11">
        <f>HYPERLINK("3\0\" &amp; K1923, "Ver Imagen")</f>
        <v/>
      </c>
      <c r="M1923" t="inlineStr">
        <is>
          <t>Moda</t>
        </is>
      </c>
    </row>
    <row r="1924">
      <c r="A1924" t="n">
        <v>1923</v>
      </c>
      <c r="B1924" t="inlineStr">
        <is>
          <t>A-495__106</t>
        </is>
      </c>
      <c r="C1924" s="1" t="n">
        <v>37.4353952587</v>
      </c>
      <c r="D1924" s="1" t="n">
        <v>-7.07652194619</v>
      </c>
      <c r="E1924" s="3" t="n">
        <v>3</v>
      </c>
      <c r="F1924" s="2" t="n">
        <v>3</v>
      </c>
      <c r="G1924" s="4" t="n">
        <v>3</v>
      </c>
      <c r="H1924" s="13" t="n"/>
      <c r="I1924" s="15" t="n"/>
      <c r="J1924" s="19" t="n">
        <v>3</v>
      </c>
      <c r="K1924" s="2" t="inlineStr">
        <is>
          <t>marker_482_382224.png</t>
        </is>
      </c>
      <c r="L1924" s="11">
        <f>HYPERLINK("3\0\" &amp; K1924, "Ver Imagen")</f>
        <v/>
      </c>
      <c r="M1924" t="inlineStr">
        <is>
          <t>Moda</t>
        </is>
      </c>
    </row>
    <row r="1925">
      <c r="A1925" t="n">
        <v>1924</v>
      </c>
      <c r="B1925" t="inlineStr">
        <is>
          <t>A-5059__81</t>
        </is>
      </c>
      <c r="C1925" s="1" t="n">
        <v>37.2213580738</v>
      </c>
      <c r="D1925" s="1" t="n">
        <v>-7.05408788875</v>
      </c>
      <c r="E1925" s="3" t="n">
        <v>3</v>
      </c>
      <c r="F1925" s="2" t="n">
        <v>3</v>
      </c>
      <c r="G1925" s="4" t="n">
        <v>3</v>
      </c>
      <c r="H1925" s="13" t="n"/>
      <c r="I1925" s="15" t="n"/>
      <c r="J1925" s="19" t="n">
        <v>3</v>
      </c>
      <c r="K1925" s="2" t="inlineStr">
        <is>
          <t>marker_433_378727.png</t>
        </is>
      </c>
      <c r="L1925" s="11">
        <f>HYPERLINK("3\0\" &amp; K1925, "Ver Imagen")</f>
        <v/>
      </c>
      <c r="M1925" t="inlineStr">
        <is>
          <t>Moda</t>
        </is>
      </c>
    </row>
    <row r="1926">
      <c r="A1926" t="n">
        <v>1925</v>
      </c>
      <c r="B1926" t="inlineStr">
        <is>
          <t>A-5059__68</t>
        </is>
      </c>
      <c r="C1926" s="1" t="n">
        <v>37.2234013369</v>
      </c>
      <c r="D1926" s="1" t="n">
        <v>-7.0559805667</v>
      </c>
      <c r="E1926" s="3" t="n">
        <v>3</v>
      </c>
      <c r="F1926" s="2" t="n">
        <v>3</v>
      </c>
      <c r="G1926" s="4" t="n">
        <v>3</v>
      </c>
      <c r="H1926" s="13" t="n"/>
      <c r="I1926" s="15" t="n"/>
      <c r="J1926" s="19" t="n">
        <v>3</v>
      </c>
      <c r="K1926" s="2" t="inlineStr">
        <is>
          <t>marker_719_378865.png</t>
        </is>
      </c>
      <c r="L1926" s="11">
        <f>HYPERLINK("3\0\" &amp; K1926, "Ver Imagen")</f>
        <v/>
      </c>
      <c r="M1926" t="inlineStr">
        <is>
          <t>Moda</t>
        </is>
      </c>
    </row>
    <row r="1927">
      <c r="A1927" t="n">
        <v>1926</v>
      </c>
      <c r="B1927" t="inlineStr">
        <is>
          <t>A-5059__64</t>
        </is>
      </c>
      <c r="C1927" s="1" t="n">
        <v>37.224104197</v>
      </c>
      <c r="D1927" s="1" t="n">
        <v>-7.05638250331</v>
      </c>
      <c r="E1927" s="3" t="n">
        <v>3</v>
      </c>
      <c r="F1927" s="2" t="n">
        <v>3</v>
      </c>
      <c r="G1927" s="4" t="n">
        <v>3</v>
      </c>
      <c r="H1927" s="13" t="n"/>
      <c r="I1927" s="15" t="n"/>
      <c r="J1927" s="19" t="n">
        <v>3</v>
      </c>
      <c r="K1927" s="2" t="inlineStr">
        <is>
          <t>marker_897_378904.png</t>
        </is>
      </c>
      <c r="L1927" s="11">
        <f>HYPERLINK("3\0\" &amp; K1927, "Ver Imagen")</f>
        <v/>
      </c>
      <c r="M1927" t="inlineStr">
        <is>
          <t>Moda</t>
        </is>
      </c>
    </row>
    <row r="1928">
      <c r="A1928" t="n">
        <v>1927</v>
      </c>
      <c r="B1928" t="inlineStr">
        <is>
          <t>A-5059__63</t>
        </is>
      </c>
      <c r="C1928" s="1" t="n">
        <v>37.2242912805</v>
      </c>
      <c r="D1928" s="1" t="n">
        <v>-7.05657743729</v>
      </c>
      <c r="E1928" s="3" t="n">
        <v>3</v>
      </c>
      <c r="F1928" s="2" t="n">
        <v>3</v>
      </c>
      <c r="G1928" s="4" t="n">
        <v>3</v>
      </c>
      <c r="H1928" s="13" t="n"/>
      <c r="I1928" s="15" t="n"/>
      <c r="J1928" s="19" t="n">
        <v>3</v>
      </c>
      <c r="K1928" s="2" t="inlineStr">
        <is>
          <t>marker_665_378915.png</t>
        </is>
      </c>
      <c r="L1928" s="11">
        <f>HYPERLINK("3\0\" &amp; K1928, "Ver Imagen")</f>
        <v/>
      </c>
      <c r="M1928" t="inlineStr">
        <is>
          <t>Moda</t>
        </is>
      </c>
    </row>
    <row r="1929">
      <c r="A1929" t="n">
        <v>1928</v>
      </c>
      <c r="B1929" t="inlineStr">
        <is>
          <t>A-495__130</t>
        </is>
      </c>
      <c r="C1929" s="1" t="n">
        <v>37.4351343296</v>
      </c>
      <c r="D1929" s="1" t="n">
        <v>-7.07052334919</v>
      </c>
      <c r="E1929" s="3" t="n">
        <v>3</v>
      </c>
      <c r="F1929" s="2" t="n">
        <v>3</v>
      </c>
      <c r="G1929" s="4" t="n">
        <v>3</v>
      </c>
      <c r="H1929" s="13" t="n"/>
      <c r="I1929" s="15" t="n"/>
      <c r="J1929" s="19" t="n">
        <v>3</v>
      </c>
      <c r="K1929" s="2" t="inlineStr">
        <is>
          <t>marker_732_382477.png</t>
        </is>
      </c>
      <c r="L1929" s="11">
        <f>HYPERLINK("3\0\" &amp; K1929, "Ver Imagen")</f>
        <v/>
      </c>
      <c r="M1929" t="inlineStr">
        <is>
          <t>Moda</t>
        </is>
      </c>
    </row>
    <row r="1930">
      <c r="A1930" t="n">
        <v>1929</v>
      </c>
      <c r="B1930" t="inlineStr">
        <is>
          <t>A-5059__40</t>
        </is>
      </c>
      <c r="C1930" s="1" t="n">
        <v>37.2273193656</v>
      </c>
      <c r="D1930" s="1" t="n">
        <v>-7.06087599626</v>
      </c>
      <c r="E1930" s="3" t="n">
        <v>3</v>
      </c>
      <c r="F1930" s="2" t="n">
        <v>3</v>
      </c>
      <c r="G1930" s="4" t="n">
        <v>3</v>
      </c>
      <c r="H1930" s="13" t="n"/>
      <c r="I1930" s="15" t="n"/>
      <c r="J1930" s="19" t="n">
        <v>3</v>
      </c>
      <c r="K1930" s="2" t="inlineStr">
        <is>
          <t>marker_111_379295.png</t>
        </is>
      </c>
      <c r="L1930" s="11">
        <f>HYPERLINK("3\0\" &amp; K1930, "Ver Imagen")</f>
        <v/>
      </c>
      <c r="M1930" t="inlineStr">
        <is>
          <t>Moda</t>
        </is>
      </c>
    </row>
    <row r="1931">
      <c r="A1931" t="n">
        <v>1930</v>
      </c>
      <c r="B1931" t="inlineStr">
        <is>
          <t>A-5059__38</t>
        </is>
      </c>
      <c r="C1931" s="1" t="n">
        <v>37.2276905762</v>
      </c>
      <c r="D1931" s="1" t="n">
        <v>-7.06105400585</v>
      </c>
      <c r="E1931" s="3" t="n">
        <v>3</v>
      </c>
      <c r="F1931" s="2" t="n">
        <v>3</v>
      </c>
      <c r="G1931" s="4" t="n">
        <v>3</v>
      </c>
      <c r="H1931" s="13" t="n"/>
      <c r="I1931" s="15" t="n"/>
      <c r="J1931" s="19" t="n">
        <v>3</v>
      </c>
      <c r="K1931" s="2" t="inlineStr">
        <is>
          <t>marker_531_379313.png</t>
        </is>
      </c>
      <c r="L1931" s="11">
        <f>HYPERLINK("3\0\" &amp; K1931, "Ver Imagen")</f>
        <v/>
      </c>
      <c r="M1931" t="inlineStr">
        <is>
          <t>Moda</t>
        </is>
      </c>
    </row>
    <row r="1932">
      <c r="A1932" t="n">
        <v>1931</v>
      </c>
      <c r="B1932" t="inlineStr">
        <is>
          <t>A-5059__30</t>
        </is>
      </c>
      <c r="C1932" s="1" t="n">
        <v>37.2289435764</v>
      </c>
      <c r="D1932" s="1" t="n">
        <v>-7.06233371648</v>
      </c>
      <c r="E1932" s="3" t="n">
        <v>3</v>
      </c>
      <c r="F1932" s="2" t="n">
        <v>3</v>
      </c>
      <c r="G1932" s="4" t="n">
        <v>3</v>
      </c>
      <c r="H1932" s="13" t="n"/>
      <c r="I1932" s="15" t="n"/>
      <c r="J1932" s="19" t="n">
        <v>3</v>
      </c>
      <c r="K1932" s="2" t="inlineStr">
        <is>
          <t>marker_591_379404.png</t>
        </is>
      </c>
      <c r="L1932" s="11">
        <f>HYPERLINK("3\0\" &amp; K1932, "Ver Imagen")</f>
        <v/>
      </c>
      <c r="M1932" t="inlineStr">
        <is>
          <t>Moda</t>
        </is>
      </c>
    </row>
    <row r="1933">
      <c r="A1933" t="n">
        <v>1932</v>
      </c>
      <c r="B1933" t="inlineStr">
        <is>
          <t>A-5059__27</t>
        </is>
      </c>
      <c r="C1933" s="1" t="n">
        <v>37.2293957544</v>
      </c>
      <c r="D1933" s="1" t="n">
        <v>-7.06283652309</v>
      </c>
      <c r="E1933" s="3" t="n">
        <v>3</v>
      </c>
      <c r="F1933" s="2" t="n">
        <v>3</v>
      </c>
      <c r="G1933" s="4" t="n">
        <v>3</v>
      </c>
      <c r="H1933" s="13" t="n"/>
      <c r="I1933" s="15" t="n"/>
      <c r="J1933" s="19" t="n">
        <v>3</v>
      </c>
      <c r="K1933" s="2" t="inlineStr">
        <is>
          <t>marker_936_379430.png</t>
        </is>
      </c>
      <c r="L1933" s="11">
        <f>HYPERLINK("3\0\" &amp; K1933, "Ver Imagen")</f>
        <v/>
      </c>
      <c r="M1933" t="inlineStr">
        <is>
          <t>Moda</t>
        </is>
      </c>
    </row>
    <row r="1934">
      <c r="A1934" t="n">
        <v>1933</v>
      </c>
      <c r="B1934" t="inlineStr">
        <is>
          <t>A-495__145</t>
        </is>
      </c>
      <c r="C1934" s="1" t="n">
        <v>37.4339208741</v>
      </c>
      <c r="D1934" s="1" t="n">
        <v>-7.06703204702</v>
      </c>
      <c r="E1934" s="3" t="n">
        <v>3</v>
      </c>
      <c r="F1934" s="2" t="n">
        <v>3</v>
      </c>
      <c r="G1934" s="4" t="n">
        <v>3</v>
      </c>
      <c r="H1934" s="13" t="n"/>
      <c r="I1934" s="15" t="n"/>
      <c r="J1934" s="19" t="n">
        <v>3</v>
      </c>
      <c r="K1934" s="2" t="inlineStr">
        <is>
          <t>marker_157_382623.png</t>
        </is>
      </c>
      <c r="L1934" s="11">
        <f>HYPERLINK("3\0\" &amp; K1934, "Ver Imagen")</f>
        <v/>
      </c>
      <c r="M1934" t="inlineStr">
        <is>
          <t>Moda</t>
        </is>
      </c>
    </row>
    <row r="1935">
      <c r="A1935" t="n">
        <v>1934</v>
      </c>
      <c r="B1935" t="inlineStr">
        <is>
          <t>A-5059__25</t>
        </is>
      </c>
      <c r="C1935" s="1" t="n">
        <v>37.2297273277</v>
      </c>
      <c r="D1935" s="1" t="n">
        <v>-7.06310085319</v>
      </c>
      <c r="E1935" s="3" t="n">
        <v>3</v>
      </c>
      <c r="F1935" s="2" t="n">
        <v>3</v>
      </c>
      <c r="G1935" s="4" t="n">
        <v>3</v>
      </c>
      <c r="H1935" s="13" t="n"/>
      <c r="I1935" s="15" t="n"/>
      <c r="J1935" s="19" t="n">
        <v>3</v>
      </c>
      <c r="K1935" s="2" t="inlineStr">
        <is>
          <t>marker_850_379448.png</t>
        </is>
      </c>
      <c r="L1935" s="11">
        <f>HYPERLINK("3\0\" &amp; K1935, "Ver Imagen")</f>
        <v/>
      </c>
      <c r="M1935" t="inlineStr">
        <is>
          <t>Moda</t>
        </is>
      </c>
    </row>
    <row r="1936">
      <c r="A1936" t="n">
        <v>1935</v>
      </c>
      <c r="B1936" t="inlineStr">
        <is>
          <t>A-5059__21</t>
        </is>
      </c>
      <c r="C1936" s="1" t="n">
        <v>37.2305063967</v>
      </c>
      <c r="D1936" s="1" t="n">
        <v>-7.06336732503</v>
      </c>
      <c r="E1936" s="3" t="n">
        <v>3</v>
      </c>
      <c r="F1936" s="2" t="n">
        <v>3</v>
      </c>
      <c r="G1936" s="4" t="n">
        <v>3</v>
      </c>
      <c r="H1936" s="13" t="n"/>
      <c r="I1936" s="15" t="n"/>
      <c r="J1936" s="19" t="n">
        <v>3</v>
      </c>
      <c r="K1936" s="2" t="inlineStr">
        <is>
          <t>marker_405_379482.png</t>
        </is>
      </c>
      <c r="L1936" s="11">
        <f>HYPERLINK("3\0\" &amp; K1936, "Ver Imagen")</f>
        <v/>
      </c>
      <c r="M1936" t="inlineStr">
        <is>
          <t>Moda</t>
        </is>
      </c>
    </row>
    <row r="1937">
      <c r="A1937" t="n">
        <v>1936</v>
      </c>
      <c r="B1937" t="inlineStr">
        <is>
          <t>A-5059__19</t>
        </is>
      </c>
      <c r="C1937" s="1" t="n">
        <v>37.230907637</v>
      </c>
      <c r="D1937" s="1" t="n">
        <v>-7.06343129462</v>
      </c>
      <c r="E1937" s="3" t="n">
        <v>3</v>
      </c>
      <c r="F1937" s="2" t="n">
        <v>3</v>
      </c>
      <c r="G1937" s="4" t="n">
        <v>3</v>
      </c>
      <c r="H1937" s="13" t="n"/>
      <c r="I1937" s="15" t="n"/>
      <c r="J1937" s="19" t="n">
        <v>3</v>
      </c>
      <c r="K1937" s="2" t="inlineStr">
        <is>
          <t>marker_862_379500.png</t>
        </is>
      </c>
      <c r="L1937" s="11">
        <f>HYPERLINK("3\0\" &amp; K1937, "Ver Imagen")</f>
        <v/>
      </c>
      <c r="M1937" t="inlineStr">
        <is>
          <t>Moda</t>
        </is>
      </c>
    </row>
    <row r="1938">
      <c r="A1938" t="n">
        <v>1937</v>
      </c>
      <c r="B1938" t="inlineStr">
        <is>
          <t>A-5059__18</t>
        </is>
      </c>
      <c r="C1938" s="1" t="n">
        <v>37.2311021354</v>
      </c>
      <c r="D1938" s="1" t="n">
        <v>-7.06348371032</v>
      </c>
      <c r="E1938" s="3" t="n">
        <v>3</v>
      </c>
      <c r="F1938" s="2" t="n">
        <v>3</v>
      </c>
      <c r="G1938" s="4" t="n">
        <v>3</v>
      </c>
      <c r="H1938" s="13" t="n"/>
      <c r="I1938" s="15" t="n"/>
      <c r="J1938" s="19" t="n">
        <v>3</v>
      </c>
      <c r="K1938" s="2" t="inlineStr">
        <is>
          <t>marker_181_379509.png</t>
        </is>
      </c>
      <c r="L1938" s="11">
        <f>HYPERLINK("3\0\" &amp; K1938, "Ver Imagen")</f>
        <v/>
      </c>
      <c r="M1938" t="inlineStr">
        <is>
          <t>Moda</t>
        </is>
      </c>
    </row>
    <row r="1939">
      <c r="A1939" t="n">
        <v>1938</v>
      </c>
      <c r="B1939" t="inlineStr">
        <is>
          <t>A-5059__16</t>
        </is>
      </c>
      <c r="C1939" s="1" t="n">
        <v>37.2314632897</v>
      </c>
      <c r="D1939" s="1" t="n">
        <v>-7.06367140073</v>
      </c>
      <c r="E1939" s="3" t="n">
        <v>3</v>
      </c>
      <c r="F1939" s="2" t="n">
        <v>3</v>
      </c>
      <c r="G1939" s="4" t="n">
        <v>3</v>
      </c>
      <c r="H1939" s="13" t="n"/>
      <c r="I1939" s="15" t="n"/>
      <c r="J1939" s="19" t="n">
        <v>3</v>
      </c>
      <c r="K1939" s="2" t="inlineStr">
        <is>
          <t>marker_922_379525.png</t>
        </is>
      </c>
      <c r="L1939" s="11">
        <f>HYPERLINK("3\0\" &amp; K1939, "Ver Imagen")</f>
        <v/>
      </c>
      <c r="M1939" t="inlineStr">
        <is>
          <t>Moda</t>
        </is>
      </c>
    </row>
    <row r="1940">
      <c r="A1940" t="n">
        <v>1939</v>
      </c>
      <c r="B1940" t="inlineStr">
        <is>
          <t>A-5059__13</t>
        </is>
      </c>
      <c r="C1940" s="1" t="n">
        <v>37.2319733564</v>
      </c>
      <c r="D1940" s="1" t="n">
        <v>-7.06409822483</v>
      </c>
      <c r="E1940" s="3" t="n">
        <v>3</v>
      </c>
      <c r="F1940" s="2" t="n">
        <v>3</v>
      </c>
      <c r="G1940" s="4" t="n">
        <v>3</v>
      </c>
      <c r="H1940" s="13" t="n"/>
      <c r="I1940" s="15" t="n"/>
      <c r="J1940" s="19" t="n">
        <v>3</v>
      </c>
      <c r="K1940" s="2" t="inlineStr">
        <is>
          <t>marker_381_379554.png</t>
        </is>
      </c>
      <c r="L1940" s="11">
        <f>HYPERLINK("3\0\" &amp; K1940, "Ver Imagen")</f>
        <v/>
      </c>
      <c r="M1940" t="inlineStr">
        <is>
          <t>Moda</t>
        </is>
      </c>
    </row>
    <row r="1941">
      <c r="A1941" t="n">
        <v>1940</v>
      </c>
      <c r="B1941" t="inlineStr">
        <is>
          <t>A-5059__7</t>
        </is>
      </c>
      <c r="C1941" s="1" t="n">
        <v>37.2327714546</v>
      </c>
      <c r="D1941" s="1" t="n">
        <v>-7.06530097214</v>
      </c>
      <c r="E1941" s="3" t="n">
        <v>3</v>
      </c>
      <c r="F1941" s="2" t="n">
        <v>3</v>
      </c>
      <c r="G1941" s="4" t="n">
        <v>3</v>
      </c>
      <c r="H1941" s="13" t="n"/>
      <c r="I1941" s="15" t="n"/>
      <c r="J1941" s="19" t="n">
        <v>3</v>
      </c>
      <c r="K1941" s="2" t="inlineStr">
        <is>
          <t>marker_521_379608.png</t>
        </is>
      </c>
      <c r="L1941" s="11">
        <f>HYPERLINK("3\0\" &amp; K1941, "Ver Imagen")</f>
        <v/>
      </c>
      <c r="M1941" t="inlineStr">
        <is>
          <t>Moda</t>
        </is>
      </c>
    </row>
    <row r="1942">
      <c r="A1942" t="n">
        <v>1941</v>
      </c>
      <c r="B1942" t="inlineStr">
        <is>
          <t>A-5059__6</t>
        </is>
      </c>
      <c r="C1942" s="1" t="n">
        <v>37.2328658031</v>
      </c>
      <c r="D1942" s="1" t="n">
        <v>-7.06546349646</v>
      </c>
      <c r="E1942" s="3" t="n">
        <v>3</v>
      </c>
      <c r="F1942" s="2" t="n">
        <v>3</v>
      </c>
      <c r="G1942" s="4" t="n">
        <v>3</v>
      </c>
      <c r="H1942" s="13" t="n"/>
      <c r="I1942" s="15" t="n"/>
      <c r="J1942" s="19" t="n">
        <v>3</v>
      </c>
      <c r="K1942" s="2" t="inlineStr">
        <is>
          <t>marker_959_379616.png</t>
        </is>
      </c>
      <c r="L1942" s="11">
        <f>HYPERLINK("3\0\" &amp; K1942, "Ver Imagen")</f>
        <v/>
      </c>
      <c r="M1942" t="inlineStr">
        <is>
          <t>Moda</t>
        </is>
      </c>
    </row>
    <row r="1943">
      <c r="A1943" t="n">
        <v>1942</v>
      </c>
      <c r="B1943" t="inlineStr">
        <is>
          <t>A-5059__3</t>
        </is>
      </c>
      <c r="C1943" s="1" t="n">
        <v>37.2332795251</v>
      </c>
      <c r="D1943" s="1" t="n">
        <v>-7.06600117682</v>
      </c>
      <c r="E1943" s="3" t="n">
        <v>3</v>
      </c>
      <c r="F1943" s="2" t="n">
        <v>3</v>
      </c>
      <c r="G1943" s="4" t="n">
        <v>3</v>
      </c>
      <c r="H1943" s="13" t="n"/>
      <c r="I1943" s="15" t="n"/>
      <c r="J1943" s="19" t="n">
        <v>3</v>
      </c>
      <c r="K1943" s="2" t="inlineStr">
        <is>
          <t>marker_833_379646.png</t>
        </is>
      </c>
      <c r="L1943" s="11">
        <f>HYPERLINK("3\0\" &amp; K1943, "Ver Imagen")</f>
        <v/>
      </c>
      <c r="M1943" t="inlineStr">
        <is>
          <t>Moda</t>
        </is>
      </c>
    </row>
    <row r="1944">
      <c r="A1944" t="n">
        <v>1943</v>
      </c>
      <c r="B1944" t="inlineStr">
        <is>
          <t>A-495__156</t>
        </is>
      </c>
      <c r="C1944" s="1" t="n">
        <v>37.4327836767</v>
      </c>
      <c r="D1944" s="1" t="n">
        <v>-7.06455355223</v>
      </c>
      <c r="E1944" s="3" t="n">
        <v>3</v>
      </c>
      <c r="F1944" s="2" t="n">
        <v>3</v>
      </c>
      <c r="G1944" s="4" t="n">
        <v>3</v>
      </c>
      <c r="H1944" s="13" t="n"/>
      <c r="I1944" s="15" t="n"/>
      <c r="J1944" s="19" t="n">
        <v>3</v>
      </c>
      <c r="K1944" s="2" t="inlineStr">
        <is>
          <t>marker_862_382752.png</t>
        </is>
      </c>
      <c r="L1944" s="11">
        <f>HYPERLINK("3\0\" &amp; K1944, "Ver Imagen")</f>
        <v/>
      </c>
      <c r="M1944" t="inlineStr">
        <is>
          <t>Moda</t>
        </is>
      </c>
    </row>
    <row r="1945">
      <c r="A1945" t="n">
        <v>1944</v>
      </c>
      <c r="B1945" t="inlineStr">
        <is>
          <t>A-495__157</t>
        </is>
      </c>
      <c r="C1945" s="1" t="n">
        <v>37.4327192128</v>
      </c>
      <c r="D1945" s="1" t="n">
        <v>-7.06441337006</v>
      </c>
      <c r="E1945" s="3" t="n">
        <v>3</v>
      </c>
      <c r="F1945" s="2" t="n">
        <v>3</v>
      </c>
      <c r="G1945" s="4" t="n">
        <v>3</v>
      </c>
      <c r="H1945" s="13" t="n"/>
      <c r="I1945" s="15" t="n"/>
      <c r="J1945" s="19" t="n">
        <v>3</v>
      </c>
      <c r="K1945" s="2" t="inlineStr">
        <is>
          <t>marker_706_382763.png</t>
        </is>
      </c>
      <c r="L1945" s="11">
        <f>HYPERLINK("3\0\" &amp; K1945, "Ver Imagen")</f>
        <v/>
      </c>
      <c r="M1945" t="inlineStr">
        <is>
          <t>Moda</t>
        </is>
      </c>
    </row>
    <row r="1946">
      <c r="A1946" t="n">
        <v>1945</v>
      </c>
      <c r="B1946" t="inlineStr">
        <is>
          <t>A-5058__9</t>
        </is>
      </c>
      <c r="C1946" s="1" t="n">
        <v>37.2253422244</v>
      </c>
      <c r="D1946" s="1" t="n">
        <v>-7.02954531501</v>
      </c>
      <c r="E1946" s="3" t="n">
        <v>3</v>
      </c>
      <c r="F1946" s="2" t="n">
        <v>3</v>
      </c>
      <c r="G1946" s="4" t="n">
        <v>3</v>
      </c>
      <c r="H1946" s="13" t="n"/>
      <c r="I1946" s="15" t="n"/>
      <c r="J1946" s="19" t="n">
        <v>3</v>
      </c>
      <c r="K1946" s="2" t="inlineStr">
        <is>
          <t>marker_190_379899.png</t>
        </is>
      </c>
      <c r="L1946" s="11">
        <f>HYPERLINK("3\0\" &amp; K1946, "Ver Imagen")</f>
        <v/>
      </c>
      <c r="M1946" t="inlineStr">
        <is>
          <t>Moda</t>
        </is>
      </c>
    </row>
    <row r="1947">
      <c r="A1947" t="n">
        <v>1946</v>
      </c>
      <c r="B1947" t="inlineStr">
        <is>
          <t>A-5058__11</t>
        </is>
      </c>
      <c r="C1947" s="1" t="n">
        <v>37.2253513223</v>
      </c>
      <c r="D1947" s="1" t="n">
        <v>-7.03005020407</v>
      </c>
      <c r="E1947" s="3" t="n">
        <v>3</v>
      </c>
      <c r="F1947" s="2" t="n">
        <v>3</v>
      </c>
      <c r="G1947" s="4" t="n">
        <v>3</v>
      </c>
      <c r="H1947" s="13" t="n"/>
      <c r="I1947" s="15" t="n"/>
      <c r="J1947" s="19" t="n">
        <v>3</v>
      </c>
      <c r="K1947" s="2" t="inlineStr">
        <is>
          <t>marker_523_379917.png</t>
        </is>
      </c>
      <c r="L1947" s="11">
        <f>HYPERLINK("3\0\" &amp; K1947, "Ver Imagen")</f>
        <v/>
      </c>
      <c r="M1947" t="inlineStr">
        <is>
          <t>Moda</t>
        </is>
      </c>
    </row>
    <row r="1948">
      <c r="A1948" t="n">
        <v>1947</v>
      </c>
      <c r="B1948" t="inlineStr">
        <is>
          <t>A-5058__12</t>
        </is>
      </c>
      <c r="C1948" s="1" t="n">
        <v>37.2253482661</v>
      </c>
      <c r="D1948" s="1" t="n">
        <v>-7.03028494564</v>
      </c>
      <c r="E1948" s="3" t="n">
        <v>3</v>
      </c>
      <c r="F1948" s="2" t="n">
        <v>3</v>
      </c>
      <c r="G1948" s="4" t="n">
        <v>3</v>
      </c>
      <c r="H1948" s="13" t="n"/>
      <c r="I1948" s="15" t="n"/>
      <c r="J1948" s="19" t="n">
        <v>3</v>
      </c>
      <c r="K1948" s="2" t="inlineStr">
        <is>
          <t>marker_518_379927.png</t>
        </is>
      </c>
      <c r="L1948" s="11">
        <f>HYPERLINK("3\0\" &amp; K1948, "Ver Imagen")</f>
        <v/>
      </c>
      <c r="M1948" t="inlineStr">
        <is>
          <t>Moda</t>
        </is>
      </c>
    </row>
    <row r="1949">
      <c r="A1949" t="n">
        <v>1948</v>
      </c>
      <c r="B1949" t="inlineStr">
        <is>
          <t>A-5058__16</t>
        </is>
      </c>
      <c r="C1949" s="1" t="n">
        <v>37.2252790461</v>
      </c>
      <c r="D1949" s="1" t="n">
        <v>-7.0313062225</v>
      </c>
      <c r="E1949" s="3" t="n">
        <v>3</v>
      </c>
      <c r="F1949" s="2" t="n">
        <v>3</v>
      </c>
      <c r="G1949" s="4" t="n">
        <v>3</v>
      </c>
      <c r="H1949" s="13" t="n"/>
      <c r="I1949" s="15" t="n"/>
      <c r="J1949" s="19" t="n">
        <v>3</v>
      </c>
      <c r="K1949" s="2" t="inlineStr">
        <is>
          <t>marker_762_380001.png</t>
        </is>
      </c>
      <c r="L1949" s="11">
        <f>HYPERLINK("3\0\" &amp; K1949, "Ver Imagen")</f>
        <v/>
      </c>
      <c r="M1949" t="inlineStr">
        <is>
          <t>Moda</t>
        </is>
      </c>
    </row>
    <row r="1950">
      <c r="A1950" t="n">
        <v>1949</v>
      </c>
      <c r="B1950" t="inlineStr">
        <is>
          <t>A-5058__19</t>
        </is>
      </c>
      <c r="C1950" s="1" t="n">
        <v>37.2252126914</v>
      </c>
      <c r="D1950" s="1" t="n">
        <v>-7.03206970073</v>
      </c>
      <c r="E1950" s="3" t="n">
        <v>3</v>
      </c>
      <c r="F1950" s="2" t="n">
        <v>3</v>
      </c>
      <c r="G1950" s="4" t="n">
        <v>3</v>
      </c>
      <c r="H1950" s="13" t="n"/>
      <c r="I1950" s="15" t="n"/>
      <c r="J1950" s="19" t="n">
        <v>3</v>
      </c>
      <c r="K1950" s="2" t="inlineStr">
        <is>
          <t>marker_576_380048.png</t>
        </is>
      </c>
      <c r="L1950" s="11">
        <f>HYPERLINK("3\0\" &amp; K1950, "Ver Imagen")</f>
        <v/>
      </c>
      <c r="M1950" t="inlineStr">
        <is>
          <t>Moda</t>
        </is>
      </c>
    </row>
    <row r="1951">
      <c r="A1951" t="n">
        <v>1950</v>
      </c>
      <c r="B1951" t="inlineStr">
        <is>
          <t>A-5058__20</t>
        </is>
      </c>
      <c r="C1951" s="1" t="n">
        <v>37.225187366</v>
      </c>
      <c r="D1951" s="1" t="n">
        <v>-7.03230153066</v>
      </c>
      <c r="E1951" s="3" t="n">
        <v>3</v>
      </c>
      <c r="F1951" s="2" t="n">
        <v>3</v>
      </c>
      <c r="G1951" s="4" t="n">
        <v>3</v>
      </c>
      <c r="H1951" s="13" t="n"/>
      <c r="I1951" s="15" t="n"/>
      <c r="J1951" s="19" t="n">
        <v>3</v>
      </c>
      <c r="K1951" s="2" t="inlineStr">
        <is>
          <t>marker_381_380056.png</t>
        </is>
      </c>
      <c r="L1951" s="11">
        <f>HYPERLINK("3\0\" &amp; K1951, "Ver Imagen")</f>
        <v/>
      </c>
      <c r="M1951" t="inlineStr">
        <is>
          <t>Moda</t>
        </is>
      </c>
    </row>
    <row r="1952">
      <c r="A1952" t="n">
        <v>1951</v>
      </c>
      <c r="B1952" t="inlineStr">
        <is>
          <t>A-5058__21</t>
        </is>
      </c>
      <c r="C1952" s="1" t="n">
        <v>37.2251498117</v>
      </c>
      <c r="D1952" s="1" t="n">
        <v>-7.03256114035</v>
      </c>
      <c r="E1952" s="3" t="n">
        <v>3</v>
      </c>
      <c r="F1952" s="2" t="n">
        <v>3</v>
      </c>
      <c r="G1952" s="4" t="n">
        <v>3</v>
      </c>
      <c r="H1952" s="13" t="n"/>
      <c r="I1952" s="15" t="n"/>
      <c r="J1952" s="19" t="n">
        <v>3</v>
      </c>
      <c r="K1952" s="2" t="inlineStr">
        <is>
          <t>marker_207_380082.png</t>
        </is>
      </c>
      <c r="L1952" s="11">
        <f>HYPERLINK("3\0\" &amp; K1952, "Ver Imagen")</f>
        <v/>
      </c>
      <c r="M1952" t="inlineStr">
        <is>
          <t>Moda</t>
        </is>
      </c>
    </row>
    <row r="1953">
      <c r="A1953" t="n">
        <v>1952</v>
      </c>
      <c r="B1953" t="inlineStr">
        <is>
          <t>A-5058__23</t>
        </is>
      </c>
      <c r="C1953" s="1" t="n">
        <v>37.225037896</v>
      </c>
      <c r="D1953" s="1" t="n">
        <v>-7.03306933498</v>
      </c>
      <c r="E1953" s="3" t="n">
        <v>3</v>
      </c>
      <c r="F1953" s="2" t="n">
        <v>3</v>
      </c>
      <c r="G1953" s="4" t="n">
        <v>3</v>
      </c>
      <c r="H1953" s="13" t="n"/>
      <c r="I1953" s="15" t="n"/>
      <c r="J1953" s="19" t="n">
        <v>3</v>
      </c>
      <c r="K1953" s="2" t="inlineStr">
        <is>
          <t>marker_268_380107.png</t>
        </is>
      </c>
      <c r="L1953" s="11">
        <f>HYPERLINK("3\0\" &amp; K1953, "Ver Imagen")</f>
        <v/>
      </c>
      <c r="M1953" t="inlineStr">
        <is>
          <t>Moda</t>
        </is>
      </c>
    </row>
    <row r="1954">
      <c r="A1954" t="n">
        <v>1953</v>
      </c>
      <c r="B1954" t="inlineStr">
        <is>
          <t>A-5058__28</t>
        </is>
      </c>
      <c r="C1954" s="1" t="n">
        <v>37.2246757666</v>
      </c>
      <c r="D1954" s="1" t="n">
        <v>-7.0342272152</v>
      </c>
      <c r="E1954" s="3" t="n">
        <v>3</v>
      </c>
      <c r="F1954" s="2" t="n">
        <v>3</v>
      </c>
      <c r="G1954" s="4" t="n">
        <v>3</v>
      </c>
      <c r="H1954" s="13" t="n"/>
      <c r="I1954" s="15" t="n"/>
      <c r="J1954" s="19" t="n">
        <v>3</v>
      </c>
      <c r="K1954" s="2" t="inlineStr">
        <is>
          <t>marker_323_380169.png</t>
        </is>
      </c>
      <c r="L1954" s="11">
        <f>HYPERLINK("3\0\" &amp; K1954, "Ver Imagen")</f>
        <v/>
      </c>
      <c r="M1954" t="inlineStr">
        <is>
          <t>Moda</t>
        </is>
      </c>
    </row>
    <row r="1955">
      <c r="A1955" t="n">
        <v>1954</v>
      </c>
      <c r="B1955" t="inlineStr">
        <is>
          <t>A-5058__30</t>
        </is>
      </c>
      <c r="C1955" s="1" t="n">
        <v>37.2245641575</v>
      </c>
      <c r="D1955" s="1" t="n">
        <v>-7.03468739787</v>
      </c>
      <c r="E1955" s="3" t="n">
        <v>3</v>
      </c>
      <c r="F1955" s="2" t="n">
        <v>3</v>
      </c>
      <c r="G1955" s="4" t="n">
        <v>3</v>
      </c>
      <c r="H1955" s="13" t="n"/>
      <c r="I1955" s="15" t="n"/>
      <c r="J1955" s="19" t="n">
        <v>3</v>
      </c>
      <c r="K1955" s="2" t="inlineStr">
        <is>
          <t>marker_916_380191.png</t>
        </is>
      </c>
      <c r="L1955" s="11">
        <f>HYPERLINK("3\0\" &amp; K1955, "Ver Imagen")</f>
        <v/>
      </c>
      <c r="M1955" t="inlineStr">
        <is>
          <t>Moda</t>
        </is>
      </c>
    </row>
    <row r="1956">
      <c r="A1956" t="n">
        <v>1955</v>
      </c>
      <c r="B1956" t="inlineStr">
        <is>
          <t>A-495__167</t>
        </is>
      </c>
      <c r="C1956" s="1" t="n">
        <v>37.4316966268</v>
      </c>
      <c r="D1956" s="1" t="n">
        <v>-7.06219628807</v>
      </c>
      <c r="E1956" s="3" t="n">
        <v>3</v>
      </c>
      <c r="F1956" s="2" t="n">
        <v>3</v>
      </c>
      <c r="G1956" s="4" t="n">
        <v>3</v>
      </c>
      <c r="H1956" s="13" t="n"/>
      <c r="I1956" s="15" t="n"/>
      <c r="J1956" s="19" t="n">
        <v>3</v>
      </c>
      <c r="K1956" s="2" t="inlineStr">
        <is>
          <t>marker_855_382883.png</t>
        </is>
      </c>
      <c r="L1956" s="11">
        <f>HYPERLINK("3\0\" &amp; K1956, "Ver Imagen")</f>
        <v/>
      </c>
      <c r="M1956" t="inlineStr">
        <is>
          <t>Moda</t>
        </is>
      </c>
    </row>
    <row r="1957">
      <c r="A1957" t="n">
        <v>1956</v>
      </c>
      <c r="B1957" t="inlineStr">
        <is>
          <t>A-5058__36</t>
        </is>
      </c>
      <c r="C1957" s="1" t="n">
        <v>37.2245582557</v>
      </c>
      <c r="D1957" s="1" t="n">
        <v>-7.03596621125</v>
      </c>
      <c r="E1957" s="3" t="n">
        <v>3</v>
      </c>
      <c r="F1957" s="2" t="n">
        <v>3</v>
      </c>
      <c r="G1957" s="4" t="n">
        <v>3</v>
      </c>
      <c r="H1957" s="13" t="n"/>
      <c r="I1957" s="15" t="n"/>
      <c r="J1957" s="19" t="n">
        <v>3</v>
      </c>
      <c r="K1957" s="2" t="inlineStr">
        <is>
          <t>marker_453_380254.png</t>
        </is>
      </c>
      <c r="L1957" s="11">
        <f>HYPERLINK("3\0\" &amp; K1957, "Ver Imagen")</f>
        <v/>
      </c>
      <c r="M1957" t="inlineStr">
        <is>
          <t>Moda</t>
        </is>
      </c>
    </row>
    <row r="1958">
      <c r="A1958" t="n">
        <v>1957</v>
      </c>
      <c r="B1958" t="inlineStr">
        <is>
          <t>A-5058__41</t>
        </is>
      </c>
      <c r="C1958" s="1" t="n">
        <v>37.2246116763</v>
      </c>
      <c r="D1958" s="1" t="n">
        <v>-7.0372407291</v>
      </c>
      <c r="E1958" s="3" t="n">
        <v>3</v>
      </c>
      <c r="F1958" s="2" t="n">
        <v>3</v>
      </c>
      <c r="G1958" s="4" t="n">
        <v>3</v>
      </c>
      <c r="H1958" s="13" t="n"/>
      <c r="I1958" s="15" t="n"/>
      <c r="J1958" s="19" t="n">
        <v>3</v>
      </c>
      <c r="K1958" s="2" t="inlineStr">
        <is>
          <t>marker_267_380312.png</t>
        </is>
      </c>
      <c r="L1958" s="11">
        <f>HYPERLINK("3\0\" &amp; K1958, "Ver Imagen")</f>
        <v/>
      </c>
      <c r="M1958" t="inlineStr">
        <is>
          <t>Moda</t>
        </is>
      </c>
    </row>
    <row r="1959">
      <c r="A1959" t="n">
        <v>1958</v>
      </c>
      <c r="B1959" t="inlineStr">
        <is>
          <t>A-5058__59</t>
        </is>
      </c>
      <c r="C1959" s="1" t="n">
        <v>37.2254824702</v>
      </c>
      <c r="D1959" s="1" t="n">
        <v>-7.04163785379</v>
      </c>
      <c r="E1959" s="3" t="n">
        <v>3</v>
      </c>
      <c r="F1959" s="2" t="n">
        <v>3</v>
      </c>
      <c r="G1959" s="4" t="n">
        <v>3</v>
      </c>
      <c r="H1959" s="13" t="n"/>
      <c r="I1959" s="15" t="n"/>
      <c r="J1959" s="19" t="n">
        <v>3</v>
      </c>
      <c r="K1959" s="2" t="inlineStr">
        <is>
          <t>marker_910_380634.png</t>
        </is>
      </c>
      <c r="L1959" s="11">
        <f>HYPERLINK("3\0\" &amp; K1959, "Ver Imagen")</f>
        <v/>
      </c>
      <c r="M1959" t="inlineStr">
        <is>
          <t>Moda</t>
        </is>
      </c>
    </row>
    <row r="1960">
      <c r="A1960" t="n">
        <v>1959</v>
      </c>
      <c r="B1960" t="inlineStr">
        <is>
          <t>A-5058__73</t>
        </is>
      </c>
      <c r="C1960" s="1" t="n">
        <v>37.2269331457</v>
      </c>
      <c r="D1960" s="1" t="n">
        <v>-7.04464648677</v>
      </c>
      <c r="E1960" s="3" t="n">
        <v>3</v>
      </c>
      <c r="F1960" s="2" t="n">
        <v>3</v>
      </c>
      <c r="G1960" s="4" t="n">
        <v>3</v>
      </c>
      <c r="H1960" s="13" t="n"/>
      <c r="I1960" s="15" t="n"/>
      <c r="J1960" s="19" t="n">
        <v>3</v>
      </c>
      <c r="K1960" s="2" t="inlineStr">
        <is>
          <t>marker_447_380784.png</t>
        </is>
      </c>
      <c r="L1960" s="11">
        <f>HYPERLINK("3\0\" &amp; K1960, "Ver Imagen")</f>
        <v/>
      </c>
      <c r="M1960" t="inlineStr">
        <is>
          <t>Moda</t>
        </is>
      </c>
    </row>
    <row r="1961">
      <c r="A1961" t="n">
        <v>1960</v>
      </c>
      <c r="B1961" t="inlineStr">
        <is>
          <t>A-5058__80</t>
        </is>
      </c>
      <c r="C1961" s="1" t="n">
        <v>37.2280394386</v>
      </c>
      <c r="D1961" s="1" t="n">
        <v>-7.04576345667</v>
      </c>
      <c r="E1961" s="3" t="n">
        <v>3</v>
      </c>
      <c r="F1961" s="2" t="n">
        <v>3</v>
      </c>
      <c r="G1961" s="4" t="n">
        <v>3</v>
      </c>
      <c r="H1961" s="13" t="n"/>
      <c r="I1961" s="15" t="n"/>
      <c r="J1961" s="19" t="n">
        <v>3</v>
      </c>
      <c r="K1961" s="2" t="inlineStr">
        <is>
          <t>marker_770_380860.png</t>
        </is>
      </c>
      <c r="L1961" s="11">
        <f>HYPERLINK("3\0\" &amp; K1961, "Ver Imagen")</f>
        <v/>
      </c>
      <c r="M1961" t="inlineStr">
        <is>
          <t>Moda</t>
        </is>
      </c>
    </row>
    <row r="1962">
      <c r="A1962" t="n">
        <v>1961</v>
      </c>
      <c r="B1962" t="inlineStr">
        <is>
          <t>A-5058__81</t>
        </is>
      </c>
      <c r="C1962" s="1" t="n">
        <v>37.2282149138</v>
      </c>
      <c r="D1962" s="1" t="n">
        <v>-7.04595352479</v>
      </c>
      <c r="E1962" s="3" t="n">
        <v>3</v>
      </c>
      <c r="F1962" s="2" t="n">
        <v>3</v>
      </c>
      <c r="G1962" s="4" t="n">
        <v>3</v>
      </c>
      <c r="H1962" s="13" t="n"/>
      <c r="I1962" s="15" t="n"/>
      <c r="J1962" s="19" t="n">
        <v>3</v>
      </c>
      <c r="K1962" s="2" t="inlineStr">
        <is>
          <t>marker_320_380872.png</t>
        </is>
      </c>
      <c r="L1962" s="11">
        <f>HYPERLINK("3\0\" &amp; K1962, "Ver Imagen")</f>
        <v/>
      </c>
      <c r="M1962" t="inlineStr">
        <is>
          <t>Moda</t>
        </is>
      </c>
    </row>
    <row r="1963">
      <c r="A1963" t="n">
        <v>1962</v>
      </c>
      <c r="B1963" t="inlineStr">
        <is>
          <t>A-5058__102</t>
        </is>
      </c>
      <c r="C1963" s="1" t="n">
        <v>37.2308231911</v>
      </c>
      <c r="D1963" s="1" t="n">
        <v>-7.05009884421</v>
      </c>
      <c r="E1963" s="3" t="n">
        <v>3</v>
      </c>
      <c r="F1963" s="2" t="n">
        <v>3</v>
      </c>
      <c r="G1963" s="4" t="n">
        <v>3</v>
      </c>
      <c r="H1963" s="13" t="n"/>
      <c r="I1963" s="15" t="n"/>
      <c r="J1963" s="19" t="n">
        <v>3</v>
      </c>
      <c r="K1963" s="2" t="inlineStr">
        <is>
          <t>marker_302_381139.png</t>
        </is>
      </c>
      <c r="L1963" s="11">
        <f>HYPERLINK("3\0\" &amp; K1963, "Ver Imagen")</f>
        <v/>
      </c>
      <c r="M1963" t="inlineStr">
        <is>
          <t>Moda</t>
        </is>
      </c>
    </row>
    <row r="1964">
      <c r="A1964" t="n">
        <v>1963</v>
      </c>
      <c r="B1964" t="inlineStr">
        <is>
          <t>A-5058__103</t>
        </is>
      </c>
      <c r="C1964" s="1" t="n">
        <v>37.2309401623</v>
      </c>
      <c r="D1964" s="1" t="n">
        <v>-7.05030924039</v>
      </c>
      <c r="E1964" s="3" t="n">
        <v>3</v>
      </c>
      <c r="F1964" s="2" t="n">
        <v>3</v>
      </c>
      <c r="G1964" s="4" t="n">
        <v>3</v>
      </c>
      <c r="H1964" s="13" t="n"/>
      <c r="I1964" s="15" t="n"/>
      <c r="J1964" s="19" t="n">
        <v>3</v>
      </c>
      <c r="K1964" s="2" t="inlineStr">
        <is>
          <t>marker_350_381152.png</t>
        </is>
      </c>
      <c r="L1964" s="11">
        <f>HYPERLINK("3\0\" &amp; K1964, "Ver Imagen")</f>
        <v/>
      </c>
      <c r="M1964" t="inlineStr">
        <is>
          <t>Moda</t>
        </is>
      </c>
    </row>
    <row r="1965">
      <c r="A1965" t="n">
        <v>1964</v>
      </c>
      <c r="B1965" t="inlineStr">
        <is>
          <t>A-5058__111</t>
        </is>
      </c>
      <c r="C1965" s="1" t="n">
        <v>37.2318453375</v>
      </c>
      <c r="D1965" s="1" t="n">
        <v>-7.05200667346</v>
      </c>
      <c r="E1965" s="3" t="n">
        <v>3</v>
      </c>
      <c r="F1965" s="2" t="n">
        <v>3</v>
      </c>
      <c r="G1965" s="4" t="n">
        <v>3</v>
      </c>
      <c r="H1965" s="13" t="n"/>
      <c r="I1965" s="15" t="n"/>
      <c r="J1965" s="19" t="n">
        <v>3</v>
      </c>
      <c r="K1965" s="2" t="inlineStr">
        <is>
          <t>marker_686_381249.png</t>
        </is>
      </c>
      <c r="L1965" s="11">
        <f>HYPERLINK("3\0\" &amp; K1965, "Ver Imagen")</f>
        <v/>
      </c>
      <c r="M1965" t="inlineStr">
        <is>
          <t>Moda</t>
        </is>
      </c>
    </row>
    <row r="1966">
      <c r="A1966" t="n">
        <v>1965</v>
      </c>
      <c r="B1966" t="inlineStr">
        <is>
          <t>A-5058__118</t>
        </is>
      </c>
      <c r="C1966" s="1" t="n">
        <v>37.2326332982</v>
      </c>
      <c r="D1966" s="1" t="n">
        <v>-7.05348542816</v>
      </c>
      <c r="E1966" s="3" t="n">
        <v>3</v>
      </c>
      <c r="F1966" s="2" t="n">
        <v>3</v>
      </c>
      <c r="G1966" s="4" t="n">
        <v>3</v>
      </c>
      <c r="H1966" s="13" t="n"/>
      <c r="I1966" s="15" t="n"/>
      <c r="J1966" s="19" t="n">
        <v>3</v>
      </c>
      <c r="K1966" s="2" t="inlineStr">
        <is>
          <t>marker_937_381324.png</t>
        </is>
      </c>
      <c r="L1966" s="11">
        <f>HYPERLINK("3\0\" &amp; K1966, "Ver Imagen")</f>
        <v/>
      </c>
      <c r="M1966" t="inlineStr">
        <is>
          <t>Moda</t>
        </is>
      </c>
    </row>
    <row r="1967">
      <c r="A1967" t="n">
        <v>1966</v>
      </c>
      <c r="B1967" t="inlineStr">
        <is>
          <t>A-5058__135</t>
        </is>
      </c>
      <c r="C1967" s="1" t="n">
        <v>37.2338364099</v>
      </c>
      <c r="D1967" s="1" t="n">
        <v>-7.05747788397</v>
      </c>
      <c r="E1967" s="3" t="n">
        <v>3</v>
      </c>
      <c r="F1967" s="2" t="n">
        <v>3</v>
      </c>
      <c r="G1967" s="4" t="n">
        <v>3</v>
      </c>
      <c r="H1967" s="13" t="n"/>
      <c r="I1967" s="15" t="n"/>
      <c r="J1967" s="19" t="n">
        <v>3</v>
      </c>
      <c r="K1967" s="2" t="inlineStr">
        <is>
          <t>marker_535_381518.png</t>
        </is>
      </c>
      <c r="L1967" s="11">
        <f>HYPERLINK("3\0\" &amp; K1967, "Ver Imagen")</f>
        <v/>
      </c>
      <c r="M1967" t="inlineStr">
        <is>
          <t>Moda</t>
        </is>
      </c>
    </row>
    <row r="1968">
      <c r="A1968" t="n">
        <v>1967</v>
      </c>
      <c r="B1968" t="inlineStr">
        <is>
          <t>A-5058__141</t>
        </is>
      </c>
      <c r="C1968" s="1" t="n">
        <v>37.2341199229</v>
      </c>
      <c r="D1968" s="1" t="n">
        <v>-7.05900984446</v>
      </c>
      <c r="E1968" s="3" t="n">
        <v>3</v>
      </c>
      <c r="F1968" s="2" t="n">
        <v>3</v>
      </c>
      <c r="G1968" s="4" t="n">
        <v>3</v>
      </c>
      <c r="H1968" s="13" t="n"/>
      <c r="I1968" s="15" t="n"/>
      <c r="J1968" s="19" t="n">
        <v>3</v>
      </c>
      <c r="K1968" s="2" t="inlineStr">
        <is>
          <t>marker_490_381597.png</t>
        </is>
      </c>
      <c r="L1968" s="11">
        <f>HYPERLINK("3\0\" &amp; K1968, "Ver Imagen")</f>
        <v/>
      </c>
      <c r="M1968" t="inlineStr">
        <is>
          <t>Moda</t>
        </is>
      </c>
    </row>
    <row r="1969">
      <c r="A1969" t="n">
        <v>1968</v>
      </c>
      <c r="B1969" t="inlineStr">
        <is>
          <t>A-5058__145</t>
        </is>
      </c>
      <c r="C1969" s="1" t="n">
        <v>37.2341338302</v>
      </c>
      <c r="D1969" s="1" t="n">
        <v>-7.05999058037</v>
      </c>
      <c r="E1969" s="3" t="n">
        <v>3</v>
      </c>
      <c r="F1969" s="2" t="n">
        <v>3</v>
      </c>
      <c r="G1969" s="4" t="n">
        <v>3</v>
      </c>
      <c r="H1969" s="13" t="n"/>
      <c r="I1969" s="15" t="n"/>
      <c r="J1969" s="19" t="n">
        <v>3</v>
      </c>
      <c r="K1969" s="2" t="inlineStr">
        <is>
          <t>marker_940_381641.png</t>
        </is>
      </c>
      <c r="L1969" s="11">
        <f>HYPERLINK("3\0\" &amp; K1969, "Ver Imagen")</f>
        <v/>
      </c>
      <c r="M1969" t="inlineStr">
        <is>
          <t>Moda</t>
        </is>
      </c>
    </row>
    <row r="1970">
      <c r="A1970" t="n">
        <v>1969</v>
      </c>
      <c r="B1970" t="inlineStr">
        <is>
          <t>A-5058__149</t>
        </is>
      </c>
      <c r="C1970" s="1" t="n">
        <v>37.2341195436</v>
      </c>
      <c r="D1970" s="1" t="n">
        <v>-7.06104765236</v>
      </c>
      <c r="E1970" s="3" t="n">
        <v>3</v>
      </c>
      <c r="F1970" s="2" t="n">
        <v>3</v>
      </c>
      <c r="G1970" s="4" t="n">
        <v>3</v>
      </c>
      <c r="H1970" s="13" t="n"/>
      <c r="I1970" s="15" t="n"/>
      <c r="J1970" s="19" t="n">
        <v>3</v>
      </c>
      <c r="K1970" s="2" t="inlineStr">
        <is>
          <t>marker_592_381691.png</t>
        </is>
      </c>
      <c r="L1970" s="11">
        <f>HYPERLINK("3\0\" &amp; K1970, "Ver Imagen")</f>
        <v/>
      </c>
      <c r="M1970" t="inlineStr">
        <is>
          <t>Moda</t>
        </is>
      </c>
    </row>
    <row r="1971">
      <c r="A1971" t="n">
        <v>1970</v>
      </c>
      <c r="B1971" t="inlineStr">
        <is>
          <t>A-5058__151</t>
        </is>
      </c>
      <c r="C1971" s="1" t="n">
        <v>37.234108371</v>
      </c>
      <c r="D1971" s="1" t="n">
        <v>-7.06149466344</v>
      </c>
      <c r="E1971" s="3" t="n">
        <v>3</v>
      </c>
      <c r="F1971" s="2" t="n">
        <v>3</v>
      </c>
      <c r="G1971" s="4" t="n">
        <v>3</v>
      </c>
      <c r="H1971" s="13" t="n"/>
      <c r="I1971" s="15" t="n"/>
      <c r="J1971" s="19" t="n">
        <v>3</v>
      </c>
      <c r="K1971" s="2" t="inlineStr">
        <is>
          <t>marker_984_381718.png</t>
        </is>
      </c>
      <c r="L1971" s="11">
        <f>HYPERLINK("3\0\" &amp; K1971, "Ver Imagen")</f>
        <v/>
      </c>
      <c r="M1971" t="inlineStr">
        <is>
          <t>Moda</t>
        </is>
      </c>
    </row>
    <row r="1972">
      <c r="A1972" t="n">
        <v>1971</v>
      </c>
      <c r="B1972" t="inlineStr">
        <is>
          <t>A-5058__152</t>
        </is>
      </c>
      <c r="C1972" s="1" t="n">
        <v>37.2340977651</v>
      </c>
      <c r="D1972" s="1" t="n">
        <v>-7.06177771455</v>
      </c>
      <c r="E1972" s="3" t="n">
        <v>3</v>
      </c>
      <c r="F1972" s="2" t="n">
        <v>3</v>
      </c>
      <c r="G1972" s="4" t="n">
        <v>3</v>
      </c>
      <c r="H1972" s="13" t="n"/>
      <c r="I1972" s="15" t="n"/>
      <c r="J1972" s="19" t="n">
        <v>3</v>
      </c>
      <c r="K1972" s="2" t="inlineStr">
        <is>
          <t>marker_515_381731.png</t>
        </is>
      </c>
      <c r="L1972" s="11">
        <f>HYPERLINK("3\0\" &amp; K1972, "Ver Imagen")</f>
        <v/>
      </c>
      <c r="M1972" t="inlineStr">
        <is>
          <t>Moda</t>
        </is>
      </c>
    </row>
    <row r="1973">
      <c r="A1973" t="n">
        <v>1972</v>
      </c>
      <c r="B1973" t="inlineStr">
        <is>
          <t>A-5058__154</t>
        </is>
      </c>
      <c r="C1973" s="1" t="n">
        <v>37.2340819431</v>
      </c>
      <c r="D1973" s="1" t="n">
        <v>-7.06227538628</v>
      </c>
      <c r="E1973" s="3" t="n">
        <v>3</v>
      </c>
      <c r="F1973" s="2" t="n">
        <v>3</v>
      </c>
      <c r="G1973" s="4" t="n">
        <v>3</v>
      </c>
      <c r="H1973" s="13" t="n"/>
      <c r="I1973" s="15" t="n"/>
      <c r="J1973" s="19" t="n">
        <v>3</v>
      </c>
      <c r="K1973" s="2" t="inlineStr">
        <is>
          <t>marker_753_381750.png</t>
        </is>
      </c>
      <c r="L1973" s="11">
        <f>HYPERLINK("3\0\" &amp; K1973, "Ver Imagen")</f>
        <v/>
      </c>
      <c r="M1973" t="inlineStr">
        <is>
          <t>Moda</t>
        </is>
      </c>
    </row>
    <row r="1974">
      <c r="A1974" t="n">
        <v>1973</v>
      </c>
      <c r="B1974" t="inlineStr">
        <is>
          <t>A-5058__157</t>
        </is>
      </c>
      <c r="C1974" s="1" t="n">
        <v>37.2340616137</v>
      </c>
      <c r="D1974" s="1" t="n">
        <v>-7.06304536867</v>
      </c>
      <c r="E1974" s="3" t="n">
        <v>3</v>
      </c>
      <c r="F1974" s="2" t="n">
        <v>3</v>
      </c>
      <c r="G1974" s="4" t="n">
        <v>3</v>
      </c>
      <c r="H1974" s="13" t="n"/>
      <c r="I1974" s="15" t="n"/>
      <c r="J1974" s="19" t="n">
        <v>3</v>
      </c>
      <c r="K1974" s="2" t="inlineStr">
        <is>
          <t>marker_896_381776.png</t>
        </is>
      </c>
      <c r="L1974" s="11">
        <f>HYPERLINK("3\0\" &amp; K1974, "Ver Imagen")</f>
        <v/>
      </c>
      <c r="M1974" t="inlineStr">
        <is>
          <t>Moda</t>
        </is>
      </c>
    </row>
    <row r="1975">
      <c r="A1975" t="n">
        <v>1974</v>
      </c>
      <c r="B1975" t="inlineStr">
        <is>
          <t>A-5058__158</t>
        </is>
      </c>
      <c r="C1975" s="1" t="n">
        <v>37.234053375</v>
      </c>
      <c r="D1975" s="1" t="n">
        <v>-7.06330480056</v>
      </c>
      <c r="E1975" s="3" t="n">
        <v>3</v>
      </c>
      <c r="F1975" s="2" t="n">
        <v>3</v>
      </c>
      <c r="G1975" s="4" t="n">
        <v>3</v>
      </c>
      <c r="H1975" s="13" t="n"/>
      <c r="I1975" s="15" t="n"/>
      <c r="J1975" s="19" t="n">
        <v>3</v>
      </c>
      <c r="K1975" s="2" t="inlineStr">
        <is>
          <t>marker_858_381802.png</t>
        </is>
      </c>
      <c r="L1975" s="11">
        <f>HYPERLINK("3\0\" &amp; K1975, "Ver Imagen")</f>
        <v/>
      </c>
      <c r="M1975" t="inlineStr">
        <is>
          <t>Moda</t>
        </is>
      </c>
    </row>
    <row r="1976">
      <c r="A1976" t="n">
        <v>1975</v>
      </c>
      <c r="B1976" t="inlineStr">
        <is>
          <t>A-5058__159</t>
        </is>
      </c>
      <c r="C1976" s="1" t="n">
        <v>37.2340456412</v>
      </c>
      <c r="D1976" s="1" t="n">
        <v>-7.0635552319</v>
      </c>
      <c r="E1976" s="3" t="n">
        <v>3</v>
      </c>
      <c r="F1976" s="2" t="n">
        <v>3</v>
      </c>
      <c r="G1976" s="4" t="n">
        <v>3</v>
      </c>
      <c r="H1976" s="13" t="n"/>
      <c r="I1976" s="15" t="n"/>
      <c r="J1976" s="19" t="n">
        <v>3</v>
      </c>
      <c r="K1976" s="2" t="inlineStr">
        <is>
          <t>marker_888_381815.png</t>
        </is>
      </c>
      <c r="L1976" s="11">
        <f>HYPERLINK("3\0\" &amp; K1976, "Ver Imagen")</f>
        <v/>
      </c>
      <c r="M1976" t="inlineStr">
        <is>
          <t>Moda</t>
        </is>
      </c>
    </row>
    <row r="1977">
      <c r="A1977" t="n">
        <v>1976</v>
      </c>
      <c r="B1977" t="inlineStr">
        <is>
          <t>A-5058__161</t>
        </is>
      </c>
      <c r="C1977" s="1" t="n">
        <v>37.2340295254</v>
      </c>
      <c r="D1977" s="1" t="n">
        <v>-7.06405336537</v>
      </c>
      <c r="E1977" s="3" t="n">
        <v>3</v>
      </c>
      <c r="F1977" s="2" t="n">
        <v>3</v>
      </c>
      <c r="G1977" s="4" t="n">
        <v>3</v>
      </c>
      <c r="H1977" s="13" t="n"/>
      <c r="I1977" s="15" t="n"/>
      <c r="J1977" s="19" t="n">
        <v>3</v>
      </c>
      <c r="K1977" s="2" t="inlineStr">
        <is>
          <t>marker_277_381834.png</t>
        </is>
      </c>
      <c r="L1977" s="11">
        <f>HYPERLINK("3\0\" &amp; K1977, "Ver Imagen")</f>
        <v/>
      </c>
      <c r="M1977" t="inlineStr">
        <is>
          <t>Moda</t>
        </is>
      </c>
    </row>
    <row r="1978">
      <c r="A1978" t="n">
        <v>1977</v>
      </c>
      <c r="B1978" t="inlineStr">
        <is>
          <t>A-5058__162</t>
        </is>
      </c>
      <c r="C1978" s="1" t="n">
        <v>37.2340190431</v>
      </c>
      <c r="D1978" s="1" t="n">
        <v>-7.0643162421</v>
      </c>
      <c r="E1978" s="3" t="n">
        <v>3</v>
      </c>
      <c r="F1978" s="2" t="n">
        <v>3</v>
      </c>
      <c r="G1978" s="4" t="n">
        <v>3</v>
      </c>
      <c r="H1978" s="13" t="n"/>
      <c r="I1978" s="15" t="n"/>
      <c r="J1978" s="19" t="n">
        <v>3</v>
      </c>
      <c r="K1978" s="2" t="inlineStr">
        <is>
          <t>marker_395_381843.png</t>
        </is>
      </c>
      <c r="L1978" s="11">
        <f>HYPERLINK("3\0\" &amp; K1978, "Ver Imagen")</f>
        <v/>
      </c>
      <c r="M1978" t="inlineStr">
        <is>
          <t>Moda</t>
        </is>
      </c>
    </row>
    <row r="1979">
      <c r="A1979" t="n">
        <v>1978</v>
      </c>
      <c r="B1979" t="inlineStr">
        <is>
          <t>A-5058__164</t>
        </is>
      </c>
      <c r="C1979" s="1" t="n">
        <v>37.2339871219</v>
      </c>
      <c r="D1979" s="1" t="n">
        <v>-7.0648170331</v>
      </c>
      <c r="E1979" s="3" t="n">
        <v>3</v>
      </c>
      <c r="F1979" s="2" t="n">
        <v>3</v>
      </c>
      <c r="G1979" s="4" t="n">
        <v>3</v>
      </c>
      <c r="H1979" s="13" t="n"/>
      <c r="I1979" s="15" t="n"/>
      <c r="J1979" s="19" t="n">
        <v>3</v>
      </c>
      <c r="K1979" s="2" t="inlineStr">
        <is>
          <t>marker_201_381865.png</t>
        </is>
      </c>
      <c r="L1979" s="11">
        <f>HYPERLINK("3\0\" &amp; K1979, "Ver Imagen")</f>
        <v/>
      </c>
      <c r="M1979" t="inlineStr">
        <is>
          <t>Moda</t>
        </is>
      </c>
    </row>
    <row r="1980">
      <c r="A1980" t="n">
        <v>1979</v>
      </c>
      <c r="B1980" t="inlineStr">
        <is>
          <t>A-5058__167</t>
        </is>
      </c>
      <c r="C1980" s="1" t="n">
        <v>37.2339083103</v>
      </c>
      <c r="D1980" s="1" t="n">
        <v>-7.0655478998</v>
      </c>
      <c r="E1980" s="3" t="n">
        <v>3</v>
      </c>
      <c r="F1980" s="2" t="n">
        <v>3</v>
      </c>
      <c r="G1980" s="4" t="n">
        <v>3</v>
      </c>
      <c r="H1980" s="13" t="n"/>
      <c r="I1980" s="15" t="n"/>
      <c r="J1980" s="19" t="n">
        <v>3</v>
      </c>
      <c r="K1980" s="2" t="inlineStr">
        <is>
          <t>marker_844_382002.png</t>
        </is>
      </c>
      <c r="L1980" s="11">
        <f>HYPERLINK("3\0\" &amp; K1980, "Ver Imagen")</f>
        <v/>
      </c>
      <c r="M1980" t="inlineStr">
        <is>
          <t>Moda</t>
        </is>
      </c>
    </row>
    <row r="1981">
      <c r="A1981" t="n">
        <v>1980</v>
      </c>
      <c r="B1981" t="inlineStr">
        <is>
          <t>A-5058__173</t>
        </is>
      </c>
      <c r="C1981" s="1" t="n">
        <v>37.2337224635</v>
      </c>
      <c r="D1981" s="1" t="n">
        <v>-7.06688300696</v>
      </c>
      <c r="E1981" s="3" t="n">
        <v>3</v>
      </c>
      <c r="F1981" s="2" t="n">
        <v>3</v>
      </c>
      <c r="G1981" s="4" t="n">
        <v>3</v>
      </c>
      <c r="H1981" s="13" t="n"/>
      <c r="I1981" s="15" t="n"/>
      <c r="J1981" s="19" t="n">
        <v>3</v>
      </c>
      <c r="K1981" s="2" t="inlineStr">
        <is>
          <t>marker_833_382428.png</t>
        </is>
      </c>
      <c r="L1981" s="11">
        <f>HYPERLINK("3\0\" &amp; K1981, "Ver Imagen")</f>
        <v/>
      </c>
      <c r="M1981" t="inlineStr">
        <is>
          <t>Moda</t>
        </is>
      </c>
    </row>
    <row r="1982">
      <c r="A1982" t="n">
        <v>1981</v>
      </c>
      <c r="B1982" t="inlineStr">
        <is>
          <t>A-5058__175</t>
        </is>
      </c>
      <c r="C1982" s="1" t="n">
        <v>37.2336021269</v>
      </c>
      <c r="D1982" s="1" t="n">
        <v>-7.06742199278</v>
      </c>
      <c r="E1982" s="3" t="n">
        <v>3</v>
      </c>
      <c r="F1982" s="2" t="n">
        <v>3</v>
      </c>
      <c r="G1982" s="4" t="n">
        <v>3</v>
      </c>
      <c r="H1982" s="13" t="n"/>
      <c r="I1982" s="15" t="n"/>
      <c r="J1982" s="19" t="n">
        <v>3</v>
      </c>
      <c r="K1982" s="2" t="inlineStr">
        <is>
          <t>marker_993_382465.png</t>
        </is>
      </c>
      <c r="L1982" s="11">
        <f>HYPERLINK("3\0\" &amp; K1982, "Ver Imagen")</f>
        <v/>
      </c>
      <c r="M1982" t="inlineStr">
        <is>
          <t>Moda</t>
        </is>
      </c>
    </row>
    <row r="1983">
      <c r="A1983" t="n">
        <v>1982</v>
      </c>
      <c r="B1983" t="inlineStr">
        <is>
          <t>A-5058__177</t>
        </is>
      </c>
      <c r="C1983" s="1" t="n">
        <v>37.2335742337</v>
      </c>
      <c r="D1983" s="1" t="n">
        <v>-7.06788088492</v>
      </c>
      <c r="E1983" s="3" t="n">
        <v>3</v>
      </c>
      <c r="F1983" s="2" t="n">
        <v>3</v>
      </c>
      <c r="G1983" s="4" t="n">
        <v>3</v>
      </c>
      <c r="H1983" s="13" t="n"/>
      <c r="I1983" s="15" t="n"/>
      <c r="J1983" s="19" t="n">
        <v>3</v>
      </c>
      <c r="K1983" s="2" t="inlineStr">
        <is>
          <t>marker_800_382486.png</t>
        </is>
      </c>
      <c r="L1983" s="11">
        <f>HYPERLINK("3\0\" &amp; K1983, "Ver Imagen")</f>
        <v/>
      </c>
      <c r="M1983" t="inlineStr">
        <is>
          <t>Moda</t>
        </is>
      </c>
    </row>
    <row r="1984">
      <c r="A1984" t="n">
        <v>1983</v>
      </c>
      <c r="B1984" t="inlineStr">
        <is>
          <t>A-5058__181</t>
        </is>
      </c>
      <c r="C1984" s="1" t="n">
        <v>37.2337669611</v>
      </c>
      <c r="D1984" s="1" t="n">
        <v>-7.06884470285</v>
      </c>
      <c r="E1984" s="3" t="n">
        <v>3</v>
      </c>
      <c r="F1984" s="2" t="n">
        <v>3</v>
      </c>
      <c r="G1984" s="4" t="n">
        <v>3</v>
      </c>
      <c r="H1984" s="13" t="n"/>
      <c r="I1984" s="15" t="n"/>
      <c r="J1984" s="19" t="n">
        <v>3</v>
      </c>
      <c r="K1984" s="2" t="inlineStr">
        <is>
          <t>marker_427_382671.png</t>
        </is>
      </c>
      <c r="L1984" s="11">
        <f>HYPERLINK("3\0\" &amp; K1984, "Ver Imagen")</f>
        <v/>
      </c>
      <c r="M1984" t="inlineStr">
        <is>
          <t>Moda</t>
        </is>
      </c>
    </row>
    <row r="1985">
      <c r="A1985" t="n">
        <v>1984</v>
      </c>
      <c r="B1985" t="inlineStr">
        <is>
          <t>A-5058__192</t>
        </is>
      </c>
      <c r="C1985" s="1" t="n">
        <v>37.234504871</v>
      </c>
      <c r="D1985" s="1" t="n">
        <v>-7.07147582918</v>
      </c>
      <c r="E1985" s="3" t="n">
        <v>3</v>
      </c>
      <c r="F1985" s="2" t="n">
        <v>3</v>
      </c>
      <c r="G1985" s="4" t="n">
        <v>3</v>
      </c>
      <c r="H1985" s="13" t="n"/>
      <c r="I1985" s="15" t="n"/>
      <c r="J1985" s="19" t="n">
        <v>3</v>
      </c>
      <c r="K1985" s="2" t="inlineStr">
        <is>
          <t>marker_747_382803.png</t>
        </is>
      </c>
      <c r="L1985" s="11">
        <f>HYPERLINK("3\0\" &amp; K1985, "Ver Imagen")</f>
        <v/>
      </c>
      <c r="M1985" t="inlineStr">
        <is>
          <t>Moda</t>
        </is>
      </c>
    </row>
    <row r="1986">
      <c r="A1986" t="n">
        <v>1985</v>
      </c>
      <c r="B1986" t="inlineStr">
        <is>
          <t>A-5058__202</t>
        </is>
      </c>
      <c r="C1986" s="1" t="n">
        <v>37.2354025039</v>
      </c>
      <c r="D1986" s="1" t="n">
        <v>-7.07374132542</v>
      </c>
      <c r="E1986" s="3" t="n">
        <v>3</v>
      </c>
      <c r="F1986" s="2" t="n">
        <v>3</v>
      </c>
      <c r="G1986" s="4" t="n">
        <v>3</v>
      </c>
      <c r="H1986" s="13" t="n"/>
      <c r="I1986" s="15" t="n"/>
      <c r="J1986" s="19" t="n">
        <v>3</v>
      </c>
      <c r="K1986" s="2" t="inlineStr">
        <is>
          <t>marker_318_382911.png</t>
        </is>
      </c>
      <c r="L1986" s="11">
        <f>HYPERLINK("3\0\" &amp; K1986, "Ver Imagen")</f>
        <v/>
      </c>
      <c r="M1986" t="inlineStr">
        <is>
          <t>Moda</t>
        </is>
      </c>
    </row>
    <row r="1987">
      <c r="A1987" t="n">
        <v>1986</v>
      </c>
      <c r="B1987" t="inlineStr">
        <is>
          <t>A-5058__225</t>
        </is>
      </c>
      <c r="C1987" s="1" t="n">
        <v>37.2380758204</v>
      </c>
      <c r="D1987" s="1" t="n">
        <v>-7.07847464566</v>
      </c>
      <c r="E1987" s="3" t="n">
        <v>3</v>
      </c>
      <c r="F1987" s="2" t="n">
        <v>3</v>
      </c>
      <c r="G1987" s="4" t="n">
        <v>3</v>
      </c>
      <c r="H1987" s="13" t="n"/>
      <c r="I1987" s="15" t="n"/>
      <c r="J1987" s="19" t="n">
        <v>3</v>
      </c>
      <c r="K1987" s="2" t="inlineStr">
        <is>
          <t>marker_972_383191.png</t>
        </is>
      </c>
      <c r="L1987" s="11">
        <f>HYPERLINK("3\0\" &amp; K1987, "Ver Imagen")</f>
        <v/>
      </c>
      <c r="M1987" t="inlineStr">
        <is>
          <t>Moda</t>
        </is>
      </c>
    </row>
    <row r="1988">
      <c r="A1988" t="n">
        <v>1987</v>
      </c>
      <c r="B1988" t="inlineStr">
        <is>
          <t>A-5058__230</t>
        </is>
      </c>
      <c r="C1988" s="1" t="n">
        <v>37.2387287925</v>
      </c>
      <c r="D1988" s="1" t="n">
        <v>-7.07947560172</v>
      </c>
      <c r="E1988" s="3" t="n">
        <v>3</v>
      </c>
      <c r="F1988" s="2" t="n">
        <v>3</v>
      </c>
      <c r="G1988" s="4" t="n">
        <v>3</v>
      </c>
      <c r="H1988" s="13" t="n"/>
      <c r="I1988" s="15" t="n"/>
      <c r="J1988" s="19" t="n">
        <v>3</v>
      </c>
      <c r="K1988" s="2" t="inlineStr">
        <is>
          <t>marker_987_383249.png</t>
        </is>
      </c>
      <c r="L1988" s="11">
        <f>HYPERLINK("3\0\" &amp; K1988, "Ver Imagen")</f>
        <v/>
      </c>
      <c r="M1988" t="inlineStr">
        <is>
          <t>Moda</t>
        </is>
      </c>
    </row>
    <row r="1989">
      <c r="A1989" t="n">
        <v>1988</v>
      </c>
      <c r="B1989" t="inlineStr">
        <is>
          <t>A-5058__233</t>
        </is>
      </c>
      <c r="C1989" s="1" t="n">
        <v>37.2390988046</v>
      </c>
      <c r="D1989" s="1" t="n">
        <v>-7.08002881335</v>
      </c>
      <c r="E1989" s="3" t="n">
        <v>3</v>
      </c>
      <c r="F1989" s="2" t="n">
        <v>3</v>
      </c>
      <c r="G1989" s="4" t="n">
        <v>3</v>
      </c>
      <c r="H1989" s="13" t="n"/>
      <c r="I1989" s="15" t="n"/>
      <c r="J1989" s="19" t="n">
        <v>3</v>
      </c>
      <c r="K1989" s="2" t="inlineStr">
        <is>
          <t>marker_508_383292.png</t>
        </is>
      </c>
      <c r="L1989" s="11">
        <f>HYPERLINK("3\0\" &amp; K1989, "Ver Imagen")</f>
        <v/>
      </c>
      <c r="M1989" t="inlineStr">
        <is>
          <t>Moda</t>
        </is>
      </c>
    </row>
    <row r="1990">
      <c r="A1990" t="n">
        <v>1989</v>
      </c>
      <c r="B1990" t="inlineStr">
        <is>
          <t>A-5058__234</t>
        </is>
      </c>
      <c r="C1990" s="1" t="n">
        <v>37.239242807</v>
      </c>
      <c r="D1990" s="1" t="n">
        <v>-7.08024818365</v>
      </c>
      <c r="E1990" s="3" t="n">
        <v>3</v>
      </c>
      <c r="F1990" s="2" t="n">
        <v>3</v>
      </c>
      <c r="G1990" s="4" t="n">
        <v>3</v>
      </c>
      <c r="H1990" s="13" t="n"/>
      <c r="I1990" s="15" t="n"/>
      <c r="J1990" s="19" t="n">
        <v>3</v>
      </c>
      <c r="K1990" s="2" t="inlineStr">
        <is>
          <t>marker_710_383301.png</t>
        </is>
      </c>
      <c r="L1990" s="11">
        <f>HYPERLINK("3\0\" &amp; K1990, "Ver Imagen")</f>
        <v/>
      </c>
      <c r="M1990" t="inlineStr">
        <is>
          <t>Moda</t>
        </is>
      </c>
    </row>
    <row r="1991">
      <c r="A1991" t="n">
        <v>1990</v>
      </c>
      <c r="B1991" t="inlineStr">
        <is>
          <t>A-5058__235</t>
        </is>
      </c>
      <c r="C1991" s="1" t="n">
        <v>37.2393683325</v>
      </c>
      <c r="D1991" s="1" t="n">
        <v>-7.08044115852</v>
      </c>
      <c r="E1991" s="3" t="n">
        <v>3</v>
      </c>
      <c r="F1991" s="2" t="n">
        <v>3</v>
      </c>
      <c r="G1991" s="4" t="n">
        <v>3</v>
      </c>
      <c r="H1991" s="13" t="n"/>
      <c r="I1991" s="15" t="n"/>
      <c r="J1991" s="19" t="n">
        <v>3</v>
      </c>
      <c r="K1991" s="2" t="inlineStr">
        <is>
          <t>marker_551_383311.png</t>
        </is>
      </c>
      <c r="L1991" s="11">
        <f>HYPERLINK("3\0\" &amp; K1991, "Ver Imagen")</f>
        <v/>
      </c>
      <c r="M1991" t="inlineStr">
        <is>
          <t>Moda</t>
        </is>
      </c>
    </row>
    <row r="1992">
      <c r="A1992" t="n">
        <v>1991</v>
      </c>
      <c r="B1992" t="inlineStr">
        <is>
          <t>A-5058__263</t>
        </is>
      </c>
      <c r="C1992" s="1" t="n">
        <v>37.2425702361</v>
      </c>
      <c r="D1992" s="1" t="n">
        <v>-7.08624630406</v>
      </c>
      <c r="E1992" s="3" t="n">
        <v>3</v>
      </c>
      <c r="F1992" s="2" t="n">
        <v>3</v>
      </c>
      <c r="G1992" s="4" t="n">
        <v>3</v>
      </c>
      <c r="H1992" s="13" t="n"/>
      <c r="I1992" s="15" t="n"/>
      <c r="J1992" s="19" t="n">
        <v>3</v>
      </c>
      <c r="K1992" s="2" t="inlineStr">
        <is>
          <t>marker_105_383712.png</t>
        </is>
      </c>
      <c r="L1992" s="11">
        <f>HYPERLINK("3\0\" &amp; K1992, "Ver Imagen")</f>
        <v/>
      </c>
      <c r="M1992" t="inlineStr">
        <is>
          <t>Moda</t>
        </is>
      </c>
    </row>
    <row r="1993">
      <c r="A1993" t="n">
        <v>1992</v>
      </c>
      <c r="B1993" t="inlineStr">
        <is>
          <t>A-5058__270</t>
        </is>
      </c>
      <c r="C1993" s="1" t="n">
        <v>37.2430306362</v>
      </c>
      <c r="D1993" s="1" t="n">
        <v>-7.08788375722</v>
      </c>
      <c r="E1993" s="3" t="n">
        <v>3</v>
      </c>
      <c r="F1993" s="2" t="n">
        <v>3</v>
      </c>
      <c r="G1993" s="4" t="n">
        <v>3</v>
      </c>
      <c r="H1993" s="13" t="n"/>
      <c r="I1993" s="15" t="n"/>
      <c r="J1993" s="19" t="n">
        <v>3</v>
      </c>
      <c r="K1993" s="2" t="inlineStr">
        <is>
          <t>marker_347_383919.png</t>
        </is>
      </c>
      <c r="L1993" s="11">
        <f>HYPERLINK("3\0\" &amp; K1993, "Ver Imagen")</f>
        <v/>
      </c>
      <c r="M1993" t="inlineStr">
        <is>
          <t>Moda</t>
        </is>
      </c>
    </row>
    <row r="1994">
      <c r="A1994" t="n">
        <v>1993</v>
      </c>
      <c r="B1994" t="inlineStr">
        <is>
          <t>A-5058__271</t>
        </is>
      </c>
      <c r="C1994" s="1" t="n">
        <v>37.2431153512</v>
      </c>
      <c r="D1994" s="1" t="n">
        <v>-7.08811770978</v>
      </c>
      <c r="E1994" s="3" t="n">
        <v>3</v>
      </c>
      <c r="F1994" s="2" t="n">
        <v>3</v>
      </c>
      <c r="G1994" s="4" t="n">
        <v>3</v>
      </c>
      <c r="H1994" s="13" t="n"/>
      <c r="I1994" s="15" t="n"/>
      <c r="J1994" s="19" t="n">
        <v>3</v>
      </c>
      <c r="K1994" s="2" t="inlineStr">
        <is>
          <t>marker_983_383928.png</t>
        </is>
      </c>
      <c r="L1994" s="11">
        <f>HYPERLINK("3\0\" &amp; K1994, "Ver Imagen")</f>
        <v/>
      </c>
      <c r="M1994" t="inlineStr">
        <is>
          <t>Moda</t>
        </is>
      </c>
    </row>
    <row r="1995">
      <c r="A1995" t="n">
        <v>1994</v>
      </c>
      <c r="B1995" t="inlineStr">
        <is>
          <t>A-5058__272</t>
        </is>
      </c>
      <c r="C1995" s="1" t="n">
        <v>37.2432188458</v>
      </c>
      <c r="D1995" s="1" t="n">
        <v>-7.08837389962</v>
      </c>
      <c r="E1995" s="3" t="n">
        <v>3</v>
      </c>
      <c r="F1995" s="2" t="n">
        <v>3</v>
      </c>
      <c r="G1995" s="4" t="n">
        <v>3</v>
      </c>
      <c r="H1995" s="13" t="n"/>
      <c r="I1995" s="15" t="n"/>
      <c r="J1995" s="19" t="n">
        <v>3</v>
      </c>
      <c r="K1995" s="2" t="inlineStr">
        <is>
          <t>marker_856_383943.png</t>
        </is>
      </c>
      <c r="L1995" s="11">
        <f>HYPERLINK("3\0\" &amp; K1995, "Ver Imagen")</f>
        <v/>
      </c>
      <c r="M1995" t="inlineStr">
        <is>
          <t>Moda</t>
        </is>
      </c>
    </row>
    <row r="1996">
      <c r="A1996" t="n">
        <v>1995</v>
      </c>
      <c r="B1996" t="inlineStr">
        <is>
          <t>A-5058__275</t>
        </is>
      </c>
      <c r="C1996" s="1" t="n">
        <v>37.2435117996</v>
      </c>
      <c r="D1996" s="1" t="n">
        <v>-7.0889983276</v>
      </c>
      <c r="E1996" s="3" t="n">
        <v>3</v>
      </c>
      <c r="F1996" s="2" t="n">
        <v>3</v>
      </c>
      <c r="G1996" s="4" t="n">
        <v>3</v>
      </c>
      <c r="H1996" s="13" t="n"/>
      <c r="I1996" s="15" t="n"/>
      <c r="J1996" s="19" t="n">
        <v>3</v>
      </c>
      <c r="K1996" s="2" t="inlineStr">
        <is>
          <t>marker_426_383976.png</t>
        </is>
      </c>
      <c r="L1996" s="11">
        <f>HYPERLINK("3\0\" &amp; K1996, "Ver Imagen")</f>
        <v/>
      </c>
      <c r="M1996" t="inlineStr">
        <is>
          <t>Moda</t>
        </is>
      </c>
    </row>
    <row r="1997">
      <c r="A1997" t="n">
        <v>1996</v>
      </c>
      <c r="B1997" t="inlineStr">
        <is>
          <t>A-5058__277</t>
        </is>
      </c>
      <c r="C1997" s="1" t="n">
        <v>37.2437262045</v>
      </c>
      <c r="D1997" s="1" t="n">
        <v>-7.08942274848</v>
      </c>
      <c r="E1997" s="3" t="n">
        <v>3</v>
      </c>
      <c r="F1997" s="2" t="n">
        <v>3</v>
      </c>
      <c r="G1997" s="4" t="n">
        <v>3</v>
      </c>
      <c r="H1997" s="13" t="n"/>
      <c r="I1997" s="15" t="n"/>
      <c r="J1997" s="19" t="n">
        <v>3</v>
      </c>
      <c r="K1997" s="2" t="inlineStr">
        <is>
          <t>marker_840_383999.png</t>
        </is>
      </c>
      <c r="L1997" s="11">
        <f>HYPERLINK("3\0\" &amp; K1997, "Ver Imagen")</f>
        <v/>
      </c>
      <c r="M1997" t="inlineStr">
        <is>
          <t>Moda</t>
        </is>
      </c>
    </row>
    <row r="1998">
      <c r="A1998" t="n">
        <v>1997</v>
      </c>
      <c r="B1998" t="inlineStr">
        <is>
          <t>A-5058__290</t>
        </is>
      </c>
      <c r="C1998" s="1" t="n">
        <v>37.245103443</v>
      </c>
      <c r="D1998" s="1" t="n">
        <v>-7.09223478001</v>
      </c>
      <c r="E1998" s="3" t="n">
        <v>3</v>
      </c>
      <c r="F1998" s="2" t="n">
        <v>3</v>
      </c>
      <c r="G1998" s="4" t="n">
        <v>3</v>
      </c>
      <c r="H1998" s="13" t="n"/>
      <c r="I1998" s="15" t="n"/>
      <c r="J1998" s="19" t="n">
        <v>3</v>
      </c>
      <c r="K1998" s="2" t="inlineStr">
        <is>
          <t>marker_326_384145.png</t>
        </is>
      </c>
      <c r="L1998" s="11">
        <f>HYPERLINK("3\0\" &amp; K1998, "Ver Imagen")</f>
        <v/>
      </c>
      <c r="M1998" t="inlineStr">
        <is>
          <t>Moda</t>
        </is>
      </c>
    </row>
    <row r="1999">
      <c r="A1999" t="n">
        <v>1998</v>
      </c>
      <c r="B1999" t="inlineStr">
        <is>
          <t>A-5058__293</t>
        </is>
      </c>
      <c r="C1999" s="1" t="n">
        <v>37.2453028766</v>
      </c>
      <c r="D1999" s="1" t="n">
        <v>-7.09293603779</v>
      </c>
      <c r="E1999" s="3" t="n">
        <v>3</v>
      </c>
      <c r="F1999" s="2" t="n">
        <v>3</v>
      </c>
      <c r="G1999" s="4" t="n">
        <v>3</v>
      </c>
      <c r="H1999" s="13" t="n"/>
      <c r="I1999" s="15" t="n"/>
      <c r="J1999" s="19" t="n">
        <v>3</v>
      </c>
      <c r="K1999" s="2" t="inlineStr">
        <is>
          <t>marker_904_384182.png</t>
        </is>
      </c>
      <c r="L1999" s="11">
        <f>HYPERLINK("3\0\" &amp; K1999, "Ver Imagen")</f>
        <v/>
      </c>
      <c r="M1999" t="inlineStr">
        <is>
          <t>Moda</t>
        </is>
      </c>
    </row>
    <row r="2000">
      <c r="A2000" t="n">
        <v>1999</v>
      </c>
      <c r="B2000" t="inlineStr">
        <is>
          <t>A-5058__304</t>
        </is>
      </c>
      <c r="C2000" s="1" t="n">
        <v>37.2455676661</v>
      </c>
      <c r="D2000" s="1" t="n">
        <v>-7.09573568975</v>
      </c>
      <c r="E2000" s="3" t="n">
        <v>3</v>
      </c>
      <c r="F2000" s="2" t="n">
        <v>3</v>
      </c>
      <c r="G2000" s="4" t="n">
        <v>3</v>
      </c>
      <c r="H2000" s="13" t="n"/>
      <c r="I2000" s="15" t="n"/>
      <c r="J2000" s="19" t="n">
        <v>3</v>
      </c>
      <c r="K2000" s="2" t="inlineStr">
        <is>
          <t>marker_577_384321.png</t>
        </is>
      </c>
      <c r="L2000" s="11">
        <f>HYPERLINK("3\0\" &amp; K2000, "Ver Imagen")</f>
        <v/>
      </c>
      <c r="M2000" t="inlineStr">
        <is>
          <t>Moda</t>
        </is>
      </c>
    </row>
    <row r="2001">
      <c r="A2001" t="n">
        <v>2000</v>
      </c>
      <c r="B2001" t="inlineStr">
        <is>
          <t>A-5058__305</t>
        </is>
      </c>
      <c r="C2001" s="1" t="n">
        <v>37.2455867098</v>
      </c>
      <c r="D2001" s="1" t="n">
        <v>-7.09599498542</v>
      </c>
      <c r="E2001" s="3" t="n">
        <v>3</v>
      </c>
      <c r="F2001" s="2" t="n">
        <v>3</v>
      </c>
      <c r="G2001" s="4" t="n">
        <v>3</v>
      </c>
      <c r="H2001" s="13" t="n"/>
      <c r="I2001" s="15" t="n"/>
      <c r="J2001" s="19" t="n">
        <v>3</v>
      </c>
      <c r="K2001" s="2" t="inlineStr">
        <is>
          <t>marker_911_384333.png</t>
        </is>
      </c>
      <c r="L2001" s="11">
        <f>HYPERLINK("3\0\" &amp; K2001, "Ver Imagen")</f>
        <v/>
      </c>
      <c r="M2001" t="inlineStr">
        <is>
          <t>Moda</t>
        </is>
      </c>
    </row>
    <row r="2002">
      <c r="A2002" t="n">
        <v>2001</v>
      </c>
      <c r="B2002" t="inlineStr">
        <is>
          <t>A-5058__308</t>
        </is>
      </c>
      <c r="C2002" s="1" t="n">
        <v>37.245649158</v>
      </c>
      <c r="D2002" s="1" t="n">
        <v>-7.09674154114</v>
      </c>
      <c r="E2002" s="3" t="n">
        <v>3</v>
      </c>
      <c r="F2002" s="2" t="n">
        <v>3</v>
      </c>
      <c r="G2002" s="4" t="n">
        <v>3</v>
      </c>
      <c r="H2002" s="13" t="n"/>
      <c r="I2002" s="15" t="n"/>
      <c r="J2002" s="19" t="n">
        <v>3</v>
      </c>
      <c r="K2002" s="2" t="inlineStr">
        <is>
          <t>marker_895_384375.png</t>
        </is>
      </c>
      <c r="L2002" s="11">
        <f>HYPERLINK("3\0\" &amp; K2002, "Ver Imagen")</f>
        <v/>
      </c>
      <c r="M2002" t="inlineStr">
        <is>
          <t>Moda</t>
        </is>
      </c>
    </row>
    <row r="2003">
      <c r="A2003" t="n">
        <v>2002</v>
      </c>
      <c r="B2003" t="inlineStr">
        <is>
          <t>A-5058__309</t>
        </is>
      </c>
      <c r="C2003" s="1" t="n">
        <v>37.2456780832</v>
      </c>
      <c r="D2003" s="1" t="n">
        <v>-7.09699607257</v>
      </c>
      <c r="E2003" s="3" t="n">
        <v>3</v>
      </c>
      <c r="F2003" s="2" t="n">
        <v>3</v>
      </c>
      <c r="G2003" s="4" t="n">
        <v>3</v>
      </c>
      <c r="H2003" s="13" t="n"/>
      <c r="I2003" s="15" t="n"/>
      <c r="J2003" s="19" t="n">
        <v>3</v>
      </c>
      <c r="K2003" s="2" t="inlineStr">
        <is>
          <t>marker_603_384385.png</t>
        </is>
      </c>
      <c r="L2003" s="11">
        <f>HYPERLINK("3\0\" &amp; K2003, "Ver Imagen")</f>
        <v/>
      </c>
      <c r="M2003" t="inlineStr">
        <is>
          <t>Moda</t>
        </is>
      </c>
    </row>
    <row r="2004">
      <c r="A2004" t="n">
        <v>2003</v>
      </c>
      <c r="B2004" t="inlineStr">
        <is>
          <t>A-5058__311</t>
        </is>
      </c>
      <c r="C2004" s="1" t="n">
        <v>37.2457533765</v>
      </c>
      <c r="D2004" s="1" t="n">
        <v>-7.09748323534</v>
      </c>
      <c r="E2004" s="3" t="n">
        <v>3</v>
      </c>
      <c r="F2004" s="2" t="n">
        <v>3</v>
      </c>
      <c r="G2004" s="4" t="n">
        <v>3</v>
      </c>
      <c r="H2004" s="13" t="n"/>
      <c r="I2004" s="15" t="n"/>
      <c r="J2004" s="19" t="n">
        <v>3</v>
      </c>
      <c r="K2004" s="2" t="inlineStr">
        <is>
          <t>marker_252_384402.png</t>
        </is>
      </c>
      <c r="L2004" s="11">
        <f>HYPERLINK("3\0\" &amp; K2004, "Ver Imagen")</f>
        <v/>
      </c>
      <c r="M2004" t="inlineStr">
        <is>
          <t>Moda</t>
        </is>
      </c>
    </row>
    <row r="2005">
      <c r="A2005" t="n">
        <v>2004</v>
      </c>
      <c r="B2005" t="inlineStr">
        <is>
          <t>A-5058__327</t>
        </is>
      </c>
      <c r="C2005" s="1" t="n">
        <v>37.2475627395</v>
      </c>
      <c r="D2005" s="1" t="n">
        <v>-7.10079518983</v>
      </c>
      <c r="E2005" s="3" t="n">
        <v>3</v>
      </c>
      <c r="F2005" s="2" t="n">
        <v>3</v>
      </c>
      <c r="G2005" s="4" t="n">
        <v>3</v>
      </c>
      <c r="H2005" s="13" t="n"/>
      <c r="I2005" s="15" t="n"/>
      <c r="J2005" s="19" t="n">
        <v>3</v>
      </c>
      <c r="K2005" s="2" t="inlineStr">
        <is>
          <t>marker_870_384583.png</t>
        </is>
      </c>
      <c r="L2005" s="11">
        <f>HYPERLINK("3\0\" &amp; K2005, "Ver Imagen")</f>
        <v/>
      </c>
      <c r="M2005" t="inlineStr">
        <is>
          <t>Moda</t>
        </is>
      </c>
    </row>
    <row r="2006">
      <c r="A2006" t="n">
        <v>2005</v>
      </c>
      <c r="B2006" t="inlineStr">
        <is>
          <t>A-5058__332</t>
        </is>
      </c>
      <c r="C2006" s="1" t="n">
        <v>37.2482443727</v>
      </c>
      <c r="D2006" s="1" t="n">
        <v>-7.10172252306</v>
      </c>
      <c r="E2006" s="3" t="n">
        <v>3</v>
      </c>
      <c r="F2006" s="2" t="n">
        <v>3</v>
      </c>
      <c r="G2006" s="4" t="n">
        <v>3</v>
      </c>
      <c r="H2006" s="13" t="n"/>
      <c r="I2006" s="15" t="n"/>
      <c r="J2006" s="19" t="n">
        <v>3</v>
      </c>
      <c r="K2006" s="2" t="inlineStr">
        <is>
          <t>marker_449_384655.png</t>
        </is>
      </c>
      <c r="L2006" s="11">
        <f>HYPERLINK("3\0\" &amp; K2006, "Ver Imagen")</f>
        <v/>
      </c>
      <c r="M2006" t="inlineStr">
        <is>
          <t>Moda</t>
        </is>
      </c>
    </row>
    <row r="2007">
      <c r="A2007" t="n">
        <v>2006</v>
      </c>
      <c r="B2007" t="inlineStr">
        <is>
          <t>A-5058__337</t>
        </is>
      </c>
      <c r="C2007" s="1" t="n">
        <v>37.249133442</v>
      </c>
      <c r="D2007" s="1" t="n">
        <v>-7.10233100284</v>
      </c>
      <c r="E2007" s="3" t="n">
        <v>3</v>
      </c>
      <c r="F2007" s="2" t="n">
        <v>3</v>
      </c>
      <c r="G2007" s="4" t="n">
        <v>3</v>
      </c>
      <c r="H2007" s="13" t="n"/>
      <c r="I2007" s="15" t="n"/>
      <c r="J2007" s="19" t="n">
        <v>3</v>
      </c>
      <c r="K2007" s="2" t="inlineStr">
        <is>
          <t>marker_331_384722.png</t>
        </is>
      </c>
      <c r="L2007" s="11">
        <f>HYPERLINK("3\0\" &amp; K2007, "Ver Imagen")</f>
        <v/>
      </c>
      <c r="M2007" t="inlineStr">
        <is>
          <t>Moda</t>
        </is>
      </c>
    </row>
    <row r="2008">
      <c r="A2008" t="n">
        <v>2007</v>
      </c>
      <c r="B2008" t="inlineStr">
        <is>
          <t>A-5058__342</t>
        </is>
      </c>
      <c r="C2008" s="1" t="n">
        <v>37.2500338127</v>
      </c>
      <c r="D2008" s="1" t="n">
        <v>-7.10285249496</v>
      </c>
      <c r="E2008" s="3" t="n">
        <v>3</v>
      </c>
      <c r="F2008" s="2" t="n">
        <v>3</v>
      </c>
      <c r="G2008" s="4" t="n">
        <v>3</v>
      </c>
      <c r="H2008" s="13" t="n"/>
      <c r="I2008" s="15" t="n"/>
      <c r="J2008" s="19" t="n">
        <v>3</v>
      </c>
      <c r="K2008" s="2" t="inlineStr">
        <is>
          <t>marker_962_384785.png</t>
        </is>
      </c>
      <c r="L2008" s="11">
        <f>HYPERLINK("3\0\" &amp; K2008, "Ver Imagen")</f>
        <v/>
      </c>
      <c r="M2008" t="inlineStr">
        <is>
          <t>Moda</t>
        </is>
      </c>
    </row>
    <row r="2009">
      <c r="A2009" t="n">
        <v>2008</v>
      </c>
      <c r="B2009" t="inlineStr">
        <is>
          <t>A-5058__376</t>
        </is>
      </c>
      <c r="C2009" s="1" t="n">
        <v>37.2548192534</v>
      </c>
      <c r="D2009" s="1" t="n">
        <v>-7.10865884658</v>
      </c>
      <c r="E2009" s="3" t="n">
        <v>3</v>
      </c>
      <c r="F2009" s="2" t="n">
        <v>3</v>
      </c>
      <c r="G2009" s="4" t="n">
        <v>3</v>
      </c>
      <c r="H2009" s="13" t="n"/>
      <c r="I2009" s="15" t="n"/>
      <c r="J2009" s="19" t="n">
        <v>3</v>
      </c>
      <c r="K2009" s="2" t="inlineStr">
        <is>
          <t>marker_550_385144.png</t>
        </is>
      </c>
      <c r="L2009" s="11">
        <f>HYPERLINK("3\0\" &amp; K2009, "Ver Imagen")</f>
        <v/>
      </c>
      <c r="M2009" t="inlineStr">
        <is>
          <t>Moda</t>
        </is>
      </c>
    </row>
    <row r="2010">
      <c r="A2010" t="n">
        <v>2009</v>
      </c>
      <c r="B2010" t="inlineStr">
        <is>
          <t>A-5058__383</t>
        </is>
      </c>
      <c r="C2010" s="1" t="n">
        <v>37.2553130864</v>
      </c>
      <c r="D2010" s="1" t="n">
        <v>-7.11017305715</v>
      </c>
      <c r="E2010" s="3" t="n">
        <v>3</v>
      </c>
      <c r="F2010" s="2" t="n">
        <v>3</v>
      </c>
      <c r="G2010" s="4" t="n">
        <v>3</v>
      </c>
      <c r="H2010" s="13" t="n"/>
      <c r="I2010" s="15" t="n"/>
      <c r="J2010" s="19" t="n">
        <v>3</v>
      </c>
      <c r="K2010" s="2" t="inlineStr">
        <is>
          <t>marker_160_385241.png</t>
        </is>
      </c>
      <c r="L2010" s="11">
        <f>HYPERLINK("3\0\" &amp; K2010, "Ver Imagen")</f>
        <v/>
      </c>
      <c r="M2010" t="inlineStr">
        <is>
          <t>Moda</t>
        </is>
      </c>
    </row>
    <row r="2011">
      <c r="A2011" t="n">
        <v>2010</v>
      </c>
      <c r="B2011" t="inlineStr">
        <is>
          <t>A-5058__390</t>
        </is>
      </c>
      <c r="C2011" s="1" t="n">
        <v>37.2552765941</v>
      </c>
      <c r="D2011" s="1" t="n">
        <v>-7.1119392471</v>
      </c>
      <c r="E2011" s="3" t="n">
        <v>3</v>
      </c>
      <c r="F2011" s="2" t="n">
        <v>3</v>
      </c>
      <c r="G2011" s="4" t="n">
        <v>3</v>
      </c>
      <c r="H2011" s="13" t="n"/>
      <c r="I2011" s="15" t="n"/>
      <c r="J2011" s="19" t="n">
        <v>3</v>
      </c>
      <c r="K2011" s="2" t="inlineStr">
        <is>
          <t>marker_400_385305.png</t>
        </is>
      </c>
      <c r="L2011" s="11">
        <f>HYPERLINK("3\0\" &amp; K2011, "Ver Imagen")</f>
        <v/>
      </c>
      <c r="M2011" t="inlineStr">
        <is>
          <t>Moda</t>
        </is>
      </c>
    </row>
    <row r="2012">
      <c r="A2012" t="n">
        <v>2011</v>
      </c>
      <c r="B2012" t="inlineStr">
        <is>
          <t>A-5058__393</t>
        </is>
      </c>
      <c r="C2012" s="1" t="n">
        <v>37.2551237078</v>
      </c>
      <c r="D2012" s="1" t="n">
        <v>-7.11263663605</v>
      </c>
      <c r="E2012" s="3" t="n">
        <v>3</v>
      </c>
      <c r="F2012" s="2" t="n">
        <v>3</v>
      </c>
      <c r="G2012" s="4" t="n">
        <v>3</v>
      </c>
      <c r="H2012" s="13" t="n"/>
      <c r="I2012" s="15" t="n"/>
      <c r="J2012" s="19" t="n">
        <v>3</v>
      </c>
      <c r="K2012" s="2" t="inlineStr">
        <is>
          <t>marker_252_385332.png</t>
        </is>
      </c>
      <c r="L2012" s="11">
        <f>HYPERLINK("3\0\" &amp; K2012, "Ver Imagen")</f>
        <v/>
      </c>
      <c r="M2012" t="inlineStr">
        <is>
          <t>Moda</t>
        </is>
      </c>
    </row>
    <row r="2013">
      <c r="A2013" t="n">
        <v>2012</v>
      </c>
      <c r="B2013" t="inlineStr">
        <is>
          <t>A-5058__396</t>
        </is>
      </c>
      <c r="C2013" s="1" t="n">
        <v>37.254938344</v>
      </c>
      <c r="D2013" s="1" t="n">
        <v>-7.11338112183</v>
      </c>
      <c r="E2013" s="3" t="n">
        <v>3</v>
      </c>
      <c r="F2013" s="2" t="n">
        <v>3</v>
      </c>
      <c r="G2013" s="4" t="n">
        <v>3</v>
      </c>
      <c r="H2013" s="13" t="n"/>
      <c r="I2013" s="15" t="n"/>
      <c r="J2013" s="19" t="n">
        <v>3</v>
      </c>
      <c r="K2013" s="2" t="inlineStr">
        <is>
          <t>marker_601_385377.png</t>
        </is>
      </c>
      <c r="L2013" s="11">
        <f>HYPERLINK("3\0\" &amp; K2013, "Ver Imagen")</f>
        <v/>
      </c>
      <c r="M2013" t="inlineStr">
        <is>
          <t>Moda</t>
        </is>
      </c>
    </row>
    <row r="2014">
      <c r="A2014" t="n">
        <v>2013</v>
      </c>
      <c r="B2014" t="inlineStr">
        <is>
          <t>A-5058__400</t>
        </is>
      </c>
      <c r="C2014" s="1" t="n">
        <v>37.2546984193</v>
      </c>
      <c r="D2014" s="1" t="n">
        <v>-7.11436839687</v>
      </c>
      <c r="E2014" s="3" t="n">
        <v>3</v>
      </c>
      <c r="F2014" s="2" t="n">
        <v>3</v>
      </c>
      <c r="G2014" s="4" t="n">
        <v>3</v>
      </c>
      <c r="H2014" s="13" t="n"/>
      <c r="I2014" s="15" t="n"/>
      <c r="J2014" s="19" t="n">
        <v>3</v>
      </c>
      <c r="K2014" s="2" t="inlineStr">
        <is>
          <t>marker_855_388064.png</t>
        </is>
      </c>
      <c r="L2014" s="11">
        <f>HYPERLINK("3\0\" &amp; K2014, "Ver Imagen")</f>
        <v/>
      </c>
      <c r="M2014" t="inlineStr">
        <is>
          <t>Moda</t>
        </is>
      </c>
    </row>
    <row r="2015">
      <c r="A2015" t="n">
        <v>2014</v>
      </c>
      <c r="B2015" t="inlineStr">
        <is>
          <t>A-5058__407</t>
        </is>
      </c>
      <c r="C2015" s="1" t="n">
        <v>37.2546221626</v>
      </c>
      <c r="D2015" s="1" t="n">
        <v>-7.11609740572</v>
      </c>
      <c r="E2015" s="3" t="n">
        <v>3</v>
      </c>
      <c r="F2015" s="2" t="n">
        <v>3</v>
      </c>
      <c r="G2015" s="4" t="n">
        <v>3</v>
      </c>
      <c r="H2015" s="13" t="n"/>
      <c r="I2015" s="15" t="n"/>
      <c r="J2015" s="19" t="n">
        <v>3</v>
      </c>
      <c r="K2015" s="2" t="inlineStr">
        <is>
          <t>marker_992_388618.png</t>
        </is>
      </c>
      <c r="L2015" s="11">
        <f>HYPERLINK("3\0\" &amp; K2015, "Ver Imagen")</f>
        <v/>
      </c>
      <c r="M2015" t="inlineStr">
        <is>
          <t>Moda</t>
        </is>
      </c>
    </row>
    <row r="2016">
      <c r="A2016" t="n">
        <v>2015</v>
      </c>
      <c r="B2016" t="inlineStr">
        <is>
          <t>A-5058__408</t>
        </is>
      </c>
      <c r="C2016" s="1" t="n">
        <v>37.2546666239</v>
      </c>
      <c r="D2016" s="1" t="n">
        <v>-7.11632592991</v>
      </c>
      <c r="E2016" s="3" t="n">
        <v>3</v>
      </c>
      <c r="F2016" s="2" t="n">
        <v>3</v>
      </c>
      <c r="G2016" s="4" t="n">
        <v>3</v>
      </c>
      <c r="H2016" s="13" t="n"/>
      <c r="I2016" s="15" t="n"/>
      <c r="J2016" s="19" t="n">
        <v>3</v>
      </c>
      <c r="K2016" s="2" t="inlineStr">
        <is>
          <t>marker_419_388627.png</t>
        </is>
      </c>
      <c r="L2016" s="11">
        <f>HYPERLINK("3\0\" &amp; K2016, "Ver Imagen")</f>
        <v/>
      </c>
      <c r="M2016" t="inlineStr">
        <is>
          <t>Moda</t>
        </is>
      </c>
    </row>
    <row r="2017">
      <c r="A2017" t="n">
        <v>2016</v>
      </c>
      <c r="B2017" t="inlineStr">
        <is>
          <t>A-5058__434</t>
        </is>
      </c>
      <c r="C2017" s="1" t="n">
        <v>37.2584810184</v>
      </c>
      <c r="D2017" s="1" t="n">
        <v>-7.12053623356</v>
      </c>
      <c r="E2017" s="3" t="n">
        <v>3</v>
      </c>
      <c r="F2017" s="2" t="n">
        <v>3</v>
      </c>
      <c r="G2017" s="4" t="n">
        <v>3</v>
      </c>
      <c r="H2017" s="13" t="n"/>
      <c r="I2017" s="15" t="n"/>
      <c r="J2017" s="19" t="n">
        <v>3</v>
      </c>
      <c r="K2017" s="2" t="inlineStr">
        <is>
          <t>marker_967_388901.png</t>
        </is>
      </c>
      <c r="L2017" s="11">
        <f>HYPERLINK("3\0\" &amp; K2017, "Ver Imagen")</f>
        <v/>
      </c>
      <c r="M2017" t="inlineStr">
        <is>
          <t>Moda</t>
        </is>
      </c>
    </row>
    <row r="2018">
      <c r="A2018" t="n">
        <v>2017</v>
      </c>
      <c r="B2018" t="inlineStr">
        <is>
          <t>A-5058__443</t>
        </is>
      </c>
      <c r="C2018" s="1" t="n">
        <v>37.2588339792</v>
      </c>
      <c r="D2018" s="1" t="n">
        <v>-7.12278581994</v>
      </c>
      <c r="E2018" s="3" t="n">
        <v>3</v>
      </c>
      <c r="F2018" s="2" t="n">
        <v>3</v>
      </c>
      <c r="G2018" s="4" t="n">
        <v>3</v>
      </c>
      <c r="H2018" s="13" t="n"/>
      <c r="I2018" s="15" t="n"/>
      <c r="J2018" s="19" t="n">
        <v>3</v>
      </c>
      <c r="K2018" s="2" t="inlineStr">
        <is>
          <t>marker_930_389011.png</t>
        </is>
      </c>
      <c r="L2018" s="11">
        <f>HYPERLINK("3\0\" &amp; K2018, "Ver Imagen")</f>
        <v/>
      </c>
      <c r="M2018" t="inlineStr">
        <is>
          <t>Moda</t>
        </is>
      </c>
    </row>
    <row r="2019">
      <c r="A2019" t="n">
        <v>2018</v>
      </c>
      <c r="B2019" t="inlineStr">
        <is>
          <t>A-5058__445</t>
        </is>
      </c>
      <c r="C2019" s="1" t="n">
        <v>37.2588775198</v>
      </c>
      <c r="D2019" s="1" t="n">
        <v>-7.12331664864</v>
      </c>
      <c r="E2019" s="3" t="n">
        <v>3</v>
      </c>
      <c r="F2019" s="2" t="n">
        <v>3</v>
      </c>
      <c r="G2019" s="4" t="n">
        <v>3</v>
      </c>
      <c r="H2019" s="13" t="n"/>
      <c r="I2019" s="15" t="n"/>
      <c r="J2019" s="19" t="n">
        <v>3</v>
      </c>
      <c r="K2019" s="2" t="inlineStr">
        <is>
          <t>marker_417_389029.png</t>
        </is>
      </c>
      <c r="L2019" s="11">
        <f>HYPERLINK("3\0\" &amp; K2019, "Ver Imagen")</f>
        <v/>
      </c>
      <c r="M2019" t="inlineStr">
        <is>
          <t>Moda</t>
        </is>
      </c>
    </row>
    <row r="2020">
      <c r="A2020" t="n">
        <v>2019</v>
      </c>
      <c r="B2020" t="inlineStr">
        <is>
          <t>A-5058__453</t>
        </is>
      </c>
      <c r="C2020" s="1" t="n">
        <v>37.2591451256</v>
      </c>
      <c r="D2020" s="1" t="n">
        <v>-7.12528865363</v>
      </c>
      <c r="E2020" s="3" t="n">
        <v>3</v>
      </c>
      <c r="F2020" s="2" t="n">
        <v>3</v>
      </c>
      <c r="G2020" s="4" t="n">
        <v>3</v>
      </c>
      <c r="H2020" s="13" t="n"/>
      <c r="I2020" s="15" t="n"/>
      <c r="J2020" s="19" t="n">
        <v>3</v>
      </c>
      <c r="K2020" s="2" t="inlineStr">
        <is>
          <t>marker_629_389121.png</t>
        </is>
      </c>
      <c r="L2020" s="11">
        <f>HYPERLINK("3\0\" &amp; K2020, "Ver Imagen")</f>
        <v/>
      </c>
      <c r="M2020" t="inlineStr">
        <is>
          <t>Moda</t>
        </is>
      </c>
    </row>
    <row r="2021">
      <c r="A2021" t="n">
        <v>2020</v>
      </c>
      <c r="B2021" t="inlineStr">
        <is>
          <t>A-495__8</t>
        </is>
      </c>
      <c r="C2021" s="1" t="n">
        <v>37.4440035578</v>
      </c>
      <c r="D2021" s="1" t="n">
        <v>-7.09844229479</v>
      </c>
      <c r="E2021" s="3" t="n">
        <v>3</v>
      </c>
      <c r="F2021" s="2" t="n">
        <v>3</v>
      </c>
      <c r="G2021" s="4" t="n">
        <v>3</v>
      </c>
      <c r="H2021" s="13" t="n"/>
      <c r="I2021" s="15" t="n"/>
      <c r="J2021" s="19" t="n">
        <v>3</v>
      </c>
      <c r="K2021" s="2" t="inlineStr">
        <is>
          <t>marker_990_381057.png</t>
        </is>
      </c>
      <c r="L2021" s="11">
        <f>HYPERLINK("3\0\" &amp; K2021, "Ver Imagen")</f>
        <v/>
      </c>
      <c r="M2021" t="inlineStr">
        <is>
          <t>Moda</t>
        </is>
      </c>
    </row>
    <row r="2022">
      <c r="A2022" t="n">
        <v>2021</v>
      </c>
      <c r="B2022" t="inlineStr">
        <is>
          <t>A-495__9</t>
        </is>
      </c>
      <c r="C2022" s="1" t="n">
        <v>37.4439940175</v>
      </c>
      <c r="D2022" s="1" t="n">
        <v>-7.09822724296</v>
      </c>
      <c r="E2022" s="3" t="n">
        <v>3</v>
      </c>
      <c r="F2022" s="2" t="n">
        <v>3</v>
      </c>
      <c r="G2022" s="4" t="n">
        <v>3</v>
      </c>
      <c r="H2022" s="13" t="n"/>
      <c r="I2022" s="15" t="n"/>
      <c r="J2022" s="19" t="n">
        <v>3</v>
      </c>
      <c r="K2022" s="2" t="inlineStr">
        <is>
          <t>marker_931_381150.png</t>
        </is>
      </c>
      <c r="L2022" s="11">
        <f>HYPERLINK("3\0\" &amp; K2022, "Ver Imagen")</f>
        <v/>
      </c>
      <c r="M2022" t="inlineStr">
        <is>
          <t>Moda</t>
        </is>
      </c>
    </row>
    <row r="2023">
      <c r="A2023" t="n">
        <v>2022</v>
      </c>
      <c r="B2023" t="inlineStr">
        <is>
          <t>A-495_1__193</t>
        </is>
      </c>
      <c r="C2023" s="1" t="n">
        <v>37.4844342846</v>
      </c>
      <c r="D2023" s="1" t="n">
        <v>-7.13029926944</v>
      </c>
      <c r="E2023" s="3" t="n">
        <v>3</v>
      </c>
      <c r="F2023" s="2" t="n">
        <v>3</v>
      </c>
      <c r="G2023" s="4" t="n">
        <v>3</v>
      </c>
      <c r="H2023" s="13" t="n"/>
      <c r="I2023" s="15" t="n"/>
      <c r="J2023" s="19" t="n">
        <v>3</v>
      </c>
      <c r="K2023" s="2" t="inlineStr">
        <is>
          <t>marker_950_383702.png</t>
        </is>
      </c>
      <c r="L2023" s="11">
        <f>HYPERLINK("3\0\" &amp; K2023, "Ver Imagen")</f>
        <v/>
      </c>
      <c r="M2023" t="inlineStr">
        <is>
          <t>Moda</t>
        </is>
      </c>
    </row>
    <row r="2024">
      <c r="A2024" t="n">
        <v>2023</v>
      </c>
      <c r="B2024" t="inlineStr">
        <is>
          <t>A-495_1__178</t>
        </is>
      </c>
      <c r="C2024" s="1" t="n">
        <v>37.4819050303</v>
      </c>
      <c r="D2024" s="1" t="n">
        <v>-7.12819366079</v>
      </c>
      <c r="E2024" s="3" t="n">
        <v>3</v>
      </c>
      <c r="F2024" s="2" t="n">
        <v>3</v>
      </c>
      <c r="G2024" s="4" t="n">
        <v>3</v>
      </c>
      <c r="H2024" s="13" t="n"/>
      <c r="I2024" s="15" t="n"/>
      <c r="J2024" s="19" t="n">
        <v>3</v>
      </c>
      <c r="K2024" s="2" t="inlineStr">
        <is>
          <t>marker_323_383910.png</t>
        </is>
      </c>
      <c r="L2024" s="11">
        <f>HYPERLINK("3\0\" &amp; K2024, "Ver Imagen")</f>
        <v/>
      </c>
      <c r="M2024" t="inlineStr">
        <is>
          <t>Moda</t>
        </is>
      </c>
    </row>
    <row r="2025">
      <c r="A2025" t="n">
        <v>2024</v>
      </c>
      <c r="B2025" t="inlineStr">
        <is>
          <t>A-495_1__168</t>
        </is>
      </c>
      <c r="C2025" s="1" t="n">
        <v>37.4799478405</v>
      </c>
      <c r="D2025" s="1" t="n">
        <v>-7.12789286893</v>
      </c>
      <c r="E2025" s="3" t="n">
        <v>3</v>
      </c>
      <c r="F2025" s="2" t="n">
        <v>3</v>
      </c>
      <c r="G2025" s="4" t="n">
        <v>3</v>
      </c>
      <c r="H2025" s="13" t="n"/>
      <c r="I2025" s="15" t="n"/>
      <c r="J2025" s="19" t="n">
        <v>3</v>
      </c>
      <c r="K2025" s="2" t="inlineStr">
        <is>
          <t>marker_814_384011.png</t>
        </is>
      </c>
      <c r="L2025" s="11">
        <f>HYPERLINK("3\0\" &amp; K2025, "Ver Imagen")</f>
        <v/>
      </c>
      <c r="M2025" t="inlineStr">
        <is>
          <t>Moda</t>
        </is>
      </c>
    </row>
    <row r="2026">
      <c r="A2026" t="n">
        <v>2025</v>
      </c>
      <c r="B2026" t="inlineStr">
        <is>
          <t>A-495_1__138</t>
        </is>
      </c>
      <c r="C2026" s="1" t="n">
        <v>37.4745746644</v>
      </c>
      <c r="D2026" s="1" t="n">
        <v>-7.12609747406</v>
      </c>
      <c r="E2026" s="3" t="n">
        <v>3</v>
      </c>
      <c r="F2026" s="2" t="n">
        <v>3</v>
      </c>
      <c r="G2026" s="4" t="n">
        <v>3</v>
      </c>
      <c r="H2026" s="13" t="n"/>
      <c r="I2026" s="15" t="n"/>
      <c r="J2026" s="19" t="n">
        <v>3</v>
      </c>
      <c r="K2026" s="2" t="inlineStr">
        <is>
          <t>marker_630_384391.png</t>
        </is>
      </c>
      <c r="L2026" s="11">
        <f>HYPERLINK("3\0\" &amp; K2026, "Ver Imagen")</f>
        <v/>
      </c>
      <c r="M2026" t="inlineStr">
        <is>
          <t>Moda</t>
        </is>
      </c>
    </row>
    <row r="2027">
      <c r="A2027" t="n">
        <v>2026</v>
      </c>
      <c r="B2027" t="inlineStr">
        <is>
          <t>A-495_1__111</t>
        </is>
      </c>
      <c r="C2027" s="1" t="n">
        <v>37.4695471942</v>
      </c>
      <c r="D2027" s="1" t="n">
        <v>-7.12431666691</v>
      </c>
      <c r="E2027" s="3" t="n">
        <v>3</v>
      </c>
      <c r="F2027" s="2" t="n">
        <v>3</v>
      </c>
      <c r="G2027" s="4" t="n">
        <v>3</v>
      </c>
      <c r="H2027" s="13" t="n"/>
      <c r="I2027" s="15" t="n"/>
      <c r="J2027" s="19" t="n">
        <v>3</v>
      </c>
      <c r="K2027" s="2" t="inlineStr">
        <is>
          <t>marker_519_384711.png</t>
        </is>
      </c>
      <c r="L2027" s="11">
        <f>HYPERLINK("3\0\" &amp; K2027, "Ver Imagen")</f>
        <v/>
      </c>
      <c r="M2027" t="inlineStr">
        <is>
          <t>Moda</t>
        </is>
      </c>
    </row>
    <row r="2028">
      <c r="A2028" t="n">
        <v>2027</v>
      </c>
      <c r="B2028" t="inlineStr">
        <is>
          <t>A-495_1__99</t>
        </is>
      </c>
      <c r="C2028" s="1" t="n">
        <v>37.4673788473</v>
      </c>
      <c r="D2028" s="1" t="n">
        <v>-7.12294610956</v>
      </c>
      <c r="E2028" s="3" t="n">
        <v>3</v>
      </c>
      <c r="F2028" s="2" t="n">
        <v>3</v>
      </c>
      <c r="G2028" s="4" t="n">
        <v>3</v>
      </c>
      <c r="H2028" s="13" t="n"/>
      <c r="I2028" s="15" t="n"/>
      <c r="J2028" s="19" t="n">
        <v>3</v>
      </c>
      <c r="K2028" s="2" t="inlineStr">
        <is>
          <t>marker_714_385051.png</t>
        </is>
      </c>
      <c r="L2028" s="11">
        <f>HYPERLINK("3\0\" &amp; K2028, "Ver Imagen")</f>
        <v/>
      </c>
      <c r="M2028" t="inlineStr">
        <is>
          <t>Moda</t>
        </is>
      </c>
    </row>
    <row r="2029">
      <c r="A2029" t="n">
        <v>2028</v>
      </c>
      <c r="B2029" t="inlineStr">
        <is>
          <t>A-495_1__16</t>
        </is>
      </c>
      <c r="C2029" s="1" t="n">
        <v>37.4511681999</v>
      </c>
      <c r="D2029" s="1" t="n">
        <v>-7.12744000988</v>
      </c>
      <c r="E2029" s="3" t="n">
        <v>3</v>
      </c>
      <c r="F2029" s="2" t="n">
        <v>3</v>
      </c>
      <c r="G2029" s="4" t="n">
        <v>3</v>
      </c>
      <c r="H2029" s="13" t="n"/>
      <c r="I2029" s="15" t="n"/>
      <c r="J2029" s="19" t="n">
        <v>3</v>
      </c>
      <c r="K2029" s="2" t="inlineStr">
        <is>
          <t>marker_157_386170.png</t>
        </is>
      </c>
      <c r="L2029" s="11">
        <f>HYPERLINK("3\0\" &amp; K2029, "Ver Imagen")</f>
        <v/>
      </c>
      <c r="M2029" t="inlineStr">
        <is>
          <t>Moda</t>
        </is>
      </c>
    </row>
    <row r="2030">
      <c r="A2030" t="n">
        <v>2029</v>
      </c>
      <c r="B2030" t="inlineStr">
        <is>
          <t>A-495_1__14</t>
        </is>
      </c>
      <c r="C2030" s="1" t="n">
        <v>37.450783152</v>
      </c>
      <c r="D2030" s="1" t="n">
        <v>-7.12739237137</v>
      </c>
      <c r="E2030" s="3" t="n">
        <v>3</v>
      </c>
      <c r="F2030" s="2" t="n">
        <v>3</v>
      </c>
      <c r="G2030" s="4" t="n">
        <v>3</v>
      </c>
      <c r="H2030" s="13" t="n"/>
      <c r="I2030" s="15" t="n"/>
      <c r="J2030" s="19" t="n">
        <v>3</v>
      </c>
      <c r="K2030" s="2" t="inlineStr">
        <is>
          <t>marker_526_386187.png</t>
        </is>
      </c>
      <c r="L2030" s="11">
        <f>HYPERLINK("3\0\" &amp; K2030, "Ver Imagen")</f>
        <v/>
      </c>
      <c r="M2030" t="inlineStr">
        <is>
          <t>Moda</t>
        </is>
      </c>
    </row>
    <row r="2031">
      <c r="A2031" t="n">
        <v>2030</v>
      </c>
      <c r="B2031" t="inlineStr">
        <is>
          <t>A-495_1__6</t>
        </is>
      </c>
      <c r="C2031" s="1" t="n">
        <v>37.4492069021</v>
      </c>
      <c r="D2031" s="1" t="n">
        <v>-7.12700018059</v>
      </c>
      <c r="E2031" s="3" t="n">
        <v>3</v>
      </c>
      <c r="F2031" s="2" t="n">
        <v>3</v>
      </c>
      <c r="G2031" s="4" t="n">
        <v>3</v>
      </c>
      <c r="H2031" s="13" t="n"/>
      <c r="I2031" s="15" t="n"/>
      <c r="J2031" s="19" t="n">
        <v>3</v>
      </c>
      <c r="K2031" s="2" t="inlineStr">
        <is>
          <t>marker_498_386264.png</t>
        </is>
      </c>
      <c r="L2031" s="11">
        <f>HYPERLINK("3\0\" &amp; K2031, "Ver Imagen")</f>
        <v/>
      </c>
      <c r="M2031" t="inlineStr">
        <is>
          <t>Moda</t>
        </is>
      </c>
    </row>
    <row r="2032">
      <c r="A2032" t="n">
        <v>2031</v>
      </c>
      <c r="B2032" t="inlineStr">
        <is>
          <t>A-499__65</t>
        </is>
      </c>
      <c r="C2032" s="1" t="n">
        <v>37.4953413697</v>
      </c>
      <c r="D2032" s="1" t="n">
        <v>-7.27153364629</v>
      </c>
      <c r="E2032" s="3" t="n">
        <v>3</v>
      </c>
      <c r="F2032" s="2" t="n">
        <v>3</v>
      </c>
      <c r="G2032" s="4" t="n">
        <v>3</v>
      </c>
      <c r="H2032" s="13" t="n"/>
      <c r="I2032" s="15" t="n"/>
      <c r="J2032" s="19" t="n">
        <v>3</v>
      </c>
      <c r="K2032" s="2" t="inlineStr">
        <is>
          <t>marker_842_535124.png</t>
        </is>
      </c>
      <c r="L2032" s="11">
        <f>HYPERLINK("3\0\" &amp; K2032, "Ver Imagen")</f>
        <v/>
      </c>
      <c r="M2032" t="inlineStr">
        <is>
          <t>Moda</t>
        </is>
      </c>
    </row>
    <row r="2033">
      <c r="A2033" t="n">
        <v>2032</v>
      </c>
      <c r="B2033" t="inlineStr">
        <is>
          <t>A-499__91</t>
        </is>
      </c>
      <c r="C2033" s="1" t="n">
        <v>37.4970376448</v>
      </c>
      <c r="D2033" s="1" t="n">
        <v>-7.26810956874</v>
      </c>
      <c r="E2033" s="3" t="n">
        <v>3</v>
      </c>
      <c r="F2033" s="2" t="n">
        <v>3</v>
      </c>
      <c r="G2033" s="4" t="n">
        <v>3</v>
      </c>
      <c r="H2033" s="13" t="n"/>
      <c r="I2033" s="15" t="n"/>
      <c r="J2033" s="19" t="n">
        <v>3</v>
      </c>
      <c r="K2033" s="2" t="inlineStr">
        <is>
          <t>marker_122_790026.png</t>
        </is>
      </c>
      <c r="L2033" s="11">
        <f>HYPERLINK("3\0\" &amp; K2033, "Ver Imagen")</f>
        <v/>
      </c>
      <c r="M2033" t="inlineStr">
        <is>
          <t>Moda</t>
        </is>
      </c>
    </row>
    <row r="2034">
      <c r="A2034" t="n">
        <v>2033</v>
      </c>
      <c r="B2034" t="inlineStr">
        <is>
          <t>A-497__835</t>
        </is>
      </c>
      <c r="C2034" s="1" t="n">
        <v>37.198884875</v>
      </c>
      <c r="D2034" s="1" t="n">
        <v>-6.98254120082</v>
      </c>
      <c r="E2034" s="3" t="n">
        <v>3</v>
      </c>
      <c r="F2034" s="2" t="n">
        <v>3</v>
      </c>
      <c r="G2034" s="4" t="n">
        <v>3</v>
      </c>
      <c r="H2034" s="13" t="n"/>
      <c r="I2034" s="15" t="n"/>
      <c r="J2034" s="19" t="n">
        <v>3</v>
      </c>
      <c r="K2034" s="2" t="inlineStr">
        <is>
          <t>marker_245_367597.png</t>
        </is>
      </c>
      <c r="L2034" s="11">
        <f>HYPERLINK("3\0\" &amp; K2034, "Ver Imagen")</f>
        <v/>
      </c>
      <c r="M2034" t="inlineStr">
        <is>
          <t>Moda</t>
        </is>
      </c>
    </row>
    <row r="2035">
      <c r="A2035" t="n">
        <v>2034</v>
      </c>
      <c r="B2035" t="inlineStr">
        <is>
          <t>A-497__833</t>
        </is>
      </c>
      <c r="C2035" s="1" t="n">
        <v>37.1987167527</v>
      </c>
      <c r="D2035" s="1" t="n">
        <v>-6.98212084601</v>
      </c>
      <c r="E2035" s="3" t="n">
        <v>3</v>
      </c>
      <c r="F2035" s="2" t="n">
        <v>3</v>
      </c>
      <c r="G2035" s="4" t="n">
        <v>3</v>
      </c>
      <c r="H2035" s="13" t="n"/>
      <c r="I2035" s="15" t="n"/>
      <c r="J2035" s="19" t="n">
        <v>3</v>
      </c>
      <c r="K2035" s="2" t="inlineStr">
        <is>
          <t>marker_226_367617.png</t>
        </is>
      </c>
      <c r="L2035" s="11">
        <f>HYPERLINK("3\0\" &amp; K2035, "Ver Imagen")</f>
        <v/>
      </c>
      <c r="M2035" t="inlineStr">
        <is>
          <t>Moda</t>
        </is>
      </c>
    </row>
    <row r="2036">
      <c r="A2036" t="n">
        <v>2035</v>
      </c>
      <c r="B2036" t="inlineStr">
        <is>
          <t>A-497__830</t>
        </is>
      </c>
      <c r="C2036" s="1" t="n">
        <v>37.1984165226</v>
      </c>
      <c r="D2036" s="1" t="n">
        <v>-6.98146217359</v>
      </c>
      <c r="E2036" s="3" t="n">
        <v>3</v>
      </c>
      <c r="F2036" s="2" t="n">
        <v>3</v>
      </c>
      <c r="G2036" s="4" t="n">
        <v>3</v>
      </c>
      <c r="H2036" s="13" t="n"/>
      <c r="I2036" s="15" t="n"/>
      <c r="J2036" s="19" t="n">
        <v>3</v>
      </c>
      <c r="K2036" s="2" t="inlineStr">
        <is>
          <t>marker_636_367648.png</t>
        </is>
      </c>
      <c r="L2036" s="11">
        <f>HYPERLINK("3\0\" &amp; K2036, "Ver Imagen")</f>
        <v/>
      </c>
      <c r="M2036" t="inlineStr">
        <is>
          <t>Moda</t>
        </is>
      </c>
    </row>
    <row r="2037">
      <c r="A2037" t="n">
        <v>2036</v>
      </c>
      <c r="B2037" t="inlineStr">
        <is>
          <t>A-497__829</t>
        </is>
      </c>
      <c r="C2037" s="1" t="n">
        <v>37.1982927728</v>
      </c>
      <c r="D2037" s="1" t="n">
        <v>-6.98122158081</v>
      </c>
      <c r="E2037" s="3" t="n">
        <v>3</v>
      </c>
      <c r="F2037" s="2" t="n">
        <v>3</v>
      </c>
      <c r="G2037" s="4" t="n">
        <v>3</v>
      </c>
      <c r="H2037" s="13" t="n"/>
      <c r="I2037" s="15" t="n"/>
      <c r="J2037" s="19" t="n">
        <v>3</v>
      </c>
      <c r="K2037" s="2" t="inlineStr">
        <is>
          <t>marker_715_367657.png</t>
        </is>
      </c>
      <c r="L2037" s="11">
        <f>HYPERLINK("3\0\" &amp; K2037, "Ver Imagen")</f>
        <v/>
      </c>
      <c r="M2037" t="inlineStr">
        <is>
          <t>Moda</t>
        </is>
      </c>
    </row>
    <row r="2038">
      <c r="A2038" t="n">
        <v>2037</v>
      </c>
      <c r="B2038" t="inlineStr">
        <is>
          <t>A-497__827</t>
        </is>
      </c>
      <c r="C2038" s="1" t="n">
        <v>37.1980713338</v>
      </c>
      <c r="D2038" s="1" t="n">
        <v>-6.98083140253</v>
      </c>
      <c r="E2038" s="3" t="n">
        <v>3</v>
      </c>
      <c r="F2038" s="2" t="n">
        <v>3</v>
      </c>
      <c r="G2038" s="4" t="n">
        <v>3</v>
      </c>
      <c r="H2038" s="13" t="n"/>
      <c r="I2038" s="15" t="n"/>
      <c r="J2038" s="19" t="n">
        <v>3</v>
      </c>
      <c r="K2038" s="2" t="inlineStr">
        <is>
          <t>marker_557_367675.png</t>
        </is>
      </c>
      <c r="L2038" s="11">
        <f>HYPERLINK("3\0\" &amp; K2038, "Ver Imagen")</f>
        <v/>
      </c>
      <c r="M2038" t="inlineStr">
        <is>
          <t>Moda</t>
        </is>
      </c>
    </row>
    <row r="2039">
      <c r="A2039" t="n">
        <v>2038</v>
      </c>
      <c r="B2039" t="inlineStr">
        <is>
          <t>A-497__823</t>
        </is>
      </c>
      <c r="C2039" s="1" t="n">
        <v>37.197552757</v>
      </c>
      <c r="D2039" s="1" t="n">
        <v>-6.98008617829</v>
      </c>
      <c r="E2039" s="3" t="n">
        <v>3</v>
      </c>
      <c r="F2039" s="2" t="n">
        <v>3</v>
      </c>
      <c r="G2039" s="4" t="n">
        <v>3</v>
      </c>
      <c r="H2039" s="13" t="n"/>
      <c r="I2039" s="15" t="n"/>
      <c r="J2039" s="19" t="n">
        <v>3</v>
      </c>
      <c r="K2039" s="2" t="inlineStr">
        <is>
          <t>marker_891_367721.png</t>
        </is>
      </c>
      <c r="L2039" s="11">
        <f>HYPERLINK("3\0\" &amp; K2039, "Ver Imagen")</f>
        <v/>
      </c>
      <c r="M2039" t="inlineStr">
        <is>
          <t>Moda</t>
        </is>
      </c>
    </row>
    <row r="2040">
      <c r="A2040" t="n">
        <v>2039</v>
      </c>
      <c r="B2040" t="inlineStr">
        <is>
          <t>A-497__821</t>
        </is>
      </c>
      <c r="C2040" s="1" t="n">
        <v>37.1972246418</v>
      </c>
      <c r="D2040" s="1" t="n">
        <v>-6.97969609031</v>
      </c>
      <c r="E2040" s="3" t="n">
        <v>3</v>
      </c>
      <c r="F2040" s="2" t="n">
        <v>3</v>
      </c>
      <c r="G2040" s="4" t="n">
        <v>3</v>
      </c>
      <c r="H2040" s="13" t="n"/>
      <c r="I2040" s="15" t="n"/>
      <c r="J2040" s="19" t="n">
        <v>3</v>
      </c>
      <c r="K2040" s="2" t="inlineStr">
        <is>
          <t>marker_140_367744.png</t>
        </is>
      </c>
      <c r="L2040" s="11">
        <f>HYPERLINK("3\0\" &amp; K2040, "Ver Imagen")</f>
        <v/>
      </c>
      <c r="M2040" t="inlineStr">
        <is>
          <t>Moda</t>
        </is>
      </c>
    </row>
    <row r="2041">
      <c r="A2041" t="n">
        <v>2040</v>
      </c>
      <c r="B2041" t="inlineStr">
        <is>
          <t>A-497__820</t>
        </is>
      </c>
      <c r="C2041" s="1" t="n">
        <v>37.197089691</v>
      </c>
      <c r="D2041" s="1" t="n">
        <v>-6.97955070259</v>
      </c>
      <c r="E2041" s="3" t="n">
        <v>3</v>
      </c>
      <c r="F2041" s="2" t="n">
        <v>3</v>
      </c>
      <c r="G2041" s="4" t="n">
        <v>3</v>
      </c>
      <c r="H2041" s="13" t="n"/>
      <c r="I2041" s="15" t="n"/>
      <c r="J2041" s="19" t="n">
        <v>3</v>
      </c>
      <c r="K2041" s="2" t="inlineStr">
        <is>
          <t>marker_171_367754.png</t>
        </is>
      </c>
      <c r="L2041" s="11">
        <f>HYPERLINK("3\0\" &amp; K2041, "Ver Imagen")</f>
        <v/>
      </c>
      <c r="M2041" t="inlineStr">
        <is>
          <t>Moda</t>
        </is>
      </c>
    </row>
    <row r="2042">
      <c r="A2042" t="n">
        <v>2041</v>
      </c>
      <c r="B2042" t="inlineStr">
        <is>
          <t>A-497__819</t>
        </is>
      </c>
      <c r="C2042" s="1" t="n">
        <v>37.1969419879</v>
      </c>
      <c r="D2042" s="1" t="n">
        <v>-6.97940026167</v>
      </c>
      <c r="E2042" s="3" t="n">
        <v>3</v>
      </c>
      <c r="F2042" s="2" t="n">
        <v>3</v>
      </c>
      <c r="G2042" s="4" t="n">
        <v>3</v>
      </c>
      <c r="H2042" s="13" t="n"/>
      <c r="I2042" s="15" t="n"/>
      <c r="J2042" s="19" t="n">
        <v>3</v>
      </c>
      <c r="K2042" s="2" t="inlineStr">
        <is>
          <t>marker_477_367765.png</t>
        </is>
      </c>
      <c r="L2042" s="11">
        <f>HYPERLINK("3\0\" &amp; K2042, "Ver Imagen")</f>
        <v/>
      </c>
      <c r="M2042" t="inlineStr">
        <is>
          <t>Moda</t>
        </is>
      </c>
    </row>
    <row r="2043">
      <c r="A2043" t="n">
        <v>2042</v>
      </c>
      <c r="B2043" t="inlineStr">
        <is>
          <t>A-497__817</t>
        </is>
      </c>
      <c r="C2043" s="1" t="n">
        <v>37.1966257718</v>
      </c>
      <c r="D2043" s="1" t="n">
        <v>-6.97910574362</v>
      </c>
      <c r="E2043" s="3" t="n">
        <v>3</v>
      </c>
      <c r="F2043" s="2" t="n">
        <v>3</v>
      </c>
      <c r="G2043" s="4" t="n">
        <v>3</v>
      </c>
      <c r="H2043" s="13" t="n"/>
      <c r="I2043" s="15" t="n"/>
      <c r="J2043" s="19" t="n">
        <v>3</v>
      </c>
      <c r="K2043" s="2" t="inlineStr">
        <is>
          <t>marker_363_367783.png</t>
        </is>
      </c>
      <c r="L2043" s="11">
        <f>HYPERLINK("3\0\" &amp; K2043, "Ver Imagen")</f>
        <v/>
      </c>
      <c r="M2043" t="inlineStr">
        <is>
          <t>Moda</t>
        </is>
      </c>
    </row>
    <row r="2044">
      <c r="A2044" t="n">
        <v>2043</v>
      </c>
      <c r="B2044" t="inlineStr">
        <is>
          <t>A-497__806</t>
        </is>
      </c>
      <c r="C2044" s="1" t="n">
        <v>37.1946221322</v>
      </c>
      <c r="D2044" s="1" t="n">
        <v>-6.97792953091</v>
      </c>
      <c r="E2044" s="3" t="n">
        <v>3</v>
      </c>
      <c r="F2044" s="2" t="n">
        <v>3</v>
      </c>
      <c r="G2044" s="4" t="n">
        <v>3</v>
      </c>
      <c r="H2044" s="13" t="n"/>
      <c r="I2044" s="15" t="n"/>
      <c r="J2044" s="19" t="n">
        <v>3</v>
      </c>
      <c r="K2044" s="2" t="inlineStr">
        <is>
          <t>marker_285_367891.png</t>
        </is>
      </c>
      <c r="L2044" s="11">
        <f>HYPERLINK("3\0\" &amp; K2044, "Ver Imagen")</f>
        <v/>
      </c>
      <c r="M2044" t="inlineStr">
        <is>
          <t>Moda</t>
        </is>
      </c>
    </row>
    <row r="2045">
      <c r="A2045" t="n">
        <v>2044</v>
      </c>
      <c r="B2045" t="inlineStr">
        <is>
          <t>A-497__782</t>
        </is>
      </c>
      <c r="C2045" s="1" t="n">
        <v>37.1897737407</v>
      </c>
      <c r="D2045" s="1" t="n">
        <v>-6.9782003068</v>
      </c>
      <c r="E2045" s="3" t="n">
        <v>3</v>
      </c>
      <c r="F2045" s="2" t="n">
        <v>3</v>
      </c>
      <c r="G2045" s="4" t="n">
        <v>3</v>
      </c>
      <c r="H2045" s="13" t="n"/>
      <c r="I2045" s="15" t="n"/>
      <c r="J2045" s="19" t="n">
        <v>3</v>
      </c>
      <c r="K2045" s="2" t="inlineStr">
        <is>
          <t>marker_229_368142.png</t>
        </is>
      </c>
      <c r="L2045" s="11">
        <f>HYPERLINK("3\0\" &amp; K2045, "Ver Imagen")</f>
        <v/>
      </c>
      <c r="M2045" t="inlineStr">
        <is>
          <t>Moda</t>
        </is>
      </c>
    </row>
    <row r="2046">
      <c r="A2046" t="n">
        <v>2045</v>
      </c>
      <c r="B2046" t="inlineStr">
        <is>
          <t>A-497__780</t>
        </is>
      </c>
      <c r="C2046" s="1" t="n">
        <v>37.1894141205</v>
      </c>
      <c r="D2046" s="1" t="n">
        <v>-6.97830530522</v>
      </c>
      <c r="E2046" s="3" t="n">
        <v>3</v>
      </c>
      <c r="F2046" s="2" t="n">
        <v>3</v>
      </c>
      <c r="G2046" s="4" t="n">
        <v>3</v>
      </c>
      <c r="H2046" s="13" t="n"/>
      <c r="I2046" s="15" t="n"/>
      <c r="J2046" s="19" t="n">
        <v>3</v>
      </c>
      <c r="K2046" s="2" t="inlineStr">
        <is>
          <t>marker_688_368161.png</t>
        </is>
      </c>
      <c r="L2046" s="11">
        <f>HYPERLINK("3\0\" &amp; K2046, "Ver Imagen")</f>
        <v/>
      </c>
      <c r="M2046" t="inlineStr">
        <is>
          <t>Moda</t>
        </is>
      </c>
    </row>
    <row r="2047">
      <c r="A2047" t="n">
        <v>2046</v>
      </c>
      <c r="B2047" t="inlineStr">
        <is>
          <t>A-497__776</t>
        </is>
      </c>
      <c r="C2047" s="1" t="n">
        <v>37.1886501432</v>
      </c>
      <c r="D2047" s="1" t="n">
        <v>-6.97852674202</v>
      </c>
      <c r="E2047" s="3" t="n">
        <v>3</v>
      </c>
      <c r="F2047" s="2" t="n">
        <v>3</v>
      </c>
      <c r="G2047" s="4" t="n">
        <v>3</v>
      </c>
      <c r="H2047" s="13" t="n"/>
      <c r="I2047" s="15" t="n"/>
      <c r="J2047" s="19" t="n">
        <v>3</v>
      </c>
      <c r="K2047" s="2" t="inlineStr">
        <is>
          <t>marker_930_368220.png</t>
        </is>
      </c>
      <c r="L2047" s="11">
        <f>HYPERLINK("3\0\" &amp; K2047, "Ver Imagen")</f>
        <v/>
      </c>
      <c r="M2047" t="inlineStr">
        <is>
          <t>Moda</t>
        </is>
      </c>
    </row>
    <row r="2048">
      <c r="A2048" t="n">
        <v>2047</v>
      </c>
      <c r="B2048" t="inlineStr">
        <is>
          <t>A-497__775</t>
        </is>
      </c>
      <c r="C2048" s="1" t="n">
        <v>37.1884547248</v>
      </c>
      <c r="D2048" s="1" t="n">
        <v>-6.9786052223</v>
      </c>
      <c r="E2048" s="3" t="n">
        <v>3</v>
      </c>
      <c r="F2048" s="2" t="n">
        <v>3</v>
      </c>
      <c r="G2048" s="4" t="n">
        <v>3</v>
      </c>
      <c r="H2048" s="13" t="n"/>
      <c r="I2048" s="15" t="n"/>
      <c r="J2048" s="19" t="n">
        <v>3</v>
      </c>
      <c r="K2048" s="2" t="inlineStr">
        <is>
          <t>marker_973_368232.png</t>
        </is>
      </c>
      <c r="L2048" s="11">
        <f>HYPERLINK("3\0\" &amp; K2048, "Ver Imagen")</f>
        <v/>
      </c>
      <c r="M2048" t="inlineStr">
        <is>
          <t>Moda</t>
        </is>
      </c>
    </row>
    <row r="2049">
      <c r="A2049" t="n">
        <v>2048</v>
      </c>
      <c r="B2049" t="inlineStr">
        <is>
          <t>A-497__771</t>
        </is>
      </c>
      <c r="C2049" s="1" t="n">
        <v>37.1877733671</v>
      </c>
      <c r="D2049" s="1" t="n">
        <v>-6.9790872116</v>
      </c>
      <c r="E2049" s="3" t="n">
        <v>3</v>
      </c>
      <c r="F2049" s="2" t="n">
        <v>3</v>
      </c>
      <c r="G2049" s="4" t="n">
        <v>3</v>
      </c>
      <c r="H2049" s="13" t="n"/>
      <c r="I2049" s="15" t="n"/>
      <c r="J2049" s="19" t="n">
        <v>3</v>
      </c>
      <c r="K2049" s="2" t="inlineStr">
        <is>
          <t>marker_747_368290.png</t>
        </is>
      </c>
      <c r="L2049" s="11">
        <f>HYPERLINK("3\0\" &amp; K2049, "Ver Imagen")</f>
        <v/>
      </c>
      <c r="M2049" t="inlineStr">
        <is>
          <t>Moda</t>
        </is>
      </c>
    </row>
    <row r="2050">
      <c r="A2050" t="n">
        <v>2049</v>
      </c>
      <c r="B2050" t="inlineStr">
        <is>
          <t>A-497_2C__2</t>
        </is>
      </c>
      <c r="C2050" s="1" t="n">
        <v>37.2675150747</v>
      </c>
      <c r="D2050" s="1" t="n">
        <v>-6.95750897502</v>
      </c>
      <c r="E2050" s="3" t="n">
        <v>3</v>
      </c>
      <c r="F2050" s="2" t="n">
        <v>3</v>
      </c>
      <c r="G2050" s="4" t="n">
        <v>3</v>
      </c>
      <c r="H2050" s="13" t="n"/>
      <c r="I2050" s="15" t="n"/>
      <c r="J2050" s="19" t="n">
        <v>3</v>
      </c>
      <c r="K2050" s="2" t="inlineStr">
        <is>
          <t>marker_869_653737.png</t>
        </is>
      </c>
      <c r="L2050" s="11">
        <f>HYPERLINK("3\0\" &amp; K2050, "Ver Imagen")</f>
        <v/>
      </c>
      <c r="M2050" t="inlineStr">
        <is>
          <t>Moda</t>
        </is>
      </c>
    </row>
    <row r="2051">
      <c r="A2051" t="n">
        <v>2050</v>
      </c>
      <c r="B2051" t="inlineStr">
        <is>
          <t>A-497_2C__3</t>
        </is>
      </c>
      <c r="C2051" s="1" t="n">
        <v>37.2674411553</v>
      </c>
      <c r="D2051" s="1" t="n">
        <v>-6.95773083719</v>
      </c>
      <c r="E2051" s="3" t="n">
        <v>3</v>
      </c>
      <c r="F2051" s="2" t="n">
        <v>3</v>
      </c>
      <c r="G2051" s="4" t="n">
        <v>3</v>
      </c>
      <c r="H2051" s="13" t="n"/>
      <c r="I2051" s="15" t="n"/>
      <c r="J2051" s="19" t="n">
        <v>3</v>
      </c>
      <c r="K2051" s="2" t="inlineStr">
        <is>
          <t>marker_310_653748.png</t>
        </is>
      </c>
      <c r="L2051" s="11">
        <f>HYPERLINK("3\0\" &amp; K2051, "Ver Imagen")</f>
        <v/>
      </c>
      <c r="M2051" t="inlineStr">
        <is>
          <t>Moda</t>
        </is>
      </c>
    </row>
    <row r="2052">
      <c r="A2052" t="n">
        <v>2051</v>
      </c>
      <c r="B2052" t="inlineStr">
        <is>
          <t>A-497_2C__23</t>
        </is>
      </c>
      <c r="C2052" s="1" t="n">
        <v>37.2676135257</v>
      </c>
      <c r="D2052" s="1" t="n">
        <v>-6.96278192243</v>
      </c>
      <c r="E2052" s="3" t="n">
        <v>3</v>
      </c>
      <c r="F2052" s="2" t="n">
        <v>3</v>
      </c>
      <c r="G2052" s="4" t="n">
        <v>3</v>
      </c>
      <c r="H2052" s="13" t="n"/>
      <c r="I2052" s="15" t="n"/>
      <c r="J2052" s="19" t="n">
        <v>3</v>
      </c>
      <c r="K2052" s="2" t="inlineStr">
        <is>
          <t>marker_148_654416.png</t>
        </is>
      </c>
      <c r="L2052" s="11">
        <f>HYPERLINK("3\0\" &amp; K2052, "Ver Imagen")</f>
        <v/>
      </c>
      <c r="M2052" t="inlineStr">
        <is>
          <t>Moda</t>
        </is>
      </c>
    </row>
    <row r="2053">
      <c r="A2053" t="n">
        <v>2052</v>
      </c>
      <c r="B2053" t="inlineStr">
        <is>
          <t>A-497_2C__26</t>
        </is>
      </c>
      <c r="C2053" s="1" t="n">
        <v>37.2676371767</v>
      </c>
      <c r="D2053" s="1" t="n">
        <v>-6.9635710691</v>
      </c>
      <c r="E2053" s="3" t="n">
        <v>3</v>
      </c>
      <c r="F2053" s="2" t="n">
        <v>3</v>
      </c>
      <c r="G2053" s="4" t="n">
        <v>3</v>
      </c>
      <c r="H2053" s="13" t="n"/>
      <c r="I2053" s="15" t="n"/>
      <c r="J2053" s="19" t="n">
        <v>3</v>
      </c>
      <c r="K2053" s="2" t="inlineStr">
        <is>
          <t>marker_861_654443.png</t>
        </is>
      </c>
      <c r="L2053" s="11">
        <f>HYPERLINK("3\0\" &amp; K2053, "Ver Imagen")</f>
        <v/>
      </c>
      <c r="M2053" t="inlineStr">
        <is>
          <t>Moda</t>
        </is>
      </c>
    </row>
    <row r="2054">
      <c r="A2054" t="n">
        <v>2053</v>
      </c>
      <c r="B2054" t="inlineStr">
        <is>
          <t>A-497_2C__57</t>
        </is>
      </c>
      <c r="C2054" s="1" t="n">
        <v>37.26821075</v>
      </c>
      <c r="D2054" s="1" t="n">
        <v>-6.9713893163</v>
      </c>
      <c r="E2054" s="3" t="n">
        <v>3</v>
      </c>
      <c r="F2054" s="2" t="n">
        <v>3</v>
      </c>
      <c r="G2054" s="4" t="n">
        <v>3</v>
      </c>
      <c r="H2054" s="13" t="n"/>
      <c r="I2054" s="15" t="n"/>
      <c r="J2054" s="19" t="n">
        <v>3</v>
      </c>
      <c r="K2054" s="2" t="inlineStr">
        <is>
          <t>marker_835_654821.png</t>
        </is>
      </c>
      <c r="L2054" s="11">
        <f>HYPERLINK("3\0\" &amp; K2054, "Ver Imagen")</f>
        <v/>
      </c>
      <c r="M2054" t="inlineStr">
        <is>
          <t>Moda</t>
        </is>
      </c>
    </row>
    <row r="2055">
      <c r="A2055" t="n">
        <v>2054</v>
      </c>
      <c r="B2055" t="inlineStr">
        <is>
          <t>A-497_2C__68</t>
        </is>
      </c>
      <c r="C2055" s="1" t="n">
        <v>37.2687087952</v>
      </c>
      <c r="D2055" s="1" t="n">
        <v>-6.9741246955</v>
      </c>
      <c r="E2055" s="3" t="n">
        <v>3</v>
      </c>
      <c r="F2055" s="2" t="n">
        <v>3</v>
      </c>
      <c r="G2055" s="4" t="n">
        <v>3</v>
      </c>
      <c r="H2055" s="13" t="n"/>
      <c r="I2055" s="15" t="n"/>
      <c r="J2055" s="19" t="n">
        <v>3</v>
      </c>
      <c r="K2055" s="2" t="inlineStr">
        <is>
          <t>marker_980_654946.png</t>
        </is>
      </c>
      <c r="L2055" s="11">
        <f>HYPERLINK("3\0\" &amp; K2055, "Ver Imagen")</f>
        <v/>
      </c>
      <c r="M2055" t="inlineStr">
        <is>
          <t>Moda</t>
        </is>
      </c>
    </row>
    <row r="2056">
      <c r="A2056" t="n">
        <v>2055</v>
      </c>
      <c r="B2056" t="inlineStr">
        <is>
          <t>A-497_2C__70</t>
        </is>
      </c>
      <c r="C2056" s="1" t="n">
        <v>37.2688068586</v>
      </c>
      <c r="D2056" s="1" t="n">
        <v>-6.97457713405</v>
      </c>
      <c r="E2056" s="3" t="n">
        <v>3</v>
      </c>
      <c r="F2056" s="2" t="n">
        <v>3</v>
      </c>
      <c r="G2056" s="4" t="n">
        <v>3</v>
      </c>
      <c r="H2056" s="13" t="n"/>
      <c r="I2056" s="15" t="n"/>
      <c r="J2056" s="19" t="n">
        <v>3</v>
      </c>
      <c r="K2056" s="2" t="inlineStr">
        <is>
          <t>marker_251_655038.png</t>
        </is>
      </c>
      <c r="L2056" s="11">
        <f>HYPERLINK("3\0\" &amp; K2056, "Ver Imagen")</f>
        <v/>
      </c>
      <c r="M2056" t="inlineStr">
        <is>
          <t>Moda</t>
        </is>
      </c>
    </row>
    <row r="2057">
      <c r="A2057" t="n">
        <v>2056</v>
      </c>
      <c r="B2057" t="inlineStr">
        <is>
          <t>A-497_2C__72</t>
        </is>
      </c>
      <c r="C2057" s="1" t="n">
        <v>37.2689175348</v>
      </c>
      <c r="D2057" s="1" t="n">
        <v>-6.97506493596</v>
      </c>
      <c r="E2057" s="3" t="n">
        <v>3</v>
      </c>
      <c r="F2057" s="2" t="n">
        <v>3</v>
      </c>
      <c r="G2057" s="4" t="n">
        <v>3</v>
      </c>
      <c r="H2057" s="13" t="n"/>
      <c r="I2057" s="15" t="n"/>
      <c r="J2057" s="19" t="n">
        <v>3</v>
      </c>
      <c r="K2057" s="2" t="inlineStr">
        <is>
          <t>marker_876_655056.png</t>
        </is>
      </c>
      <c r="L2057" s="11">
        <f>HYPERLINK("3\0\" &amp; K2057, "Ver Imagen")</f>
        <v/>
      </c>
      <c r="M2057" t="inlineStr">
        <is>
          <t>Moda</t>
        </is>
      </c>
    </row>
    <row r="2058">
      <c r="A2058" t="n">
        <v>2057</v>
      </c>
      <c r="B2058" t="inlineStr">
        <is>
          <t>A-497_2C__74</t>
        </is>
      </c>
      <c r="C2058" s="1" t="n">
        <v>37.2690365319</v>
      </c>
      <c r="D2058" s="1" t="n">
        <v>-6.97556614135</v>
      </c>
      <c r="E2058" s="3" t="n">
        <v>3</v>
      </c>
      <c r="F2058" s="2" t="n">
        <v>3</v>
      </c>
      <c r="G2058" s="4" t="n">
        <v>3</v>
      </c>
      <c r="H2058" s="13" t="n"/>
      <c r="I2058" s="15" t="n"/>
      <c r="J2058" s="19" t="n">
        <v>3</v>
      </c>
      <c r="K2058" s="2" t="inlineStr">
        <is>
          <t>marker_530_655073.png</t>
        </is>
      </c>
      <c r="L2058" s="11">
        <f>HYPERLINK("3\0\" &amp; K2058, "Ver Imagen")</f>
        <v/>
      </c>
      <c r="M2058" t="inlineStr">
        <is>
          <t>Moda</t>
        </is>
      </c>
    </row>
    <row r="2059">
      <c r="A2059" t="n">
        <v>2058</v>
      </c>
      <c r="B2059" t="inlineStr">
        <is>
          <t>A-497_2C__82</t>
        </is>
      </c>
      <c r="C2059" s="1" t="n">
        <v>37.2695469619</v>
      </c>
      <c r="D2059" s="1" t="n">
        <v>-6.97745753068</v>
      </c>
      <c r="E2059" s="3" t="n">
        <v>3</v>
      </c>
      <c r="F2059" s="2" t="n">
        <v>3</v>
      </c>
      <c r="G2059" s="4" t="n">
        <v>3</v>
      </c>
      <c r="H2059" s="13" t="n"/>
      <c r="I2059" s="15" t="n"/>
      <c r="J2059" s="19" t="n">
        <v>3</v>
      </c>
      <c r="K2059" s="2" t="inlineStr">
        <is>
          <t>marker_383_655169.png</t>
        </is>
      </c>
      <c r="L2059" s="11">
        <f>HYPERLINK("3\0\" &amp; K2059, "Ver Imagen")</f>
        <v/>
      </c>
      <c r="M2059" t="inlineStr">
        <is>
          <t>Moda</t>
        </is>
      </c>
    </row>
    <row r="2060">
      <c r="A2060" t="n">
        <v>2059</v>
      </c>
      <c r="B2060" t="inlineStr">
        <is>
          <t>A-497_2C__83</t>
        </is>
      </c>
      <c r="C2060" s="1" t="n">
        <v>37.2696147817</v>
      </c>
      <c r="D2060" s="1" t="n">
        <v>-6.97769417252</v>
      </c>
      <c r="E2060" s="3" t="n">
        <v>3</v>
      </c>
      <c r="F2060" s="2" t="n">
        <v>3</v>
      </c>
      <c r="G2060" s="4" t="n">
        <v>3</v>
      </c>
      <c r="H2060" s="13" t="n"/>
      <c r="I2060" s="15" t="n"/>
      <c r="J2060" s="19" t="n">
        <v>3</v>
      </c>
      <c r="K2060" s="2" t="inlineStr">
        <is>
          <t>marker_917_655178.png</t>
        </is>
      </c>
      <c r="L2060" s="11">
        <f>HYPERLINK("3\0\" &amp; K2060, "Ver Imagen")</f>
        <v/>
      </c>
      <c r="M2060" t="inlineStr">
        <is>
          <t>Moda</t>
        </is>
      </c>
    </row>
    <row r="2061">
      <c r="A2061" t="n">
        <v>2060</v>
      </c>
      <c r="B2061" t="inlineStr">
        <is>
          <t>A-497_2C__85</t>
        </is>
      </c>
      <c r="C2061" s="1" t="n">
        <v>37.2697620334</v>
      </c>
      <c r="D2061" s="1" t="n">
        <v>-6.97820844074</v>
      </c>
      <c r="E2061" s="3" t="n">
        <v>3</v>
      </c>
      <c r="F2061" s="2" t="n">
        <v>3</v>
      </c>
      <c r="G2061" s="4" t="n">
        <v>3</v>
      </c>
      <c r="H2061" s="13" t="n"/>
      <c r="I2061" s="15" t="n"/>
      <c r="J2061" s="19" t="n">
        <v>3</v>
      </c>
      <c r="K2061" s="2" t="inlineStr">
        <is>
          <t>marker_104_655212.png</t>
        </is>
      </c>
      <c r="L2061" s="11">
        <f>HYPERLINK("3\0\" &amp; K2061, "Ver Imagen")</f>
        <v/>
      </c>
      <c r="M2061" t="inlineStr">
        <is>
          <t>Moda</t>
        </is>
      </c>
    </row>
    <row r="2062">
      <c r="A2062" t="n">
        <v>2061</v>
      </c>
      <c r="B2062" t="inlineStr">
        <is>
          <t>A-497_2C__86</t>
        </is>
      </c>
      <c r="C2062" s="1" t="n">
        <v>37.2698247928</v>
      </c>
      <c r="D2062" s="1" t="n">
        <v>-6.9784308106</v>
      </c>
      <c r="E2062" s="3" t="n">
        <v>3</v>
      </c>
      <c r="F2062" s="2" t="n">
        <v>3</v>
      </c>
      <c r="G2062" s="4" t="n">
        <v>3</v>
      </c>
      <c r="H2062" s="13" t="n"/>
      <c r="I2062" s="15" t="n"/>
      <c r="J2062" s="19" t="n">
        <v>3</v>
      </c>
      <c r="K2062" s="2" t="inlineStr">
        <is>
          <t>marker_160_655224.png</t>
        </is>
      </c>
      <c r="L2062" s="11">
        <f>HYPERLINK("3\0\" &amp; K2062, "Ver Imagen")</f>
        <v/>
      </c>
      <c r="M2062" t="inlineStr">
        <is>
          <t>Moda</t>
        </is>
      </c>
    </row>
    <row r="2063">
      <c r="A2063" t="n">
        <v>2062</v>
      </c>
      <c r="B2063" t="inlineStr">
        <is>
          <t>A-497_2C__96</t>
        </is>
      </c>
      <c r="C2063" s="1" t="n">
        <v>37.2705144515</v>
      </c>
      <c r="D2063" s="1" t="n">
        <v>-6.98082747034</v>
      </c>
      <c r="E2063" s="3" t="n">
        <v>3</v>
      </c>
      <c r="F2063" s="2" t="n">
        <v>3</v>
      </c>
      <c r="G2063" s="4" t="n">
        <v>3</v>
      </c>
      <c r="H2063" s="13" t="n"/>
      <c r="I2063" s="15" t="n"/>
      <c r="J2063" s="19" t="n">
        <v>3</v>
      </c>
      <c r="K2063" s="2" t="inlineStr">
        <is>
          <t>marker_953_655367.png</t>
        </is>
      </c>
      <c r="L2063" s="11">
        <f>HYPERLINK("3\0\" &amp; K2063, "Ver Imagen")</f>
        <v/>
      </c>
      <c r="M2063" t="inlineStr">
        <is>
          <t>Moda</t>
        </is>
      </c>
    </row>
    <row r="2064">
      <c r="A2064" t="n">
        <v>2063</v>
      </c>
      <c r="B2064" t="inlineStr">
        <is>
          <t>A-497_2C__97</t>
        </is>
      </c>
      <c r="C2064" s="1" t="n">
        <v>37.2705767682</v>
      </c>
      <c r="D2064" s="1" t="n">
        <v>-6.98104567536</v>
      </c>
      <c r="E2064" s="3" t="n">
        <v>3</v>
      </c>
      <c r="F2064" s="2" t="n">
        <v>3</v>
      </c>
      <c r="G2064" s="4" t="n">
        <v>3</v>
      </c>
      <c r="H2064" s="13" t="n"/>
      <c r="I2064" s="15" t="n"/>
      <c r="J2064" s="19" t="n">
        <v>3</v>
      </c>
      <c r="K2064" s="2" t="inlineStr">
        <is>
          <t>marker_294_655376.png</t>
        </is>
      </c>
      <c r="L2064" s="11">
        <f>HYPERLINK("3\0\" &amp; K2064, "Ver Imagen")</f>
        <v/>
      </c>
      <c r="M2064" t="inlineStr">
        <is>
          <t>Moda</t>
        </is>
      </c>
    </row>
    <row r="2065">
      <c r="A2065" t="n">
        <v>2064</v>
      </c>
      <c r="B2065" t="inlineStr">
        <is>
          <t>A-497_2C__100</t>
        </is>
      </c>
      <c r="C2065" s="1" t="n">
        <v>37.2707839879</v>
      </c>
      <c r="D2065" s="1" t="n">
        <v>-6.98177093734</v>
      </c>
      <c r="E2065" s="3" t="n">
        <v>3</v>
      </c>
      <c r="F2065" s="2" t="n">
        <v>3</v>
      </c>
      <c r="G2065" s="4" t="n">
        <v>3</v>
      </c>
      <c r="H2065" s="13" t="n"/>
      <c r="I2065" s="15" t="n"/>
      <c r="J2065" s="19" t="n">
        <v>3</v>
      </c>
      <c r="K2065" s="2" t="inlineStr">
        <is>
          <t>marker_258_655441.png</t>
        </is>
      </c>
      <c r="L2065" s="11">
        <f>HYPERLINK("3\0\" &amp; K2065, "Ver Imagen")</f>
        <v/>
      </c>
      <c r="M2065" t="inlineStr">
        <is>
          <t>Moda</t>
        </is>
      </c>
    </row>
    <row r="2066">
      <c r="A2066" t="n">
        <v>2065</v>
      </c>
      <c r="B2066" t="inlineStr">
        <is>
          <t>A-497_2C__103</t>
        </is>
      </c>
      <c r="C2066" s="1" t="n">
        <v>37.2709907866</v>
      </c>
      <c r="D2066" s="1" t="n">
        <v>-6.98248374004</v>
      </c>
      <c r="E2066" s="3" t="n">
        <v>3</v>
      </c>
      <c r="F2066" s="2" t="n">
        <v>3</v>
      </c>
      <c r="G2066" s="4" t="n">
        <v>3</v>
      </c>
      <c r="H2066" s="13" t="n"/>
      <c r="I2066" s="15" t="n"/>
      <c r="J2066" s="19" t="n">
        <v>3</v>
      </c>
      <c r="K2066" s="2" t="inlineStr">
        <is>
          <t>marker_440_655469.png</t>
        </is>
      </c>
      <c r="L2066" s="11">
        <f>HYPERLINK("3\0\" &amp; K2066, "Ver Imagen")</f>
        <v/>
      </c>
      <c r="M2066" t="inlineStr">
        <is>
          <t>Moda</t>
        </is>
      </c>
    </row>
    <row r="2067">
      <c r="A2067" t="n">
        <v>2066</v>
      </c>
      <c r="B2067" t="inlineStr">
        <is>
          <t>A-497_2C__106</t>
        </is>
      </c>
      <c r="C2067" s="1" t="n">
        <v>37.2711995245</v>
      </c>
      <c r="D2067" s="1" t="n">
        <v>-6.98320594897</v>
      </c>
      <c r="E2067" s="3" t="n">
        <v>3</v>
      </c>
      <c r="F2067" s="2" t="n">
        <v>3</v>
      </c>
      <c r="G2067" s="4" t="n">
        <v>3</v>
      </c>
      <c r="H2067" s="13" t="n"/>
      <c r="I2067" s="15" t="n"/>
      <c r="J2067" s="19" t="n">
        <v>3</v>
      </c>
      <c r="K2067" s="2" t="inlineStr">
        <is>
          <t>marker_945_655497.png</t>
        </is>
      </c>
      <c r="L2067" s="11">
        <f>HYPERLINK("3\0\" &amp; K2067, "Ver Imagen")</f>
        <v/>
      </c>
      <c r="M2067" t="inlineStr">
        <is>
          <t>Moda</t>
        </is>
      </c>
    </row>
    <row r="2068">
      <c r="A2068" t="n">
        <v>2067</v>
      </c>
      <c r="B2068" t="inlineStr">
        <is>
          <t>A-497_2C__121</t>
        </is>
      </c>
      <c r="C2068" s="1" t="n">
        <v>37.2718291605</v>
      </c>
      <c r="D2068" s="1" t="n">
        <v>-6.98689299441</v>
      </c>
      <c r="E2068" s="3" t="n">
        <v>3</v>
      </c>
      <c r="F2068" s="2" t="n">
        <v>3</v>
      </c>
      <c r="G2068" s="4" t="n">
        <v>3</v>
      </c>
      <c r="H2068" s="13" t="n"/>
      <c r="I2068" s="15" t="n"/>
      <c r="J2068" s="19" t="n">
        <v>3</v>
      </c>
      <c r="K2068" s="2" t="inlineStr">
        <is>
          <t>marker_388_655690.png</t>
        </is>
      </c>
      <c r="L2068" s="11">
        <f>HYPERLINK("3\0\" &amp; K2068, "Ver Imagen")</f>
        <v/>
      </c>
      <c r="M2068" t="inlineStr">
        <is>
          <t>Moda</t>
        </is>
      </c>
    </row>
    <row r="2069">
      <c r="A2069" t="n">
        <v>2068</v>
      </c>
      <c r="B2069" t="inlineStr">
        <is>
          <t>A-497_2C__122</t>
        </is>
      </c>
      <c r="C2069" s="1" t="n">
        <v>37.2717985276</v>
      </c>
      <c r="D2069" s="1" t="n">
        <v>-6.9871236614</v>
      </c>
      <c r="E2069" s="3" t="n">
        <v>3</v>
      </c>
      <c r="F2069" s="2" t="n">
        <v>3</v>
      </c>
      <c r="G2069" s="4" t="n">
        <v>3</v>
      </c>
      <c r="H2069" s="13" t="n"/>
      <c r="I2069" s="15" t="n"/>
      <c r="J2069" s="19" t="n">
        <v>3</v>
      </c>
      <c r="K2069" s="2" t="inlineStr">
        <is>
          <t>marker_377_655698.png</t>
        </is>
      </c>
      <c r="L2069" s="11">
        <f>HYPERLINK("3\0\" &amp; K2069, "Ver Imagen")</f>
        <v/>
      </c>
      <c r="M2069" t="inlineStr">
        <is>
          <t>Moda</t>
        </is>
      </c>
    </row>
    <row r="2070">
      <c r="A2070" t="n">
        <v>2069</v>
      </c>
      <c r="B2070" t="inlineStr">
        <is>
          <t>A-497_2C__138</t>
        </is>
      </c>
      <c r="C2070" s="1" t="n">
        <v>37.2695927899</v>
      </c>
      <c r="D2070" s="1" t="n">
        <v>-6.98993070034</v>
      </c>
      <c r="E2070" s="3" t="n">
        <v>3</v>
      </c>
      <c r="F2070" s="2" t="n">
        <v>3</v>
      </c>
      <c r="G2070" s="4" t="n">
        <v>3</v>
      </c>
      <c r="H2070" s="13" t="n"/>
      <c r="I2070" s="15" t="n"/>
      <c r="J2070" s="19" t="n">
        <v>3</v>
      </c>
      <c r="K2070" s="2" t="inlineStr">
        <is>
          <t>marker_787_655856.png</t>
        </is>
      </c>
      <c r="L2070" s="11">
        <f>HYPERLINK("3\0\" &amp; K2070, "Ver Imagen")</f>
        <v/>
      </c>
      <c r="M2070" t="inlineStr">
        <is>
          <t>Moda</t>
        </is>
      </c>
    </row>
    <row r="2071">
      <c r="A2071" t="n">
        <v>2070</v>
      </c>
      <c r="B2071" t="inlineStr">
        <is>
          <t>A-497_2C__140</t>
        </is>
      </c>
      <c r="C2071" s="1" t="n">
        <v>37.2692392531</v>
      </c>
      <c r="D2071" s="1" t="n">
        <v>-6.99018201865</v>
      </c>
      <c r="E2071" s="3" t="n">
        <v>3</v>
      </c>
      <c r="F2071" s="2" t="n">
        <v>3</v>
      </c>
      <c r="G2071" s="4" t="n">
        <v>3</v>
      </c>
      <c r="H2071" s="13" t="n"/>
      <c r="I2071" s="15" t="n"/>
      <c r="J2071" s="19" t="n">
        <v>3</v>
      </c>
      <c r="K2071" s="2" t="inlineStr">
        <is>
          <t>marker_232_655872.png</t>
        </is>
      </c>
      <c r="L2071" s="11">
        <f>HYPERLINK("3\0\" &amp; K2071, "Ver Imagen")</f>
        <v/>
      </c>
      <c r="M2071" t="inlineStr">
        <is>
          <t>Moda</t>
        </is>
      </c>
    </row>
    <row r="2072">
      <c r="A2072" t="n">
        <v>2071</v>
      </c>
      <c r="B2072" t="inlineStr">
        <is>
          <t>A-497_2C__142</t>
        </is>
      </c>
      <c r="C2072" s="1" t="n">
        <v>37.2688838522</v>
      </c>
      <c r="D2072" s="1" t="n">
        <v>-6.99043410478</v>
      </c>
      <c r="E2072" s="3" t="n">
        <v>3</v>
      </c>
      <c r="F2072" s="2" t="n">
        <v>3</v>
      </c>
      <c r="G2072" s="4" t="n">
        <v>3</v>
      </c>
      <c r="H2072" s="13" t="n"/>
      <c r="I2072" s="15" t="n"/>
      <c r="J2072" s="19" t="n">
        <v>3</v>
      </c>
      <c r="K2072" s="2" t="inlineStr">
        <is>
          <t>marker_251_655889.png</t>
        </is>
      </c>
      <c r="L2072" s="11">
        <f>HYPERLINK("3\0\" &amp; K2072, "Ver Imagen")</f>
        <v/>
      </c>
      <c r="M2072" t="inlineStr">
        <is>
          <t>Moda</t>
        </is>
      </c>
    </row>
    <row r="2073">
      <c r="A2073" t="n">
        <v>2072</v>
      </c>
      <c r="B2073" t="inlineStr">
        <is>
          <t>A-497_2C__149</t>
        </is>
      </c>
      <c r="C2073" s="1" t="n">
        <v>37.2676661306</v>
      </c>
      <c r="D2073" s="1" t="n">
        <v>-6.99129874655</v>
      </c>
      <c r="E2073" s="3" t="n">
        <v>3</v>
      </c>
      <c r="F2073" s="2" t="n">
        <v>3</v>
      </c>
      <c r="G2073" s="4" t="n">
        <v>3</v>
      </c>
      <c r="H2073" s="13" t="n"/>
      <c r="I2073" s="15" t="n"/>
      <c r="J2073" s="19" t="n">
        <v>3</v>
      </c>
      <c r="K2073" s="2" t="inlineStr">
        <is>
          <t>marker_158_655968.png</t>
        </is>
      </c>
      <c r="L2073" s="11">
        <f>HYPERLINK("3\0\" &amp; K2073, "Ver Imagen")</f>
        <v/>
      </c>
      <c r="M2073" t="inlineStr">
        <is>
          <t>Moda</t>
        </is>
      </c>
    </row>
    <row r="2074">
      <c r="A2074" t="n">
        <v>2073</v>
      </c>
      <c r="B2074" t="inlineStr">
        <is>
          <t>A-497__747</t>
        </is>
      </c>
      <c r="C2074" s="1" t="n">
        <v>37.187621752</v>
      </c>
      <c r="D2074" s="1" t="n">
        <v>-6.97845144652</v>
      </c>
      <c r="E2074" s="3" t="n">
        <v>3</v>
      </c>
      <c r="F2074" s="2" t="n">
        <v>3</v>
      </c>
      <c r="G2074" s="4" t="n">
        <v>3</v>
      </c>
      <c r="H2074" s="13" t="n"/>
      <c r="I2074" s="15" t="n"/>
      <c r="J2074" s="19" t="n">
        <v>3</v>
      </c>
      <c r="K2074" s="2" t="inlineStr">
        <is>
          <t>marker_865_368735.png</t>
        </is>
      </c>
      <c r="L2074" s="11">
        <f>HYPERLINK("3\0\" &amp; K2074, "Ver Imagen")</f>
        <v/>
      </c>
      <c r="M2074" t="inlineStr">
        <is>
          <t>Moda</t>
        </is>
      </c>
    </row>
    <row r="2075">
      <c r="A2075" t="n">
        <v>2074</v>
      </c>
      <c r="B2075" t="inlineStr">
        <is>
          <t>A-497__746</t>
        </is>
      </c>
      <c r="C2075" s="1" t="n">
        <v>37.1877820043</v>
      </c>
      <c r="D2075" s="1" t="n">
        <v>-6.97829810559</v>
      </c>
      <c r="E2075" s="3" t="n">
        <v>3</v>
      </c>
      <c r="F2075" s="2" t="n">
        <v>3</v>
      </c>
      <c r="G2075" s="4" t="n">
        <v>3</v>
      </c>
      <c r="H2075" s="13" t="n"/>
      <c r="I2075" s="15" t="n"/>
      <c r="J2075" s="19" t="n">
        <v>3</v>
      </c>
      <c r="K2075" s="2" t="inlineStr">
        <is>
          <t>marker_504_368746.png</t>
        </is>
      </c>
      <c r="L2075" s="11">
        <f>HYPERLINK("3\0\" &amp; K2075, "Ver Imagen")</f>
        <v/>
      </c>
      <c r="M2075" t="inlineStr">
        <is>
          <t>Moda</t>
        </is>
      </c>
    </row>
    <row r="2076">
      <c r="A2076" t="n">
        <v>2075</v>
      </c>
      <c r="B2076" t="inlineStr">
        <is>
          <t>A-497_2C__153</t>
        </is>
      </c>
      <c r="C2076" s="1" t="n">
        <v>37.2670045908</v>
      </c>
      <c r="D2076" s="1" t="n">
        <v>-6.99191101847</v>
      </c>
      <c r="E2076" s="3" t="n">
        <v>3</v>
      </c>
      <c r="F2076" s="2" t="n">
        <v>3</v>
      </c>
      <c r="G2076" s="4" t="n">
        <v>3</v>
      </c>
      <c r="H2076" s="13" t="n"/>
      <c r="I2076" s="15" t="n"/>
      <c r="J2076" s="19" t="n">
        <v>3</v>
      </c>
      <c r="K2076" s="2" t="inlineStr">
        <is>
          <t>marker_609_656033.png</t>
        </is>
      </c>
      <c r="L2076" s="11">
        <f>HYPERLINK("3\0\" &amp; K2076, "Ver Imagen")</f>
        <v/>
      </c>
      <c r="M2076" t="inlineStr">
        <is>
          <t>Moda</t>
        </is>
      </c>
    </row>
    <row r="2077">
      <c r="A2077" t="n">
        <v>2076</v>
      </c>
      <c r="B2077" t="inlineStr">
        <is>
          <t>A-497_2C__164</t>
        </is>
      </c>
      <c r="C2077" s="1" t="n">
        <v>37.2658470487</v>
      </c>
      <c r="D2077" s="1" t="n">
        <v>-6.99423890489</v>
      </c>
      <c r="E2077" s="3" t="n">
        <v>3</v>
      </c>
      <c r="F2077" s="2" t="n">
        <v>3</v>
      </c>
      <c r="G2077" s="4" t="n">
        <v>3</v>
      </c>
      <c r="H2077" s="13" t="n"/>
      <c r="I2077" s="15" t="n"/>
      <c r="J2077" s="19" t="n">
        <v>3</v>
      </c>
      <c r="K2077" s="2" t="inlineStr">
        <is>
          <t>marker_379_656138.png</t>
        </is>
      </c>
      <c r="L2077" s="11">
        <f>HYPERLINK("3\0\" &amp; K2077, "Ver Imagen")</f>
        <v/>
      </c>
      <c r="M2077" t="inlineStr">
        <is>
          <t>Moda</t>
        </is>
      </c>
    </row>
    <row r="2078">
      <c r="A2078" t="n">
        <v>2077</v>
      </c>
      <c r="B2078" t="inlineStr">
        <is>
          <t>A-497__725</t>
        </is>
      </c>
      <c r="C2078" s="1" t="n">
        <v>37.1919481231</v>
      </c>
      <c r="D2078" s="1" t="n">
        <v>-6.97753764997</v>
      </c>
      <c r="E2078" s="3" t="n">
        <v>3</v>
      </c>
      <c r="F2078" s="2" t="n">
        <v>3</v>
      </c>
      <c r="G2078" s="4" t="n">
        <v>3</v>
      </c>
      <c r="H2078" s="13" t="n"/>
      <c r="I2078" s="15" t="n"/>
      <c r="J2078" s="19" t="n">
        <v>3</v>
      </c>
      <c r="K2078" s="2" t="inlineStr">
        <is>
          <t>marker_138_369012.png</t>
        </is>
      </c>
      <c r="L2078" s="11">
        <f>HYPERLINK("3\0\" &amp; K2078, "Ver Imagen")</f>
        <v/>
      </c>
      <c r="M2078" t="inlineStr">
        <is>
          <t>Moda</t>
        </is>
      </c>
    </row>
    <row r="2079">
      <c r="A2079" t="n">
        <v>2078</v>
      </c>
      <c r="B2079" t="inlineStr">
        <is>
          <t>A-497__724</t>
        </is>
      </c>
      <c r="C2079" s="1" t="n">
        <v>37.1922232195</v>
      </c>
      <c r="D2079" s="1" t="n">
        <v>-6.97750685788</v>
      </c>
      <c r="E2079" s="3" t="n">
        <v>3</v>
      </c>
      <c r="F2079" s="2" t="n">
        <v>3</v>
      </c>
      <c r="G2079" s="4" t="n">
        <v>3</v>
      </c>
      <c r="H2079" s="13" t="n"/>
      <c r="I2079" s="15" t="n"/>
      <c r="J2079" s="19" t="n">
        <v>3</v>
      </c>
      <c r="K2079" s="2" t="inlineStr">
        <is>
          <t>marker_788_369022.png</t>
        </is>
      </c>
      <c r="L2079" s="11">
        <f>HYPERLINK("3\0\" &amp; K2079, "Ver Imagen")</f>
        <v/>
      </c>
      <c r="M2079" t="inlineStr">
        <is>
          <t>Moda</t>
        </is>
      </c>
    </row>
    <row r="2080">
      <c r="A2080" t="n">
        <v>2079</v>
      </c>
      <c r="B2080" t="inlineStr">
        <is>
          <t>A-497_2C__165</t>
        </is>
      </c>
      <c r="C2080" s="1" t="n">
        <v>37.2657951132</v>
      </c>
      <c r="D2080" s="1" t="n">
        <v>-6.99446539733</v>
      </c>
      <c r="E2080" s="3" t="n">
        <v>3</v>
      </c>
      <c r="F2080" s="2" t="n">
        <v>3</v>
      </c>
      <c r="G2080" s="4" t="n">
        <v>3</v>
      </c>
      <c r="H2080" s="13" t="n"/>
      <c r="I2080" s="15" t="n"/>
      <c r="J2080" s="19" t="n">
        <v>3</v>
      </c>
      <c r="K2080" s="2" t="inlineStr">
        <is>
          <t>marker_269_656147.png</t>
        </is>
      </c>
      <c r="L2080" s="11">
        <f>HYPERLINK("3\0\" &amp; K2080, "Ver Imagen")</f>
        <v/>
      </c>
      <c r="M2080" t="inlineStr">
        <is>
          <t>Moda</t>
        </is>
      </c>
    </row>
    <row r="2081">
      <c r="A2081" t="n">
        <v>2080</v>
      </c>
      <c r="B2081" t="inlineStr">
        <is>
          <t>A-497__718</t>
        </is>
      </c>
      <c r="C2081" s="1" t="n">
        <v>37.1933922047</v>
      </c>
      <c r="D2081" s="1" t="n">
        <v>-6.97749305445</v>
      </c>
      <c r="E2081" s="3" t="n">
        <v>3</v>
      </c>
      <c r="F2081" s="2" t="n">
        <v>3</v>
      </c>
      <c r="G2081" s="4" t="n">
        <v>3</v>
      </c>
      <c r="H2081" s="13" t="n"/>
      <c r="I2081" s="15" t="n"/>
      <c r="J2081" s="19" t="n">
        <v>3</v>
      </c>
      <c r="K2081" s="2" t="inlineStr">
        <is>
          <t>marker_818_369080.png</t>
        </is>
      </c>
      <c r="L2081" s="11">
        <f>HYPERLINK("3\0\" &amp; K2081, "Ver Imagen")</f>
        <v/>
      </c>
      <c r="M2081" t="inlineStr">
        <is>
          <t>Moda</t>
        </is>
      </c>
    </row>
    <row r="2082">
      <c r="A2082" t="n">
        <v>2081</v>
      </c>
      <c r="B2082" t="inlineStr">
        <is>
          <t>A-497__717</t>
        </is>
      </c>
      <c r="C2082" s="1" t="n">
        <v>37.1935591083</v>
      </c>
      <c r="D2082" s="1" t="n">
        <v>-6.97750904114</v>
      </c>
      <c r="E2082" s="3" t="n">
        <v>3</v>
      </c>
      <c r="F2082" s="2" t="n">
        <v>3</v>
      </c>
      <c r="G2082" s="4" t="n">
        <v>3</v>
      </c>
      <c r="H2082" s="13" t="n"/>
      <c r="I2082" s="15" t="n"/>
      <c r="J2082" s="19" t="n">
        <v>3</v>
      </c>
      <c r="K2082" s="2" t="inlineStr">
        <is>
          <t>marker_552_369090.png</t>
        </is>
      </c>
      <c r="L2082" s="11">
        <f>HYPERLINK("3\0\" &amp; K2082, "Ver Imagen")</f>
        <v/>
      </c>
      <c r="M2082" t="inlineStr">
        <is>
          <t>Moda</t>
        </is>
      </c>
    </row>
    <row r="2083">
      <c r="A2083" t="n">
        <v>2082</v>
      </c>
      <c r="B2083" t="inlineStr">
        <is>
          <t>A-497__716</t>
        </is>
      </c>
      <c r="C2083" s="1" t="n">
        <v>37.1937632492</v>
      </c>
      <c r="D2083" s="1" t="n">
        <v>-6.97753684914</v>
      </c>
      <c r="E2083" s="3" t="n">
        <v>3</v>
      </c>
      <c r="F2083" s="2" t="n">
        <v>3</v>
      </c>
      <c r="G2083" s="4" t="n">
        <v>3</v>
      </c>
      <c r="H2083" s="13" t="n"/>
      <c r="I2083" s="15" t="n"/>
      <c r="J2083" s="19" t="n">
        <v>3</v>
      </c>
      <c r="K2083" s="2" t="inlineStr">
        <is>
          <t>marker_840_369100.png</t>
        </is>
      </c>
      <c r="L2083" s="11">
        <f>HYPERLINK("3\0\" &amp; K2083, "Ver Imagen")</f>
        <v/>
      </c>
      <c r="M2083" t="inlineStr">
        <is>
          <t>Moda</t>
        </is>
      </c>
    </row>
    <row r="2084">
      <c r="A2084" t="n">
        <v>2083</v>
      </c>
      <c r="B2084" t="inlineStr">
        <is>
          <t>A-497_2C__176</t>
        </is>
      </c>
      <c r="C2084" s="1" t="n">
        <v>37.2652812344</v>
      </c>
      <c r="D2084" s="1" t="n">
        <v>-6.99718658291</v>
      </c>
      <c r="E2084" s="3" t="n">
        <v>3</v>
      </c>
      <c r="F2084" s="2" t="n">
        <v>3</v>
      </c>
      <c r="G2084" s="4" t="n">
        <v>3</v>
      </c>
      <c r="H2084" s="13" t="n"/>
      <c r="I2084" s="15" t="n"/>
      <c r="J2084" s="19" t="n">
        <v>3</v>
      </c>
      <c r="K2084" s="2" t="inlineStr">
        <is>
          <t>marker_909_656258.png</t>
        </is>
      </c>
      <c r="L2084" s="11">
        <f>HYPERLINK("3\0\" &amp; K2084, "Ver Imagen")</f>
        <v/>
      </c>
      <c r="M2084" t="inlineStr">
        <is>
          <t>Moda</t>
        </is>
      </c>
    </row>
    <row r="2085">
      <c r="A2085" t="n">
        <v>2084</v>
      </c>
      <c r="B2085" t="inlineStr">
        <is>
          <t>A-497_2C__177</t>
        </is>
      </c>
      <c r="C2085" s="1" t="n">
        <v>37.265236129</v>
      </c>
      <c r="D2085" s="1" t="n">
        <v>-6.99742985932</v>
      </c>
      <c r="E2085" s="3" t="n">
        <v>3</v>
      </c>
      <c r="F2085" s="2" t="n">
        <v>3</v>
      </c>
      <c r="G2085" s="4" t="n">
        <v>3</v>
      </c>
      <c r="H2085" s="13" t="n"/>
      <c r="I2085" s="15" t="n"/>
      <c r="J2085" s="19" t="n">
        <v>3</v>
      </c>
      <c r="K2085" s="2" t="inlineStr">
        <is>
          <t>marker_881_656267.png</t>
        </is>
      </c>
      <c r="L2085" s="11">
        <f>HYPERLINK("3\0\" &amp; K2085, "Ver Imagen")</f>
        <v/>
      </c>
      <c r="M2085" t="inlineStr">
        <is>
          <t>Moda</t>
        </is>
      </c>
    </row>
    <row r="2086">
      <c r="A2086" t="n">
        <v>2085</v>
      </c>
      <c r="B2086" t="inlineStr">
        <is>
          <t>A-497_2C__178</t>
        </is>
      </c>
      <c r="C2086" s="1" t="n">
        <v>37.2651948544</v>
      </c>
      <c r="D2086" s="1" t="n">
        <v>-6.99765431101</v>
      </c>
      <c r="E2086" s="3" t="n">
        <v>3</v>
      </c>
      <c r="F2086" s="2" t="n">
        <v>3</v>
      </c>
      <c r="G2086" s="4" t="n">
        <v>3</v>
      </c>
      <c r="H2086" s="13" t="n"/>
      <c r="I2086" s="15" t="n"/>
      <c r="J2086" s="19" t="n">
        <v>3</v>
      </c>
      <c r="K2086" s="2" t="inlineStr">
        <is>
          <t>marker_347_656312.png</t>
        </is>
      </c>
      <c r="L2086" s="11">
        <f>HYPERLINK("3\0\" &amp; K2086, "Ver Imagen")</f>
        <v/>
      </c>
      <c r="M2086" t="inlineStr">
        <is>
          <t>Moda</t>
        </is>
      </c>
    </row>
    <row r="2087">
      <c r="A2087" t="n">
        <v>2086</v>
      </c>
      <c r="B2087" t="inlineStr">
        <is>
          <t>A-497_2C__180</t>
        </is>
      </c>
      <c r="C2087" s="1" t="n">
        <v>37.2651004487</v>
      </c>
      <c r="D2087" s="1" t="n">
        <v>-6.9981916489</v>
      </c>
      <c r="E2087" s="3" t="n">
        <v>3</v>
      </c>
      <c r="F2087" s="2" t="n">
        <v>3</v>
      </c>
      <c r="G2087" s="4" t="n">
        <v>3</v>
      </c>
      <c r="H2087" s="13" t="n"/>
      <c r="I2087" s="15" t="n"/>
      <c r="J2087" s="19" t="n">
        <v>3</v>
      </c>
      <c r="K2087" s="2" t="inlineStr">
        <is>
          <t>marker_742_656329.png</t>
        </is>
      </c>
      <c r="L2087" s="11">
        <f>HYPERLINK("3\0\" &amp; K2087, "Ver Imagen")</f>
        <v/>
      </c>
      <c r="M2087" t="inlineStr">
        <is>
          <t>Moda</t>
        </is>
      </c>
    </row>
    <row r="2088">
      <c r="A2088" t="n">
        <v>2087</v>
      </c>
      <c r="B2088" t="inlineStr">
        <is>
          <t>A-497__713</t>
        </is>
      </c>
      <c r="C2088" s="1" t="n">
        <v>37.1943933433</v>
      </c>
      <c r="D2088" s="1" t="n">
        <v>-6.97768289498</v>
      </c>
      <c r="E2088" s="3" t="n">
        <v>3</v>
      </c>
      <c r="F2088" s="2" t="n">
        <v>3</v>
      </c>
      <c r="G2088" s="4" t="n">
        <v>3</v>
      </c>
      <c r="H2088" s="13" t="n"/>
      <c r="I2088" s="15" t="n"/>
      <c r="J2088" s="19" t="n">
        <v>3</v>
      </c>
      <c r="K2088" s="2" t="inlineStr">
        <is>
          <t>marker_198_369141.png</t>
        </is>
      </c>
      <c r="L2088" s="11">
        <f>HYPERLINK("3\0\" &amp; K2088, "Ver Imagen")</f>
        <v/>
      </c>
      <c r="M2088" t="inlineStr">
        <is>
          <t>Moda</t>
        </is>
      </c>
    </row>
    <row r="2089">
      <c r="A2089" t="n">
        <v>2088</v>
      </c>
      <c r="B2089" t="inlineStr">
        <is>
          <t>A-497_2C__181</t>
        </is>
      </c>
      <c r="C2089" s="1" t="n">
        <v>37.2650652518</v>
      </c>
      <c r="D2089" s="1" t="n">
        <v>-6.99841155546</v>
      </c>
      <c r="E2089" s="3" t="n">
        <v>3</v>
      </c>
      <c r="F2089" s="2" t="n">
        <v>3</v>
      </c>
      <c r="G2089" s="4" t="n">
        <v>3</v>
      </c>
      <c r="H2089" s="13" t="n"/>
      <c r="I2089" s="15" t="n"/>
      <c r="J2089" s="19" t="n">
        <v>3</v>
      </c>
      <c r="K2089" s="2" t="inlineStr">
        <is>
          <t>marker_792_656338.png</t>
        </is>
      </c>
      <c r="L2089" s="11">
        <f>HYPERLINK("3\0\" &amp; K2089, "Ver Imagen")</f>
        <v/>
      </c>
      <c r="M2089" t="inlineStr">
        <is>
          <t>Moda</t>
        </is>
      </c>
    </row>
    <row r="2090">
      <c r="A2090" t="n">
        <v>2089</v>
      </c>
      <c r="B2090" t="inlineStr">
        <is>
          <t>A-497_2C__182</t>
        </is>
      </c>
      <c r="C2090" s="1" t="n">
        <v>37.2650266463</v>
      </c>
      <c r="D2090" s="1" t="n">
        <v>-6.99866937159</v>
      </c>
      <c r="E2090" s="3" t="n">
        <v>3</v>
      </c>
      <c r="F2090" s="2" t="n">
        <v>3</v>
      </c>
      <c r="G2090" s="4" t="n">
        <v>3</v>
      </c>
      <c r="H2090" s="13" t="n"/>
      <c r="I2090" s="15" t="n"/>
      <c r="J2090" s="19" t="n">
        <v>3</v>
      </c>
      <c r="K2090" s="2" t="inlineStr">
        <is>
          <t>marker_392_656346.png</t>
        </is>
      </c>
      <c r="L2090" s="11">
        <f>HYPERLINK("3\0\" &amp; K2090, "Ver Imagen")</f>
        <v/>
      </c>
      <c r="M2090" t="inlineStr">
        <is>
          <t>Moda</t>
        </is>
      </c>
    </row>
    <row r="2091">
      <c r="A2091" t="n">
        <v>2090</v>
      </c>
      <c r="B2091" t="inlineStr">
        <is>
          <t>A-497__711</t>
        </is>
      </c>
      <c r="C2091" s="1" t="n">
        <v>37.1947926969</v>
      </c>
      <c r="D2091" s="1" t="n">
        <v>-6.97781280427</v>
      </c>
      <c r="E2091" s="3" t="n">
        <v>3</v>
      </c>
      <c r="F2091" s="2" t="n">
        <v>3</v>
      </c>
      <c r="G2091" s="4" t="n">
        <v>3</v>
      </c>
      <c r="H2091" s="13" t="n"/>
      <c r="I2091" s="15" t="n"/>
      <c r="J2091" s="19" t="n">
        <v>3</v>
      </c>
      <c r="K2091" s="2" t="inlineStr">
        <is>
          <t>marker_159_369166.png</t>
        </is>
      </c>
      <c r="L2091" s="11">
        <f>HYPERLINK("3\0\" &amp; K2091, "Ver Imagen")</f>
        <v/>
      </c>
      <c r="M2091" t="inlineStr">
        <is>
          <t>Moda</t>
        </is>
      </c>
    </row>
    <row r="2092">
      <c r="A2092" t="n">
        <v>2091</v>
      </c>
      <c r="B2092" t="inlineStr">
        <is>
          <t>A-497_2C__183</t>
        </is>
      </c>
      <c r="C2092" s="1" t="n">
        <v>37.2649918805</v>
      </c>
      <c r="D2092" s="1" t="n">
        <v>-6.99890330126</v>
      </c>
      <c r="E2092" s="3" t="n">
        <v>3</v>
      </c>
      <c r="F2092" s="2" t="n">
        <v>3</v>
      </c>
      <c r="G2092" s="4" t="n">
        <v>3</v>
      </c>
      <c r="H2092" s="13" t="n"/>
      <c r="I2092" s="15" t="n"/>
      <c r="J2092" s="19" t="n">
        <v>3</v>
      </c>
      <c r="K2092" s="2" t="inlineStr">
        <is>
          <t>marker_119_656355.png</t>
        </is>
      </c>
      <c r="L2092" s="11">
        <f>HYPERLINK("3\0\" &amp; K2092, "Ver Imagen")</f>
        <v/>
      </c>
      <c r="M2092" t="inlineStr">
        <is>
          <t>Moda</t>
        </is>
      </c>
    </row>
    <row r="2093">
      <c r="A2093" t="n">
        <v>2092</v>
      </c>
      <c r="B2093" t="inlineStr">
        <is>
          <t>A-497__707</t>
        </is>
      </c>
      <c r="C2093" s="1" t="n">
        <v>37.1955534739</v>
      </c>
      <c r="D2093" s="1" t="n">
        <v>-6.9781516463</v>
      </c>
      <c r="E2093" s="3" t="n">
        <v>3</v>
      </c>
      <c r="F2093" s="2" t="n">
        <v>3</v>
      </c>
      <c r="G2093" s="4" t="n">
        <v>3</v>
      </c>
      <c r="H2093" s="13" t="n"/>
      <c r="I2093" s="15" t="n"/>
      <c r="J2093" s="19" t="n">
        <v>3</v>
      </c>
      <c r="K2093" s="2" t="inlineStr">
        <is>
          <t>marker_862_370307.png</t>
        </is>
      </c>
      <c r="L2093" s="11">
        <f>HYPERLINK("3\0\" &amp; K2093, "Ver Imagen")</f>
        <v/>
      </c>
      <c r="M2093" t="inlineStr">
        <is>
          <t>Moda</t>
        </is>
      </c>
    </row>
    <row r="2094">
      <c r="A2094" t="n">
        <v>2093</v>
      </c>
      <c r="B2094" t="inlineStr">
        <is>
          <t>A-497_2C__188</t>
        </is>
      </c>
      <c r="C2094" s="1" t="n">
        <v>37.2647739648</v>
      </c>
      <c r="D2094" s="1" t="n">
        <v>-7.00018402379</v>
      </c>
      <c r="E2094" s="3" t="n">
        <v>3</v>
      </c>
      <c r="F2094" s="2" t="n">
        <v>3</v>
      </c>
      <c r="G2094" s="4" t="n">
        <v>3</v>
      </c>
      <c r="H2094" s="13" t="n"/>
      <c r="I2094" s="15" t="n"/>
      <c r="J2094" s="19" t="n">
        <v>3</v>
      </c>
      <c r="K2094" s="2" t="inlineStr">
        <is>
          <t>marker_949_656401.png</t>
        </is>
      </c>
      <c r="L2094" s="11">
        <f>HYPERLINK("3\0\" &amp; K2094, "Ver Imagen")</f>
        <v/>
      </c>
      <c r="M2094" t="inlineStr">
        <is>
          <t>Moda</t>
        </is>
      </c>
    </row>
    <row r="2095">
      <c r="A2095" t="n">
        <v>2094</v>
      </c>
      <c r="B2095" t="inlineStr">
        <is>
          <t>A-497_2C__190</t>
        </is>
      </c>
      <c r="C2095" s="1" t="n">
        <v>37.2646874809</v>
      </c>
      <c r="D2095" s="1" t="n">
        <v>-7.00067744524</v>
      </c>
      <c r="E2095" s="3" t="n">
        <v>3</v>
      </c>
      <c r="F2095" s="2" t="n">
        <v>3</v>
      </c>
      <c r="G2095" s="4" t="n">
        <v>3</v>
      </c>
      <c r="H2095" s="13" t="n"/>
      <c r="I2095" s="15" t="n"/>
      <c r="J2095" s="19" t="n">
        <v>3</v>
      </c>
      <c r="K2095" s="2" t="inlineStr">
        <is>
          <t>marker_338_656422.png</t>
        </is>
      </c>
      <c r="L2095" s="11">
        <f>HYPERLINK("3\0\" &amp; K2095, "Ver Imagen")</f>
        <v/>
      </c>
      <c r="M2095" t="inlineStr">
        <is>
          <t>Moda</t>
        </is>
      </c>
    </row>
    <row r="2096">
      <c r="A2096" t="n">
        <v>2095</v>
      </c>
      <c r="B2096" t="inlineStr">
        <is>
          <t>A-497__701</t>
        </is>
      </c>
      <c r="C2096" s="1" t="n">
        <v>37.1966038144</v>
      </c>
      <c r="D2096" s="1" t="n">
        <v>-6.97886663253</v>
      </c>
      <c r="E2096" s="3" t="n">
        <v>3</v>
      </c>
      <c r="F2096" s="2" t="n">
        <v>3</v>
      </c>
      <c r="G2096" s="4" t="n">
        <v>3</v>
      </c>
      <c r="H2096" s="13" t="n"/>
      <c r="I2096" s="15" t="n"/>
      <c r="J2096" s="19" t="n">
        <v>3</v>
      </c>
      <c r="K2096" s="2" t="inlineStr">
        <is>
          <t>marker_444_370368.png</t>
        </is>
      </c>
      <c r="L2096" s="11">
        <f>HYPERLINK("3\0\" &amp; K2096, "Ver Imagen")</f>
        <v/>
      </c>
      <c r="M2096" t="inlineStr">
        <is>
          <t>Moda</t>
        </is>
      </c>
    </row>
    <row r="2097">
      <c r="A2097" t="n">
        <v>2096</v>
      </c>
      <c r="B2097" t="inlineStr">
        <is>
          <t>A-497__700</t>
        </is>
      </c>
      <c r="C2097" s="1" t="n">
        <v>37.1967830993</v>
      </c>
      <c r="D2097" s="1" t="n">
        <v>-6.97902316693</v>
      </c>
      <c r="E2097" s="3" t="n">
        <v>3</v>
      </c>
      <c r="F2097" s="2" t="n">
        <v>3</v>
      </c>
      <c r="G2097" s="4" t="n">
        <v>3</v>
      </c>
      <c r="H2097" s="13" t="n"/>
      <c r="I2097" s="15" t="n"/>
      <c r="J2097" s="19" t="n">
        <v>3</v>
      </c>
      <c r="K2097" s="2" t="inlineStr">
        <is>
          <t>marker_671_370377.png</t>
        </is>
      </c>
      <c r="L2097" s="11">
        <f>HYPERLINK("3\0\" &amp; K2097, "Ver Imagen")</f>
        <v/>
      </c>
      <c r="M2097" t="inlineStr">
        <is>
          <t>Moda</t>
        </is>
      </c>
    </row>
    <row r="2098">
      <c r="A2098" t="n">
        <v>2097</v>
      </c>
      <c r="B2098" t="inlineStr">
        <is>
          <t>A-497_2C__215</t>
        </is>
      </c>
      <c r="C2098" s="1" t="n">
        <v>37.2635846605</v>
      </c>
      <c r="D2098" s="1" t="n">
        <v>-7.00685136431</v>
      </c>
      <c r="E2098" s="3" t="n">
        <v>3</v>
      </c>
      <c r="F2098" s="2" t="n">
        <v>3</v>
      </c>
      <c r="G2098" s="4" t="n">
        <v>3</v>
      </c>
      <c r="H2098" s="13" t="n"/>
      <c r="I2098" s="15" t="n"/>
      <c r="J2098" s="19" t="n">
        <v>3</v>
      </c>
      <c r="K2098" s="2" t="inlineStr">
        <is>
          <t>marker_319_656702.png</t>
        </is>
      </c>
      <c r="L2098" s="11">
        <f>HYPERLINK("3\0\" &amp; K2098, "Ver Imagen")</f>
        <v/>
      </c>
      <c r="M2098" t="inlineStr">
        <is>
          <t>Moda</t>
        </is>
      </c>
    </row>
    <row r="2099">
      <c r="A2099" t="n">
        <v>2098</v>
      </c>
      <c r="B2099" t="inlineStr">
        <is>
          <t>A-497_2C__216</t>
        </is>
      </c>
      <c r="C2099" s="1" t="n">
        <v>37.2635449071</v>
      </c>
      <c r="D2099" s="1" t="n">
        <v>-7.0070555932</v>
      </c>
      <c r="E2099" s="3" t="n">
        <v>3</v>
      </c>
      <c r="F2099" s="2" t="n">
        <v>3</v>
      </c>
      <c r="G2099" s="4" t="n">
        <v>3</v>
      </c>
      <c r="H2099" s="13" t="n"/>
      <c r="I2099" s="15" t="n"/>
      <c r="J2099" s="19" t="n">
        <v>3</v>
      </c>
      <c r="K2099" s="2" t="inlineStr">
        <is>
          <t>marker_658_656711.png</t>
        </is>
      </c>
      <c r="L2099" s="11">
        <f>HYPERLINK("3\0\" &amp; K2099, "Ver Imagen")</f>
        <v/>
      </c>
      <c r="M2099" t="inlineStr">
        <is>
          <t>Moda</t>
        </is>
      </c>
    </row>
    <row r="2100">
      <c r="A2100" t="n">
        <v>2099</v>
      </c>
      <c r="B2100" t="inlineStr">
        <is>
          <t>A-497__688</t>
        </is>
      </c>
      <c r="C2100" s="1" t="n">
        <v>37.198461441</v>
      </c>
      <c r="D2100" s="1" t="n">
        <v>-6.98120353518</v>
      </c>
      <c r="E2100" s="3" t="n">
        <v>3</v>
      </c>
      <c r="F2100" s="2" t="n">
        <v>3</v>
      </c>
      <c r="G2100" s="4" t="n">
        <v>3</v>
      </c>
      <c r="H2100" s="13" t="n"/>
      <c r="I2100" s="15" t="n"/>
      <c r="J2100" s="19" t="n">
        <v>3</v>
      </c>
      <c r="K2100" s="2" t="inlineStr">
        <is>
          <t>marker_125_370494.png</t>
        </is>
      </c>
      <c r="L2100" s="11">
        <f>HYPERLINK("3\0\" &amp; K2100, "Ver Imagen")</f>
        <v/>
      </c>
      <c r="M2100" t="inlineStr">
        <is>
          <t>Moda</t>
        </is>
      </c>
    </row>
    <row r="2101">
      <c r="A2101" t="n">
        <v>2100</v>
      </c>
      <c r="B2101" t="inlineStr">
        <is>
          <t>A-497__686</t>
        </is>
      </c>
      <c r="C2101" s="1" t="n">
        <v>37.1986589315</v>
      </c>
      <c r="D2101" s="1" t="n">
        <v>-6.98159391376</v>
      </c>
      <c r="E2101" s="3" t="n">
        <v>3</v>
      </c>
      <c r="F2101" s="2" t="n">
        <v>3</v>
      </c>
      <c r="G2101" s="4" t="n">
        <v>3</v>
      </c>
      <c r="H2101" s="13" t="n"/>
      <c r="I2101" s="15" t="n"/>
      <c r="J2101" s="19" t="n">
        <v>3</v>
      </c>
      <c r="K2101" s="2" t="inlineStr">
        <is>
          <t>marker_969_370512.png</t>
        </is>
      </c>
      <c r="L2101" s="11">
        <f>HYPERLINK("3\0\" &amp; K2101, "Ver Imagen")</f>
        <v/>
      </c>
      <c r="M2101" t="inlineStr">
        <is>
          <t>Moda</t>
        </is>
      </c>
    </row>
    <row r="2102">
      <c r="A2102" t="n">
        <v>2101</v>
      </c>
      <c r="B2102" t="inlineStr">
        <is>
          <t>A-497_2C__226</t>
        </is>
      </c>
      <c r="C2102" s="1" t="n">
        <v>37.2626867981</v>
      </c>
      <c r="D2102" s="1" t="n">
        <v>-7.00938273948</v>
      </c>
      <c r="E2102" s="3" t="n">
        <v>3</v>
      </c>
      <c r="F2102" s="2" t="n">
        <v>3</v>
      </c>
      <c r="G2102" s="4" t="n">
        <v>3</v>
      </c>
      <c r="H2102" s="13" t="n"/>
      <c r="I2102" s="15" t="n"/>
      <c r="J2102" s="19" t="n">
        <v>3</v>
      </c>
      <c r="K2102" s="2" t="inlineStr">
        <is>
          <t>marker_668_656848.png</t>
        </is>
      </c>
      <c r="L2102" s="11">
        <f>HYPERLINK("3\0\" &amp; K2102, "Ver Imagen")</f>
        <v/>
      </c>
      <c r="M2102" t="inlineStr">
        <is>
          <t>Moda</t>
        </is>
      </c>
    </row>
    <row r="2103">
      <c r="A2103" t="n">
        <v>2102</v>
      </c>
      <c r="B2103" t="inlineStr">
        <is>
          <t>A-497_2C__228</t>
        </is>
      </c>
      <c r="C2103" s="1" t="n">
        <v>37.2624388729</v>
      </c>
      <c r="D2103" s="1" t="n">
        <v>-7.00975177935</v>
      </c>
      <c r="E2103" s="3" t="n">
        <v>3</v>
      </c>
      <c r="F2103" s="2" t="n">
        <v>3</v>
      </c>
      <c r="G2103" s="4" t="n">
        <v>3</v>
      </c>
      <c r="H2103" s="13" t="n"/>
      <c r="I2103" s="15" t="n"/>
      <c r="J2103" s="19" t="n">
        <v>3</v>
      </c>
      <c r="K2103" s="2" t="inlineStr">
        <is>
          <t>marker_619_656865.png</t>
        </is>
      </c>
      <c r="L2103" s="11">
        <f>HYPERLINK("3\0\" &amp; K2103, "Ver Imagen")</f>
        <v/>
      </c>
      <c r="M2103" t="inlineStr">
        <is>
          <t>Moda</t>
        </is>
      </c>
    </row>
    <row r="2104">
      <c r="A2104" t="n">
        <v>2103</v>
      </c>
      <c r="B2104" t="inlineStr">
        <is>
          <t>A-497_2C__229</t>
        </is>
      </c>
      <c r="C2104" s="1" t="n">
        <v>37.2623189653</v>
      </c>
      <c r="D2104" s="1" t="n">
        <v>-7.00990754317</v>
      </c>
      <c r="E2104" s="3" t="n">
        <v>3</v>
      </c>
      <c r="F2104" s="2" t="n">
        <v>3</v>
      </c>
      <c r="G2104" s="4" t="n">
        <v>3</v>
      </c>
      <c r="H2104" s="13" t="n"/>
      <c r="I2104" s="15" t="n"/>
      <c r="J2104" s="19" t="n">
        <v>3</v>
      </c>
      <c r="K2104" s="2" t="inlineStr">
        <is>
          <t>marker_198_656873.png</t>
        </is>
      </c>
      <c r="L2104" s="11">
        <f>HYPERLINK("3\0\" &amp; K2104, "Ver Imagen")</f>
        <v/>
      </c>
      <c r="M2104" t="inlineStr">
        <is>
          <t>Moda</t>
        </is>
      </c>
    </row>
    <row r="2105">
      <c r="A2105" t="n">
        <v>2104</v>
      </c>
      <c r="B2105" t="inlineStr">
        <is>
          <t>A-497_2C__230</t>
        </is>
      </c>
      <c r="C2105" s="1" t="n">
        <v>37.2621676809</v>
      </c>
      <c r="D2105" s="1" t="n">
        <v>-7.01008665817</v>
      </c>
      <c r="E2105" s="3" t="n">
        <v>3</v>
      </c>
      <c r="F2105" s="2" t="n">
        <v>3</v>
      </c>
      <c r="G2105" s="4" t="n">
        <v>3</v>
      </c>
      <c r="H2105" s="13" t="n"/>
      <c r="I2105" s="15" t="n"/>
      <c r="J2105" s="19" t="n">
        <v>3</v>
      </c>
      <c r="K2105" s="2" t="inlineStr">
        <is>
          <t>marker_967_656882.png</t>
        </is>
      </c>
      <c r="L2105" s="11">
        <f>HYPERLINK("3\0\" &amp; K2105, "Ver Imagen")</f>
        <v/>
      </c>
      <c r="M2105" t="inlineStr">
        <is>
          <t>Moda</t>
        </is>
      </c>
    </row>
    <row r="2106">
      <c r="A2106" t="n">
        <v>2105</v>
      </c>
      <c r="B2106" t="inlineStr">
        <is>
          <t>A-497_2C__250</t>
        </is>
      </c>
      <c r="C2106" s="1" t="n">
        <v>37.2586186974</v>
      </c>
      <c r="D2106" s="1" t="n">
        <v>-7.01258665994</v>
      </c>
      <c r="E2106" s="3" t="n">
        <v>3</v>
      </c>
      <c r="F2106" s="2" t="n">
        <v>3</v>
      </c>
      <c r="G2106" s="4" t="n">
        <v>3</v>
      </c>
      <c r="H2106" s="13" t="n"/>
      <c r="I2106" s="15" t="n"/>
      <c r="J2106" s="19" t="n">
        <v>3</v>
      </c>
      <c r="K2106" s="2" t="inlineStr">
        <is>
          <t>marker_381_319401.png</t>
        </is>
      </c>
      <c r="L2106" s="11">
        <f>HYPERLINK("3\0\" &amp; K2106, "Ver Imagen")</f>
        <v/>
      </c>
      <c r="M2106" t="inlineStr">
        <is>
          <t>Moda</t>
        </is>
      </c>
    </row>
    <row r="2107">
      <c r="A2107" t="n">
        <v>2106</v>
      </c>
      <c r="B2107" t="inlineStr">
        <is>
          <t>A-497_2C__254</t>
        </is>
      </c>
      <c r="C2107" s="1" t="n">
        <v>37.2578530221</v>
      </c>
      <c r="D2107" s="1" t="n">
        <v>-7.01307257568</v>
      </c>
      <c r="E2107" s="3" t="n">
        <v>3</v>
      </c>
      <c r="F2107" s="2" t="n">
        <v>3</v>
      </c>
      <c r="G2107" s="4" t="n">
        <v>3</v>
      </c>
      <c r="H2107" s="13" t="n"/>
      <c r="I2107" s="15" t="n"/>
      <c r="J2107" s="19" t="n">
        <v>3</v>
      </c>
      <c r="K2107" s="2" t="inlineStr">
        <is>
          <t>marker_530_319441.png</t>
        </is>
      </c>
      <c r="L2107" s="11">
        <f>HYPERLINK("3\0\" &amp; K2107, "Ver Imagen")</f>
        <v/>
      </c>
      <c r="M2107" t="inlineStr">
        <is>
          <t>Moda</t>
        </is>
      </c>
    </row>
    <row r="2108">
      <c r="A2108" t="n">
        <v>2107</v>
      </c>
      <c r="B2108" t="inlineStr">
        <is>
          <t>A-497_2C__255</t>
        </is>
      </c>
      <c r="C2108" s="1" t="n">
        <v>37.2577039346</v>
      </c>
      <c r="D2108" s="1" t="n">
        <v>-7.01316534777</v>
      </c>
      <c r="E2108" s="3" t="n">
        <v>3</v>
      </c>
      <c r="F2108" s="2" t="n">
        <v>3</v>
      </c>
      <c r="G2108" s="4" t="n">
        <v>3</v>
      </c>
      <c r="H2108" s="13" t="n"/>
      <c r="I2108" s="15" t="n"/>
      <c r="J2108" s="19" t="n">
        <v>3</v>
      </c>
      <c r="K2108" s="2" t="inlineStr">
        <is>
          <t>marker_961_319523.png</t>
        </is>
      </c>
      <c r="L2108" s="11">
        <f>HYPERLINK("3\0\" &amp; K2108, "Ver Imagen")</f>
        <v/>
      </c>
      <c r="M2108" t="inlineStr">
        <is>
          <t>Moda</t>
        </is>
      </c>
    </row>
    <row r="2109">
      <c r="A2109" t="n">
        <v>2108</v>
      </c>
      <c r="B2109" t="inlineStr">
        <is>
          <t>A-497_2C__260</t>
        </is>
      </c>
      <c r="C2109" s="1" t="n">
        <v>37.2567909589</v>
      </c>
      <c r="D2109" s="1" t="n">
        <v>-7.01374641338</v>
      </c>
      <c r="E2109" s="3" t="n">
        <v>3</v>
      </c>
      <c r="F2109" s="2" t="n">
        <v>3</v>
      </c>
      <c r="G2109" s="4" t="n">
        <v>3</v>
      </c>
      <c r="H2109" s="13" t="n"/>
      <c r="I2109" s="15" t="n"/>
      <c r="J2109" s="19" t="n">
        <v>3</v>
      </c>
      <c r="K2109" s="2" t="inlineStr">
        <is>
          <t>marker_797_319590.png</t>
        </is>
      </c>
      <c r="L2109" s="11">
        <f>HYPERLINK("3\0\" &amp; K2109, "Ver Imagen")</f>
        <v/>
      </c>
      <c r="M2109" t="inlineStr">
        <is>
          <t>Moda</t>
        </is>
      </c>
    </row>
    <row r="2110">
      <c r="A2110" t="n">
        <v>2109</v>
      </c>
      <c r="B2110" t="inlineStr">
        <is>
          <t>A-497_2C__261</t>
        </is>
      </c>
      <c r="C2110" s="1" t="n">
        <v>37.2566279478</v>
      </c>
      <c r="D2110" s="1" t="n">
        <v>-7.01385026298</v>
      </c>
      <c r="E2110" s="3" t="n">
        <v>3</v>
      </c>
      <c r="F2110" s="2" t="n">
        <v>3</v>
      </c>
      <c r="G2110" s="4" t="n">
        <v>3</v>
      </c>
      <c r="H2110" s="13" t="n"/>
      <c r="I2110" s="15" t="n"/>
      <c r="J2110" s="19" t="n">
        <v>3</v>
      </c>
      <c r="K2110" s="2" t="inlineStr">
        <is>
          <t>marker_954_319599.png</t>
        </is>
      </c>
      <c r="L2110" s="11">
        <f>HYPERLINK("3\0\" &amp; K2110, "Ver Imagen")</f>
        <v/>
      </c>
      <c r="M2110" t="inlineStr">
        <is>
          <t>Moda</t>
        </is>
      </c>
    </row>
    <row r="2111">
      <c r="A2111" t="n">
        <v>2110</v>
      </c>
      <c r="B2111" t="inlineStr">
        <is>
          <t>A-497__637</t>
        </is>
      </c>
      <c r="C2111" s="1" t="n">
        <v>37.2016319056</v>
      </c>
      <c r="D2111" s="1" t="n">
        <v>-6.99341978684</v>
      </c>
      <c r="E2111" s="3" t="n">
        <v>3</v>
      </c>
      <c r="F2111" s="2" t="n">
        <v>3</v>
      </c>
      <c r="G2111" s="4" t="n">
        <v>3</v>
      </c>
      <c r="H2111" s="13" t="n"/>
      <c r="I2111" s="15" t="n"/>
      <c r="J2111" s="19" t="n">
        <v>3</v>
      </c>
      <c r="K2111" s="2" t="inlineStr">
        <is>
          <t>marker_454_371362.png</t>
        </is>
      </c>
      <c r="L2111" s="11">
        <f>HYPERLINK("3\0\" &amp; K2111, "Ver Imagen")</f>
        <v/>
      </c>
      <c r="M2111" t="inlineStr">
        <is>
          <t>Moda</t>
        </is>
      </c>
    </row>
    <row r="2112">
      <c r="A2112" t="n">
        <v>2111</v>
      </c>
      <c r="B2112" t="inlineStr">
        <is>
          <t>A-497__625</t>
        </is>
      </c>
      <c r="C2112" s="1" t="n">
        <v>37.2021484175</v>
      </c>
      <c r="D2112" s="1" t="n">
        <v>-6.99641509279</v>
      </c>
      <c r="E2112" s="3" t="n">
        <v>3</v>
      </c>
      <c r="F2112" s="2" t="n">
        <v>3</v>
      </c>
      <c r="G2112" s="4" t="n">
        <v>3</v>
      </c>
      <c r="H2112" s="13" t="n"/>
      <c r="I2112" s="15" t="n"/>
      <c r="J2112" s="19" t="n">
        <v>3</v>
      </c>
      <c r="K2112" s="2" t="inlineStr">
        <is>
          <t>marker_115_371475.png</t>
        </is>
      </c>
      <c r="L2112" s="11">
        <f>HYPERLINK("3\0\" &amp; K2112, "Ver Imagen")</f>
        <v/>
      </c>
      <c r="M2112" t="inlineStr">
        <is>
          <t>Moda</t>
        </is>
      </c>
    </row>
    <row r="2113">
      <c r="A2113" t="n">
        <v>2112</v>
      </c>
      <c r="B2113" t="inlineStr">
        <is>
          <t>A-497__624</t>
        </is>
      </c>
      <c r="C2113" s="1" t="n">
        <v>37.2021851349</v>
      </c>
      <c r="D2113" s="1" t="n">
        <v>-6.99664807068</v>
      </c>
      <c r="E2113" s="3" t="n">
        <v>3</v>
      </c>
      <c r="F2113" s="2" t="n">
        <v>3</v>
      </c>
      <c r="G2113" s="4" t="n">
        <v>3</v>
      </c>
      <c r="H2113" s="13" t="n"/>
      <c r="I2113" s="15" t="n"/>
      <c r="J2113" s="19" t="n">
        <v>3</v>
      </c>
      <c r="K2113" s="2" t="inlineStr">
        <is>
          <t>marker_527_371484.png</t>
        </is>
      </c>
      <c r="L2113" s="11">
        <f>HYPERLINK("3\0\" &amp; K2113, "Ver Imagen")</f>
        <v/>
      </c>
      <c r="M2113" t="inlineStr">
        <is>
          <t>Moda</t>
        </is>
      </c>
    </row>
    <row r="2114">
      <c r="A2114" t="n">
        <v>2113</v>
      </c>
      <c r="B2114" t="inlineStr">
        <is>
          <t>A-497__623</t>
        </is>
      </c>
      <c r="C2114" s="1" t="n">
        <v>37.2022186353</v>
      </c>
      <c r="D2114" s="1" t="n">
        <v>-6.99686113261</v>
      </c>
      <c r="E2114" s="3" t="n">
        <v>3</v>
      </c>
      <c r="F2114" s="2" t="n">
        <v>3</v>
      </c>
      <c r="G2114" s="4" t="n">
        <v>3</v>
      </c>
      <c r="H2114" s="13" t="n"/>
      <c r="I2114" s="15" t="n"/>
      <c r="J2114" s="19" t="n">
        <v>3</v>
      </c>
      <c r="K2114" s="2" t="inlineStr">
        <is>
          <t>marker_183_371499.png</t>
        </is>
      </c>
      <c r="L2114" s="11">
        <f>HYPERLINK("3\0\" &amp; K2114, "Ver Imagen")</f>
        <v/>
      </c>
      <c r="M2114" t="inlineStr">
        <is>
          <t>Moda</t>
        </is>
      </c>
    </row>
    <row r="2115">
      <c r="A2115" t="n">
        <v>2114</v>
      </c>
      <c r="B2115" t="inlineStr">
        <is>
          <t>A-497__600</t>
        </is>
      </c>
      <c r="C2115" s="1" t="n">
        <v>37.2029664737</v>
      </c>
      <c r="D2115" s="1" t="n">
        <v>-7.00263083585</v>
      </c>
      <c r="E2115" s="3" t="n">
        <v>3</v>
      </c>
      <c r="F2115" s="2" t="n">
        <v>3</v>
      </c>
      <c r="G2115" s="4" t="n">
        <v>3</v>
      </c>
      <c r="H2115" s="13" t="n"/>
      <c r="I2115" s="15" t="n"/>
      <c r="J2115" s="19" t="n">
        <v>3</v>
      </c>
      <c r="K2115" s="2" t="inlineStr">
        <is>
          <t>marker_398_371712.png</t>
        </is>
      </c>
      <c r="L2115" s="11">
        <f>HYPERLINK("3\0\" &amp; K2115, "Ver Imagen")</f>
        <v/>
      </c>
      <c r="M2115" t="inlineStr">
        <is>
          <t>Moda</t>
        </is>
      </c>
    </row>
    <row r="2116">
      <c r="A2116" t="n">
        <v>2115</v>
      </c>
      <c r="B2116" t="inlineStr">
        <is>
          <t>A-497__598</t>
        </is>
      </c>
      <c r="C2116" s="1" t="n">
        <v>37.2030182486</v>
      </c>
      <c r="D2116" s="1" t="n">
        <v>-7.00312828862</v>
      </c>
      <c r="E2116" s="3" t="n">
        <v>3</v>
      </c>
      <c r="F2116" s="2" t="n">
        <v>3</v>
      </c>
      <c r="G2116" s="4" t="n">
        <v>3</v>
      </c>
      <c r="H2116" s="13" t="n"/>
      <c r="I2116" s="15" t="n"/>
      <c r="J2116" s="19" t="n">
        <v>3</v>
      </c>
      <c r="K2116" s="2" t="inlineStr">
        <is>
          <t>marker_935_371731.png</t>
        </is>
      </c>
      <c r="L2116" s="11">
        <f>HYPERLINK("3\0\" &amp; K2116, "Ver Imagen")</f>
        <v/>
      </c>
      <c r="M2116" t="inlineStr">
        <is>
          <t>Moda</t>
        </is>
      </c>
    </row>
    <row r="2117">
      <c r="A2117" t="n">
        <v>2116</v>
      </c>
      <c r="B2117" t="inlineStr">
        <is>
          <t>A-497_2C__269</t>
        </is>
      </c>
      <c r="C2117" s="1" t="n">
        <v>37.2551511802</v>
      </c>
      <c r="D2117" s="1" t="n">
        <v>-7.01479534918</v>
      </c>
      <c r="E2117" s="3" t="n">
        <v>3</v>
      </c>
      <c r="F2117" s="2" t="n">
        <v>3</v>
      </c>
      <c r="G2117" s="4" t="n">
        <v>3</v>
      </c>
      <c r="H2117" s="13" t="n"/>
      <c r="I2117" s="15" t="n"/>
      <c r="J2117" s="19" t="n">
        <v>3</v>
      </c>
      <c r="K2117" s="2" t="inlineStr">
        <is>
          <t>marker_126_319733.png</t>
        </is>
      </c>
      <c r="L2117" s="11">
        <f>HYPERLINK("3\0\" &amp; K2117, "Ver Imagen")</f>
        <v/>
      </c>
      <c r="M2117" t="inlineStr">
        <is>
          <t>Moda</t>
        </is>
      </c>
    </row>
    <row r="2118">
      <c r="A2118" t="n">
        <v>2117</v>
      </c>
      <c r="B2118" t="inlineStr">
        <is>
          <t>A-497_2C__270</t>
        </is>
      </c>
      <c r="C2118" s="1" t="n">
        <v>37.2549941065</v>
      </c>
      <c r="D2118" s="1" t="n">
        <v>-7.01489660509</v>
      </c>
      <c r="E2118" s="3" t="n">
        <v>3</v>
      </c>
      <c r="F2118" s="2" t="n">
        <v>3</v>
      </c>
      <c r="G2118" s="4" t="n">
        <v>3</v>
      </c>
      <c r="H2118" s="13" t="n"/>
      <c r="I2118" s="15" t="n"/>
      <c r="J2118" s="19" t="n">
        <v>3</v>
      </c>
      <c r="K2118" s="2" t="inlineStr">
        <is>
          <t>marker_647_319744.png</t>
        </is>
      </c>
      <c r="L2118" s="11">
        <f>HYPERLINK("3\0\" &amp; K2118, "Ver Imagen")</f>
        <v/>
      </c>
      <c r="M2118" t="inlineStr">
        <is>
          <t>Moda</t>
        </is>
      </c>
    </row>
    <row r="2119">
      <c r="A2119" t="n">
        <v>2118</v>
      </c>
      <c r="B2119" t="inlineStr">
        <is>
          <t>A-497_2C__277</t>
        </is>
      </c>
      <c r="C2119" s="1" t="n">
        <v>37.2537359688</v>
      </c>
      <c r="D2119" s="1" t="n">
        <v>-7.01570387148</v>
      </c>
      <c r="E2119" s="3" t="n">
        <v>3</v>
      </c>
      <c r="F2119" s="2" t="n">
        <v>3</v>
      </c>
      <c r="G2119" s="4" t="n">
        <v>3</v>
      </c>
      <c r="H2119" s="13" t="n"/>
      <c r="I2119" s="15" t="n"/>
      <c r="J2119" s="19" t="n">
        <v>3</v>
      </c>
      <c r="K2119" s="2" t="inlineStr">
        <is>
          <t>marker_525_319836.png</t>
        </is>
      </c>
      <c r="L2119" s="11">
        <f>HYPERLINK("3\0\" &amp; K2119, "Ver Imagen")</f>
        <v/>
      </c>
      <c r="M2119" t="inlineStr">
        <is>
          <t>Moda</t>
        </is>
      </c>
    </row>
    <row r="2120">
      <c r="A2120" t="n">
        <v>2119</v>
      </c>
      <c r="B2120" t="inlineStr">
        <is>
          <t>A-497_2C__278</t>
        </is>
      </c>
      <c r="C2120" s="1" t="n">
        <v>37.2535720875</v>
      </c>
      <c r="D2120" s="1" t="n">
        <v>-7.01580975956</v>
      </c>
      <c r="E2120" s="3" t="n">
        <v>3</v>
      </c>
      <c r="F2120" s="2" t="n">
        <v>3</v>
      </c>
      <c r="G2120" s="4" t="n">
        <v>3</v>
      </c>
      <c r="H2120" s="13" t="n"/>
      <c r="I2120" s="15" t="n"/>
      <c r="J2120" s="19" t="n">
        <v>3</v>
      </c>
      <c r="K2120" s="2" t="inlineStr">
        <is>
          <t>marker_381_319861.png</t>
        </is>
      </c>
      <c r="L2120" s="11">
        <f>HYPERLINK("3\0\" &amp; K2120, "Ver Imagen")</f>
        <v/>
      </c>
      <c r="M2120" t="inlineStr">
        <is>
          <t>Moda</t>
        </is>
      </c>
    </row>
    <row r="2121">
      <c r="A2121" t="n">
        <v>2120</v>
      </c>
      <c r="B2121" t="inlineStr">
        <is>
          <t>A-497_2C__279</t>
        </is>
      </c>
      <c r="C2121" s="1" t="n">
        <v>37.2533846294</v>
      </c>
      <c r="D2121" s="1" t="n">
        <v>-7.0159301549</v>
      </c>
      <c r="E2121" s="3" t="n">
        <v>3</v>
      </c>
      <c r="F2121" s="2" t="n">
        <v>3</v>
      </c>
      <c r="G2121" s="4" t="n">
        <v>3</v>
      </c>
      <c r="H2121" s="13" t="n"/>
      <c r="I2121" s="15" t="n"/>
      <c r="J2121" s="19" t="n">
        <v>3</v>
      </c>
      <c r="K2121" s="2" t="inlineStr">
        <is>
          <t>marker_417_319872.png</t>
        </is>
      </c>
      <c r="L2121" s="11">
        <f>HYPERLINK("3\0\" &amp; K2121, "Ver Imagen")</f>
        <v/>
      </c>
      <c r="M2121" t="inlineStr">
        <is>
          <t>Moda</t>
        </is>
      </c>
    </row>
    <row r="2122">
      <c r="A2122" t="n">
        <v>2121</v>
      </c>
      <c r="B2122" t="inlineStr">
        <is>
          <t>A-497_2C__280</t>
        </is>
      </c>
      <c r="C2122" s="1" t="n">
        <v>37.2531830331</v>
      </c>
      <c r="D2122" s="1" t="n">
        <v>-7.0160589597</v>
      </c>
      <c r="E2122" s="3" t="n">
        <v>3</v>
      </c>
      <c r="F2122" s="2" t="n">
        <v>3</v>
      </c>
      <c r="G2122" s="4" t="n">
        <v>3</v>
      </c>
      <c r="H2122" s="13" t="n"/>
      <c r="I2122" s="15" t="n"/>
      <c r="J2122" s="19" t="n">
        <v>3</v>
      </c>
      <c r="K2122" s="2" t="inlineStr">
        <is>
          <t>marker_878_319891.png</t>
        </is>
      </c>
      <c r="L2122" s="11">
        <f>HYPERLINK("3\0\" &amp; K2122, "Ver Imagen")</f>
        <v/>
      </c>
      <c r="M2122" t="inlineStr">
        <is>
          <t>Moda</t>
        </is>
      </c>
    </row>
    <row r="2123">
      <c r="A2123" t="n">
        <v>2122</v>
      </c>
      <c r="B2123" t="inlineStr">
        <is>
          <t>A-497_2C__281</t>
        </is>
      </c>
      <c r="C2123" s="1" t="n">
        <v>37.2530235093</v>
      </c>
      <c r="D2123" s="1" t="n">
        <v>-7.01616075705</v>
      </c>
      <c r="E2123" s="3" t="n">
        <v>3</v>
      </c>
      <c r="F2123" s="2" t="n">
        <v>3</v>
      </c>
      <c r="G2123" s="4" t="n">
        <v>3</v>
      </c>
      <c r="H2123" s="13" t="n"/>
      <c r="I2123" s="15" t="n"/>
      <c r="J2123" s="19" t="n">
        <v>3</v>
      </c>
      <c r="K2123" s="2" t="inlineStr">
        <is>
          <t>marker_449_319900.png</t>
        </is>
      </c>
      <c r="L2123" s="11">
        <f>HYPERLINK("3\0\" &amp; K2123, "Ver Imagen")</f>
        <v/>
      </c>
      <c r="M2123" t="inlineStr">
        <is>
          <t>Moda</t>
        </is>
      </c>
    </row>
    <row r="2124">
      <c r="A2124" t="n">
        <v>2123</v>
      </c>
      <c r="B2124" t="inlineStr">
        <is>
          <t>A-497_2C__285</t>
        </is>
      </c>
      <c r="C2124" s="1" t="n">
        <v>37.252284152</v>
      </c>
      <c r="D2124" s="1" t="n">
        <v>-7.01663409133</v>
      </c>
      <c r="E2124" s="3" t="n">
        <v>3</v>
      </c>
      <c r="F2124" s="2" t="n">
        <v>3</v>
      </c>
      <c r="G2124" s="4" t="n">
        <v>3</v>
      </c>
      <c r="H2124" s="13" t="n"/>
      <c r="I2124" s="15" t="n"/>
      <c r="J2124" s="19" t="n">
        <v>3</v>
      </c>
      <c r="K2124" s="2" t="inlineStr">
        <is>
          <t>marker_840_319957.png</t>
        </is>
      </c>
      <c r="L2124" s="11">
        <f>HYPERLINK("3\0\" &amp; K2124, "Ver Imagen")</f>
        <v/>
      </c>
      <c r="M2124" t="inlineStr">
        <is>
          <t>Moda</t>
        </is>
      </c>
    </row>
    <row r="2125">
      <c r="A2125" t="n">
        <v>2124</v>
      </c>
      <c r="B2125" t="inlineStr">
        <is>
          <t>A-497_2C__287</t>
        </is>
      </c>
      <c r="C2125" s="1" t="n">
        <v>37.2519190133</v>
      </c>
      <c r="D2125" s="1" t="n">
        <v>-7.01686644028</v>
      </c>
      <c r="E2125" s="3" t="n">
        <v>3</v>
      </c>
      <c r="F2125" s="2" t="n">
        <v>3</v>
      </c>
      <c r="G2125" s="4" t="n">
        <v>3</v>
      </c>
      <c r="H2125" s="13" t="n"/>
      <c r="I2125" s="15" t="n"/>
      <c r="J2125" s="19" t="n">
        <v>3</v>
      </c>
      <c r="K2125" s="2" t="inlineStr">
        <is>
          <t>marker_454_320040.png</t>
        </is>
      </c>
      <c r="L2125" s="11">
        <f>HYPERLINK("3\0\" &amp; K2125, "Ver Imagen")</f>
        <v/>
      </c>
      <c r="M2125" t="inlineStr">
        <is>
          <t>Moda</t>
        </is>
      </c>
    </row>
    <row r="2126">
      <c r="A2126" t="n">
        <v>2125</v>
      </c>
      <c r="B2126" t="inlineStr">
        <is>
          <t>A-497_2C__288</t>
        </is>
      </c>
      <c r="C2126" s="1" t="n">
        <v>37.2517556662</v>
      </c>
      <c r="D2126" s="1" t="n">
        <v>-7.01697146084</v>
      </c>
      <c r="E2126" s="3" t="n">
        <v>3</v>
      </c>
      <c r="F2126" s="2" t="n">
        <v>3</v>
      </c>
      <c r="G2126" s="4" t="n">
        <v>3</v>
      </c>
      <c r="H2126" s="13" t="n"/>
      <c r="I2126" s="15" t="n"/>
      <c r="J2126" s="19" t="n">
        <v>3</v>
      </c>
      <c r="K2126" s="2" t="inlineStr">
        <is>
          <t>marker_466_320050.png</t>
        </is>
      </c>
      <c r="L2126" s="11">
        <f>HYPERLINK("3\0\" &amp; K2126, "Ver Imagen")</f>
        <v/>
      </c>
      <c r="M2126" t="inlineStr">
        <is>
          <t>Moda</t>
        </is>
      </c>
    </row>
    <row r="2127">
      <c r="A2127" t="n">
        <v>2126</v>
      </c>
      <c r="B2127" t="inlineStr">
        <is>
          <t>A-497__573</t>
        </is>
      </c>
      <c r="C2127" s="1" t="n">
        <v>37.2038573717</v>
      </c>
      <c r="D2127" s="1" t="n">
        <v>-7.00936353346</v>
      </c>
      <c r="E2127" s="3" t="n">
        <v>3</v>
      </c>
      <c r="F2127" s="2" t="n">
        <v>3</v>
      </c>
      <c r="G2127" s="4" t="n">
        <v>3</v>
      </c>
      <c r="H2127" s="13" t="n"/>
      <c r="I2127" s="15" t="n"/>
      <c r="J2127" s="19" t="n">
        <v>3</v>
      </c>
      <c r="K2127" s="2" t="inlineStr">
        <is>
          <t>marker_502_371992.png</t>
        </is>
      </c>
      <c r="L2127" s="11">
        <f>HYPERLINK("3\0\" &amp; K2127, "Ver Imagen")</f>
        <v/>
      </c>
      <c r="M2127" t="inlineStr">
        <is>
          <t>Moda</t>
        </is>
      </c>
    </row>
    <row r="2128">
      <c r="A2128" t="n">
        <v>2127</v>
      </c>
      <c r="B2128" t="inlineStr">
        <is>
          <t>A-497__567</t>
        </is>
      </c>
      <c r="C2128" s="1" t="n">
        <v>37.2041085747</v>
      </c>
      <c r="D2128" s="1" t="n">
        <v>-7.01088900559</v>
      </c>
      <c r="E2128" s="3" t="n">
        <v>3</v>
      </c>
      <c r="F2128" s="2" t="n">
        <v>3</v>
      </c>
      <c r="G2128" s="4" t="n">
        <v>3</v>
      </c>
      <c r="H2128" s="13" t="n"/>
      <c r="I2128" s="15" t="n"/>
      <c r="J2128" s="19" t="n">
        <v>3</v>
      </c>
      <c r="K2128" s="2" t="inlineStr">
        <is>
          <t>marker_649_372070.png</t>
        </is>
      </c>
      <c r="L2128" s="11">
        <f>HYPERLINK("3\0\" &amp; K2128, "Ver Imagen")</f>
        <v/>
      </c>
      <c r="M2128" t="inlineStr">
        <is>
          <t>Moda</t>
        </is>
      </c>
    </row>
    <row r="2129">
      <c r="A2129" t="n">
        <v>2128</v>
      </c>
      <c r="B2129" t="inlineStr">
        <is>
          <t>A-497__560</t>
        </is>
      </c>
      <c r="C2129" s="1" t="n">
        <v>37.2044107514</v>
      </c>
      <c r="D2129" s="1" t="n">
        <v>-7.01261416481</v>
      </c>
      <c r="E2129" s="3" t="n">
        <v>3</v>
      </c>
      <c r="F2129" s="2" t="n">
        <v>3</v>
      </c>
      <c r="G2129" s="4" t="n">
        <v>3</v>
      </c>
      <c r="H2129" s="13" t="n"/>
      <c r="I2129" s="15" t="n"/>
      <c r="J2129" s="19" t="n">
        <v>3</v>
      </c>
      <c r="K2129" s="2" t="inlineStr">
        <is>
          <t>marker_642_372144.png</t>
        </is>
      </c>
      <c r="L2129" s="11">
        <f>HYPERLINK("3\0\" &amp; K2129, "Ver Imagen")</f>
        <v/>
      </c>
      <c r="M2129" t="inlineStr">
        <is>
          <t>Moda</t>
        </is>
      </c>
    </row>
    <row r="2130">
      <c r="A2130" t="n">
        <v>2129</v>
      </c>
      <c r="B2130" t="inlineStr">
        <is>
          <t>A-497_2C__315</t>
        </is>
      </c>
      <c r="C2130" s="1" t="n">
        <v>37.2465247613</v>
      </c>
      <c r="D2130" s="1" t="n">
        <v>-7.01843274459</v>
      </c>
      <c r="E2130" s="3" t="n">
        <v>3</v>
      </c>
      <c r="F2130" s="2" t="n">
        <v>3</v>
      </c>
      <c r="G2130" s="4" t="n">
        <v>3</v>
      </c>
      <c r="H2130" s="13" t="n"/>
      <c r="I2130" s="15" t="n"/>
      <c r="J2130" s="19" t="n">
        <v>3</v>
      </c>
      <c r="K2130" s="2" t="inlineStr">
        <is>
          <t>marker_676_361879.png</t>
        </is>
      </c>
      <c r="L2130" s="11">
        <f>HYPERLINK("3\0\" &amp; K2130, "Ver Imagen")</f>
        <v/>
      </c>
      <c r="M2130" t="inlineStr">
        <is>
          <t>Moda</t>
        </is>
      </c>
    </row>
    <row r="2131">
      <c r="A2131" t="n">
        <v>2130</v>
      </c>
      <c r="B2131" t="inlineStr">
        <is>
          <t>A-497_2C__318</t>
        </is>
      </c>
      <c r="C2131" s="1" t="n">
        <v>37.2459033575</v>
      </c>
      <c r="D2131" s="1" t="n">
        <v>-7.01845487784</v>
      </c>
      <c r="E2131" s="3" t="n">
        <v>3</v>
      </c>
      <c r="F2131" s="2" t="n">
        <v>3</v>
      </c>
      <c r="G2131" s="4" t="n">
        <v>3</v>
      </c>
      <c r="H2131" s="13" t="n"/>
      <c r="I2131" s="15" t="n"/>
      <c r="J2131" s="19" t="n">
        <v>3</v>
      </c>
      <c r="K2131" s="2" t="inlineStr">
        <is>
          <t>marker_566_361910.png</t>
        </is>
      </c>
      <c r="L2131" s="11">
        <f>HYPERLINK("3\0\" &amp; K2131, "Ver Imagen")</f>
        <v/>
      </c>
      <c r="M2131" t="inlineStr">
        <is>
          <t>Moda</t>
        </is>
      </c>
    </row>
    <row r="2132">
      <c r="A2132" t="n">
        <v>2131</v>
      </c>
      <c r="B2132" t="inlineStr">
        <is>
          <t>A-497_2C__320</t>
        </is>
      </c>
      <c r="C2132" s="1" t="n">
        <v>37.2455029269</v>
      </c>
      <c r="D2132" s="1" t="n">
        <v>-7.01846818935</v>
      </c>
      <c r="E2132" s="3" t="n">
        <v>3</v>
      </c>
      <c r="F2132" s="2" t="n">
        <v>3</v>
      </c>
      <c r="G2132" s="4" t="n">
        <v>3</v>
      </c>
      <c r="H2132" s="13" t="n"/>
      <c r="I2132" s="15" t="n"/>
      <c r="J2132" s="19" t="n">
        <v>3</v>
      </c>
      <c r="K2132" s="2" t="inlineStr">
        <is>
          <t>marker_245_361930.png</t>
        </is>
      </c>
      <c r="L2132" s="11">
        <f>HYPERLINK("3\0\" &amp; K2132, "Ver Imagen")</f>
        <v/>
      </c>
      <c r="M2132" t="inlineStr">
        <is>
          <t>Moda</t>
        </is>
      </c>
    </row>
    <row r="2133">
      <c r="A2133" t="n">
        <v>2132</v>
      </c>
      <c r="B2133" t="inlineStr">
        <is>
          <t>A-497_2C__323</t>
        </is>
      </c>
      <c r="C2133" s="1" t="n">
        <v>37.2448653635</v>
      </c>
      <c r="D2133" s="1" t="n">
        <v>-7.01848939551</v>
      </c>
      <c r="E2133" s="3" t="n">
        <v>3</v>
      </c>
      <c r="F2133" s="2" t="n">
        <v>3</v>
      </c>
      <c r="G2133" s="4" t="n">
        <v>3</v>
      </c>
      <c r="H2133" s="13" t="n"/>
      <c r="I2133" s="15" t="n"/>
      <c r="J2133" s="19" t="n">
        <v>3</v>
      </c>
      <c r="K2133" s="2" t="inlineStr">
        <is>
          <t>marker_525_361957.png</t>
        </is>
      </c>
      <c r="L2133" s="11">
        <f>HYPERLINK("3\0\" &amp; K2133, "Ver Imagen")</f>
        <v/>
      </c>
      <c r="M2133" t="inlineStr">
        <is>
          <t>Moda</t>
        </is>
      </c>
    </row>
    <row r="2134">
      <c r="A2134" t="n">
        <v>2133</v>
      </c>
      <c r="B2134" t="inlineStr">
        <is>
          <t>A-497_2C__328</t>
        </is>
      </c>
      <c r="C2134" s="1" t="n">
        <v>37.243877327</v>
      </c>
      <c r="D2134" s="1" t="n">
        <v>-7.0185307432</v>
      </c>
      <c r="E2134" s="3" t="n">
        <v>3</v>
      </c>
      <c r="F2134" s="2" t="n">
        <v>3</v>
      </c>
      <c r="G2134" s="4" t="n">
        <v>3</v>
      </c>
      <c r="H2134" s="13" t="n"/>
      <c r="I2134" s="15" t="n"/>
      <c r="J2134" s="19" t="n">
        <v>3</v>
      </c>
      <c r="K2134" s="2" t="inlineStr">
        <is>
          <t>marker_262_361999.png</t>
        </is>
      </c>
      <c r="L2134" s="11">
        <f>HYPERLINK("3\0\" &amp; K2134, "Ver Imagen")</f>
        <v/>
      </c>
      <c r="M2134" t="inlineStr">
        <is>
          <t>Moda</t>
        </is>
      </c>
    </row>
    <row r="2135">
      <c r="A2135" t="n">
        <v>2134</v>
      </c>
      <c r="B2135" t="inlineStr">
        <is>
          <t>A-497_2C__334</t>
        </is>
      </c>
      <c r="C2135" s="1" t="n">
        <v>37.2426185895</v>
      </c>
      <c r="D2135" s="1" t="n">
        <v>-7.01857767976</v>
      </c>
      <c r="E2135" s="3" t="n">
        <v>3</v>
      </c>
      <c r="F2135" s="2" t="n">
        <v>3</v>
      </c>
      <c r="G2135" s="4" t="n">
        <v>3</v>
      </c>
      <c r="H2135" s="13" t="n"/>
      <c r="I2135" s="15" t="n"/>
      <c r="J2135" s="19" t="n">
        <v>3</v>
      </c>
      <c r="K2135" s="2" t="inlineStr">
        <is>
          <t>marker_319_362055.png</t>
        </is>
      </c>
      <c r="L2135" s="11">
        <f>HYPERLINK("3\0\" &amp; K2135, "Ver Imagen")</f>
        <v/>
      </c>
      <c r="M2135" t="inlineStr">
        <is>
          <t>Moda</t>
        </is>
      </c>
    </row>
    <row r="2136">
      <c r="A2136" t="n">
        <v>2135</v>
      </c>
      <c r="B2136" t="inlineStr">
        <is>
          <t>A-497_2C__339</t>
        </is>
      </c>
      <c r="C2136" s="1" t="n">
        <v>37.2416203115</v>
      </c>
      <c r="D2136" s="1" t="n">
        <v>-7.01861064506</v>
      </c>
      <c r="E2136" s="3" t="n">
        <v>3</v>
      </c>
      <c r="F2136" s="2" t="n">
        <v>3</v>
      </c>
      <c r="G2136" s="4" t="n">
        <v>3</v>
      </c>
      <c r="H2136" s="13" t="n"/>
      <c r="I2136" s="15" t="n"/>
      <c r="J2136" s="19" t="n">
        <v>3</v>
      </c>
      <c r="K2136" s="2" t="inlineStr">
        <is>
          <t>marker_713_362118.png</t>
        </is>
      </c>
      <c r="L2136" s="11">
        <f>HYPERLINK("3\0\" &amp; K2136, "Ver Imagen")</f>
        <v/>
      </c>
      <c r="M2136" t="inlineStr">
        <is>
          <t>Moda</t>
        </is>
      </c>
    </row>
    <row r="2137">
      <c r="A2137" t="n">
        <v>2136</v>
      </c>
      <c r="B2137" t="inlineStr">
        <is>
          <t>A-497_2C__341</t>
        </is>
      </c>
      <c r="C2137" s="1" t="n">
        <v>37.2412254145</v>
      </c>
      <c r="D2137" s="1" t="n">
        <v>-7.01862819229</v>
      </c>
      <c r="E2137" s="3" t="n">
        <v>3</v>
      </c>
      <c r="F2137" s="2" t="n">
        <v>3</v>
      </c>
      <c r="G2137" s="4" t="n">
        <v>3</v>
      </c>
      <c r="H2137" s="13" t="n"/>
      <c r="I2137" s="15" t="n"/>
      <c r="J2137" s="19" t="n">
        <v>3</v>
      </c>
      <c r="K2137" s="2" t="inlineStr">
        <is>
          <t>marker_461_362137.png</t>
        </is>
      </c>
      <c r="L2137" s="11">
        <f>HYPERLINK("3\0\" &amp; K2137, "Ver Imagen")</f>
        <v/>
      </c>
      <c r="M2137" t="inlineStr">
        <is>
          <t>Moda</t>
        </is>
      </c>
    </row>
    <row r="2138">
      <c r="A2138" t="n">
        <v>2137</v>
      </c>
      <c r="B2138" t="inlineStr">
        <is>
          <t>A-497_2C__342</t>
        </is>
      </c>
      <c r="C2138" s="1" t="n">
        <v>37.2410268112</v>
      </c>
      <c r="D2138" s="1" t="n">
        <v>-7.01863650903</v>
      </c>
      <c r="E2138" s="3" t="n">
        <v>3</v>
      </c>
      <c r="F2138" s="2" t="n">
        <v>3</v>
      </c>
      <c r="G2138" s="4" t="n">
        <v>3</v>
      </c>
      <c r="H2138" s="13" t="n"/>
      <c r="I2138" s="15" t="n"/>
      <c r="J2138" s="19" t="n">
        <v>3</v>
      </c>
      <c r="K2138" s="2" t="inlineStr">
        <is>
          <t>marker_753_362147.png</t>
        </is>
      </c>
      <c r="L2138" s="11">
        <f>HYPERLINK("3\0\" &amp; K2138, "Ver Imagen")</f>
        <v/>
      </c>
      <c r="M2138" t="inlineStr">
        <is>
          <t>Moda</t>
        </is>
      </c>
    </row>
    <row r="2139">
      <c r="A2139" t="n">
        <v>2138</v>
      </c>
      <c r="B2139" t="inlineStr">
        <is>
          <t>A-497_2C__346</t>
        </is>
      </c>
      <c r="C2139" s="1" t="n">
        <v>37.2402348585</v>
      </c>
      <c r="D2139" s="1" t="n">
        <v>-7.01866733323</v>
      </c>
      <c r="E2139" s="3" t="n">
        <v>3</v>
      </c>
      <c r="F2139" s="2" t="n">
        <v>3</v>
      </c>
      <c r="G2139" s="4" t="n">
        <v>3</v>
      </c>
      <c r="H2139" s="13" t="n"/>
      <c r="I2139" s="15" t="n"/>
      <c r="J2139" s="19" t="n">
        <v>3</v>
      </c>
      <c r="K2139" s="2" t="inlineStr">
        <is>
          <t>marker_182_362184.png</t>
        </is>
      </c>
      <c r="L2139" s="11">
        <f>HYPERLINK("3\0\" &amp; K2139, "Ver Imagen")</f>
        <v/>
      </c>
      <c r="M2139" t="inlineStr">
        <is>
          <t>Moda</t>
        </is>
      </c>
    </row>
    <row r="2140">
      <c r="A2140" t="n">
        <v>2139</v>
      </c>
      <c r="B2140" t="inlineStr">
        <is>
          <t>A-497__531</t>
        </is>
      </c>
      <c r="C2140" s="1" t="n">
        <v>37.2061524427</v>
      </c>
      <c r="D2140" s="1" t="n">
        <v>-7.01961515686</v>
      </c>
      <c r="E2140" s="3" t="n">
        <v>3</v>
      </c>
      <c r="F2140" s="2" t="n">
        <v>3</v>
      </c>
      <c r="G2140" s="4" t="n">
        <v>3</v>
      </c>
      <c r="H2140" s="13" t="n"/>
      <c r="I2140" s="15" t="n"/>
      <c r="J2140" s="19" t="n">
        <v>3</v>
      </c>
      <c r="K2140" s="2" t="inlineStr">
        <is>
          <t>marker_895_372493.png</t>
        </is>
      </c>
      <c r="L2140" s="11">
        <f>HYPERLINK("3\0\" &amp; K2140, "Ver Imagen")</f>
        <v/>
      </c>
      <c r="M2140" t="inlineStr">
        <is>
          <t>Moda</t>
        </is>
      </c>
    </row>
    <row r="2141">
      <c r="A2141" t="n">
        <v>2140</v>
      </c>
      <c r="B2141" t="inlineStr">
        <is>
          <t>A-497_2C__351</t>
        </is>
      </c>
      <c r="C2141" s="1" t="n">
        <v>37.2391960543</v>
      </c>
      <c r="D2141" s="1" t="n">
        <v>-7.01871036556</v>
      </c>
      <c r="E2141" s="3" t="n">
        <v>3</v>
      </c>
      <c r="F2141" s="2" t="n">
        <v>3</v>
      </c>
      <c r="G2141" s="4" t="n">
        <v>3</v>
      </c>
      <c r="H2141" s="13" t="n"/>
      <c r="I2141" s="15" t="n"/>
      <c r="J2141" s="19" t="n">
        <v>3</v>
      </c>
      <c r="K2141" s="2" t="inlineStr">
        <is>
          <t>marker_881_362240.png</t>
        </is>
      </c>
      <c r="L2141" s="11">
        <f>HYPERLINK("3\0\" &amp; K2141, "Ver Imagen")</f>
        <v/>
      </c>
      <c r="M2141" t="inlineStr">
        <is>
          <t>Moda</t>
        </is>
      </c>
    </row>
    <row r="2142">
      <c r="A2142" t="n">
        <v>2141</v>
      </c>
      <c r="B2142" t="inlineStr">
        <is>
          <t>A-497_2C__353</t>
        </is>
      </c>
      <c r="C2142" s="1" t="n">
        <v>37.2388258973</v>
      </c>
      <c r="D2142" s="1" t="n">
        <v>-7.01872665349</v>
      </c>
      <c r="E2142" s="3" t="n">
        <v>3</v>
      </c>
      <c r="F2142" s="2" t="n">
        <v>3</v>
      </c>
      <c r="G2142" s="4" t="n">
        <v>3</v>
      </c>
      <c r="H2142" s="13" t="n"/>
      <c r="I2142" s="15" t="n"/>
      <c r="J2142" s="19" t="n">
        <v>3</v>
      </c>
      <c r="K2142" s="2" t="inlineStr">
        <is>
          <t>marker_559_362258.png</t>
        </is>
      </c>
      <c r="L2142" s="11">
        <f>HYPERLINK("3\0\" &amp; K2142, "Ver Imagen")</f>
        <v/>
      </c>
      <c r="M2142" t="inlineStr">
        <is>
          <t>Moda</t>
        </is>
      </c>
    </row>
    <row r="2143">
      <c r="A2143" t="n">
        <v>2142</v>
      </c>
      <c r="B2143" t="inlineStr">
        <is>
          <t>A-497_2C__355</t>
        </is>
      </c>
      <c r="C2143" s="1" t="n">
        <v>37.23842355</v>
      </c>
      <c r="D2143" s="1" t="n">
        <v>-7.01874247061</v>
      </c>
      <c r="E2143" s="3" t="n">
        <v>3</v>
      </c>
      <c r="F2143" s="2" t="n">
        <v>3</v>
      </c>
      <c r="G2143" s="4" t="n">
        <v>3</v>
      </c>
      <c r="H2143" s="13" t="n"/>
      <c r="I2143" s="15" t="n"/>
      <c r="J2143" s="19" t="n">
        <v>3</v>
      </c>
      <c r="K2143" s="2" t="inlineStr">
        <is>
          <t>marker_718_362279.png</t>
        </is>
      </c>
      <c r="L2143" s="11">
        <f>HYPERLINK("3\0\" &amp; K2143, "Ver Imagen")</f>
        <v/>
      </c>
      <c r="M2143" t="inlineStr">
        <is>
          <t>Moda</t>
        </is>
      </c>
    </row>
    <row r="2144">
      <c r="A2144" t="n">
        <v>2143</v>
      </c>
      <c r="B2144" t="inlineStr">
        <is>
          <t>A-497_2C__356</t>
        </is>
      </c>
      <c r="C2144" s="1" t="n">
        <v>37.2381609507</v>
      </c>
      <c r="D2144" s="1" t="n">
        <v>-7.01875063355</v>
      </c>
      <c r="E2144" s="3" t="n">
        <v>3</v>
      </c>
      <c r="F2144" s="2" t="n">
        <v>3</v>
      </c>
      <c r="G2144" s="4" t="n">
        <v>3</v>
      </c>
      <c r="H2144" s="13" t="n"/>
      <c r="I2144" s="15" t="n"/>
      <c r="J2144" s="19" t="n">
        <v>3</v>
      </c>
      <c r="K2144" s="2" t="inlineStr">
        <is>
          <t>marker_627_362292.png</t>
        </is>
      </c>
      <c r="L2144" s="11">
        <f>HYPERLINK("3\0\" &amp; K2144, "Ver Imagen")</f>
        <v/>
      </c>
      <c r="M2144" t="inlineStr">
        <is>
          <t>Moda</t>
        </is>
      </c>
    </row>
    <row r="2145">
      <c r="A2145" t="n">
        <v>2144</v>
      </c>
      <c r="B2145" t="inlineStr">
        <is>
          <t>A-497_2C__357</t>
        </is>
      </c>
      <c r="C2145" s="1" t="n">
        <v>37.2379608457</v>
      </c>
      <c r="D2145" s="1" t="n">
        <v>-7.01875561332</v>
      </c>
      <c r="E2145" s="3" t="n">
        <v>3</v>
      </c>
      <c r="F2145" s="2" t="n">
        <v>3</v>
      </c>
      <c r="G2145" s="4" t="n">
        <v>3</v>
      </c>
      <c r="H2145" s="13" t="n"/>
      <c r="I2145" s="15" t="n"/>
      <c r="J2145" s="19" t="n">
        <v>3</v>
      </c>
      <c r="K2145" s="2" t="inlineStr">
        <is>
          <t>marker_967_362301.png</t>
        </is>
      </c>
      <c r="L2145" s="11">
        <f>HYPERLINK("3\0\" &amp; K2145, "Ver Imagen")</f>
        <v/>
      </c>
      <c r="M2145" t="inlineStr">
        <is>
          <t>Moda</t>
        </is>
      </c>
    </row>
    <row r="2146">
      <c r="A2146" t="n">
        <v>2145</v>
      </c>
      <c r="B2146" t="inlineStr">
        <is>
          <t>A-497_2C__358</t>
        </is>
      </c>
      <c r="C2146" s="1" t="n">
        <v>37.237784983</v>
      </c>
      <c r="D2146" s="1" t="n">
        <v>-7.01875773174</v>
      </c>
      <c r="E2146" s="3" t="n">
        <v>3</v>
      </c>
      <c r="F2146" s="2" t="n">
        <v>3</v>
      </c>
      <c r="G2146" s="4" t="n">
        <v>3</v>
      </c>
      <c r="H2146" s="13" t="n"/>
      <c r="I2146" s="15" t="n"/>
      <c r="J2146" s="19" t="n">
        <v>3</v>
      </c>
      <c r="K2146" s="2" t="inlineStr">
        <is>
          <t>marker_885_362310.png</t>
        </is>
      </c>
      <c r="L2146" s="11">
        <f>HYPERLINK("3\0\" &amp; K2146, "Ver Imagen")</f>
        <v/>
      </c>
      <c r="M2146" t="inlineStr">
        <is>
          <t>Moda</t>
        </is>
      </c>
    </row>
    <row r="2147">
      <c r="A2147" t="n">
        <v>2146</v>
      </c>
      <c r="B2147" t="inlineStr">
        <is>
          <t>A-497__522</t>
        </is>
      </c>
      <c r="C2147" s="1" t="n">
        <v>37.2072101788</v>
      </c>
      <c r="D2147" s="1" t="n">
        <v>-7.02140549</v>
      </c>
      <c r="E2147" s="3" t="n">
        <v>3</v>
      </c>
      <c r="F2147" s="2" t="n">
        <v>3</v>
      </c>
      <c r="G2147" s="4" t="n">
        <v>3</v>
      </c>
      <c r="H2147" s="13" t="n"/>
      <c r="I2147" s="15" t="n"/>
      <c r="J2147" s="19" t="n">
        <v>3</v>
      </c>
      <c r="K2147" s="2" t="inlineStr">
        <is>
          <t>marker_716_372576.png</t>
        </is>
      </c>
      <c r="L2147" s="11">
        <f>HYPERLINK("3\0\" &amp; K2147, "Ver Imagen")</f>
        <v/>
      </c>
      <c r="M2147" t="inlineStr">
        <is>
          <t>Moda</t>
        </is>
      </c>
    </row>
    <row r="2148">
      <c r="A2148" t="n">
        <v>2147</v>
      </c>
      <c r="B2148" t="inlineStr">
        <is>
          <t>A-497__516</t>
        </is>
      </c>
      <c r="C2148" s="1" t="n">
        <v>37.2081552741</v>
      </c>
      <c r="D2148" s="1" t="n">
        <v>-7.02239954798</v>
      </c>
      <c r="E2148" s="3" t="n">
        <v>3</v>
      </c>
      <c r="F2148" s="2" t="n">
        <v>3</v>
      </c>
      <c r="G2148" s="4" t="n">
        <v>3</v>
      </c>
      <c r="H2148" s="13" t="n"/>
      <c r="I2148" s="15" t="n"/>
      <c r="J2148" s="19" t="n">
        <v>3</v>
      </c>
      <c r="K2148" s="2" t="inlineStr">
        <is>
          <t>marker_841_372634.png</t>
        </is>
      </c>
      <c r="L2148" s="11">
        <f>HYPERLINK("3\0\" &amp; K2148, "Ver Imagen")</f>
        <v/>
      </c>
      <c r="M2148" t="inlineStr">
        <is>
          <t>Moda</t>
        </is>
      </c>
    </row>
    <row r="2149">
      <c r="A2149" t="n">
        <v>2148</v>
      </c>
      <c r="B2149" t="inlineStr">
        <is>
          <t>A-497_2C__383</t>
        </is>
      </c>
      <c r="C2149" s="1" t="n">
        <v>37.2327808988</v>
      </c>
      <c r="D2149" s="1" t="n">
        <v>-7.01846884163</v>
      </c>
      <c r="E2149" s="3" t="n">
        <v>3</v>
      </c>
      <c r="F2149" s="2" t="n">
        <v>3</v>
      </c>
      <c r="G2149" s="4" t="n">
        <v>3</v>
      </c>
      <c r="H2149" s="13" t="n"/>
      <c r="I2149" s="15" t="n"/>
      <c r="J2149" s="19" t="n">
        <v>3</v>
      </c>
      <c r="K2149" s="2" t="inlineStr">
        <is>
          <t>marker_980_362730.png</t>
        </is>
      </c>
      <c r="L2149" s="11">
        <f>HYPERLINK("3\0\" &amp; K2149, "Ver Imagen")</f>
        <v/>
      </c>
      <c r="M2149" t="inlineStr">
        <is>
          <t>Moda</t>
        </is>
      </c>
    </row>
    <row r="2150">
      <c r="A2150" t="n">
        <v>2149</v>
      </c>
      <c r="B2150" t="inlineStr">
        <is>
          <t>A-497_2C__384</t>
        </is>
      </c>
      <c r="C2150" s="1" t="n">
        <v>37.2325979444</v>
      </c>
      <c r="D2150" s="1" t="n">
        <v>-7.01856168095</v>
      </c>
      <c r="E2150" s="3" t="n">
        <v>3</v>
      </c>
      <c r="F2150" s="2" t="n">
        <v>3</v>
      </c>
      <c r="G2150" s="4" t="n">
        <v>3</v>
      </c>
      <c r="H2150" s="13" t="n"/>
      <c r="I2150" s="15" t="n"/>
      <c r="J2150" s="19" t="n">
        <v>3</v>
      </c>
      <c r="K2150" s="2" t="inlineStr">
        <is>
          <t>marker_158_362740.png</t>
        </is>
      </c>
      <c r="L2150" s="11">
        <f>HYPERLINK("3\0\" &amp; K2150, "Ver Imagen")</f>
        <v/>
      </c>
      <c r="M2150" t="inlineStr">
        <is>
          <t>Moda</t>
        </is>
      </c>
    </row>
    <row r="2151">
      <c r="A2151" t="n">
        <v>2150</v>
      </c>
      <c r="B2151" t="inlineStr">
        <is>
          <t>A-497_2C__385</t>
        </is>
      </c>
      <c r="C2151" s="1" t="n">
        <v>37.2324166847</v>
      </c>
      <c r="D2151" s="1" t="n">
        <v>-7.01866664925</v>
      </c>
      <c r="E2151" s="3" t="n">
        <v>3</v>
      </c>
      <c r="F2151" s="2" t="n">
        <v>3</v>
      </c>
      <c r="G2151" s="4" t="n">
        <v>3</v>
      </c>
      <c r="H2151" s="13" t="n"/>
      <c r="I2151" s="15" t="n"/>
      <c r="J2151" s="19" t="n">
        <v>3</v>
      </c>
      <c r="K2151" s="2" t="inlineStr">
        <is>
          <t>marker_619_362749.png</t>
        </is>
      </c>
      <c r="L2151" s="11">
        <f>HYPERLINK("3\0\" &amp; K2151, "Ver Imagen")</f>
        <v/>
      </c>
      <c r="M2151" t="inlineStr">
        <is>
          <t>Moda</t>
        </is>
      </c>
    </row>
    <row r="2152">
      <c r="A2152" t="n">
        <v>2151</v>
      </c>
      <c r="B2152" t="inlineStr">
        <is>
          <t>A-497_2C__386</t>
        </is>
      </c>
      <c r="C2152" s="1" t="n">
        <v>37.2322433297</v>
      </c>
      <c r="D2152" s="1" t="n">
        <v>-7.01877784959</v>
      </c>
      <c r="E2152" s="3" t="n">
        <v>3</v>
      </c>
      <c r="F2152" s="2" t="n">
        <v>3</v>
      </c>
      <c r="G2152" s="4" t="n">
        <v>3</v>
      </c>
      <c r="H2152" s="13" t="n"/>
      <c r="I2152" s="15" t="n"/>
      <c r="J2152" s="19" t="n">
        <v>3</v>
      </c>
      <c r="K2152" s="2" t="inlineStr">
        <is>
          <t>marker_934_362758.png</t>
        </is>
      </c>
      <c r="L2152" s="11">
        <f>HYPERLINK("3\0\" &amp; K2152, "Ver Imagen")</f>
        <v/>
      </c>
      <c r="M2152" t="inlineStr">
        <is>
          <t>Moda</t>
        </is>
      </c>
    </row>
    <row r="2153">
      <c r="A2153" t="n">
        <v>2152</v>
      </c>
      <c r="B2153" t="inlineStr">
        <is>
          <t>A-497_2C__387</t>
        </is>
      </c>
      <c r="C2153" s="1" t="n">
        <v>37.2320818839</v>
      </c>
      <c r="D2153" s="1" t="n">
        <v>-7.01888916311</v>
      </c>
      <c r="E2153" s="3" t="n">
        <v>3</v>
      </c>
      <c r="F2153" s="2" t="n">
        <v>3</v>
      </c>
      <c r="G2153" s="4" t="n">
        <v>3</v>
      </c>
      <c r="H2153" s="13" t="n"/>
      <c r="I2153" s="15" t="n"/>
      <c r="J2153" s="19" t="n">
        <v>3</v>
      </c>
      <c r="K2153" s="2" t="inlineStr">
        <is>
          <t>marker_528_362770.png</t>
        </is>
      </c>
      <c r="L2153" s="11">
        <f>HYPERLINK("3\0\" &amp; K2153, "Ver Imagen")</f>
        <v/>
      </c>
      <c r="M2153" t="inlineStr">
        <is>
          <t>Moda</t>
        </is>
      </c>
    </row>
    <row r="2154">
      <c r="A2154" t="n">
        <v>2153</v>
      </c>
      <c r="B2154" t="inlineStr">
        <is>
          <t>A-497_2C__388</t>
        </is>
      </c>
      <c r="C2154" s="1" t="n">
        <v>37.2319120008</v>
      </c>
      <c r="D2154" s="1" t="n">
        <v>-7.01901149071</v>
      </c>
      <c r="E2154" s="3" t="n">
        <v>3</v>
      </c>
      <c r="F2154" s="2" t="n">
        <v>3</v>
      </c>
      <c r="G2154" s="4" t="n">
        <v>3</v>
      </c>
      <c r="H2154" s="13" t="n"/>
      <c r="I2154" s="15" t="n"/>
      <c r="J2154" s="19" t="n">
        <v>3</v>
      </c>
      <c r="K2154" s="2" t="inlineStr">
        <is>
          <t>marker_708_362781.png</t>
        </is>
      </c>
      <c r="L2154" s="11">
        <f>HYPERLINK("3\0\" &amp; K2154, "Ver Imagen")</f>
        <v/>
      </c>
      <c r="M2154" t="inlineStr">
        <is>
          <t>Moda</t>
        </is>
      </c>
    </row>
    <row r="2155">
      <c r="A2155" t="n">
        <v>2154</v>
      </c>
      <c r="B2155" t="inlineStr">
        <is>
          <t>A-497_2C__390</t>
        </is>
      </c>
      <c r="C2155" s="1" t="n">
        <v>37.2315215258</v>
      </c>
      <c r="D2155" s="1" t="n">
        <v>-7.01930177268</v>
      </c>
      <c r="E2155" s="3" t="n">
        <v>3</v>
      </c>
      <c r="F2155" s="2" t="n">
        <v>3</v>
      </c>
      <c r="G2155" s="4" t="n">
        <v>3</v>
      </c>
      <c r="H2155" s="13" t="n"/>
      <c r="I2155" s="15" t="n"/>
      <c r="J2155" s="19" t="n">
        <v>3</v>
      </c>
      <c r="K2155" s="2" t="inlineStr">
        <is>
          <t>marker_987_362808.png</t>
        </is>
      </c>
      <c r="L2155" s="11">
        <f>HYPERLINK("3\0\" &amp; K2155, "Ver Imagen")</f>
        <v/>
      </c>
      <c r="M2155" t="inlineStr">
        <is>
          <t>Moda</t>
        </is>
      </c>
    </row>
    <row r="2156">
      <c r="A2156" t="n">
        <v>2155</v>
      </c>
      <c r="B2156" t="inlineStr">
        <is>
          <t>A-497_2C__391</t>
        </is>
      </c>
      <c r="C2156" s="1" t="n">
        <v>37.2313635376</v>
      </c>
      <c r="D2156" s="1" t="n">
        <v>-7.01942212627</v>
      </c>
      <c r="E2156" s="3" t="n">
        <v>3</v>
      </c>
      <c r="F2156" s="2" t="n">
        <v>3</v>
      </c>
      <c r="G2156" s="4" t="n">
        <v>3</v>
      </c>
      <c r="H2156" s="13" t="n"/>
      <c r="I2156" s="15" t="n"/>
      <c r="J2156" s="19" t="n">
        <v>3</v>
      </c>
      <c r="K2156" s="2" t="inlineStr">
        <is>
          <t>marker_959_362817.png</t>
        </is>
      </c>
      <c r="L2156" s="11">
        <f>HYPERLINK("3\0\" &amp; K2156, "Ver Imagen")</f>
        <v/>
      </c>
      <c r="M2156" t="inlineStr">
        <is>
          <t>Moda</t>
        </is>
      </c>
    </row>
    <row r="2157">
      <c r="A2157" t="n">
        <v>2156</v>
      </c>
      <c r="B2157" t="inlineStr">
        <is>
          <t>A-497__508</t>
        </is>
      </c>
      <c r="C2157" s="1" t="n">
        <v>37.2095548302</v>
      </c>
      <c r="D2157" s="1" t="n">
        <v>-7.02332078712</v>
      </c>
      <c r="E2157" s="3" t="n">
        <v>3</v>
      </c>
      <c r="F2157" s="2" t="n">
        <v>3</v>
      </c>
      <c r="G2157" s="4" t="n">
        <v>3</v>
      </c>
      <c r="H2157" s="13" t="n"/>
      <c r="I2157" s="15" t="n"/>
      <c r="J2157" s="19" t="n">
        <v>3</v>
      </c>
      <c r="K2157" s="2" t="inlineStr">
        <is>
          <t>marker_802_372712.png</t>
        </is>
      </c>
      <c r="L2157" s="11">
        <f>HYPERLINK("3\0\" &amp; K2157, "Ver Imagen")</f>
        <v/>
      </c>
      <c r="M2157" t="inlineStr">
        <is>
          <t>Moda</t>
        </is>
      </c>
    </row>
    <row r="2158">
      <c r="A2158" t="n">
        <v>2157</v>
      </c>
      <c r="B2158" t="inlineStr">
        <is>
          <t>A-497__504</t>
        </is>
      </c>
      <c r="C2158" s="1" t="n">
        <v>37.2103478051</v>
      </c>
      <c r="D2158" s="1" t="n">
        <v>-7.02362901709</v>
      </c>
      <c r="E2158" s="3" t="n">
        <v>3</v>
      </c>
      <c r="F2158" s="2" t="n">
        <v>3</v>
      </c>
      <c r="G2158" s="4" t="n">
        <v>3</v>
      </c>
      <c r="H2158" s="13" t="n"/>
      <c r="I2158" s="15" t="n"/>
      <c r="J2158" s="19" t="n">
        <v>3</v>
      </c>
      <c r="K2158" s="2" t="inlineStr">
        <is>
          <t>marker_399_375962.png</t>
        </is>
      </c>
      <c r="L2158" s="11">
        <f>HYPERLINK("3\0\" &amp; K2158, "Ver Imagen")</f>
        <v/>
      </c>
      <c r="M2158" t="inlineStr">
        <is>
          <t>Moda</t>
        </is>
      </c>
    </row>
    <row r="2159">
      <c r="A2159" t="n">
        <v>2158</v>
      </c>
      <c r="B2159" t="inlineStr">
        <is>
          <t>A-497__501</t>
        </is>
      </c>
      <c r="C2159" s="1" t="n">
        <v>37.2109089812</v>
      </c>
      <c r="D2159" s="1" t="n">
        <v>-7.0237678485</v>
      </c>
      <c r="E2159" s="3" t="n">
        <v>3</v>
      </c>
      <c r="F2159" s="2" t="n">
        <v>3</v>
      </c>
      <c r="G2159" s="4" t="n">
        <v>3</v>
      </c>
      <c r="H2159" s="13" t="n"/>
      <c r="I2159" s="15" t="n"/>
      <c r="J2159" s="19" t="n">
        <v>3</v>
      </c>
      <c r="K2159" s="2" t="inlineStr">
        <is>
          <t>marker_518_376075.png</t>
        </is>
      </c>
      <c r="L2159" s="11">
        <f>HYPERLINK("3\0\" &amp; K2159, "Ver Imagen")</f>
        <v/>
      </c>
      <c r="M2159" t="inlineStr">
        <is>
          <t>Moda</t>
        </is>
      </c>
    </row>
    <row r="2160">
      <c r="A2160" t="n">
        <v>2159</v>
      </c>
      <c r="B2160" t="inlineStr">
        <is>
          <t>A-497__499</t>
        </is>
      </c>
      <c r="C2160" s="1" t="n">
        <v>37.2113609575</v>
      </c>
      <c r="D2160" s="1" t="n">
        <v>-7.02383423709</v>
      </c>
      <c r="E2160" s="3" t="n">
        <v>3</v>
      </c>
      <c r="F2160" s="2" t="n">
        <v>3</v>
      </c>
      <c r="G2160" s="4" t="n">
        <v>3</v>
      </c>
      <c r="H2160" s="13" t="n"/>
      <c r="I2160" s="15" t="n"/>
      <c r="J2160" s="19" t="n">
        <v>3</v>
      </c>
      <c r="K2160" s="2" t="inlineStr">
        <is>
          <t>marker_863_376107.png</t>
        </is>
      </c>
      <c r="L2160" s="11">
        <f>HYPERLINK("3\0\" &amp; K2160, "Ver Imagen")</f>
        <v/>
      </c>
      <c r="M2160" t="inlineStr">
        <is>
          <t>Moda</t>
        </is>
      </c>
    </row>
    <row r="2161">
      <c r="A2161" t="n">
        <v>2160</v>
      </c>
      <c r="B2161" t="inlineStr">
        <is>
          <t>A-497__497</t>
        </is>
      </c>
      <c r="C2161" s="1" t="n">
        <v>37.211763181</v>
      </c>
      <c r="D2161" s="1" t="n">
        <v>-7.0238577453</v>
      </c>
      <c r="E2161" s="3" t="n">
        <v>3</v>
      </c>
      <c r="F2161" s="2" t="n">
        <v>3</v>
      </c>
      <c r="G2161" s="4" t="n">
        <v>3</v>
      </c>
      <c r="H2161" s="13" t="n"/>
      <c r="I2161" s="15" t="n"/>
      <c r="J2161" s="19" t="n">
        <v>3</v>
      </c>
      <c r="K2161" s="2" t="inlineStr">
        <is>
          <t>marker_976_376132.png</t>
        </is>
      </c>
      <c r="L2161" s="11">
        <f>HYPERLINK("3\0\" &amp; K2161, "Ver Imagen")</f>
        <v/>
      </c>
      <c r="M2161" t="inlineStr">
        <is>
          <t>Moda</t>
        </is>
      </c>
    </row>
    <row r="2162">
      <c r="A2162" t="n">
        <v>2161</v>
      </c>
      <c r="B2162" t="inlineStr">
        <is>
          <t>A-497_2C__454</t>
        </is>
      </c>
      <c r="C2162" s="1" t="n">
        <v>37.2193913484</v>
      </c>
      <c r="D2162" s="1" t="n">
        <v>-7.02294975694</v>
      </c>
      <c r="E2162" s="3" t="n">
        <v>3</v>
      </c>
      <c r="F2162" s="2" t="n">
        <v>3</v>
      </c>
      <c r="G2162" s="4" t="n">
        <v>3</v>
      </c>
      <c r="H2162" s="13" t="n"/>
      <c r="I2162" s="15" t="n"/>
      <c r="J2162" s="19" t="n">
        <v>3</v>
      </c>
      <c r="K2162" s="2" t="inlineStr">
        <is>
          <t>marker_616_363456.png</t>
        </is>
      </c>
      <c r="L2162" s="11">
        <f>HYPERLINK("3\0\" &amp; K2162, "Ver Imagen")</f>
        <v/>
      </c>
      <c r="M2162" t="inlineStr">
        <is>
          <t>Moda</t>
        </is>
      </c>
    </row>
    <row r="2163">
      <c r="A2163" t="n">
        <v>2162</v>
      </c>
      <c r="B2163" t="inlineStr">
        <is>
          <t>A-497_2C__455</t>
        </is>
      </c>
      <c r="C2163" s="1" t="n">
        <v>37.2192442729</v>
      </c>
      <c r="D2163" s="1" t="n">
        <v>-7.02295328514</v>
      </c>
      <c r="E2163" s="3" t="n">
        <v>3</v>
      </c>
      <c r="F2163" s="2" t="n">
        <v>3</v>
      </c>
      <c r="G2163" s="4" t="n">
        <v>3</v>
      </c>
      <c r="H2163" s="13" t="n"/>
      <c r="I2163" s="15" t="n"/>
      <c r="J2163" s="19" t="n">
        <v>3</v>
      </c>
      <c r="K2163" s="2" t="inlineStr">
        <is>
          <t>marker_402_363464.png</t>
        </is>
      </c>
      <c r="L2163" s="11">
        <f>HYPERLINK("3\0\" &amp; K2163, "Ver Imagen")</f>
        <v/>
      </c>
      <c r="M2163" t="inlineStr">
        <is>
          <t>Moda</t>
        </is>
      </c>
    </row>
    <row r="2164">
      <c r="A2164" t="n">
        <v>2163</v>
      </c>
      <c r="B2164" t="inlineStr">
        <is>
          <t>A-497_2C__456</t>
        </is>
      </c>
      <c r="C2164" s="1" t="n">
        <v>37.21902095</v>
      </c>
      <c r="D2164" s="1" t="n">
        <v>-7.02296330148</v>
      </c>
      <c r="E2164" s="3" t="n">
        <v>3</v>
      </c>
      <c r="F2164" s="2" t="n">
        <v>3</v>
      </c>
      <c r="G2164" s="4" t="n">
        <v>3</v>
      </c>
      <c r="H2164" s="13" t="n"/>
      <c r="I2164" s="15" t="n"/>
      <c r="J2164" s="19" t="n">
        <v>3</v>
      </c>
      <c r="K2164" s="2" t="inlineStr">
        <is>
          <t>marker_847_363475.png</t>
        </is>
      </c>
      <c r="L2164" s="11">
        <f>HYPERLINK("3\0\" &amp; K2164, "Ver Imagen")</f>
        <v/>
      </c>
      <c r="M2164" t="inlineStr">
        <is>
          <t>Moda</t>
        </is>
      </c>
    </row>
    <row r="2165">
      <c r="A2165" t="n">
        <v>2164</v>
      </c>
      <c r="B2165" t="inlineStr">
        <is>
          <t>A-497_2C__462</t>
        </is>
      </c>
      <c r="C2165" s="1" t="n">
        <v>37.2178271662</v>
      </c>
      <c r="D2165" s="1" t="n">
        <v>-7.02309512224</v>
      </c>
      <c r="E2165" s="3" t="n">
        <v>3</v>
      </c>
      <c r="F2165" s="2" t="n">
        <v>3</v>
      </c>
      <c r="G2165" s="4" t="n">
        <v>3</v>
      </c>
      <c r="H2165" s="13" t="n"/>
      <c r="I2165" s="15" t="n"/>
      <c r="J2165" s="19" t="n">
        <v>3</v>
      </c>
      <c r="K2165" s="2" t="inlineStr">
        <is>
          <t>marker_461_363555.png</t>
        </is>
      </c>
      <c r="L2165" s="11">
        <f>HYPERLINK("3\0\" &amp; K2165, "Ver Imagen")</f>
        <v/>
      </c>
      <c r="M2165" t="inlineStr">
        <is>
          <t>Moda</t>
        </is>
      </c>
    </row>
    <row r="2166">
      <c r="A2166" t="n">
        <v>2165</v>
      </c>
      <c r="B2166" t="inlineStr">
        <is>
          <t>A-497_2C__466</t>
        </is>
      </c>
      <c r="C2166" s="1" t="n">
        <v>37.2170025912</v>
      </c>
      <c r="D2166" s="1" t="n">
        <v>-7.02323765715</v>
      </c>
      <c r="E2166" s="3" t="n">
        <v>3</v>
      </c>
      <c r="F2166" s="2" t="n">
        <v>3</v>
      </c>
      <c r="G2166" s="4" t="n">
        <v>3</v>
      </c>
      <c r="H2166" s="13" t="n"/>
      <c r="I2166" s="15" t="n"/>
      <c r="J2166" s="19" t="n">
        <v>3</v>
      </c>
      <c r="K2166" s="2" t="inlineStr">
        <is>
          <t>marker_122_363600.png</t>
        </is>
      </c>
      <c r="L2166" s="11">
        <f>HYPERLINK("3\0\" &amp; K2166, "Ver Imagen")</f>
        <v/>
      </c>
      <c r="M2166" t="inlineStr">
        <is>
          <t>Moda</t>
        </is>
      </c>
    </row>
    <row r="2167">
      <c r="A2167" t="n">
        <v>2166</v>
      </c>
      <c r="B2167" t="inlineStr">
        <is>
          <t>A-497_2C__469</t>
        </is>
      </c>
      <c r="C2167" s="1" t="n">
        <v>37.216412132</v>
      </c>
      <c r="D2167" s="1" t="n">
        <v>-7.02334367589</v>
      </c>
      <c r="E2167" s="3" t="n">
        <v>3</v>
      </c>
      <c r="F2167" s="2" t="n">
        <v>3</v>
      </c>
      <c r="G2167" s="4" t="n">
        <v>3</v>
      </c>
      <c r="H2167" s="13" t="n"/>
      <c r="I2167" s="15" t="n"/>
      <c r="J2167" s="19" t="n">
        <v>3</v>
      </c>
      <c r="K2167" s="2" t="inlineStr">
        <is>
          <t>marker_338_363628.png</t>
        </is>
      </c>
      <c r="L2167" s="11">
        <f>HYPERLINK("3\0\" &amp; K2167, "Ver Imagen")</f>
        <v/>
      </c>
      <c r="M2167" t="inlineStr">
        <is>
          <t>Moda</t>
        </is>
      </c>
    </row>
    <row r="2168">
      <c r="A2168" t="n">
        <v>2167</v>
      </c>
      <c r="B2168" t="inlineStr">
        <is>
          <t>A-497_2C__473</t>
        </is>
      </c>
      <c r="C2168" s="1" t="n">
        <v>37.2155825703</v>
      </c>
      <c r="D2168" s="1" t="n">
        <v>-7.02348590198</v>
      </c>
      <c r="E2168" s="3" t="n">
        <v>3</v>
      </c>
      <c r="F2168" s="2" t="n">
        <v>3</v>
      </c>
      <c r="G2168" s="4" t="n">
        <v>3</v>
      </c>
      <c r="H2168" s="13" t="n"/>
      <c r="I2168" s="15" t="n"/>
      <c r="J2168" s="19" t="n">
        <v>3</v>
      </c>
      <c r="K2168" s="2" t="inlineStr">
        <is>
          <t>marker_847_363678.png</t>
        </is>
      </c>
      <c r="L2168" s="11">
        <f>HYPERLINK("3\0\" &amp; K2168, "Ver Imagen")</f>
        <v/>
      </c>
      <c r="M2168" t="inlineStr">
        <is>
          <t>Moda</t>
        </is>
      </c>
    </row>
    <row r="2169">
      <c r="A2169" t="n">
        <v>2168</v>
      </c>
      <c r="B2169" t="inlineStr">
        <is>
          <t>A-497_2C__476</t>
        </is>
      </c>
      <c r="C2169" s="1" t="n">
        <v>37.215010542</v>
      </c>
      <c r="D2169" s="1" t="n">
        <v>-7.02358287034</v>
      </c>
      <c r="E2169" s="3" t="n">
        <v>3</v>
      </c>
      <c r="F2169" s="2" t="n">
        <v>3</v>
      </c>
      <c r="G2169" s="4" t="n">
        <v>3</v>
      </c>
      <c r="H2169" s="13" t="n"/>
      <c r="I2169" s="15" t="n"/>
      <c r="J2169" s="19" t="n">
        <v>3</v>
      </c>
      <c r="K2169" s="2" t="inlineStr">
        <is>
          <t>marker_179_363716.png</t>
        </is>
      </c>
      <c r="L2169" s="11">
        <f>HYPERLINK("3\0\" &amp; K2169, "Ver Imagen")</f>
        <v/>
      </c>
      <c r="M2169" t="inlineStr">
        <is>
          <t>Moda</t>
        </is>
      </c>
    </row>
    <row r="2170">
      <c r="A2170" t="n">
        <v>2169</v>
      </c>
      <c r="B2170" t="inlineStr">
        <is>
          <t>A-497_2C__481</t>
        </is>
      </c>
      <c r="C2170" s="1" t="n">
        <v>37.2139700775</v>
      </c>
      <c r="D2170" s="1" t="n">
        <v>-7.02377724664</v>
      </c>
      <c r="E2170" s="3" t="n">
        <v>3</v>
      </c>
      <c r="F2170" s="2" t="n">
        <v>3</v>
      </c>
      <c r="G2170" s="4" t="n">
        <v>3</v>
      </c>
      <c r="H2170" s="13" t="n"/>
      <c r="I2170" s="15" t="n"/>
      <c r="J2170" s="19" t="n">
        <v>3</v>
      </c>
      <c r="K2170" s="2" t="inlineStr">
        <is>
          <t>marker_823_363781.png</t>
        </is>
      </c>
      <c r="L2170" s="11">
        <f>HYPERLINK("3\0\" &amp; K2170, "Ver Imagen")</f>
        <v/>
      </c>
      <c r="M2170" t="inlineStr">
        <is>
          <t>Moda</t>
        </is>
      </c>
    </row>
    <row r="2171">
      <c r="A2171" t="n">
        <v>2170</v>
      </c>
      <c r="B2171" t="inlineStr">
        <is>
          <t>A-497_2C__482</t>
        </is>
      </c>
      <c r="C2171" s="1" t="n">
        <v>37.2137994182</v>
      </c>
      <c r="D2171" s="1" t="n">
        <v>-7.02380793459</v>
      </c>
      <c r="E2171" s="3" t="n">
        <v>3</v>
      </c>
      <c r="F2171" s="2" t="n">
        <v>3</v>
      </c>
      <c r="G2171" s="4" t="n">
        <v>3</v>
      </c>
      <c r="H2171" s="13" t="n"/>
      <c r="I2171" s="15" t="n"/>
      <c r="J2171" s="19" t="n">
        <v>3</v>
      </c>
      <c r="K2171" s="2" t="inlineStr">
        <is>
          <t>marker_598_363792.png</t>
        </is>
      </c>
      <c r="L2171" s="11">
        <f>HYPERLINK("3\0\" &amp; K2171, "Ver Imagen")</f>
        <v/>
      </c>
      <c r="M2171" t="inlineStr">
        <is>
          <t>Moda</t>
        </is>
      </c>
    </row>
    <row r="2172">
      <c r="A2172" t="n">
        <v>2171</v>
      </c>
      <c r="B2172" t="inlineStr">
        <is>
          <t>A-497_2C__483</t>
        </is>
      </c>
      <c r="C2172" s="1" t="n">
        <v>37.2136046659</v>
      </c>
      <c r="D2172" s="1" t="n">
        <v>-7.02384210421</v>
      </c>
      <c r="E2172" s="3" t="n">
        <v>3</v>
      </c>
      <c r="F2172" s="2" t="n">
        <v>3</v>
      </c>
      <c r="G2172" s="4" t="n">
        <v>3</v>
      </c>
      <c r="H2172" s="13" t="n"/>
      <c r="I2172" s="15" t="n"/>
      <c r="J2172" s="19" t="n">
        <v>3</v>
      </c>
      <c r="K2172" s="2" t="inlineStr">
        <is>
          <t>marker_416_363804.png</t>
        </is>
      </c>
      <c r="L2172" s="11">
        <f>HYPERLINK("3\0\" &amp; K2172, "Ver Imagen")</f>
        <v/>
      </c>
      <c r="M2172" t="inlineStr">
        <is>
          <t>Moda</t>
        </is>
      </c>
    </row>
    <row r="2173">
      <c r="A2173" t="n">
        <v>2172</v>
      </c>
      <c r="B2173" t="inlineStr">
        <is>
          <t>A-497_2C__486</t>
        </is>
      </c>
      <c r="C2173" s="1" t="n">
        <v>37.212971575</v>
      </c>
      <c r="D2173" s="1" t="n">
        <v>-7.02394623118</v>
      </c>
      <c r="E2173" s="3" t="n">
        <v>3</v>
      </c>
      <c r="F2173" s="2" t="n">
        <v>3</v>
      </c>
      <c r="G2173" s="4" t="n">
        <v>3</v>
      </c>
      <c r="H2173" s="13" t="n"/>
      <c r="I2173" s="15" t="n"/>
      <c r="J2173" s="19" t="n">
        <v>3</v>
      </c>
      <c r="K2173" s="2" t="inlineStr">
        <is>
          <t>marker_694_363832.png</t>
        </is>
      </c>
      <c r="L2173" s="11">
        <f>HYPERLINK("3\0\" &amp; K2173, "Ver Imagen")</f>
        <v/>
      </c>
      <c r="M2173" t="inlineStr">
        <is>
          <t>Moda</t>
        </is>
      </c>
    </row>
    <row r="2174">
      <c r="A2174" t="n">
        <v>2173</v>
      </c>
      <c r="B2174" t="inlineStr">
        <is>
          <t>A-497_2C__540</t>
        </is>
      </c>
      <c r="C2174" s="1" t="n">
        <v>37.2050546797</v>
      </c>
      <c r="D2174" s="1" t="n">
        <v>-7.01659412004</v>
      </c>
      <c r="E2174" s="3" t="n">
        <v>3</v>
      </c>
      <c r="F2174" s="2" t="n">
        <v>3</v>
      </c>
      <c r="G2174" s="4" t="n">
        <v>3</v>
      </c>
      <c r="H2174" s="13" t="n"/>
      <c r="I2174" s="15" t="n"/>
      <c r="J2174" s="19" t="n">
        <v>3</v>
      </c>
      <c r="K2174" s="2" t="inlineStr">
        <is>
          <t>marker_848_364541.png</t>
        </is>
      </c>
      <c r="L2174" s="11">
        <f>HYPERLINK("3\0\" &amp; K2174, "Ver Imagen")</f>
        <v/>
      </c>
      <c r="M2174" t="inlineStr">
        <is>
          <t>Moda</t>
        </is>
      </c>
    </row>
    <row r="2175">
      <c r="A2175" t="n">
        <v>2174</v>
      </c>
      <c r="B2175" t="inlineStr">
        <is>
          <t>A-497_2C__542</t>
        </is>
      </c>
      <c r="C2175" s="1" t="n">
        <v>37.2049496774</v>
      </c>
      <c r="D2175" s="1" t="n">
        <v>-7.01610991344</v>
      </c>
      <c r="E2175" s="3" t="n">
        <v>3</v>
      </c>
      <c r="F2175" s="2" t="n">
        <v>3</v>
      </c>
      <c r="G2175" s="4" t="n">
        <v>3</v>
      </c>
      <c r="H2175" s="13" t="n"/>
      <c r="I2175" s="15" t="n"/>
      <c r="J2175" s="19" t="n">
        <v>3</v>
      </c>
      <c r="K2175" s="2" t="inlineStr">
        <is>
          <t>marker_245_364607.png</t>
        </is>
      </c>
      <c r="L2175" s="11">
        <f>HYPERLINK("3\0\" &amp; K2175, "Ver Imagen")</f>
        <v/>
      </c>
      <c r="M2175" t="inlineStr">
        <is>
          <t>Moda</t>
        </is>
      </c>
    </row>
    <row r="2176">
      <c r="A2176" t="n">
        <v>2175</v>
      </c>
      <c r="B2176" t="inlineStr">
        <is>
          <t>A-497_2C__545</t>
        </is>
      </c>
      <c r="C2176" s="1" t="n">
        <v>37.2048318977</v>
      </c>
      <c r="D2176" s="1" t="n">
        <v>-7.01554726742</v>
      </c>
      <c r="E2176" s="3" t="n">
        <v>3</v>
      </c>
      <c r="F2176" s="2" t="n">
        <v>3</v>
      </c>
      <c r="G2176" s="4" t="n">
        <v>3</v>
      </c>
      <c r="H2176" s="13" t="n"/>
      <c r="I2176" s="15" t="n"/>
      <c r="J2176" s="19" t="n">
        <v>3</v>
      </c>
      <c r="K2176" s="2" t="inlineStr">
        <is>
          <t>marker_945_364628.png</t>
        </is>
      </c>
      <c r="L2176" s="11">
        <f>HYPERLINK("3\0\" &amp; K2176, "Ver Imagen")</f>
        <v/>
      </c>
      <c r="M2176" t="inlineStr">
        <is>
          <t>Moda</t>
        </is>
      </c>
    </row>
    <row r="2177">
      <c r="A2177" t="n">
        <v>2176</v>
      </c>
      <c r="B2177" t="inlineStr">
        <is>
          <t>A-497_2C__546</t>
        </is>
      </c>
      <c r="C2177" s="1" t="n">
        <v>37.204774362</v>
      </c>
      <c r="D2177" s="1" t="n">
        <v>-7.01526655009</v>
      </c>
      <c r="E2177" s="3" t="n">
        <v>3</v>
      </c>
      <c r="F2177" s="2" t="n">
        <v>3</v>
      </c>
      <c r="G2177" s="4" t="n">
        <v>3</v>
      </c>
      <c r="H2177" s="13" t="n"/>
      <c r="I2177" s="15" t="n"/>
      <c r="J2177" s="19" t="n">
        <v>3</v>
      </c>
      <c r="K2177" s="2" t="inlineStr">
        <is>
          <t>marker_377_364644.png</t>
        </is>
      </c>
      <c r="L2177" s="11">
        <f>HYPERLINK("3\0\" &amp; K2177, "Ver Imagen")</f>
        <v/>
      </c>
      <c r="M2177" t="inlineStr">
        <is>
          <t>Moda</t>
        </is>
      </c>
    </row>
    <row r="2178">
      <c r="A2178" t="n">
        <v>2177</v>
      </c>
      <c r="B2178" t="inlineStr">
        <is>
          <t>A-497_2C__547</t>
        </is>
      </c>
      <c r="C2178" s="1" t="n">
        <v>37.204724009</v>
      </c>
      <c r="D2178" s="1" t="n">
        <v>-7.01501670082</v>
      </c>
      <c r="E2178" s="3" t="n">
        <v>3</v>
      </c>
      <c r="F2178" s="2" t="n">
        <v>3</v>
      </c>
      <c r="G2178" s="4" t="n">
        <v>3</v>
      </c>
      <c r="H2178" s="13" t="n"/>
      <c r="I2178" s="15" t="n"/>
      <c r="J2178" s="19" t="n">
        <v>3</v>
      </c>
      <c r="K2178" s="2" t="inlineStr">
        <is>
          <t>marker_720_364655.png</t>
        </is>
      </c>
      <c r="L2178" s="11">
        <f>HYPERLINK("3\0\" &amp; K2178, "Ver Imagen")</f>
        <v/>
      </c>
      <c r="M2178" t="inlineStr">
        <is>
          <t>Moda</t>
        </is>
      </c>
    </row>
    <row r="2179">
      <c r="A2179" t="n">
        <v>2178</v>
      </c>
      <c r="B2179" t="inlineStr">
        <is>
          <t>A-497_2C__549</t>
        </is>
      </c>
      <c r="C2179" s="1" t="n">
        <v>37.204637704</v>
      </c>
      <c r="D2179" s="1" t="n">
        <v>-7.01457819893</v>
      </c>
      <c r="E2179" s="3" t="n">
        <v>3</v>
      </c>
      <c r="F2179" s="2" t="n">
        <v>3</v>
      </c>
      <c r="G2179" s="4" t="n">
        <v>3</v>
      </c>
      <c r="H2179" s="13" t="n"/>
      <c r="I2179" s="15" t="n"/>
      <c r="J2179" s="19" t="n">
        <v>3</v>
      </c>
      <c r="K2179" s="2" t="inlineStr">
        <is>
          <t>marker_812_364675.png</t>
        </is>
      </c>
      <c r="L2179" s="11">
        <f>HYPERLINK("3\0\" &amp; K2179, "Ver Imagen")</f>
        <v/>
      </c>
      <c r="M2179" t="inlineStr">
        <is>
          <t>Moda</t>
        </is>
      </c>
    </row>
    <row r="2180">
      <c r="A2180" t="n">
        <v>2179</v>
      </c>
      <c r="B2180" t="inlineStr">
        <is>
          <t>A-497_2C__552</t>
        </is>
      </c>
      <c r="C2180" s="1" t="n">
        <v>37.2044936084</v>
      </c>
      <c r="D2180" s="1" t="n">
        <v>-7.01384109526</v>
      </c>
      <c r="E2180" s="3" t="n">
        <v>3</v>
      </c>
      <c r="F2180" s="2" t="n">
        <v>3</v>
      </c>
      <c r="G2180" s="4" t="n">
        <v>3</v>
      </c>
      <c r="H2180" s="13" t="n"/>
      <c r="I2180" s="15" t="n"/>
      <c r="J2180" s="19" t="n">
        <v>3</v>
      </c>
      <c r="K2180" s="2" t="inlineStr">
        <is>
          <t>marker_695_364702.png</t>
        </is>
      </c>
      <c r="L2180" s="11">
        <f>HYPERLINK("3\0\" &amp; K2180, "Ver Imagen")</f>
        <v/>
      </c>
      <c r="M2180" t="inlineStr">
        <is>
          <t>Moda</t>
        </is>
      </c>
    </row>
    <row r="2181">
      <c r="A2181" t="n">
        <v>2180</v>
      </c>
      <c r="B2181" t="inlineStr">
        <is>
          <t>A-497_2C__558</t>
        </is>
      </c>
      <c r="C2181" s="1" t="n">
        <v>37.2042027709</v>
      </c>
      <c r="D2181" s="1" t="n">
        <v>-7.01227062516</v>
      </c>
      <c r="E2181" s="3" t="n">
        <v>3</v>
      </c>
      <c r="F2181" s="2" t="n">
        <v>3</v>
      </c>
      <c r="G2181" s="4" t="n">
        <v>3</v>
      </c>
      <c r="H2181" s="13" t="n"/>
      <c r="I2181" s="15" t="n"/>
      <c r="J2181" s="19" t="n">
        <v>3</v>
      </c>
      <c r="K2181" s="2" t="inlineStr">
        <is>
          <t>marker_349_366355.png</t>
        </is>
      </c>
      <c r="L2181" s="11">
        <f>HYPERLINK("3\0\" &amp; K2181, "Ver Imagen")</f>
        <v/>
      </c>
      <c r="M2181" t="inlineStr">
        <is>
          <t>Moda</t>
        </is>
      </c>
    </row>
    <row r="2182">
      <c r="A2182" t="n">
        <v>2181</v>
      </c>
      <c r="B2182" t="inlineStr">
        <is>
          <t>A-497_2C__563</t>
        </is>
      </c>
      <c r="C2182" s="1" t="n">
        <v>37.2040022761</v>
      </c>
      <c r="D2182" s="1" t="n">
        <v>-7.01112585687</v>
      </c>
      <c r="E2182" s="3" t="n">
        <v>3</v>
      </c>
      <c r="F2182" s="2" t="n">
        <v>3</v>
      </c>
      <c r="G2182" s="4" t="n">
        <v>3</v>
      </c>
      <c r="H2182" s="13" t="n"/>
      <c r="I2182" s="15" t="n"/>
      <c r="J2182" s="19" t="n">
        <v>3</v>
      </c>
      <c r="K2182" s="2" t="inlineStr">
        <is>
          <t>marker_381_366416.png</t>
        </is>
      </c>
      <c r="L2182" s="11">
        <f>HYPERLINK("3\0\" &amp; K2182, "Ver Imagen")</f>
        <v/>
      </c>
      <c r="M2182" t="inlineStr">
        <is>
          <t>Moda</t>
        </is>
      </c>
    </row>
    <row r="2183">
      <c r="A2183" t="n">
        <v>2182</v>
      </c>
      <c r="B2183" t="inlineStr">
        <is>
          <t>A-497_2C__566</t>
        </is>
      </c>
      <c r="C2183" s="1" t="n">
        <v>37.2038628211</v>
      </c>
      <c r="D2183" s="1" t="n">
        <v>-7.0102980619</v>
      </c>
      <c r="E2183" s="3" t="n">
        <v>3</v>
      </c>
      <c r="F2183" s="2" t="n">
        <v>3</v>
      </c>
      <c r="G2183" s="4" t="n">
        <v>3</v>
      </c>
      <c r="H2183" s="13" t="n"/>
      <c r="I2183" s="15" t="n"/>
      <c r="J2183" s="19" t="n">
        <v>3</v>
      </c>
      <c r="K2183" s="2" t="inlineStr">
        <is>
          <t>marker_352_366449.png</t>
        </is>
      </c>
      <c r="L2183" s="11">
        <f>HYPERLINK("3\0\" &amp; K2183, "Ver Imagen")</f>
        <v/>
      </c>
      <c r="M2183" t="inlineStr">
        <is>
          <t>Moda</t>
        </is>
      </c>
    </row>
    <row r="2184">
      <c r="A2184" t="n">
        <v>2183</v>
      </c>
      <c r="B2184" t="inlineStr">
        <is>
          <t>A-497_2C__567</t>
        </is>
      </c>
      <c r="C2184" s="1" t="n">
        <v>37.2038203865</v>
      </c>
      <c r="D2184" s="1" t="n">
        <v>-7.01004588951</v>
      </c>
      <c r="E2184" s="3" t="n">
        <v>3</v>
      </c>
      <c r="F2184" s="2" t="n">
        <v>3</v>
      </c>
      <c r="G2184" s="4" t="n">
        <v>3</v>
      </c>
      <c r="H2184" s="13" t="n"/>
      <c r="I2184" s="15" t="n"/>
      <c r="J2184" s="19" t="n">
        <v>3</v>
      </c>
      <c r="K2184" s="2" t="inlineStr">
        <is>
          <t>marker_628_366459.png</t>
        </is>
      </c>
      <c r="L2184" s="11">
        <f>HYPERLINK("3\0\" &amp; K2184, "Ver Imagen")</f>
        <v/>
      </c>
      <c r="M2184" t="inlineStr">
        <is>
          <t>Moda</t>
        </is>
      </c>
    </row>
    <row r="2185">
      <c r="A2185" t="n">
        <v>2184</v>
      </c>
      <c r="B2185" t="inlineStr">
        <is>
          <t>A-497_2C__568</t>
        </is>
      </c>
      <c r="C2185" s="1" t="n">
        <v>37.203784823</v>
      </c>
      <c r="D2185" s="1" t="n">
        <v>-7.00983161473</v>
      </c>
      <c r="E2185" s="3" t="n">
        <v>3</v>
      </c>
      <c r="F2185" s="2" t="n">
        <v>3</v>
      </c>
      <c r="G2185" s="4" t="n">
        <v>3</v>
      </c>
      <c r="H2185" s="13" t="n"/>
      <c r="I2185" s="15" t="n"/>
      <c r="J2185" s="19" t="n">
        <v>3</v>
      </c>
      <c r="K2185" s="2" t="inlineStr">
        <is>
          <t>marker_919_366467.png</t>
        </is>
      </c>
      <c r="L2185" s="11">
        <f>HYPERLINK("3\0\" &amp; K2185, "Ver Imagen")</f>
        <v/>
      </c>
      <c r="M2185" t="inlineStr">
        <is>
          <t>Moda</t>
        </is>
      </c>
    </row>
    <row r="2186">
      <c r="A2186" t="n">
        <v>2185</v>
      </c>
      <c r="B2186" t="inlineStr">
        <is>
          <t>A-497_2C__570</t>
        </is>
      </c>
      <c r="C2186" s="1" t="n">
        <v>37.2037064983</v>
      </c>
      <c r="D2186" s="1" t="n">
        <v>-7.0093476665</v>
      </c>
      <c r="E2186" s="3" t="n">
        <v>3</v>
      </c>
      <c r="F2186" s="2" t="n">
        <v>3</v>
      </c>
      <c r="G2186" s="4" t="n">
        <v>3</v>
      </c>
      <c r="H2186" s="13" t="n"/>
      <c r="I2186" s="15" t="n"/>
      <c r="J2186" s="19" t="n">
        <v>3</v>
      </c>
      <c r="K2186" s="2" t="inlineStr">
        <is>
          <t>marker_522_366485.png</t>
        </is>
      </c>
      <c r="L2186" s="11">
        <f>HYPERLINK("3\0\" &amp; K2186, "Ver Imagen")</f>
        <v/>
      </c>
      <c r="M2186" t="inlineStr">
        <is>
          <t>Moda</t>
        </is>
      </c>
    </row>
    <row r="2187">
      <c r="A2187" t="n">
        <v>2186</v>
      </c>
      <c r="B2187" t="inlineStr">
        <is>
          <t>A-497_2C__571</t>
        </is>
      </c>
      <c r="C2187" s="1" t="n">
        <v>37.203661897</v>
      </c>
      <c r="D2187" s="1" t="n">
        <v>-7.00906164563</v>
      </c>
      <c r="E2187" s="3" t="n">
        <v>3</v>
      </c>
      <c r="F2187" s="2" t="n">
        <v>3</v>
      </c>
      <c r="G2187" s="4" t="n">
        <v>3</v>
      </c>
      <c r="H2187" s="13" t="n"/>
      <c r="I2187" s="15" t="n"/>
      <c r="J2187" s="19" t="n">
        <v>3</v>
      </c>
      <c r="K2187" s="2" t="inlineStr">
        <is>
          <t>marker_629_366495.png</t>
        </is>
      </c>
      <c r="L2187" s="11">
        <f>HYPERLINK("3\0\" &amp; K2187, "Ver Imagen")</f>
        <v/>
      </c>
      <c r="M2187" t="inlineStr">
        <is>
          <t>Moda</t>
        </is>
      </c>
    </row>
    <row r="2188">
      <c r="A2188" t="n">
        <v>2187</v>
      </c>
      <c r="B2188" t="inlineStr">
        <is>
          <t>A-497_2C__578</t>
        </is>
      </c>
      <c r="C2188" s="1" t="n">
        <v>37.2034084951</v>
      </c>
      <c r="D2188" s="1" t="n">
        <v>-7.00735313578</v>
      </c>
      <c r="E2188" s="3" t="n">
        <v>3</v>
      </c>
      <c r="F2188" s="2" t="n">
        <v>3</v>
      </c>
      <c r="G2188" s="4" t="n">
        <v>3</v>
      </c>
      <c r="H2188" s="13" t="n"/>
      <c r="I2188" s="15" t="n"/>
      <c r="J2188" s="19" t="n">
        <v>3</v>
      </c>
      <c r="K2188" s="2" t="inlineStr">
        <is>
          <t>marker_956_366555.png</t>
        </is>
      </c>
      <c r="L2188" s="11">
        <f>HYPERLINK("3\0\" &amp; K2188, "Ver Imagen")</f>
        <v/>
      </c>
      <c r="M2188" t="inlineStr">
        <is>
          <t>Moda</t>
        </is>
      </c>
    </row>
    <row r="2189">
      <c r="A2189" t="n">
        <v>2188</v>
      </c>
      <c r="B2189" t="inlineStr">
        <is>
          <t>A-497_2C__580</t>
        </is>
      </c>
      <c r="C2189" s="1" t="n">
        <v>37.2033348099</v>
      </c>
      <c r="D2189" s="1" t="n">
        <v>-7.00682151736</v>
      </c>
      <c r="E2189" s="3" t="n">
        <v>3</v>
      </c>
      <c r="F2189" s="2" t="n">
        <v>3</v>
      </c>
      <c r="G2189" s="4" t="n">
        <v>3</v>
      </c>
      <c r="H2189" s="13" t="n"/>
      <c r="I2189" s="15" t="n"/>
      <c r="J2189" s="19" t="n">
        <v>3</v>
      </c>
      <c r="K2189" s="2" t="inlineStr">
        <is>
          <t>marker_373_366571.png</t>
        </is>
      </c>
      <c r="L2189" s="11">
        <f>HYPERLINK("3\0\" &amp; K2189, "Ver Imagen")</f>
        <v/>
      </c>
      <c r="M2189" t="inlineStr">
        <is>
          <t>Moda</t>
        </is>
      </c>
    </row>
    <row r="2190">
      <c r="A2190" t="n">
        <v>2189</v>
      </c>
      <c r="B2190" t="inlineStr">
        <is>
          <t>A-497_2C__581</t>
        </is>
      </c>
      <c r="C2190" s="1" t="n">
        <v>37.2033049651</v>
      </c>
      <c r="D2190" s="1" t="n">
        <v>-7.00659598062</v>
      </c>
      <c r="E2190" s="3" t="n">
        <v>3</v>
      </c>
      <c r="F2190" s="2" t="n">
        <v>3</v>
      </c>
      <c r="G2190" s="4" t="n">
        <v>3</v>
      </c>
      <c r="H2190" s="13" t="n"/>
      <c r="I2190" s="15" t="n"/>
      <c r="J2190" s="19" t="n">
        <v>3</v>
      </c>
      <c r="K2190" s="2" t="inlineStr">
        <is>
          <t>marker_919_366579.png</t>
        </is>
      </c>
      <c r="L2190" s="11">
        <f>HYPERLINK("3\0\" &amp; K2190, "Ver Imagen")</f>
        <v/>
      </c>
      <c r="M2190" t="inlineStr">
        <is>
          <t>Moda</t>
        </is>
      </c>
    </row>
    <row r="2191">
      <c r="A2191" t="n">
        <v>2190</v>
      </c>
      <c r="B2191" t="inlineStr">
        <is>
          <t>A-497_2C__582</t>
        </is>
      </c>
      <c r="C2191" s="1" t="n">
        <v>37.2032682672</v>
      </c>
      <c r="D2191" s="1" t="n">
        <v>-7.00631864321</v>
      </c>
      <c r="E2191" s="3" t="n">
        <v>3</v>
      </c>
      <c r="F2191" s="2" t="n">
        <v>3</v>
      </c>
      <c r="G2191" s="4" t="n">
        <v>3</v>
      </c>
      <c r="H2191" s="13" t="n"/>
      <c r="I2191" s="15" t="n"/>
      <c r="J2191" s="19" t="n">
        <v>3</v>
      </c>
      <c r="K2191" s="2" t="inlineStr">
        <is>
          <t>marker_708_366592.png</t>
        </is>
      </c>
      <c r="L2191" s="11">
        <f>HYPERLINK("3\0\" &amp; K2191, "Ver Imagen")</f>
        <v/>
      </c>
      <c r="M2191" t="inlineStr">
        <is>
          <t>Moda</t>
        </is>
      </c>
    </row>
    <row r="2192">
      <c r="A2192" t="n">
        <v>2191</v>
      </c>
      <c r="B2192" t="inlineStr">
        <is>
          <t>A-497_2C__583</t>
        </is>
      </c>
      <c r="C2192" s="1" t="n">
        <v>37.2032420913</v>
      </c>
      <c r="D2192" s="1" t="n">
        <v>-7.0061255267</v>
      </c>
      <c r="E2192" s="3" t="n">
        <v>3</v>
      </c>
      <c r="F2192" s="2" t="n">
        <v>3</v>
      </c>
      <c r="G2192" s="4" t="n">
        <v>3</v>
      </c>
      <c r="H2192" s="13" t="n"/>
      <c r="I2192" s="15" t="n"/>
      <c r="J2192" s="19" t="n">
        <v>3</v>
      </c>
      <c r="K2192" s="2" t="inlineStr">
        <is>
          <t>marker_284_366601.png</t>
        </is>
      </c>
      <c r="L2192" s="11">
        <f>HYPERLINK("3\0\" &amp; K2192, "Ver Imagen")</f>
        <v/>
      </c>
      <c r="M2192" t="inlineStr">
        <is>
          <t>Moda</t>
        </is>
      </c>
    </row>
    <row r="2193">
      <c r="A2193" t="n">
        <v>2192</v>
      </c>
      <c r="B2193" t="inlineStr">
        <is>
          <t>A-497_2C__586</t>
        </is>
      </c>
      <c r="C2193" s="1" t="n">
        <v>37.2031353716</v>
      </c>
      <c r="D2193" s="1" t="n">
        <v>-7.00534292839</v>
      </c>
      <c r="E2193" s="3" t="n">
        <v>3</v>
      </c>
      <c r="F2193" s="2" t="n">
        <v>3</v>
      </c>
      <c r="G2193" s="4" t="n">
        <v>3</v>
      </c>
      <c r="H2193" s="13" t="n"/>
      <c r="I2193" s="15" t="n"/>
      <c r="J2193" s="19" t="n">
        <v>3</v>
      </c>
      <c r="K2193" s="2" t="inlineStr">
        <is>
          <t>marker_481_366624.png</t>
        </is>
      </c>
      <c r="L2193" s="11">
        <f>HYPERLINK("3\0\" &amp; K2193, "Ver Imagen")</f>
        <v/>
      </c>
      <c r="M2193" t="inlineStr">
        <is>
          <t>Moda</t>
        </is>
      </c>
    </row>
    <row r="2194">
      <c r="A2194" t="n">
        <v>2193</v>
      </c>
      <c r="B2194" t="inlineStr">
        <is>
          <t>A-497_2C__587</t>
        </is>
      </c>
      <c r="C2194" s="1" t="n">
        <v>37.2031073067</v>
      </c>
      <c r="D2194" s="1" t="n">
        <v>-7.00513072363</v>
      </c>
      <c r="E2194" s="3" t="n">
        <v>3</v>
      </c>
      <c r="F2194" s="2" t="n">
        <v>3</v>
      </c>
      <c r="G2194" s="4" t="n">
        <v>3</v>
      </c>
      <c r="H2194" s="13" t="n"/>
      <c r="I2194" s="15" t="n"/>
      <c r="J2194" s="19" t="n">
        <v>3</v>
      </c>
      <c r="K2194" s="2" t="inlineStr">
        <is>
          <t>marker_891_366639.png</t>
        </is>
      </c>
      <c r="L2194" s="11">
        <f>HYPERLINK("3\0\" &amp; K2194, "Ver Imagen")</f>
        <v/>
      </c>
      <c r="M2194" t="inlineStr">
        <is>
          <t>Moda</t>
        </is>
      </c>
    </row>
    <row r="2195">
      <c r="A2195" t="n">
        <v>2194</v>
      </c>
      <c r="B2195" t="inlineStr">
        <is>
          <t>A-497_2C__589</t>
        </is>
      </c>
      <c r="C2195" s="1" t="n">
        <v>37.2030437772</v>
      </c>
      <c r="D2195" s="1" t="n">
        <v>-7.00462654901</v>
      </c>
      <c r="E2195" s="3" t="n">
        <v>3</v>
      </c>
      <c r="F2195" s="2" t="n">
        <v>3</v>
      </c>
      <c r="G2195" s="4" t="n">
        <v>3</v>
      </c>
      <c r="H2195" s="13" t="n"/>
      <c r="I2195" s="15" t="n"/>
      <c r="J2195" s="19" t="n">
        <v>3</v>
      </c>
      <c r="K2195" s="2" t="inlineStr">
        <is>
          <t>marker_450_366662.png</t>
        </is>
      </c>
      <c r="L2195" s="11">
        <f>HYPERLINK("3\0\" &amp; K2195, "Ver Imagen")</f>
        <v/>
      </c>
      <c r="M2195" t="inlineStr">
        <is>
          <t>Moda</t>
        </is>
      </c>
    </row>
    <row r="2196">
      <c r="A2196" t="n">
        <v>2195</v>
      </c>
      <c r="B2196" t="inlineStr">
        <is>
          <t>A-497_2C__590</t>
        </is>
      </c>
      <c r="C2196" s="1" t="n">
        <v>37.20300981</v>
      </c>
      <c r="D2196" s="1" t="n">
        <v>-7.00434591667</v>
      </c>
      <c r="E2196" s="3" t="n">
        <v>3</v>
      </c>
      <c r="F2196" s="2" t="n">
        <v>3</v>
      </c>
      <c r="G2196" s="4" t="n">
        <v>3</v>
      </c>
      <c r="H2196" s="13" t="n"/>
      <c r="I2196" s="15" t="n"/>
      <c r="J2196" s="19" t="n">
        <v>3</v>
      </c>
      <c r="K2196" s="2" t="inlineStr">
        <is>
          <t>marker_283_366671.png</t>
        </is>
      </c>
      <c r="L2196" s="11">
        <f>HYPERLINK("3\0\" &amp; K2196, "Ver Imagen")</f>
        <v/>
      </c>
      <c r="M2196" t="inlineStr">
        <is>
          <t>Moda</t>
        </is>
      </c>
    </row>
    <row r="2197">
      <c r="A2197" t="n">
        <v>2196</v>
      </c>
      <c r="B2197" t="inlineStr">
        <is>
          <t>A-497_2C__593</t>
        </is>
      </c>
      <c r="C2197" s="1" t="n">
        <v>37.2029290949</v>
      </c>
      <c r="D2197" s="1" t="n">
        <v>-7.00362793221</v>
      </c>
      <c r="E2197" s="3" t="n">
        <v>3</v>
      </c>
      <c r="F2197" s="2" t="n">
        <v>3</v>
      </c>
      <c r="G2197" s="4" t="n">
        <v>3</v>
      </c>
      <c r="H2197" s="13" t="n"/>
      <c r="I2197" s="15" t="n"/>
      <c r="J2197" s="19" t="n">
        <v>3</v>
      </c>
      <c r="K2197" s="2" t="inlineStr">
        <is>
          <t>marker_782_366699.png</t>
        </is>
      </c>
      <c r="L2197" s="11">
        <f>HYPERLINK("3\0\" &amp; K2197, "Ver Imagen")</f>
        <v/>
      </c>
      <c r="M2197" t="inlineStr">
        <is>
          <t>Moda</t>
        </is>
      </c>
    </row>
    <row r="2198">
      <c r="A2198" t="n">
        <v>2197</v>
      </c>
      <c r="B2198" t="inlineStr">
        <is>
          <t>A-497_2C__594</t>
        </is>
      </c>
      <c r="C2198" s="1" t="n">
        <v>37.2029009678</v>
      </c>
      <c r="D2198" s="1" t="n">
        <v>-7.00336968226</v>
      </c>
      <c r="E2198" s="3" t="n">
        <v>3</v>
      </c>
      <c r="F2198" s="2" t="n">
        <v>3</v>
      </c>
      <c r="G2198" s="4" t="n">
        <v>3</v>
      </c>
      <c r="H2198" s="13" t="n"/>
      <c r="I2198" s="15" t="n"/>
      <c r="J2198" s="19" t="n">
        <v>3</v>
      </c>
      <c r="K2198" s="2" t="inlineStr">
        <is>
          <t>marker_721_366707.png</t>
        </is>
      </c>
      <c r="L2198" s="11">
        <f>HYPERLINK("3\0\" &amp; K2198, "Ver Imagen")</f>
        <v/>
      </c>
      <c r="M2198" t="inlineStr">
        <is>
          <t>Moda</t>
        </is>
      </c>
    </row>
    <row r="2199">
      <c r="A2199" t="n">
        <v>2198</v>
      </c>
      <c r="B2199" t="inlineStr">
        <is>
          <t>A-497_2C__596</t>
        </is>
      </c>
      <c r="C2199" s="1" t="n">
        <v>37.2028407069</v>
      </c>
      <c r="D2199" s="1" t="n">
        <v>-7.0028206389</v>
      </c>
      <c r="E2199" s="3" t="n">
        <v>3</v>
      </c>
      <c r="F2199" s="2" t="n">
        <v>3</v>
      </c>
      <c r="G2199" s="4" t="n">
        <v>3</v>
      </c>
      <c r="H2199" s="13" t="n"/>
      <c r="I2199" s="15" t="n"/>
      <c r="J2199" s="19" t="n">
        <v>3</v>
      </c>
      <c r="K2199" s="2" t="inlineStr">
        <is>
          <t>marker_665_366726.png</t>
        </is>
      </c>
      <c r="L2199" s="11">
        <f>HYPERLINK("3\0\" &amp; K2199, "Ver Imagen")</f>
        <v/>
      </c>
      <c r="M2199" t="inlineStr">
        <is>
          <t>Moda</t>
        </is>
      </c>
    </row>
    <row r="2200">
      <c r="A2200" t="n">
        <v>2199</v>
      </c>
      <c r="B2200" t="inlineStr">
        <is>
          <t>A-497_2C__598</t>
        </is>
      </c>
      <c r="C2200" s="1" t="n">
        <v>37.2027907249</v>
      </c>
      <c r="D2200" s="1" t="n">
        <v>-7.00237707801</v>
      </c>
      <c r="E2200" s="3" t="n">
        <v>3</v>
      </c>
      <c r="F2200" s="2" t="n">
        <v>3</v>
      </c>
      <c r="G2200" s="4" t="n">
        <v>3</v>
      </c>
      <c r="H2200" s="13" t="n"/>
      <c r="I2200" s="15" t="n"/>
      <c r="J2200" s="19" t="n">
        <v>3</v>
      </c>
      <c r="K2200" s="2" t="inlineStr">
        <is>
          <t>marker_860_366742.png</t>
        </is>
      </c>
      <c r="L2200" s="11">
        <f>HYPERLINK("3\0\" &amp; K2200, "Ver Imagen")</f>
        <v/>
      </c>
      <c r="M2200" t="inlineStr">
        <is>
          <t>Moda</t>
        </is>
      </c>
    </row>
    <row r="2201">
      <c r="A2201" t="n">
        <v>2200</v>
      </c>
      <c r="B2201" t="inlineStr">
        <is>
          <t>A-497_2C__599</t>
        </is>
      </c>
      <c r="C2201" s="1" t="n">
        <v>37.2027652622</v>
      </c>
      <c r="D2201" s="1" t="n">
        <v>-7.00215280466</v>
      </c>
      <c r="E2201" s="3" t="n">
        <v>3</v>
      </c>
      <c r="F2201" s="2" t="n">
        <v>3</v>
      </c>
      <c r="G2201" s="4" t="n">
        <v>3</v>
      </c>
      <c r="H2201" s="13" t="n"/>
      <c r="I2201" s="15" t="n"/>
      <c r="J2201" s="19" t="n">
        <v>3</v>
      </c>
      <c r="K2201" s="2" t="inlineStr">
        <is>
          <t>marker_124_366754.png</t>
        </is>
      </c>
      <c r="L2201" s="11">
        <f>HYPERLINK("3\0\" &amp; K2201, "Ver Imagen")</f>
        <v/>
      </c>
      <c r="M2201" t="inlineStr">
        <is>
          <t>Moda</t>
        </is>
      </c>
    </row>
    <row r="2202">
      <c r="A2202" t="n">
        <v>2201</v>
      </c>
      <c r="B2202" t="inlineStr">
        <is>
          <t>A-497_2C__603</t>
        </is>
      </c>
      <c r="C2202" s="1" t="n">
        <v>37.2026410006</v>
      </c>
      <c r="D2202" s="1" t="n">
        <v>-7.00107136345</v>
      </c>
      <c r="E2202" s="3" t="n">
        <v>3</v>
      </c>
      <c r="F2202" s="2" t="n">
        <v>3</v>
      </c>
      <c r="G2202" s="4" t="n">
        <v>3</v>
      </c>
      <c r="H2202" s="13" t="n"/>
      <c r="I2202" s="15" t="n"/>
      <c r="J2202" s="19" t="n">
        <v>3</v>
      </c>
      <c r="K2202" s="2" t="inlineStr">
        <is>
          <t>marker_226_366794.png</t>
        </is>
      </c>
      <c r="L2202" s="11">
        <f>HYPERLINK("3\0\" &amp; K2202, "Ver Imagen")</f>
        <v/>
      </c>
      <c r="M2202" t="inlineStr">
        <is>
          <t>Moda</t>
        </is>
      </c>
    </row>
    <row r="2203">
      <c r="A2203" t="n">
        <v>2202</v>
      </c>
      <c r="B2203" t="inlineStr">
        <is>
          <t>A-497_2C__604</t>
        </is>
      </c>
      <c r="C2203" s="1" t="n">
        <v>37.2026121515</v>
      </c>
      <c r="D2203" s="1" t="n">
        <v>-7.00083697481</v>
      </c>
      <c r="E2203" s="3" t="n">
        <v>3</v>
      </c>
      <c r="F2203" s="2" t="n">
        <v>3</v>
      </c>
      <c r="G2203" s="4" t="n">
        <v>3</v>
      </c>
      <c r="H2203" s="13" t="n"/>
      <c r="I2203" s="15" t="n"/>
      <c r="J2203" s="19" t="n">
        <v>3</v>
      </c>
      <c r="K2203" s="2" t="inlineStr">
        <is>
          <t>marker_305_366802.png</t>
        </is>
      </c>
      <c r="L2203" s="11">
        <f>HYPERLINK("3\0\" &amp; K2203, "Ver Imagen")</f>
        <v/>
      </c>
      <c r="M2203" t="inlineStr">
        <is>
          <t>Moda</t>
        </is>
      </c>
    </row>
    <row r="2204">
      <c r="A2204" t="n">
        <v>2203</v>
      </c>
      <c r="B2204" t="inlineStr">
        <is>
          <t>A-497_2C__605</t>
        </is>
      </c>
      <c r="C2204" s="1" t="n">
        <v>37.2025820566</v>
      </c>
      <c r="D2204" s="1" t="n">
        <v>-7.00059873224</v>
      </c>
      <c r="E2204" s="3" t="n">
        <v>3</v>
      </c>
      <c r="F2204" s="2" t="n">
        <v>3</v>
      </c>
      <c r="G2204" s="4" t="n">
        <v>3</v>
      </c>
      <c r="H2204" s="13" t="n"/>
      <c r="I2204" s="15" t="n"/>
      <c r="J2204" s="19" t="n">
        <v>3</v>
      </c>
      <c r="K2204" s="2" t="inlineStr">
        <is>
          <t>marker_118_366811.png</t>
        </is>
      </c>
      <c r="L2204" s="11">
        <f>HYPERLINK("3\0\" &amp; K2204, "Ver Imagen")</f>
        <v/>
      </c>
      <c r="M2204" t="inlineStr">
        <is>
          <t>Moda</t>
        </is>
      </c>
    </row>
    <row r="2205">
      <c r="A2205" t="n">
        <v>2204</v>
      </c>
      <c r="B2205" t="inlineStr">
        <is>
          <t>A-497_2C__607</t>
        </is>
      </c>
      <c r="C2205" s="1" t="n">
        <v>37.202513973</v>
      </c>
      <c r="D2205" s="1" t="n">
        <v>-7.00007019417</v>
      </c>
      <c r="E2205" s="3" t="n">
        <v>3</v>
      </c>
      <c r="F2205" s="2" t="n">
        <v>3</v>
      </c>
      <c r="G2205" s="4" t="n">
        <v>3</v>
      </c>
      <c r="H2205" s="13" t="n"/>
      <c r="I2205" s="15" t="n"/>
      <c r="J2205" s="19" t="n">
        <v>3</v>
      </c>
      <c r="K2205" s="2" t="inlineStr">
        <is>
          <t>marker_754_366843.png</t>
        </is>
      </c>
      <c r="L2205" s="11">
        <f>HYPERLINK("3\0\" &amp; K2205, "Ver Imagen")</f>
        <v/>
      </c>
      <c r="M2205" t="inlineStr">
        <is>
          <t>Moda</t>
        </is>
      </c>
    </row>
    <row r="2206">
      <c r="A2206" t="n">
        <v>2205</v>
      </c>
      <c r="B2206" t="inlineStr">
        <is>
          <t>A-497_2C__610</t>
        </is>
      </c>
      <c r="C2206" s="1" t="n">
        <v>37.2024149848</v>
      </c>
      <c r="D2206" s="1" t="n">
        <v>-6.99929846308</v>
      </c>
      <c r="E2206" s="3" t="n">
        <v>3</v>
      </c>
      <c r="F2206" s="2" t="n">
        <v>3</v>
      </c>
      <c r="G2206" s="4" t="n">
        <v>3</v>
      </c>
      <c r="H2206" s="13" t="n"/>
      <c r="I2206" s="15" t="n"/>
      <c r="J2206" s="19" t="n">
        <v>3</v>
      </c>
      <c r="K2206" s="2" t="inlineStr">
        <is>
          <t>marker_533_366871.png</t>
        </is>
      </c>
      <c r="L2206" s="11">
        <f>HYPERLINK("3\0\" &amp; K2206, "Ver Imagen")</f>
        <v/>
      </c>
      <c r="M2206" t="inlineStr">
        <is>
          <t>Moda</t>
        </is>
      </c>
    </row>
    <row r="2207">
      <c r="A2207" t="n">
        <v>2206</v>
      </c>
      <c r="B2207" t="inlineStr">
        <is>
          <t>A-497_2C__611</t>
        </is>
      </c>
      <c r="C2207" s="1" t="n">
        <v>37.2023828258</v>
      </c>
      <c r="D2207" s="1" t="n">
        <v>-6.99905198147</v>
      </c>
      <c r="E2207" s="3" t="n">
        <v>3</v>
      </c>
      <c r="F2207" s="2" t="n">
        <v>3</v>
      </c>
      <c r="G2207" s="4" t="n">
        <v>3</v>
      </c>
      <c r="H2207" s="13" t="n"/>
      <c r="I2207" s="15" t="n"/>
      <c r="J2207" s="19" t="n">
        <v>3</v>
      </c>
      <c r="K2207" s="2" t="inlineStr">
        <is>
          <t>marker_872_366881.png</t>
        </is>
      </c>
      <c r="L2207" s="11">
        <f>HYPERLINK("3\0\" &amp; K2207, "Ver Imagen")</f>
        <v/>
      </c>
      <c r="M2207" t="inlineStr">
        <is>
          <t>Moda</t>
        </is>
      </c>
    </row>
    <row r="2208">
      <c r="A2208" t="n">
        <v>2207</v>
      </c>
      <c r="B2208" t="inlineStr">
        <is>
          <t>A-497_2C__612</t>
        </is>
      </c>
      <c r="C2208" s="1" t="n">
        <v>37.2023507854</v>
      </c>
      <c r="D2208" s="1" t="n">
        <v>-6.99881985364</v>
      </c>
      <c r="E2208" s="3" t="n">
        <v>3</v>
      </c>
      <c r="F2208" s="2" t="n">
        <v>3</v>
      </c>
      <c r="G2208" s="4" t="n">
        <v>3</v>
      </c>
      <c r="H2208" s="13" t="n"/>
      <c r="I2208" s="15" t="n"/>
      <c r="J2208" s="19" t="n">
        <v>3</v>
      </c>
      <c r="K2208" s="2" t="inlineStr">
        <is>
          <t>marker_713_366890.png</t>
        </is>
      </c>
      <c r="L2208" s="11">
        <f>HYPERLINK("3\0\" &amp; K2208, "Ver Imagen")</f>
        <v/>
      </c>
      <c r="M2208" t="inlineStr">
        <is>
          <t>Moda</t>
        </is>
      </c>
    </row>
    <row r="2209">
      <c r="A2209" t="n">
        <v>2208</v>
      </c>
      <c r="B2209" t="inlineStr">
        <is>
          <t>A-497_2C__613</t>
        </is>
      </c>
      <c r="C2209" s="1" t="n">
        <v>37.2023103105</v>
      </c>
      <c r="D2209" s="1" t="n">
        <v>-6.99853790284</v>
      </c>
      <c r="E2209" s="3" t="n">
        <v>3</v>
      </c>
      <c r="F2209" s="2" t="n">
        <v>3</v>
      </c>
      <c r="G2209" s="4" t="n">
        <v>3</v>
      </c>
      <c r="H2209" s="13" t="n"/>
      <c r="I2209" s="15" t="n"/>
      <c r="J2209" s="19" t="n">
        <v>3</v>
      </c>
      <c r="K2209" s="2" t="inlineStr">
        <is>
          <t>marker_365_366901.png</t>
        </is>
      </c>
      <c r="L2209" s="11">
        <f>HYPERLINK("3\0\" &amp; K2209, "Ver Imagen")</f>
        <v/>
      </c>
      <c r="M2209" t="inlineStr">
        <is>
          <t>Moda</t>
        </is>
      </c>
    </row>
    <row r="2210">
      <c r="A2210" t="n">
        <v>2209</v>
      </c>
      <c r="B2210" t="inlineStr">
        <is>
          <t>A-497_2C__614</t>
        </is>
      </c>
      <c r="C2210" s="1" t="n">
        <v>37.2022774236</v>
      </c>
      <c r="D2210" s="1" t="n">
        <v>-6.99831225982</v>
      </c>
      <c r="E2210" s="3" t="n">
        <v>3</v>
      </c>
      <c r="F2210" s="2" t="n">
        <v>3</v>
      </c>
      <c r="G2210" s="4" t="n">
        <v>3</v>
      </c>
      <c r="H2210" s="13" t="n"/>
      <c r="I2210" s="15" t="n"/>
      <c r="J2210" s="19" t="n">
        <v>3</v>
      </c>
      <c r="K2210" s="2" t="inlineStr">
        <is>
          <t>marker_937_366909.png</t>
        </is>
      </c>
      <c r="L2210" s="11">
        <f>HYPERLINK("3\0\" &amp; K2210, "Ver Imagen")</f>
        <v/>
      </c>
      <c r="M2210" t="inlineStr">
        <is>
          <t>Moda</t>
        </is>
      </c>
    </row>
    <row r="2211">
      <c r="A2211" t="n">
        <v>2210</v>
      </c>
      <c r="B2211" t="inlineStr">
        <is>
          <t>A-497_2C__616</t>
        </is>
      </c>
      <c r="C2211" s="1" t="n">
        <v>37.2022065182</v>
      </c>
      <c r="D2211" s="1" t="n">
        <v>-6.99782728029</v>
      </c>
      <c r="E2211" s="3" t="n">
        <v>3</v>
      </c>
      <c r="F2211" s="2" t="n">
        <v>3</v>
      </c>
      <c r="G2211" s="4" t="n">
        <v>3</v>
      </c>
      <c r="H2211" s="13" t="n"/>
      <c r="I2211" s="15" t="n"/>
      <c r="J2211" s="19" t="n">
        <v>3</v>
      </c>
      <c r="K2211" s="2" t="inlineStr">
        <is>
          <t>marker_722_366928.png</t>
        </is>
      </c>
      <c r="L2211" s="11">
        <f>HYPERLINK("3\0\" &amp; K2211, "Ver Imagen")</f>
        <v/>
      </c>
      <c r="M2211" t="inlineStr">
        <is>
          <t>Moda</t>
        </is>
      </c>
    </row>
    <row r="2212">
      <c r="A2212" t="n">
        <v>2211</v>
      </c>
      <c r="B2212" t="inlineStr">
        <is>
          <t>A-497_2C__618</t>
        </is>
      </c>
      <c r="C2212" s="1" t="n">
        <v>37.2021335525</v>
      </c>
      <c r="D2212" s="1" t="n">
        <v>-6.99733061067</v>
      </c>
      <c r="E2212" s="3" t="n">
        <v>3</v>
      </c>
      <c r="F2212" s="2" t="n">
        <v>3</v>
      </c>
      <c r="G2212" s="4" t="n">
        <v>3</v>
      </c>
      <c r="H2212" s="13" t="n"/>
      <c r="I2212" s="15" t="n"/>
      <c r="J2212" s="19" t="n">
        <v>3</v>
      </c>
      <c r="K2212" s="2" t="inlineStr">
        <is>
          <t>marker_285_366962.png</t>
        </is>
      </c>
      <c r="L2212" s="11">
        <f>HYPERLINK("3\0\" &amp; K2212, "Ver Imagen")</f>
        <v/>
      </c>
      <c r="M2212" t="inlineStr">
        <is>
          <t>Moda</t>
        </is>
      </c>
    </row>
    <row r="2213">
      <c r="A2213" t="n">
        <v>2212</v>
      </c>
      <c r="B2213" t="inlineStr">
        <is>
          <t>A-497_2C__619</t>
        </is>
      </c>
      <c r="C2213" s="1" t="n">
        <v>37.2020930768</v>
      </c>
      <c r="D2213" s="1" t="n">
        <v>-6.99705840632</v>
      </c>
      <c r="E2213" s="3" t="n">
        <v>3</v>
      </c>
      <c r="F2213" s="2" t="n">
        <v>3</v>
      </c>
      <c r="G2213" s="4" t="n">
        <v>3</v>
      </c>
      <c r="H2213" s="13" t="n"/>
      <c r="I2213" s="15" t="n"/>
      <c r="J2213" s="19" t="n">
        <v>3</v>
      </c>
      <c r="K2213" s="2" t="inlineStr">
        <is>
          <t>marker_911_366970.png</t>
        </is>
      </c>
      <c r="L2213" s="11">
        <f>HYPERLINK("3\0\" &amp; K2213, "Ver Imagen")</f>
        <v/>
      </c>
      <c r="M2213" t="inlineStr">
        <is>
          <t>Moda</t>
        </is>
      </c>
    </row>
    <row r="2214">
      <c r="A2214" t="n">
        <v>2213</v>
      </c>
      <c r="B2214" t="inlineStr">
        <is>
          <t>A-497_2C__621</t>
        </is>
      </c>
      <c r="C2214" s="1" t="n">
        <v>37.2020181877</v>
      </c>
      <c r="D2214" s="1" t="n">
        <v>-6.99656702684</v>
      </c>
      <c r="E2214" s="3" t="n">
        <v>3</v>
      </c>
      <c r="F2214" s="2" t="n">
        <v>3</v>
      </c>
      <c r="G2214" s="4" t="n">
        <v>3</v>
      </c>
      <c r="H2214" s="13" t="n"/>
      <c r="I2214" s="15" t="n"/>
      <c r="J2214" s="19" t="n">
        <v>3</v>
      </c>
      <c r="K2214" s="2" t="inlineStr">
        <is>
          <t>marker_223_366995.png</t>
        </is>
      </c>
      <c r="L2214" s="11">
        <f>HYPERLINK("3\0\" &amp; K2214, "Ver Imagen")</f>
        <v/>
      </c>
      <c r="M2214" t="inlineStr">
        <is>
          <t>Moda</t>
        </is>
      </c>
    </row>
    <row r="2215">
      <c r="A2215" t="n">
        <v>2214</v>
      </c>
      <c r="B2215" t="inlineStr">
        <is>
          <t>A-497_2C__622</t>
        </is>
      </c>
      <c r="C2215" s="1" t="n">
        <v>37.2019797443</v>
      </c>
      <c r="D2215" s="1" t="n">
        <v>-6.9963245274</v>
      </c>
      <c r="E2215" s="3" t="n">
        <v>3</v>
      </c>
      <c r="F2215" s="2" t="n">
        <v>3</v>
      </c>
      <c r="G2215" s="4" t="n">
        <v>3</v>
      </c>
      <c r="H2215" s="13" t="n"/>
      <c r="I2215" s="15" t="n"/>
      <c r="J2215" s="19" t="n">
        <v>3</v>
      </c>
      <c r="K2215" s="2" t="inlineStr">
        <is>
          <t>marker_958_367004.png</t>
        </is>
      </c>
      <c r="L2215" s="11">
        <f>HYPERLINK("3\0\" &amp; K2215, "Ver Imagen")</f>
        <v/>
      </c>
      <c r="M2215" t="inlineStr">
        <is>
          <t>Moda</t>
        </is>
      </c>
    </row>
    <row r="2216">
      <c r="A2216" t="n">
        <v>2215</v>
      </c>
      <c r="B2216" t="inlineStr">
        <is>
          <t>A-497__406</t>
        </is>
      </c>
      <c r="C2216" s="1" t="n">
        <v>37.2295335465</v>
      </c>
      <c r="D2216" s="1" t="n">
        <v>-7.02061303766</v>
      </c>
      <c r="E2216" s="3" t="n">
        <v>3</v>
      </c>
      <c r="F2216" s="2" t="n">
        <v>3</v>
      </c>
      <c r="G2216" s="4" t="n">
        <v>3</v>
      </c>
      <c r="H2216" s="13" t="n"/>
      <c r="I2216" s="15" t="n"/>
      <c r="J2216" s="19" t="n">
        <v>3</v>
      </c>
      <c r="K2216" s="2" t="inlineStr">
        <is>
          <t>marker_987_377135.png</t>
        </is>
      </c>
      <c r="L2216" s="11">
        <f>HYPERLINK("3\0\" &amp; K2216, "Ver Imagen")</f>
        <v/>
      </c>
      <c r="M2216" t="inlineStr">
        <is>
          <t>Moda</t>
        </is>
      </c>
    </row>
    <row r="2217">
      <c r="A2217" t="n">
        <v>2216</v>
      </c>
      <c r="B2217" t="inlineStr">
        <is>
          <t>A-497__395</t>
        </is>
      </c>
      <c r="C2217" s="1" t="n">
        <v>37.2314269458</v>
      </c>
      <c r="D2217" s="1" t="n">
        <v>-7.01916311077</v>
      </c>
      <c r="E2217" s="3" t="n">
        <v>3</v>
      </c>
      <c r="F2217" s="2" t="n">
        <v>3</v>
      </c>
      <c r="G2217" s="4" t="n">
        <v>3</v>
      </c>
      <c r="H2217" s="13" t="n"/>
      <c r="I2217" s="15" t="n"/>
      <c r="J2217" s="19" t="n">
        <v>3</v>
      </c>
      <c r="K2217" s="2" t="inlineStr">
        <is>
          <t>marker_912_377237.png</t>
        </is>
      </c>
      <c r="L2217" s="11">
        <f>HYPERLINK("3\0\" &amp; K2217, "Ver Imagen")</f>
        <v/>
      </c>
      <c r="M2217" t="inlineStr">
        <is>
          <t>Moda</t>
        </is>
      </c>
    </row>
    <row r="2218">
      <c r="A2218" t="n">
        <v>2217</v>
      </c>
      <c r="B2218" t="inlineStr">
        <is>
          <t>A-497__392</t>
        </is>
      </c>
      <c r="C2218" s="1" t="n">
        <v>37.2319902449</v>
      </c>
      <c r="D2218" s="1" t="n">
        <v>-7.0187449968</v>
      </c>
      <c r="E2218" s="3" t="n">
        <v>3</v>
      </c>
      <c r="F2218" s="2" t="n">
        <v>3</v>
      </c>
      <c r="G2218" s="4" t="n">
        <v>3</v>
      </c>
      <c r="H2218" s="13" t="n"/>
      <c r="I2218" s="15" t="n"/>
      <c r="J2218" s="19" t="n">
        <v>3</v>
      </c>
      <c r="K2218" s="2" t="inlineStr">
        <is>
          <t>marker_459_377265.png</t>
        </is>
      </c>
      <c r="L2218" s="11">
        <f>HYPERLINK("3\0\" &amp; K2218, "Ver Imagen")</f>
        <v/>
      </c>
      <c r="M2218" t="inlineStr">
        <is>
          <t>Moda</t>
        </is>
      </c>
    </row>
    <row r="2219">
      <c r="A2219" t="n">
        <v>2218</v>
      </c>
      <c r="B2219" t="inlineStr">
        <is>
          <t>A-497__388</t>
        </is>
      </c>
      <c r="C2219" s="1" t="n">
        <v>37.2327031001</v>
      </c>
      <c r="D2219" s="1" t="n">
        <v>-7.01831848436</v>
      </c>
      <c r="E2219" s="3" t="n">
        <v>3</v>
      </c>
      <c r="F2219" s="2" t="n">
        <v>3</v>
      </c>
      <c r="G2219" s="4" t="n">
        <v>3</v>
      </c>
      <c r="H2219" s="13" t="n"/>
      <c r="I2219" s="15" t="n"/>
      <c r="J2219" s="19" t="n">
        <v>3</v>
      </c>
      <c r="K2219" s="2" t="inlineStr">
        <is>
          <t>marker_681_377301.png</t>
        </is>
      </c>
      <c r="L2219" s="11">
        <f>HYPERLINK("3\0\" &amp; K2219, "Ver Imagen")</f>
        <v/>
      </c>
      <c r="M2219" t="inlineStr">
        <is>
          <t>Moda</t>
        </is>
      </c>
    </row>
    <row r="2220">
      <c r="A2220" t="n">
        <v>2219</v>
      </c>
      <c r="B2220" t="inlineStr">
        <is>
          <t>A-497__386</t>
        </is>
      </c>
      <c r="C2220" s="1" t="n">
        <v>37.233096108</v>
      </c>
      <c r="D2220" s="1" t="n">
        <v>-7.01816101182</v>
      </c>
      <c r="E2220" s="3" t="n">
        <v>3</v>
      </c>
      <c r="F2220" s="2" t="n">
        <v>3</v>
      </c>
      <c r="G2220" s="4" t="n">
        <v>3</v>
      </c>
      <c r="H2220" s="13" t="n"/>
      <c r="I2220" s="15" t="n"/>
      <c r="J2220" s="19" t="n">
        <v>3</v>
      </c>
      <c r="K2220" s="2" t="inlineStr">
        <is>
          <t>marker_339_377318.png</t>
        </is>
      </c>
      <c r="L2220" s="11">
        <f>HYPERLINK("3\0\" &amp; K2220, "Ver Imagen")</f>
        <v/>
      </c>
      <c r="M2220" t="inlineStr">
        <is>
          <t>Moda</t>
        </is>
      </c>
    </row>
    <row r="2221">
      <c r="A2221" t="n">
        <v>2220</v>
      </c>
      <c r="B2221" t="inlineStr">
        <is>
          <t>A-497__363</t>
        </is>
      </c>
      <c r="C2221" s="1" t="n">
        <v>37.2377127411</v>
      </c>
      <c r="D2221" s="1" t="n">
        <v>-7.01857174204</v>
      </c>
      <c r="E2221" s="3" t="n">
        <v>3</v>
      </c>
      <c r="F2221" s="2" t="n">
        <v>3</v>
      </c>
      <c r="G2221" s="4" t="n">
        <v>3</v>
      </c>
      <c r="H2221" s="13" t="n"/>
      <c r="I2221" s="15" t="n"/>
      <c r="J2221" s="19" t="n">
        <v>3</v>
      </c>
      <c r="K2221" s="2" t="inlineStr">
        <is>
          <t>marker_758_377522.png</t>
        </is>
      </c>
      <c r="L2221" s="11">
        <f>HYPERLINK("3\0\" &amp; K2221, "Ver Imagen")</f>
        <v/>
      </c>
      <c r="M2221" t="inlineStr">
        <is>
          <t>Moda</t>
        </is>
      </c>
    </row>
    <row r="2222">
      <c r="A2222" t="n">
        <v>2221</v>
      </c>
      <c r="B2222" t="inlineStr">
        <is>
          <t>A-497__338</t>
        </is>
      </c>
      <c r="C2222" s="1" t="n">
        <v>37.2427466307</v>
      </c>
      <c r="D2222" s="1" t="n">
        <v>-7.018380944</v>
      </c>
      <c r="E2222" s="3" t="n">
        <v>3</v>
      </c>
      <c r="F2222" s="2" t="n">
        <v>3</v>
      </c>
      <c r="G2222" s="4" t="n">
        <v>3</v>
      </c>
      <c r="H2222" s="13" t="n"/>
      <c r="I2222" s="15" t="n"/>
      <c r="J2222" s="19" t="n">
        <v>3</v>
      </c>
      <c r="K2222" s="2" t="inlineStr">
        <is>
          <t>marker_723_377790.png</t>
        </is>
      </c>
      <c r="L2222" s="11">
        <f>HYPERLINK("3\0\" &amp; K2222, "Ver Imagen")</f>
        <v/>
      </c>
      <c r="M2222" t="inlineStr">
        <is>
          <t>Moda</t>
        </is>
      </c>
    </row>
    <row r="2223">
      <c r="A2223" t="n">
        <v>2222</v>
      </c>
      <c r="B2223" t="inlineStr">
        <is>
          <t>A-497__334</t>
        </is>
      </c>
      <c r="C2223" s="1" t="n">
        <v>37.2436100563</v>
      </c>
      <c r="D2223" s="1" t="n">
        <v>-7.01834390554</v>
      </c>
      <c r="E2223" s="3" t="n">
        <v>3</v>
      </c>
      <c r="F2223" s="2" t="n">
        <v>3</v>
      </c>
      <c r="G2223" s="4" t="n">
        <v>3</v>
      </c>
      <c r="H2223" s="13" t="n"/>
      <c r="I2223" s="15" t="n"/>
      <c r="J2223" s="19" t="n">
        <v>3</v>
      </c>
      <c r="K2223" s="2" t="inlineStr">
        <is>
          <t>marker_331_377835.png</t>
        </is>
      </c>
      <c r="L2223" s="11">
        <f>HYPERLINK("3\0\" &amp; K2223, "Ver Imagen")</f>
        <v/>
      </c>
      <c r="M2223" t="inlineStr">
        <is>
          <t>Moda</t>
        </is>
      </c>
    </row>
    <row r="2224">
      <c r="A2224" t="n">
        <v>2223</v>
      </c>
      <c r="B2224" t="inlineStr">
        <is>
          <t>A-497__323</t>
        </is>
      </c>
      <c r="C2224" s="1" t="n">
        <v>37.2458013189</v>
      </c>
      <c r="D2224" s="1" t="n">
        <v>-7.01826647518</v>
      </c>
      <c r="E2224" s="3" t="n">
        <v>3</v>
      </c>
      <c r="F2224" s="2" t="n">
        <v>3</v>
      </c>
      <c r="G2224" s="4" t="n">
        <v>3</v>
      </c>
      <c r="H2224" s="13" t="n"/>
      <c r="I2224" s="15" t="n"/>
      <c r="J2224" s="19" t="n">
        <v>3</v>
      </c>
      <c r="K2224" s="2" t="inlineStr">
        <is>
          <t>marker_211_377934.png</t>
        </is>
      </c>
      <c r="L2224" s="11">
        <f>HYPERLINK("3\0\" &amp; K2224, "Ver Imagen")</f>
        <v/>
      </c>
      <c r="M2224" t="inlineStr">
        <is>
          <t>Moda</t>
        </is>
      </c>
    </row>
    <row r="2225">
      <c r="A2225" t="n">
        <v>2224</v>
      </c>
      <c r="B2225" t="inlineStr">
        <is>
          <t>A-497__320</t>
        </is>
      </c>
      <c r="C2225" s="1" t="n">
        <v>37.2464171615</v>
      </c>
      <c r="D2225" s="1" t="n">
        <v>-7.01824727435</v>
      </c>
      <c r="E2225" s="3" t="n">
        <v>3</v>
      </c>
      <c r="F2225" s="2" t="n">
        <v>3</v>
      </c>
      <c r="G2225" s="4" t="n">
        <v>3</v>
      </c>
      <c r="H2225" s="13" t="n"/>
      <c r="I2225" s="15" t="n"/>
      <c r="J2225" s="19" t="n">
        <v>3</v>
      </c>
      <c r="K2225" s="2" t="inlineStr">
        <is>
          <t>marker_982_377963.png</t>
        </is>
      </c>
      <c r="L2225" s="11">
        <f>HYPERLINK("3\0\" &amp; K2225, "Ver Imagen")</f>
        <v/>
      </c>
      <c r="M2225" t="inlineStr">
        <is>
          <t>Moda</t>
        </is>
      </c>
    </row>
    <row r="2226">
      <c r="A2226" t="n">
        <v>2225</v>
      </c>
      <c r="B2226" t="inlineStr">
        <is>
          <t>A-497__318</t>
        </is>
      </c>
      <c r="C2226" s="1" t="n">
        <v>37.2468035705</v>
      </c>
      <c r="D2226" s="1" t="n">
        <v>-7.01823318612</v>
      </c>
      <c r="E2226" s="3" t="n">
        <v>3</v>
      </c>
      <c r="F2226" s="2" t="n">
        <v>3</v>
      </c>
      <c r="G2226" s="4" t="n">
        <v>3</v>
      </c>
      <c r="H2226" s="13" t="n"/>
      <c r="I2226" s="15" t="n"/>
      <c r="J2226" s="19" t="n">
        <v>3</v>
      </c>
      <c r="K2226" s="2" t="inlineStr">
        <is>
          <t>marker_874_377988.png</t>
        </is>
      </c>
      <c r="L2226" s="11">
        <f>HYPERLINK("3\0\" &amp; K2226, "Ver Imagen")</f>
        <v/>
      </c>
      <c r="M2226" t="inlineStr">
        <is>
          <t>Moda</t>
        </is>
      </c>
    </row>
    <row r="2227">
      <c r="A2227" t="n">
        <v>2226</v>
      </c>
      <c r="B2227" t="inlineStr">
        <is>
          <t>A-497__316</t>
        </is>
      </c>
      <c r="C2227" s="1" t="n">
        <v>37.2471950929</v>
      </c>
      <c r="D2227" s="1" t="n">
        <v>-7.01821862608</v>
      </c>
      <c r="E2227" s="3" t="n">
        <v>3</v>
      </c>
      <c r="F2227" s="2" t="n">
        <v>3</v>
      </c>
      <c r="G2227" s="4" t="n">
        <v>3</v>
      </c>
      <c r="H2227" s="13" t="n"/>
      <c r="I2227" s="15" t="n"/>
      <c r="J2227" s="19" t="n">
        <v>3</v>
      </c>
      <c r="K2227" s="2" t="inlineStr">
        <is>
          <t>marker_251_378006.png</t>
        </is>
      </c>
      <c r="L2227" s="11">
        <f>HYPERLINK("3\0\" &amp; K2227, "Ver Imagen")</f>
        <v/>
      </c>
      <c r="M2227" t="inlineStr">
        <is>
          <t>Moda</t>
        </is>
      </c>
    </row>
    <row r="2228">
      <c r="A2228" t="n">
        <v>2227</v>
      </c>
      <c r="B2228" t="inlineStr">
        <is>
          <t>A-497__308</t>
        </is>
      </c>
      <c r="C2228" s="1" t="n">
        <v>37.2488444321</v>
      </c>
      <c r="D2228" s="1" t="n">
        <v>-7.01812761363</v>
      </c>
      <c r="E2228" s="3" t="n">
        <v>3</v>
      </c>
      <c r="F2228" s="2" t="n">
        <v>3</v>
      </c>
      <c r="G2228" s="4" t="n">
        <v>3</v>
      </c>
      <c r="H2228" s="13" t="n"/>
      <c r="I2228" s="15" t="n"/>
      <c r="J2228" s="19" t="n">
        <v>3</v>
      </c>
      <c r="K2228" s="2" t="inlineStr">
        <is>
          <t>marker_451_378120.png</t>
        </is>
      </c>
      <c r="L2228" s="11">
        <f>HYPERLINK("3\0\" &amp; K2228, "Ver Imagen")</f>
        <v/>
      </c>
      <c r="M2228" t="inlineStr">
        <is>
          <t>Moda</t>
        </is>
      </c>
    </row>
    <row r="2229">
      <c r="A2229" t="n">
        <v>2228</v>
      </c>
      <c r="B2229" t="inlineStr">
        <is>
          <t>A-497__305</t>
        </is>
      </c>
      <c r="C2229" s="1" t="n">
        <v>37.2494289779</v>
      </c>
      <c r="D2229" s="1" t="n">
        <v>-7.01802110482</v>
      </c>
      <c r="E2229" s="3" t="n">
        <v>3</v>
      </c>
      <c r="F2229" s="2" t="n">
        <v>3</v>
      </c>
      <c r="G2229" s="4" t="n">
        <v>3</v>
      </c>
      <c r="H2229" s="13" t="n"/>
      <c r="I2229" s="15" t="n"/>
      <c r="J2229" s="19" t="n">
        <v>3</v>
      </c>
      <c r="K2229" s="2" t="inlineStr">
        <is>
          <t>marker_425_378148.png</t>
        </is>
      </c>
      <c r="L2229" s="11">
        <f>HYPERLINK("3\0\" &amp; K2229, "Ver Imagen")</f>
        <v/>
      </c>
      <c r="M2229" t="inlineStr">
        <is>
          <t>Moda</t>
        </is>
      </c>
    </row>
    <row r="2230">
      <c r="A2230" t="n">
        <v>2229</v>
      </c>
      <c r="B2230" t="inlineStr">
        <is>
          <t>A-497__294</t>
        </is>
      </c>
      <c r="C2230" s="1" t="n">
        <v>37.2514638831</v>
      </c>
      <c r="D2230" s="1" t="n">
        <v>-7.01694297164</v>
      </c>
      <c r="E2230" s="3" t="n">
        <v>3</v>
      </c>
      <c r="F2230" s="2" t="n">
        <v>3</v>
      </c>
      <c r="G2230" s="4" t="n">
        <v>3</v>
      </c>
      <c r="H2230" s="13" t="n"/>
      <c r="I2230" s="15" t="n"/>
      <c r="J2230" s="19" t="n">
        <v>3</v>
      </c>
      <c r="K2230" s="2" t="inlineStr">
        <is>
          <t>marker_888_378301.png</t>
        </is>
      </c>
      <c r="L2230" s="11">
        <f>HYPERLINK("3\0\" &amp; K2230, "Ver Imagen")</f>
        <v/>
      </c>
      <c r="M2230" t="inlineStr">
        <is>
          <t>Moda</t>
        </is>
      </c>
    </row>
    <row r="2231">
      <c r="A2231" t="n">
        <v>2230</v>
      </c>
      <c r="B2231" t="inlineStr">
        <is>
          <t>A-497__278</t>
        </is>
      </c>
      <c r="C2231" s="1" t="n">
        <v>37.2543921461</v>
      </c>
      <c r="D2231" s="1" t="n">
        <v>-7.01508019661</v>
      </c>
      <c r="E2231" s="3" t="n">
        <v>3</v>
      </c>
      <c r="F2231" s="2" t="n">
        <v>3</v>
      </c>
      <c r="G2231" s="4" t="n">
        <v>3</v>
      </c>
      <c r="H2231" s="13" t="n"/>
      <c r="I2231" s="15" t="n"/>
      <c r="J2231" s="19" t="n">
        <v>3</v>
      </c>
      <c r="K2231" s="2" t="inlineStr">
        <is>
          <t>marker_187_378496.png</t>
        </is>
      </c>
      <c r="L2231" s="11">
        <f>HYPERLINK("3\0\" &amp; K2231, "Ver Imagen")</f>
        <v/>
      </c>
      <c r="M2231" t="inlineStr">
        <is>
          <t>Moda</t>
        </is>
      </c>
    </row>
    <row r="2232">
      <c r="A2232" t="n">
        <v>2231</v>
      </c>
      <c r="B2232" t="inlineStr">
        <is>
          <t>A-497__269</t>
        </is>
      </c>
      <c r="C2232" s="1" t="n">
        <v>37.2560169963</v>
      </c>
      <c r="D2232" s="1" t="n">
        <v>-7.01404925881</v>
      </c>
      <c r="E2232" s="3" t="n">
        <v>3</v>
      </c>
      <c r="F2232" s="2" t="n">
        <v>3</v>
      </c>
      <c r="G2232" s="4" t="n">
        <v>3</v>
      </c>
      <c r="H2232" s="13" t="n"/>
      <c r="I2232" s="15" t="n"/>
      <c r="J2232" s="19" t="n">
        <v>3</v>
      </c>
      <c r="K2232" s="2" t="inlineStr">
        <is>
          <t>marker_422_378593.png</t>
        </is>
      </c>
      <c r="L2232" s="11">
        <f>HYPERLINK("3\0\" &amp; K2232, "Ver Imagen")</f>
        <v/>
      </c>
      <c r="M2232" t="inlineStr">
        <is>
          <t>Moda</t>
        </is>
      </c>
    </row>
    <row r="2233">
      <c r="A2233" t="n">
        <v>2232</v>
      </c>
      <c r="B2233" t="inlineStr">
        <is>
          <t>A-497__268</t>
        </is>
      </c>
      <c r="C2233" s="1" t="n">
        <v>37.256161617</v>
      </c>
      <c r="D2233" s="1" t="n">
        <v>-7.01395629753</v>
      </c>
      <c r="E2233" s="3" t="n">
        <v>3</v>
      </c>
      <c r="F2233" s="2" t="n">
        <v>3</v>
      </c>
      <c r="G2233" s="4" t="n">
        <v>3</v>
      </c>
      <c r="H2233" s="13" t="n"/>
      <c r="I2233" s="15" t="n"/>
      <c r="J2233" s="19" t="n">
        <v>3</v>
      </c>
      <c r="K2233" s="2" t="inlineStr">
        <is>
          <t>marker_646_378601.png</t>
        </is>
      </c>
      <c r="L2233" s="11">
        <f>HYPERLINK("3\0\" &amp; K2233, "Ver Imagen")</f>
        <v/>
      </c>
      <c r="M2233" t="inlineStr">
        <is>
          <t>Moda</t>
        </is>
      </c>
    </row>
    <row r="2234">
      <c r="A2234" t="n">
        <v>2233</v>
      </c>
      <c r="B2234" t="inlineStr">
        <is>
          <t>A-497__263</t>
        </is>
      </c>
      <c r="C2234" s="1" t="n">
        <v>37.2570545326</v>
      </c>
      <c r="D2234" s="1" t="n">
        <v>-7.0133849848</v>
      </c>
      <c r="E2234" s="3" t="n">
        <v>3</v>
      </c>
      <c r="F2234" s="2" t="n">
        <v>3</v>
      </c>
      <c r="G2234" s="4" t="n">
        <v>3</v>
      </c>
      <c r="H2234" s="13" t="n"/>
      <c r="I2234" s="15" t="n"/>
      <c r="J2234" s="19" t="n">
        <v>3</v>
      </c>
      <c r="K2234" s="2" t="inlineStr">
        <is>
          <t>marker_445_378649.png</t>
        </is>
      </c>
      <c r="L2234" s="11">
        <f>HYPERLINK("3\0\" &amp; K2234, "Ver Imagen")</f>
        <v/>
      </c>
      <c r="M2234" t="inlineStr">
        <is>
          <t>Moda</t>
        </is>
      </c>
    </row>
    <row r="2235">
      <c r="A2235" t="n">
        <v>2234</v>
      </c>
      <c r="B2235" t="inlineStr">
        <is>
          <t>A-497__245</t>
        </is>
      </c>
      <c r="C2235" s="1" t="n">
        <v>37.2603056048</v>
      </c>
      <c r="D2235" s="1" t="n">
        <v>-7.0113135765</v>
      </c>
      <c r="E2235" s="3" t="n">
        <v>3</v>
      </c>
      <c r="F2235" s="2" t="n">
        <v>3</v>
      </c>
      <c r="G2235" s="4" t="n">
        <v>3</v>
      </c>
      <c r="H2235" s="13" t="n"/>
      <c r="I2235" s="15" t="n"/>
      <c r="J2235" s="19" t="n">
        <v>3</v>
      </c>
      <c r="K2235" s="2" t="inlineStr">
        <is>
          <t>marker_835_378834.png</t>
        </is>
      </c>
      <c r="L2235" s="11">
        <f>HYPERLINK("3\0\" &amp; K2235, "Ver Imagen")</f>
        <v/>
      </c>
      <c r="M2235" t="inlineStr">
        <is>
          <t>Moda</t>
        </is>
      </c>
    </row>
    <row r="2236">
      <c r="A2236" t="n">
        <v>2235</v>
      </c>
      <c r="B2236" t="inlineStr">
        <is>
          <t>A-497__244</t>
        </is>
      </c>
      <c r="C2236" s="1" t="n">
        <v>37.2604760039</v>
      </c>
      <c r="D2236" s="1" t="n">
        <v>-7.01120553572</v>
      </c>
      <c r="E2236" s="3" t="n">
        <v>3</v>
      </c>
      <c r="F2236" s="2" t="n">
        <v>3</v>
      </c>
      <c r="G2236" s="4" t="n">
        <v>3</v>
      </c>
      <c r="H2236" s="13" t="n"/>
      <c r="I2236" s="15" t="n"/>
      <c r="J2236" s="19" t="n">
        <v>3</v>
      </c>
      <c r="K2236" s="2" t="inlineStr">
        <is>
          <t>marker_423_378844.png</t>
        </is>
      </c>
      <c r="L2236" s="11">
        <f>HYPERLINK("3\0\" &amp; K2236, "Ver Imagen")</f>
        <v/>
      </c>
      <c r="M2236" t="inlineStr">
        <is>
          <t>Moda</t>
        </is>
      </c>
    </row>
    <row r="2237">
      <c r="A2237" t="n">
        <v>2236</v>
      </c>
      <c r="B2237" t="inlineStr">
        <is>
          <t>A-497__242</t>
        </is>
      </c>
      <c r="C2237" s="1" t="n">
        <v>37.2608661335</v>
      </c>
      <c r="D2237" s="1" t="n">
        <v>-7.01095592328</v>
      </c>
      <c r="E2237" s="3" t="n">
        <v>3</v>
      </c>
      <c r="F2237" s="2" t="n">
        <v>3</v>
      </c>
      <c r="G2237" s="4" t="n">
        <v>3</v>
      </c>
      <c r="H2237" s="13" t="n"/>
      <c r="I2237" s="15" t="n"/>
      <c r="J2237" s="19" t="n">
        <v>3</v>
      </c>
      <c r="K2237" s="2" t="inlineStr">
        <is>
          <t>marker_192_378861.png</t>
        </is>
      </c>
      <c r="L2237" s="11">
        <f>HYPERLINK("3\0\" &amp; K2237, "Ver Imagen")</f>
        <v/>
      </c>
      <c r="M2237" t="inlineStr">
        <is>
          <t>Moda</t>
        </is>
      </c>
    </row>
    <row r="2238">
      <c r="A2238" t="n">
        <v>2237</v>
      </c>
      <c r="B2238" t="inlineStr">
        <is>
          <t>A-497__241</t>
        </is>
      </c>
      <c r="C2238" s="1" t="n">
        <v>37.2610338659</v>
      </c>
      <c r="D2238" s="1" t="n">
        <v>-7.01084580568</v>
      </c>
      <c r="E2238" s="3" t="n">
        <v>3</v>
      </c>
      <c r="F2238" s="2" t="n">
        <v>3</v>
      </c>
      <c r="G2238" s="4" t="n">
        <v>3</v>
      </c>
      <c r="H2238" s="13" t="n"/>
      <c r="I2238" s="15" t="n"/>
      <c r="J2238" s="19" t="n">
        <v>3</v>
      </c>
      <c r="K2238" s="2" t="inlineStr">
        <is>
          <t>marker_259_378871.png</t>
        </is>
      </c>
      <c r="L2238" s="11">
        <f>HYPERLINK("3\0\" &amp; K2238, "Ver Imagen")</f>
        <v/>
      </c>
      <c r="M2238" t="inlineStr">
        <is>
          <t>Moda</t>
        </is>
      </c>
    </row>
    <row r="2239">
      <c r="A2239" t="n">
        <v>2238</v>
      </c>
      <c r="B2239" t="inlineStr">
        <is>
          <t>A-497__234</t>
        </is>
      </c>
      <c r="C2239" s="1" t="n">
        <v>37.2621547088</v>
      </c>
      <c r="D2239" s="1" t="n">
        <v>-7.00985619009</v>
      </c>
      <c r="E2239" s="3" t="n">
        <v>3</v>
      </c>
      <c r="F2239" s="2" t="n">
        <v>3</v>
      </c>
      <c r="G2239" s="4" t="n">
        <v>3</v>
      </c>
      <c r="H2239" s="13" t="n"/>
      <c r="I2239" s="15" t="n"/>
      <c r="J2239" s="19" t="n">
        <v>3</v>
      </c>
      <c r="K2239" s="2" t="inlineStr">
        <is>
          <t>marker_567_378991.png</t>
        </is>
      </c>
      <c r="L2239" s="11">
        <f>HYPERLINK("3\0\" &amp; K2239, "Ver Imagen")</f>
        <v/>
      </c>
      <c r="M2239" t="inlineStr">
        <is>
          <t>Moda</t>
        </is>
      </c>
    </row>
    <row r="2240">
      <c r="A2240" t="n">
        <v>2239</v>
      </c>
      <c r="B2240" t="inlineStr">
        <is>
          <t>A-497__233</t>
        </is>
      </c>
      <c r="C2240" s="1" t="n">
        <v>37.2623017167</v>
      </c>
      <c r="D2240" s="1" t="n">
        <v>-7.00967085307</v>
      </c>
      <c r="E2240" s="3" t="n">
        <v>3</v>
      </c>
      <c r="F2240" s="2" t="n">
        <v>3</v>
      </c>
      <c r="G2240" s="4" t="n">
        <v>3</v>
      </c>
      <c r="H2240" s="13" t="n"/>
      <c r="I2240" s="15" t="n"/>
      <c r="J2240" s="19" t="n">
        <v>3</v>
      </c>
      <c r="K2240" s="2" t="inlineStr">
        <is>
          <t>marker_504_379002.png</t>
        </is>
      </c>
      <c r="L2240" s="11">
        <f>HYPERLINK("3\0\" &amp; K2240, "Ver Imagen")</f>
        <v/>
      </c>
      <c r="M2240" t="inlineStr">
        <is>
          <t>Moda</t>
        </is>
      </c>
    </row>
    <row r="2241">
      <c r="A2241" t="n">
        <v>2240</v>
      </c>
      <c r="B2241" t="inlineStr">
        <is>
          <t>A-497__230</t>
        </is>
      </c>
      <c r="C2241" s="1" t="n">
        <v>37.2626916397</v>
      </c>
      <c r="D2241" s="1" t="n">
        <v>-7.00908395351</v>
      </c>
      <c r="E2241" s="3" t="n">
        <v>3</v>
      </c>
      <c r="F2241" s="2" t="n">
        <v>3</v>
      </c>
      <c r="G2241" s="4" t="n">
        <v>3</v>
      </c>
      <c r="H2241" s="13" t="n"/>
      <c r="I2241" s="15" t="n"/>
      <c r="J2241" s="19" t="n">
        <v>3</v>
      </c>
      <c r="K2241" s="2" t="inlineStr">
        <is>
          <t>marker_745_379038.png</t>
        </is>
      </c>
      <c r="L2241" s="11">
        <f>HYPERLINK("3\0\" &amp; K2241, "Ver Imagen")</f>
        <v/>
      </c>
      <c r="M2241" t="inlineStr">
        <is>
          <t>Moda</t>
        </is>
      </c>
    </row>
    <row r="2242">
      <c r="A2242" t="n">
        <v>2241</v>
      </c>
      <c r="B2242" t="inlineStr">
        <is>
          <t>A-497__225</t>
        </is>
      </c>
      <c r="C2242" s="1" t="n">
        <v>37.2631963544</v>
      </c>
      <c r="D2242" s="1" t="n">
        <v>-7.00796173095</v>
      </c>
      <c r="E2242" s="3" t="n">
        <v>3</v>
      </c>
      <c r="F2242" s="2" t="n">
        <v>3</v>
      </c>
      <c r="G2242" s="4" t="n">
        <v>3</v>
      </c>
      <c r="H2242" s="13" t="n"/>
      <c r="I2242" s="15" t="n"/>
      <c r="J2242" s="19" t="n">
        <v>3</v>
      </c>
      <c r="K2242" s="2" t="inlineStr">
        <is>
          <t>marker_806_379089.png</t>
        </is>
      </c>
      <c r="L2242" s="11">
        <f>HYPERLINK("3\0\" &amp; K2242, "Ver Imagen")</f>
        <v/>
      </c>
      <c r="M2242" t="inlineStr">
        <is>
          <t>Moda</t>
        </is>
      </c>
    </row>
    <row r="2243">
      <c r="A2243" t="n">
        <v>2242</v>
      </c>
      <c r="B2243" t="inlineStr">
        <is>
          <t>A-497__224</t>
        </is>
      </c>
      <c r="C2243" s="1" t="n">
        <v>37.2632681721</v>
      </c>
      <c r="D2243" s="1" t="n">
        <v>-7.00773046043</v>
      </c>
      <c r="E2243" s="3" t="n">
        <v>3</v>
      </c>
      <c r="F2243" s="2" t="n">
        <v>3</v>
      </c>
      <c r="G2243" s="4" t="n">
        <v>3</v>
      </c>
      <c r="H2243" s="13" t="n"/>
      <c r="I2243" s="15" t="n"/>
      <c r="J2243" s="19" t="n">
        <v>3</v>
      </c>
      <c r="K2243" s="2" t="inlineStr">
        <is>
          <t>marker_459_379102.png</t>
        </is>
      </c>
      <c r="L2243" s="11">
        <f>HYPERLINK("3\0\" &amp; K2243, "Ver Imagen")</f>
        <v/>
      </c>
      <c r="M2243" t="inlineStr">
        <is>
          <t>Moda</t>
        </is>
      </c>
    </row>
    <row r="2244">
      <c r="A2244" t="n">
        <v>2243</v>
      </c>
      <c r="B2244" t="inlineStr">
        <is>
          <t>A-497__218</t>
        </is>
      </c>
      <c r="C2244" s="1" t="n">
        <v>37.2635693985</v>
      </c>
      <c r="D2244" s="1" t="n">
        <v>-7.00628860723</v>
      </c>
      <c r="E2244" s="3" t="n">
        <v>3</v>
      </c>
      <c r="F2244" s="2" t="n">
        <v>3</v>
      </c>
      <c r="G2244" s="4" t="n">
        <v>3</v>
      </c>
      <c r="H2244" s="13" t="n"/>
      <c r="I2244" s="15" t="n"/>
      <c r="J2244" s="19" t="n">
        <v>3</v>
      </c>
      <c r="K2244" s="2" t="inlineStr">
        <is>
          <t>marker_916_379165.png</t>
        </is>
      </c>
      <c r="L2244" s="11">
        <f>HYPERLINK("3\0\" &amp; K2244, "Ver Imagen")</f>
        <v/>
      </c>
      <c r="M2244" t="inlineStr">
        <is>
          <t>Moda</t>
        </is>
      </c>
    </row>
    <row r="2245">
      <c r="A2245" t="n">
        <v>2244</v>
      </c>
      <c r="B2245" t="inlineStr">
        <is>
          <t>A-497__217</t>
        </is>
      </c>
      <c r="C2245" s="1" t="n">
        <v>37.2636238515</v>
      </c>
      <c r="D2245" s="1" t="n">
        <v>-7.00598046583</v>
      </c>
      <c r="E2245" s="3" t="n">
        <v>3</v>
      </c>
      <c r="F2245" s="2" t="n">
        <v>3</v>
      </c>
      <c r="G2245" s="4" t="n">
        <v>3</v>
      </c>
      <c r="H2245" s="13" t="n"/>
      <c r="I2245" s="15" t="n"/>
      <c r="J2245" s="19" t="n">
        <v>3</v>
      </c>
      <c r="K2245" s="2" t="inlineStr">
        <is>
          <t>marker_660_379183.png</t>
        </is>
      </c>
      <c r="L2245" s="11">
        <f>HYPERLINK("3\0\" &amp; K2245, "Ver Imagen")</f>
        <v/>
      </c>
      <c r="M2245" t="inlineStr">
        <is>
          <t>Moda</t>
        </is>
      </c>
    </row>
    <row r="2246">
      <c r="A2246" t="n">
        <v>2245</v>
      </c>
      <c r="B2246" t="inlineStr">
        <is>
          <t>A-497__210</t>
        </is>
      </c>
      <c r="C2246" s="1" t="n">
        <v>37.2639258348</v>
      </c>
      <c r="D2246" s="1" t="n">
        <v>-7.00428745963</v>
      </c>
      <c r="E2246" s="3" t="n">
        <v>3</v>
      </c>
      <c r="F2246" s="2" t="n">
        <v>3</v>
      </c>
      <c r="G2246" s="4" t="n">
        <v>3</v>
      </c>
      <c r="H2246" s="13" t="n"/>
      <c r="I2246" s="15" t="n"/>
      <c r="J2246" s="19" t="n">
        <v>3</v>
      </c>
      <c r="K2246" s="2" t="inlineStr">
        <is>
          <t>marker_618_379259.png</t>
        </is>
      </c>
      <c r="L2246" s="11">
        <f>HYPERLINK("3\0\" &amp; K2246, "Ver Imagen")</f>
        <v/>
      </c>
      <c r="M2246" t="inlineStr">
        <is>
          <t>Moda</t>
        </is>
      </c>
    </row>
    <row r="2247">
      <c r="A2247" t="n">
        <v>2246</v>
      </c>
      <c r="B2247" t="inlineStr">
        <is>
          <t>A-497__209</t>
        </is>
      </c>
      <c r="C2247" s="1" t="n">
        <v>37.2639652886</v>
      </c>
      <c r="D2247" s="1" t="n">
        <v>-7.00406151432</v>
      </c>
      <c r="E2247" s="3" t="n">
        <v>3</v>
      </c>
      <c r="F2247" s="2" t="n">
        <v>3</v>
      </c>
      <c r="G2247" s="4" t="n">
        <v>3</v>
      </c>
      <c r="H2247" s="13" t="n"/>
      <c r="I2247" s="15" t="n"/>
      <c r="J2247" s="19" t="n">
        <v>3</v>
      </c>
      <c r="K2247" s="2" t="inlineStr">
        <is>
          <t>marker_957_379268.png</t>
        </is>
      </c>
      <c r="L2247" s="11">
        <f>HYPERLINK("3\0\" &amp; K2247, "Ver Imagen")</f>
        <v/>
      </c>
      <c r="M2247" t="inlineStr">
        <is>
          <t>Moda</t>
        </is>
      </c>
    </row>
    <row r="2248">
      <c r="A2248" t="n">
        <v>2247</v>
      </c>
      <c r="B2248" t="inlineStr">
        <is>
          <t>A-497__202</t>
        </is>
      </c>
      <c r="C2248" s="1" t="n">
        <v>37.2642747482</v>
      </c>
      <c r="D2248" s="1" t="n">
        <v>-7.00230504074</v>
      </c>
      <c r="E2248" s="3" t="n">
        <v>3</v>
      </c>
      <c r="F2248" s="2" t="n">
        <v>3</v>
      </c>
      <c r="G2248" s="4" t="n">
        <v>3</v>
      </c>
      <c r="H2248" s="13" t="n"/>
      <c r="I2248" s="15" t="n"/>
      <c r="J2248" s="19" t="n">
        <v>3</v>
      </c>
      <c r="K2248" s="2" t="inlineStr">
        <is>
          <t>marker_846_379392.png</t>
        </is>
      </c>
      <c r="L2248" s="11">
        <f>HYPERLINK("3\0\" &amp; K2248, "Ver Imagen")</f>
        <v/>
      </c>
      <c r="M2248" t="inlineStr">
        <is>
          <t>Moda</t>
        </is>
      </c>
    </row>
    <row r="2249">
      <c r="A2249" t="n">
        <v>2248</v>
      </c>
      <c r="B2249" t="inlineStr">
        <is>
          <t>A-497__201</t>
        </is>
      </c>
      <c r="C2249" s="1" t="n">
        <v>37.2643161946</v>
      </c>
      <c r="D2249" s="1" t="n">
        <v>-7.00207402187</v>
      </c>
      <c r="E2249" s="3" t="n">
        <v>3</v>
      </c>
      <c r="F2249" s="2" t="n">
        <v>3</v>
      </c>
      <c r="G2249" s="4" t="n">
        <v>3</v>
      </c>
      <c r="H2249" s="13" t="n"/>
      <c r="I2249" s="15" t="n"/>
      <c r="J2249" s="19" t="n">
        <v>3</v>
      </c>
      <c r="K2249" s="2" t="inlineStr">
        <is>
          <t>marker_629_379401.png</t>
        </is>
      </c>
      <c r="L2249" s="11">
        <f>HYPERLINK("3\0\" &amp; K2249, "Ver Imagen")</f>
        <v/>
      </c>
      <c r="M2249" t="inlineStr">
        <is>
          <t>Moda</t>
        </is>
      </c>
    </row>
    <row r="2250">
      <c r="A2250" t="n">
        <v>2249</v>
      </c>
      <c r="B2250" t="inlineStr">
        <is>
          <t>A-497__200</t>
        </is>
      </c>
      <c r="C2250" s="1" t="n">
        <v>37.2643603125</v>
      </c>
      <c r="D2250" s="1" t="n">
        <v>-7.00182877621</v>
      </c>
      <c r="E2250" s="3" t="n">
        <v>3</v>
      </c>
      <c r="F2250" s="2" t="n">
        <v>3</v>
      </c>
      <c r="G2250" s="4" t="n">
        <v>3</v>
      </c>
      <c r="H2250" s="13" t="n"/>
      <c r="I2250" s="15" t="n"/>
      <c r="J2250" s="19" t="n">
        <v>3</v>
      </c>
      <c r="K2250" s="2" t="inlineStr">
        <is>
          <t>marker_623_379410.png</t>
        </is>
      </c>
      <c r="L2250" s="11">
        <f>HYPERLINK("3\0\" &amp; K2250, "Ver Imagen")</f>
        <v/>
      </c>
      <c r="M2250" t="inlineStr">
        <is>
          <t>Moda</t>
        </is>
      </c>
    </row>
    <row r="2251">
      <c r="A2251" t="n">
        <v>2250</v>
      </c>
      <c r="B2251" t="inlineStr">
        <is>
          <t>A-497__199</t>
        </is>
      </c>
      <c r="C2251" s="1" t="n">
        <v>37.2644016621</v>
      </c>
      <c r="D2251" s="1" t="n">
        <v>-7.00159806839</v>
      </c>
      <c r="E2251" s="3" t="n">
        <v>3</v>
      </c>
      <c r="F2251" s="2" t="n">
        <v>3</v>
      </c>
      <c r="G2251" s="4" t="n">
        <v>3</v>
      </c>
      <c r="H2251" s="13" t="n"/>
      <c r="I2251" s="15" t="n"/>
      <c r="J2251" s="19" t="n">
        <v>3</v>
      </c>
      <c r="K2251" s="2" t="inlineStr">
        <is>
          <t>marker_323_379419.png</t>
        </is>
      </c>
      <c r="L2251" s="11">
        <f>HYPERLINK("3\0\" &amp; K2251, "Ver Imagen")</f>
        <v/>
      </c>
      <c r="M2251" t="inlineStr">
        <is>
          <t>Moda</t>
        </is>
      </c>
    </row>
    <row r="2252">
      <c r="A2252" t="n">
        <v>2251</v>
      </c>
      <c r="B2252" t="inlineStr">
        <is>
          <t>A-497__194</t>
        </is>
      </c>
      <c r="C2252" s="1" t="n">
        <v>37.264623636</v>
      </c>
      <c r="D2252" s="1" t="n">
        <v>-7.0003678151</v>
      </c>
      <c r="E2252" s="3" t="n">
        <v>3</v>
      </c>
      <c r="F2252" s="2" t="n">
        <v>3</v>
      </c>
      <c r="G2252" s="4" t="n">
        <v>3</v>
      </c>
      <c r="H2252" s="13" t="n"/>
      <c r="I2252" s="15" t="n"/>
      <c r="J2252" s="19" t="n">
        <v>3</v>
      </c>
      <c r="K2252" s="2" t="inlineStr">
        <is>
          <t>marker_957_379470.png</t>
        </is>
      </c>
      <c r="L2252" s="11">
        <f>HYPERLINK("3\0\" &amp; K2252, "Ver Imagen")</f>
        <v/>
      </c>
      <c r="M2252" t="inlineStr">
        <is>
          <t>Moda</t>
        </is>
      </c>
    </row>
    <row r="2253">
      <c r="A2253" t="n">
        <v>2252</v>
      </c>
      <c r="B2253" t="inlineStr">
        <is>
          <t>A-497__191</t>
        </is>
      </c>
      <c r="C2253" s="1" t="n">
        <v>37.2647608845</v>
      </c>
      <c r="D2253" s="1" t="n">
        <v>-6.99959840409</v>
      </c>
      <c r="E2253" s="3" t="n">
        <v>3</v>
      </c>
      <c r="F2253" s="2" t="n">
        <v>3</v>
      </c>
      <c r="G2253" s="4" t="n">
        <v>3</v>
      </c>
      <c r="H2253" s="13" t="n"/>
      <c r="I2253" s="15" t="n"/>
      <c r="J2253" s="19" t="n">
        <v>3</v>
      </c>
      <c r="K2253" s="2" t="inlineStr">
        <is>
          <t>marker_412_379501.png</t>
        </is>
      </c>
      <c r="L2253" s="11">
        <f>HYPERLINK("3\0\" &amp; K2253, "Ver Imagen")</f>
        <v/>
      </c>
      <c r="M2253" t="inlineStr">
        <is>
          <t>Moda</t>
        </is>
      </c>
    </row>
    <row r="2254">
      <c r="A2254" t="n">
        <v>2253</v>
      </c>
      <c r="B2254" t="inlineStr">
        <is>
          <t>A-497__190</t>
        </is>
      </c>
      <c r="C2254" s="1" t="n">
        <v>37.2648136586</v>
      </c>
      <c r="D2254" s="1" t="n">
        <v>-6.99929539101</v>
      </c>
      <c r="E2254" s="3" t="n">
        <v>3</v>
      </c>
      <c r="F2254" s="2" t="n">
        <v>3</v>
      </c>
      <c r="G2254" s="4" t="n">
        <v>3</v>
      </c>
      <c r="H2254" s="13" t="n"/>
      <c r="I2254" s="15" t="n"/>
      <c r="J2254" s="19" t="n">
        <v>3</v>
      </c>
      <c r="K2254" s="2" t="inlineStr">
        <is>
          <t>marker_913_379511.png</t>
        </is>
      </c>
      <c r="L2254" s="11">
        <f>HYPERLINK("3\0\" &amp; K2254, "Ver Imagen")</f>
        <v/>
      </c>
      <c r="M2254" t="inlineStr">
        <is>
          <t>Moda</t>
        </is>
      </c>
    </row>
    <row r="2255">
      <c r="A2255" t="n">
        <v>2254</v>
      </c>
      <c r="B2255" t="inlineStr">
        <is>
          <t>A-497__189</t>
        </is>
      </c>
      <c r="C2255" s="1" t="n">
        <v>37.2648486601</v>
      </c>
      <c r="D2255" s="1" t="n">
        <v>-6.99909421334</v>
      </c>
      <c r="E2255" s="3" t="n">
        <v>3</v>
      </c>
      <c r="F2255" s="2" t="n">
        <v>3</v>
      </c>
      <c r="G2255" s="4" t="n">
        <v>3</v>
      </c>
      <c r="H2255" s="13" t="n"/>
      <c r="I2255" s="15" t="n"/>
      <c r="J2255" s="19" t="n">
        <v>3</v>
      </c>
      <c r="K2255" s="2" t="inlineStr">
        <is>
          <t>marker_917_379530.png</t>
        </is>
      </c>
      <c r="L2255" s="11">
        <f>HYPERLINK("3\0\" &amp; K2255, "Ver Imagen")</f>
        <v/>
      </c>
      <c r="M2255" t="inlineStr">
        <is>
          <t>Moda</t>
        </is>
      </c>
    </row>
    <row r="2256">
      <c r="A2256" t="n">
        <v>2255</v>
      </c>
      <c r="B2256" t="inlineStr">
        <is>
          <t>A-497__184</t>
        </is>
      </c>
      <c r="C2256" s="1" t="n">
        <v>37.2650604755</v>
      </c>
      <c r="D2256" s="1" t="n">
        <v>-6.99788552453</v>
      </c>
      <c r="E2256" s="3" t="n">
        <v>3</v>
      </c>
      <c r="F2256" s="2" t="n">
        <v>3</v>
      </c>
      <c r="G2256" s="4" t="n">
        <v>3</v>
      </c>
      <c r="H2256" s="13" t="n"/>
      <c r="I2256" s="15" t="n"/>
      <c r="J2256" s="19" t="n">
        <v>3</v>
      </c>
      <c r="K2256" s="2" t="inlineStr">
        <is>
          <t>marker_141_379596.png</t>
        </is>
      </c>
      <c r="L2256" s="11">
        <f>HYPERLINK("3\0\" &amp; K2256, "Ver Imagen")</f>
        <v/>
      </c>
      <c r="M2256" t="inlineStr">
        <is>
          <t>Moda</t>
        </is>
      </c>
    </row>
    <row r="2257">
      <c r="A2257" t="n">
        <v>2256</v>
      </c>
      <c r="B2257" t="inlineStr">
        <is>
          <t>A-497__173</t>
        </is>
      </c>
      <c r="C2257" s="1" t="n">
        <v>37.2655448092</v>
      </c>
      <c r="D2257" s="1" t="n">
        <v>-6.9951668424</v>
      </c>
      <c r="E2257" s="3" t="n">
        <v>3</v>
      </c>
      <c r="F2257" s="2" t="n">
        <v>3</v>
      </c>
      <c r="G2257" s="4" t="n">
        <v>3</v>
      </c>
      <c r="H2257" s="13" t="n"/>
      <c r="I2257" s="15" t="n"/>
      <c r="J2257" s="19" t="n">
        <v>3</v>
      </c>
      <c r="K2257" s="2" t="inlineStr">
        <is>
          <t>marker_849_379724.png</t>
        </is>
      </c>
      <c r="L2257" s="11">
        <f>HYPERLINK("3\0\" &amp; K2257, "Ver Imagen")</f>
        <v/>
      </c>
      <c r="M2257" t="inlineStr">
        <is>
          <t>Moda</t>
        </is>
      </c>
    </row>
    <row r="2258">
      <c r="A2258" t="n">
        <v>2257</v>
      </c>
      <c r="B2258" t="inlineStr">
        <is>
          <t>A-497__172</t>
        </is>
      </c>
      <c r="C2258" s="1" t="n">
        <v>37.2655839279</v>
      </c>
      <c r="D2258" s="1" t="n">
        <v>-6.99494598196</v>
      </c>
      <c r="E2258" s="3" t="n">
        <v>3</v>
      </c>
      <c r="F2258" s="2" t="n">
        <v>3</v>
      </c>
      <c r="G2258" s="4" t="n">
        <v>3</v>
      </c>
      <c r="H2258" s="13" t="n"/>
      <c r="I2258" s="15" t="n"/>
      <c r="J2258" s="19" t="n">
        <v>3</v>
      </c>
      <c r="K2258" s="2" t="inlineStr">
        <is>
          <t>marker_875_379736.png</t>
        </is>
      </c>
      <c r="L2258" s="11">
        <f>HYPERLINK("3\0\" &amp; K2258, "Ver Imagen")</f>
        <v/>
      </c>
      <c r="M2258" t="inlineStr">
        <is>
          <t>Moda</t>
        </is>
      </c>
    </row>
    <row r="2259">
      <c r="A2259" t="n">
        <v>2258</v>
      </c>
      <c r="B2259" t="inlineStr">
        <is>
          <t>A-497__171</t>
        </is>
      </c>
      <c r="C2259" s="1" t="n">
        <v>37.265644721</v>
      </c>
      <c r="D2259" s="1" t="n">
        <v>-6.9946178927</v>
      </c>
      <c r="E2259" s="3" t="n">
        <v>3</v>
      </c>
      <c r="F2259" s="2" t="n">
        <v>3</v>
      </c>
      <c r="G2259" s="4" t="n">
        <v>3</v>
      </c>
      <c r="H2259" s="13" t="n"/>
      <c r="I2259" s="15" t="n"/>
      <c r="J2259" s="19" t="n">
        <v>3</v>
      </c>
      <c r="K2259" s="2" t="inlineStr">
        <is>
          <t>marker_189_379754.png</t>
        </is>
      </c>
      <c r="L2259" s="11">
        <f>HYPERLINK("3\0\" &amp; K2259, "Ver Imagen")</f>
        <v/>
      </c>
      <c r="M2259" t="inlineStr">
        <is>
          <t>Moda</t>
        </is>
      </c>
    </row>
    <row r="2260">
      <c r="A2260" t="n">
        <v>2259</v>
      </c>
      <c r="B2260" t="inlineStr">
        <is>
          <t>A-497__169</t>
        </is>
      </c>
      <c r="C2260" s="1" t="n">
        <v>37.2657522204</v>
      </c>
      <c r="D2260" s="1" t="n">
        <v>-6.994133589</v>
      </c>
      <c r="E2260" s="3" t="n">
        <v>3</v>
      </c>
      <c r="F2260" s="2" t="n">
        <v>3</v>
      </c>
      <c r="G2260" s="4" t="n">
        <v>3</v>
      </c>
      <c r="H2260" s="13" t="n"/>
      <c r="I2260" s="15" t="n"/>
      <c r="J2260" s="19" t="n">
        <v>3</v>
      </c>
      <c r="K2260" s="2" t="inlineStr">
        <is>
          <t>marker_703_380161.png</t>
        </is>
      </c>
      <c r="L2260" s="11">
        <f>HYPERLINK("3\0\" &amp; K2260, "Ver Imagen")</f>
        <v/>
      </c>
      <c r="M2260" t="inlineStr">
        <is>
          <t>Moda</t>
        </is>
      </c>
    </row>
    <row r="2261">
      <c r="A2261" t="n">
        <v>2260</v>
      </c>
      <c r="B2261" t="inlineStr">
        <is>
          <t>A-497__167</t>
        </is>
      </c>
      <c r="C2261" s="1" t="n">
        <v>37.2658789244</v>
      </c>
      <c r="D2261" s="1" t="n">
        <v>-6.99369593126</v>
      </c>
      <c r="E2261" s="3" t="n">
        <v>3</v>
      </c>
      <c r="F2261" s="2" t="n">
        <v>3</v>
      </c>
      <c r="G2261" s="4" t="n">
        <v>3</v>
      </c>
      <c r="H2261" s="13" t="n"/>
      <c r="I2261" s="15" t="n"/>
      <c r="J2261" s="19" t="n">
        <v>3</v>
      </c>
      <c r="K2261" s="2" t="inlineStr">
        <is>
          <t>marker_704_380183.png</t>
        </is>
      </c>
      <c r="L2261" s="11">
        <f>HYPERLINK("3\0\" &amp; K2261, "Ver Imagen")</f>
        <v/>
      </c>
      <c r="M2261" t="inlineStr">
        <is>
          <t>Moda</t>
        </is>
      </c>
    </row>
    <row r="2262">
      <c r="A2262" t="n">
        <v>2261</v>
      </c>
      <c r="B2262" t="inlineStr">
        <is>
          <t>A-497__162</t>
        </is>
      </c>
      <c r="C2262" s="1" t="n">
        <v>37.2663678345</v>
      </c>
      <c r="D2262" s="1" t="n">
        <v>-6.99257970201</v>
      </c>
      <c r="E2262" s="3" t="n">
        <v>3</v>
      </c>
      <c r="F2262" s="2" t="n">
        <v>3</v>
      </c>
      <c r="G2262" s="4" t="n">
        <v>3</v>
      </c>
      <c r="H2262" s="13" t="n"/>
      <c r="I2262" s="15" t="n"/>
      <c r="J2262" s="19" t="n">
        <v>3</v>
      </c>
      <c r="K2262" s="2" t="inlineStr">
        <is>
          <t>marker_968_380232.png</t>
        </is>
      </c>
      <c r="L2262" s="11">
        <f>HYPERLINK("3\0\" &amp; K2262, "Ver Imagen")</f>
        <v/>
      </c>
      <c r="M2262" t="inlineStr">
        <is>
          <t>Moda</t>
        </is>
      </c>
    </row>
    <row r="2263">
      <c r="A2263" t="n">
        <v>2262</v>
      </c>
      <c r="B2263" t="inlineStr">
        <is>
          <t>A-497__159</t>
        </is>
      </c>
      <c r="C2263" s="1" t="n">
        <v>37.2667620654</v>
      </c>
      <c r="D2263" s="1" t="n">
        <v>-6.99199450768</v>
      </c>
      <c r="E2263" s="3" t="n">
        <v>3</v>
      </c>
      <c r="F2263" s="2" t="n">
        <v>3</v>
      </c>
      <c r="G2263" s="4" t="n">
        <v>3</v>
      </c>
      <c r="H2263" s="13" t="n"/>
      <c r="I2263" s="15" t="n"/>
      <c r="J2263" s="19" t="n">
        <v>3</v>
      </c>
      <c r="K2263" s="2" t="inlineStr">
        <is>
          <t>marker_863_380260.png</t>
        </is>
      </c>
      <c r="L2263" s="11">
        <f>HYPERLINK("3\0\" &amp; K2263, "Ver Imagen")</f>
        <v/>
      </c>
      <c r="M2263" t="inlineStr">
        <is>
          <t>Moda</t>
        </is>
      </c>
    </row>
    <row r="2264">
      <c r="A2264" t="n">
        <v>2263</v>
      </c>
      <c r="B2264" t="inlineStr">
        <is>
          <t>A-497__158</t>
        </is>
      </c>
      <c r="C2264" s="1" t="n">
        <v>37.2668989628</v>
      </c>
      <c r="D2264" s="1" t="n">
        <v>-6.99182867811</v>
      </c>
      <c r="E2264" s="3" t="n">
        <v>3</v>
      </c>
      <c r="F2264" s="2" t="n">
        <v>3</v>
      </c>
      <c r="G2264" s="4" t="n">
        <v>3</v>
      </c>
      <c r="H2264" s="13" t="n"/>
      <c r="I2264" s="15" t="n"/>
      <c r="J2264" s="19" t="n">
        <v>3</v>
      </c>
      <c r="K2264" s="2" t="inlineStr">
        <is>
          <t>marker_856_380270.png</t>
        </is>
      </c>
      <c r="L2264" s="11">
        <f>HYPERLINK("3\0\" &amp; K2264, "Ver Imagen")</f>
        <v/>
      </c>
      <c r="M2264" t="inlineStr">
        <is>
          <t>Moda</t>
        </is>
      </c>
    </row>
    <row r="2265">
      <c r="A2265" t="n">
        <v>2264</v>
      </c>
      <c r="B2265" t="inlineStr">
        <is>
          <t>A-497__156</t>
        </is>
      </c>
      <c r="C2265" s="1" t="n">
        <v>37.2672054619</v>
      </c>
      <c r="D2265" s="1" t="n">
        <v>-6.99150697588</v>
      </c>
      <c r="E2265" s="3" t="n">
        <v>3</v>
      </c>
      <c r="F2265" s="2" t="n">
        <v>3</v>
      </c>
      <c r="G2265" s="4" t="n">
        <v>3</v>
      </c>
      <c r="H2265" s="13" t="n"/>
      <c r="I2265" s="15" t="n"/>
      <c r="J2265" s="19" t="n">
        <v>3</v>
      </c>
      <c r="K2265" s="2" t="inlineStr">
        <is>
          <t>marker_369_380288.png</t>
        </is>
      </c>
      <c r="L2265" s="11">
        <f>HYPERLINK("3\0\" &amp; K2265, "Ver Imagen")</f>
        <v/>
      </c>
      <c r="M2265" t="inlineStr">
        <is>
          <t>Moda</t>
        </is>
      </c>
    </row>
    <row r="2266">
      <c r="A2266" t="n">
        <v>2265</v>
      </c>
      <c r="B2266" t="inlineStr">
        <is>
          <t>A-497__151</t>
        </is>
      </c>
      <c r="C2266" s="1" t="n">
        <v>37.2680793065</v>
      </c>
      <c r="D2266" s="1" t="n">
        <v>-6.99082254166</v>
      </c>
      <c r="E2266" s="3" t="n">
        <v>3</v>
      </c>
      <c r="F2266" s="2" t="n">
        <v>3</v>
      </c>
      <c r="G2266" s="4" t="n">
        <v>3</v>
      </c>
      <c r="H2266" s="13" t="n"/>
      <c r="I2266" s="15" t="n"/>
      <c r="J2266" s="19" t="n">
        <v>3</v>
      </c>
      <c r="K2266" s="2" t="inlineStr">
        <is>
          <t>marker_915_380340.png</t>
        </is>
      </c>
      <c r="L2266" s="11">
        <f>HYPERLINK("3\0\" &amp; K2266, "Ver Imagen")</f>
        <v/>
      </c>
      <c r="M2266" t="inlineStr">
        <is>
          <t>Moda</t>
        </is>
      </c>
    </row>
    <row r="2267">
      <c r="A2267" t="n">
        <v>2266</v>
      </c>
      <c r="B2267" t="inlineStr">
        <is>
          <t>A-497__150</t>
        </is>
      </c>
      <c r="C2267" s="1" t="n">
        <v>37.268258453</v>
      </c>
      <c r="D2267" s="1" t="n">
        <v>-6.99069505013</v>
      </c>
      <c r="E2267" s="3" t="n">
        <v>3</v>
      </c>
      <c r="F2267" s="2" t="n">
        <v>3</v>
      </c>
      <c r="G2267" s="4" t="n">
        <v>3</v>
      </c>
      <c r="H2267" s="13" t="n"/>
      <c r="I2267" s="15" t="n"/>
      <c r="J2267" s="19" t="n">
        <v>3</v>
      </c>
      <c r="K2267" s="2" t="inlineStr">
        <is>
          <t>marker_753_380349.png</t>
        </is>
      </c>
      <c r="L2267" s="11">
        <f>HYPERLINK("3\0\" &amp; K2267, "Ver Imagen")</f>
        <v/>
      </c>
      <c r="M2267" t="inlineStr">
        <is>
          <t>Moda</t>
        </is>
      </c>
    </row>
    <row r="2268">
      <c r="A2268" t="n">
        <v>2267</v>
      </c>
      <c r="B2268" t="inlineStr">
        <is>
          <t>A-497__149</t>
        </is>
      </c>
      <c r="C2268" s="1" t="n">
        <v>37.2684255652</v>
      </c>
      <c r="D2268" s="1" t="n">
        <v>-6.9905764248</v>
      </c>
      <c r="E2268" s="3" t="n">
        <v>3</v>
      </c>
      <c r="F2268" s="2" t="n">
        <v>3</v>
      </c>
      <c r="G2268" s="4" t="n">
        <v>3</v>
      </c>
      <c r="H2268" s="13" t="n"/>
      <c r="I2268" s="15" t="n"/>
      <c r="J2268" s="19" t="n">
        <v>3</v>
      </c>
      <c r="K2268" s="2" t="inlineStr">
        <is>
          <t>marker_684_380358.png</t>
        </is>
      </c>
      <c r="L2268" s="11">
        <f>HYPERLINK("3\0\" &amp; K2268, "Ver Imagen")</f>
        <v/>
      </c>
      <c r="M2268" t="inlineStr">
        <is>
          <t>Moda</t>
        </is>
      </c>
    </row>
    <row r="2269">
      <c r="A2269" t="n">
        <v>2268</v>
      </c>
      <c r="B2269" t="inlineStr">
        <is>
          <t>A-497__133</t>
        </is>
      </c>
      <c r="C2269" s="1" t="n">
        <v>37.271157412</v>
      </c>
      <c r="D2269" s="1" t="n">
        <v>-6.98845505617</v>
      </c>
      <c r="E2269" s="3" t="n">
        <v>3</v>
      </c>
      <c r="F2269" s="2" t="n">
        <v>3</v>
      </c>
      <c r="G2269" s="4" t="n">
        <v>3</v>
      </c>
      <c r="H2269" s="13" t="n"/>
      <c r="I2269" s="15" t="n"/>
      <c r="J2269" s="19" t="n">
        <v>3</v>
      </c>
      <c r="K2269" s="2" t="inlineStr">
        <is>
          <t>marker_424_380503.png</t>
        </is>
      </c>
      <c r="L2269" s="11">
        <f>HYPERLINK("3\0\" &amp; K2269, "Ver Imagen")</f>
        <v/>
      </c>
      <c r="M2269" t="inlineStr">
        <is>
          <t>Moda</t>
        </is>
      </c>
    </row>
    <row r="2270">
      <c r="A2270" t="n">
        <v>2269</v>
      </c>
      <c r="B2270" t="inlineStr">
        <is>
          <t>A-497__127</t>
        </is>
      </c>
      <c r="C2270" s="1" t="n">
        <v>37.2716843679</v>
      </c>
      <c r="D2270" s="1" t="n">
        <v>-6.98710144536</v>
      </c>
      <c r="E2270" s="3" t="n">
        <v>3</v>
      </c>
      <c r="F2270" s="2" t="n">
        <v>3</v>
      </c>
      <c r="G2270" s="4" t="n">
        <v>3</v>
      </c>
      <c r="H2270" s="13" t="n"/>
      <c r="I2270" s="15" t="n"/>
      <c r="J2270" s="19" t="n">
        <v>3</v>
      </c>
      <c r="K2270" s="2" t="inlineStr">
        <is>
          <t>marker_251_380559.png</t>
        </is>
      </c>
      <c r="L2270" s="11">
        <f>HYPERLINK("3\0\" &amp; K2270, "Ver Imagen")</f>
        <v/>
      </c>
      <c r="M2270" t="inlineStr">
        <is>
          <t>Moda</t>
        </is>
      </c>
    </row>
    <row r="2271">
      <c r="A2271" t="n">
        <v>2270</v>
      </c>
      <c r="B2271" t="inlineStr">
        <is>
          <t>A-497__126</t>
        </is>
      </c>
      <c r="C2271" s="1" t="n">
        <v>37.2717147319</v>
      </c>
      <c r="D2271" s="1" t="n">
        <v>-6.98686790044</v>
      </c>
      <c r="E2271" s="3" t="n">
        <v>3</v>
      </c>
      <c r="F2271" s="2" t="n">
        <v>3</v>
      </c>
      <c r="G2271" s="4" t="n">
        <v>3</v>
      </c>
      <c r="H2271" s="13" t="n"/>
      <c r="I2271" s="15" t="n"/>
      <c r="J2271" s="19" t="n">
        <v>3</v>
      </c>
      <c r="K2271" s="2" t="inlineStr">
        <is>
          <t>marker_323_380571.png</t>
        </is>
      </c>
      <c r="L2271" s="11">
        <f>HYPERLINK("3\0\" &amp; K2271, "Ver Imagen")</f>
        <v/>
      </c>
      <c r="M2271" t="inlineStr">
        <is>
          <t>Moda</t>
        </is>
      </c>
    </row>
    <row r="2272">
      <c r="A2272" t="n">
        <v>2271</v>
      </c>
      <c r="B2272" t="inlineStr">
        <is>
          <t>A-497__121</t>
        </is>
      </c>
      <c r="C2272" s="1" t="n">
        <v>37.2716711909</v>
      </c>
      <c r="D2272" s="1" t="n">
        <v>-6.98558920878</v>
      </c>
      <c r="E2272" s="3" t="n">
        <v>3</v>
      </c>
      <c r="F2272" s="2" t="n">
        <v>3</v>
      </c>
      <c r="G2272" s="4" t="n">
        <v>3</v>
      </c>
      <c r="H2272" s="13" t="n"/>
      <c r="I2272" s="15" t="n"/>
      <c r="J2272" s="19" t="n">
        <v>3</v>
      </c>
      <c r="K2272" s="2" t="inlineStr">
        <is>
          <t>marker_880_380617.png</t>
        </is>
      </c>
      <c r="L2272" s="11">
        <f>HYPERLINK("3\0\" &amp; K2272, "Ver Imagen")</f>
        <v/>
      </c>
      <c r="M2272" t="inlineStr">
        <is>
          <t>Moda</t>
        </is>
      </c>
    </row>
    <row r="2273">
      <c r="A2273" t="n">
        <v>2272</v>
      </c>
      <c r="B2273" t="inlineStr">
        <is>
          <t>A-497__120</t>
        </is>
      </c>
      <c r="C2273" s="1" t="n">
        <v>37.2716375195</v>
      </c>
      <c r="D2273" s="1" t="n">
        <v>-6.98538240998</v>
      </c>
      <c r="E2273" s="3" t="n">
        <v>3</v>
      </c>
      <c r="F2273" s="2" t="n">
        <v>3</v>
      </c>
      <c r="G2273" s="4" t="n">
        <v>3</v>
      </c>
      <c r="H2273" s="13" t="n"/>
      <c r="I2273" s="15" t="n"/>
      <c r="J2273" s="19" t="n">
        <v>3</v>
      </c>
      <c r="K2273" s="2" t="inlineStr">
        <is>
          <t>marker_246_380625.png</t>
        </is>
      </c>
      <c r="L2273" s="11">
        <f>HYPERLINK("3\0\" &amp; K2273, "Ver Imagen")</f>
        <v/>
      </c>
      <c r="M2273" t="inlineStr">
        <is>
          <t>Moda</t>
        </is>
      </c>
    </row>
    <row r="2274">
      <c r="A2274" t="n">
        <v>2273</v>
      </c>
      <c r="B2274" t="inlineStr">
        <is>
          <t>A-497__117</t>
        </is>
      </c>
      <c r="C2274" s="1" t="n">
        <v>37.2714759957</v>
      </c>
      <c r="D2274" s="1" t="n">
        <v>-6.98464937861</v>
      </c>
      <c r="E2274" s="3" t="n">
        <v>3</v>
      </c>
      <c r="F2274" s="2" t="n">
        <v>3</v>
      </c>
      <c r="G2274" s="4" t="n">
        <v>3</v>
      </c>
      <c r="H2274" s="13" t="n"/>
      <c r="I2274" s="15" t="n"/>
      <c r="J2274" s="19" t="n">
        <v>3</v>
      </c>
      <c r="K2274" s="2" t="inlineStr">
        <is>
          <t>marker_721_380650.png</t>
        </is>
      </c>
      <c r="L2274" s="11">
        <f>HYPERLINK("3\0\" &amp; K2274, "Ver Imagen")</f>
        <v/>
      </c>
      <c r="M2274" t="inlineStr">
        <is>
          <t>Moda</t>
        </is>
      </c>
    </row>
    <row r="2275">
      <c r="A2275" t="n">
        <v>2274</v>
      </c>
      <c r="B2275" t="inlineStr">
        <is>
          <t>A-497__103</t>
        </is>
      </c>
      <c r="C2275" s="1" t="n">
        <v>37.2705211414</v>
      </c>
      <c r="D2275" s="1" t="n">
        <v>-6.98127862677</v>
      </c>
      <c r="E2275" s="3" t="n">
        <v>3</v>
      </c>
      <c r="F2275" s="2" t="n">
        <v>3</v>
      </c>
      <c r="G2275" s="4" t="n">
        <v>3</v>
      </c>
      <c r="H2275" s="13" t="n"/>
      <c r="I2275" s="15" t="n"/>
      <c r="J2275" s="19" t="n">
        <v>3</v>
      </c>
      <c r="K2275" s="2" t="inlineStr">
        <is>
          <t>marker_304_380809.png</t>
        </is>
      </c>
      <c r="L2275" s="11">
        <f>HYPERLINK("3\0\" &amp; K2275, "Ver Imagen")</f>
        <v/>
      </c>
      <c r="M2275" t="inlineStr">
        <is>
          <t>Moda</t>
        </is>
      </c>
    </row>
    <row r="2276">
      <c r="A2276" t="n">
        <v>2275</v>
      </c>
      <c r="B2276" t="inlineStr">
        <is>
          <t>A-497__102</t>
        </is>
      </c>
      <c r="C2276" s="1" t="n">
        <v>37.2704612002</v>
      </c>
      <c r="D2276" s="1" t="n">
        <v>-6.98107499853</v>
      </c>
      <c r="E2276" s="3" t="n">
        <v>3</v>
      </c>
      <c r="F2276" s="2" t="n">
        <v>3</v>
      </c>
      <c r="G2276" s="4" t="n">
        <v>3</v>
      </c>
      <c r="H2276" s="13" t="n"/>
      <c r="I2276" s="15" t="n"/>
      <c r="J2276" s="19" t="n">
        <v>3</v>
      </c>
      <c r="K2276" s="2" t="inlineStr">
        <is>
          <t>marker_559_380818.png</t>
        </is>
      </c>
      <c r="L2276" s="11">
        <f>HYPERLINK("3\0\" &amp; K2276, "Ver Imagen")</f>
        <v/>
      </c>
      <c r="M2276" t="inlineStr">
        <is>
          <t>Moda</t>
        </is>
      </c>
    </row>
    <row r="2277">
      <c r="A2277" t="n">
        <v>2276</v>
      </c>
      <c r="B2277" t="inlineStr">
        <is>
          <t>A-497__101</t>
        </is>
      </c>
      <c r="C2277" s="1" t="n">
        <v>37.2703862922</v>
      </c>
      <c r="D2277" s="1" t="n">
        <v>-6.98081869084</v>
      </c>
      <c r="E2277" s="3" t="n">
        <v>3</v>
      </c>
      <c r="F2277" s="2" t="n">
        <v>3</v>
      </c>
      <c r="G2277" s="4" t="n">
        <v>3</v>
      </c>
      <c r="H2277" s="13" t="n"/>
      <c r="I2277" s="15" t="n"/>
      <c r="J2277" s="19" t="n">
        <v>3</v>
      </c>
      <c r="K2277" s="2" t="inlineStr">
        <is>
          <t>marker_407_380828.png</t>
        </is>
      </c>
      <c r="L2277" s="11">
        <f>HYPERLINK("3\0\" &amp; K2277, "Ver Imagen")</f>
        <v/>
      </c>
      <c r="M2277" t="inlineStr">
        <is>
          <t>Moda</t>
        </is>
      </c>
    </row>
    <row r="2278">
      <c r="A2278" t="n">
        <v>2277</v>
      </c>
      <c r="B2278" t="inlineStr">
        <is>
          <t>A-497__99</t>
        </is>
      </c>
      <c r="C2278" s="1" t="n">
        <v>37.2702553549</v>
      </c>
      <c r="D2278" s="1" t="n">
        <v>-6.98036209522</v>
      </c>
      <c r="E2278" s="3" t="n">
        <v>3</v>
      </c>
      <c r="F2278" s="2" t="n">
        <v>3</v>
      </c>
      <c r="G2278" s="4" t="n">
        <v>3</v>
      </c>
      <c r="H2278" s="13" t="n"/>
      <c r="I2278" s="15" t="n"/>
      <c r="J2278" s="19" t="n">
        <v>3</v>
      </c>
      <c r="K2278" s="2" t="inlineStr">
        <is>
          <t>marker_237_380847.png</t>
        </is>
      </c>
      <c r="L2278" s="11">
        <f>HYPERLINK("3\0\" &amp; K2278, "Ver Imagen")</f>
        <v/>
      </c>
      <c r="M2278" t="inlineStr">
        <is>
          <t>Moda</t>
        </is>
      </c>
    </row>
    <row r="2279">
      <c r="A2279" t="n">
        <v>2278</v>
      </c>
      <c r="B2279" t="inlineStr">
        <is>
          <t>A-497__98</t>
        </is>
      </c>
      <c r="C2279" s="1" t="n">
        <v>37.2701824321</v>
      </c>
      <c r="D2279" s="1" t="n">
        <v>-6.98010484653</v>
      </c>
      <c r="E2279" s="3" t="n">
        <v>3</v>
      </c>
      <c r="F2279" s="2" t="n">
        <v>3</v>
      </c>
      <c r="G2279" s="4" t="n">
        <v>3</v>
      </c>
      <c r="H2279" s="13" t="n"/>
      <c r="I2279" s="15" t="n"/>
      <c r="J2279" s="19" t="n">
        <v>3</v>
      </c>
      <c r="K2279" s="2" t="inlineStr">
        <is>
          <t>marker_800_380857.png</t>
        </is>
      </c>
      <c r="L2279" s="11">
        <f>HYPERLINK("3\0\" &amp; K2279, "Ver Imagen")</f>
        <v/>
      </c>
      <c r="M2279" t="inlineStr">
        <is>
          <t>Moda</t>
        </is>
      </c>
    </row>
    <row r="2280">
      <c r="A2280" t="n">
        <v>2279</v>
      </c>
      <c r="B2280" t="inlineStr">
        <is>
          <t>A-497__95</t>
        </is>
      </c>
      <c r="C2280" s="1" t="n">
        <v>37.2699788906</v>
      </c>
      <c r="D2280" s="1" t="n">
        <v>-6.97939018743</v>
      </c>
      <c r="E2280" s="3" t="n">
        <v>3</v>
      </c>
      <c r="F2280" s="2" t="n">
        <v>3</v>
      </c>
      <c r="G2280" s="4" t="n">
        <v>3</v>
      </c>
      <c r="H2280" s="13" t="n"/>
      <c r="I2280" s="15" t="n"/>
      <c r="J2280" s="19" t="n">
        <v>3</v>
      </c>
      <c r="K2280" s="2" t="inlineStr">
        <is>
          <t>marker_831_380887.png</t>
        </is>
      </c>
      <c r="L2280" s="11">
        <f>HYPERLINK("3\0\" &amp; K2280, "Ver Imagen")</f>
        <v/>
      </c>
      <c r="M2280" t="inlineStr">
        <is>
          <t>Moda</t>
        </is>
      </c>
    </row>
    <row r="2281">
      <c r="A2281" t="n">
        <v>2280</v>
      </c>
      <c r="B2281" t="inlineStr">
        <is>
          <t>A-490__49</t>
        </is>
      </c>
      <c r="C2281" s="1" t="n">
        <v>37.4467172004</v>
      </c>
      <c r="D2281" s="1" t="n">
        <v>-7.13836221893</v>
      </c>
      <c r="E2281" s="3" t="n">
        <v>2</v>
      </c>
      <c r="F2281" s="2" t="n">
        <v>3</v>
      </c>
      <c r="G2281" s="4" t="n">
        <v>3</v>
      </c>
      <c r="H2281" s="13" t="n"/>
      <c r="I2281" s="15" t="n"/>
      <c r="J2281" s="19" t="n">
        <v>3</v>
      </c>
      <c r="K2281" s="2" t="inlineStr">
        <is>
          <t>marker_100_732269.png</t>
        </is>
      </c>
      <c r="L2281" s="11">
        <f>HYPERLINK("3\1\" &amp; K2281, "Ver Imagen")</f>
        <v/>
      </c>
      <c r="M2281" t="inlineStr">
        <is>
          <t>Moda</t>
        </is>
      </c>
    </row>
    <row r="2282">
      <c r="A2282" t="n">
        <v>2281</v>
      </c>
      <c r="B2282" t="inlineStr">
        <is>
          <t>A-490__84</t>
        </is>
      </c>
      <c r="C2282" s="1" t="n">
        <v>37.4486622089</v>
      </c>
      <c r="D2282" s="1" t="n">
        <v>-7.14671197218</v>
      </c>
      <c r="E2282" s="3" t="n">
        <v>2</v>
      </c>
      <c r="F2282" s="2" t="n">
        <v>3</v>
      </c>
      <c r="G2282" s="4" t="n">
        <v>3</v>
      </c>
      <c r="H2282" s="13" t="n"/>
      <c r="I2282" s="15" t="n"/>
      <c r="J2282" s="19" t="n">
        <v>3</v>
      </c>
      <c r="K2282" s="2" t="inlineStr">
        <is>
          <t>marker_380_738767.png</t>
        </is>
      </c>
      <c r="L2282" s="11">
        <f>HYPERLINK("3\1\" &amp; K2282, "Ver Imagen")</f>
        <v/>
      </c>
      <c r="M2282" t="inlineStr">
        <is>
          <t>Moda</t>
        </is>
      </c>
    </row>
    <row r="2283">
      <c r="A2283" t="n">
        <v>2282</v>
      </c>
      <c r="B2283" t="inlineStr">
        <is>
          <t>A-490__70</t>
        </is>
      </c>
      <c r="C2283" s="1" t="n">
        <v>37.4484821529</v>
      </c>
      <c r="D2283" s="1" t="n">
        <v>-7.14316029588</v>
      </c>
      <c r="E2283" s="3" t="n">
        <v>2</v>
      </c>
      <c r="F2283" s="2" t="n">
        <v>3</v>
      </c>
      <c r="G2283" s="4" t="n">
        <v>3</v>
      </c>
      <c r="H2283" s="13" t="n"/>
      <c r="I2283" s="15" t="n"/>
      <c r="J2283" s="19" t="n">
        <v>3</v>
      </c>
      <c r="K2283" s="2" t="inlineStr">
        <is>
          <t>marker_536_738154.png</t>
        </is>
      </c>
      <c r="L2283" s="11">
        <f>HYPERLINK("3\1\" &amp; K2283, "Ver Imagen")</f>
        <v/>
      </c>
      <c r="M2283" t="inlineStr">
        <is>
          <t>Moda</t>
        </is>
      </c>
    </row>
    <row r="2284">
      <c r="A2284" t="n">
        <v>2283</v>
      </c>
      <c r="B2284" t="inlineStr">
        <is>
          <t>A-490__90</t>
        </is>
      </c>
      <c r="C2284" s="1" t="n">
        <v>37.4487368901</v>
      </c>
      <c r="D2284" s="1" t="n">
        <v>-7.14823640721</v>
      </c>
      <c r="E2284" s="3" t="n">
        <v>2</v>
      </c>
      <c r="F2284" s="2" t="n">
        <v>3</v>
      </c>
      <c r="G2284" s="4" t="n">
        <v>3</v>
      </c>
      <c r="H2284" s="13" t="n"/>
      <c r="I2284" s="15" t="n"/>
      <c r="J2284" s="19" t="n">
        <v>3</v>
      </c>
      <c r="K2284" s="2" t="inlineStr">
        <is>
          <t>marker_205_738971.png</t>
        </is>
      </c>
      <c r="L2284" s="11">
        <f>HYPERLINK("3\1\" &amp; K2284, "Ver Imagen")</f>
        <v/>
      </c>
      <c r="M2284" t="inlineStr">
        <is>
          <t>Moda</t>
        </is>
      </c>
    </row>
    <row r="2285">
      <c r="A2285" t="n">
        <v>2284</v>
      </c>
      <c r="B2285" t="inlineStr">
        <is>
          <t>A-490__142</t>
        </is>
      </c>
      <c r="C2285" s="1" t="n">
        <v>37.4524372751</v>
      </c>
      <c r="D2285" s="1" t="n">
        <v>-7.16034665848</v>
      </c>
      <c r="E2285" s="3" t="n">
        <v>2</v>
      </c>
      <c r="F2285" s="2" t="n">
        <v>3</v>
      </c>
      <c r="G2285" s="4" t="n">
        <v>3</v>
      </c>
      <c r="H2285" s="13" t="n"/>
      <c r="I2285" s="15" t="n"/>
      <c r="J2285" s="19" t="n">
        <v>3</v>
      </c>
      <c r="K2285" s="2" t="inlineStr">
        <is>
          <t>marker_692_740577.png</t>
        </is>
      </c>
      <c r="L2285" s="11">
        <f>HYPERLINK("3\1\" &amp; K2285, "Ver Imagen")</f>
        <v/>
      </c>
      <c r="M2285" t="inlineStr">
        <is>
          <t>Moda</t>
        </is>
      </c>
    </row>
    <row r="2286">
      <c r="A2286" t="n">
        <v>2285</v>
      </c>
      <c r="B2286" t="inlineStr">
        <is>
          <t>A-492__92</t>
        </is>
      </c>
      <c r="C2286" s="1" t="n">
        <v>37.2802295353</v>
      </c>
      <c r="D2286" s="1" t="n">
        <v>-7.00542197189</v>
      </c>
      <c r="E2286" s="3" t="n">
        <v>2</v>
      </c>
      <c r="F2286" s="2" t="n">
        <v>3</v>
      </c>
      <c r="G2286" s="4" t="n">
        <v>3</v>
      </c>
      <c r="H2286" s="13" t="n"/>
      <c r="I2286" s="15" t="n"/>
      <c r="J2286" s="19" t="n">
        <v>3</v>
      </c>
      <c r="K2286" s="2" t="inlineStr">
        <is>
          <t>marker_598_823673.png</t>
        </is>
      </c>
      <c r="L2286" s="11">
        <f>HYPERLINK("3\1\" &amp; K2286, "Ver Imagen")</f>
        <v/>
      </c>
      <c r="M2286" t="inlineStr">
        <is>
          <t>Moda</t>
        </is>
      </c>
    </row>
    <row r="2287">
      <c r="A2287" t="n">
        <v>2286</v>
      </c>
      <c r="B2287" t="inlineStr">
        <is>
          <t>A-492__94</t>
        </is>
      </c>
      <c r="C2287" s="1" t="n">
        <v>37.2800522461</v>
      </c>
      <c r="D2287" s="1" t="n">
        <v>-7.00587127345</v>
      </c>
      <c r="E2287" s="3" t="n">
        <v>2</v>
      </c>
      <c r="F2287" s="2" t="n">
        <v>3</v>
      </c>
      <c r="G2287" s="4" t="n">
        <v>3</v>
      </c>
      <c r="H2287" s="13" t="n"/>
      <c r="I2287" s="15" t="n"/>
      <c r="J2287" s="19" t="n">
        <v>3</v>
      </c>
      <c r="K2287" s="2" t="inlineStr">
        <is>
          <t>marker_373_823693.png</t>
        </is>
      </c>
      <c r="L2287" s="11">
        <f>HYPERLINK("3\1\" &amp; K2287, "Ver Imagen")</f>
        <v/>
      </c>
      <c r="M2287" t="inlineStr">
        <is>
          <t>Moda</t>
        </is>
      </c>
    </row>
    <row r="2288">
      <c r="A2288" t="n">
        <v>2287</v>
      </c>
      <c r="B2288" t="inlineStr">
        <is>
          <t>A-492__106</t>
        </is>
      </c>
      <c r="C2288" s="1" t="n">
        <v>37.2789763605</v>
      </c>
      <c r="D2288" s="1" t="n">
        <v>-7.00861939682</v>
      </c>
      <c r="E2288" s="3" t="n">
        <v>2</v>
      </c>
      <c r="F2288" s="2" t="n">
        <v>3</v>
      </c>
      <c r="G2288" s="4" t="n">
        <v>3</v>
      </c>
      <c r="H2288" s="13" t="n"/>
      <c r="I2288" s="15" t="n"/>
      <c r="J2288" s="19" t="n">
        <v>3</v>
      </c>
      <c r="K2288" s="2" t="inlineStr">
        <is>
          <t>marker_780_824225.png</t>
        </is>
      </c>
      <c r="L2288" s="11">
        <f>HYPERLINK("3\1\" &amp; K2288, "Ver Imagen")</f>
        <v/>
      </c>
      <c r="M2288" t="inlineStr">
        <is>
          <t>Moda</t>
        </is>
      </c>
    </row>
    <row r="2289">
      <c r="A2289" t="n">
        <v>2288</v>
      </c>
      <c r="B2289" t="inlineStr">
        <is>
          <t>A-492__134</t>
        </is>
      </c>
      <c r="C2289" s="1" t="n">
        <v>37.2760103529</v>
      </c>
      <c r="D2289" s="1" t="n">
        <v>-7.01461648129</v>
      </c>
      <c r="E2289" s="3" t="n">
        <v>3</v>
      </c>
      <c r="F2289" s="2" t="n">
        <v>3</v>
      </c>
      <c r="G2289" s="4" t="n">
        <v>2</v>
      </c>
      <c r="H2289" s="13" t="n"/>
      <c r="I2289" s="15" t="n"/>
      <c r="J2289" s="19" t="n">
        <v>3</v>
      </c>
      <c r="K2289" s="2" t="inlineStr">
        <is>
          <t>marker_482_824590.png</t>
        </is>
      </c>
      <c r="L2289" s="11">
        <f>HYPERLINK("3\1\" &amp; K2289, "Ver Imagen")</f>
        <v/>
      </c>
      <c r="M2289" t="inlineStr">
        <is>
          <t>Moda</t>
        </is>
      </c>
    </row>
    <row r="2290">
      <c r="A2290" t="n">
        <v>2289</v>
      </c>
      <c r="B2290" t="inlineStr">
        <is>
          <t>A-492__135</t>
        </is>
      </c>
      <c r="C2290" s="1" t="n">
        <v>37.2759366051</v>
      </c>
      <c r="D2290" s="1" t="n">
        <v>-7.01485054905</v>
      </c>
      <c r="E2290" s="3" t="n">
        <v>2</v>
      </c>
      <c r="F2290" s="2" t="n">
        <v>3</v>
      </c>
      <c r="G2290" s="4" t="n">
        <v>3</v>
      </c>
      <c r="H2290" s="13" t="n"/>
      <c r="I2290" s="15" t="n"/>
      <c r="J2290" s="19" t="n">
        <v>3</v>
      </c>
      <c r="K2290" s="2" t="inlineStr">
        <is>
          <t>marker_362_824601.png</t>
        </is>
      </c>
      <c r="L2290" s="11">
        <f>HYPERLINK("3\1\" &amp; K2290, "Ver Imagen")</f>
        <v/>
      </c>
      <c r="M2290" t="inlineStr">
        <is>
          <t>Moda</t>
        </is>
      </c>
    </row>
    <row r="2291">
      <c r="A2291" t="n">
        <v>2290</v>
      </c>
      <c r="B2291" t="inlineStr">
        <is>
          <t>A-492__163</t>
        </is>
      </c>
      <c r="C2291" s="1" t="n">
        <v>37.2759854997</v>
      </c>
      <c r="D2291" s="1" t="n">
        <v>-7.02152162162</v>
      </c>
      <c r="E2291" s="3" t="n">
        <v>2</v>
      </c>
      <c r="F2291" s="2" t="n">
        <v>3</v>
      </c>
      <c r="G2291" s="4" t="n">
        <v>3</v>
      </c>
      <c r="H2291" s="13" t="n"/>
      <c r="I2291" s="15" t="n"/>
      <c r="J2291" s="19" t="n">
        <v>3</v>
      </c>
      <c r="K2291" s="2" t="inlineStr">
        <is>
          <t>marker_610_831355.png</t>
        </is>
      </c>
      <c r="L2291" s="11">
        <f>HYPERLINK("3\1\" &amp; K2291, "Ver Imagen")</f>
        <v/>
      </c>
      <c r="M2291" t="inlineStr">
        <is>
          <t>Moda</t>
        </is>
      </c>
    </row>
    <row r="2292">
      <c r="A2292" t="n">
        <v>2291</v>
      </c>
      <c r="B2292" t="inlineStr">
        <is>
          <t>A-492__171</t>
        </is>
      </c>
      <c r="C2292" s="1" t="n">
        <v>37.2762624495</v>
      </c>
      <c r="D2292" s="1" t="n">
        <v>-7.02349354641</v>
      </c>
      <c r="E2292" s="3" t="n">
        <v>2</v>
      </c>
      <c r="F2292" s="2" t="n">
        <v>3</v>
      </c>
      <c r="G2292" s="4" t="n">
        <v>3</v>
      </c>
      <c r="H2292" s="13" t="n"/>
      <c r="I2292" s="15" t="n"/>
      <c r="J2292" s="19" t="n">
        <v>3</v>
      </c>
      <c r="K2292" s="2" t="inlineStr">
        <is>
          <t>marker_291_831471.png</t>
        </is>
      </c>
      <c r="L2292" s="11">
        <f>HYPERLINK("3\1\" &amp; K2292, "Ver Imagen")</f>
        <v/>
      </c>
      <c r="M2292" t="inlineStr">
        <is>
          <t>Moda</t>
        </is>
      </c>
    </row>
    <row r="2293">
      <c r="A2293" t="n">
        <v>2292</v>
      </c>
      <c r="B2293" t="inlineStr">
        <is>
          <t>A-492__308</t>
        </is>
      </c>
      <c r="C2293" s="1" t="n">
        <v>37.2936890052</v>
      </c>
      <c r="D2293" s="1" t="n">
        <v>-7.04685258913</v>
      </c>
      <c r="E2293" s="3" t="n">
        <v>2</v>
      </c>
      <c r="F2293" s="2" t="n">
        <v>3</v>
      </c>
      <c r="G2293" s="4" t="n">
        <v>3</v>
      </c>
      <c r="H2293" s="13" t="n"/>
      <c r="I2293" s="15" t="n"/>
      <c r="J2293" s="19" t="n">
        <v>3</v>
      </c>
      <c r="K2293" s="2" t="inlineStr">
        <is>
          <t>marker_216_837646.png</t>
        </is>
      </c>
      <c r="L2293" s="11">
        <f>HYPERLINK("3\1\" &amp; K2293, "Ver Imagen")</f>
        <v/>
      </c>
      <c r="M2293" t="inlineStr">
        <is>
          <t>Moda</t>
        </is>
      </c>
    </row>
    <row r="2294">
      <c r="A2294" t="n">
        <v>2293</v>
      </c>
      <c r="B2294" t="inlineStr">
        <is>
          <t>A-492__310</t>
        </is>
      </c>
      <c r="C2294" s="1" t="n">
        <v>37.2939692693</v>
      </c>
      <c r="D2294" s="1" t="n">
        <v>-7.0472386257</v>
      </c>
      <c r="E2294" s="3" t="n">
        <v>2</v>
      </c>
      <c r="F2294" s="2" t="n">
        <v>3</v>
      </c>
      <c r="G2294" s="4" t="n">
        <v>3</v>
      </c>
      <c r="H2294" s="13" t="n"/>
      <c r="I2294" s="15" t="n"/>
      <c r="J2294" s="19" t="n">
        <v>3</v>
      </c>
      <c r="K2294" s="2" t="inlineStr">
        <is>
          <t>marker_791_837670.png</t>
        </is>
      </c>
      <c r="L2294" s="11">
        <f>HYPERLINK("3\1\" &amp; K2294, "Ver Imagen")</f>
        <v/>
      </c>
      <c r="M2294" t="inlineStr">
        <is>
          <t>Moda</t>
        </is>
      </c>
    </row>
    <row r="2295">
      <c r="A2295" t="n">
        <v>2294</v>
      </c>
      <c r="B2295" t="inlineStr">
        <is>
          <t>A-492__351</t>
        </is>
      </c>
      <c r="C2295" s="1" t="n">
        <v>37.2994965168</v>
      </c>
      <c r="D2295" s="1" t="n">
        <v>-7.05466300126</v>
      </c>
      <c r="E2295" s="3" t="n">
        <v>2</v>
      </c>
      <c r="F2295" s="2" t="n">
        <v>3</v>
      </c>
      <c r="G2295" s="4" t="n">
        <v>3</v>
      </c>
      <c r="H2295" s="13" t="n"/>
      <c r="I2295" s="15" t="n"/>
      <c r="J2295" s="19" t="n">
        <v>3</v>
      </c>
      <c r="K2295" s="2" t="inlineStr">
        <is>
          <t>marker_113_838376.png</t>
        </is>
      </c>
      <c r="L2295" s="11">
        <f>HYPERLINK("3\1\" &amp; K2295, "Ver Imagen")</f>
        <v/>
      </c>
      <c r="M2295" t="inlineStr">
        <is>
          <t>Moda</t>
        </is>
      </c>
    </row>
    <row r="2296">
      <c r="A2296" t="n">
        <v>2295</v>
      </c>
      <c r="B2296" t="inlineStr">
        <is>
          <t>A-492__400</t>
        </is>
      </c>
      <c r="C2296" s="1" t="n">
        <v>37.308884899</v>
      </c>
      <c r="D2296" s="1" t="n">
        <v>-7.05745627429</v>
      </c>
      <c r="E2296" s="3" t="n">
        <v>2</v>
      </c>
      <c r="F2296" s="2" t="n">
        <v>3</v>
      </c>
      <c r="G2296" s="4" t="n">
        <v>3</v>
      </c>
      <c r="H2296" s="13" t="n"/>
      <c r="I2296" s="15" t="n"/>
      <c r="J2296" s="19" t="n">
        <v>3</v>
      </c>
      <c r="K2296" s="2" t="inlineStr">
        <is>
          <t>marker_317_839162.png</t>
        </is>
      </c>
      <c r="L2296" s="11">
        <f>HYPERLINK("3\1\" &amp; K2296, "Ver Imagen")</f>
        <v/>
      </c>
      <c r="M2296" t="inlineStr">
        <is>
          <t>Moda</t>
        </is>
      </c>
    </row>
    <row r="2297">
      <c r="A2297" t="n">
        <v>2296</v>
      </c>
      <c r="B2297" t="inlineStr">
        <is>
          <t>A-495R__20</t>
        </is>
      </c>
      <c r="C2297" s="1" t="n">
        <v>37.4487309185</v>
      </c>
      <c r="D2297" s="1" t="n">
        <v>-7.10972771567</v>
      </c>
      <c r="E2297" s="3" t="n">
        <v>2</v>
      </c>
      <c r="F2297" s="2" t="n">
        <v>3</v>
      </c>
      <c r="G2297" s="4" t="n">
        <v>3</v>
      </c>
      <c r="H2297" s="13" t="n"/>
      <c r="I2297" s="15" t="n"/>
      <c r="J2297" s="19" t="n">
        <v>3</v>
      </c>
      <c r="K2297" s="2" t="inlineStr">
        <is>
          <t>marker_801_936731.png</t>
        </is>
      </c>
      <c r="L2297" s="11">
        <f>HYPERLINK("3\1\" &amp; K2297, "Ver Imagen")</f>
        <v/>
      </c>
      <c r="M2297" t="inlineStr">
        <is>
          <t>Moda</t>
        </is>
      </c>
    </row>
    <row r="2298">
      <c r="A2298" t="n">
        <v>2297</v>
      </c>
      <c r="B2298" t="inlineStr">
        <is>
          <t>A-5050__181</t>
        </is>
      </c>
      <c r="C2298" s="1" t="n">
        <v>37.1899710495</v>
      </c>
      <c r="D2298" s="1" t="n">
        <v>-6.988768794</v>
      </c>
      <c r="E2298" s="3" t="n">
        <v>2</v>
      </c>
      <c r="F2298" s="2" t="n">
        <v>3</v>
      </c>
      <c r="G2298" s="4" t="n">
        <v>3</v>
      </c>
      <c r="H2298" s="13" t="n"/>
      <c r="I2298" s="15" t="n"/>
      <c r="J2298" s="19" t="n">
        <v>3</v>
      </c>
      <c r="K2298" s="2" t="inlineStr">
        <is>
          <t>marker_442_944163.png</t>
        </is>
      </c>
      <c r="L2298" s="11">
        <f>HYPERLINK("3\1\" &amp; K2298, "Ver Imagen")</f>
        <v/>
      </c>
      <c r="M2298" t="inlineStr">
        <is>
          <t>Moda</t>
        </is>
      </c>
    </row>
    <row r="2299">
      <c r="A2299" t="n">
        <v>2298</v>
      </c>
      <c r="B2299" t="inlineStr">
        <is>
          <t>A-5050__150</t>
        </is>
      </c>
      <c r="C2299" s="1" t="n">
        <v>37.1931153875</v>
      </c>
      <c r="D2299" s="1" t="n">
        <v>-6.99559868534</v>
      </c>
      <c r="E2299" s="3" t="n">
        <v>2</v>
      </c>
      <c r="F2299" s="2" t="n">
        <v>3</v>
      </c>
      <c r="G2299" s="4" t="n">
        <v>3</v>
      </c>
      <c r="H2299" s="13" t="n"/>
      <c r="I2299" s="15" t="n"/>
      <c r="J2299" s="19" t="n">
        <v>3</v>
      </c>
      <c r="K2299" s="2" t="inlineStr">
        <is>
          <t>marker_671_945387.png</t>
        </is>
      </c>
      <c r="L2299" s="11">
        <f>HYPERLINK("3\1\" &amp; K2299, "Ver Imagen")</f>
        <v/>
      </c>
      <c r="M2299" t="inlineStr">
        <is>
          <t>Moda</t>
        </is>
      </c>
    </row>
    <row r="2300">
      <c r="A2300" t="n">
        <v>2299</v>
      </c>
      <c r="B2300" t="inlineStr">
        <is>
          <t>A-5050__146</t>
        </is>
      </c>
      <c r="C2300" s="1" t="n">
        <v>37.1934855682</v>
      </c>
      <c r="D2300" s="1" t="n">
        <v>-6.99647459489</v>
      </c>
      <c r="E2300" s="3" t="n">
        <v>2</v>
      </c>
      <c r="F2300" s="2" t="n">
        <v>3</v>
      </c>
      <c r="G2300" s="4" t="n">
        <v>3</v>
      </c>
      <c r="H2300" s="13" t="n"/>
      <c r="I2300" s="15" t="n"/>
      <c r="J2300" s="19" t="n">
        <v>3</v>
      </c>
      <c r="K2300" s="2" t="inlineStr">
        <is>
          <t>marker_432_945443.png</t>
        </is>
      </c>
      <c r="L2300" s="11">
        <f>HYPERLINK("3\1\" &amp; K2300, "Ver Imagen")</f>
        <v/>
      </c>
      <c r="M2300" t="inlineStr">
        <is>
          <t>Moda</t>
        </is>
      </c>
    </row>
    <row r="2301">
      <c r="A2301" t="n">
        <v>2300</v>
      </c>
      <c r="B2301" t="inlineStr">
        <is>
          <t>A-5050__143</t>
        </is>
      </c>
      <c r="C2301" s="1" t="n">
        <v>37.1937711857</v>
      </c>
      <c r="D2301" s="1" t="n">
        <v>-6.99715671953</v>
      </c>
      <c r="E2301" s="3" t="n">
        <v>2</v>
      </c>
      <c r="F2301" s="2" t="n">
        <v>3</v>
      </c>
      <c r="G2301" s="4" t="n">
        <v>3</v>
      </c>
      <c r="H2301" s="13" t="n"/>
      <c r="I2301" s="15" t="n"/>
      <c r="J2301" s="19" t="n">
        <v>3</v>
      </c>
      <c r="K2301" s="2" t="inlineStr">
        <is>
          <t>marker_874_945809.png</t>
        </is>
      </c>
      <c r="L2301" s="11">
        <f>HYPERLINK("3\1\" &amp; K2301, "Ver Imagen")</f>
        <v/>
      </c>
      <c r="M2301" t="inlineStr">
        <is>
          <t>Moda</t>
        </is>
      </c>
    </row>
    <row r="2302">
      <c r="A2302" t="n">
        <v>2301</v>
      </c>
      <c r="B2302" t="inlineStr">
        <is>
          <t>A-5050__127</t>
        </is>
      </c>
      <c r="C2302" s="1" t="n">
        <v>37.1952416517</v>
      </c>
      <c r="D2302" s="1" t="n">
        <v>-7.00073364896</v>
      </c>
      <c r="E2302" s="3" t="n">
        <v>2</v>
      </c>
      <c r="F2302" s="2" t="n">
        <v>3</v>
      </c>
      <c r="G2302" s="4" t="n">
        <v>3</v>
      </c>
      <c r="H2302" s="13" t="n"/>
      <c r="I2302" s="15" t="n"/>
      <c r="J2302" s="19" t="n">
        <v>3</v>
      </c>
      <c r="K2302" s="2" t="inlineStr">
        <is>
          <t>marker_931_946343.png</t>
        </is>
      </c>
      <c r="L2302" s="11">
        <f>HYPERLINK("3\1\" &amp; K2302, "Ver Imagen")</f>
        <v/>
      </c>
      <c r="M2302" t="inlineStr">
        <is>
          <t>Moda</t>
        </is>
      </c>
    </row>
    <row r="2303">
      <c r="A2303" t="n">
        <v>2302</v>
      </c>
      <c r="B2303" t="inlineStr">
        <is>
          <t>A-5050__124</t>
        </is>
      </c>
      <c r="C2303" s="1" t="n">
        <v>37.195527312</v>
      </c>
      <c r="D2303" s="1" t="n">
        <v>-7.00142841513</v>
      </c>
      <c r="E2303" s="3" t="n">
        <v>2</v>
      </c>
      <c r="F2303" s="2" t="n">
        <v>3</v>
      </c>
      <c r="G2303" s="4" t="n">
        <v>3</v>
      </c>
      <c r="H2303" s="13" t="n"/>
      <c r="I2303" s="15" t="n"/>
      <c r="J2303" s="19" t="n">
        <v>3</v>
      </c>
      <c r="K2303" s="2" t="inlineStr">
        <is>
          <t>marker_726_946375.png</t>
        </is>
      </c>
      <c r="L2303" s="11">
        <f>HYPERLINK("3\1\" &amp; K2303, "Ver Imagen")</f>
        <v/>
      </c>
      <c r="M2303" t="inlineStr">
        <is>
          <t>Moda</t>
        </is>
      </c>
    </row>
    <row r="2304">
      <c r="A2304" t="n">
        <v>2303</v>
      </c>
      <c r="B2304" t="inlineStr">
        <is>
          <t>A-5050__123</t>
        </is>
      </c>
      <c r="C2304" s="1" t="n">
        <v>37.195626871</v>
      </c>
      <c r="D2304" s="1" t="n">
        <v>-7.00166955124</v>
      </c>
      <c r="E2304" s="3" t="n">
        <v>2</v>
      </c>
      <c r="F2304" s="2" t="n">
        <v>3</v>
      </c>
      <c r="G2304" s="4" t="n">
        <v>3</v>
      </c>
      <c r="H2304" s="13" t="n"/>
      <c r="I2304" s="15" t="n"/>
      <c r="J2304" s="19" t="n">
        <v>3</v>
      </c>
      <c r="K2304" s="2" t="inlineStr">
        <is>
          <t>marker_284_946471.png</t>
        </is>
      </c>
      <c r="L2304" s="11">
        <f>HYPERLINK("3\1\" &amp; K2304, "Ver Imagen")</f>
        <v/>
      </c>
      <c r="M2304" t="inlineStr">
        <is>
          <t>Moda</t>
        </is>
      </c>
    </row>
    <row r="2305">
      <c r="A2305" t="n">
        <v>2304</v>
      </c>
      <c r="B2305" t="inlineStr">
        <is>
          <t>A-5050__122</t>
        </is>
      </c>
      <c r="C2305" s="1" t="n">
        <v>37.1957044858</v>
      </c>
      <c r="D2305" s="1" t="n">
        <v>-7.0018564437</v>
      </c>
      <c r="E2305" s="3" t="n">
        <v>2</v>
      </c>
      <c r="F2305" s="2" t="n">
        <v>3</v>
      </c>
      <c r="G2305" s="4" t="n">
        <v>3</v>
      </c>
      <c r="H2305" s="13" t="n"/>
      <c r="I2305" s="15" t="n"/>
      <c r="J2305" s="19" t="n">
        <v>3</v>
      </c>
      <c r="K2305" s="2" t="inlineStr">
        <is>
          <t>marker_158_946481.png</t>
        </is>
      </c>
      <c r="L2305" s="11">
        <f>HYPERLINK("3\1\" &amp; K2305, "Ver Imagen")</f>
        <v/>
      </c>
      <c r="M2305" t="inlineStr">
        <is>
          <t>Moda</t>
        </is>
      </c>
    </row>
    <row r="2306">
      <c r="A2306" t="n">
        <v>2305</v>
      </c>
      <c r="B2306" t="inlineStr">
        <is>
          <t>A-5050__121</t>
        </is>
      </c>
      <c r="C2306" s="1" t="n">
        <v>37.1957960224</v>
      </c>
      <c r="D2306" s="1" t="n">
        <v>-7.00207591417</v>
      </c>
      <c r="E2306" s="3" t="n">
        <v>2</v>
      </c>
      <c r="F2306" s="2" t="n">
        <v>3</v>
      </c>
      <c r="G2306" s="4" t="n">
        <v>3</v>
      </c>
      <c r="H2306" s="13" t="n"/>
      <c r="I2306" s="15" t="n"/>
      <c r="J2306" s="19" t="n">
        <v>3</v>
      </c>
      <c r="K2306" s="2" t="inlineStr">
        <is>
          <t>marker_390_946495.png</t>
        </is>
      </c>
      <c r="L2306" s="11">
        <f>HYPERLINK("3\1\" &amp; K2306, "Ver Imagen")</f>
        <v/>
      </c>
      <c r="M2306" t="inlineStr">
        <is>
          <t>Moda</t>
        </is>
      </c>
    </row>
    <row r="2307">
      <c r="A2307" t="n">
        <v>2306</v>
      </c>
      <c r="B2307" t="inlineStr">
        <is>
          <t>A-5050__119</t>
        </is>
      </c>
      <c r="C2307" s="1" t="n">
        <v>37.1960129267</v>
      </c>
      <c r="D2307" s="1" t="n">
        <v>-7.00257752242</v>
      </c>
      <c r="E2307" s="3" t="n">
        <v>2</v>
      </c>
      <c r="F2307" s="2" t="n">
        <v>3</v>
      </c>
      <c r="G2307" s="4" t="n">
        <v>3</v>
      </c>
      <c r="H2307" s="13" t="n"/>
      <c r="I2307" s="15" t="n"/>
      <c r="J2307" s="19" t="n">
        <v>3</v>
      </c>
      <c r="K2307" s="2" t="inlineStr">
        <is>
          <t>marker_414_946518.png</t>
        </is>
      </c>
      <c r="L2307" s="11">
        <f>HYPERLINK("3\1\" &amp; K2307, "Ver Imagen")</f>
        <v/>
      </c>
      <c r="M2307" t="inlineStr">
        <is>
          <t>Moda</t>
        </is>
      </c>
    </row>
    <row r="2308">
      <c r="A2308" t="n">
        <v>2307</v>
      </c>
      <c r="B2308" t="inlineStr">
        <is>
          <t>A-5050__118</t>
        </is>
      </c>
      <c r="C2308" s="1" t="n">
        <v>37.196104335</v>
      </c>
      <c r="D2308" s="1" t="n">
        <v>-7.00277897396</v>
      </c>
      <c r="E2308" s="3" t="n">
        <v>2</v>
      </c>
      <c r="F2308" s="2" t="n">
        <v>3</v>
      </c>
      <c r="G2308" s="4" t="n">
        <v>3</v>
      </c>
      <c r="H2308" s="13" t="n"/>
      <c r="I2308" s="15" t="n"/>
      <c r="J2308" s="19" t="n">
        <v>3</v>
      </c>
      <c r="K2308" s="2" t="inlineStr">
        <is>
          <t>marker_968_946529.png</t>
        </is>
      </c>
      <c r="L2308" s="11">
        <f>HYPERLINK("3\1\" &amp; K2308, "Ver Imagen")</f>
        <v/>
      </c>
      <c r="M2308" t="inlineStr">
        <is>
          <t>Moda</t>
        </is>
      </c>
    </row>
    <row r="2309">
      <c r="A2309" t="n">
        <v>2308</v>
      </c>
      <c r="B2309" t="inlineStr">
        <is>
          <t>A-5050__115</t>
        </is>
      </c>
      <c r="C2309" s="1" t="n">
        <v>37.1964032127</v>
      </c>
      <c r="D2309" s="1" t="n">
        <v>-7.0034521995</v>
      </c>
      <c r="E2309" s="3" t="n">
        <v>2</v>
      </c>
      <c r="F2309" s="2" t="n">
        <v>3</v>
      </c>
      <c r="G2309" s="4" t="n">
        <v>3</v>
      </c>
      <c r="H2309" s="13" t="n"/>
      <c r="I2309" s="15" t="n"/>
      <c r="J2309" s="19" t="n">
        <v>3</v>
      </c>
      <c r="K2309" s="2" t="inlineStr">
        <is>
          <t>marker_723_946566.png</t>
        </is>
      </c>
      <c r="L2309" s="11">
        <f>HYPERLINK("3\1\" &amp; K2309, "Ver Imagen")</f>
        <v/>
      </c>
      <c r="M2309" t="inlineStr">
        <is>
          <t>Moda</t>
        </is>
      </c>
    </row>
    <row r="2310">
      <c r="A2310" t="n">
        <v>2309</v>
      </c>
      <c r="B2310" t="inlineStr">
        <is>
          <t>A-5050__114</t>
        </is>
      </c>
      <c r="C2310" s="1" t="n">
        <v>37.1964859805</v>
      </c>
      <c r="D2310" s="1" t="n">
        <v>-7.00365134824</v>
      </c>
      <c r="E2310" s="3" t="n">
        <v>2</v>
      </c>
      <c r="F2310" s="2" t="n">
        <v>3</v>
      </c>
      <c r="G2310" s="4" t="n">
        <v>3</v>
      </c>
      <c r="H2310" s="13" t="n"/>
      <c r="I2310" s="15" t="n"/>
      <c r="J2310" s="19" t="n">
        <v>3</v>
      </c>
      <c r="K2310" s="2" t="inlineStr">
        <is>
          <t>marker_176_946582.png</t>
        </is>
      </c>
      <c r="L2310" s="11">
        <f>HYPERLINK("3\1\" &amp; K2310, "Ver Imagen")</f>
        <v/>
      </c>
      <c r="M2310" t="inlineStr">
        <is>
          <t>Moda</t>
        </is>
      </c>
    </row>
    <row r="2311">
      <c r="A2311" t="n">
        <v>2310</v>
      </c>
      <c r="B2311" t="inlineStr">
        <is>
          <t>A-5050__113</t>
        </is>
      </c>
      <c r="C2311" s="1" t="n">
        <v>37.1965832699</v>
      </c>
      <c r="D2311" s="1" t="n">
        <v>-7.00389026927</v>
      </c>
      <c r="E2311" s="3" t="n">
        <v>2</v>
      </c>
      <c r="F2311" s="2" t="n">
        <v>3</v>
      </c>
      <c r="G2311" s="4" t="n">
        <v>3</v>
      </c>
      <c r="H2311" s="13" t="n"/>
      <c r="I2311" s="15" t="n"/>
      <c r="J2311" s="19" t="n">
        <v>3</v>
      </c>
      <c r="K2311" s="2" t="inlineStr">
        <is>
          <t>marker_717_946611.png</t>
        </is>
      </c>
      <c r="L2311" s="11">
        <f>HYPERLINK("3\1\" &amp; K2311, "Ver Imagen")</f>
        <v/>
      </c>
      <c r="M2311" t="inlineStr">
        <is>
          <t>Moda</t>
        </is>
      </c>
    </row>
    <row r="2312">
      <c r="A2312" t="n">
        <v>2311</v>
      </c>
      <c r="B2312" t="inlineStr">
        <is>
          <t>A-5050__112</t>
        </is>
      </c>
      <c r="C2312" s="1" t="n">
        <v>37.1966722549</v>
      </c>
      <c r="D2312" s="1" t="n">
        <v>-7.00411501787</v>
      </c>
      <c r="E2312" s="3" t="n">
        <v>2</v>
      </c>
      <c r="F2312" s="2" t="n">
        <v>3</v>
      </c>
      <c r="G2312" s="4" t="n">
        <v>3</v>
      </c>
      <c r="H2312" s="13" t="n"/>
      <c r="I2312" s="15" t="n"/>
      <c r="J2312" s="19" t="n">
        <v>3</v>
      </c>
      <c r="K2312" s="2" t="inlineStr">
        <is>
          <t>marker_992_946639.png</t>
        </is>
      </c>
      <c r="L2312" s="11">
        <f>HYPERLINK("3\1\" &amp; K2312, "Ver Imagen")</f>
        <v/>
      </c>
      <c r="M2312" t="inlineStr">
        <is>
          <t>Moda</t>
        </is>
      </c>
    </row>
    <row r="2313">
      <c r="A2313" t="n">
        <v>2312</v>
      </c>
      <c r="B2313" t="inlineStr">
        <is>
          <t>A-5050__110</t>
        </is>
      </c>
      <c r="C2313" s="1" t="n">
        <v>37.1968418985</v>
      </c>
      <c r="D2313" s="1" t="n">
        <v>-7.00454869101</v>
      </c>
      <c r="E2313" s="3" t="n">
        <v>2</v>
      </c>
      <c r="F2313" s="2" t="n">
        <v>3</v>
      </c>
      <c r="G2313" s="4" t="n">
        <v>3</v>
      </c>
      <c r="H2313" s="13" t="n"/>
      <c r="I2313" s="15" t="n"/>
      <c r="J2313" s="19" t="n">
        <v>3</v>
      </c>
      <c r="K2313" s="2" t="inlineStr">
        <is>
          <t>marker_256_946664.png</t>
        </is>
      </c>
      <c r="L2313" s="11">
        <f>HYPERLINK("3\1\" &amp; K2313, "Ver Imagen")</f>
        <v/>
      </c>
      <c r="M2313" t="inlineStr">
        <is>
          <t>Moda</t>
        </is>
      </c>
    </row>
    <row r="2314">
      <c r="A2314" t="n">
        <v>2313</v>
      </c>
      <c r="B2314" t="inlineStr">
        <is>
          <t>A-5050__109</t>
        </is>
      </c>
      <c r="C2314" s="1" t="n">
        <v>37.1969477175</v>
      </c>
      <c r="D2314" s="1" t="n">
        <v>-7.00481426199</v>
      </c>
      <c r="E2314" s="3" t="n">
        <v>2</v>
      </c>
      <c r="F2314" s="2" t="n">
        <v>3</v>
      </c>
      <c r="G2314" s="4" t="n">
        <v>3</v>
      </c>
      <c r="H2314" s="13" t="n"/>
      <c r="I2314" s="15" t="n"/>
      <c r="J2314" s="19" t="n">
        <v>3</v>
      </c>
      <c r="K2314" s="2" t="inlineStr">
        <is>
          <t>marker_586_946674.png</t>
        </is>
      </c>
      <c r="L2314" s="11">
        <f>HYPERLINK("3\1\" &amp; K2314, "Ver Imagen")</f>
        <v/>
      </c>
      <c r="M2314" t="inlineStr">
        <is>
          <t>Moda</t>
        </is>
      </c>
    </row>
    <row r="2315">
      <c r="A2315" t="n">
        <v>2314</v>
      </c>
      <c r="B2315" t="inlineStr">
        <is>
          <t>A-5050__108</t>
        </is>
      </c>
      <c r="C2315" s="1" t="n">
        <v>37.1970136683</v>
      </c>
      <c r="D2315" s="1" t="n">
        <v>-7.00497789219</v>
      </c>
      <c r="E2315" s="3" t="n">
        <v>2</v>
      </c>
      <c r="F2315" s="2" t="n">
        <v>3</v>
      </c>
      <c r="G2315" s="4" t="n">
        <v>3</v>
      </c>
      <c r="H2315" s="13" t="n"/>
      <c r="I2315" s="15" t="n"/>
      <c r="J2315" s="19" t="n">
        <v>3</v>
      </c>
      <c r="K2315" s="2" t="inlineStr">
        <is>
          <t>marker_869_946686.png</t>
        </is>
      </c>
      <c r="L2315" s="11">
        <f>HYPERLINK("3\1\" &amp; K2315, "Ver Imagen")</f>
        <v/>
      </c>
      <c r="M2315" t="inlineStr">
        <is>
          <t>Moda</t>
        </is>
      </c>
    </row>
    <row r="2316">
      <c r="A2316" t="n">
        <v>2315</v>
      </c>
      <c r="B2316" t="inlineStr">
        <is>
          <t>A-5050__103</t>
        </is>
      </c>
      <c r="C2316" s="1" t="n">
        <v>37.1975099884</v>
      </c>
      <c r="D2316" s="1" t="n">
        <v>-7.00614001309</v>
      </c>
      <c r="E2316" s="3" t="n">
        <v>2</v>
      </c>
      <c r="F2316" s="2" t="n">
        <v>3</v>
      </c>
      <c r="G2316" s="4" t="n">
        <v>3</v>
      </c>
      <c r="H2316" s="13" t="n"/>
      <c r="I2316" s="15" t="n"/>
      <c r="J2316" s="19" t="n">
        <v>3</v>
      </c>
      <c r="K2316" s="2" t="inlineStr">
        <is>
          <t>marker_643_946755.png</t>
        </is>
      </c>
      <c r="L2316" s="11">
        <f>HYPERLINK("3\1\" &amp; K2316, "Ver Imagen")</f>
        <v/>
      </c>
      <c r="M2316" t="inlineStr">
        <is>
          <t>Moda</t>
        </is>
      </c>
    </row>
    <row r="2317">
      <c r="A2317" t="n">
        <v>2316</v>
      </c>
      <c r="B2317" t="inlineStr">
        <is>
          <t>A-5050__100</t>
        </is>
      </c>
      <c r="C2317" s="1" t="n">
        <v>37.1978038922</v>
      </c>
      <c r="D2317" s="1" t="n">
        <v>-7.0067726129</v>
      </c>
      <c r="E2317" s="3" t="n">
        <v>2</v>
      </c>
      <c r="F2317" s="2" t="n">
        <v>3</v>
      </c>
      <c r="G2317" s="4" t="n">
        <v>3</v>
      </c>
      <c r="H2317" s="13" t="n"/>
      <c r="I2317" s="15" t="n"/>
      <c r="J2317" s="19" t="n">
        <v>3</v>
      </c>
      <c r="K2317" s="2" t="inlineStr">
        <is>
          <t>marker_596_946804.png</t>
        </is>
      </c>
      <c r="L2317" s="11">
        <f>HYPERLINK("3\1\" &amp; K2317, "Ver Imagen")</f>
        <v/>
      </c>
      <c r="M2317" t="inlineStr">
        <is>
          <t>Moda</t>
        </is>
      </c>
    </row>
    <row r="2318">
      <c r="A2318" t="n">
        <v>2317</v>
      </c>
      <c r="B2318" t="inlineStr">
        <is>
          <t>A-5050__99</t>
        </is>
      </c>
      <c r="C2318" s="1" t="n">
        <v>37.1979094064</v>
      </c>
      <c r="D2318" s="1" t="n">
        <v>-7.0069904976</v>
      </c>
      <c r="E2318" s="3" t="n">
        <v>2</v>
      </c>
      <c r="F2318" s="2" t="n">
        <v>3</v>
      </c>
      <c r="G2318" s="4" t="n">
        <v>3</v>
      </c>
      <c r="H2318" s="13" t="n"/>
      <c r="I2318" s="15" t="n"/>
      <c r="J2318" s="19" t="n">
        <v>3</v>
      </c>
      <c r="K2318" s="2" t="inlineStr">
        <is>
          <t>marker_945_946813.png</t>
        </is>
      </c>
      <c r="L2318" s="11">
        <f>HYPERLINK("3\1\" &amp; K2318, "Ver Imagen")</f>
        <v/>
      </c>
      <c r="M2318" t="inlineStr">
        <is>
          <t>Moda</t>
        </is>
      </c>
    </row>
    <row r="2319">
      <c r="A2319" t="n">
        <v>2318</v>
      </c>
      <c r="B2319" t="inlineStr">
        <is>
          <t>A-5050__98</t>
        </is>
      </c>
      <c r="C2319" s="1" t="n">
        <v>37.1980110497</v>
      </c>
      <c r="D2319" s="1" t="n">
        <v>-7.00719728324</v>
      </c>
      <c r="E2319" s="3" t="n">
        <v>2</v>
      </c>
      <c r="F2319" s="2" t="n">
        <v>3</v>
      </c>
      <c r="G2319" s="4" t="n">
        <v>3</v>
      </c>
      <c r="H2319" s="13" t="n"/>
      <c r="I2319" s="15" t="n"/>
      <c r="J2319" s="19" t="n">
        <v>3</v>
      </c>
      <c r="K2319" s="2" t="inlineStr">
        <is>
          <t>marker_379_946827.png</t>
        </is>
      </c>
      <c r="L2319" s="11">
        <f>HYPERLINK("3\1\" &amp; K2319, "Ver Imagen")</f>
        <v/>
      </c>
      <c r="M2319" t="inlineStr">
        <is>
          <t>Moda</t>
        </is>
      </c>
    </row>
    <row r="2320">
      <c r="A2320" t="n">
        <v>2319</v>
      </c>
      <c r="B2320" t="inlineStr">
        <is>
          <t>A-5050__97</t>
        </is>
      </c>
      <c r="C2320" s="1" t="n">
        <v>37.1981345243</v>
      </c>
      <c r="D2320" s="1" t="n">
        <v>-7.00744562056</v>
      </c>
      <c r="E2320" s="3" t="n">
        <v>2</v>
      </c>
      <c r="F2320" s="2" t="n">
        <v>3</v>
      </c>
      <c r="G2320" s="4" t="n">
        <v>3</v>
      </c>
      <c r="H2320" s="13" t="n"/>
      <c r="I2320" s="15" t="n"/>
      <c r="J2320" s="19" t="n">
        <v>3</v>
      </c>
      <c r="K2320" s="2" t="inlineStr">
        <is>
          <t>marker_356_946843.png</t>
        </is>
      </c>
      <c r="L2320" s="11">
        <f>HYPERLINK("3\1\" &amp; K2320, "Ver Imagen")</f>
        <v/>
      </c>
      <c r="M2320" t="inlineStr">
        <is>
          <t>Moda</t>
        </is>
      </c>
    </row>
    <row r="2321">
      <c r="A2321" t="n">
        <v>2320</v>
      </c>
      <c r="B2321" t="inlineStr">
        <is>
          <t>A-5050__96</t>
        </is>
      </c>
      <c r="C2321" s="1" t="n">
        <v>37.1982260444</v>
      </c>
      <c r="D2321" s="1" t="n">
        <v>-7.00762892903</v>
      </c>
      <c r="E2321" s="3" t="n">
        <v>2</v>
      </c>
      <c r="F2321" s="2" t="n">
        <v>3</v>
      </c>
      <c r="G2321" s="4" t="n">
        <v>3</v>
      </c>
      <c r="H2321" s="13" t="n"/>
      <c r="I2321" s="15" t="n"/>
      <c r="J2321" s="19" t="n">
        <v>3</v>
      </c>
      <c r="K2321" s="2" t="inlineStr">
        <is>
          <t>marker_655_946870.png</t>
        </is>
      </c>
      <c r="L2321" s="11">
        <f>HYPERLINK("3\1\" &amp; K2321, "Ver Imagen")</f>
        <v/>
      </c>
      <c r="M2321" t="inlineStr">
        <is>
          <t>Moda</t>
        </is>
      </c>
    </row>
    <row r="2322">
      <c r="A2322" t="n">
        <v>2321</v>
      </c>
      <c r="B2322" t="inlineStr">
        <is>
          <t>A-5050__94</t>
        </is>
      </c>
      <c r="C2322" s="1" t="n">
        <v>37.1984328079</v>
      </c>
      <c r="D2322" s="1" t="n">
        <v>-7.00803650922</v>
      </c>
      <c r="E2322" s="3" t="n">
        <v>2</v>
      </c>
      <c r="F2322" s="2" t="n">
        <v>3</v>
      </c>
      <c r="G2322" s="4" t="n">
        <v>3</v>
      </c>
      <c r="H2322" s="13" t="n"/>
      <c r="I2322" s="15" t="n"/>
      <c r="J2322" s="19" t="n">
        <v>3</v>
      </c>
      <c r="K2322" s="2" t="inlineStr">
        <is>
          <t>marker_686_947013.png</t>
        </is>
      </c>
      <c r="L2322" s="11">
        <f>HYPERLINK("3\1\" &amp; K2322, "Ver Imagen")</f>
        <v/>
      </c>
      <c r="M2322" t="inlineStr">
        <is>
          <t>Moda</t>
        </is>
      </c>
    </row>
    <row r="2323">
      <c r="A2323" t="n">
        <v>2322</v>
      </c>
      <c r="B2323" t="inlineStr">
        <is>
          <t>A-5050__93</t>
        </is>
      </c>
      <c r="C2323" s="1" t="n">
        <v>37.1985640479</v>
      </c>
      <c r="D2323" s="1" t="n">
        <v>-7.00829131292</v>
      </c>
      <c r="E2323" s="3" t="n">
        <v>2</v>
      </c>
      <c r="F2323" s="2" t="n">
        <v>3</v>
      </c>
      <c r="G2323" s="4" t="n">
        <v>3</v>
      </c>
      <c r="H2323" s="13" t="n"/>
      <c r="I2323" s="15" t="n"/>
      <c r="J2323" s="19" t="n">
        <v>3</v>
      </c>
      <c r="K2323" s="2" t="inlineStr">
        <is>
          <t>marker_626_947377.png</t>
        </is>
      </c>
      <c r="L2323" s="11">
        <f>HYPERLINK("3\1\" &amp; K2323, "Ver Imagen")</f>
        <v/>
      </c>
      <c r="M2323" t="inlineStr">
        <is>
          <t>Moda</t>
        </is>
      </c>
    </row>
    <row r="2324">
      <c r="A2324" t="n">
        <v>2323</v>
      </c>
      <c r="B2324" t="inlineStr">
        <is>
          <t>A-5050__92</t>
        </is>
      </c>
      <c r="C2324" s="1" t="n">
        <v>37.1986688678</v>
      </c>
      <c r="D2324" s="1" t="n">
        <v>-7.00849234783</v>
      </c>
      <c r="E2324" s="3" t="n">
        <v>2</v>
      </c>
      <c r="F2324" s="2" t="n">
        <v>3</v>
      </c>
      <c r="G2324" s="4" t="n">
        <v>3</v>
      </c>
      <c r="H2324" s="13" t="n"/>
      <c r="I2324" s="15" t="n"/>
      <c r="J2324" s="19" t="n">
        <v>3</v>
      </c>
      <c r="K2324" s="2" t="inlineStr">
        <is>
          <t>marker_899_947391.png</t>
        </is>
      </c>
      <c r="L2324" s="11">
        <f>HYPERLINK("3\1\" &amp; K2324, "Ver Imagen")</f>
        <v/>
      </c>
      <c r="M2324" t="inlineStr">
        <is>
          <t>Moda</t>
        </is>
      </c>
    </row>
    <row r="2325">
      <c r="A2325" t="n">
        <v>2324</v>
      </c>
      <c r="B2325" t="inlineStr">
        <is>
          <t>A-5050__91</t>
        </is>
      </c>
      <c r="C2325" s="1" t="n">
        <v>37.1987758426</v>
      </c>
      <c r="D2325" s="1" t="n">
        <v>-7.00869203289</v>
      </c>
      <c r="E2325" s="3" t="n">
        <v>2</v>
      </c>
      <c r="F2325" s="2" t="n">
        <v>3</v>
      </c>
      <c r="G2325" s="4" t="n">
        <v>3</v>
      </c>
      <c r="H2325" s="13" t="n"/>
      <c r="I2325" s="15" t="n"/>
      <c r="J2325" s="19" t="n">
        <v>3</v>
      </c>
      <c r="K2325" s="2" t="inlineStr">
        <is>
          <t>marker_699_947401.png</t>
        </is>
      </c>
      <c r="L2325" s="11">
        <f>HYPERLINK("3\1\" &amp; K2325, "Ver Imagen")</f>
        <v/>
      </c>
      <c r="M2325" t="inlineStr">
        <is>
          <t>Moda</t>
        </is>
      </c>
    </row>
    <row r="2326">
      <c r="A2326" t="n">
        <v>2325</v>
      </c>
      <c r="B2326" t="inlineStr">
        <is>
          <t>A-5050__90</t>
        </is>
      </c>
      <c r="C2326" s="1" t="n">
        <v>37.1988869688</v>
      </c>
      <c r="D2326" s="1" t="n">
        <v>-7.00889329532</v>
      </c>
      <c r="E2326" s="3" t="n">
        <v>2</v>
      </c>
      <c r="F2326" s="2" t="n">
        <v>3</v>
      </c>
      <c r="G2326" s="4" t="n">
        <v>3</v>
      </c>
      <c r="H2326" s="13" t="n"/>
      <c r="I2326" s="15" t="n"/>
      <c r="J2326" s="19" t="n">
        <v>3</v>
      </c>
      <c r="K2326" s="2" t="inlineStr">
        <is>
          <t>marker_128_947412.png</t>
        </is>
      </c>
      <c r="L2326" s="11">
        <f>HYPERLINK("3\1\" &amp; K2326, "Ver Imagen")</f>
        <v/>
      </c>
      <c r="M2326" t="inlineStr">
        <is>
          <t>Moda</t>
        </is>
      </c>
    </row>
    <row r="2327">
      <c r="A2327" t="n">
        <v>2326</v>
      </c>
      <c r="B2327" t="inlineStr">
        <is>
          <t>A-5050__89</t>
        </is>
      </c>
      <c r="C2327" s="1" t="n">
        <v>37.1990201249</v>
      </c>
      <c r="D2327" s="1" t="n">
        <v>-7.00912787418</v>
      </c>
      <c r="E2327" s="3" t="n">
        <v>2</v>
      </c>
      <c r="F2327" s="2" t="n">
        <v>3</v>
      </c>
      <c r="G2327" s="4" t="n">
        <v>3</v>
      </c>
      <c r="H2327" s="13" t="n"/>
      <c r="I2327" s="15" t="n"/>
      <c r="J2327" s="19" t="n">
        <v>3</v>
      </c>
      <c r="K2327" s="2" t="inlineStr">
        <is>
          <t>marker_730_947424.png</t>
        </is>
      </c>
      <c r="L2327" s="11">
        <f>HYPERLINK("3\1\" &amp; K2327, "Ver Imagen")</f>
        <v/>
      </c>
      <c r="M2327" t="inlineStr">
        <is>
          <t>Moda</t>
        </is>
      </c>
    </row>
    <row r="2328">
      <c r="A2328" t="n">
        <v>2327</v>
      </c>
      <c r="B2328" t="inlineStr">
        <is>
          <t>A-5050__86</t>
        </is>
      </c>
      <c r="C2328" s="1" t="n">
        <v>37.1993685349</v>
      </c>
      <c r="D2328" s="1" t="n">
        <v>-7.00972052921</v>
      </c>
      <c r="E2328" s="3" t="n">
        <v>2</v>
      </c>
      <c r="F2328" s="2" t="n">
        <v>3</v>
      </c>
      <c r="G2328" s="4" t="n">
        <v>3</v>
      </c>
      <c r="H2328" s="13" t="n"/>
      <c r="I2328" s="15" t="n"/>
      <c r="J2328" s="19" t="n">
        <v>3</v>
      </c>
      <c r="K2328" s="2" t="inlineStr">
        <is>
          <t>marker_462_947457.png</t>
        </is>
      </c>
      <c r="L2328" s="11">
        <f>HYPERLINK("3\1\" &amp; K2328, "Ver Imagen")</f>
        <v/>
      </c>
      <c r="M2328" t="inlineStr">
        <is>
          <t>Moda</t>
        </is>
      </c>
    </row>
    <row r="2329">
      <c r="A2329" t="n">
        <v>2328</v>
      </c>
      <c r="B2329" t="inlineStr">
        <is>
          <t>A-5050__84</t>
        </is>
      </c>
      <c r="C2329" s="1" t="n">
        <v>37.1996057853</v>
      </c>
      <c r="D2329" s="1" t="n">
        <v>-7.01011704823</v>
      </c>
      <c r="E2329" s="3" t="n">
        <v>2</v>
      </c>
      <c r="F2329" s="2" t="n">
        <v>3</v>
      </c>
      <c r="G2329" s="4" t="n">
        <v>3</v>
      </c>
      <c r="H2329" s="13" t="n"/>
      <c r="I2329" s="15" t="n"/>
      <c r="J2329" s="19" t="n">
        <v>3</v>
      </c>
      <c r="K2329" s="2" t="inlineStr">
        <is>
          <t>marker_803_948654.png</t>
        </is>
      </c>
      <c r="L2329" s="11">
        <f>HYPERLINK("3\1\" &amp; K2329, "Ver Imagen")</f>
        <v/>
      </c>
      <c r="M2329" t="inlineStr">
        <is>
          <t>Moda</t>
        </is>
      </c>
    </row>
    <row r="2330">
      <c r="A2330" t="n">
        <v>2329</v>
      </c>
      <c r="B2330" t="inlineStr">
        <is>
          <t>A-5050__83</t>
        </is>
      </c>
      <c r="C2330" s="1" t="n">
        <v>37.1997641181</v>
      </c>
      <c r="D2330" s="1" t="n">
        <v>-7.01037683559</v>
      </c>
      <c r="E2330" s="3" t="n">
        <v>2</v>
      </c>
      <c r="F2330" s="2" t="n">
        <v>3</v>
      </c>
      <c r="G2330" s="4" t="n">
        <v>3</v>
      </c>
      <c r="H2330" s="13" t="n"/>
      <c r="I2330" s="15" t="n"/>
      <c r="J2330" s="19" t="n">
        <v>3</v>
      </c>
      <c r="K2330" s="2" t="inlineStr">
        <is>
          <t>marker_460_948734.png</t>
        </is>
      </c>
      <c r="L2330" s="11">
        <f>HYPERLINK("3\1\" &amp; K2330, "Ver Imagen")</f>
        <v/>
      </c>
      <c r="M2330" t="inlineStr">
        <is>
          <t>Moda</t>
        </is>
      </c>
    </row>
    <row r="2331">
      <c r="A2331" t="n">
        <v>2330</v>
      </c>
      <c r="B2331" t="inlineStr">
        <is>
          <t>A-5050__78</t>
        </is>
      </c>
      <c r="C2331" s="1" t="n">
        <v>37.2003750289</v>
      </c>
      <c r="D2331" s="1" t="n">
        <v>-7.0113339004</v>
      </c>
      <c r="E2331" s="3" t="n">
        <v>2</v>
      </c>
      <c r="F2331" s="2" t="n">
        <v>3</v>
      </c>
      <c r="G2331" s="4" t="n">
        <v>3</v>
      </c>
      <c r="H2331" s="13" t="n"/>
      <c r="I2331" s="15" t="n"/>
      <c r="J2331" s="19" t="n">
        <v>3</v>
      </c>
      <c r="K2331" s="2" t="inlineStr">
        <is>
          <t>marker_167_948792.png</t>
        </is>
      </c>
      <c r="L2331" s="11">
        <f>HYPERLINK("3\1\" &amp; K2331, "Ver Imagen")</f>
        <v/>
      </c>
      <c r="M2331" t="inlineStr">
        <is>
          <t>Moda</t>
        </is>
      </c>
    </row>
    <row r="2332">
      <c r="A2332" t="n">
        <v>2331</v>
      </c>
      <c r="B2332" t="inlineStr">
        <is>
          <t>A-5050__77</t>
        </is>
      </c>
      <c r="C2332" s="1" t="n">
        <v>37.2005060192</v>
      </c>
      <c r="D2332" s="1" t="n">
        <v>-7.01153418079</v>
      </c>
      <c r="E2332" s="3" t="n">
        <v>2</v>
      </c>
      <c r="F2332" s="2" t="n">
        <v>3</v>
      </c>
      <c r="G2332" s="4" t="n">
        <v>3</v>
      </c>
      <c r="H2332" s="13" t="n"/>
      <c r="I2332" s="15" t="n"/>
      <c r="J2332" s="19" t="n">
        <v>3</v>
      </c>
      <c r="K2332" s="2" t="inlineStr">
        <is>
          <t>marker_588_948803.png</t>
        </is>
      </c>
      <c r="L2332" s="11">
        <f>HYPERLINK("3\1\" &amp; K2332, "Ver Imagen")</f>
        <v/>
      </c>
      <c r="M2332" t="inlineStr">
        <is>
          <t>Moda</t>
        </is>
      </c>
    </row>
    <row r="2333">
      <c r="A2333" t="n">
        <v>2332</v>
      </c>
      <c r="B2333" t="inlineStr">
        <is>
          <t>A-5050__74</t>
        </is>
      </c>
      <c r="C2333" s="1" t="n">
        <v>37.2008896217</v>
      </c>
      <c r="D2333" s="1" t="n">
        <v>-7.01211760492</v>
      </c>
      <c r="E2333" s="3" t="n">
        <v>2</v>
      </c>
      <c r="F2333" s="2" t="n">
        <v>3</v>
      </c>
      <c r="G2333" s="4" t="n">
        <v>3</v>
      </c>
      <c r="H2333" s="13" t="n"/>
      <c r="I2333" s="15" t="n"/>
      <c r="J2333" s="19" t="n">
        <v>3</v>
      </c>
      <c r="K2333" s="2" t="inlineStr">
        <is>
          <t>marker_289_948836.png</t>
        </is>
      </c>
      <c r="L2333" s="11">
        <f>HYPERLINK("3\1\" &amp; K2333, "Ver Imagen")</f>
        <v/>
      </c>
      <c r="M2333" t="inlineStr">
        <is>
          <t>Moda</t>
        </is>
      </c>
    </row>
    <row r="2334">
      <c r="A2334" t="n">
        <v>2333</v>
      </c>
      <c r="B2334" t="inlineStr">
        <is>
          <t>A-5050__73</t>
        </is>
      </c>
      <c r="C2334" s="1" t="n">
        <v>37.2010028433</v>
      </c>
      <c r="D2334" s="1" t="n">
        <v>-7.01229034505</v>
      </c>
      <c r="E2334" s="3" t="n">
        <v>2</v>
      </c>
      <c r="F2334" s="2" t="n">
        <v>3</v>
      </c>
      <c r="G2334" s="4" t="n">
        <v>3</v>
      </c>
      <c r="H2334" s="13" t="n"/>
      <c r="I2334" s="15" t="n"/>
      <c r="J2334" s="19" t="n">
        <v>3</v>
      </c>
      <c r="K2334" s="2" t="inlineStr">
        <is>
          <t>marker_256_948844.png</t>
        </is>
      </c>
      <c r="L2334" s="11">
        <f>HYPERLINK("3\1\" &amp; K2334, "Ver Imagen")</f>
        <v/>
      </c>
      <c r="M2334" t="inlineStr">
        <is>
          <t>Moda</t>
        </is>
      </c>
    </row>
    <row r="2335">
      <c r="A2335" t="n">
        <v>2334</v>
      </c>
      <c r="B2335" t="inlineStr">
        <is>
          <t>A-5050__72</t>
        </is>
      </c>
      <c r="C2335" s="1" t="n">
        <v>37.2011460046</v>
      </c>
      <c r="D2335" s="1" t="n">
        <v>-7.0125094781</v>
      </c>
      <c r="E2335" s="3" t="n">
        <v>2</v>
      </c>
      <c r="F2335" s="2" t="n">
        <v>3</v>
      </c>
      <c r="G2335" s="4" t="n">
        <v>3</v>
      </c>
      <c r="H2335" s="13" t="n"/>
      <c r="I2335" s="15" t="n"/>
      <c r="J2335" s="19" t="n">
        <v>3</v>
      </c>
      <c r="K2335" s="2" t="inlineStr">
        <is>
          <t>marker_401_948853.png</t>
        </is>
      </c>
      <c r="L2335" s="11">
        <f>HYPERLINK("3\1\" &amp; K2335, "Ver Imagen")</f>
        <v/>
      </c>
      <c r="M2335" t="inlineStr">
        <is>
          <t>Moda</t>
        </is>
      </c>
    </row>
    <row r="2336">
      <c r="A2336" t="n">
        <v>2335</v>
      </c>
      <c r="B2336" t="inlineStr">
        <is>
          <t>A-5050__71</t>
        </is>
      </c>
      <c r="C2336" s="1" t="n">
        <v>37.2013013402</v>
      </c>
      <c r="D2336" s="1" t="n">
        <v>-7.01274757318</v>
      </c>
      <c r="E2336" s="3" t="n">
        <v>2</v>
      </c>
      <c r="F2336" s="2" t="n">
        <v>3</v>
      </c>
      <c r="G2336" s="4" t="n">
        <v>3</v>
      </c>
      <c r="H2336" s="13" t="n"/>
      <c r="I2336" s="15" t="n"/>
      <c r="J2336" s="19" t="n">
        <v>3</v>
      </c>
      <c r="K2336" s="2" t="inlineStr">
        <is>
          <t>marker_875_948864.png</t>
        </is>
      </c>
      <c r="L2336" s="11">
        <f>HYPERLINK("3\1\" &amp; K2336, "Ver Imagen")</f>
        <v/>
      </c>
      <c r="M2336" t="inlineStr">
        <is>
          <t>Moda</t>
        </is>
      </c>
    </row>
    <row r="2337">
      <c r="A2337" t="n">
        <v>2336</v>
      </c>
      <c r="B2337" t="inlineStr">
        <is>
          <t>A-5050__70</t>
        </is>
      </c>
      <c r="C2337" s="1" t="n">
        <v>37.2013992469</v>
      </c>
      <c r="D2337" s="1" t="n">
        <v>-7.0128977314</v>
      </c>
      <c r="E2337" s="3" t="n">
        <v>2</v>
      </c>
      <c r="F2337" s="2" t="n">
        <v>3</v>
      </c>
      <c r="G2337" s="4" t="n">
        <v>3</v>
      </c>
      <c r="H2337" s="13" t="n"/>
      <c r="I2337" s="15" t="n"/>
      <c r="J2337" s="19" t="n">
        <v>3</v>
      </c>
      <c r="K2337" s="2" t="inlineStr">
        <is>
          <t>marker_707_948873.png</t>
        </is>
      </c>
      <c r="L2337" s="11">
        <f>HYPERLINK("3\1\" &amp; K2337, "Ver Imagen")</f>
        <v/>
      </c>
      <c r="M2337" t="inlineStr">
        <is>
          <t>Moda</t>
        </is>
      </c>
    </row>
    <row r="2338">
      <c r="A2338" t="n">
        <v>2337</v>
      </c>
      <c r="B2338" t="inlineStr">
        <is>
          <t>A-5050__69</t>
        </is>
      </c>
      <c r="C2338" s="1" t="n">
        <v>37.2015245288</v>
      </c>
      <c r="D2338" s="1" t="n">
        <v>-7.01309003656</v>
      </c>
      <c r="E2338" s="3" t="n">
        <v>2</v>
      </c>
      <c r="F2338" s="2" t="n">
        <v>3</v>
      </c>
      <c r="G2338" s="4" t="n">
        <v>3</v>
      </c>
      <c r="H2338" s="13" t="n"/>
      <c r="I2338" s="15" t="n"/>
      <c r="J2338" s="19" t="n">
        <v>3</v>
      </c>
      <c r="K2338" s="2" t="inlineStr">
        <is>
          <t>marker_355_948882.png</t>
        </is>
      </c>
      <c r="L2338" s="11">
        <f>HYPERLINK("3\1\" &amp; K2338, "Ver Imagen")</f>
        <v/>
      </c>
      <c r="M2338" t="inlineStr">
        <is>
          <t>Moda</t>
        </is>
      </c>
    </row>
    <row r="2339">
      <c r="A2339" t="n">
        <v>2338</v>
      </c>
      <c r="B2339" t="inlineStr">
        <is>
          <t>A-5050__68</t>
        </is>
      </c>
      <c r="C2339" s="1" t="n">
        <v>37.2016508267</v>
      </c>
      <c r="D2339" s="1" t="n">
        <v>-7.0132835876</v>
      </c>
      <c r="E2339" s="3" t="n">
        <v>2</v>
      </c>
      <c r="F2339" s="2" t="n">
        <v>3</v>
      </c>
      <c r="G2339" s="4" t="n">
        <v>3</v>
      </c>
      <c r="H2339" s="13" t="n"/>
      <c r="I2339" s="15" t="n"/>
      <c r="J2339" s="19" t="n">
        <v>3</v>
      </c>
      <c r="K2339" s="2" t="inlineStr">
        <is>
          <t>marker_519_948891.png</t>
        </is>
      </c>
      <c r="L2339" s="11">
        <f>HYPERLINK("3\1\" &amp; K2339, "Ver Imagen")</f>
        <v/>
      </c>
      <c r="M2339" t="inlineStr">
        <is>
          <t>Moda</t>
        </is>
      </c>
    </row>
    <row r="2340">
      <c r="A2340" t="n">
        <v>2339</v>
      </c>
      <c r="B2340" t="inlineStr">
        <is>
          <t>A-5050__67</t>
        </is>
      </c>
      <c r="C2340" s="1" t="n">
        <v>37.2017646625</v>
      </c>
      <c r="D2340" s="1" t="n">
        <v>-7.01345793591</v>
      </c>
      <c r="E2340" s="3" t="n">
        <v>2</v>
      </c>
      <c r="F2340" s="2" t="n">
        <v>3</v>
      </c>
      <c r="G2340" s="4" t="n">
        <v>3</v>
      </c>
      <c r="H2340" s="13" t="n"/>
      <c r="I2340" s="15" t="n"/>
      <c r="J2340" s="19" t="n">
        <v>3</v>
      </c>
      <c r="K2340" s="2" t="inlineStr">
        <is>
          <t>marker_560_948900.png</t>
        </is>
      </c>
      <c r="L2340" s="11">
        <f>HYPERLINK("3\1\" &amp; K2340, "Ver Imagen")</f>
        <v/>
      </c>
      <c r="M2340" t="inlineStr">
        <is>
          <t>Moda</t>
        </is>
      </c>
    </row>
    <row r="2341">
      <c r="A2341" t="n">
        <v>2340</v>
      </c>
      <c r="B2341" t="inlineStr">
        <is>
          <t>A-5050__66</t>
        </is>
      </c>
      <c r="C2341" s="1" t="n">
        <v>37.2019082247</v>
      </c>
      <c r="D2341" s="1" t="n">
        <v>-7.01367838578</v>
      </c>
      <c r="E2341" s="3" t="n">
        <v>2</v>
      </c>
      <c r="F2341" s="2" t="n">
        <v>3</v>
      </c>
      <c r="G2341" s="4" t="n">
        <v>3</v>
      </c>
      <c r="H2341" s="13" t="n"/>
      <c r="I2341" s="15" t="n"/>
      <c r="J2341" s="19" t="n">
        <v>3</v>
      </c>
      <c r="K2341" s="2" t="inlineStr">
        <is>
          <t>marker_152_948909.png</t>
        </is>
      </c>
      <c r="L2341" s="11">
        <f>HYPERLINK("3\1\" &amp; K2341, "Ver Imagen")</f>
        <v/>
      </c>
      <c r="M2341" t="inlineStr">
        <is>
          <t>Moda</t>
        </is>
      </c>
    </row>
    <row r="2342">
      <c r="A2342" t="n">
        <v>2341</v>
      </c>
      <c r="B2342" t="inlineStr">
        <is>
          <t>A-5050__64</t>
        </is>
      </c>
      <c r="C2342" s="1" t="n">
        <v>37.2021600391</v>
      </c>
      <c r="D2342" s="1" t="n">
        <v>-7.0140656715</v>
      </c>
      <c r="E2342" s="3" t="n">
        <v>2</v>
      </c>
      <c r="F2342" s="2" t="n">
        <v>3</v>
      </c>
      <c r="G2342" s="4" t="n">
        <v>3</v>
      </c>
      <c r="H2342" s="13" t="n"/>
      <c r="I2342" s="15" t="n"/>
      <c r="J2342" s="19" t="n">
        <v>3</v>
      </c>
      <c r="K2342" s="2" t="inlineStr">
        <is>
          <t>marker_488_948988.png</t>
        </is>
      </c>
      <c r="L2342" s="11">
        <f>HYPERLINK("3\1\" &amp; K2342, "Ver Imagen")</f>
        <v/>
      </c>
      <c r="M2342" t="inlineStr">
        <is>
          <t>Moda</t>
        </is>
      </c>
    </row>
    <row r="2343">
      <c r="A2343" t="n">
        <v>2342</v>
      </c>
      <c r="B2343" t="inlineStr">
        <is>
          <t>A-5050__63</t>
        </is>
      </c>
      <c r="C2343" s="1" t="n">
        <v>37.2023003168</v>
      </c>
      <c r="D2343" s="1" t="n">
        <v>-7.0142816285</v>
      </c>
      <c r="E2343" s="3" t="n">
        <v>2</v>
      </c>
      <c r="F2343" s="2" t="n">
        <v>3</v>
      </c>
      <c r="G2343" s="4" t="n">
        <v>3</v>
      </c>
      <c r="H2343" s="13" t="n"/>
      <c r="I2343" s="15" t="n"/>
      <c r="J2343" s="19" t="n">
        <v>3</v>
      </c>
      <c r="K2343" s="2" t="inlineStr">
        <is>
          <t>marker_192_948997.png</t>
        </is>
      </c>
      <c r="L2343" s="11">
        <f>HYPERLINK("3\1\" &amp; K2343, "Ver Imagen")</f>
        <v/>
      </c>
      <c r="M2343" t="inlineStr">
        <is>
          <t>Moda</t>
        </is>
      </c>
    </row>
    <row r="2344">
      <c r="A2344" t="n">
        <v>2343</v>
      </c>
      <c r="B2344" t="inlineStr">
        <is>
          <t>A-5050__61</t>
        </is>
      </c>
      <c r="C2344" s="1" t="n">
        <v>37.2025574819</v>
      </c>
      <c r="D2344" s="1" t="n">
        <v>-7.01467639311</v>
      </c>
      <c r="E2344" s="3" t="n">
        <v>2</v>
      </c>
      <c r="F2344" s="2" t="n">
        <v>3</v>
      </c>
      <c r="G2344" s="4" t="n">
        <v>3</v>
      </c>
      <c r="H2344" s="13" t="n"/>
      <c r="I2344" s="15" t="n"/>
      <c r="J2344" s="19" t="n">
        <v>3</v>
      </c>
      <c r="K2344" s="2" t="inlineStr">
        <is>
          <t>marker_928_949032.png</t>
        </is>
      </c>
      <c r="L2344" s="11">
        <f>HYPERLINK("3\1\" &amp; K2344, "Ver Imagen")</f>
        <v/>
      </c>
      <c r="M2344" t="inlineStr">
        <is>
          <t>Moda</t>
        </is>
      </c>
    </row>
    <row r="2345">
      <c r="A2345" t="n">
        <v>2344</v>
      </c>
      <c r="B2345" t="inlineStr">
        <is>
          <t>A-5050__55</t>
        </is>
      </c>
      <c r="C2345" s="1" t="n">
        <v>37.2033053605</v>
      </c>
      <c r="D2345" s="1" t="n">
        <v>-7.01581661627</v>
      </c>
      <c r="E2345" s="3" t="n">
        <v>2</v>
      </c>
      <c r="F2345" s="2" t="n">
        <v>3</v>
      </c>
      <c r="G2345" s="4" t="n">
        <v>3</v>
      </c>
      <c r="H2345" s="13" t="n"/>
      <c r="I2345" s="15" t="n"/>
      <c r="J2345" s="19" t="n">
        <v>3</v>
      </c>
      <c r="K2345" s="2" t="inlineStr">
        <is>
          <t>marker_738_949109.png</t>
        </is>
      </c>
      <c r="L2345" s="11">
        <f>HYPERLINK("3\1\" &amp; K2345, "Ver Imagen")</f>
        <v/>
      </c>
      <c r="M2345" t="inlineStr">
        <is>
          <t>Moda</t>
        </is>
      </c>
    </row>
    <row r="2346">
      <c r="A2346" t="n">
        <v>2345</v>
      </c>
      <c r="B2346" t="inlineStr">
        <is>
          <t>A-5050__52</t>
        </is>
      </c>
      <c r="C2346" s="1" t="n">
        <v>37.2036980023</v>
      </c>
      <c r="D2346" s="1" t="n">
        <v>-7.01642346911</v>
      </c>
      <c r="E2346" s="3" t="n">
        <v>2</v>
      </c>
      <c r="F2346" s="2" t="n">
        <v>3</v>
      </c>
      <c r="G2346" s="4" t="n">
        <v>3</v>
      </c>
      <c r="H2346" s="13" t="n"/>
      <c r="I2346" s="15" t="n"/>
      <c r="J2346" s="19" t="n">
        <v>3</v>
      </c>
      <c r="K2346" s="2" t="inlineStr">
        <is>
          <t>marker_979_949137.png</t>
        </is>
      </c>
      <c r="L2346" s="11">
        <f>HYPERLINK("3\1\" &amp; K2346, "Ver Imagen")</f>
        <v/>
      </c>
      <c r="M2346" t="inlineStr">
        <is>
          <t>Moda</t>
        </is>
      </c>
    </row>
    <row r="2347">
      <c r="A2347" t="n">
        <v>2346</v>
      </c>
      <c r="B2347" t="inlineStr">
        <is>
          <t>A-5050__50</t>
        </is>
      </c>
      <c r="C2347" s="1" t="n">
        <v>37.2039636799</v>
      </c>
      <c r="D2347" s="1" t="n">
        <v>-7.0168350353</v>
      </c>
      <c r="E2347" s="3" t="n">
        <v>2</v>
      </c>
      <c r="F2347" s="2" t="n">
        <v>3</v>
      </c>
      <c r="G2347" s="4" t="n">
        <v>3</v>
      </c>
      <c r="H2347" s="13" t="n"/>
      <c r="I2347" s="15" t="n"/>
      <c r="J2347" s="19" t="n">
        <v>3</v>
      </c>
      <c r="K2347" s="2" t="inlineStr">
        <is>
          <t>marker_440_949154.png</t>
        </is>
      </c>
      <c r="L2347" s="11">
        <f>HYPERLINK("3\1\" &amp; K2347, "Ver Imagen")</f>
        <v/>
      </c>
      <c r="M2347" t="inlineStr">
        <is>
          <t>Moda</t>
        </is>
      </c>
    </row>
    <row r="2348">
      <c r="A2348" t="n">
        <v>2347</v>
      </c>
      <c r="B2348" t="inlineStr">
        <is>
          <t>A-5050__44</t>
        </is>
      </c>
      <c r="C2348" s="1" t="n">
        <v>37.2047178791</v>
      </c>
      <c r="D2348" s="1" t="n">
        <v>-7.01800064329</v>
      </c>
      <c r="E2348" s="3" t="n">
        <v>2</v>
      </c>
      <c r="F2348" s="2" t="n">
        <v>3</v>
      </c>
      <c r="G2348" s="4" t="n">
        <v>3</v>
      </c>
      <c r="H2348" s="13" t="n"/>
      <c r="I2348" s="15" t="n"/>
      <c r="J2348" s="19" t="n">
        <v>3</v>
      </c>
      <c r="K2348" s="2" t="inlineStr">
        <is>
          <t>marker_354_949211.png</t>
        </is>
      </c>
      <c r="L2348" s="11">
        <f>HYPERLINK("3\1\" &amp; K2348, "Ver Imagen")</f>
        <v/>
      </c>
      <c r="M2348" t="inlineStr">
        <is>
          <t>Moda</t>
        </is>
      </c>
    </row>
    <row r="2349">
      <c r="A2349" t="n">
        <v>2348</v>
      </c>
      <c r="B2349" t="inlineStr">
        <is>
          <t>A-5050__30</t>
        </is>
      </c>
      <c r="C2349" s="1" t="n">
        <v>37.2064426525</v>
      </c>
      <c r="D2349" s="1" t="n">
        <v>-7.0208177672</v>
      </c>
      <c r="E2349" s="3" t="n">
        <v>2</v>
      </c>
      <c r="F2349" s="2" t="n">
        <v>3</v>
      </c>
      <c r="G2349" s="4" t="n">
        <v>3</v>
      </c>
      <c r="H2349" s="13" t="n"/>
      <c r="I2349" s="15" t="n"/>
      <c r="J2349" s="19" t="n">
        <v>3</v>
      </c>
      <c r="K2349" s="2" t="inlineStr">
        <is>
          <t>marker_340_949358.png</t>
        </is>
      </c>
      <c r="L2349" s="11">
        <f>HYPERLINK("3\1\" &amp; K2349, "Ver Imagen")</f>
        <v/>
      </c>
      <c r="M2349" t="inlineStr">
        <is>
          <t>Moda</t>
        </is>
      </c>
    </row>
    <row r="2350">
      <c r="A2350" t="n">
        <v>2349</v>
      </c>
      <c r="B2350" t="inlineStr">
        <is>
          <t>A-5050__28</t>
        </is>
      </c>
      <c r="C2350" s="1" t="n">
        <v>37.2067159968</v>
      </c>
      <c r="D2350" s="1" t="n">
        <v>-7.02122977277</v>
      </c>
      <c r="E2350" s="3" t="n">
        <v>2</v>
      </c>
      <c r="F2350" s="2" t="n">
        <v>3</v>
      </c>
      <c r="G2350" s="4" t="n">
        <v>3</v>
      </c>
      <c r="H2350" s="13" t="n"/>
      <c r="I2350" s="15" t="n"/>
      <c r="J2350" s="19" t="n">
        <v>3</v>
      </c>
      <c r="K2350" s="2" t="inlineStr">
        <is>
          <t>marker_474_949379.png</t>
        </is>
      </c>
      <c r="L2350" s="11">
        <f>HYPERLINK("3\1\" &amp; K2350, "Ver Imagen")</f>
        <v/>
      </c>
      <c r="M2350" t="inlineStr">
        <is>
          <t>Moda</t>
        </is>
      </c>
    </row>
    <row r="2351">
      <c r="A2351" t="n">
        <v>2350</v>
      </c>
      <c r="B2351" t="inlineStr">
        <is>
          <t>A-5050__27</t>
        </is>
      </c>
      <c r="C2351" s="1" t="n">
        <v>37.2068253717</v>
      </c>
      <c r="D2351" s="1" t="n">
        <v>-7.02138080225</v>
      </c>
      <c r="E2351" s="3" t="n">
        <v>2</v>
      </c>
      <c r="F2351" s="2" t="n">
        <v>3</v>
      </c>
      <c r="G2351" s="4" t="n">
        <v>3</v>
      </c>
      <c r="H2351" s="13" t="n"/>
      <c r="I2351" s="15" t="n"/>
      <c r="J2351" s="19" t="n">
        <v>3</v>
      </c>
      <c r="K2351" s="2" t="inlineStr">
        <is>
          <t>marker_309_949389.png</t>
        </is>
      </c>
      <c r="L2351" s="11">
        <f>HYPERLINK("3\1\" &amp; K2351, "Ver Imagen")</f>
        <v/>
      </c>
      <c r="M2351" t="inlineStr">
        <is>
          <t>Moda</t>
        </is>
      </c>
    </row>
    <row r="2352">
      <c r="A2352" t="n">
        <v>2351</v>
      </c>
      <c r="B2352" t="inlineStr">
        <is>
          <t>A-5050__16</t>
        </is>
      </c>
      <c r="C2352" s="1" t="n">
        <v>37.2082410355</v>
      </c>
      <c r="D2352" s="1" t="n">
        <v>-7.02345407451</v>
      </c>
      <c r="E2352" s="3" t="n">
        <v>2</v>
      </c>
      <c r="F2352" s="2" t="n">
        <v>3</v>
      </c>
      <c r="G2352" s="4" t="n">
        <v>3</v>
      </c>
      <c r="H2352" s="13" t="n"/>
      <c r="I2352" s="15" t="n"/>
      <c r="J2352" s="19" t="n">
        <v>3</v>
      </c>
      <c r="K2352" s="2" t="inlineStr">
        <is>
          <t>marker_793_949535.png</t>
        </is>
      </c>
      <c r="L2352" s="11">
        <f>HYPERLINK("3\1\" &amp; K2352, "Ver Imagen")</f>
        <v/>
      </c>
      <c r="M2352" t="inlineStr">
        <is>
          <t>Moda</t>
        </is>
      </c>
    </row>
    <row r="2353">
      <c r="A2353" t="n">
        <v>2352</v>
      </c>
      <c r="B2353" t="inlineStr">
        <is>
          <t>A-5050__15</t>
        </is>
      </c>
      <c r="C2353" s="1" t="n">
        <v>37.2082601909</v>
      </c>
      <c r="D2353" s="1" t="n">
        <v>-7.02371897971</v>
      </c>
      <c r="E2353" s="3" t="n">
        <v>2</v>
      </c>
      <c r="F2353" s="2" t="n">
        <v>3</v>
      </c>
      <c r="G2353" s="4" t="n">
        <v>3</v>
      </c>
      <c r="H2353" s="13" t="n"/>
      <c r="I2353" s="15" t="n"/>
      <c r="J2353" s="19" t="n">
        <v>3</v>
      </c>
      <c r="K2353" s="2" t="inlineStr">
        <is>
          <t>marker_368_949545.png</t>
        </is>
      </c>
      <c r="L2353" s="11">
        <f>HYPERLINK("3\1\" &amp; K2353, "Ver Imagen")</f>
        <v/>
      </c>
      <c r="M2353" t="inlineStr">
        <is>
          <t>Moda</t>
        </is>
      </c>
    </row>
    <row r="2354">
      <c r="A2354" t="n">
        <v>2353</v>
      </c>
      <c r="B2354" t="inlineStr">
        <is>
          <t>A-5050__12</t>
        </is>
      </c>
      <c r="C2354" s="1" t="n">
        <v>37.2082971083</v>
      </c>
      <c r="D2354" s="1" t="n">
        <v>-7.02445251309</v>
      </c>
      <c r="E2354" s="3" t="n">
        <v>2</v>
      </c>
      <c r="F2354" s="2" t="n">
        <v>3</v>
      </c>
      <c r="G2354" s="4" t="n">
        <v>3</v>
      </c>
      <c r="H2354" s="13" t="n"/>
      <c r="I2354" s="15" t="n"/>
      <c r="J2354" s="19" t="n">
        <v>3</v>
      </c>
      <c r="K2354" s="2" t="inlineStr">
        <is>
          <t>marker_441_949576.png</t>
        </is>
      </c>
      <c r="L2354" s="11">
        <f>HYPERLINK("3\1\" &amp; K2354, "Ver Imagen")</f>
        <v/>
      </c>
      <c r="M2354" t="inlineStr">
        <is>
          <t>Moda</t>
        </is>
      </c>
    </row>
    <row r="2355">
      <c r="A2355" t="n">
        <v>2354</v>
      </c>
      <c r="B2355" t="inlineStr">
        <is>
          <t>A-5050__9</t>
        </is>
      </c>
      <c r="C2355" s="1" t="n">
        <v>37.208479237</v>
      </c>
      <c r="D2355" s="1" t="n">
        <v>-7.02516786244</v>
      </c>
      <c r="E2355" s="3" t="n">
        <v>2</v>
      </c>
      <c r="F2355" s="2" t="n">
        <v>3</v>
      </c>
      <c r="G2355" s="4" t="n">
        <v>3</v>
      </c>
      <c r="H2355" s="13" t="n"/>
      <c r="I2355" s="15" t="n"/>
      <c r="J2355" s="19" t="n">
        <v>3</v>
      </c>
      <c r="K2355" s="2" t="inlineStr">
        <is>
          <t>marker_739_949618.png</t>
        </is>
      </c>
      <c r="L2355" s="11">
        <f>HYPERLINK("3\1\" &amp; K2355, "Ver Imagen")</f>
        <v/>
      </c>
      <c r="M2355" t="inlineStr">
        <is>
          <t>Moda</t>
        </is>
      </c>
    </row>
    <row r="2356">
      <c r="A2356" t="n">
        <v>2355</v>
      </c>
      <c r="B2356" t="inlineStr">
        <is>
          <t>A-5050__8</t>
        </is>
      </c>
      <c r="C2356" s="1" t="n">
        <v>37.2085671487</v>
      </c>
      <c r="D2356" s="1" t="n">
        <v>-7.02543935453</v>
      </c>
      <c r="E2356" s="3" t="n">
        <v>2</v>
      </c>
      <c r="F2356" s="2" t="n">
        <v>3</v>
      </c>
      <c r="G2356" s="4" t="n">
        <v>3</v>
      </c>
      <c r="H2356" s="13" t="n"/>
      <c r="I2356" s="15" t="n"/>
      <c r="J2356" s="19" t="n">
        <v>3</v>
      </c>
      <c r="K2356" s="2" t="inlineStr">
        <is>
          <t>marker_301_949628.png</t>
        </is>
      </c>
      <c r="L2356" s="11">
        <f>HYPERLINK("3\1\" &amp; K2356, "Ver Imagen")</f>
        <v/>
      </c>
      <c r="M2356" t="inlineStr">
        <is>
          <t>Moda</t>
        </is>
      </c>
    </row>
    <row r="2357">
      <c r="A2357" t="n">
        <v>2356</v>
      </c>
      <c r="B2357" t="inlineStr">
        <is>
          <t>A-5050__4</t>
        </is>
      </c>
      <c r="C2357" s="1" t="n">
        <v>37.2087918211</v>
      </c>
      <c r="D2357" s="1" t="n">
        <v>-7.02636763376</v>
      </c>
      <c r="E2357" s="3" t="n">
        <v>2</v>
      </c>
      <c r="F2357" s="2" t="n">
        <v>3</v>
      </c>
      <c r="G2357" s="4" t="n">
        <v>3</v>
      </c>
      <c r="H2357" s="13" t="n"/>
      <c r="I2357" s="15" t="n"/>
      <c r="J2357" s="19" t="n">
        <v>3</v>
      </c>
      <c r="K2357" s="2" t="inlineStr">
        <is>
          <t>marker_168_949670.png</t>
        </is>
      </c>
      <c r="L2357" s="11">
        <f>HYPERLINK("3\1\" &amp; K2357, "Ver Imagen")</f>
        <v/>
      </c>
      <c r="M2357" t="inlineStr">
        <is>
          <t>Moda</t>
        </is>
      </c>
    </row>
    <row r="2358">
      <c r="A2358" t="n">
        <v>2357</v>
      </c>
      <c r="B2358" t="inlineStr">
        <is>
          <t>A-5050__1</t>
        </is>
      </c>
      <c r="C2358" s="1" t="n">
        <v>37.2089324287</v>
      </c>
      <c r="D2358" s="1" t="n">
        <v>-7.02709551172</v>
      </c>
      <c r="E2358" s="3" t="n">
        <v>2</v>
      </c>
      <c r="F2358" s="2" t="n">
        <v>3</v>
      </c>
      <c r="G2358" s="4" t="n">
        <v>3</v>
      </c>
      <c r="H2358" s="13" t="n"/>
      <c r="I2358" s="15" t="n"/>
      <c r="J2358" s="19" t="n">
        <v>3</v>
      </c>
      <c r="K2358" s="2" t="inlineStr">
        <is>
          <t>marker_983_949732.png</t>
        </is>
      </c>
      <c r="L2358" s="11">
        <f>HYPERLINK("3\1\" &amp; K2358, "Ver Imagen")</f>
        <v/>
      </c>
      <c r="M2358" t="inlineStr">
        <is>
          <t>Moda</t>
        </is>
      </c>
    </row>
    <row r="2359">
      <c r="A2359" t="n">
        <v>2358</v>
      </c>
      <c r="B2359" t="inlineStr">
        <is>
          <t>A-5052__16</t>
        </is>
      </c>
      <c r="C2359" s="1" t="n">
        <v>37.2179130303</v>
      </c>
      <c r="D2359" s="1" t="n">
        <v>-7.12201098481</v>
      </c>
      <c r="E2359" s="3" t="n">
        <v>2</v>
      </c>
      <c r="F2359" s="2" t="n">
        <v>3</v>
      </c>
      <c r="G2359" s="4" t="n">
        <v>3</v>
      </c>
      <c r="H2359" s="13" t="n"/>
      <c r="I2359" s="15" t="n"/>
      <c r="J2359" s="19" t="n">
        <v>3</v>
      </c>
      <c r="K2359" s="2" t="inlineStr">
        <is>
          <t>marker_146_950171.png</t>
        </is>
      </c>
      <c r="L2359" s="11">
        <f>HYPERLINK("3\1\" &amp; K2359, "Ver Imagen")</f>
        <v/>
      </c>
      <c r="M2359" t="inlineStr">
        <is>
          <t>Moda</t>
        </is>
      </c>
    </row>
    <row r="2360">
      <c r="A2360" t="n">
        <v>2359</v>
      </c>
      <c r="B2360" t="inlineStr">
        <is>
          <t>A-5052__23</t>
        </is>
      </c>
      <c r="C2360" s="1" t="n">
        <v>37.2180491529</v>
      </c>
      <c r="D2360" s="1" t="n">
        <v>-7.12028894305</v>
      </c>
      <c r="E2360" s="3" t="n">
        <v>2</v>
      </c>
      <c r="F2360" s="2" t="n">
        <v>3</v>
      </c>
      <c r="G2360" s="4" t="n">
        <v>3</v>
      </c>
      <c r="H2360" s="13" t="n"/>
      <c r="I2360" s="15" t="n"/>
      <c r="J2360" s="19" t="n">
        <v>3</v>
      </c>
      <c r="K2360" s="2" t="inlineStr">
        <is>
          <t>marker_944_951506.png</t>
        </is>
      </c>
      <c r="L2360" s="11">
        <f>HYPERLINK("3\1\" &amp; K2360, "Ver Imagen")</f>
        <v/>
      </c>
      <c r="M2360" t="inlineStr">
        <is>
          <t>Moda</t>
        </is>
      </c>
    </row>
    <row r="2361">
      <c r="A2361" t="n">
        <v>2360</v>
      </c>
      <c r="B2361" t="inlineStr">
        <is>
          <t>A-5052__24</t>
        </is>
      </c>
      <c r="C2361" s="1" t="n">
        <v>37.2180684279</v>
      </c>
      <c r="D2361" s="1" t="n">
        <v>-7.12002398249</v>
      </c>
      <c r="E2361" s="3" t="n">
        <v>2</v>
      </c>
      <c r="F2361" s="2" t="n">
        <v>3</v>
      </c>
      <c r="G2361" s="4" t="n">
        <v>3</v>
      </c>
      <c r="H2361" s="13" t="n"/>
      <c r="I2361" s="15" t="n"/>
      <c r="J2361" s="19" t="n">
        <v>3</v>
      </c>
      <c r="K2361" s="2" t="inlineStr">
        <is>
          <t>marker_273_951519.png</t>
        </is>
      </c>
      <c r="L2361" s="11">
        <f>HYPERLINK("3\1\" &amp; K2361, "Ver Imagen")</f>
        <v/>
      </c>
      <c r="M2361" t="inlineStr">
        <is>
          <t>Moda</t>
        </is>
      </c>
    </row>
    <row r="2362">
      <c r="A2362" t="n">
        <v>2361</v>
      </c>
      <c r="B2362" t="inlineStr">
        <is>
          <t>A-5052__25</t>
        </is>
      </c>
      <c r="C2362" s="1" t="n">
        <v>37.2180896226</v>
      </c>
      <c r="D2362" s="1" t="n">
        <v>-7.11976228703</v>
      </c>
      <c r="E2362" s="3" t="n">
        <v>3</v>
      </c>
      <c r="F2362" s="2" t="n">
        <v>3</v>
      </c>
      <c r="G2362" s="4" t="n">
        <v>2</v>
      </c>
      <c r="H2362" s="13" t="n"/>
      <c r="I2362" s="15" t="n"/>
      <c r="J2362" s="19" t="n">
        <v>3</v>
      </c>
      <c r="K2362" s="2" t="inlineStr">
        <is>
          <t>marker_177_951529.png</t>
        </is>
      </c>
      <c r="L2362" s="11">
        <f>HYPERLINK("3\1\" &amp; K2362, "Ver Imagen")</f>
        <v/>
      </c>
      <c r="M2362" t="inlineStr">
        <is>
          <t>Moda</t>
        </is>
      </c>
    </row>
    <row r="2363">
      <c r="A2363" t="n">
        <v>2362</v>
      </c>
      <c r="B2363" t="inlineStr">
        <is>
          <t>A-5052__104</t>
        </is>
      </c>
      <c r="C2363" s="1" t="n">
        <v>37.217045483</v>
      </c>
      <c r="D2363" s="1" t="n">
        <v>-7.0999430146</v>
      </c>
      <c r="E2363" s="3" t="n">
        <v>2</v>
      </c>
      <c r="F2363" s="2" t="n">
        <v>3</v>
      </c>
      <c r="G2363" s="4" t="n">
        <v>3</v>
      </c>
      <c r="H2363" s="13" t="n"/>
      <c r="I2363" s="15" t="n"/>
      <c r="J2363" s="19" t="n">
        <v>3</v>
      </c>
      <c r="K2363" s="2" t="inlineStr">
        <is>
          <t>marker_819_957721.png</t>
        </is>
      </c>
      <c r="L2363" s="11">
        <f>HYPERLINK("3\1\" &amp; K2363, "Ver Imagen")</f>
        <v/>
      </c>
      <c r="M2363" t="inlineStr">
        <is>
          <t>Moda</t>
        </is>
      </c>
    </row>
    <row r="2364">
      <c r="A2364" t="n">
        <v>2363</v>
      </c>
      <c r="B2364" t="inlineStr">
        <is>
          <t>A-5052__145</t>
        </is>
      </c>
      <c r="C2364" s="1" t="n">
        <v>37.216085142</v>
      </c>
      <c r="D2364" s="1" t="n">
        <v>-7.08967702611</v>
      </c>
      <c r="E2364" s="3" t="n">
        <v>2</v>
      </c>
      <c r="F2364" s="2" t="n">
        <v>3</v>
      </c>
      <c r="G2364" s="4" t="n">
        <v>3</v>
      </c>
      <c r="H2364" s="13" t="n"/>
      <c r="I2364" s="15" t="n"/>
      <c r="J2364" s="19" t="n">
        <v>3</v>
      </c>
      <c r="K2364" s="2" t="inlineStr">
        <is>
          <t>marker_412_958420.png</t>
        </is>
      </c>
      <c r="L2364" s="11">
        <f>HYPERLINK("3\1\" &amp; K2364, "Ver Imagen")</f>
        <v/>
      </c>
      <c r="M2364" t="inlineStr">
        <is>
          <t>Moda</t>
        </is>
      </c>
    </row>
    <row r="2365">
      <c r="A2365" t="n">
        <v>2364</v>
      </c>
      <c r="B2365" t="inlineStr">
        <is>
          <t>A-5052__172</t>
        </is>
      </c>
      <c r="C2365" s="1" t="n">
        <v>37.2159110677</v>
      </c>
      <c r="D2365" s="1" t="n">
        <v>-7.08291512721</v>
      </c>
      <c r="E2365" s="3" t="n">
        <v>2</v>
      </c>
      <c r="F2365" s="2" t="n">
        <v>3</v>
      </c>
      <c r="G2365" s="4" t="n">
        <v>3</v>
      </c>
      <c r="H2365" s="13" t="n"/>
      <c r="I2365" s="15" t="n"/>
      <c r="J2365" s="19" t="n">
        <v>3</v>
      </c>
      <c r="K2365" s="2" t="inlineStr">
        <is>
          <t>marker_769_958978.png</t>
        </is>
      </c>
      <c r="L2365" s="11">
        <f>HYPERLINK("3\1\" &amp; K2365, "Ver Imagen")</f>
        <v/>
      </c>
      <c r="M2365" t="inlineStr">
        <is>
          <t>Moda</t>
        </is>
      </c>
    </row>
    <row r="2366">
      <c r="A2366" t="n">
        <v>2365</v>
      </c>
      <c r="B2366" t="inlineStr">
        <is>
          <t>A-5052__173</t>
        </is>
      </c>
      <c r="C2366" s="1" t="n">
        <v>37.2158356936</v>
      </c>
      <c r="D2366" s="1" t="n">
        <v>-7.0826640414</v>
      </c>
      <c r="E2366" s="3" t="n">
        <v>2</v>
      </c>
      <c r="F2366" s="2" t="n">
        <v>3</v>
      </c>
      <c r="G2366" s="4" t="n">
        <v>3</v>
      </c>
      <c r="H2366" s="13" t="n"/>
      <c r="I2366" s="15" t="n"/>
      <c r="J2366" s="19" t="n">
        <v>3</v>
      </c>
      <c r="K2366" s="2" t="inlineStr">
        <is>
          <t>marker_551_958989.png</t>
        </is>
      </c>
      <c r="L2366" s="11">
        <f>HYPERLINK("3\1\" &amp; K2366, "Ver Imagen")</f>
        <v/>
      </c>
      <c r="M2366" t="inlineStr">
        <is>
          <t>Moda</t>
        </is>
      </c>
    </row>
    <row r="2367">
      <c r="A2367" t="n">
        <v>2366</v>
      </c>
      <c r="B2367" t="inlineStr">
        <is>
          <t>A-5052__217</t>
        </is>
      </c>
      <c r="C2367" s="1" t="n">
        <v>37.2136954614</v>
      </c>
      <c r="D2367" s="1" t="n">
        <v>-7.07187224805</v>
      </c>
      <c r="E2367" s="3" t="n">
        <v>2</v>
      </c>
      <c r="F2367" s="2" t="n">
        <v>3</v>
      </c>
      <c r="G2367" s="4" t="n">
        <v>3</v>
      </c>
      <c r="H2367" s="13" t="n"/>
      <c r="I2367" s="15" t="n"/>
      <c r="J2367" s="19" t="n">
        <v>3</v>
      </c>
      <c r="K2367" s="2" t="inlineStr">
        <is>
          <t>marker_556_959690.png</t>
        </is>
      </c>
      <c r="L2367" s="11">
        <f>HYPERLINK("3\1\" &amp; K2367, "Ver Imagen")</f>
        <v/>
      </c>
      <c r="M2367" t="inlineStr">
        <is>
          <t>Moda</t>
        </is>
      </c>
    </row>
    <row r="2368">
      <c r="A2368" t="n">
        <v>2367</v>
      </c>
      <c r="B2368" t="inlineStr">
        <is>
          <t>A-5052__256</t>
        </is>
      </c>
      <c r="C2368" s="1" t="n">
        <v>37.2130884274</v>
      </c>
      <c r="D2368" s="1" t="n">
        <v>-7.0621746789</v>
      </c>
      <c r="E2368" s="3" t="n">
        <v>2</v>
      </c>
      <c r="F2368" s="2" t="n">
        <v>3</v>
      </c>
      <c r="G2368" s="4" t="n">
        <v>3</v>
      </c>
      <c r="H2368" s="13" t="n"/>
      <c r="I2368" s="15" t="n"/>
      <c r="J2368" s="19" t="n">
        <v>3</v>
      </c>
      <c r="K2368" s="2" t="inlineStr">
        <is>
          <t>marker_473_960155.png</t>
        </is>
      </c>
      <c r="L2368" s="11">
        <f>HYPERLINK("3\1\" &amp; K2368, "Ver Imagen")</f>
        <v/>
      </c>
      <c r="M2368" t="inlineStr">
        <is>
          <t>Moda</t>
        </is>
      </c>
    </row>
    <row r="2369">
      <c r="A2369" t="n">
        <v>2368</v>
      </c>
      <c r="B2369" t="inlineStr">
        <is>
          <t>A-5052__271</t>
        </is>
      </c>
      <c r="C2369" s="1" t="n">
        <v>37.2118710196</v>
      </c>
      <c r="D2369" s="1" t="n">
        <v>-7.05870195929</v>
      </c>
      <c r="E2369" s="3" t="n">
        <v>2</v>
      </c>
      <c r="F2369" s="2" t="n">
        <v>3</v>
      </c>
      <c r="G2369" s="4" t="n">
        <v>3</v>
      </c>
      <c r="H2369" s="13" t="n"/>
      <c r="I2369" s="15" t="n"/>
      <c r="J2369" s="19" t="n">
        <v>3</v>
      </c>
      <c r="K2369" s="2" t="inlineStr">
        <is>
          <t>marker_375_960331.png</t>
        </is>
      </c>
      <c r="L2369" s="11">
        <f>HYPERLINK("3\1\" &amp; K2369, "Ver Imagen")</f>
        <v/>
      </c>
      <c r="M2369" t="inlineStr">
        <is>
          <t>Moda</t>
        </is>
      </c>
    </row>
    <row r="2370">
      <c r="A2370" t="n">
        <v>2369</v>
      </c>
      <c r="B2370" t="inlineStr">
        <is>
          <t>A-5052__274</t>
        </is>
      </c>
      <c r="C2370" s="1" t="n">
        <v>37.2116088106</v>
      </c>
      <c r="D2370" s="1" t="n">
        <v>-7.05797516305</v>
      </c>
      <c r="E2370" s="3" t="n">
        <v>2</v>
      </c>
      <c r="F2370" s="2" t="n">
        <v>3</v>
      </c>
      <c r="G2370" s="4" t="n">
        <v>3</v>
      </c>
      <c r="H2370" s="13" t="n"/>
      <c r="I2370" s="15" t="n"/>
      <c r="J2370" s="19" t="n">
        <v>3</v>
      </c>
      <c r="K2370" s="2" t="inlineStr">
        <is>
          <t>marker_797_960369.png</t>
        </is>
      </c>
      <c r="L2370" s="11">
        <f>HYPERLINK("3\1\" &amp; K2370, "Ver Imagen")</f>
        <v/>
      </c>
      <c r="M2370" t="inlineStr">
        <is>
          <t>Moda</t>
        </is>
      </c>
    </row>
    <row r="2371">
      <c r="A2371" t="n">
        <v>2370</v>
      </c>
      <c r="B2371" t="inlineStr">
        <is>
          <t>A-5052__276</t>
        </is>
      </c>
      <c r="C2371" s="1" t="n">
        <v>37.2114808962</v>
      </c>
      <c r="D2371" s="1" t="n">
        <v>-7.05754882687</v>
      </c>
      <c r="E2371" s="3" t="n">
        <v>2</v>
      </c>
      <c r="F2371" s="2" t="n">
        <v>3</v>
      </c>
      <c r="G2371" s="4" t="n">
        <v>3</v>
      </c>
      <c r="H2371" s="13" t="n"/>
      <c r="I2371" s="15" t="n"/>
      <c r="J2371" s="19" t="n">
        <v>3</v>
      </c>
      <c r="K2371" s="2" t="inlineStr">
        <is>
          <t>marker_936_960390.png</t>
        </is>
      </c>
      <c r="L2371" s="11">
        <f>HYPERLINK("3\1\" &amp; K2371, "Ver Imagen")</f>
        <v/>
      </c>
      <c r="M2371" t="inlineStr">
        <is>
          <t>Moda</t>
        </is>
      </c>
    </row>
    <row r="2372">
      <c r="A2372" t="n">
        <v>2371</v>
      </c>
      <c r="B2372" t="inlineStr">
        <is>
          <t>A-5052__278</t>
        </is>
      </c>
      <c r="C2372" s="1" t="n">
        <v>37.2113618355</v>
      </c>
      <c r="D2372" s="1" t="n">
        <v>-7.05703346811</v>
      </c>
      <c r="E2372" s="3" t="n">
        <v>2</v>
      </c>
      <c r="F2372" s="2" t="n">
        <v>3</v>
      </c>
      <c r="G2372" s="4" t="n">
        <v>3</v>
      </c>
      <c r="H2372" s="13" t="n"/>
      <c r="I2372" s="15" t="n"/>
      <c r="J2372" s="19" t="n">
        <v>3</v>
      </c>
      <c r="K2372" s="2" t="inlineStr">
        <is>
          <t>marker_841_960495.png</t>
        </is>
      </c>
      <c r="L2372" s="11">
        <f>HYPERLINK("3\1\" &amp; K2372, "Ver Imagen")</f>
        <v/>
      </c>
      <c r="M2372" t="inlineStr">
        <is>
          <t>Moda</t>
        </is>
      </c>
    </row>
    <row r="2373">
      <c r="A2373" t="n">
        <v>2372</v>
      </c>
      <c r="B2373" t="inlineStr">
        <is>
          <t>A-5052__286</t>
        </is>
      </c>
      <c r="C2373" s="1" t="n">
        <v>37.211099234</v>
      </c>
      <c r="D2373" s="1" t="n">
        <v>-7.05500949752</v>
      </c>
      <c r="E2373" s="3" t="n">
        <v>2</v>
      </c>
      <c r="F2373" s="2" t="n">
        <v>3</v>
      </c>
      <c r="G2373" s="4" t="n">
        <v>3</v>
      </c>
      <c r="H2373" s="13" t="n"/>
      <c r="I2373" s="15" t="n"/>
      <c r="J2373" s="19" t="n">
        <v>3</v>
      </c>
      <c r="K2373" s="2" t="inlineStr">
        <is>
          <t>marker_896_960594.png</t>
        </is>
      </c>
      <c r="L2373" s="11">
        <f>HYPERLINK("3\1\" &amp; K2373, "Ver Imagen")</f>
        <v/>
      </c>
      <c r="M2373" t="inlineStr">
        <is>
          <t>Moda</t>
        </is>
      </c>
    </row>
    <row r="2374">
      <c r="A2374" t="n">
        <v>2373</v>
      </c>
      <c r="B2374" t="inlineStr">
        <is>
          <t>A-5052__288</t>
        </is>
      </c>
      <c r="C2374" s="1" t="n">
        <v>37.2110398753</v>
      </c>
      <c r="D2374" s="1" t="n">
        <v>-7.05454787037</v>
      </c>
      <c r="E2374" s="3" t="n">
        <v>2</v>
      </c>
      <c r="F2374" s="2" t="n">
        <v>3</v>
      </c>
      <c r="G2374" s="4" t="n">
        <v>3</v>
      </c>
      <c r="H2374" s="13" t="n"/>
      <c r="I2374" s="15" t="n"/>
      <c r="J2374" s="19" t="n">
        <v>3</v>
      </c>
      <c r="K2374" s="2" t="inlineStr">
        <is>
          <t>marker_165_960619.png</t>
        </is>
      </c>
      <c r="L2374" s="11">
        <f>HYPERLINK("3\1\" &amp; K2374, "Ver Imagen")</f>
        <v/>
      </c>
      <c r="M2374" t="inlineStr">
        <is>
          <t>Moda</t>
        </is>
      </c>
    </row>
    <row r="2375">
      <c r="A2375" t="n">
        <v>2374</v>
      </c>
      <c r="B2375" t="inlineStr">
        <is>
          <t>A-5052__295</t>
        </is>
      </c>
      <c r="C2375" s="1" t="n">
        <v>37.210787921</v>
      </c>
      <c r="D2375" s="1" t="n">
        <v>-7.05279675463</v>
      </c>
      <c r="E2375" s="3" t="n">
        <v>2</v>
      </c>
      <c r="F2375" s="2" t="n">
        <v>3</v>
      </c>
      <c r="G2375" s="4" t="n">
        <v>3</v>
      </c>
      <c r="H2375" s="13" t="n"/>
      <c r="I2375" s="15" t="n"/>
      <c r="J2375" s="19" t="n">
        <v>3</v>
      </c>
      <c r="K2375" s="2" t="inlineStr">
        <is>
          <t>marker_583_960765.png</t>
        </is>
      </c>
      <c r="L2375" s="11">
        <f>HYPERLINK("3\1\" &amp; K2375, "Ver Imagen")</f>
        <v/>
      </c>
      <c r="M2375" t="inlineStr">
        <is>
          <t>Moda</t>
        </is>
      </c>
    </row>
    <row r="2376">
      <c r="A2376" t="n">
        <v>2375</v>
      </c>
      <c r="B2376" t="inlineStr">
        <is>
          <t>A-5052__305</t>
        </is>
      </c>
      <c r="C2376" s="1" t="n">
        <v>37.211200072</v>
      </c>
      <c r="D2376" s="1" t="n">
        <v>-7.05037610516</v>
      </c>
      <c r="E2376" s="3" t="n">
        <v>2</v>
      </c>
      <c r="F2376" s="2" t="n">
        <v>3</v>
      </c>
      <c r="G2376" s="4" t="n">
        <v>3</v>
      </c>
      <c r="H2376" s="13" t="n"/>
      <c r="I2376" s="15" t="n"/>
      <c r="J2376" s="19" t="n">
        <v>3</v>
      </c>
      <c r="K2376" s="2" t="inlineStr">
        <is>
          <t>marker_864_961011.png</t>
        </is>
      </c>
      <c r="L2376" s="11">
        <f>HYPERLINK("3\1\" &amp; K2376, "Ver Imagen")</f>
        <v/>
      </c>
      <c r="M2376" t="inlineStr">
        <is>
          <t>Moda</t>
        </is>
      </c>
    </row>
    <row r="2377">
      <c r="A2377" t="n">
        <v>2376</v>
      </c>
      <c r="B2377" t="inlineStr">
        <is>
          <t>A-5052__315</t>
        </is>
      </c>
      <c r="C2377" s="1" t="n">
        <v>37.2117602319</v>
      </c>
      <c r="D2377" s="1" t="n">
        <v>-7.04798181643</v>
      </c>
      <c r="E2377" s="3" t="n">
        <v>2</v>
      </c>
      <c r="F2377" s="2" t="n">
        <v>3</v>
      </c>
      <c r="G2377" s="4" t="n">
        <v>3</v>
      </c>
      <c r="H2377" s="13" t="n"/>
      <c r="I2377" s="15" t="n"/>
      <c r="J2377" s="19" t="n">
        <v>3</v>
      </c>
      <c r="K2377" s="2" t="inlineStr">
        <is>
          <t>marker_390_961183.png</t>
        </is>
      </c>
      <c r="L2377" s="11">
        <f>HYPERLINK("3\1\" &amp; K2377, "Ver Imagen")</f>
        <v/>
      </c>
      <c r="M2377" t="inlineStr">
        <is>
          <t>Moda</t>
        </is>
      </c>
    </row>
    <row r="2378">
      <c r="A2378" t="n">
        <v>2377</v>
      </c>
      <c r="B2378" t="inlineStr">
        <is>
          <t>A-5052__316</t>
        </is>
      </c>
      <c r="C2378" s="1" t="n">
        <v>37.2117338652</v>
      </c>
      <c r="D2378" s="1" t="n">
        <v>-7.04770279989</v>
      </c>
      <c r="E2378" s="3" t="n">
        <v>2</v>
      </c>
      <c r="F2378" s="2" t="n">
        <v>3</v>
      </c>
      <c r="G2378" s="4" t="n">
        <v>3</v>
      </c>
      <c r="H2378" s="13" t="n"/>
      <c r="I2378" s="15" t="n"/>
      <c r="J2378" s="19" t="n">
        <v>3</v>
      </c>
      <c r="K2378" s="2" t="inlineStr">
        <is>
          <t>marker_438_961193.png</t>
        </is>
      </c>
      <c r="L2378" s="11">
        <f>HYPERLINK("3\1\" &amp; K2378, "Ver Imagen")</f>
        <v/>
      </c>
      <c r="M2378" t="inlineStr">
        <is>
          <t>Moda</t>
        </is>
      </c>
    </row>
    <row r="2379">
      <c r="A2379" t="n">
        <v>2378</v>
      </c>
      <c r="B2379" t="inlineStr">
        <is>
          <t>A-5052__320</t>
        </is>
      </c>
      <c r="C2379" s="1" t="n">
        <v>37.211559398</v>
      </c>
      <c r="D2379" s="1" t="n">
        <v>-7.04671453949</v>
      </c>
      <c r="E2379" s="3" t="n">
        <v>2</v>
      </c>
      <c r="F2379" s="2" t="n">
        <v>3</v>
      </c>
      <c r="G2379" s="4" t="n">
        <v>3</v>
      </c>
      <c r="H2379" s="13" t="n"/>
      <c r="I2379" s="15" t="n"/>
      <c r="J2379" s="19" t="n">
        <v>3</v>
      </c>
      <c r="K2379" s="2" t="inlineStr">
        <is>
          <t>marker_565_961270.png</t>
        </is>
      </c>
      <c r="L2379" s="11">
        <f>HYPERLINK("3\1\" &amp; K2379, "Ver Imagen")</f>
        <v/>
      </c>
      <c r="M2379" t="inlineStr">
        <is>
          <t>Moda</t>
        </is>
      </c>
    </row>
    <row r="2380">
      <c r="A2380" t="n">
        <v>2379</v>
      </c>
      <c r="B2380" t="inlineStr">
        <is>
          <t>A-5052__329</t>
        </is>
      </c>
      <c r="C2380" s="1" t="n">
        <v>37.2110275597</v>
      </c>
      <c r="D2380" s="1" t="n">
        <v>-7.04450629617</v>
      </c>
      <c r="E2380" s="3" t="n">
        <v>2</v>
      </c>
      <c r="F2380" s="2" t="n">
        <v>3</v>
      </c>
      <c r="G2380" s="4" t="n">
        <v>3</v>
      </c>
      <c r="H2380" s="13" t="n"/>
      <c r="I2380" s="15" t="n"/>
      <c r="J2380" s="19" t="n">
        <v>3</v>
      </c>
      <c r="K2380" s="2" t="inlineStr">
        <is>
          <t>marker_805_961491.png</t>
        </is>
      </c>
      <c r="L2380" s="11">
        <f>HYPERLINK("3\1\" &amp; K2380, "Ver Imagen")</f>
        <v/>
      </c>
      <c r="M2380" t="inlineStr">
        <is>
          <t>Moda</t>
        </is>
      </c>
    </row>
    <row r="2381">
      <c r="A2381" t="n">
        <v>2380</v>
      </c>
      <c r="B2381" t="inlineStr">
        <is>
          <t>A-5052__336</t>
        </is>
      </c>
      <c r="C2381" s="1" t="n">
        <v>37.210461176</v>
      </c>
      <c r="D2381" s="1" t="n">
        <v>-7.04298017171</v>
      </c>
      <c r="E2381" s="3" t="n">
        <v>2</v>
      </c>
      <c r="F2381" s="2" t="n">
        <v>3</v>
      </c>
      <c r="G2381" s="4" t="n">
        <v>3</v>
      </c>
      <c r="H2381" s="13" t="n"/>
      <c r="I2381" s="15" t="n"/>
      <c r="J2381" s="19" t="n">
        <v>3</v>
      </c>
      <c r="K2381" s="2" t="inlineStr">
        <is>
          <t>marker_567_961569.png</t>
        </is>
      </c>
      <c r="L2381" s="11">
        <f>HYPERLINK("3\1\" &amp; K2381, "Ver Imagen")</f>
        <v/>
      </c>
      <c r="M2381" t="inlineStr">
        <is>
          <t>Moda</t>
        </is>
      </c>
    </row>
    <row r="2382">
      <c r="A2382" t="n">
        <v>2381</v>
      </c>
      <c r="B2382" t="inlineStr">
        <is>
          <t>A-5052__349</t>
        </is>
      </c>
      <c r="C2382" s="1" t="n">
        <v>37.2093350088</v>
      </c>
      <c r="D2382" s="1" t="n">
        <v>-7.03996691709</v>
      </c>
      <c r="E2382" s="3" t="n">
        <v>2</v>
      </c>
      <c r="F2382" s="2" t="n">
        <v>3</v>
      </c>
      <c r="G2382" s="4" t="n">
        <v>3</v>
      </c>
      <c r="H2382" s="13" t="n"/>
      <c r="I2382" s="15" t="n"/>
      <c r="J2382" s="19" t="n">
        <v>3</v>
      </c>
      <c r="K2382" s="2" t="inlineStr">
        <is>
          <t>marker_580_961734.png</t>
        </is>
      </c>
      <c r="L2382" s="11">
        <f>HYPERLINK("3\1\" &amp; K2382, "Ver Imagen")</f>
        <v/>
      </c>
      <c r="M2382" t="inlineStr">
        <is>
          <t>Moda</t>
        </is>
      </c>
    </row>
    <row r="2383">
      <c r="A2383" t="n">
        <v>2382</v>
      </c>
      <c r="B2383" t="inlineStr">
        <is>
          <t>A-5052__350</t>
        </is>
      </c>
      <c r="C2383" s="1" t="n">
        <v>37.2092366804</v>
      </c>
      <c r="D2383" s="1" t="n">
        <v>-7.03971079319</v>
      </c>
      <c r="E2383" s="3" t="n">
        <v>2</v>
      </c>
      <c r="F2383" s="2" t="n">
        <v>3</v>
      </c>
      <c r="G2383" s="4" t="n">
        <v>3</v>
      </c>
      <c r="H2383" s="13" t="n"/>
      <c r="I2383" s="15" t="n"/>
      <c r="J2383" s="19" t="n">
        <v>3</v>
      </c>
      <c r="K2383" s="2" t="inlineStr">
        <is>
          <t>marker_501_961745.png</t>
        </is>
      </c>
      <c r="L2383" s="11">
        <f>HYPERLINK("3\1\" &amp; K2383, "Ver Imagen")</f>
        <v/>
      </c>
      <c r="M2383" t="inlineStr">
        <is>
          <t>Moda</t>
        </is>
      </c>
    </row>
    <row r="2384">
      <c r="A2384" t="n">
        <v>2383</v>
      </c>
      <c r="B2384" t="inlineStr">
        <is>
          <t>A-5052__351</t>
        </is>
      </c>
      <c r="C2384" s="1" t="n">
        <v>37.2091543307</v>
      </c>
      <c r="D2384" s="1" t="n">
        <v>-7.03950167563</v>
      </c>
      <c r="E2384" s="3" t="n">
        <v>2</v>
      </c>
      <c r="F2384" s="2" t="n">
        <v>3</v>
      </c>
      <c r="G2384" s="4" t="n">
        <v>3</v>
      </c>
      <c r="H2384" s="13" t="n"/>
      <c r="I2384" s="15" t="n"/>
      <c r="J2384" s="19" t="n">
        <v>3</v>
      </c>
      <c r="K2384" s="2" t="inlineStr">
        <is>
          <t>marker_699_961757.png</t>
        </is>
      </c>
      <c r="L2384" s="11">
        <f>HYPERLINK("3\1\" &amp; K2384, "Ver Imagen")</f>
        <v/>
      </c>
      <c r="M2384" t="inlineStr">
        <is>
          <t>Moda</t>
        </is>
      </c>
    </row>
    <row r="2385">
      <c r="A2385" t="n">
        <v>2384</v>
      </c>
      <c r="B2385" t="inlineStr">
        <is>
          <t>A-5052__362</t>
        </is>
      </c>
      <c r="C2385" s="1" t="n">
        <v>37.208188092</v>
      </c>
      <c r="D2385" s="1" t="n">
        <v>-7.03701349798</v>
      </c>
      <c r="E2385" s="3" t="n">
        <v>2</v>
      </c>
      <c r="F2385" s="2" t="n">
        <v>3</v>
      </c>
      <c r="G2385" s="4" t="n">
        <v>3</v>
      </c>
      <c r="H2385" s="13" t="n"/>
      <c r="I2385" s="15" t="n"/>
      <c r="J2385" s="19" t="n">
        <v>3</v>
      </c>
      <c r="K2385" s="2" t="inlineStr">
        <is>
          <t>marker_998_961879.png</t>
        </is>
      </c>
      <c r="L2385" s="11">
        <f>HYPERLINK("3\1\" &amp; K2385, "Ver Imagen")</f>
        <v/>
      </c>
      <c r="M2385" t="inlineStr">
        <is>
          <t>Moda</t>
        </is>
      </c>
    </row>
    <row r="2386">
      <c r="A2386" t="n">
        <v>2385</v>
      </c>
      <c r="B2386" t="inlineStr">
        <is>
          <t>A-5052__365</t>
        </is>
      </c>
      <c r="C2386" s="1" t="n">
        <v>37.2079282104</v>
      </c>
      <c r="D2386" s="1" t="n">
        <v>-7.03634349705</v>
      </c>
      <c r="E2386" s="3" t="n">
        <v>3</v>
      </c>
      <c r="F2386" s="2" t="n">
        <v>3</v>
      </c>
      <c r="G2386" s="4" t="n">
        <v>2</v>
      </c>
      <c r="H2386" s="13" t="n"/>
      <c r="I2386" s="15" t="n"/>
      <c r="J2386" s="19" t="n">
        <v>3</v>
      </c>
      <c r="K2386" s="2" t="inlineStr">
        <is>
          <t>marker_466_961931.png</t>
        </is>
      </c>
      <c r="L2386" s="11">
        <f>HYPERLINK("3\1\" &amp; K2386, "Ver Imagen")</f>
        <v/>
      </c>
      <c r="M2386" t="inlineStr">
        <is>
          <t>Moda</t>
        </is>
      </c>
    </row>
    <row r="2387">
      <c r="A2387" t="n">
        <v>2386</v>
      </c>
      <c r="B2387" t="inlineStr">
        <is>
          <t>A-5052__368</t>
        </is>
      </c>
      <c r="C2387" s="1" t="n">
        <v>37.2076529518</v>
      </c>
      <c r="D2387" s="1" t="n">
        <v>-7.03562388248</v>
      </c>
      <c r="E2387" s="3" t="n">
        <v>3</v>
      </c>
      <c r="F2387" s="2" t="n">
        <v>3</v>
      </c>
      <c r="G2387" s="4" t="n">
        <v>2</v>
      </c>
      <c r="H2387" s="13" t="n"/>
      <c r="I2387" s="15" t="n"/>
      <c r="J2387" s="19" t="n">
        <v>3</v>
      </c>
      <c r="K2387" s="2" t="inlineStr">
        <is>
          <t>marker_962_962273.png</t>
        </is>
      </c>
      <c r="L2387" s="11">
        <f>HYPERLINK("3\1\" &amp; K2387, "Ver Imagen")</f>
        <v/>
      </c>
      <c r="M2387" t="inlineStr">
        <is>
          <t>Moda</t>
        </is>
      </c>
    </row>
    <row r="2388">
      <c r="A2388" t="n">
        <v>2387</v>
      </c>
      <c r="B2388" t="inlineStr">
        <is>
          <t>A-5052__371</t>
        </is>
      </c>
      <c r="C2388" s="1" t="n">
        <v>37.2073928383</v>
      </c>
      <c r="D2388" s="1" t="n">
        <v>-7.03495819947</v>
      </c>
      <c r="E2388" s="3" t="n">
        <v>2</v>
      </c>
      <c r="F2388" s="2" t="n">
        <v>3</v>
      </c>
      <c r="G2388" s="4" t="n">
        <v>3</v>
      </c>
      <c r="H2388" s="13" t="n"/>
      <c r="I2388" s="15" t="n"/>
      <c r="J2388" s="19" t="n">
        <v>3</v>
      </c>
      <c r="K2388" s="2" t="inlineStr">
        <is>
          <t>marker_399_962304.png</t>
        </is>
      </c>
      <c r="L2388" s="11">
        <f>HYPERLINK("3\1\" &amp; K2388, "Ver Imagen")</f>
        <v/>
      </c>
      <c r="M2388" t="inlineStr">
        <is>
          <t>Moda</t>
        </is>
      </c>
    </row>
    <row r="2389">
      <c r="A2389" t="n">
        <v>2388</v>
      </c>
      <c r="B2389" t="inlineStr">
        <is>
          <t>A-5052__382</t>
        </is>
      </c>
      <c r="C2389" s="1" t="n">
        <v>37.2064297427</v>
      </c>
      <c r="D2389" s="1" t="n">
        <v>-7.03245678462</v>
      </c>
      <c r="E2389" s="3" t="n">
        <v>2</v>
      </c>
      <c r="F2389" s="2" t="n">
        <v>3</v>
      </c>
      <c r="G2389" s="4" t="n">
        <v>3</v>
      </c>
      <c r="H2389" s="13" t="n"/>
      <c r="I2389" s="15" t="n"/>
      <c r="J2389" s="19" t="n">
        <v>3</v>
      </c>
      <c r="K2389" s="2" t="inlineStr">
        <is>
          <t>marker_725_962502.png</t>
        </is>
      </c>
      <c r="L2389" s="11">
        <f>HYPERLINK("3\1\" &amp; K2389, "Ver Imagen")</f>
        <v/>
      </c>
      <c r="M2389" t="inlineStr">
        <is>
          <t>Moda</t>
        </is>
      </c>
    </row>
    <row r="2390">
      <c r="A2390" t="n">
        <v>2389</v>
      </c>
      <c r="B2390" t="inlineStr">
        <is>
          <t>A-5052__387</t>
        </is>
      </c>
      <c r="C2390" s="1" t="n">
        <v>37.2059820411</v>
      </c>
      <c r="D2390" s="1" t="n">
        <v>-7.03130256625</v>
      </c>
      <c r="E2390" s="3" t="n">
        <v>2</v>
      </c>
      <c r="F2390" s="2" t="n">
        <v>3</v>
      </c>
      <c r="G2390" s="4" t="n">
        <v>3</v>
      </c>
      <c r="H2390" s="13" t="n"/>
      <c r="I2390" s="15" t="n"/>
      <c r="J2390" s="19" t="n">
        <v>3</v>
      </c>
      <c r="K2390" s="2" t="inlineStr">
        <is>
          <t>marker_716_962548.png</t>
        </is>
      </c>
      <c r="L2390" s="11">
        <f>HYPERLINK("3\1\" &amp; K2390, "Ver Imagen")</f>
        <v/>
      </c>
      <c r="M2390" t="inlineStr">
        <is>
          <t>Moda</t>
        </is>
      </c>
    </row>
    <row r="2391">
      <c r="A2391" t="n">
        <v>2390</v>
      </c>
      <c r="B2391" t="inlineStr">
        <is>
          <t>A-5052__388</t>
        </is>
      </c>
      <c r="C2391" s="1" t="n">
        <v>37.2058899382</v>
      </c>
      <c r="D2391" s="1" t="n">
        <v>-7.03105830871</v>
      </c>
      <c r="E2391" s="3" t="n">
        <v>2</v>
      </c>
      <c r="F2391" s="2" t="n">
        <v>3</v>
      </c>
      <c r="G2391" s="4" t="n">
        <v>3</v>
      </c>
      <c r="H2391" s="13" t="n"/>
      <c r="I2391" s="15" t="n"/>
      <c r="J2391" s="19" t="n">
        <v>3</v>
      </c>
      <c r="K2391" s="2" t="inlineStr">
        <is>
          <t>marker_590_962558.png</t>
        </is>
      </c>
      <c r="L2391" s="11">
        <f>HYPERLINK("3\1\" &amp; K2391, "Ver Imagen")</f>
        <v/>
      </c>
      <c r="M2391" t="inlineStr">
        <is>
          <t>Moda</t>
        </is>
      </c>
    </row>
    <row r="2392">
      <c r="A2392" t="n">
        <v>2391</v>
      </c>
      <c r="B2392" t="inlineStr">
        <is>
          <t>A-5052__393</t>
        </is>
      </c>
      <c r="C2392" s="1" t="n">
        <v>37.2054619562</v>
      </c>
      <c r="D2392" s="1" t="n">
        <v>-7.02994350743</v>
      </c>
      <c r="E2392" s="3" t="n">
        <v>2</v>
      </c>
      <c r="F2392" s="2" t="n">
        <v>3</v>
      </c>
      <c r="G2392" s="4" t="n">
        <v>3</v>
      </c>
      <c r="H2392" s="13" t="n"/>
      <c r="I2392" s="15" t="n"/>
      <c r="J2392" s="19" t="n">
        <v>3</v>
      </c>
      <c r="K2392" s="2" t="inlineStr">
        <is>
          <t>marker_509_962604.png</t>
        </is>
      </c>
      <c r="L2392" s="11">
        <f>HYPERLINK("3\1\" &amp; K2392, "Ver Imagen")</f>
        <v/>
      </c>
      <c r="M2392" t="inlineStr">
        <is>
          <t>Moda</t>
        </is>
      </c>
    </row>
    <row r="2393">
      <c r="A2393" t="n">
        <v>2392</v>
      </c>
      <c r="B2393" t="inlineStr">
        <is>
          <t>A-5052__396</t>
        </is>
      </c>
      <c r="C2393" s="1" t="n">
        <v>37.2052033213</v>
      </c>
      <c r="D2393" s="1" t="n">
        <v>-7.02925464204</v>
      </c>
      <c r="E2393" s="3" t="n">
        <v>2</v>
      </c>
      <c r="F2393" s="2" t="n">
        <v>3</v>
      </c>
      <c r="G2393" s="4" t="n">
        <v>3</v>
      </c>
      <c r="H2393" s="13" t="n"/>
      <c r="I2393" s="15" t="n"/>
      <c r="J2393" s="19" t="n">
        <v>3</v>
      </c>
      <c r="K2393" s="2" t="inlineStr">
        <is>
          <t>marker_457_962629.png</t>
        </is>
      </c>
      <c r="L2393" s="11">
        <f>HYPERLINK("3\1\" &amp; K2393, "Ver Imagen")</f>
        <v/>
      </c>
      <c r="M2393" t="inlineStr">
        <is>
          <t>Moda</t>
        </is>
      </c>
    </row>
    <row r="2394">
      <c r="A2394" t="n">
        <v>2393</v>
      </c>
      <c r="B2394" t="inlineStr">
        <is>
          <t>A-5052__397</t>
        </is>
      </c>
      <c r="C2394" s="1" t="n">
        <v>37.2051190447</v>
      </c>
      <c r="D2394" s="1" t="n">
        <v>-7.02903749599</v>
      </c>
      <c r="E2394" s="3" t="n">
        <v>2</v>
      </c>
      <c r="F2394" s="2" t="n">
        <v>3</v>
      </c>
      <c r="G2394" s="4" t="n">
        <v>3</v>
      </c>
      <c r="H2394" s="13" t="n"/>
      <c r="I2394" s="15" t="n"/>
      <c r="J2394" s="19" t="n">
        <v>3</v>
      </c>
      <c r="K2394" s="2" t="inlineStr">
        <is>
          <t>marker_511_962638.png</t>
        </is>
      </c>
      <c r="L2394" s="11">
        <f>HYPERLINK("3\1\" &amp; K2394, "Ver Imagen")</f>
        <v/>
      </c>
      <c r="M2394" t="inlineStr">
        <is>
          <t>Moda</t>
        </is>
      </c>
    </row>
    <row r="2395">
      <c r="A2395" t="n">
        <v>2394</v>
      </c>
      <c r="B2395" t="inlineStr">
        <is>
          <t>A-5052__400</t>
        </is>
      </c>
      <c r="C2395" s="1" t="n">
        <v>37.2048138974</v>
      </c>
      <c r="D2395" s="1" t="n">
        <v>-7.02837795408</v>
      </c>
      <c r="E2395" s="3" t="n">
        <v>2</v>
      </c>
      <c r="F2395" s="2" t="n">
        <v>3</v>
      </c>
      <c r="G2395" s="4" t="n">
        <v>3</v>
      </c>
      <c r="H2395" s="13" t="n"/>
      <c r="I2395" s="15" t="n"/>
      <c r="J2395" s="19" t="n">
        <v>3</v>
      </c>
      <c r="K2395" s="2" t="inlineStr">
        <is>
          <t>marker_893_962665.png</t>
        </is>
      </c>
      <c r="L2395" s="11">
        <f>HYPERLINK("3\1\" &amp; K2395, "Ver Imagen")</f>
        <v/>
      </c>
      <c r="M2395" t="inlineStr">
        <is>
          <t>Moda</t>
        </is>
      </c>
    </row>
    <row r="2396">
      <c r="A2396" t="n">
        <v>2395</v>
      </c>
      <c r="B2396" t="inlineStr">
        <is>
          <t>A-5052__445</t>
        </is>
      </c>
      <c r="C2396" s="1" t="n">
        <v>37.2009239718</v>
      </c>
      <c r="D2396" s="1" t="n">
        <v>-7.01810042339</v>
      </c>
      <c r="E2396" s="3" t="n">
        <v>2</v>
      </c>
      <c r="F2396" s="2" t="n">
        <v>3</v>
      </c>
      <c r="G2396" s="4" t="n">
        <v>3</v>
      </c>
      <c r="H2396" s="13" t="n"/>
      <c r="I2396" s="15" t="n"/>
      <c r="J2396" s="19" t="n">
        <v>3</v>
      </c>
      <c r="K2396" s="2" t="inlineStr">
        <is>
          <t>marker_564_963128.png</t>
        </is>
      </c>
      <c r="L2396" s="11">
        <f>HYPERLINK("3\1\" &amp; K2396, "Ver Imagen")</f>
        <v/>
      </c>
      <c r="M2396" t="inlineStr">
        <is>
          <t>Moda</t>
        </is>
      </c>
    </row>
    <row r="2397">
      <c r="A2397" t="n">
        <v>2396</v>
      </c>
      <c r="B2397" t="inlineStr">
        <is>
          <t>A-5052__446</t>
        </is>
      </c>
      <c r="C2397" s="1" t="n">
        <v>37.2008313791</v>
      </c>
      <c r="D2397" s="1" t="n">
        <v>-7.01786043893</v>
      </c>
      <c r="E2397" s="3" t="n">
        <v>2</v>
      </c>
      <c r="F2397" s="2" t="n">
        <v>3</v>
      </c>
      <c r="G2397" s="4" t="n">
        <v>3</v>
      </c>
      <c r="H2397" s="13" t="n"/>
      <c r="I2397" s="15" t="n"/>
      <c r="J2397" s="19" t="n">
        <v>3</v>
      </c>
      <c r="K2397" s="2" t="inlineStr">
        <is>
          <t>marker_237_963137.png</t>
        </is>
      </c>
      <c r="L2397" s="11">
        <f>HYPERLINK("3\1\" &amp; K2397, "Ver Imagen")</f>
        <v/>
      </c>
      <c r="M2397" t="inlineStr">
        <is>
          <t>Moda</t>
        </is>
      </c>
    </row>
    <row r="2398">
      <c r="A2398" t="n">
        <v>2397</v>
      </c>
      <c r="B2398" t="inlineStr">
        <is>
          <t>A-5052__474</t>
        </is>
      </c>
      <c r="C2398" s="1" t="n">
        <v>37.1983804407</v>
      </c>
      <c r="D2398" s="1" t="n">
        <v>-7.01148758469</v>
      </c>
      <c r="E2398" s="3" t="n">
        <v>2</v>
      </c>
      <c r="F2398" s="2" t="n">
        <v>3</v>
      </c>
      <c r="G2398" s="4" t="n">
        <v>3</v>
      </c>
      <c r="H2398" s="13" t="n"/>
      <c r="I2398" s="15" t="n"/>
      <c r="J2398" s="19" t="n">
        <v>3</v>
      </c>
      <c r="K2398" s="2" t="inlineStr">
        <is>
          <t>marker_551_963432.png</t>
        </is>
      </c>
      <c r="L2398" s="11">
        <f>HYPERLINK("3\1\" &amp; K2398, "Ver Imagen")</f>
        <v/>
      </c>
      <c r="M2398" t="inlineStr">
        <is>
          <t>Moda</t>
        </is>
      </c>
    </row>
    <row r="2399">
      <c r="A2399" t="n">
        <v>2398</v>
      </c>
      <c r="B2399" t="inlineStr">
        <is>
          <t>A-5052__479</t>
        </is>
      </c>
      <c r="C2399" s="1" t="n">
        <v>37.19794075</v>
      </c>
      <c r="D2399" s="1" t="n">
        <v>-7.01035414138</v>
      </c>
      <c r="E2399" s="3" t="n">
        <v>2</v>
      </c>
      <c r="F2399" s="2" t="n">
        <v>3</v>
      </c>
      <c r="G2399" s="4" t="n">
        <v>3</v>
      </c>
      <c r="H2399" s="13" t="n"/>
      <c r="I2399" s="15" t="n"/>
      <c r="J2399" s="19" t="n">
        <v>3</v>
      </c>
      <c r="K2399" s="2" t="inlineStr">
        <is>
          <t>marker_427_963482.png</t>
        </is>
      </c>
      <c r="L2399" s="11">
        <f>HYPERLINK("3\1\" &amp; K2399, "Ver Imagen")</f>
        <v/>
      </c>
      <c r="M2399" t="inlineStr">
        <is>
          <t>Moda</t>
        </is>
      </c>
    </row>
    <row r="2400">
      <c r="A2400" t="n">
        <v>2399</v>
      </c>
      <c r="B2400" t="inlineStr">
        <is>
          <t>A-5052__480</t>
        </is>
      </c>
      <c r="C2400" s="1" t="n">
        <v>37.1978615229</v>
      </c>
      <c r="D2400" s="1" t="n">
        <v>-7.01014702932</v>
      </c>
      <c r="E2400" s="3" t="n">
        <v>2</v>
      </c>
      <c r="F2400" s="2" t="n">
        <v>3</v>
      </c>
      <c r="G2400" s="4" t="n">
        <v>3</v>
      </c>
      <c r="H2400" s="13" t="n"/>
      <c r="I2400" s="15" t="n"/>
      <c r="J2400" s="19" t="n">
        <v>3</v>
      </c>
      <c r="K2400" s="2" t="inlineStr">
        <is>
          <t>marker_346_963491.png</t>
        </is>
      </c>
      <c r="L2400" s="11">
        <f>HYPERLINK("3\1\" &amp; K2400, "Ver Imagen")</f>
        <v/>
      </c>
      <c r="M2400" t="inlineStr">
        <is>
          <t>Moda</t>
        </is>
      </c>
    </row>
    <row r="2401">
      <c r="A2401" t="n">
        <v>2400</v>
      </c>
      <c r="B2401" t="inlineStr">
        <is>
          <t>A-5053__378</t>
        </is>
      </c>
      <c r="C2401" s="1" t="n">
        <v>37.2879503244</v>
      </c>
      <c r="D2401" s="1" t="n">
        <v>-7.14158401364</v>
      </c>
      <c r="E2401" s="3" t="n">
        <v>2</v>
      </c>
      <c r="F2401" s="2" t="n">
        <v>3</v>
      </c>
      <c r="G2401" s="4" t="n">
        <v>3</v>
      </c>
      <c r="H2401" s="13" t="n"/>
      <c r="I2401" s="15" t="n"/>
      <c r="J2401" s="19" t="n">
        <v>3</v>
      </c>
      <c r="K2401" s="2" t="inlineStr">
        <is>
          <t>marker_696_963876.png</t>
        </is>
      </c>
      <c r="L2401" s="11">
        <f>HYPERLINK("3\1\" &amp; K2401, "Ver Imagen")</f>
        <v/>
      </c>
      <c r="M2401" t="inlineStr">
        <is>
          <t>Moda</t>
        </is>
      </c>
    </row>
    <row r="2402">
      <c r="A2402" t="n">
        <v>2401</v>
      </c>
      <c r="B2402" t="inlineStr">
        <is>
          <t>A-5053__363</t>
        </is>
      </c>
      <c r="C2402" s="1" t="n">
        <v>37.2853153244</v>
      </c>
      <c r="D2402" s="1" t="n">
        <v>-7.14249523696</v>
      </c>
      <c r="E2402" s="3" t="n">
        <v>2</v>
      </c>
      <c r="F2402" s="2" t="n">
        <v>3</v>
      </c>
      <c r="G2402" s="4" t="n">
        <v>3</v>
      </c>
      <c r="H2402" s="13" t="n"/>
      <c r="I2402" s="15" t="n"/>
      <c r="J2402" s="19" t="n">
        <v>3</v>
      </c>
      <c r="K2402" s="2" t="inlineStr">
        <is>
          <t>marker_388_964027.png</t>
        </is>
      </c>
      <c r="L2402" s="11">
        <f>HYPERLINK("3\1\" &amp; K2402, "Ver Imagen")</f>
        <v/>
      </c>
      <c r="M2402" t="inlineStr">
        <is>
          <t>Moda</t>
        </is>
      </c>
    </row>
    <row r="2403">
      <c r="A2403" t="n">
        <v>2402</v>
      </c>
      <c r="B2403" t="inlineStr">
        <is>
          <t>A-5053__362</t>
        </is>
      </c>
      <c r="C2403" s="1" t="n">
        <v>37.2852013007</v>
      </c>
      <c r="D2403" s="1" t="n">
        <v>-7.14268288546</v>
      </c>
      <c r="E2403" s="3" t="n">
        <v>2</v>
      </c>
      <c r="F2403" s="2" t="n">
        <v>3</v>
      </c>
      <c r="G2403" s="4" t="n">
        <v>3</v>
      </c>
      <c r="H2403" s="13" t="n"/>
      <c r="I2403" s="15" t="n"/>
      <c r="J2403" s="19" t="n">
        <v>3</v>
      </c>
      <c r="K2403" s="2" t="inlineStr">
        <is>
          <t>marker_433_964040.png</t>
        </is>
      </c>
      <c r="L2403" s="11">
        <f>HYPERLINK("3\1\" &amp; K2403, "Ver Imagen")</f>
        <v/>
      </c>
      <c r="M2403" t="inlineStr">
        <is>
          <t>Moda</t>
        </is>
      </c>
    </row>
    <row r="2404">
      <c r="A2404" t="n">
        <v>2403</v>
      </c>
      <c r="B2404" t="inlineStr">
        <is>
          <t>A-5053__360</t>
        </is>
      </c>
      <c r="C2404" s="1" t="n">
        <v>37.2849856347</v>
      </c>
      <c r="D2404" s="1" t="n">
        <v>-7.14307963396</v>
      </c>
      <c r="E2404" s="3" t="n">
        <v>2</v>
      </c>
      <c r="F2404" s="2" t="n">
        <v>3</v>
      </c>
      <c r="G2404" s="4" t="n">
        <v>3</v>
      </c>
      <c r="H2404" s="13" t="n"/>
      <c r="I2404" s="15" t="n"/>
      <c r="J2404" s="19" t="n">
        <v>3</v>
      </c>
      <c r="K2404" s="2" t="inlineStr">
        <is>
          <t>marker_864_964065.png</t>
        </is>
      </c>
      <c r="L2404" s="11">
        <f>HYPERLINK("3\1\" &amp; K2404, "Ver Imagen")</f>
        <v/>
      </c>
      <c r="M2404" t="inlineStr">
        <is>
          <t>Moda</t>
        </is>
      </c>
    </row>
    <row r="2405">
      <c r="A2405" t="n">
        <v>2404</v>
      </c>
      <c r="B2405" t="inlineStr">
        <is>
          <t>A-5053__330</t>
        </is>
      </c>
      <c r="C2405" s="1" t="n">
        <v>37.2797351984</v>
      </c>
      <c r="D2405" s="1" t="n">
        <v>-7.14537795778</v>
      </c>
      <c r="E2405" s="3" t="n">
        <v>2</v>
      </c>
      <c r="F2405" s="2" t="n">
        <v>3</v>
      </c>
      <c r="G2405" s="4" t="n">
        <v>3</v>
      </c>
      <c r="H2405" s="13" t="n"/>
      <c r="I2405" s="15" t="n"/>
      <c r="J2405" s="19" t="n">
        <v>3</v>
      </c>
      <c r="K2405" s="2" t="inlineStr">
        <is>
          <t>marker_297_964467.png</t>
        </is>
      </c>
      <c r="L2405" s="11">
        <f>HYPERLINK("3\1\" &amp; K2405, "Ver Imagen")</f>
        <v/>
      </c>
      <c r="M2405" t="inlineStr">
        <is>
          <t>Moda</t>
        </is>
      </c>
    </row>
    <row r="2406">
      <c r="A2406" t="n">
        <v>2405</v>
      </c>
      <c r="B2406" t="inlineStr">
        <is>
          <t>A-5053__318</t>
        </is>
      </c>
      <c r="C2406" s="1" t="n">
        <v>37.277737791</v>
      </c>
      <c r="D2406" s="1" t="n">
        <v>-7.14365305917</v>
      </c>
      <c r="E2406" s="3" t="n">
        <v>2</v>
      </c>
      <c r="F2406" s="2" t="n">
        <v>3</v>
      </c>
      <c r="G2406" s="4" t="n">
        <v>3</v>
      </c>
      <c r="H2406" s="13" t="n"/>
      <c r="I2406" s="15" t="n"/>
      <c r="J2406" s="19" t="n">
        <v>3</v>
      </c>
      <c r="K2406" s="2" t="inlineStr">
        <is>
          <t>marker_422_964592.png</t>
        </is>
      </c>
      <c r="L2406" s="11">
        <f>HYPERLINK("3\1\" &amp; K2406, "Ver Imagen")</f>
        <v/>
      </c>
      <c r="M2406" t="inlineStr">
        <is>
          <t>Moda</t>
        </is>
      </c>
    </row>
    <row r="2407">
      <c r="A2407" t="n">
        <v>2406</v>
      </c>
      <c r="B2407" t="inlineStr">
        <is>
          <t>A-5053__315</t>
        </is>
      </c>
      <c r="C2407" s="1" t="n">
        <v>37.2771817578</v>
      </c>
      <c r="D2407" s="1" t="n">
        <v>-7.1433315832</v>
      </c>
      <c r="E2407" s="3" t="n">
        <v>3</v>
      </c>
      <c r="F2407" s="2" t="n">
        <v>3</v>
      </c>
      <c r="G2407" s="4" t="n">
        <v>2</v>
      </c>
      <c r="H2407" s="13" t="n"/>
      <c r="I2407" s="15" t="n"/>
      <c r="J2407" s="19" t="n">
        <v>3</v>
      </c>
      <c r="K2407" s="2" t="inlineStr">
        <is>
          <t>marker_425_964626.png</t>
        </is>
      </c>
      <c r="L2407" s="11">
        <f>HYPERLINK("3\1\" &amp; K2407, "Ver Imagen")</f>
        <v/>
      </c>
      <c r="M2407" t="inlineStr">
        <is>
          <t>Moda</t>
        </is>
      </c>
    </row>
    <row r="2408">
      <c r="A2408" t="n">
        <v>2407</v>
      </c>
      <c r="B2408" t="inlineStr">
        <is>
          <t>A-5053__301</t>
        </is>
      </c>
      <c r="C2408" s="1" t="n">
        <v>37.2744656533</v>
      </c>
      <c r="D2408" s="1" t="n">
        <v>-7.14242885521</v>
      </c>
      <c r="E2408" s="3" t="n">
        <v>2</v>
      </c>
      <c r="F2408" s="2" t="n">
        <v>3</v>
      </c>
      <c r="G2408" s="4" t="n">
        <v>3</v>
      </c>
      <c r="H2408" s="13" t="n"/>
      <c r="I2408" s="15" t="n"/>
      <c r="J2408" s="19" t="n">
        <v>3</v>
      </c>
      <c r="K2408" s="2" t="inlineStr">
        <is>
          <t>marker_588_964762.png</t>
        </is>
      </c>
      <c r="L2408" s="11">
        <f>HYPERLINK("3\1\" &amp; K2408, "Ver Imagen")</f>
        <v/>
      </c>
      <c r="M2408" t="inlineStr">
        <is>
          <t>Moda</t>
        </is>
      </c>
    </row>
    <row r="2409">
      <c r="A2409" t="n">
        <v>2408</v>
      </c>
      <c r="B2409" t="inlineStr">
        <is>
          <t>A-5053__300</t>
        </is>
      </c>
      <c r="C2409" s="1" t="n">
        <v>37.2742937681</v>
      </c>
      <c r="D2409" s="1" t="n">
        <v>-7.14235185373</v>
      </c>
      <c r="E2409" s="3" t="n">
        <v>3</v>
      </c>
      <c r="F2409" s="2" t="n">
        <v>3</v>
      </c>
      <c r="G2409" s="4" t="n">
        <v>2</v>
      </c>
      <c r="H2409" s="13" t="n"/>
      <c r="I2409" s="15" t="n"/>
      <c r="J2409" s="19" t="n">
        <v>3</v>
      </c>
      <c r="K2409" s="2" t="inlineStr">
        <is>
          <t>marker_654_964845.png</t>
        </is>
      </c>
      <c r="L2409" s="11">
        <f>HYPERLINK("3\1\" &amp; K2409, "Ver Imagen")</f>
        <v/>
      </c>
      <c r="M2409" t="inlineStr">
        <is>
          <t>Moda</t>
        </is>
      </c>
    </row>
    <row r="2410">
      <c r="A2410" t="n">
        <v>2409</v>
      </c>
      <c r="B2410" t="inlineStr">
        <is>
          <t>A-5053__240</t>
        </is>
      </c>
      <c r="C2410" s="1" t="n">
        <v>37.2657364915</v>
      </c>
      <c r="D2410" s="1" t="n">
        <v>-7.13268324511</v>
      </c>
      <c r="E2410" s="3" t="n">
        <v>2</v>
      </c>
      <c r="F2410" s="2" t="n">
        <v>3</v>
      </c>
      <c r="G2410" s="4" t="n">
        <v>3</v>
      </c>
      <c r="H2410" s="13" t="n"/>
      <c r="I2410" s="15" t="n"/>
      <c r="J2410" s="19" t="n">
        <v>3</v>
      </c>
      <c r="K2410" s="2" t="inlineStr">
        <is>
          <t>marker_443_965499.png</t>
        </is>
      </c>
      <c r="L2410" s="11">
        <f>HYPERLINK("3\1\" &amp; K2410, "Ver Imagen")</f>
        <v/>
      </c>
      <c r="M2410" t="inlineStr">
        <is>
          <t>Moda</t>
        </is>
      </c>
    </row>
    <row r="2411">
      <c r="A2411" t="n">
        <v>2410</v>
      </c>
      <c r="B2411" t="inlineStr">
        <is>
          <t>A-5053__229</t>
        </is>
      </c>
      <c r="C2411" s="1" t="n">
        <v>37.2637864768</v>
      </c>
      <c r="D2411" s="1" t="n">
        <v>-7.13146407684</v>
      </c>
      <c r="E2411" s="3" t="n">
        <v>2</v>
      </c>
      <c r="F2411" s="2" t="n">
        <v>3</v>
      </c>
      <c r="G2411" s="4" t="n">
        <v>3</v>
      </c>
      <c r="H2411" s="13" t="n"/>
      <c r="I2411" s="15" t="n"/>
      <c r="J2411" s="19" t="n">
        <v>3</v>
      </c>
      <c r="K2411" s="2" t="inlineStr">
        <is>
          <t>marker_881_965603.png</t>
        </is>
      </c>
      <c r="L2411" s="11">
        <f>HYPERLINK("3\1\" &amp; K2411, "Ver Imagen")</f>
        <v/>
      </c>
      <c r="M2411" t="inlineStr">
        <is>
          <t>Moda</t>
        </is>
      </c>
    </row>
    <row r="2412">
      <c r="A2412" t="n">
        <v>2411</v>
      </c>
      <c r="B2412" t="inlineStr">
        <is>
          <t>A-5053__227</t>
        </is>
      </c>
      <c r="C2412" s="1" t="n">
        <v>37.2633940611</v>
      </c>
      <c r="D2412" s="1" t="n">
        <v>-7.13121149045</v>
      </c>
      <c r="E2412" s="3" t="n">
        <v>3</v>
      </c>
      <c r="F2412" s="2" t="n">
        <v>3</v>
      </c>
      <c r="G2412" s="4" t="n">
        <v>2</v>
      </c>
      <c r="H2412" s="13" t="n"/>
      <c r="I2412" s="15" t="n"/>
      <c r="J2412" s="19" t="n">
        <v>3</v>
      </c>
      <c r="K2412" s="2" t="inlineStr">
        <is>
          <t>marker_138_965623.png</t>
        </is>
      </c>
      <c r="L2412" s="11">
        <f>HYPERLINK("3\1\" &amp; K2412, "Ver Imagen")</f>
        <v/>
      </c>
      <c r="M2412" t="inlineStr">
        <is>
          <t>Moda</t>
        </is>
      </c>
    </row>
    <row r="2413">
      <c r="A2413" t="n">
        <v>2412</v>
      </c>
      <c r="B2413" t="inlineStr">
        <is>
          <t>A-5053__206</t>
        </is>
      </c>
      <c r="C2413" s="1" t="n">
        <v>37.2596188792</v>
      </c>
      <c r="D2413" s="1" t="n">
        <v>-7.12884903099</v>
      </c>
      <c r="E2413" s="3" t="n">
        <v>2</v>
      </c>
      <c r="F2413" s="2" t="n">
        <v>3</v>
      </c>
      <c r="G2413" s="4" t="n">
        <v>3</v>
      </c>
      <c r="H2413" s="13" t="n"/>
      <c r="I2413" s="15" t="n"/>
      <c r="J2413" s="19" t="n">
        <v>3</v>
      </c>
      <c r="K2413" s="2" t="inlineStr">
        <is>
          <t>marker_445_965834.png</t>
        </is>
      </c>
      <c r="L2413" s="11">
        <f>HYPERLINK("3\1\" &amp; K2413, "Ver Imagen")</f>
        <v/>
      </c>
      <c r="M2413" t="inlineStr">
        <is>
          <t>Moda</t>
        </is>
      </c>
    </row>
    <row r="2414">
      <c r="A2414" t="n">
        <v>2413</v>
      </c>
      <c r="B2414" t="inlineStr">
        <is>
          <t>A-5053__152</t>
        </is>
      </c>
      <c r="C2414" s="1" t="n">
        <v>37.2491046567</v>
      </c>
      <c r="D2414" s="1" t="n">
        <v>-7.12741653044</v>
      </c>
      <c r="E2414" s="3" t="n">
        <v>2</v>
      </c>
      <c r="F2414" s="2" t="n">
        <v>3</v>
      </c>
      <c r="G2414" s="4" t="n">
        <v>3</v>
      </c>
      <c r="H2414" s="13" t="n"/>
      <c r="I2414" s="15" t="n"/>
      <c r="J2414" s="19" t="n">
        <v>3</v>
      </c>
      <c r="K2414" s="2" t="inlineStr">
        <is>
          <t>marker_806_966370.png</t>
        </is>
      </c>
      <c r="L2414" s="11">
        <f>HYPERLINK("3\1\" &amp; K2414, "Ver Imagen")</f>
        <v/>
      </c>
      <c r="M2414" t="inlineStr">
        <is>
          <t>Moda</t>
        </is>
      </c>
    </row>
    <row r="2415">
      <c r="A2415" t="n">
        <v>2414</v>
      </c>
      <c r="B2415" t="inlineStr">
        <is>
          <t>A-5053__143</t>
        </is>
      </c>
      <c r="C2415" s="1" t="n">
        <v>37.2472974035</v>
      </c>
      <c r="D2415" s="1" t="n">
        <v>-7.12768321445</v>
      </c>
      <c r="E2415" s="3" t="n">
        <v>2</v>
      </c>
      <c r="F2415" s="2" t="n">
        <v>3</v>
      </c>
      <c r="G2415" s="4" t="n">
        <v>3</v>
      </c>
      <c r="H2415" s="13" t="n"/>
      <c r="I2415" s="15" t="n"/>
      <c r="J2415" s="19" t="n">
        <v>3</v>
      </c>
      <c r="K2415" s="2" t="inlineStr">
        <is>
          <t>marker_750_966456.png</t>
        </is>
      </c>
      <c r="L2415" s="11">
        <f>HYPERLINK("3\1\" &amp; K2415, "Ver Imagen")</f>
        <v/>
      </c>
      <c r="M2415" t="inlineStr">
        <is>
          <t>Moda</t>
        </is>
      </c>
    </row>
    <row r="2416">
      <c r="A2416" t="n">
        <v>2415</v>
      </c>
      <c r="B2416" t="inlineStr">
        <is>
          <t>A-5053__100</t>
        </is>
      </c>
      <c r="C2416" s="1" t="n">
        <v>37.2386494443</v>
      </c>
      <c r="D2416" s="1" t="n">
        <v>-7.12843881172</v>
      </c>
      <c r="E2416" s="3" t="n">
        <v>2</v>
      </c>
      <c r="F2416" s="2" t="n">
        <v>3</v>
      </c>
      <c r="G2416" s="4" t="n">
        <v>3</v>
      </c>
      <c r="H2416" s="13" t="n"/>
      <c r="I2416" s="15" t="n"/>
      <c r="J2416" s="19" t="n">
        <v>3</v>
      </c>
      <c r="K2416" s="2" t="inlineStr">
        <is>
          <t>marker_606_019813.png</t>
        </is>
      </c>
      <c r="L2416" s="11">
        <f>HYPERLINK("3\1\" &amp; K2416, "Ver Imagen")</f>
        <v/>
      </c>
      <c r="M2416" t="inlineStr">
        <is>
          <t>Moda</t>
        </is>
      </c>
    </row>
    <row r="2417">
      <c r="A2417" t="n">
        <v>2416</v>
      </c>
      <c r="B2417" t="inlineStr">
        <is>
          <t>A-5053__95</t>
        </is>
      </c>
      <c r="C2417" s="1" t="n">
        <v>37.2376337621</v>
      </c>
      <c r="D2417" s="1" t="n">
        <v>-7.1283394487</v>
      </c>
      <c r="E2417" s="3" t="n">
        <v>2</v>
      </c>
      <c r="F2417" s="2" t="n">
        <v>3</v>
      </c>
      <c r="G2417" s="4" t="n">
        <v>3</v>
      </c>
      <c r="H2417" s="13" t="n"/>
      <c r="I2417" s="15" t="n"/>
      <c r="J2417" s="19" t="n">
        <v>3</v>
      </c>
      <c r="K2417" s="2" t="inlineStr">
        <is>
          <t>marker_583_019860.png</t>
        </is>
      </c>
      <c r="L2417" s="11">
        <f>HYPERLINK("3\1\" &amp; K2417, "Ver Imagen")</f>
        <v/>
      </c>
      <c r="M2417" t="inlineStr">
        <is>
          <t>Moda</t>
        </is>
      </c>
    </row>
    <row r="2418">
      <c r="A2418" t="n">
        <v>2417</v>
      </c>
      <c r="B2418" t="inlineStr">
        <is>
          <t>A-5053__38</t>
        </is>
      </c>
      <c r="C2418" s="1" t="n">
        <v>37.2262654505</v>
      </c>
      <c r="D2418" s="1" t="n">
        <v>-7.12616031857</v>
      </c>
      <c r="E2418" s="3" t="n">
        <v>2</v>
      </c>
      <c r="F2418" s="2" t="n">
        <v>3</v>
      </c>
      <c r="G2418" s="4" t="n">
        <v>3</v>
      </c>
      <c r="H2418" s="13" t="n"/>
      <c r="I2418" s="15" t="n"/>
      <c r="J2418" s="19" t="n">
        <v>3</v>
      </c>
      <c r="K2418" s="2" t="inlineStr">
        <is>
          <t>marker_711_021734.png</t>
        </is>
      </c>
      <c r="L2418" s="11">
        <f>HYPERLINK("3\1\" &amp; K2418, "Ver Imagen")</f>
        <v/>
      </c>
      <c r="M2418" t="inlineStr">
        <is>
          <t>Moda</t>
        </is>
      </c>
    </row>
    <row r="2419">
      <c r="A2419" t="n">
        <v>2418</v>
      </c>
      <c r="B2419" t="inlineStr">
        <is>
          <t>A-5053__36</t>
        </is>
      </c>
      <c r="C2419" s="1" t="n">
        <v>37.2259132335</v>
      </c>
      <c r="D2419" s="1" t="n">
        <v>-7.12605436326</v>
      </c>
      <c r="E2419" s="3" t="n">
        <v>2</v>
      </c>
      <c r="F2419" s="2" t="n">
        <v>3</v>
      </c>
      <c r="G2419" s="4" t="n">
        <v>3</v>
      </c>
      <c r="H2419" s="13" t="n"/>
      <c r="I2419" s="15" t="n"/>
      <c r="J2419" s="19" t="n">
        <v>3</v>
      </c>
      <c r="K2419" s="2" t="inlineStr">
        <is>
          <t>marker_253_021753.png</t>
        </is>
      </c>
      <c r="L2419" s="11">
        <f>HYPERLINK("3\1\" &amp; K2419, "Ver Imagen")</f>
        <v/>
      </c>
      <c r="M2419" t="inlineStr">
        <is>
          <t>Moda</t>
        </is>
      </c>
    </row>
    <row r="2420">
      <c r="A2420" t="n">
        <v>2419</v>
      </c>
      <c r="B2420" t="inlineStr">
        <is>
          <t>A-5053__35</t>
        </is>
      </c>
      <c r="C2420" s="1" t="n">
        <v>37.2257050986</v>
      </c>
      <c r="D2420" s="1" t="n">
        <v>-7.12599292047</v>
      </c>
      <c r="E2420" s="3" t="n">
        <v>3</v>
      </c>
      <c r="F2420" s="2" t="n">
        <v>3</v>
      </c>
      <c r="G2420" s="4" t="n">
        <v>2</v>
      </c>
      <c r="H2420" s="13" t="n"/>
      <c r="I2420" s="15" t="n"/>
      <c r="J2420" s="19" t="n">
        <v>3</v>
      </c>
      <c r="K2420" s="2" t="inlineStr">
        <is>
          <t>marker_944_021762.png</t>
        </is>
      </c>
      <c r="L2420" s="11">
        <f>HYPERLINK("3\1\" &amp; K2420, "Ver Imagen")</f>
        <v/>
      </c>
      <c r="M2420" t="inlineStr">
        <is>
          <t>Moda</t>
        </is>
      </c>
    </row>
    <row r="2421">
      <c r="A2421" t="n">
        <v>2420</v>
      </c>
      <c r="B2421" t="inlineStr">
        <is>
          <t>A-5053__28</t>
        </is>
      </c>
      <c r="C2421" s="1" t="n">
        <v>37.2243778047</v>
      </c>
      <c r="D2421" s="1" t="n">
        <v>-7.12546294091</v>
      </c>
      <c r="E2421" s="3" t="n">
        <v>3</v>
      </c>
      <c r="F2421" s="2" t="n">
        <v>3</v>
      </c>
      <c r="G2421" s="4" t="n">
        <v>2</v>
      </c>
      <c r="H2421" s="13" t="n"/>
      <c r="I2421" s="15" t="n"/>
      <c r="J2421" s="19" t="n">
        <v>3</v>
      </c>
      <c r="K2421" s="2" t="inlineStr">
        <is>
          <t>marker_171_021831.png</t>
        </is>
      </c>
      <c r="L2421" s="11">
        <f>HYPERLINK("3\1\" &amp; K2421, "Ver Imagen")</f>
        <v/>
      </c>
      <c r="M2421" t="inlineStr">
        <is>
          <t>Moda</t>
        </is>
      </c>
    </row>
    <row r="2422">
      <c r="A2422" t="n">
        <v>2421</v>
      </c>
      <c r="B2422" t="inlineStr">
        <is>
          <t>A-495__26</t>
        </is>
      </c>
      <c r="C2422" s="1" t="n">
        <v>37.4428846834</v>
      </c>
      <c r="D2422" s="1" t="n">
        <v>-7.09415449049</v>
      </c>
      <c r="E2422" s="3" t="n">
        <v>3</v>
      </c>
      <c r="F2422" s="2" t="n">
        <v>3</v>
      </c>
      <c r="G2422" s="4" t="n">
        <v>2</v>
      </c>
      <c r="H2422" s="13" t="n"/>
      <c r="I2422" s="15" t="n"/>
      <c r="J2422" s="19" t="n">
        <v>3</v>
      </c>
      <c r="K2422" s="2" t="inlineStr">
        <is>
          <t>marker_210_381361.png</t>
        </is>
      </c>
      <c r="L2422" s="11">
        <f>HYPERLINK("3\1\" &amp; K2422, "Ver Imagen")</f>
        <v/>
      </c>
      <c r="M2422" t="inlineStr">
        <is>
          <t>Moda</t>
        </is>
      </c>
    </row>
    <row r="2423">
      <c r="A2423" t="n">
        <v>2422</v>
      </c>
      <c r="B2423" t="inlineStr">
        <is>
          <t>A-495__49</t>
        </is>
      </c>
      <c r="C2423" s="1" t="n">
        <v>37.4406572789</v>
      </c>
      <c r="D2423" s="1" t="n">
        <v>-7.08902053777</v>
      </c>
      <c r="E2423" s="3" t="n">
        <v>3</v>
      </c>
      <c r="F2423" s="2" t="n">
        <v>3</v>
      </c>
      <c r="G2423" s="4" t="n">
        <v>2</v>
      </c>
      <c r="H2423" s="13" t="n"/>
      <c r="I2423" s="15" t="n"/>
      <c r="J2423" s="19" t="n">
        <v>3</v>
      </c>
      <c r="K2423" s="2" t="inlineStr">
        <is>
          <t>marker_358_381600.png</t>
        </is>
      </c>
      <c r="L2423" s="11">
        <f>HYPERLINK("3\1\" &amp; K2423, "Ver Imagen")</f>
        <v/>
      </c>
      <c r="M2423" t="inlineStr">
        <is>
          <t>Moda</t>
        </is>
      </c>
    </row>
    <row r="2424">
      <c r="A2424" t="n">
        <v>2423</v>
      </c>
      <c r="B2424" t="inlineStr">
        <is>
          <t>A-495__52</t>
        </is>
      </c>
      <c r="C2424" s="1" t="n">
        <v>37.4403515042</v>
      </c>
      <c r="D2424" s="1" t="n">
        <v>-7.08837993316</v>
      </c>
      <c r="E2424" s="3" t="n">
        <v>3</v>
      </c>
      <c r="F2424" s="2" t="n">
        <v>3</v>
      </c>
      <c r="G2424" s="4" t="n">
        <v>2</v>
      </c>
      <c r="H2424" s="13" t="n"/>
      <c r="I2424" s="15" t="n"/>
      <c r="J2424" s="19" t="n">
        <v>3</v>
      </c>
      <c r="K2424" s="2" t="inlineStr">
        <is>
          <t>marker_934_381634.png</t>
        </is>
      </c>
      <c r="L2424" s="11">
        <f>HYPERLINK("3\1\" &amp; K2424, "Ver Imagen")</f>
        <v/>
      </c>
      <c r="M2424" t="inlineStr">
        <is>
          <t>Moda</t>
        </is>
      </c>
    </row>
    <row r="2425">
      <c r="A2425" t="n">
        <v>2424</v>
      </c>
      <c r="B2425" t="inlineStr">
        <is>
          <t>A-495__63</t>
        </is>
      </c>
      <c r="C2425" s="1" t="n">
        <v>37.4391988964</v>
      </c>
      <c r="D2425" s="1" t="n">
        <v>-7.08595650408</v>
      </c>
      <c r="E2425" s="3" t="n">
        <v>3</v>
      </c>
      <c r="F2425" s="2" t="n">
        <v>3</v>
      </c>
      <c r="G2425" s="4" t="n">
        <v>2</v>
      </c>
      <c r="H2425" s="13" t="n"/>
      <c r="I2425" s="15" t="n"/>
      <c r="J2425" s="19" t="n">
        <v>3</v>
      </c>
      <c r="K2425" s="2" t="inlineStr">
        <is>
          <t>marker_485_381742.png</t>
        </is>
      </c>
      <c r="L2425" s="11">
        <f>HYPERLINK("3\1\" &amp; K2425, "Ver Imagen")</f>
        <v/>
      </c>
      <c r="M2425" t="inlineStr">
        <is>
          <t>Moda</t>
        </is>
      </c>
    </row>
    <row r="2426">
      <c r="A2426" t="n">
        <v>2425</v>
      </c>
      <c r="B2426" t="inlineStr">
        <is>
          <t>A-495__82</t>
        </is>
      </c>
      <c r="C2426" s="1" t="n">
        <v>37.4376142247</v>
      </c>
      <c r="D2426" s="1" t="n">
        <v>-7.08160274552</v>
      </c>
      <c r="E2426" s="3" t="n">
        <v>2</v>
      </c>
      <c r="F2426" s="2" t="n">
        <v>3</v>
      </c>
      <c r="G2426" s="4" t="n">
        <v>3</v>
      </c>
      <c r="H2426" s="13" t="n"/>
      <c r="I2426" s="15" t="n"/>
      <c r="J2426" s="19" t="n">
        <v>3</v>
      </c>
      <c r="K2426" s="2" t="inlineStr">
        <is>
          <t>marker_104_381953.png</t>
        </is>
      </c>
      <c r="L2426" s="11">
        <f>HYPERLINK("3\1\" &amp; K2426, "Ver Imagen")</f>
        <v/>
      </c>
      <c r="M2426" t="inlineStr">
        <is>
          <t>Moda</t>
        </is>
      </c>
    </row>
    <row r="2427">
      <c r="A2427" t="n">
        <v>2426</v>
      </c>
      <c r="B2427" t="inlineStr">
        <is>
          <t>A-495__94</t>
        </is>
      </c>
      <c r="C2427" s="1" t="n">
        <v>37.43668925</v>
      </c>
      <c r="D2427" s="1" t="n">
        <v>-7.07896671234</v>
      </c>
      <c r="E2427" s="3" t="n">
        <v>3</v>
      </c>
      <c r="F2427" s="2" t="n">
        <v>3</v>
      </c>
      <c r="G2427" s="4" t="n">
        <v>2</v>
      </c>
      <c r="H2427" s="13" t="n"/>
      <c r="I2427" s="15" t="n"/>
      <c r="J2427" s="19" t="n">
        <v>3</v>
      </c>
      <c r="K2427" s="2" t="inlineStr">
        <is>
          <t>marker_102_382099.png</t>
        </is>
      </c>
      <c r="L2427" s="11">
        <f>HYPERLINK("3\1\" &amp; K2427, "Ver Imagen")</f>
        <v/>
      </c>
      <c r="M2427" t="inlineStr">
        <is>
          <t>Moda</t>
        </is>
      </c>
    </row>
    <row r="2428">
      <c r="A2428" t="n">
        <v>2427</v>
      </c>
      <c r="B2428" t="inlineStr">
        <is>
          <t>A-495__96</t>
        </is>
      </c>
      <c r="C2428" s="1" t="n">
        <v>37.4365210365</v>
      </c>
      <c r="D2428" s="1" t="n">
        <v>-7.07848101272</v>
      </c>
      <c r="E2428" s="3" t="n">
        <v>3</v>
      </c>
      <c r="F2428" s="2" t="n">
        <v>3</v>
      </c>
      <c r="G2428" s="4" t="n">
        <v>2</v>
      </c>
      <c r="H2428" s="13" t="n"/>
      <c r="I2428" s="15" t="n"/>
      <c r="J2428" s="19" t="n">
        <v>3</v>
      </c>
      <c r="K2428" s="2" t="inlineStr">
        <is>
          <t>marker_928_382116.png</t>
        </is>
      </c>
      <c r="L2428" s="11">
        <f>HYPERLINK("3\1\" &amp; K2428, "Ver Imagen")</f>
        <v/>
      </c>
      <c r="M2428" t="inlineStr">
        <is>
          <t>Moda</t>
        </is>
      </c>
    </row>
    <row r="2429">
      <c r="A2429" t="n">
        <v>2428</v>
      </c>
      <c r="B2429" t="inlineStr">
        <is>
          <t>A-495__101</t>
        </is>
      </c>
      <c r="C2429" s="1" t="n">
        <v>37.4361237626</v>
      </c>
      <c r="D2429" s="1" t="n">
        <v>-7.0773463025</v>
      </c>
      <c r="E2429" s="3" t="n">
        <v>3</v>
      </c>
      <c r="F2429" s="2" t="n">
        <v>3</v>
      </c>
      <c r="G2429" s="4" t="n">
        <v>2</v>
      </c>
      <c r="H2429" s="13" t="n"/>
      <c r="I2429" s="15" t="n"/>
      <c r="J2429" s="19" t="n">
        <v>3</v>
      </c>
      <c r="K2429" s="2" t="inlineStr">
        <is>
          <t>marker_677_382164.png</t>
        </is>
      </c>
      <c r="L2429" s="11">
        <f>HYPERLINK("3\1\" &amp; K2429, "Ver Imagen")</f>
        <v/>
      </c>
      <c r="M2429" t="inlineStr">
        <is>
          <t>Moda</t>
        </is>
      </c>
    </row>
    <row r="2430">
      <c r="A2430" t="n">
        <v>2429</v>
      </c>
      <c r="B2430" t="inlineStr">
        <is>
          <t>A-5059__72</t>
        </is>
      </c>
      <c r="C2430" s="1" t="n">
        <v>37.2226452324</v>
      </c>
      <c r="D2430" s="1" t="n">
        <v>-7.05564120345</v>
      </c>
      <c r="E2430" s="3" t="n">
        <v>3</v>
      </c>
      <c r="F2430" s="2" t="n">
        <v>3</v>
      </c>
      <c r="G2430" s="4" t="n">
        <v>2</v>
      </c>
      <c r="H2430" s="13" t="n"/>
      <c r="I2430" s="15" t="n"/>
      <c r="J2430" s="19" t="n">
        <v>3</v>
      </c>
      <c r="K2430" s="2" t="inlineStr">
        <is>
          <t>marker_687_378830.png</t>
        </is>
      </c>
      <c r="L2430" s="11">
        <f>HYPERLINK("3\1\" &amp; K2430, "Ver Imagen")</f>
        <v/>
      </c>
      <c r="M2430" t="inlineStr">
        <is>
          <t>Moda</t>
        </is>
      </c>
    </row>
    <row r="2431">
      <c r="A2431" t="n">
        <v>2430</v>
      </c>
      <c r="B2431" t="inlineStr">
        <is>
          <t>A-5059__57</t>
        </is>
      </c>
      <c r="C2431" s="1" t="n">
        <v>37.2250196129</v>
      </c>
      <c r="D2431" s="1" t="n">
        <v>-7.05773935442</v>
      </c>
      <c r="E2431" s="3" t="n">
        <v>3</v>
      </c>
      <c r="F2431" s="2" t="n">
        <v>3</v>
      </c>
      <c r="G2431" s="4" t="n">
        <v>2</v>
      </c>
      <c r="H2431" s="13" t="n"/>
      <c r="I2431" s="15" t="n"/>
      <c r="J2431" s="19" t="n">
        <v>3</v>
      </c>
      <c r="K2431" s="2" t="inlineStr">
        <is>
          <t>marker_868_378975.png</t>
        </is>
      </c>
      <c r="L2431" s="11">
        <f>HYPERLINK("3\1\" &amp; K2431, "Ver Imagen")</f>
        <v/>
      </c>
      <c r="M2431" t="inlineStr">
        <is>
          <t>Moda</t>
        </is>
      </c>
    </row>
    <row r="2432">
      <c r="A2432" t="n">
        <v>2431</v>
      </c>
      <c r="B2432" t="inlineStr">
        <is>
          <t>A-5059__56</t>
        </is>
      </c>
      <c r="C2432" s="1" t="n">
        <v>37.2251596513</v>
      </c>
      <c r="D2432" s="1" t="n">
        <v>-7.05797577778</v>
      </c>
      <c r="E2432" s="3" t="n">
        <v>3</v>
      </c>
      <c r="F2432" s="2" t="n">
        <v>3</v>
      </c>
      <c r="G2432" s="4" t="n">
        <v>2</v>
      </c>
      <c r="H2432" s="13" t="n"/>
      <c r="I2432" s="15" t="n"/>
      <c r="J2432" s="19" t="n">
        <v>3</v>
      </c>
      <c r="K2432" s="2" t="inlineStr">
        <is>
          <t>marker_973_378985.png</t>
        </is>
      </c>
      <c r="L2432" s="11">
        <f>HYPERLINK("3\1\" &amp; K2432, "Ver Imagen")</f>
        <v/>
      </c>
      <c r="M2432" t="inlineStr">
        <is>
          <t>Moda</t>
        </is>
      </c>
    </row>
    <row r="2433">
      <c r="A2433" t="n">
        <v>2432</v>
      </c>
      <c r="B2433" t="inlineStr">
        <is>
          <t>A-495__131</t>
        </is>
      </c>
      <c r="C2433" s="1" t="n">
        <v>37.4350898186</v>
      </c>
      <c r="D2433" s="1" t="n">
        <v>-7.0702987203</v>
      </c>
      <c r="E2433" s="3" t="n">
        <v>3</v>
      </c>
      <c r="F2433" s="2" t="n">
        <v>3</v>
      </c>
      <c r="G2433" s="4" t="n">
        <v>2</v>
      </c>
      <c r="H2433" s="13" t="n"/>
      <c r="I2433" s="15" t="n"/>
      <c r="J2433" s="19" t="n">
        <v>3</v>
      </c>
      <c r="K2433" s="2" t="inlineStr">
        <is>
          <t>marker_591_382485.png</t>
        </is>
      </c>
      <c r="L2433" s="11">
        <f>HYPERLINK("3\1\" &amp; K2433, "Ver Imagen")</f>
        <v/>
      </c>
      <c r="M2433" t="inlineStr">
        <is>
          <t>Moda</t>
        </is>
      </c>
    </row>
    <row r="2434">
      <c r="A2434" t="n">
        <v>2433</v>
      </c>
      <c r="B2434" t="inlineStr">
        <is>
          <t>A-495__136</t>
        </is>
      </c>
      <c r="C2434" s="1" t="n">
        <v>37.4347372038</v>
      </c>
      <c r="D2434" s="1" t="n">
        <v>-7.06897196515</v>
      </c>
      <c r="E2434" s="3" t="n">
        <v>3</v>
      </c>
      <c r="F2434" s="2" t="n">
        <v>3</v>
      </c>
      <c r="G2434" s="4" t="n">
        <v>2</v>
      </c>
      <c r="H2434" s="13" t="n"/>
      <c r="I2434" s="15" t="n"/>
      <c r="J2434" s="19" t="n">
        <v>3</v>
      </c>
      <c r="K2434" s="2" t="inlineStr">
        <is>
          <t>marker_916_382543.png</t>
        </is>
      </c>
      <c r="L2434" s="11">
        <f>HYPERLINK("3\1\" &amp; K2434, "Ver Imagen")</f>
        <v/>
      </c>
      <c r="M2434" t="inlineStr">
        <is>
          <t>Moda</t>
        </is>
      </c>
    </row>
    <row r="2435">
      <c r="A2435" t="n">
        <v>2434</v>
      </c>
      <c r="B2435" t="inlineStr">
        <is>
          <t>A-495__140</t>
        </is>
      </c>
      <c r="C2435" s="1" t="n">
        <v>37.4344145462</v>
      </c>
      <c r="D2435" s="1" t="n">
        <v>-7.06812950658</v>
      </c>
      <c r="E2435" s="3" t="n">
        <v>2</v>
      </c>
      <c r="F2435" s="2" t="n">
        <v>3</v>
      </c>
      <c r="G2435" s="4" t="n">
        <v>3</v>
      </c>
      <c r="H2435" s="13" t="n"/>
      <c r="I2435" s="15" t="n"/>
      <c r="J2435" s="19" t="n">
        <v>3</v>
      </c>
      <c r="K2435" s="2" t="inlineStr">
        <is>
          <t>marker_432_382578.png</t>
        </is>
      </c>
      <c r="L2435" s="11">
        <f>HYPERLINK("3\1\" &amp; K2435, "Ver Imagen")</f>
        <v/>
      </c>
      <c r="M2435" t="inlineStr">
        <is>
          <t>Moda</t>
        </is>
      </c>
    </row>
    <row r="2436">
      <c r="A2436" t="n">
        <v>2435</v>
      </c>
      <c r="B2436" t="inlineStr">
        <is>
          <t>A-495__141</t>
        </is>
      </c>
      <c r="C2436" s="1" t="n">
        <v>37.4342999183</v>
      </c>
      <c r="D2436" s="1" t="n">
        <v>-7.06786407031</v>
      </c>
      <c r="E2436" s="3" t="n">
        <v>2</v>
      </c>
      <c r="F2436" s="2" t="n">
        <v>3</v>
      </c>
      <c r="G2436" s="4" t="n">
        <v>3</v>
      </c>
      <c r="H2436" s="13" t="n"/>
      <c r="I2436" s="15" t="n"/>
      <c r="J2436" s="19" t="n">
        <v>3</v>
      </c>
      <c r="K2436" s="2" t="inlineStr">
        <is>
          <t>marker_731_382588.png</t>
        </is>
      </c>
      <c r="L2436" s="11">
        <f>HYPERLINK("3\1\" &amp; K2436, "Ver Imagen")</f>
        <v/>
      </c>
      <c r="M2436" t="inlineStr">
        <is>
          <t>Moda</t>
        </is>
      </c>
    </row>
    <row r="2437">
      <c r="A2437" t="n">
        <v>2436</v>
      </c>
      <c r="B2437" t="inlineStr">
        <is>
          <t>A-495__142</t>
        </is>
      </c>
      <c r="C2437" s="1" t="n">
        <v>37.4342261561</v>
      </c>
      <c r="D2437" s="1" t="n">
        <v>-7.06769850309</v>
      </c>
      <c r="E2437" s="3" t="n">
        <v>2</v>
      </c>
      <c r="F2437" s="2" t="n">
        <v>3</v>
      </c>
      <c r="G2437" s="4" t="n">
        <v>3</v>
      </c>
      <c r="H2437" s="13" t="n"/>
      <c r="I2437" s="15" t="n"/>
      <c r="J2437" s="19" t="n">
        <v>3</v>
      </c>
      <c r="K2437" s="2" t="inlineStr">
        <is>
          <t>marker_647_382597.png</t>
        </is>
      </c>
      <c r="L2437" s="11">
        <f>HYPERLINK("3\1\" &amp; K2437, "Ver Imagen")</f>
        <v/>
      </c>
      <c r="M2437" t="inlineStr">
        <is>
          <t>Moda</t>
        </is>
      </c>
    </row>
    <row r="2438">
      <c r="A2438" t="n">
        <v>2437</v>
      </c>
      <c r="B2438" t="inlineStr">
        <is>
          <t>A-495__143</t>
        </is>
      </c>
      <c r="C2438" s="1" t="n">
        <v>37.4341246466</v>
      </c>
      <c r="D2438" s="1" t="n">
        <v>-7.06747448557</v>
      </c>
      <c r="E2438" s="3" t="n">
        <v>2</v>
      </c>
      <c r="F2438" s="2" t="n">
        <v>3</v>
      </c>
      <c r="G2438" s="4" t="n">
        <v>3</v>
      </c>
      <c r="H2438" s="13" t="n"/>
      <c r="I2438" s="15" t="n"/>
      <c r="J2438" s="19" t="n">
        <v>3</v>
      </c>
      <c r="K2438" s="2" t="inlineStr">
        <is>
          <t>marker_874_382606.png</t>
        </is>
      </c>
      <c r="L2438" s="11">
        <f>HYPERLINK("3\1\" &amp; K2438, "Ver Imagen")</f>
        <v/>
      </c>
      <c r="M2438" t="inlineStr">
        <is>
          <t>Moda</t>
        </is>
      </c>
    </row>
    <row r="2439">
      <c r="A2439" t="n">
        <v>2438</v>
      </c>
      <c r="B2439" t="inlineStr">
        <is>
          <t>A-495__148</t>
        </is>
      </c>
      <c r="C2439" s="1" t="n">
        <v>37.4335914699</v>
      </c>
      <c r="D2439" s="1" t="n">
        <v>-7.0663119869</v>
      </c>
      <c r="E2439" s="3" t="n">
        <v>3</v>
      </c>
      <c r="F2439" s="2" t="n">
        <v>3</v>
      </c>
      <c r="G2439" s="4" t="n">
        <v>2</v>
      </c>
      <c r="H2439" s="13" t="n"/>
      <c r="I2439" s="15" t="n"/>
      <c r="J2439" s="19" t="n">
        <v>3</v>
      </c>
      <c r="K2439" s="2" t="inlineStr">
        <is>
          <t>marker_564_382664.png</t>
        </is>
      </c>
      <c r="L2439" s="11">
        <f>HYPERLINK("3\1\" &amp; K2439, "Ver Imagen")</f>
        <v/>
      </c>
      <c r="M2439" t="inlineStr">
        <is>
          <t>Moda</t>
        </is>
      </c>
    </row>
    <row r="2440">
      <c r="A2440" t="n">
        <v>2439</v>
      </c>
      <c r="B2440" t="inlineStr">
        <is>
          <t>A-495__149</t>
        </is>
      </c>
      <c r="C2440" s="1" t="n">
        <v>37.4335063025</v>
      </c>
      <c r="D2440" s="1" t="n">
        <v>-7.06612447275</v>
      </c>
      <c r="E2440" s="3" t="n">
        <v>3</v>
      </c>
      <c r="F2440" s="2" t="n">
        <v>3</v>
      </c>
      <c r="G2440" s="4" t="n">
        <v>2</v>
      </c>
      <c r="H2440" s="13" t="n"/>
      <c r="I2440" s="15" t="n"/>
      <c r="J2440" s="19" t="n">
        <v>3</v>
      </c>
      <c r="K2440" s="2" t="inlineStr">
        <is>
          <t>marker_867_382675.png</t>
        </is>
      </c>
      <c r="L2440" s="11">
        <f>HYPERLINK("3\1\" &amp; K2440, "Ver Imagen")</f>
        <v/>
      </c>
      <c r="M2440" t="inlineStr">
        <is>
          <t>Moda</t>
        </is>
      </c>
    </row>
    <row r="2441">
      <c r="A2441" t="n">
        <v>2440</v>
      </c>
      <c r="B2441" t="inlineStr">
        <is>
          <t>A-495__150</t>
        </is>
      </c>
      <c r="C2441" s="1" t="n">
        <v>37.4334219546</v>
      </c>
      <c r="D2441" s="1" t="n">
        <v>-7.06593936716</v>
      </c>
      <c r="E2441" s="3" t="n">
        <v>3</v>
      </c>
      <c r="F2441" s="2" t="n">
        <v>3</v>
      </c>
      <c r="G2441" s="4" t="n">
        <v>2</v>
      </c>
      <c r="H2441" s="13" t="n"/>
      <c r="I2441" s="15" t="n"/>
      <c r="J2441" s="19" t="n">
        <v>3</v>
      </c>
      <c r="K2441" s="2" t="inlineStr">
        <is>
          <t>marker_558_382684.png</t>
        </is>
      </c>
      <c r="L2441" s="11">
        <f>HYPERLINK("3\1\" &amp; K2441, "Ver Imagen")</f>
        <v/>
      </c>
      <c r="M2441" t="inlineStr">
        <is>
          <t>Moda</t>
        </is>
      </c>
    </row>
    <row r="2442">
      <c r="A2442" t="n">
        <v>2441</v>
      </c>
      <c r="B2442" t="inlineStr">
        <is>
          <t>A-5059__12</t>
        </is>
      </c>
      <c r="C2442" s="1" t="n">
        <v>37.232127153</v>
      </c>
      <c r="D2442" s="1" t="n">
        <v>-7.0642571174</v>
      </c>
      <c r="E2442" s="3" t="n">
        <v>3</v>
      </c>
      <c r="F2442" s="2" t="n">
        <v>3</v>
      </c>
      <c r="G2442" s="4" t="n">
        <v>2</v>
      </c>
      <c r="H2442" s="13" t="n"/>
      <c r="I2442" s="15" t="n"/>
      <c r="J2442" s="19" t="n">
        <v>3</v>
      </c>
      <c r="K2442" s="2" t="inlineStr">
        <is>
          <t>marker_829_379562.png</t>
        </is>
      </c>
      <c r="L2442" s="11">
        <f>HYPERLINK("3\1\" &amp; K2442, "Ver Imagen")</f>
        <v/>
      </c>
      <c r="M2442" t="inlineStr">
        <is>
          <t>Moda</t>
        </is>
      </c>
    </row>
    <row r="2443">
      <c r="A2443" t="n">
        <v>2442</v>
      </c>
      <c r="B2443" t="inlineStr">
        <is>
          <t>A-5059__11</t>
        </is>
      </c>
      <c r="C2443" s="1" t="n">
        <v>37.2322860366</v>
      </c>
      <c r="D2443" s="1" t="n">
        <v>-7.06444914527</v>
      </c>
      <c r="E2443" s="3" t="n">
        <v>3</v>
      </c>
      <c r="F2443" s="2" t="n">
        <v>3</v>
      </c>
      <c r="G2443" s="4" t="n">
        <v>2</v>
      </c>
      <c r="H2443" s="13" t="n"/>
      <c r="I2443" s="15" t="n"/>
      <c r="J2443" s="19" t="n">
        <v>3</v>
      </c>
      <c r="K2443" s="2" t="inlineStr">
        <is>
          <t>marker_977_379572.png</t>
        </is>
      </c>
      <c r="L2443" s="11">
        <f>HYPERLINK("3\1\" &amp; K2443, "Ver Imagen")</f>
        <v/>
      </c>
      <c r="M2443" t="inlineStr">
        <is>
          <t>Moda</t>
        </is>
      </c>
    </row>
    <row r="2444">
      <c r="A2444" t="n">
        <v>2443</v>
      </c>
      <c r="B2444" t="inlineStr">
        <is>
          <t>A-495__154</t>
        </is>
      </c>
      <c r="C2444" s="1" t="n">
        <v>37.433015175</v>
      </c>
      <c r="D2444" s="1" t="n">
        <v>-7.06505474277</v>
      </c>
      <c r="E2444" s="3" t="n">
        <v>3</v>
      </c>
      <c r="F2444" s="2" t="n">
        <v>3</v>
      </c>
      <c r="G2444" s="4" t="n">
        <v>2</v>
      </c>
      <c r="H2444" s="13" t="n"/>
      <c r="I2444" s="15" t="n"/>
      <c r="J2444" s="19" t="n">
        <v>3</v>
      </c>
      <c r="K2444" s="2" t="inlineStr">
        <is>
          <t>marker_270_382724.png</t>
        </is>
      </c>
      <c r="L2444" s="11">
        <f>HYPERLINK("3\1\" &amp; K2444, "Ver Imagen")</f>
        <v/>
      </c>
      <c r="M2444" t="inlineStr">
        <is>
          <t>Moda</t>
        </is>
      </c>
    </row>
    <row r="2445">
      <c r="A2445" t="n">
        <v>2444</v>
      </c>
      <c r="B2445" t="inlineStr">
        <is>
          <t>A-5058__1</t>
        </is>
      </c>
      <c r="C2445" s="1" t="n">
        <v>37.2252377201</v>
      </c>
      <c r="D2445" s="1" t="n">
        <v>-7.02750187089</v>
      </c>
      <c r="E2445" s="3" t="n">
        <v>3</v>
      </c>
      <c r="F2445" s="2" t="n">
        <v>3</v>
      </c>
      <c r="G2445" s="4" t="n">
        <v>2</v>
      </c>
      <c r="H2445" s="13" t="n"/>
      <c r="I2445" s="15" t="n"/>
      <c r="J2445" s="19" t="n">
        <v>3</v>
      </c>
      <c r="K2445" s="2" t="inlineStr">
        <is>
          <t>marker_937_379787.png</t>
        </is>
      </c>
      <c r="L2445" s="11">
        <f>HYPERLINK("3\1\" &amp; K2445, "Ver Imagen")</f>
        <v/>
      </c>
      <c r="M2445" t="inlineStr">
        <is>
          <t>Moda</t>
        </is>
      </c>
    </row>
    <row r="2446">
      <c r="A2446" t="n">
        <v>2445</v>
      </c>
      <c r="B2446" t="inlineStr">
        <is>
          <t>A-495__158</t>
        </is>
      </c>
      <c r="C2446" s="1" t="n">
        <v>37.432607992</v>
      </c>
      <c r="D2446" s="1" t="n">
        <v>-7.06417163816</v>
      </c>
      <c r="E2446" s="3" t="n">
        <v>2</v>
      </c>
      <c r="F2446" s="2" t="n">
        <v>3</v>
      </c>
      <c r="G2446" s="4" t="n">
        <v>3</v>
      </c>
      <c r="H2446" s="13" t="n"/>
      <c r="I2446" s="15" t="n"/>
      <c r="J2446" s="19" t="n">
        <v>3</v>
      </c>
      <c r="K2446" s="2" t="inlineStr">
        <is>
          <t>marker_252_382782.png</t>
        </is>
      </c>
      <c r="L2446" s="11">
        <f>HYPERLINK("3\1\" &amp; K2446, "Ver Imagen")</f>
        <v/>
      </c>
      <c r="M2446" t="inlineStr">
        <is>
          <t>Moda</t>
        </is>
      </c>
    </row>
    <row r="2447">
      <c r="A2447" t="n">
        <v>2446</v>
      </c>
      <c r="B2447" t="inlineStr">
        <is>
          <t>A-5058__10</t>
        </is>
      </c>
      <c r="C2447" s="1" t="n">
        <v>37.2253478748</v>
      </c>
      <c r="D2447" s="1" t="n">
        <v>-7.02976602953</v>
      </c>
      <c r="E2447" s="3" t="n">
        <v>3</v>
      </c>
      <c r="F2447" s="2" t="n">
        <v>3</v>
      </c>
      <c r="G2447" s="4" t="n">
        <v>2</v>
      </c>
      <c r="H2447" s="13" t="n"/>
      <c r="I2447" s="15" t="n"/>
      <c r="J2447" s="19" t="n">
        <v>3</v>
      </c>
      <c r="K2447" s="2" t="inlineStr">
        <is>
          <t>marker_838_379909.png</t>
        </is>
      </c>
      <c r="L2447" s="11">
        <f>HYPERLINK("3\1\" &amp; K2447, "Ver Imagen")</f>
        <v/>
      </c>
      <c r="M2447" t="inlineStr">
        <is>
          <t>Moda</t>
        </is>
      </c>
    </row>
    <row r="2448">
      <c r="A2448" t="n">
        <v>2447</v>
      </c>
      <c r="B2448" t="inlineStr">
        <is>
          <t>A-5058__17</t>
        </is>
      </c>
      <c r="C2448" s="1" t="n">
        <v>37.2252572059</v>
      </c>
      <c r="D2448" s="1" t="n">
        <v>-7.03156625049</v>
      </c>
      <c r="E2448" s="3" t="n">
        <v>2</v>
      </c>
      <c r="F2448" s="2" t="n">
        <v>3</v>
      </c>
      <c r="G2448" s="4" t="n">
        <v>3</v>
      </c>
      <c r="H2448" s="13" t="n"/>
      <c r="I2448" s="15" t="n"/>
      <c r="J2448" s="19" t="n">
        <v>3</v>
      </c>
      <c r="K2448" s="2" t="inlineStr">
        <is>
          <t>marker_399_380010.png</t>
        </is>
      </c>
      <c r="L2448" s="11">
        <f>HYPERLINK("3\1\" &amp; K2448, "Ver Imagen")</f>
        <v/>
      </c>
      <c r="M2448" t="inlineStr">
        <is>
          <t>Moda</t>
        </is>
      </c>
    </row>
    <row r="2449">
      <c r="A2449" t="n">
        <v>2448</v>
      </c>
      <c r="B2449" t="inlineStr">
        <is>
          <t>A-5058__18</t>
        </is>
      </c>
      <c r="C2449" s="1" t="n">
        <v>37.2252362215</v>
      </c>
      <c r="D2449" s="1" t="n">
        <v>-7.03181332875</v>
      </c>
      <c r="E2449" s="3" t="n">
        <v>2</v>
      </c>
      <c r="F2449" s="2" t="n">
        <v>3</v>
      </c>
      <c r="G2449" s="4" t="n">
        <v>3</v>
      </c>
      <c r="H2449" s="13" t="n"/>
      <c r="I2449" s="15" t="n"/>
      <c r="J2449" s="19" t="n">
        <v>3</v>
      </c>
      <c r="K2449" s="2" t="inlineStr">
        <is>
          <t>marker_713_380040.png</t>
        </is>
      </c>
      <c r="L2449" s="11">
        <f>HYPERLINK("3\1\" &amp; K2449, "Ver Imagen")</f>
        <v/>
      </c>
      <c r="M2449" t="inlineStr">
        <is>
          <t>Moda</t>
        </is>
      </c>
    </row>
    <row r="2450">
      <c r="A2450" t="n">
        <v>2449</v>
      </c>
      <c r="B2450" t="inlineStr">
        <is>
          <t>A-5058__27</t>
        </is>
      </c>
      <c r="C2450" s="1" t="n">
        <v>37.2247451567</v>
      </c>
      <c r="D2450" s="1" t="n">
        <v>-7.03400002932</v>
      </c>
      <c r="E2450" s="3" t="n">
        <v>2</v>
      </c>
      <c r="F2450" s="2" t="n">
        <v>3</v>
      </c>
      <c r="G2450" s="4" t="n">
        <v>3</v>
      </c>
      <c r="H2450" s="13" t="n"/>
      <c r="I2450" s="15" t="n"/>
      <c r="J2450" s="19" t="n">
        <v>3</v>
      </c>
      <c r="K2450" s="2" t="inlineStr">
        <is>
          <t>marker_297_380157.png</t>
        </is>
      </c>
      <c r="L2450" s="11">
        <f>HYPERLINK("3\1\" &amp; K2450, "Ver Imagen")</f>
        <v/>
      </c>
      <c r="M2450" t="inlineStr">
        <is>
          <t>Moda</t>
        </is>
      </c>
    </row>
    <row r="2451">
      <c r="A2451" t="n">
        <v>2450</v>
      </c>
      <c r="B2451" t="inlineStr">
        <is>
          <t>A-5058__58</t>
        </is>
      </c>
      <c r="C2451" s="1" t="n">
        <v>37.225395262</v>
      </c>
      <c r="D2451" s="1" t="n">
        <v>-7.04142528818</v>
      </c>
      <c r="E2451" s="3" t="n">
        <v>2</v>
      </c>
      <c r="F2451" s="2" t="n">
        <v>3</v>
      </c>
      <c r="G2451" s="4" t="n">
        <v>3</v>
      </c>
      <c r="H2451" s="13" t="n"/>
      <c r="I2451" s="15" t="n"/>
      <c r="J2451" s="19" t="n">
        <v>3</v>
      </c>
      <c r="K2451" s="2" t="inlineStr">
        <is>
          <t>marker_872_380619.png</t>
        </is>
      </c>
      <c r="L2451" s="11">
        <f>HYPERLINK("3\1\" &amp; K2451, "Ver Imagen")</f>
        <v/>
      </c>
      <c r="M2451" t="inlineStr">
        <is>
          <t>Moda</t>
        </is>
      </c>
    </row>
    <row r="2452">
      <c r="A2452" t="n">
        <v>2451</v>
      </c>
      <c r="B2452" t="inlineStr">
        <is>
          <t>A-5058__63</t>
        </is>
      </c>
      <c r="C2452" s="1" t="n">
        <v>37.2258725283</v>
      </c>
      <c r="D2452" s="1" t="n">
        <v>-7.04252208492</v>
      </c>
      <c r="E2452" s="3" t="n">
        <v>2</v>
      </c>
      <c r="F2452" s="2" t="n">
        <v>3</v>
      </c>
      <c r="G2452" s="4" t="n">
        <v>3</v>
      </c>
      <c r="H2452" s="13" t="n"/>
      <c r="I2452" s="15" t="n"/>
      <c r="J2452" s="19" t="n">
        <v>3</v>
      </c>
      <c r="K2452" s="2" t="inlineStr">
        <is>
          <t>marker_967_380672.png</t>
        </is>
      </c>
      <c r="L2452" s="11">
        <f>HYPERLINK("3\1\" &amp; K2452, "Ver Imagen")</f>
        <v/>
      </c>
      <c r="M2452" t="inlineStr">
        <is>
          <t>Moda</t>
        </is>
      </c>
    </row>
    <row r="2453">
      <c r="A2453" t="n">
        <v>2452</v>
      </c>
      <c r="B2453" t="inlineStr">
        <is>
          <t>A-5058__64</t>
        </is>
      </c>
      <c r="C2453" s="1" t="n">
        <v>37.2259705371</v>
      </c>
      <c r="D2453" s="1" t="n">
        <v>-7.04273616847</v>
      </c>
      <c r="E2453" s="3" t="n">
        <v>2</v>
      </c>
      <c r="F2453" s="2" t="n">
        <v>3</v>
      </c>
      <c r="G2453" s="4" t="n">
        <v>3</v>
      </c>
      <c r="H2453" s="13" t="n"/>
      <c r="I2453" s="15" t="n"/>
      <c r="J2453" s="19" t="n">
        <v>3</v>
      </c>
      <c r="K2453" s="2" t="inlineStr">
        <is>
          <t>marker_192_380681.png</t>
        </is>
      </c>
      <c r="L2453" s="11">
        <f>HYPERLINK("3\1\" &amp; K2453, "Ver Imagen")</f>
        <v/>
      </c>
      <c r="M2453" t="inlineStr">
        <is>
          <t>Moda</t>
        </is>
      </c>
    </row>
    <row r="2454">
      <c r="A2454" t="n">
        <v>2453</v>
      </c>
      <c r="B2454" t="inlineStr">
        <is>
          <t>A-5058__87</t>
        </is>
      </c>
      <c r="C2454" s="1" t="n">
        <v>37.2290146938</v>
      </c>
      <c r="D2454" s="1" t="n">
        <v>-7.04706868799</v>
      </c>
      <c r="E2454" s="3" t="n">
        <v>2</v>
      </c>
      <c r="F2454" s="2" t="n">
        <v>3</v>
      </c>
      <c r="G2454" s="4" t="n">
        <v>3</v>
      </c>
      <c r="H2454" s="13" t="n"/>
      <c r="I2454" s="15" t="n"/>
      <c r="J2454" s="19" t="n">
        <v>3</v>
      </c>
      <c r="K2454" s="2" t="inlineStr">
        <is>
          <t>marker_818_380954.png</t>
        </is>
      </c>
      <c r="L2454" s="11">
        <f>HYPERLINK("3\1\" &amp; K2454, "Ver Imagen")</f>
        <v/>
      </c>
      <c r="M2454" t="inlineStr">
        <is>
          <t>Moda</t>
        </is>
      </c>
    </row>
    <row r="2455">
      <c r="A2455" t="n">
        <v>2454</v>
      </c>
      <c r="B2455" t="inlineStr">
        <is>
          <t>A-5058__115</t>
        </is>
      </c>
      <c r="C2455" s="1" t="n">
        <v>37.232294405</v>
      </c>
      <c r="D2455" s="1" t="n">
        <v>-7.05284237333</v>
      </c>
      <c r="E2455" s="3" t="n">
        <v>2</v>
      </c>
      <c r="F2455" s="2" t="n">
        <v>3</v>
      </c>
      <c r="G2455" s="4" t="n">
        <v>3</v>
      </c>
      <c r="H2455" s="13" t="n"/>
      <c r="I2455" s="15" t="n"/>
      <c r="J2455" s="19" t="n">
        <v>3</v>
      </c>
      <c r="K2455" s="2" t="inlineStr">
        <is>
          <t>marker_833_381293.png</t>
        </is>
      </c>
      <c r="L2455" s="11">
        <f>HYPERLINK("3\1\" &amp; K2455, "Ver Imagen")</f>
        <v/>
      </c>
      <c r="M2455" t="inlineStr">
        <is>
          <t>Moda</t>
        </is>
      </c>
    </row>
    <row r="2456">
      <c r="A2456" t="n">
        <v>2455</v>
      </c>
      <c r="B2456" t="inlineStr">
        <is>
          <t>A-495_1__144</t>
        </is>
      </c>
      <c r="C2456" s="1" t="n">
        <v>37.4757832306</v>
      </c>
      <c r="D2456" s="1" t="n">
        <v>-7.12583624761</v>
      </c>
      <c r="E2456" s="3" t="n">
        <v>3</v>
      </c>
      <c r="F2456" s="2" t="n">
        <v>3</v>
      </c>
      <c r="G2456" s="4" t="n">
        <v>2</v>
      </c>
      <c r="H2456" s="13" t="n"/>
      <c r="I2456" s="15" t="n"/>
      <c r="J2456" s="19" t="n">
        <v>3</v>
      </c>
      <c r="K2456" s="2" t="inlineStr">
        <is>
          <t>marker_718_384313.png</t>
        </is>
      </c>
      <c r="L2456" s="11">
        <f>HYPERLINK("3\1\" &amp; K2456, "Ver Imagen")</f>
        <v/>
      </c>
      <c r="M2456" t="inlineStr">
        <is>
          <t>Moda</t>
        </is>
      </c>
    </row>
    <row r="2457">
      <c r="A2457" t="n">
        <v>2456</v>
      </c>
      <c r="B2457" t="inlineStr">
        <is>
          <t>A-495_1__141</t>
        </is>
      </c>
      <c r="C2457" s="1" t="n">
        <v>37.4751430197</v>
      </c>
      <c r="D2457" s="1" t="n">
        <v>-7.12597410278</v>
      </c>
      <c r="E2457" s="3" t="n">
        <v>3</v>
      </c>
      <c r="F2457" s="2" t="n">
        <v>3</v>
      </c>
      <c r="G2457" s="4" t="n">
        <v>2</v>
      </c>
      <c r="H2457" s="13" t="n"/>
      <c r="I2457" s="15" t="n"/>
      <c r="J2457" s="19" t="n">
        <v>3</v>
      </c>
      <c r="K2457" s="2" t="inlineStr">
        <is>
          <t>marker_837_384352.png</t>
        </is>
      </c>
      <c r="L2457" s="11">
        <f>HYPERLINK("3\1\" &amp; K2457, "Ver Imagen")</f>
        <v/>
      </c>
      <c r="M2457" t="inlineStr">
        <is>
          <t>Moda</t>
        </is>
      </c>
    </row>
    <row r="2458">
      <c r="A2458" t="n">
        <v>2457</v>
      </c>
      <c r="B2458" t="inlineStr">
        <is>
          <t>A-495_1__140</t>
        </is>
      </c>
      <c r="C2458" s="1" t="n">
        <v>37.4749570511</v>
      </c>
      <c r="D2458" s="1" t="n">
        <v>-7.12601536522</v>
      </c>
      <c r="E2458" s="3" t="n">
        <v>3</v>
      </c>
      <c r="F2458" s="2" t="n">
        <v>3</v>
      </c>
      <c r="G2458" s="4" t="n">
        <v>2</v>
      </c>
      <c r="H2458" s="13" t="n"/>
      <c r="I2458" s="15" t="n"/>
      <c r="J2458" s="19" t="n">
        <v>3</v>
      </c>
      <c r="K2458" s="2" t="inlineStr">
        <is>
          <t>marker_967_384364.png</t>
        </is>
      </c>
      <c r="L2458" s="11">
        <f>HYPERLINK("3\1\" &amp; K2458, "Ver Imagen")</f>
        <v/>
      </c>
      <c r="M2458" t="inlineStr">
        <is>
          <t>Moda</t>
        </is>
      </c>
    </row>
    <row r="2459">
      <c r="A2459" t="n">
        <v>2458</v>
      </c>
      <c r="B2459" t="inlineStr">
        <is>
          <t>A-495_1__112</t>
        </is>
      </c>
      <c r="C2459" s="1" t="n">
        <v>37.469742925</v>
      </c>
      <c r="D2459" s="1" t="n">
        <v>-7.12445207387</v>
      </c>
      <c r="E2459" s="3" t="n">
        <v>3</v>
      </c>
      <c r="F2459" s="2" t="n">
        <v>3</v>
      </c>
      <c r="G2459" s="4" t="n">
        <v>2</v>
      </c>
      <c r="H2459" s="13" t="n"/>
      <c r="I2459" s="15" t="n"/>
      <c r="J2459" s="19" t="n">
        <v>3</v>
      </c>
      <c r="K2459" s="2" t="inlineStr">
        <is>
          <t>marker_104_384702.png</t>
        </is>
      </c>
      <c r="L2459" s="11">
        <f>HYPERLINK("3\1\" &amp; K2459, "Ver Imagen")</f>
        <v/>
      </c>
      <c r="M2459" t="inlineStr">
        <is>
          <t>Moda</t>
        </is>
      </c>
    </row>
    <row r="2460">
      <c r="A2460" t="n">
        <v>2459</v>
      </c>
      <c r="B2460" t="inlineStr">
        <is>
          <t>A-495_1__100</t>
        </is>
      </c>
      <c r="C2460" s="1" t="n">
        <v>37.4675400774</v>
      </c>
      <c r="D2460" s="1" t="n">
        <v>-7.12302475366</v>
      </c>
      <c r="E2460" s="3" t="n">
        <v>3</v>
      </c>
      <c r="F2460" s="2" t="n">
        <v>3</v>
      </c>
      <c r="G2460" s="4" t="n">
        <v>2</v>
      </c>
      <c r="H2460" s="13" t="n"/>
      <c r="I2460" s="15" t="n"/>
      <c r="J2460" s="19" t="n">
        <v>3</v>
      </c>
      <c r="K2460" s="2" t="inlineStr">
        <is>
          <t>marker_187_385023.png</t>
        </is>
      </c>
      <c r="L2460" s="11">
        <f>HYPERLINK("3\1\" &amp; K2460, "Ver Imagen")</f>
        <v/>
      </c>
      <c r="M2460" t="inlineStr">
        <is>
          <t>Moda</t>
        </is>
      </c>
    </row>
    <row r="2461">
      <c r="A2461" t="n">
        <v>2460</v>
      </c>
      <c r="B2461" t="inlineStr">
        <is>
          <t>A-495_1__20</t>
        </is>
      </c>
      <c r="C2461" s="1" t="n">
        <v>37.4519899201</v>
      </c>
      <c r="D2461" s="1" t="n">
        <v>-7.1274645613</v>
      </c>
      <c r="E2461" s="3" t="n">
        <v>3</v>
      </c>
      <c r="F2461" s="2" t="n">
        <v>3</v>
      </c>
      <c r="G2461" s="4" t="n">
        <v>2</v>
      </c>
      <c r="H2461" s="13" t="n"/>
      <c r="I2461" s="15" t="n"/>
      <c r="J2461" s="19" t="n">
        <v>3</v>
      </c>
      <c r="K2461" s="2" t="inlineStr">
        <is>
          <t>marker_220_386124.png</t>
        </is>
      </c>
      <c r="L2461" s="11">
        <f>HYPERLINK("3\1\" &amp; K2461, "Ver Imagen")</f>
        <v/>
      </c>
      <c r="M2461" t="inlineStr">
        <is>
          <t>Moda</t>
        </is>
      </c>
    </row>
    <row r="2462">
      <c r="A2462" t="n">
        <v>2461</v>
      </c>
      <c r="B2462" t="inlineStr">
        <is>
          <t>A-499__46</t>
        </is>
      </c>
      <c r="C2462" s="1" t="n">
        <v>37.495415258</v>
      </c>
      <c r="D2462" s="1" t="n">
        <v>-7.27628503831</v>
      </c>
      <c r="E2462" s="3" t="n">
        <v>3</v>
      </c>
      <c r="F2462" s="2" t="n">
        <v>3</v>
      </c>
      <c r="G2462" s="4" t="n">
        <v>2</v>
      </c>
      <c r="H2462" s="13" t="n"/>
      <c r="I2462" s="15" t="n"/>
      <c r="J2462" s="19" t="n">
        <v>3</v>
      </c>
      <c r="K2462" s="2" t="inlineStr">
        <is>
          <t>marker_536_534823.png</t>
        </is>
      </c>
      <c r="L2462" s="11">
        <f>HYPERLINK("3\1\" &amp; K2462, "Ver Imagen")</f>
        <v/>
      </c>
      <c r="M2462" t="inlineStr">
        <is>
          <t>Moda</t>
        </is>
      </c>
    </row>
    <row r="2463">
      <c r="A2463" t="n">
        <v>2462</v>
      </c>
      <c r="B2463" t="inlineStr">
        <is>
          <t>A-499__56</t>
        </is>
      </c>
      <c r="C2463" s="1" t="n">
        <v>37.4956721302</v>
      </c>
      <c r="D2463" s="1" t="n">
        <v>-7.27377371648</v>
      </c>
      <c r="E2463" s="3" t="n">
        <v>3</v>
      </c>
      <c r="F2463" s="2" t="n">
        <v>3</v>
      </c>
      <c r="G2463" s="4" t="n">
        <v>2</v>
      </c>
      <c r="H2463" s="13" t="n"/>
      <c r="I2463" s="15" t="n"/>
      <c r="J2463" s="19" t="n">
        <v>3</v>
      </c>
      <c r="K2463" s="2" t="inlineStr">
        <is>
          <t>marker_975_534954.png</t>
        </is>
      </c>
      <c r="L2463" s="11">
        <f>HYPERLINK("3\1\" &amp; K2463, "Ver Imagen")</f>
        <v/>
      </c>
      <c r="M2463" t="inlineStr">
        <is>
          <t>Moda</t>
        </is>
      </c>
    </row>
    <row r="2464">
      <c r="A2464" t="n">
        <v>2463</v>
      </c>
      <c r="B2464" t="inlineStr">
        <is>
          <t>A-499__85</t>
        </is>
      </c>
      <c r="C2464" s="1" t="n">
        <v>37.4958362596</v>
      </c>
      <c r="D2464" s="1" t="n">
        <v>-7.26811558294</v>
      </c>
      <c r="E2464" s="3" t="n">
        <v>2</v>
      </c>
      <c r="F2464" s="2" t="n">
        <v>3</v>
      </c>
      <c r="G2464" s="4" t="n">
        <v>3</v>
      </c>
      <c r="H2464" s="13" t="n"/>
      <c r="I2464" s="15" t="n"/>
      <c r="J2464" s="19" t="n">
        <v>3</v>
      </c>
      <c r="K2464" s="2" t="inlineStr">
        <is>
          <t>marker_323_789412.png</t>
        </is>
      </c>
      <c r="L2464" s="11">
        <f>HYPERLINK("3\1\" &amp; K2464, "Ver Imagen")</f>
        <v/>
      </c>
      <c r="M2464" t="inlineStr">
        <is>
          <t>Moda</t>
        </is>
      </c>
    </row>
    <row r="2465">
      <c r="A2465" t="n">
        <v>2464</v>
      </c>
      <c r="B2465" t="inlineStr">
        <is>
          <t>A-499__92</t>
        </is>
      </c>
      <c r="C2465" s="1" t="n">
        <v>37.4972238318</v>
      </c>
      <c r="D2465" s="1" t="n">
        <v>-7.26805240972</v>
      </c>
      <c r="E2465" s="3" t="n">
        <v>2</v>
      </c>
      <c r="F2465" s="2" t="n">
        <v>3</v>
      </c>
      <c r="G2465" s="4" t="n">
        <v>3</v>
      </c>
      <c r="H2465" s="13" t="n"/>
      <c r="I2465" s="15" t="n"/>
      <c r="J2465" s="19" t="n">
        <v>3</v>
      </c>
      <c r="K2465" s="2" t="inlineStr">
        <is>
          <t>marker_511_790086.png</t>
        </is>
      </c>
      <c r="L2465" s="11">
        <f>HYPERLINK("3\1\" &amp; K2465, "Ver Imagen")</f>
        <v/>
      </c>
      <c r="M2465" t="inlineStr">
        <is>
          <t>Moda</t>
        </is>
      </c>
    </row>
    <row r="2466">
      <c r="A2466" t="n">
        <v>2465</v>
      </c>
      <c r="B2466" t="inlineStr">
        <is>
          <t>A-497__789</t>
        </is>
      </c>
      <c r="C2466" s="1" t="n">
        <v>37.19118799</v>
      </c>
      <c r="D2466" s="1" t="n">
        <v>-6.97784052019</v>
      </c>
      <c r="E2466" s="3" t="n">
        <v>2</v>
      </c>
      <c r="F2466" s="2" t="n">
        <v>3</v>
      </c>
      <c r="G2466" s="4" t="n">
        <v>3</v>
      </c>
      <c r="H2466" s="13" t="n"/>
      <c r="I2466" s="15" t="n"/>
      <c r="J2466" s="19" t="n">
        <v>3</v>
      </c>
      <c r="K2466" s="2" t="inlineStr">
        <is>
          <t>marker_551_368072.png</t>
        </is>
      </c>
      <c r="L2466" s="11">
        <f>HYPERLINK("3\1\" &amp; K2466, "Ver Imagen")</f>
        <v/>
      </c>
      <c r="M2466" t="inlineStr">
        <is>
          <t>Moda</t>
        </is>
      </c>
    </row>
    <row r="2467">
      <c r="A2467" t="n">
        <v>2466</v>
      </c>
      <c r="B2467" t="inlineStr">
        <is>
          <t>A-499__113</t>
        </is>
      </c>
      <c r="C2467" s="1" t="n">
        <v>37.5013407979</v>
      </c>
      <c r="D2467" s="1" t="n">
        <v>-7.26664392653</v>
      </c>
      <c r="E2467" s="3" t="n">
        <v>2</v>
      </c>
      <c r="F2467" s="2" t="n">
        <v>3</v>
      </c>
      <c r="G2467" s="4" t="n">
        <v>3</v>
      </c>
      <c r="H2467" s="13" t="n"/>
      <c r="I2467" s="15" t="n"/>
      <c r="J2467" s="19" t="n">
        <v>3</v>
      </c>
      <c r="K2467" s="2" t="inlineStr">
        <is>
          <t>marker_401_793446.png</t>
        </is>
      </c>
      <c r="L2467" s="11">
        <f>HYPERLINK("3\1\" &amp; K2467, "Ver Imagen")</f>
        <v/>
      </c>
      <c r="M2467" t="inlineStr">
        <is>
          <t>Moda</t>
        </is>
      </c>
    </row>
    <row r="2468">
      <c r="A2468" t="n">
        <v>2467</v>
      </c>
      <c r="B2468" t="inlineStr">
        <is>
          <t>A-499__114</t>
        </is>
      </c>
      <c r="C2468" s="1" t="n">
        <v>37.5015479862</v>
      </c>
      <c r="D2468" s="1" t="n">
        <v>-7.26657317196</v>
      </c>
      <c r="E2468" s="3" t="n">
        <v>3</v>
      </c>
      <c r="F2468" s="2" t="n">
        <v>3</v>
      </c>
      <c r="G2468" s="4" t="n">
        <v>2</v>
      </c>
      <c r="H2468" s="13" t="n"/>
      <c r="I2468" s="15" t="n"/>
      <c r="J2468" s="19" t="n">
        <v>3</v>
      </c>
      <c r="K2468" s="2" t="inlineStr">
        <is>
          <t>marker_816_793463.png</t>
        </is>
      </c>
      <c r="L2468" s="11">
        <f>HYPERLINK("3\1\" &amp; K2468, "Ver Imagen")</f>
        <v/>
      </c>
      <c r="M2468" t="inlineStr">
        <is>
          <t>Moda</t>
        </is>
      </c>
    </row>
    <row r="2469">
      <c r="A2469" t="n">
        <v>2468</v>
      </c>
      <c r="B2469" t="inlineStr">
        <is>
          <t>A-497_2C__4</t>
        </is>
      </c>
      <c r="C2469" s="1" t="n">
        <v>37.2673939844</v>
      </c>
      <c r="D2469" s="1" t="n">
        <v>-6.95796340638</v>
      </c>
      <c r="E2469" s="3" t="n">
        <v>2</v>
      </c>
      <c r="F2469" s="2" t="n">
        <v>3</v>
      </c>
      <c r="G2469" s="4" t="n">
        <v>3</v>
      </c>
      <c r="H2469" s="13" t="n"/>
      <c r="I2469" s="15" t="n"/>
      <c r="J2469" s="19" t="n">
        <v>3</v>
      </c>
      <c r="K2469" s="2" t="inlineStr">
        <is>
          <t>marker_847_653758.png</t>
        </is>
      </c>
      <c r="L2469" s="11">
        <f>HYPERLINK("3\1\" &amp; K2469, "Ver Imagen")</f>
        <v/>
      </c>
      <c r="M2469" t="inlineStr">
        <is>
          <t>Moda</t>
        </is>
      </c>
    </row>
    <row r="2470">
      <c r="A2470" t="n">
        <v>2469</v>
      </c>
      <c r="B2470" t="inlineStr">
        <is>
          <t>A-499__140</t>
        </is>
      </c>
      <c r="C2470" s="1" t="n">
        <v>37.5066548201</v>
      </c>
      <c r="D2470" s="1" t="n">
        <v>-7.26541905721</v>
      </c>
      <c r="E2470" s="3" t="n">
        <v>2</v>
      </c>
      <c r="F2470" s="2" t="n">
        <v>3</v>
      </c>
      <c r="G2470" s="4" t="n">
        <v>3</v>
      </c>
      <c r="H2470" s="13" t="n"/>
      <c r="I2470" s="15" t="n"/>
      <c r="J2470" s="19" t="n">
        <v>3</v>
      </c>
      <c r="K2470" s="2" t="inlineStr">
        <is>
          <t>marker_471_794068.png</t>
        </is>
      </c>
      <c r="L2470" s="11">
        <f>HYPERLINK("3\1\" &amp; K2470, "Ver Imagen")</f>
        <v/>
      </c>
      <c r="M2470" t="inlineStr">
        <is>
          <t>Moda</t>
        </is>
      </c>
    </row>
    <row r="2471">
      <c r="A2471" t="n">
        <v>2470</v>
      </c>
      <c r="B2471" t="inlineStr">
        <is>
          <t>A-499__142</t>
        </is>
      </c>
      <c r="C2471" s="1" t="n">
        <v>37.5070320099</v>
      </c>
      <c r="D2471" s="1" t="n">
        <v>-7.26561247912</v>
      </c>
      <c r="E2471" s="3" t="n">
        <v>2</v>
      </c>
      <c r="F2471" s="2" t="n">
        <v>3</v>
      </c>
      <c r="G2471" s="4" t="n">
        <v>3</v>
      </c>
      <c r="H2471" s="13" t="n"/>
      <c r="I2471" s="15" t="n"/>
      <c r="J2471" s="19" t="n">
        <v>3</v>
      </c>
      <c r="K2471" s="2" t="inlineStr">
        <is>
          <t>marker_947_794112.png</t>
        </is>
      </c>
      <c r="L2471" s="11">
        <f>HYPERLINK("3\1\" &amp; K2471, "Ver Imagen")</f>
        <v/>
      </c>
      <c r="M2471" t="inlineStr">
        <is>
          <t>Moda</t>
        </is>
      </c>
    </row>
    <row r="2472">
      <c r="A2472" t="n">
        <v>2471</v>
      </c>
      <c r="B2472" t="inlineStr">
        <is>
          <t>A-499__159</t>
        </is>
      </c>
      <c r="C2472" s="1" t="n">
        <v>37.5100416303</v>
      </c>
      <c r="D2472" s="1" t="n">
        <v>-7.26759940969</v>
      </c>
      <c r="E2472" s="3" t="n">
        <v>2</v>
      </c>
      <c r="F2472" s="2" t="n">
        <v>3</v>
      </c>
      <c r="G2472" s="4" t="n">
        <v>3</v>
      </c>
      <c r="H2472" s="13" t="n"/>
      <c r="I2472" s="15" t="n"/>
      <c r="J2472" s="19" t="n">
        <v>3</v>
      </c>
      <c r="K2472" s="2" t="inlineStr">
        <is>
          <t>marker_247_794565.png</t>
        </is>
      </c>
      <c r="L2472" s="11">
        <f>HYPERLINK("3\1\" &amp; K2472, "Ver Imagen")</f>
        <v/>
      </c>
      <c r="M2472" t="inlineStr">
        <is>
          <t>Moda</t>
        </is>
      </c>
    </row>
    <row r="2473">
      <c r="A2473" t="n">
        <v>2472</v>
      </c>
      <c r="B2473" t="inlineStr">
        <is>
          <t>A-499__177</t>
        </is>
      </c>
      <c r="C2473" s="1" t="n">
        <v>37.5135420318</v>
      </c>
      <c r="D2473" s="1" t="n">
        <v>-7.26895162754</v>
      </c>
      <c r="E2473" s="3" t="n">
        <v>3</v>
      </c>
      <c r="F2473" s="2" t="n">
        <v>3</v>
      </c>
      <c r="G2473" s="4" t="n">
        <v>2</v>
      </c>
      <c r="H2473" s="13" t="n"/>
      <c r="I2473" s="15" t="n"/>
      <c r="J2473" s="19" t="n">
        <v>3</v>
      </c>
      <c r="K2473" s="2" t="inlineStr">
        <is>
          <t>marker_549_795586.png</t>
        </is>
      </c>
      <c r="L2473" s="11">
        <f>HYPERLINK("3\1\" &amp; K2473, "Ver Imagen")</f>
        <v/>
      </c>
      <c r="M2473" t="inlineStr">
        <is>
          <t>Moda</t>
        </is>
      </c>
    </row>
    <row r="2474">
      <c r="A2474" t="n">
        <v>2473</v>
      </c>
      <c r="B2474" t="inlineStr">
        <is>
          <t>A-499__243</t>
        </is>
      </c>
      <c r="C2474" s="1" t="n">
        <v>37.5234708191</v>
      </c>
      <c r="D2474" s="1" t="n">
        <v>-7.25894469386</v>
      </c>
      <c r="E2474" s="3" t="n">
        <v>2</v>
      </c>
      <c r="F2474" s="2" t="n">
        <v>3</v>
      </c>
      <c r="G2474" s="4" t="n">
        <v>3</v>
      </c>
      <c r="H2474" s="13" t="n"/>
      <c r="I2474" s="15" t="n"/>
      <c r="J2474" s="19" t="n">
        <v>3</v>
      </c>
      <c r="K2474" s="2" t="inlineStr">
        <is>
          <t>marker_784_796905.png</t>
        </is>
      </c>
      <c r="L2474" s="11">
        <f>HYPERLINK("3\1\" &amp; K2474, "Ver Imagen")</f>
        <v/>
      </c>
      <c r="M2474" t="inlineStr">
        <is>
          <t>Moda</t>
        </is>
      </c>
    </row>
    <row r="2475">
      <c r="A2475" t="n">
        <v>2474</v>
      </c>
      <c r="B2475" t="inlineStr">
        <is>
          <t>A-499__256</t>
        </is>
      </c>
      <c r="C2475" s="1" t="n">
        <v>37.5253416085</v>
      </c>
      <c r="D2475" s="1" t="n">
        <v>-7.2566679682</v>
      </c>
      <c r="E2475" s="3" t="n">
        <v>2</v>
      </c>
      <c r="F2475" s="2" t="n">
        <v>3</v>
      </c>
      <c r="G2475" s="4" t="n">
        <v>3</v>
      </c>
      <c r="H2475" s="13" t="n"/>
      <c r="I2475" s="15" t="n"/>
      <c r="J2475" s="19" t="n">
        <v>3</v>
      </c>
      <c r="K2475" s="2" t="inlineStr">
        <is>
          <t>marker_803_797085.png</t>
        </is>
      </c>
      <c r="L2475" s="11">
        <f>HYPERLINK("3\1\" &amp; K2475, "Ver Imagen")</f>
        <v/>
      </c>
      <c r="M2475" t="inlineStr">
        <is>
          <t>Moda</t>
        </is>
      </c>
    </row>
    <row r="2476">
      <c r="A2476" t="n">
        <v>2475</v>
      </c>
      <c r="B2476" t="inlineStr">
        <is>
          <t>A-497__748</t>
        </is>
      </c>
      <c r="C2476" s="1" t="n">
        <v>37.1875272112</v>
      </c>
      <c r="D2476" s="1" t="n">
        <v>-6.97866115648</v>
      </c>
      <c r="E2476" s="3" t="n">
        <v>2</v>
      </c>
      <c r="F2476" s="2" t="n">
        <v>3</v>
      </c>
      <c r="G2476" s="4" t="n">
        <v>3</v>
      </c>
      <c r="H2476" s="13" t="n"/>
      <c r="I2476" s="15" t="n"/>
      <c r="J2476" s="19" t="n">
        <v>3</v>
      </c>
      <c r="K2476" s="2" t="inlineStr">
        <is>
          <t>marker_297_368724.png</t>
        </is>
      </c>
      <c r="L2476" s="11">
        <f>HYPERLINK("3\1\" &amp; K2476, "Ver Imagen")</f>
        <v/>
      </c>
      <c r="M2476" t="inlineStr">
        <is>
          <t>Moda</t>
        </is>
      </c>
    </row>
    <row r="2477">
      <c r="A2477" t="n">
        <v>2476</v>
      </c>
      <c r="B2477" t="inlineStr">
        <is>
          <t>A-497_2C__161</t>
        </is>
      </c>
      <c r="C2477" s="1" t="n">
        <v>37.2660637436</v>
      </c>
      <c r="D2477" s="1" t="n">
        <v>-6.99351170596</v>
      </c>
      <c r="E2477" s="3" t="n">
        <v>2</v>
      </c>
      <c r="F2477" s="2" t="n">
        <v>3</v>
      </c>
      <c r="G2477" s="4" t="n">
        <v>3</v>
      </c>
      <c r="H2477" s="13" t="n"/>
      <c r="I2477" s="15" t="n"/>
      <c r="J2477" s="19" t="n">
        <v>3</v>
      </c>
      <c r="K2477" s="2" t="inlineStr">
        <is>
          <t>marker_174_656111.png</t>
        </is>
      </c>
      <c r="L2477" s="11">
        <f>HYPERLINK("3\1\" &amp; K2477, "Ver Imagen")</f>
        <v/>
      </c>
      <c r="M2477" t="inlineStr">
        <is>
          <t>Moda</t>
        </is>
      </c>
    </row>
    <row r="2478">
      <c r="A2478" t="n">
        <v>2477</v>
      </c>
      <c r="B2478" t="inlineStr">
        <is>
          <t>A-497_2C__224</t>
        </is>
      </c>
      <c r="C2478" s="1" t="n">
        <v>37.2629208666</v>
      </c>
      <c r="D2478" s="1" t="n">
        <v>-7.0089561291</v>
      </c>
      <c r="E2478" s="3" t="n">
        <v>2</v>
      </c>
      <c r="F2478" s="2" t="n">
        <v>3</v>
      </c>
      <c r="G2478" s="4" t="n">
        <v>3</v>
      </c>
      <c r="H2478" s="13" t="n"/>
      <c r="I2478" s="15" t="n"/>
      <c r="J2478" s="19" t="n">
        <v>3</v>
      </c>
      <c r="K2478" s="2" t="inlineStr">
        <is>
          <t>marker_423_656823.png</t>
        </is>
      </c>
      <c r="L2478" s="11">
        <f>HYPERLINK("3\1\" &amp; K2478, "Ver Imagen")</f>
        <v/>
      </c>
      <c r="M2478" t="inlineStr">
        <is>
          <t>Moda</t>
        </is>
      </c>
    </row>
    <row r="2479">
      <c r="A2479" t="n">
        <v>2478</v>
      </c>
      <c r="B2479" t="inlineStr">
        <is>
          <t>A-497_2C__225</t>
        </is>
      </c>
      <c r="C2479" s="1" t="n">
        <v>37.2628331609</v>
      </c>
      <c r="D2479" s="1" t="n">
        <v>-7.00912662257</v>
      </c>
      <c r="E2479" s="3" t="n">
        <v>2</v>
      </c>
      <c r="F2479" s="2" t="n">
        <v>3</v>
      </c>
      <c r="G2479" s="4" t="n">
        <v>3</v>
      </c>
      <c r="H2479" s="13" t="n"/>
      <c r="I2479" s="15" t="n"/>
      <c r="J2479" s="19" t="n">
        <v>3</v>
      </c>
      <c r="K2479" s="2" t="inlineStr">
        <is>
          <t>marker_427_656838.png</t>
        </is>
      </c>
      <c r="L2479" s="11">
        <f>HYPERLINK("3\1\" &amp; K2479, "Ver Imagen")</f>
        <v/>
      </c>
      <c r="M2479" t="inlineStr">
        <is>
          <t>Moda</t>
        </is>
      </c>
    </row>
    <row r="2480">
      <c r="A2480" t="n">
        <v>2479</v>
      </c>
      <c r="B2480" t="inlineStr">
        <is>
          <t>A-497_2C__264</t>
        </is>
      </c>
      <c r="C2480" s="1" t="n">
        <v>37.2560664534</v>
      </c>
      <c r="D2480" s="1" t="n">
        <v>-7.01420727151</v>
      </c>
      <c r="E2480" s="3" t="n">
        <v>2</v>
      </c>
      <c r="F2480" s="2" t="n">
        <v>3</v>
      </c>
      <c r="G2480" s="4" t="n">
        <v>3</v>
      </c>
      <c r="H2480" s="13" t="n"/>
      <c r="I2480" s="15" t="n"/>
      <c r="J2480" s="19" t="n">
        <v>3</v>
      </c>
      <c r="K2480" s="2" t="inlineStr">
        <is>
          <t>marker_925_319669.png</t>
        </is>
      </c>
      <c r="L2480" s="11">
        <f>HYPERLINK("3\1\" &amp; K2480, "Ver Imagen")</f>
        <v/>
      </c>
      <c r="M2480" t="inlineStr">
        <is>
          <t>Moda</t>
        </is>
      </c>
    </row>
    <row r="2481">
      <c r="A2481" t="n">
        <v>2480</v>
      </c>
      <c r="B2481" t="inlineStr">
        <is>
          <t>A-497_2C__266</t>
        </is>
      </c>
      <c r="C2481" s="1" t="n">
        <v>37.2557061303</v>
      </c>
      <c r="D2481" s="1" t="n">
        <v>-7.01443919357</v>
      </c>
      <c r="E2481" s="3" t="n">
        <v>2</v>
      </c>
      <c r="F2481" s="2" t="n">
        <v>3</v>
      </c>
      <c r="G2481" s="4" t="n">
        <v>3</v>
      </c>
      <c r="H2481" s="13" t="n"/>
      <c r="I2481" s="15" t="n"/>
      <c r="J2481" s="19" t="n">
        <v>3</v>
      </c>
      <c r="K2481" s="2" t="inlineStr">
        <is>
          <t>marker_255_319697.png</t>
        </is>
      </c>
      <c r="L2481" s="11">
        <f>HYPERLINK("3\1\" &amp; K2481, "Ver Imagen")</f>
        <v/>
      </c>
      <c r="M2481" t="inlineStr">
        <is>
          <t>Moda</t>
        </is>
      </c>
    </row>
    <row r="2482">
      <c r="A2482" t="n">
        <v>2481</v>
      </c>
      <c r="B2482" t="inlineStr">
        <is>
          <t>A-497_2C__267</t>
        </is>
      </c>
      <c r="C2482" s="1" t="n">
        <v>37.2555280852</v>
      </c>
      <c r="D2482" s="1" t="n">
        <v>-7.01455401953</v>
      </c>
      <c r="E2482" s="3" t="n">
        <v>2</v>
      </c>
      <c r="F2482" s="2" t="n">
        <v>3</v>
      </c>
      <c r="G2482" s="4" t="n">
        <v>3</v>
      </c>
      <c r="H2482" s="13" t="n"/>
      <c r="I2482" s="15" t="n"/>
      <c r="J2482" s="19" t="n">
        <v>3</v>
      </c>
      <c r="K2482" s="2" t="inlineStr">
        <is>
          <t>marker_785_319706.png</t>
        </is>
      </c>
      <c r="L2482" s="11">
        <f>HYPERLINK("3\1\" &amp; K2482, "Ver Imagen")</f>
        <v/>
      </c>
      <c r="M2482" t="inlineStr">
        <is>
          <t>Moda</t>
        </is>
      </c>
    </row>
    <row r="2483">
      <c r="A2483" t="n">
        <v>2482</v>
      </c>
      <c r="B2483" t="inlineStr">
        <is>
          <t>A-497__570</t>
        </is>
      </c>
      <c r="C2483" s="1" t="n">
        <v>37.2039792141</v>
      </c>
      <c r="D2483" s="1" t="n">
        <v>-7.0101281187</v>
      </c>
      <c r="E2483" s="3" t="n">
        <v>2</v>
      </c>
      <c r="F2483" s="2" t="n">
        <v>3</v>
      </c>
      <c r="G2483" s="4" t="n">
        <v>3</v>
      </c>
      <c r="H2483" s="13" t="n"/>
      <c r="I2483" s="15" t="n"/>
      <c r="J2483" s="19" t="n">
        <v>3</v>
      </c>
      <c r="K2483" s="2" t="inlineStr">
        <is>
          <t>marker_529_372035.png</t>
        </is>
      </c>
      <c r="L2483" s="11">
        <f>HYPERLINK("3\1\" &amp; K2483, "Ver Imagen")</f>
        <v/>
      </c>
      <c r="M2483" t="inlineStr">
        <is>
          <t>Moda</t>
        </is>
      </c>
    </row>
    <row r="2484">
      <c r="A2484" t="n">
        <v>2483</v>
      </c>
      <c r="B2484" t="inlineStr">
        <is>
          <t>A-497__290</t>
        </is>
      </c>
      <c r="C2484" s="1" t="n">
        <v>37.2521763924</v>
      </c>
      <c r="D2484" s="1" t="n">
        <v>-7.01648883377</v>
      </c>
      <c r="E2484" s="3" t="n">
        <v>2</v>
      </c>
      <c r="F2484" s="2" t="n">
        <v>3</v>
      </c>
      <c r="G2484" s="4" t="n">
        <v>3</v>
      </c>
      <c r="H2484" s="13" t="n"/>
      <c r="I2484" s="15" t="n"/>
      <c r="J2484" s="19" t="n">
        <v>3</v>
      </c>
      <c r="K2484" s="2" t="inlineStr">
        <is>
          <t>marker_121_378353.png</t>
        </is>
      </c>
      <c r="L2484" s="11">
        <f>HYPERLINK("3\1\" &amp; K2484, "Ver Imagen")</f>
        <v/>
      </c>
      <c r="M2484" t="inlineStr">
        <is>
          <t>Moda</t>
        </is>
      </c>
    </row>
    <row r="2485">
      <c r="A2485" t="n">
        <v>2484</v>
      </c>
      <c r="B2485" t="inlineStr">
        <is>
          <t>A-497__275</t>
        </is>
      </c>
      <c r="C2485" s="1" t="n">
        <v>37.2549326473</v>
      </c>
      <c r="D2485" s="1" t="n">
        <v>-7.01473305697</v>
      </c>
      <c r="E2485" s="3" t="n">
        <v>2</v>
      </c>
      <c r="F2485" s="2" t="n">
        <v>3</v>
      </c>
      <c r="G2485" s="4" t="n">
        <v>3</v>
      </c>
      <c r="H2485" s="13" t="n"/>
      <c r="I2485" s="15" t="n"/>
      <c r="J2485" s="19" t="n">
        <v>3</v>
      </c>
      <c r="K2485" s="2" t="inlineStr">
        <is>
          <t>marker_905_378526.png</t>
        </is>
      </c>
      <c r="L2485" s="11">
        <f>HYPERLINK("3\1\" &amp; K2485, "Ver Imagen")</f>
        <v/>
      </c>
      <c r="M2485" t="inlineStr">
        <is>
          <t>Moda</t>
        </is>
      </c>
    </row>
    <row r="2486">
      <c r="A2486" t="n">
        <v>2485</v>
      </c>
      <c r="B2486" t="inlineStr">
        <is>
          <t>A-497__205</t>
        </is>
      </c>
      <c r="C2486" s="1" t="n">
        <v>37.2641465957</v>
      </c>
      <c r="D2486" s="1" t="n">
        <v>-7.00302719811</v>
      </c>
      <c r="E2486" s="3" t="n">
        <v>2</v>
      </c>
      <c r="F2486" s="2" t="n">
        <v>3</v>
      </c>
      <c r="G2486" s="4" t="n">
        <v>3</v>
      </c>
      <c r="H2486" s="13" t="n"/>
      <c r="I2486" s="15" t="n"/>
      <c r="J2486" s="19" t="n">
        <v>3</v>
      </c>
      <c r="K2486" s="2" t="inlineStr">
        <is>
          <t>marker_909_379324.png</t>
        </is>
      </c>
      <c r="L2486" s="11">
        <f>HYPERLINK("3\1\" &amp; K2486, "Ver Imagen")</f>
        <v/>
      </c>
      <c r="M2486" t="inlineStr">
        <is>
          <t>Moda</t>
        </is>
      </c>
    </row>
    <row r="2487">
      <c r="A2487" t="n">
        <v>2486</v>
      </c>
      <c r="B2487" t="inlineStr">
        <is>
          <t>A-497__187</t>
        </is>
      </c>
      <c r="C2487" s="1" t="n">
        <v>37.2649299363</v>
      </c>
      <c r="D2487" s="1" t="n">
        <v>-6.99862741803</v>
      </c>
      <c r="E2487" s="3" t="n">
        <v>2</v>
      </c>
      <c r="F2487" s="2" t="n">
        <v>3</v>
      </c>
      <c r="G2487" s="4" t="n">
        <v>3</v>
      </c>
      <c r="H2487" s="13" t="n"/>
      <c r="I2487" s="15" t="n"/>
      <c r="J2487" s="19" t="n">
        <v>3</v>
      </c>
      <c r="K2487" s="2" t="inlineStr">
        <is>
          <t>marker_378_379553.png</t>
        </is>
      </c>
      <c r="L2487" s="11">
        <f>HYPERLINK("3\1\" &amp; K2487, "Ver Imagen")</f>
        <v/>
      </c>
      <c r="M2487" t="inlineStr">
        <is>
          <t>Moda</t>
        </is>
      </c>
    </row>
    <row r="2488">
      <c r="A2488" t="n">
        <v>2487</v>
      </c>
      <c r="B2488" t="inlineStr">
        <is>
          <t>A-497__115</t>
        </is>
      </c>
      <c r="C2488" s="1" t="n">
        <v>37.2713463201</v>
      </c>
      <c r="D2488" s="1" t="n">
        <v>-6.98416106475</v>
      </c>
      <c r="E2488" s="3" t="n">
        <v>2</v>
      </c>
      <c r="F2488" s="2" t="n">
        <v>3</v>
      </c>
      <c r="G2488" s="4" t="n">
        <v>3</v>
      </c>
      <c r="H2488" s="13" t="n"/>
      <c r="I2488" s="15" t="n"/>
      <c r="J2488" s="19" t="n">
        <v>3</v>
      </c>
      <c r="K2488" s="2" t="inlineStr">
        <is>
          <t>marker_708_380667.png</t>
        </is>
      </c>
      <c r="L2488" s="11">
        <f>HYPERLINK("3\1\" &amp; K2488, "Ver Imagen")</f>
        <v/>
      </c>
      <c r="M2488" t="inlineStr">
        <is>
          <t>Moda</t>
        </is>
      </c>
    </row>
    <row r="2489">
      <c r="A2489" t="n">
        <v>2488</v>
      </c>
      <c r="B2489" t="inlineStr">
        <is>
          <t>A-490__14</t>
        </is>
      </c>
      <c r="C2489" s="1" t="n">
        <v>37.4470985557</v>
      </c>
      <c r="D2489" s="1" t="n">
        <v>-7.12976859862</v>
      </c>
      <c r="E2489" s="3" t="n">
        <v>3</v>
      </c>
      <c r="F2489" s="2" t="n">
        <v>4</v>
      </c>
      <c r="G2489" s="4" t="n">
        <v>3</v>
      </c>
      <c r="H2489" s="13" t="n"/>
      <c r="I2489" s="15" t="n"/>
      <c r="J2489" s="19" t="n">
        <v>3</v>
      </c>
      <c r="K2489" s="2" t="inlineStr">
        <is>
          <t>marker_843_728108.png</t>
        </is>
      </c>
      <c r="L2489" s="11">
        <f>HYPERLINK("3\1\" &amp; K2489, "Ver Imagen")</f>
        <v/>
      </c>
      <c r="M2489" t="inlineStr">
        <is>
          <t>Moda</t>
        </is>
      </c>
    </row>
    <row r="2490">
      <c r="A2490" t="n">
        <v>2489</v>
      </c>
      <c r="B2490" t="inlineStr">
        <is>
          <t>A-490__31</t>
        </is>
      </c>
      <c r="C2490" s="1" t="n">
        <v>37.446314007</v>
      </c>
      <c r="D2490" s="1" t="n">
        <v>-7.13401643677</v>
      </c>
      <c r="E2490" s="3" t="n">
        <v>2</v>
      </c>
      <c r="F2490" s="2" t="n">
        <v>3</v>
      </c>
      <c r="G2490" s="4" t="n">
        <v>3</v>
      </c>
      <c r="H2490" s="13" t="n"/>
      <c r="I2490" s="15" t="n"/>
      <c r="J2490" s="19" t="n">
        <v>3</v>
      </c>
      <c r="K2490" s="2" t="inlineStr">
        <is>
          <t>marker_407_730957.png</t>
        </is>
      </c>
      <c r="L2490" s="11">
        <f>HYPERLINK("3\1\" &amp; K2490, "Ver Imagen")</f>
        <v/>
      </c>
      <c r="M2490" t="inlineStr">
        <is>
          <t>Moda</t>
        </is>
      </c>
    </row>
    <row r="2491">
      <c r="A2491" t="n">
        <v>2490</v>
      </c>
      <c r="B2491" t="inlineStr">
        <is>
          <t>A-490__10</t>
        </is>
      </c>
      <c r="C2491" s="1" t="n">
        <v>37.4471405666</v>
      </c>
      <c r="D2491" s="1" t="n">
        <v>-7.1287802785</v>
      </c>
      <c r="E2491" s="3" t="n">
        <v>2</v>
      </c>
      <c r="F2491" s="2" t="n">
        <v>3</v>
      </c>
      <c r="G2491" s="4" t="n">
        <v>3</v>
      </c>
      <c r="H2491" s="13" t="n"/>
      <c r="I2491" s="15" t="n"/>
      <c r="J2491" s="19" t="n">
        <v>3</v>
      </c>
      <c r="K2491" s="2" t="inlineStr">
        <is>
          <t>marker_175_725035.png</t>
        </is>
      </c>
      <c r="L2491" s="11">
        <f>HYPERLINK("3\1\" &amp; K2491, "Ver Imagen")</f>
        <v/>
      </c>
      <c r="M2491" t="inlineStr">
        <is>
          <t>Moda</t>
        </is>
      </c>
    </row>
    <row r="2492">
      <c r="A2492" t="n">
        <v>2491</v>
      </c>
      <c r="B2492" t="inlineStr">
        <is>
          <t>A-490__12</t>
        </is>
      </c>
      <c r="C2492" s="1" t="n">
        <v>37.4471486646</v>
      </c>
      <c r="D2492" s="1" t="n">
        <v>-7.12921895021</v>
      </c>
      <c r="E2492" s="3" t="n">
        <v>3</v>
      </c>
      <c r="F2492" s="2" t="n">
        <v>4</v>
      </c>
      <c r="G2492" s="4" t="n">
        <v>3</v>
      </c>
      <c r="H2492" s="13" t="n"/>
      <c r="I2492" s="15" t="n"/>
      <c r="J2492" s="19" t="n">
        <v>3</v>
      </c>
      <c r="K2492" s="2" t="inlineStr">
        <is>
          <t>marker_831_726118.png</t>
        </is>
      </c>
      <c r="L2492" s="11">
        <f>HYPERLINK("3\1\" &amp; K2492, "Ver Imagen")</f>
        <v/>
      </c>
      <c r="M2492" t="inlineStr">
        <is>
          <t>Moda</t>
        </is>
      </c>
    </row>
    <row r="2493">
      <c r="A2493" t="n">
        <v>2492</v>
      </c>
      <c r="B2493" t="inlineStr">
        <is>
          <t>A-490__13</t>
        </is>
      </c>
      <c r="C2493" s="1" t="n">
        <v>37.4471353383</v>
      </c>
      <c r="D2493" s="1" t="n">
        <v>-7.12951576879</v>
      </c>
      <c r="E2493" s="3" t="n">
        <v>3</v>
      </c>
      <c r="F2493" s="2" t="n">
        <v>4</v>
      </c>
      <c r="G2493" s="4" t="n">
        <v>3</v>
      </c>
      <c r="H2493" s="13" t="n"/>
      <c r="I2493" s="15" t="n"/>
      <c r="J2493" s="19" t="n">
        <v>3</v>
      </c>
      <c r="K2493" s="2" t="inlineStr">
        <is>
          <t>marker_467_728073.png</t>
        </is>
      </c>
      <c r="L2493" s="11">
        <f>HYPERLINK("3\1\" &amp; K2493, "Ver Imagen")</f>
        <v/>
      </c>
      <c r="M2493" t="inlineStr">
        <is>
          <t>Moda</t>
        </is>
      </c>
    </row>
    <row r="2494">
      <c r="A2494" t="n">
        <v>2493</v>
      </c>
      <c r="B2494" t="inlineStr">
        <is>
          <t>A-490__25</t>
        </is>
      </c>
      <c r="C2494" s="1" t="n">
        <v>37.446544814</v>
      </c>
      <c r="D2494" s="1" t="n">
        <v>-7.13244771598</v>
      </c>
      <c r="E2494" s="3" t="n">
        <v>3</v>
      </c>
      <c r="F2494" s="2" t="n">
        <v>4</v>
      </c>
      <c r="G2494" s="4" t="n">
        <v>3</v>
      </c>
      <c r="H2494" s="13" t="n"/>
      <c r="I2494" s="15" t="n"/>
      <c r="J2494" s="19" t="n">
        <v>3</v>
      </c>
      <c r="K2494" s="2" t="inlineStr">
        <is>
          <t>marker_219_730793.png</t>
        </is>
      </c>
      <c r="L2494" s="11">
        <f>HYPERLINK("3\1\" &amp; K2494, "Ver Imagen")</f>
        <v/>
      </c>
      <c r="M2494" t="inlineStr">
        <is>
          <t>Moda</t>
        </is>
      </c>
    </row>
    <row r="2495">
      <c r="A2495" t="n">
        <v>2494</v>
      </c>
      <c r="B2495" t="inlineStr">
        <is>
          <t>A-490__43</t>
        </is>
      </c>
      <c r="C2495" s="1" t="n">
        <v>37.4463036675</v>
      </c>
      <c r="D2495" s="1" t="n">
        <v>-7.13694729829</v>
      </c>
      <c r="E2495" s="3" t="n">
        <v>2</v>
      </c>
      <c r="F2495" s="2" t="n">
        <v>3</v>
      </c>
      <c r="G2495" s="4" t="n">
        <v>3</v>
      </c>
      <c r="H2495" s="13" t="n"/>
      <c r="I2495" s="15" t="n"/>
      <c r="J2495" s="19" t="n">
        <v>3</v>
      </c>
      <c r="K2495" s="2" t="inlineStr">
        <is>
          <t>marker_105_731262.png</t>
        </is>
      </c>
      <c r="L2495" s="11">
        <f>HYPERLINK("3\1\" &amp; K2495, "Ver Imagen")</f>
        <v/>
      </c>
      <c r="M2495" t="inlineStr">
        <is>
          <t>Moda</t>
        </is>
      </c>
    </row>
    <row r="2496">
      <c r="A2496" t="n">
        <v>2495</v>
      </c>
      <c r="B2496" t="inlineStr">
        <is>
          <t>A-490__44</t>
        </is>
      </c>
      <c r="C2496" s="1" t="n">
        <v>37.4463796774</v>
      </c>
      <c r="D2496" s="1" t="n">
        <v>-7.13720809715</v>
      </c>
      <c r="E2496" s="3" t="n">
        <v>3</v>
      </c>
      <c r="F2496" s="2" t="n">
        <v>4</v>
      </c>
      <c r="G2496" s="4" t="n">
        <v>3</v>
      </c>
      <c r="H2496" s="13" t="n"/>
      <c r="I2496" s="15" t="n"/>
      <c r="J2496" s="19" t="n">
        <v>3</v>
      </c>
      <c r="K2496" s="2" t="inlineStr">
        <is>
          <t>marker_343_731292.png</t>
        </is>
      </c>
      <c r="L2496" s="11">
        <f>HYPERLINK("3\1\" &amp; K2496, "Ver Imagen")</f>
        <v/>
      </c>
      <c r="M2496" t="inlineStr">
        <is>
          <t>Moda</t>
        </is>
      </c>
    </row>
    <row r="2497">
      <c r="A2497" t="n">
        <v>2496</v>
      </c>
      <c r="B2497" t="inlineStr">
        <is>
          <t>A-490__45</t>
        </is>
      </c>
      <c r="C2497" s="1" t="n">
        <v>37.4464414899</v>
      </c>
      <c r="D2497" s="1" t="n">
        <v>-7.13741332873</v>
      </c>
      <c r="E2497" s="3" t="n">
        <v>2</v>
      </c>
      <c r="F2497" s="2" t="n">
        <v>3</v>
      </c>
      <c r="G2497" s="4" t="n">
        <v>3</v>
      </c>
      <c r="H2497" s="13" t="n"/>
      <c r="I2497" s="15" t="n"/>
      <c r="J2497" s="19" t="n">
        <v>3</v>
      </c>
      <c r="K2497" s="2" t="inlineStr">
        <is>
          <t>marker_761_731313.png</t>
        </is>
      </c>
      <c r="L2497" s="11">
        <f>HYPERLINK("3\1\" &amp; K2497, "Ver Imagen")</f>
        <v/>
      </c>
      <c r="M2497" t="inlineStr">
        <is>
          <t>Moda</t>
        </is>
      </c>
    </row>
    <row r="2498">
      <c r="A2498" t="n">
        <v>2497</v>
      </c>
      <c r="B2498" t="inlineStr">
        <is>
          <t>A-490__46</t>
        </is>
      </c>
      <c r="C2498" s="1" t="n">
        <v>37.4465249974</v>
      </c>
      <c r="D2498" s="1" t="n">
        <v>-7.13769539763</v>
      </c>
      <c r="E2498" s="3" t="n">
        <v>2</v>
      </c>
      <c r="F2498" s="2" t="n">
        <v>3</v>
      </c>
      <c r="G2498" s="4" t="n">
        <v>3</v>
      </c>
      <c r="H2498" s="13" t="n"/>
      <c r="I2498" s="15" t="n"/>
      <c r="J2498" s="19" t="n">
        <v>3</v>
      </c>
      <c r="K2498" s="2" t="inlineStr">
        <is>
          <t>marker_359_731353.png</t>
        </is>
      </c>
      <c r="L2498" s="11">
        <f>HYPERLINK("3\1\" &amp; K2498, "Ver Imagen")</f>
        <v/>
      </c>
      <c r="M2498" t="inlineStr">
        <is>
          <t>Moda</t>
        </is>
      </c>
    </row>
    <row r="2499">
      <c r="A2499" t="n">
        <v>2498</v>
      </c>
      <c r="B2499" t="inlineStr">
        <is>
          <t>A-490__75</t>
        </is>
      </c>
      <c r="C2499" s="1" t="n">
        <v>37.4485485196</v>
      </c>
      <c r="D2499" s="1" t="n">
        <v>-7.14444604187</v>
      </c>
      <c r="E2499" s="3" t="n">
        <v>2</v>
      </c>
      <c r="F2499" s="2" t="n">
        <v>3</v>
      </c>
      <c r="G2499" s="4" t="n">
        <v>3</v>
      </c>
      <c r="H2499" s="13" t="n"/>
      <c r="I2499" s="15" t="n"/>
      <c r="J2499" s="19" t="n">
        <v>3</v>
      </c>
      <c r="K2499" s="2" t="inlineStr">
        <is>
          <t>marker_838_738462.png</t>
        </is>
      </c>
      <c r="L2499" s="11">
        <f>HYPERLINK("3\1\" &amp; K2499, "Ver Imagen")</f>
        <v/>
      </c>
      <c r="M2499" t="inlineStr">
        <is>
          <t>Moda</t>
        </is>
      </c>
    </row>
    <row r="2500">
      <c r="A2500" t="n">
        <v>2499</v>
      </c>
      <c r="B2500" t="inlineStr">
        <is>
          <t>A-490__85</t>
        </is>
      </c>
      <c r="C2500" s="1" t="n">
        <v>37.4486749891</v>
      </c>
      <c r="D2500" s="1" t="n">
        <v>-7.14698081291</v>
      </c>
      <c r="E2500" s="3" t="n">
        <v>3</v>
      </c>
      <c r="F2500" s="2" t="n">
        <v>3</v>
      </c>
      <c r="G2500" s="4" t="n">
        <v>4</v>
      </c>
      <c r="H2500" s="13" t="n"/>
      <c r="I2500" s="15" t="n"/>
      <c r="J2500" s="19" t="n">
        <v>3</v>
      </c>
      <c r="K2500" s="2" t="inlineStr">
        <is>
          <t>marker_577_738784.png</t>
        </is>
      </c>
      <c r="L2500" s="11">
        <f>HYPERLINK("3\1\" &amp; K2500, "Ver Imagen")</f>
        <v/>
      </c>
      <c r="M2500" t="inlineStr">
        <is>
          <t>Moda</t>
        </is>
      </c>
    </row>
    <row r="2501">
      <c r="A2501" t="n">
        <v>2500</v>
      </c>
      <c r="B2501" t="inlineStr">
        <is>
          <t>A-490__92</t>
        </is>
      </c>
      <c r="C2501" s="1" t="n">
        <v>37.4487690014</v>
      </c>
      <c r="D2501" s="1" t="n">
        <v>-7.14874729503</v>
      </c>
      <c r="E2501" s="3" t="n">
        <v>2</v>
      </c>
      <c r="F2501" s="2" t="n">
        <v>3</v>
      </c>
      <c r="G2501" s="4" t="n">
        <v>3</v>
      </c>
      <c r="H2501" s="13" t="n"/>
      <c r="I2501" s="15" t="n"/>
      <c r="J2501" s="19" t="n">
        <v>3</v>
      </c>
      <c r="K2501" s="2" t="inlineStr">
        <is>
          <t>marker_921_739013.png</t>
        </is>
      </c>
      <c r="L2501" s="11">
        <f>HYPERLINK("3\1\" &amp; K2501, "Ver Imagen")</f>
        <v/>
      </c>
      <c r="M2501" t="inlineStr">
        <is>
          <t>Moda</t>
        </is>
      </c>
    </row>
    <row r="2502">
      <c r="A2502" t="n">
        <v>2501</v>
      </c>
      <c r="B2502" t="inlineStr">
        <is>
          <t>A-490__107</t>
        </is>
      </c>
      <c r="C2502" s="1" t="n">
        <v>37.4499665055</v>
      </c>
      <c r="D2502" s="1" t="n">
        <v>-7.15220664195</v>
      </c>
      <c r="E2502" s="3" t="n">
        <v>2</v>
      </c>
      <c r="F2502" s="2" t="n">
        <v>3</v>
      </c>
      <c r="G2502" s="4" t="n">
        <v>3</v>
      </c>
      <c r="H2502" s="13" t="n"/>
      <c r="I2502" s="15" t="n"/>
      <c r="J2502" s="19" t="n">
        <v>3</v>
      </c>
      <c r="K2502" s="2" t="inlineStr">
        <is>
          <t>marker_535_739693.png</t>
        </is>
      </c>
      <c r="L2502" s="11">
        <f>HYPERLINK("3\1\" &amp; K2502, "Ver Imagen")</f>
        <v/>
      </c>
      <c r="M2502" t="inlineStr">
        <is>
          <t>Moda</t>
        </is>
      </c>
    </row>
    <row r="2503">
      <c r="A2503" t="n">
        <v>2502</v>
      </c>
      <c r="B2503" t="inlineStr">
        <is>
          <t>A-490__108</t>
        </is>
      </c>
      <c r="C2503" s="1" t="n">
        <v>37.4500597122</v>
      </c>
      <c r="D2503" s="1" t="n">
        <v>-7.15235843595</v>
      </c>
      <c r="E2503" s="3" t="n">
        <v>2</v>
      </c>
      <c r="F2503" s="2" t="n">
        <v>3</v>
      </c>
      <c r="G2503" s="4" t="n">
        <v>3</v>
      </c>
      <c r="H2503" s="13" t="n"/>
      <c r="I2503" s="15" t="n"/>
      <c r="J2503" s="19" t="n">
        <v>3</v>
      </c>
      <c r="K2503" s="2" t="inlineStr">
        <is>
          <t>marker_248_739710.png</t>
        </is>
      </c>
      <c r="L2503" s="11">
        <f>HYPERLINK("3\1\" &amp; K2503, "Ver Imagen")</f>
        <v/>
      </c>
      <c r="M2503" t="inlineStr">
        <is>
          <t>Moda</t>
        </is>
      </c>
    </row>
    <row r="2504">
      <c r="A2504" t="n">
        <v>2503</v>
      </c>
      <c r="B2504" t="inlineStr">
        <is>
          <t>A-490__135</t>
        </is>
      </c>
      <c r="C2504" s="1" t="n">
        <v>37.4520857267</v>
      </c>
      <c r="D2504" s="1" t="n">
        <v>-7.15869003498</v>
      </c>
      <c r="E2504" s="3" t="n">
        <v>2</v>
      </c>
      <c r="F2504" s="2" t="n">
        <v>3</v>
      </c>
      <c r="G2504" s="4" t="n">
        <v>3</v>
      </c>
      <c r="H2504" s="13" t="n"/>
      <c r="I2504" s="15" t="n"/>
      <c r="J2504" s="19" t="n">
        <v>3</v>
      </c>
      <c r="K2504" s="2" t="inlineStr">
        <is>
          <t>marker_796_740338.png</t>
        </is>
      </c>
      <c r="L2504" s="11">
        <f>HYPERLINK("3\1\" &amp; K2504, "Ver Imagen")</f>
        <v/>
      </c>
      <c r="M2504" t="inlineStr">
        <is>
          <t>Moda</t>
        </is>
      </c>
    </row>
    <row r="2505">
      <c r="A2505" t="n">
        <v>2504</v>
      </c>
      <c r="B2505" t="inlineStr">
        <is>
          <t>A-490__152</t>
        </is>
      </c>
      <c r="C2505" s="1" t="n">
        <v>37.4533853426</v>
      </c>
      <c r="D2505" s="1" t="n">
        <v>-7.16255661864</v>
      </c>
      <c r="E2505" s="3" t="n">
        <v>2</v>
      </c>
      <c r="F2505" s="2" t="n">
        <v>3</v>
      </c>
      <c r="G2505" s="4" t="n">
        <v>3</v>
      </c>
      <c r="H2505" s="13" t="n"/>
      <c r="I2505" s="15" t="n"/>
      <c r="J2505" s="19" t="n">
        <v>3</v>
      </c>
      <c r="K2505" s="2" t="inlineStr">
        <is>
          <t>marker_497_740796.png</t>
        </is>
      </c>
      <c r="L2505" s="11">
        <f>HYPERLINK("3\1\" &amp; K2505, "Ver Imagen")</f>
        <v/>
      </c>
      <c r="M2505" t="inlineStr">
        <is>
          <t>Moda</t>
        </is>
      </c>
    </row>
    <row r="2506">
      <c r="A2506" t="n">
        <v>2505</v>
      </c>
      <c r="B2506" t="inlineStr">
        <is>
          <t>A-490__154</t>
        </is>
      </c>
      <c r="C2506" s="1" t="n">
        <v>37.4536132331</v>
      </c>
      <c r="D2506" s="1" t="n">
        <v>-7.1630079387</v>
      </c>
      <c r="E2506" s="3" t="n">
        <v>2</v>
      </c>
      <c r="F2506" s="2" t="n">
        <v>3</v>
      </c>
      <c r="G2506" s="4" t="n">
        <v>3</v>
      </c>
      <c r="H2506" s="13" t="n"/>
      <c r="I2506" s="15" t="n"/>
      <c r="J2506" s="19" t="n">
        <v>3</v>
      </c>
      <c r="K2506" s="2" t="inlineStr">
        <is>
          <t>marker_149_740862.png</t>
        </is>
      </c>
      <c r="L2506" s="11">
        <f>HYPERLINK("3\1\" &amp; K2506, "Ver Imagen")</f>
        <v/>
      </c>
      <c r="M2506" t="inlineStr">
        <is>
          <t>Moda</t>
        </is>
      </c>
    </row>
    <row r="2507">
      <c r="A2507" t="n">
        <v>2506</v>
      </c>
      <c r="B2507" t="inlineStr">
        <is>
          <t>A-490__155</t>
        </is>
      </c>
      <c r="C2507" s="1" t="n">
        <v>37.453746182</v>
      </c>
      <c r="D2507" s="1" t="n">
        <v>-7.16326490995</v>
      </c>
      <c r="E2507" s="3" t="n">
        <v>2</v>
      </c>
      <c r="F2507" s="2" t="n">
        <v>3</v>
      </c>
      <c r="G2507" s="4" t="n">
        <v>3</v>
      </c>
      <c r="H2507" s="13" t="n"/>
      <c r="I2507" s="15" t="n"/>
      <c r="J2507" s="19" t="n">
        <v>3</v>
      </c>
      <c r="K2507" s="2" t="inlineStr">
        <is>
          <t>marker_194_740878.png</t>
        </is>
      </c>
      <c r="L2507" s="11">
        <f>HYPERLINK("3\1\" &amp; K2507, "Ver Imagen")</f>
        <v/>
      </c>
      <c r="M2507" t="inlineStr">
        <is>
          <t>Moda</t>
        </is>
      </c>
    </row>
    <row r="2508">
      <c r="A2508" t="n">
        <v>2507</v>
      </c>
      <c r="B2508" t="inlineStr">
        <is>
          <t>A-490__167</t>
        </is>
      </c>
      <c r="C2508" s="1" t="n">
        <v>37.4551310698</v>
      </c>
      <c r="D2508" s="1" t="n">
        <v>-7.16573617978</v>
      </c>
      <c r="E2508" s="3" t="n">
        <v>2</v>
      </c>
      <c r="F2508" s="2" t="n">
        <v>3</v>
      </c>
      <c r="G2508" s="4" t="n">
        <v>3</v>
      </c>
      <c r="H2508" s="13" t="n"/>
      <c r="I2508" s="15" t="n"/>
      <c r="J2508" s="19" t="n">
        <v>3</v>
      </c>
      <c r="K2508" s="2" t="inlineStr">
        <is>
          <t>marker_371_741405.png</t>
        </is>
      </c>
      <c r="L2508" s="11">
        <f>HYPERLINK("3\1\" &amp; K2508, "Ver Imagen")</f>
        <v/>
      </c>
      <c r="M2508" t="inlineStr">
        <is>
          <t>Moda</t>
        </is>
      </c>
    </row>
    <row r="2509">
      <c r="A2509" t="n">
        <v>2508</v>
      </c>
      <c r="B2509" t="inlineStr">
        <is>
          <t>A-490__172</t>
        </is>
      </c>
      <c r="C2509" s="1" t="n">
        <v>37.4558259587</v>
      </c>
      <c r="D2509" s="1" t="n">
        <v>-7.16658490279</v>
      </c>
      <c r="E2509" s="3" t="n">
        <v>2</v>
      </c>
      <c r="F2509" s="2" t="n">
        <v>3</v>
      </c>
      <c r="G2509" s="4" t="n">
        <v>3</v>
      </c>
      <c r="H2509" s="13" t="n"/>
      <c r="I2509" s="15" t="n"/>
      <c r="J2509" s="19" t="n">
        <v>3</v>
      </c>
      <c r="K2509" s="2" t="inlineStr">
        <is>
          <t>marker_873_741529.png</t>
        </is>
      </c>
      <c r="L2509" s="11">
        <f>HYPERLINK("3\1\" &amp; K2509, "Ver Imagen")</f>
        <v/>
      </c>
      <c r="M2509" t="inlineStr">
        <is>
          <t>Moda</t>
        </is>
      </c>
    </row>
    <row r="2510">
      <c r="A2510" t="n">
        <v>2509</v>
      </c>
      <c r="B2510" t="inlineStr">
        <is>
          <t>A-490__176</t>
        </is>
      </c>
      <c r="C2510" s="1" t="n">
        <v>37.4564175002</v>
      </c>
      <c r="D2510" s="1" t="n">
        <v>-7.16731143002</v>
      </c>
      <c r="E2510" s="3" t="n">
        <v>2</v>
      </c>
      <c r="F2510" s="2" t="n">
        <v>3</v>
      </c>
      <c r="G2510" s="4" t="n">
        <v>3</v>
      </c>
      <c r="H2510" s="13" t="n"/>
      <c r="I2510" s="15" t="n"/>
      <c r="J2510" s="19" t="n">
        <v>3</v>
      </c>
      <c r="K2510" s="2" t="inlineStr">
        <is>
          <t>marker_291_741629.png</t>
        </is>
      </c>
      <c r="L2510" s="11">
        <f>HYPERLINK("3\1\" &amp; K2510, "Ver Imagen")</f>
        <v/>
      </c>
      <c r="M2510" t="inlineStr">
        <is>
          <t>Moda</t>
        </is>
      </c>
    </row>
    <row r="2511">
      <c r="A2511" t="n">
        <v>2510</v>
      </c>
      <c r="B2511" t="inlineStr">
        <is>
          <t>A-490__177</t>
        </is>
      </c>
      <c r="C2511" s="1" t="n">
        <v>37.4566640316</v>
      </c>
      <c r="D2511" s="1" t="n">
        <v>-7.16761884108</v>
      </c>
      <c r="E2511" s="3" t="n">
        <v>2</v>
      </c>
      <c r="F2511" s="2" t="n">
        <v>3</v>
      </c>
      <c r="G2511" s="4" t="n">
        <v>3</v>
      </c>
      <c r="H2511" s="13" t="n"/>
      <c r="I2511" s="15" t="n"/>
      <c r="J2511" s="19" t="n">
        <v>3</v>
      </c>
      <c r="K2511" s="2" t="inlineStr">
        <is>
          <t>marker_256_741685.png</t>
        </is>
      </c>
      <c r="L2511" s="11">
        <f>HYPERLINK("3\1\" &amp; K2511, "Ver Imagen")</f>
        <v/>
      </c>
      <c r="M2511" t="inlineStr">
        <is>
          <t>Moda</t>
        </is>
      </c>
    </row>
    <row r="2512">
      <c r="A2512" t="n">
        <v>2511</v>
      </c>
      <c r="B2512" t="inlineStr">
        <is>
          <t>A-490__182</t>
        </is>
      </c>
      <c r="C2512" s="1" t="n">
        <v>37.4572703121</v>
      </c>
      <c r="D2512" s="1" t="n">
        <v>-7.16837137221</v>
      </c>
      <c r="E2512" s="3" t="n">
        <v>2</v>
      </c>
      <c r="F2512" s="2" t="n">
        <v>3</v>
      </c>
      <c r="G2512" s="4" t="n">
        <v>3</v>
      </c>
      <c r="H2512" s="13" t="n"/>
      <c r="I2512" s="15" t="n"/>
      <c r="J2512" s="19" t="n">
        <v>3</v>
      </c>
      <c r="K2512" s="2" t="inlineStr">
        <is>
          <t>marker_798_741847.png</t>
        </is>
      </c>
      <c r="L2512" s="11">
        <f>HYPERLINK("3\1\" &amp; K2512, "Ver Imagen")</f>
        <v/>
      </c>
      <c r="M2512" t="inlineStr">
        <is>
          <t>Moda</t>
        </is>
      </c>
    </row>
    <row r="2513">
      <c r="A2513" t="n">
        <v>2512</v>
      </c>
      <c r="B2513" t="inlineStr">
        <is>
          <t>A-490__185</t>
        </is>
      </c>
      <c r="C2513" s="1" t="n">
        <v>37.4577083208</v>
      </c>
      <c r="D2513" s="1" t="n">
        <v>-7.16890698208</v>
      </c>
      <c r="E2513" s="3" t="n">
        <v>2</v>
      </c>
      <c r="F2513" s="2" t="n">
        <v>3</v>
      </c>
      <c r="G2513" s="4" t="n">
        <v>3</v>
      </c>
      <c r="H2513" s="13" t="n"/>
      <c r="I2513" s="15" t="n"/>
      <c r="J2513" s="19" t="n">
        <v>3</v>
      </c>
      <c r="K2513" s="2" t="inlineStr">
        <is>
          <t>marker_370_741932.png</t>
        </is>
      </c>
      <c r="L2513" s="11">
        <f>HYPERLINK("3\1\" &amp; K2513, "Ver Imagen")</f>
        <v/>
      </c>
      <c r="M2513" t="inlineStr">
        <is>
          <t>Moda</t>
        </is>
      </c>
    </row>
    <row r="2514">
      <c r="A2514" t="n">
        <v>2513</v>
      </c>
      <c r="B2514" t="inlineStr">
        <is>
          <t>A-490__188</t>
        </is>
      </c>
      <c r="C2514" s="1" t="n">
        <v>37.4581458901</v>
      </c>
      <c r="D2514" s="1" t="n">
        <v>-7.16944476619</v>
      </c>
      <c r="E2514" s="3" t="n">
        <v>2</v>
      </c>
      <c r="F2514" s="2" t="n">
        <v>3</v>
      </c>
      <c r="G2514" s="4" t="n">
        <v>3</v>
      </c>
      <c r="H2514" s="13" t="n"/>
      <c r="I2514" s="15" t="n"/>
      <c r="J2514" s="19" t="n">
        <v>3</v>
      </c>
      <c r="K2514" s="2" t="inlineStr">
        <is>
          <t>marker_674_742002.png</t>
        </is>
      </c>
      <c r="L2514" s="11">
        <f>HYPERLINK("3\1\" &amp; K2514, "Ver Imagen")</f>
        <v/>
      </c>
      <c r="M2514" t="inlineStr">
        <is>
          <t>Moda</t>
        </is>
      </c>
    </row>
    <row r="2515">
      <c r="A2515" t="n">
        <v>2514</v>
      </c>
      <c r="B2515" t="inlineStr">
        <is>
          <t>A-490__197</t>
        </is>
      </c>
      <c r="C2515" s="1" t="n">
        <v>37.4594551724</v>
      </c>
      <c r="D2515" s="1" t="n">
        <v>-7.17105096792</v>
      </c>
      <c r="E2515" s="3" t="n">
        <v>2</v>
      </c>
      <c r="F2515" s="2" t="n">
        <v>3</v>
      </c>
      <c r="G2515" s="4" t="n">
        <v>3</v>
      </c>
      <c r="H2515" s="13" t="n"/>
      <c r="I2515" s="15" t="n"/>
      <c r="J2515" s="19" t="n">
        <v>3</v>
      </c>
      <c r="K2515" s="2" t="inlineStr">
        <is>
          <t>marker_673_742243.png</t>
        </is>
      </c>
      <c r="L2515" s="11">
        <f>HYPERLINK("3\1\" &amp; K2515, "Ver Imagen")</f>
        <v/>
      </c>
      <c r="M2515" t="inlineStr">
        <is>
          <t>Moda</t>
        </is>
      </c>
    </row>
    <row r="2516">
      <c r="A2516" t="n">
        <v>2515</v>
      </c>
      <c r="B2516" t="inlineStr">
        <is>
          <t>A-490__204</t>
        </is>
      </c>
      <c r="C2516" s="1" t="n">
        <v>37.4603390436</v>
      </c>
      <c r="D2516" s="1" t="n">
        <v>-7.17239397711</v>
      </c>
      <c r="E2516" s="3" t="n">
        <v>2</v>
      </c>
      <c r="F2516" s="2" t="n">
        <v>3</v>
      </c>
      <c r="G2516" s="4" t="n">
        <v>3</v>
      </c>
      <c r="H2516" s="13" t="n"/>
      <c r="I2516" s="15" t="n"/>
      <c r="J2516" s="19" t="n">
        <v>3</v>
      </c>
      <c r="K2516" s="2" t="inlineStr">
        <is>
          <t>marker_193_742465.png</t>
        </is>
      </c>
      <c r="L2516" s="11">
        <f>HYPERLINK("3\1\" &amp; K2516, "Ver Imagen")</f>
        <v/>
      </c>
      <c r="M2516" t="inlineStr">
        <is>
          <t>Moda</t>
        </is>
      </c>
    </row>
    <row r="2517">
      <c r="A2517" t="n">
        <v>2516</v>
      </c>
      <c r="B2517" t="inlineStr">
        <is>
          <t>A-490__210</t>
        </is>
      </c>
      <c r="C2517" s="1" t="n">
        <v>37.461122651</v>
      </c>
      <c r="D2517" s="1" t="n">
        <v>-7.17368406464</v>
      </c>
      <c r="E2517" s="3" t="n">
        <v>2</v>
      </c>
      <c r="F2517" s="2" t="n">
        <v>3</v>
      </c>
      <c r="G2517" s="4" t="n">
        <v>3</v>
      </c>
      <c r="H2517" s="13" t="n"/>
      <c r="I2517" s="15" t="n"/>
      <c r="J2517" s="19" t="n">
        <v>3</v>
      </c>
      <c r="K2517" s="2" t="inlineStr">
        <is>
          <t>marker_877_742670.png</t>
        </is>
      </c>
      <c r="L2517" s="11">
        <f>HYPERLINK("3\1\" &amp; K2517, "Ver Imagen")</f>
        <v/>
      </c>
      <c r="M2517" t="inlineStr">
        <is>
          <t>Moda</t>
        </is>
      </c>
    </row>
    <row r="2518">
      <c r="A2518" t="n">
        <v>2517</v>
      </c>
      <c r="B2518" t="inlineStr">
        <is>
          <t>A-490__211</t>
        </is>
      </c>
      <c r="C2518" s="1" t="n">
        <v>37.4612177877</v>
      </c>
      <c r="D2518" s="1" t="n">
        <v>-7.17384179785</v>
      </c>
      <c r="E2518" s="3" t="n">
        <v>2</v>
      </c>
      <c r="F2518" s="2" t="n">
        <v>3</v>
      </c>
      <c r="G2518" s="4" t="n">
        <v>3</v>
      </c>
      <c r="H2518" s="13" t="n"/>
      <c r="I2518" s="15" t="n"/>
      <c r="J2518" s="19" t="n">
        <v>3</v>
      </c>
      <c r="K2518" s="2" t="inlineStr">
        <is>
          <t>marker_377_742718.png</t>
        </is>
      </c>
      <c r="L2518" s="11">
        <f>HYPERLINK("3\1\" &amp; K2518, "Ver Imagen")</f>
        <v/>
      </c>
      <c r="M2518" t="inlineStr">
        <is>
          <t>Moda</t>
        </is>
      </c>
    </row>
    <row r="2519">
      <c r="A2519" t="n">
        <v>2518</v>
      </c>
      <c r="B2519" t="inlineStr">
        <is>
          <t>A-490__212</t>
        </is>
      </c>
      <c r="C2519" s="1" t="n">
        <v>37.461325625</v>
      </c>
      <c r="D2519" s="1" t="n">
        <v>-7.17402091206</v>
      </c>
      <c r="E2519" s="3" t="n">
        <v>2</v>
      </c>
      <c r="F2519" s="2" t="n">
        <v>3</v>
      </c>
      <c r="G2519" s="4" t="n">
        <v>3</v>
      </c>
      <c r="H2519" s="13" t="n"/>
      <c r="I2519" s="15" t="n"/>
      <c r="J2519" s="19" t="n">
        <v>3</v>
      </c>
      <c r="K2519" s="2" t="inlineStr">
        <is>
          <t>marker_584_742745.png</t>
        </is>
      </c>
      <c r="L2519" s="11">
        <f>HYPERLINK("3\1\" &amp; K2519, "Ver Imagen")</f>
        <v/>
      </c>
      <c r="M2519" t="inlineStr">
        <is>
          <t>Moda</t>
        </is>
      </c>
    </row>
    <row r="2520">
      <c r="A2520" t="n">
        <v>2519</v>
      </c>
      <c r="B2520" t="inlineStr">
        <is>
          <t>A-490__219</t>
        </is>
      </c>
      <c r="C2520" s="1" t="n">
        <v>37.4622256926</v>
      </c>
      <c r="D2520" s="1" t="n">
        <v>-7.17550124687</v>
      </c>
      <c r="E2520" s="3" t="n">
        <v>2</v>
      </c>
      <c r="F2520" s="2" t="n">
        <v>3</v>
      </c>
      <c r="G2520" s="4" t="n">
        <v>3</v>
      </c>
      <c r="H2520" s="13" t="n"/>
      <c r="I2520" s="15" t="n"/>
      <c r="J2520" s="19" t="n">
        <v>3</v>
      </c>
      <c r="K2520" s="2" t="inlineStr">
        <is>
          <t>marker_548_743338.png</t>
        </is>
      </c>
      <c r="L2520" s="11">
        <f>HYPERLINK("3\1\" &amp; K2520, "Ver Imagen")</f>
        <v/>
      </c>
      <c r="M2520" t="inlineStr">
        <is>
          <t>Moda</t>
        </is>
      </c>
    </row>
    <row r="2521">
      <c r="A2521" t="n">
        <v>2520</v>
      </c>
      <c r="B2521" t="inlineStr">
        <is>
          <t>A-490__232</t>
        </is>
      </c>
      <c r="C2521" s="1" t="n">
        <v>37.4637597756</v>
      </c>
      <c r="D2521" s="1" t="n">
        <v>-7.17806259869</v>
      </c>
      <c r="E2521" s="3" t="n">
        <v>2</v>
      </c>
      <c r="F2521" s="2" t="n">
        <v>3</v>
      </c>
      <c r="G2521" s="4" t="n">
        <v>3</v>
      </c>
      <c r="H2521" s="13" t="n"/>
      <c r="I2521" s="15" t="n"/>
      <c r="J2521" s="19" t="n">
        <v>3</v>
      </c>
      <c r="K2521" s="2" t="inlineStr">
        <is>
          <t>marker_892_743885.png</t>
        </is>
      </c>
      <c r="L2521" s="11">
        <f>HYPERLINK("3\1\" &amp; K2521, "Ver Imagen")</f>
        <v/>
      </c>
      <c r="M2521" t="inlineStr">
        <is>
          <t>Moda</t>
        </is>
      </c>
    </row>
    <row r="2522">
      <c r="A2522" t="n">
        <v>2521</v>
      </c>
      <c r="B2522" t="inlineStr">
        <is>
          <t>A-490__234</t>
        </is>
      </c>
      <c r="C2522" s="1" t="n">
        <v>37.4640438239</v>
      </c>
      <c r="D2522" s="1" t="n">
        <v>-7.17859728438</v>
      </c>
      <c r="E2522" s="3" t="n">
        <v>2</v>
      </c>
      <c r="F2522" s="2" t="n">
        <v>3</v>
      </c>
      <c r="G2522" s="4" t="n">
        <v>3</v>
      </c>
      <c r="H2522" s="13" t="n"/>
      <c r="I2522" s="15" t="n"/>
      <c r="J2522" s="19" t="n">
        <v>3</v>
      </c>
      <c r="K2522" s="2" t="inlineStr">
        <is>
          <t>marker_683_743933.png</t>
        </is>
      </c>
      <c r="L2522" s="11">
        <f>HYPERLINK("3\1\" &amp; K2522, "Ver Imagen")</f>
        <v/>
      </c>
      <c r="M2522" t="inlineStr">
        <is>
          <t>Moda</t>
        </is>
      </c>
    </row>
    <row r="2523">
      <c r="A2523" t="n">
        <v>2522</v>
      </c>
      <c r="B2523" t="inlineStr">
        <is>
          <t>A-490__244</t>
        </is>
      </c>
      <c r="C2523" s="1" t="n">
        <v>37.4651683935</v>
      </c>
      <c r="D2523" s="1" t="n">
        <v>-7.18062079121</v>
      </c>
      <c r="E2523" s="3" t="n">
        <v>2</v>
      </c>
      <c r="F2523" s="2" t="n">
        <v>3</v>
      </c>
      <c r="G2523" s="4" t="n">
        <v>3</v>
      </c>
      <c r="H2523" s="13" t="n"/>
      <c r="I2523" s="15" t="n"/>
      <c r="J2523" s="19" t="n">
        <v>3</v>
      </c>
      <c r="K2523" s="2" t="inlineStr">
        <is>
          <t>marker_474_749376.png</t>
        </is>
      </c>
      <c r="L2523" s="11">
        <f>HYPERLINK("3\1\" &amp; K2523, "Ver Imagen")</f>
        <v/>
      </c>
      <c r="M2523" t="inlineStr">
        <is>
          <t>Moda</t>
        </is>
      </c>
    </row>
    <row r="2524">
      <c r="A2524" t="n">
        <v>2523</v>
      </c>
      <c r="B2524" t="inlineStr">
        <is>
          <t>A-490__255</t>
        </is>
      </c>
      <c r="C2524" s="1" t="n">
        <v>37.4664162064</v>
      </c>
      <c r="D2524" s="1" t="n">
        <v>-7.18294734852</v>
      </c>
      <c r="E2524" s="3" t="n">
        <v>2</v>
      </c>
      <c r="F2524" s="2" t="n">
        <v>3</v>
      </c>
      <c r="G2524" s="4" t="n">
        <v>3</v>
      </c>
      <c r="H2524" s="13" t="n"/>
      <c r="I2524" s="15" t="n"/>
      <c r="J2524" s="19" t="n">
        <v>3</v>
      </c>
      <c r="K2524" s="2" t="inlineStr">
        <is>
          <t>marker_300_749612.png</t>
        </is>
      </c>
      <c r="L2524" s="11">
        <f>HYPERLINK("3\1\" &amp; K2524, "Ver Imagen")</f>
        <v/>
      </c>
      <c r="M2524" t="inlineStr">
        <is>
          <t>Moda</t>
        </is>
      </c>
    </row>
    <row r="2525">
      <c r="A2525" t="n">
        <v>2524</v>
      </c>
      <c r="B2525" t="inlineStr">
        <is>
          <t>A-490__95</t>
        </is>
      </c>
      <c r="C2525" s="1" t="n">
        <v>37.4488811025</v>
      </c>
      <c r="D2525" s="1" t="n">
        <v>-7.14948149502</v>
      </c>
      <c r="E2525" s="3" t="n">
        <v>4</v>
      </c>
      <c r="F2525" s="2" t="n">
        <v>3</v>
      </c>
      <c r="G2525" s="4" t="n">
        <v>3</v>
      </c>
      <c r="H2525" s="13" t="n"/>
      <c r="I2525" s="15" t="n"/>
      <c r="J2525" s="19" t="n">
        <v>3</v>
      </c>
      <c r="K2525" s="2" t="inlineStr">
        <is>
          <t>marker_640_739071.png</t>
        </is>
      </c>
      <c r="L2525" s="11">
        <f>HYPERLINK("3\1\" &amp; K2525, "Ver Imagen")</f>
        <v/>
      </c>
      <c r="M2525" t="inlineStr">
        <is>
          <t>Moda</t>
        </is>
      </c>
    </row>
    <row r="2526">
      <c r="A2526" t="n">
        <v>2525</v>
      </c>
      <c r="B2526" t="inlineStr">
        <is>
          <t>A-490__358</t>
        </is>
      </c>
      <c r="C2526" s="1" t="n">
        <v>37.4776566871</v>
      </c>
      <c r="D2526" s="1" t="n">
        <v>-7.20490560856</v>
      </c>
      <c r="E2526" s="3" t="n">
        <v>2</v>
      </c>
      <c r="F2526" s="2" t="n">
        <v>3</v>
      </c>
      <c r="G2526" s="4" t="n">
        <v>3</v>
      </c>
      <c r="H2526" s="13" t="n"/>
      <c r="I2526" s="15" t="n"/>
      <c r="J2526" s="19" t="n">
        <v>3</v>
      </c>
      <c r="K2526" s="2" t="inlineStr">
        <is>
          <t>marker_947_751841.png</t>
        </is>
      </c>
      <c r="L2526" s="11">
        <f>HYPERLINK("3\1\" &amp; K2526, "Ver Imagen")</f>
        <v/>
      </c>
      <c r="M2526" t="inlineStr">
        <is>
          <t>Moda</t>
        </is>
      </c>
    </row>
    <row r="2527">
      <c r="A2527" t="n">
        <v>2526</v>
      </c>
      <c r="B2527" t="inlineStr">
        <is>
          <t>A-490__367</t>
        </is>
      </c>
      <c r="C2527" s="1" t="n">
        <v>37.4785016935</v>
      </c>
      <c r="D2527" s="1" t="n">
        <v>-7.20687970571</v>
      </c>
      <c r="E2527" s="3" t="n">
        <v>2</v>
      </c>
      <c r="F2527" s="2" t="n">
        <v>3</v>
      </c>
      <c r="G2527" s="4" t="n">
        <v>3</v>
      </c>
      <c r="H2527" s="13" t="n"/>
      <c r="I2527" s="15" t="n"/>
      <c r="J2527" s="19" t="n">
        <v>3</v>
      </c>
      <c r="K2527" s="2" t="inlineStr">
        <is>
          <t>marker_998_752032.png</t>
        </is>
      </c>
      <c r="L2527" s="11">
        <f>HYPERLINK("3\1\" &amp; K2527, "Ver Imagen")</f>
        <v/>
      </c>
      <c r="M2527" t="inlineStr">
        <is>
          <t>Moda</t>
        </is>
      </c>
    </row>
    <row r="2528">
      <c r="A2528" t="n">
        <v>2527</v>
      </c>
      <c r="B2528" t="inlineStr">
        <is>
          <t>A-490__369</t>
        </is>
      </c>
      <c r="C2528" s="1" t="n">
        <v>37.4787352008</v>
      </c>
      <c r="D2528" s="1" t="n">
        <v>-7.20741884249</v>
      </c>
      <c r="E2528" s="3" t="n">
        <v>2</v>
      </c>
      <c r="F2528" s="2" t="n">
        <v>3</v>
      </c>
      <c r="G2528" s="4" t="n">
        <v>3</v>
      </c>
      <c r="H2528" s="13" t="n"/>
      <c r="I2528" s="15" t="n"/>
      <c r="J2528" s="19" t="n">
        <v>3</v>
      </c>
      <c r="K2528" s="2" t="inlineStr">
        <is>
          <t>marker_913_752081.png</t>
        </is>
      </c>
      <c r="L2528" s="11">
        <f>HYPERLINK("3\1\" &amp; K2528, "Ver Imagen")</f>
        <v/>
      </c>
      <c r="M2528" t="inlineStr">
        <is>
          <t>Moda</t>
        </is>
      </c>
    </row>
    <row r="2529">
      <c r="A2529" t="n">
        <v>2528</v>
      </c>
      <c r="B2529" t="inlineStr">
        <is>
          <t>A-490__376</t>
        </is>
      </c>
      <c r="C2529" s="1" t="n">
        <v>37.4793789426</v>
      </c>
      <c r="D2529" s="1" t="n">
        <v>-7.20894344194</v>
      </c>
      <c r="E2529" s="3" t="n">
        <v>2</v>
      </c>
      <c r="F2529" s="2" t="n">
        <v>3</v>
      </c>
      <c r="G2529" s="4" t="n">
        <v>3</v>
      </c>
      <c r="H2529" s="13" t="n"/>
      <c r="I2529" s="15" t="n"/>
      <c r="J2529" s="19" t="n">
        <v>3</v>
      </c>
      <c r="K2529" s="2" t="inlineStr">
        <is>
          <t>marker_274_752244.png</t>
        </is>
      </c>
      <c r="L2529" s="11">
        <f>HYPERLINK("3\1\" &amp; K2529, "Ver Imagen")</f>
        <v/>
      </c>
      <c r="M2529" t="inlineStr">
        <is>
          <t>Moda</t>
        </is>
      </c>
    </row>
    <row r="2530">
      <c r="A2530" t="n">
        <v>2529</v>
      </c>
      <c r="B2530" t="inlineStr">
        <is>
          <t>A-490__377</t>
        </is>
      </c>
      <c r="C2530" s="1" t="n">
        <v>37.4794719586</v>
      </c>
      <c r="D2530" s="1" t="n">
        <v>-7.20915197823</v>
      </c>
      <c r="E2530" s="3" t="n">
        <v>2</v>
      </c>
      <c r="F2530" s="2" t="n">
        <v>3</v>
      </c>
      <c r="G2530" s="4" t="n">
        <v>3</v>
      </c>
      <c r="H2530" s="13" t="n"/>
      <c r="I2530" s="15" t="n"/>
      <c r="J2530" s="19" t="n">
        <v>3</v>
      </c>
      <c r="K2530" s="2" t="inlineStr">
        <is>
          <t>marker_365_752273.png</t>
        </is>
      </c>
      <c r="L2530" s="11">
        <f>HYPERLINK("3\1\" &amp; K2530, "Ver Imagen")</f>
        <v/>
      </c>
      <c r="M2530" t="inlineStr">
        <is>
          <t>Moda</t>
        </is>
      </c>
    </row>
    <row r="2531">
      <c r="A2531" t="n">
        <v>2530</v>
      </c>
      <c r="B2531" t="inlineStr">
        <is>
          <t>A-490__383</t>
        </is>
      </c>
      <c r="C2531" s="1" t="n">
        <v>37.480065739</v>
      </c>
      <c r="D2531" s="1" t="n">
        <v>-7.21051246176</v>
      </c>
      <c r="E2531" s="3" t="n">
        <v>2</v>
      </c>
      <c r="F2531" s="2" t="n">
        <v>3</v>
      </c>
      <c r="G2531" s="4" t="n">
        <v>3</v>
      </c>
      <c r="H2531" s="13" t="n"/>
      <c r="I2531" s="15" t="n"/>
      <c r="J2531" s="19" t="n">
        <v>3</v>
      </c>
      <c r="K2531" s="2" t="inlineStr">
        <is>
          <t>marker_616_752410.png</t>
        </is>
      </c>
      <c r="L2531" s="11">
        <f>HYPERLINK("3\1\" &amp; K2531, "Ver Imagen")</f>
        <v/>
      </c>
      <c r="M2531" t="inlineStr">
        <is>
          <t>Moda</t>
        </is>
      </c>
    </row>
    <row r="2532">
      <c r="A2532" t="n">
        <v>2531</v>
      </c>
      <c r="B2532" t="inlineStr">
        <is>
          <t>A-490__385</t>
        </is>
      </c>
      <c r="C2532" s="1" t="n">
        <v>37.4802412721</v>
      </c>
      <c r="D2532" s="1" t="n">
        <v>-7.21092005038</v>
      </c>
      <c r="E2532" s="3" t="n">
        <v>2</v>
      </c>
      <c r="F2532" s="2" t="n">
        <v>3</v>
      </c>
      <c r="G2532" s="4" t="n">
        <v>3</v>
      </c>
      <c r="H2532" s="13" t="n"/>
      <c r="I2532" s="15" t="n"/>
      <c r="J2532" s="19" t="n">
        <v>3</v>
      </c>
      <c r="K2532" s="2" t="inlineStr">
        <is>
          <t>marker_597_752447.png</t>
        </is>
      </c>
      <c r="L2532" s="11">
        <f>HYPERLINK("3\1\" &amp; K2532, "Ver Imagen")</f>
        <v/>
      </c>
      <c r="M2532" t="inlineStr">
        <is>
          <t>Moda</t>
        </is>
      </c>
    </row>
    <row r="2533">
      <c r="A2533" t="n">
        <v>2532</v>
      </c>
      <c r="B2533" t="inlineStr">
        <is>
          <t>A-490__387</t>
        </is>
      </c>
      <c r="C2533" s="1" t="n">
        <v>37.4804502304</v>
      </c>
      <c r="D2533" s="1" t="n">
        <v>-7.2114030523</v>
      </c>
      <c r="E2533" s="3" t="n">
        <v>2</v>
      </c>
      <c r="F2533" s="2" t="n">
        <v>3</v>
      </c>
      <c r="G2533" s="4" t="n">
        <v>3</v>
      </c>
      <c r="H2533" s="13" t="n"/>
      <c r="I2533" s="15" t="n"/>
      <c r="J2533" s="19" t="n">
        <v>3</v>
      </c>
      <c r="K2533" s="2" t="inlineStr">
        <is>
          <t>marker_884_752479.png</t>
        </is>
      </c>
      <c r="L2533" s="11">
        <f>HYPERLINK("3\1\" &amp; K2533, "Ver Imagen")</f>
        <v/>
      </c>
      <c r="M2533" t="inlineStr">
        <is>
          <t>Moda</t>
        </is>
      </c>
    </row>
    <row r="2534">
      <c r="A2534" t="n">
        <v>2533</v>
      </c>
      <c r="B2534" t="inlineStr">
        <is>
          <t>A-490__389</t>
        </is>
      </c>
      <c r="C2534" s="1" t="n">
        <v>37.4806416097</v>
      </c>
      <c r="D2534" s="1" t="n">
        <v>-7.21188131299</v>
      </c>
      <c r="E2534" s="3" t="n">
        <v>2</v>
      </c>
      <c r="F2534" s="2" t="n">
        <v>3</v>
      </c>
      <c r="G2534" s="4" t="n">
        <v>3</v>
      </c>
      <c r="H2534" s="13" t="n"/>
      <c r="I2534" s="15" t="n"/>
      <c r="J2534" s="19" t="n">
        <v>3</v>
      </c>
      <c r="K2534" s="2" t="inlineStr">
        <is>
          <t>marker_766_752511.png</t>
        </is>
      </c>
      <c r="L2534" s="11">
        <f>HYPERLINK("3\1\" &amp; K2534, "Ver Imagen")</f>
        <v/>
      </c>
      <c r="M2534" t="inlineStr">
        <is>
          <t>Moda</t>
        </is>
      </c>
    </row>
    <row r="2535">
      <c r="A2535" t="n">
        <v>2534</v>
      </c>
      <c r="B2535" t="inlineStr">
        <is>
          <t>A-490__396</t>
        </is>
      </c>
      <c r="C2535" s="1" t="n">
        <v>37.4812499289</v>
      </c>
      <c r="D2535" s="1" t="n">
        <v>-7.21353623815</v>
      </c>
      <c r="E2535" s="3" t="n">
        <v>2</v>
      </c>
      <c r="F2535" s="2" t="n">
        <v>3</v>
      </c>
      <c r="G2535" s="4" t="n">
        <v>3</v>
      </c>
      <c r="H2535" s="13" t="n"/>
      <c r="I2535" s="15" t="n"/>
      <c r="J2535" s="19" t="n">
        <v>3</v>
      </c>
      <c r="K2535" s="2" t="inlineStr">
        <is>
          <t>marker_349_752931.png</t>
        </is>
      </c>
      <c r="L2535" s="11">
        <f>HYPERLINK("3\1\" &amp; K2535, "Ver Imagen")</f>
        <v/>
      </c>
      <c r="M2535" t="inlineStr">
        <is>
          <t>Moda</t>
        </is>
      </c>
    </row>
    <row r="2536">
      <c r="A2536" t="n">
        <v>2535</v>
      </c>
      <c r="B2536" t="inlineStr">
        <is>
          <t>A-490__398</t>
        </is>
      </c>
      <c r="C2536" s="1" t="n">
        <v>37.4813991181</v>
      </c>
      <c r="D2536" s="1" t="n">
        <v>-7.21393910105</v>
      </c>
      <c r="E2536" s="3" t="n">
        <v>2</v>
      </c>
      <c r="F2536" s="2" t="n">
        <v>3</v>
      </c>
      <c r="G2536" s="4" t="n">
        <v>3</v>
      </c>
      <c r="H2536" s="13" t="n"/>
      <c r="I2536" s="15" t="n"/>
      <c r="J2536" s="19" t="n">
        <v>3</v>
      </c>
      <c r="K2536" s="2" t="inlineStr">
        <is>
          <t>marker_944_752982.png</t>
        </is>
      </c>
      <c r="L2536" s="11">
        <f>HYPERLINK("3\1\" &amp; K2536, "Ver Imagen")</f>
        <v/>
      </c>
      <c r="M2536" t="inlineStr">
        <is>
          <t>Moda</t>
        </is>
      </c>
    </row>
    <row r="2537">
      <c r="A2537" t="n">
        <v>2536</v>
      </c>
      <c r="B2537" t="inlineStr">
        <is>
          <t>A-490__414</t>
        </is>
      </c>
      <c r="C2537" s="1" t="n">
        <v>37.4825203083</v>
      </c>
      <c r="D2537" s="1" t="n">
        <v>-7.21773712346</v>
      </c>
      <c r="E2537" s="3" t="n">
        <v>2</v>
      </c>
      <c r="F2537" s="2" t="n">
        <v>3</v>
      </c>
      <c r="G2537" s="4" t="n">
        <v>3</v>
      </c>
      <c r="H2537" s="13" t="n"/>
      <c r="I2537" s="15" t="n"/>
      <c r="J2537" s="19" t="n">
        <v>3</v>
      </c>
      <c r="K2537" s="2" t="inlineStr">
        <is>
          <t>marker_770_754191.png</t>
        </is>
      </c>
      <c r="L2537" s="11">
        <f>HYPERLINK("3\1\" &amp; K2537, "Ver Imagen")</f>
        <v/>
      </c>
      <c r="M2537" t="inlineStr">
        <is>
          <t>Moda</t>
        </is>
      </c>
    </row>
    <row r="2538">
      <c r="A2538" t="n">
        <v>2537</v>
      </c>
      <c r="B2538" t="inlineStr">
        <is>
          <t>A-490__416</t>
        </is>
      </c>
      <c r="C2538" s="1" t="n">
        <v>37.4826313401</v>
      </c>
      <c r="D2538" s="1" t="n">
        <v>-7.21829941092</v>
      </c>
      <c r="E2538" s="3" t="n">
        <v>2</v>
      </c>
      <c r="F2538" s="2" t="n">
        <v>3</v>
      </c>
      <c r="G2538" s="4" t="n">
        <v>3</v>
      </c>
      <c r="H2538" s="13" t="n"/>
      <c r="I2538" s="15" t="n"/>
      <c r="J2538" s="19" t="n">
        <v>3</v>
      </c>
      <c r="K2538" s="2" t="inlineStr">
        <is>
          <t>marker_138_754233.png</t>
        </is>
      </c>
      <c r="L2538" s="11">
        <f>HYPERLINK("3\1\" &amp; K2538, "Ver Imagen")</f>
        <v/>
      </c>
      <c r="M2538" t="inlineStr">
        <is>
          <t>Moda</t>
        </is>
      </c>
    </row>
    <row r="2539">
      <c r="A2539" t="n">
        <v>2538</v>
      </c>
      <c r="B2539" t="inlineStr">
        <is>
          <t>A-490__430</t>
        </is>
      </c>
      <c r="C2539" s="1" t="n">
        <v>37.483299159</v>
      </c>
      <c r="D2539" s="1" t="n">
        <v>-7.22168840553</v>
      </c>
      <c r="E2539" s="3" t="n">
        <v>2</v>
      </c>
      <c r="F2539" s="2" t="n">
        <v>3</v>
      </c>
      <c r="G2539" s="4" t="n">
        <v>3</v>
      </c>
      <c r="H2539" s="13" t="n"/>
      <c r="I2539" s="15" t="n"/>
      <c r="J2539" s="19" t="n">
        <v>3</v>
      </c>
      <c r="K2539" s="2" t="inlineStr">
        <is>
          <t>marker_901_754480.png</t>
        </is>
      </c>
      <c r="L2539" s="11">
        <f>HYPERLINK("3\1\" &amp; K2539, "Ver Imagen")</f>
        <v/>
      </c>
      <c r="M2539" t="inlineStr">
        <is>
          <t>Moda</t>
        </is>
      </c>
    </row>
    <row r="2540">
      <c r="A2540" t="n">
        <v>2539</v>
      </c>
      <c r="B2540" t="inlineStr">
        <is>
          <t>A-490__436</t>
        </is>
      </c>
      <c r="C2540" s="1" t="n">
        <v>37.4835837007</v>
      </c>
      <c r="D2540" s="1" t="n">
        <v>-7.22314961542</v>
      </c>
      <c r="E2540" s="3" t="n">
        <v>2</v>
      </c>
      <c r="F2540" s="2" t="n">
        <v>3</v>
      </c>
      <c r="G2540" s="4" t="n">
        <v>3</v>
      </c>
      <c r="H2540" s="13" t="n"/>
      <c r="I2540" s="15" t="n"/>
      <c r="J2540" s="19" t="n">
        <v>3</v>
      </c>
      <c r="K2540" s="2" t="inlineStr">
        <is>
          <t>marker_412_754590.png</t>
        </is>
      </c>
      <c r="L2540" s="11">
        <f>HYPERLINK("3\1\" &amp; K2540, "Ver Imagen")</f>
        <v/>
      </c>
      <c r="M2540" t="inlineStr">
        <is>
          <t>Moda</t>
        </is>
      </c>
    </row>
    <row r="2541">
      <c r="A2541" t="n">
        <v>2540</v>
      </c>
      <c r="B2541" t="inlineStr">
        <is>
          <t>A-490__437</t>
        </is>
      </c>
      <c r="C2541" s="1" t="n">
        <v>37.4836295729</v>
      </c>
      <c r="D2541" s="1" t="n">
        <v>-7.22338453065</v>
      </c>
      <c r="E2541" s="3" t="n">
        <v>2</v>
      </c>
      <c r="F2541" s="2" t="n">
        <v>3</v>
      </c>
      <c r="G2541" s="4" t="n">
        <v>3</v>
      </c>
      <c r="H2541" s="13" t="n"/>
      <c r="I2541" s="15" t="n"/>
      <c r="J2541" s="19" t="n">
        <v>3</v>
      </c>
      <c r="K2541" s="2" t="inlineStr">
        <is>
          <t>marker_608_754604.png</t>
        </is>
      </c>
      <c r="L2541" s="11">
        <f>HYPERLINK("3\1\" &amp; K2541, "Ver Imagen")</f>
        <v/>
      </c>
      <c r="M2541" t="inlineStr">
        <is>
          <t>Moda</t>
        </is>
      </c>
    </row>
    <row r="2542">
      <c r="A2542" t="n">
        <v>2541</v>
      </c>
      <c r="B2542" t="inlineStr">
        <is>
          <t>A-490__456</t>
        </is>
      </c>
      <c r="C2542" s="1" t="n">
        <v>37.4845421331</v>
      </c>
      <c r="D2542" s="1" t="n">
        <v>-7.22809527869</v>
      </c>
      <c r="E2542" s="3" t="n">
        <v>2</v>
      </c>
      <c r="F2542" s="2" t="n">
        <v>3</v>
      </c>
      <c r="G2542" s="4" t="n">
        <v>3</v>
      </c>
      <c r="H2542" s="13" t="n"/>
      <c r="I2542" s="15" t="n"/>
      <c r="J2542" s="19" t="n">
        <v>3</v>
      </c>
      <c r="K2542" s="2" t="inlineStr">
        <is>
          <t>marker_131_755145.png</t>
        </is>
      </c>
      <c r="L2542" s="11">
        <f>HYPERLINK("3\1\" &amp; K2542, "Ver Imagen")</f>
        <v/>
      </c>
      <c r="M2542" t="inlineStr">
        <is>
          <t>Moda</t>
        </is>
      </c>
    </row>
    <row r="2543">
      <c r="A2543" t="n">
        <v>2542</v>
      </c>
      <c r="B2543" t="inlineStr">
        <is>
          <t>A-490__458</t>
        </is>
      </c>
      <c r="C2543" s="1" t="n">
        <v>37.4846427784</v>
      </c>
      <c r="D2543" s="1" t="n">
        <v>-7.22860709909</v>
      </c>
      <c r="E2543" s="3" t="n">
        <v>2</v>
      </c>
      <c r="F2543" s="2" t="n">
        <v>3</v>
      </c>
      <c r="G2543" s="4" t="n">
        <v>3</v>
      </c>
      <c r="H2543" s="13" t="n"/>
      <c r="I2543" s="15" t="n"/>
      <c r="J2543" s="19" t="n">
        <v>3</v>
      </c>
      <c r="K2543" s="2" t="inlineStr">
        <is>
          <t>marker_893_755182.png</t>
        </is>
      </c>
      <c r="L2543" s="11">
        <f>HYPERLINK("3\1\" &amp; K2543, "Ver Imagen")</f>
        <v/>
      </c>
      <c r="M2543" t="inlineStr">
        <is>
          <t>Moda</t>
        </is>
      </c>
    </row>
    <row r="2544">
      <c r="A2544" t="n">
        <v>2543</v>
      </c>
      <c r="B2544" t="inlineStr">
        <is>
          <t>A-490__484</t>
        </is>
      </c>
      <c r="C2544" s="1" t="n">
        <v>37.4858783757</v>
      </c>
      <c r="D2544" s="1" t="n">
        <v>-7.23504913401</v>
      </c>
      <c r="E2544" s="3" t="n">
        <v>2</v>
      </c>
      <c r="F2544" s="2" t="n">
        <v>3</v>
      </c>
      <c r="G2544" s="4" t="n">
        <v>3</v>
      </c>
      <c r="H2544" s="13" t="n"/>
      <c r="I2544" s="15" t="n"/>
      <c r="J2544" s="19" t="n">
        <v>3</v>
      </c>
      <c r="K2544" s="2" t="inlineStr">
        <is>
          <t>marker_759_755657.png</t>
        </is>
      </c>
      <c r="L2544" s="11">
        <f>HYPERLINK("3\1\" &amp; K2544, "Ver Imagen")</f>
        <v/>
      </c>
      <c r="M2544" t="inlineStr">
        <is>
          <t>Moda</t>
        </is>
      </c>
    </row>
    <row r="2545">
      <c r="A2545" t="n">
        <v>2544</v>
      </c>
      <c r="B2545" t="inlineStr">
        <is>
          <t>A-490__521</t>
        </is>
      </c>
      <c r="C2545" s="1" t="n">
        <v>37.4875036277</v>
      </c>
      <c r="D2545" s="1" t="n">
        <v>-7.24415000585</v>
      </c>
      <c r="E2545" s="3" t="n">
        <v>2</v>
      </c>
      <c r="F2545" s="2" t="n">
        <v>3</v>
      </c>
      <c r="G2545" s="4" t="n">
        <v>3</v>
      </c>
      <c r="H2545" s="13" t="n"/>
      <c r="I2545" s="15" t="n"/>
      <c r="J2545" s="19" t="n">
        <v>3</v>
      </c>
      <c r="K2545" s="2" t="inlineStr">
        <is>
          <t>marker_416_818071.png</t>
        </is>
      </c>
      <c r="L2545" s="11">
        <f>HYPERLINK("3\1\" &amp; K2545, "Ver Imagen")</f>
        <v/>
      </c>
      <c r="M2545" t="inlineStr">
        <is>
          <t>Moda</t>
        </is>
      </c>
    </row>
    <row r="2546">
      <c r="A2546" t="n">
        <v>2545</v>
      </c>
      <c r="B2546" t="inlineStr">
        <is>
          <t>A-490__525</t>
        </is>
      </c>
      <c r="C2546" s="1" t="n">
        <v>37.4878612567</v>
      </c>
      <c r="D2546" s="1" t="n">
        <v>-7.24505264186</v>
      </c>
      <c r="E2546" s="3" t="n">
        <v>2</v>
      </c>
      <c r="F2546" s="2" t="n">
        <v>3</v>
      </c>
      <c r="G2546" s="4" t="n">
        <v>3</v>
      </c>
      <c r="H2546" s="13" t="n"/>
      <c r="I2546" s="15" t="n"/>
      <c r="J2546" s="19" t="n">
        <v>3</v>
      </c>
      <c r="K2546" s="2" t="inlineStr">
        <is>
          <t>marker_981_818126.png</t>
        </is>
      </c>
      <c r="L2546" s="11">
        <f>HYPERLINK("3\1\" &amp; K2546, "Ver Imagen")</f>
        <v/>
      </c>
      <c r="M2546" t="inlineStr">
        <is>
          <t>Moda</t>
        </is>
      </c>
    </row>
    <row r="2547">
      <c r="A2547" t="n">
        <v>2546</v>
      </c>
      <c r="B2547" t="inlineStr">
        <is>
          <t>A-490__533</t>
        </is>
      </c>
      <c r="C2547" s="1" t="n">
        <v>37.4885919779</v>
      </c>
      <c r="D2547" s="1" t="n">
        <v>-7.24690490818</v>
      </c>
      <c r="E2547" s="3" t="n">
        <v>2</v>
      </c>
      <c r="F2547" s="2" t="n">
        <v>3</v>
      </c>
      <c r="G2547" s="4" t="n">
        <v>3</v>
      </c>
      <c r="H2547" s="13" t="n"/>
      <c r="I2547" s="15" t="n"/>
      <c r="J2547" s="19" t="n">
        <v>3</v>
      </c>
      <c r="K2547" s="2" t="inlineStr">
        <is>
          <t>marker_780_818247.png</t>
        </is>
      </c>
      <c r="L2547" s="11">
        <f>HYPERLINK("3\1\" &amp; K2547, "Ver Imagen")</f>
        <v/>
      </c>
      <c r="M2547" t="inlineStr">
        <is>
          <t>Moda</t>
        </is>
      </c>
    </row>
    <row r="2548">
      <c r="A2548" t="n">
        <v>2547</v>
      </c>
      <c r="B2548" t="inlineStr">
        <is>
          <t>A-490__536</t>
        </is>
      </c>
      <c r="C2548" s="1" t="n">
        <v>37.4889108343</v>
      </c>
      <c r="D2548" s="1" t="n">
        <v>-7.24750554781</v>
      </c>
      <c r="E2548" s="3" t="n">
        <v>2</v>
      </c>
      <c r="F2548" s="2" t="n">
        <v>3</v>
      </c>
      <c r="G2548" s="4" t="n">
        <v>3</v>
      </c>
      <c r="H2548" s="13" t="n"/>
      <c r="I2548" s="15" t="n"/>
      <c r="J2548" s="19" t="n">
        <v>3</v>
      </c>
      <c r="K2548" s="2" t="inlineStr">
        <is>
          <t>marker_407_818290.png</t>
        </is>
      </c>
      <c r="L2548" s="11">
        <f>HYPERLINK("3\1\" &amp; K2548, "Ver Imagen")</f>
        <v/>
      </c>
      <c r="M2548" t="inlineStr">
        <is>
          <t>Moda</t>
        </is>
      </c>
    </row>
    <row r="2549">
      <c r="A2549" t="n">
        <v>2548</v>
      </c>
      <c r="B2549" t="inlineStr">
        <is>
          <t>A-490__603</t>
        </is>
      </c>
      <c r="C2549" s="1" t="n">
        <v>37.4925434432</v>
      </c>
      <c r="D2549" s="1" t="n">
        <v>-7.26208658731</v>
      </c>
      <c r="E2549" s="3" t="n">
        <v>2</v>
      </c>
      <c r="F2549" s="2" t="n">
        <v>3</v>
      </c>
      <c r="G2549" s="4" t="n">
        <v>3</v>
      </c>
      <c r="H2549" s="13" t="n"/>
      <c r="I2549" s="15" t="n"/>
      <c r="J2549" s="19" t="n">
        <v>3</v>
      </c>
      <c r="K2549" s="2" t="inlineStr">
        <is>
          <t>marker_726_820127.png</t>
        </is>
      </c>
      <c r="L2549" s="11">
        <f>HYPERLINK("3\1\" &amp; K2549, "Ver Imagen")</f>
        <v/>
      </c>
      <c r="M2549" t="inlineStr">
        <is>
          <t>Moda</t>
        </is>
      </c>
    </row>
    <row r="2550">
      <c r="A2550" t="n">
        <v>2549</v>
      </c>
      <c r="B2550" t="inlineStr">
        <is>
          <t>A-490__605</t>
        </is>
      </c>
      <c r="C2550" s="1" t="n">
        <v>37.4928076297</v>
      </c>
      <c r="D2550" s="1" t="n">
        <v>-7.2625681552</v>
      </c>
      <c r="E2550" s="3" t="n">
        <v>2</v>
      </c>
      <c r="F2550" s="2" t="n">
        <v>3</v>
      </c>
      <c r="G2550" s="4" t="n">
        <v>3</v>
      </c>
      <c r="H2550" s="13" t="n"/>
      <c r="I2550" s="15" t="n"/>
      <c r="J2550" s="19" t="n">
        <v>3</v>
      </c>
      <c r="K2550" s="2" t="inlineStr">
        <is>
          <t>marker_893_820151.png</t>
        </is>
      </c>
      <c r="L2550" s="11">
        <f>HYPERLINK("3\1\" &amp; K2550, "Ver Imagen")</f>
        <v/>
      </c>
      <c r="M2550" t="inlineStr">
        <is>
          <t>Moda</t>
        </is>
      </c>
    </row>
    <row r="2551">
      <c r="A2551" t="n">
        <v>2550</v>
      </c>
      <c r="B2551" t="inlineStr">
        <is>
          <t>A-490__620</t>
        </is>
      </c>
      <c r="C2551" s="1" t="n">
        <v>37.4943058671</v>
      </c>
      <c r="D2551" s="1" t="n">
        <v>-7.26585388076</v>
      </c>
      <c r="E2551" s="3" t="n">
        <v>2</v>
      </c>
      <c r="F2551" s="2" t="n">
        <v>3</v>
      </c>
      <c r="G2551" s="4" t="n">
        <v>3</v>
      </c>
      <c r="H2551" s="13" t="n"/>
      <c r="I2551" s="15" t="n"/>
      <c r="J2551" s="19" t="n">
        <v>3</v>
      </c>
      <c r="K2551" s="2" t="inlineStr">
        <is>
          <t>marker_534_820311.png</t>
        </is>
      </c>
      <c r="L2551" s="11">
        <f>HYPERLINK("3\1\" &amp; K2551, "Ver Imagen")</f>
        <v/>
      </c>
      <c r="M2551" t="inlineStr">
        <is>
          <t>Moda</t>
        </is>
      </c>
    </row>
    <row r="2552">
      <c r="A2552" t="n">
        <v>2551</v>
      </c>
      <c r="B2552" t="inlineStr">
        <is>
          <t>A-490__624</t>
        </is>
      </c>
      <c r="C2552" s="1" t="n">
        <v>37.4947710611</v>
      </c>
      <c r="D2552" s="1" t="n">
        <v>-7.26664682923</v>
      </c>
      <c r="E2552" s="3" t="n">
        <v>2</v>
      </c>
      <c r="F2552" s="2" t="n">
        <v>3</v>
      </c>
      <c r="G2552" s="4" t="n">
        <v>3</v>
      </c>
      <c r="H2552" s="13" t="n"/>
      <c r="I2552" s="15" t="n"/>
      <c r="J2552" s="19" t="n">
        <v>3</v>
      </c>
      <c r="K2552" s="2" t="inlineStr">
        <is>
          <t>marker_794_820353.png</t>
        </is>
      </c>
      <c r="L2552" s="11">
        <f>HYPERLINK("3\1\" &amp; K2552, "Ver Imagen")</f>
        <v/>
      </c>
      <c r="M2552" t="inlineStr">
        <is>
          <t>Moda</t>
        </is>
      </c>
    </row>
    <row r="2553">
      <c r="A2553" t="n">
        <v>2552</v>
      </c>
      <c r="B2553" t="inlineStr">
        <is>
          <t>A-492__45</t>
        </is>
      </c>
      <c r="C2553" s="1" t="n">
        <v>37.2789670004</v>
      </c>
      <c r="D2553" s="1" t="n">
        <v>-6.99437034903</v>
      </c>
      <c r="E2553" s="3" t="n">
        <v>3</v>
      </c>
      <c r="F2553" s="2" t="n">
        <v>2</v>
      </c>
      <c r="G2553" s="4" t="n">
        <v>3</v>
      </c>
      <c r="H2553" s="13" t="n"/>
      <c r="I2553" s="15" t="n"/>
      <c r="J2553" s="19" t="n">
        <v>3</v>
      </c>
      <c r="K2553" s="2" t="inlineStr">
        <is>
          <t>marker_651_822938.png</t>
        </is>
      </c>
      <c r="L2553" s="11">
        <f>HYPERLINK("3\1\" &amp; K2553, "Ver Imagen")</f>
        <v/>
      </c>
      <c r="M2553" t="inlineStr">
        <is>
          <t>Moda</t>
        </is>
      </c>
    </row>
    <row r="2554">
      <c r="A2554" t="n">
        <v>2553</v>
      </c>
      <c r="B2554" t="inlineStr">
        <is>
          <t>A-492__47</t>
        </is>
      </c>
      <c r="C2554" s="1" t="n">
        <v>37.2791238022</v>
      </c>
      <c r="D2554" s="1" t="n">
        <v>-6.9949128761</v>
      </c>
      <c r="E2554" s="3" t="n">
        <v>3</v>
      </c>
      <c r="F2554" s="2" t="n">
        <v>2</v>
      </c>
      <c r="G2554" s="4" t="n">
        <v>3</v>
      </c>
      <c r="H2554" s="13" t="n"/>
      <c r="I2554" s="15" t="n"/>
      <c r="J2554" s="19" t="n">
        <v>3</v>
      </c>
      <c r="K2554" s="2" t="inlineStr">
        <is>
          <t>marker_772_822963.png</t>
        </is>
      </c>
      <c r="L2554" s="11">
        <f>HYPERLINK("3\1\" &amp; K2554, "Ver Imagen")</f>
        <v/>
      </c>
      <c r="M2554" t="inlineStr">
        <is>
          <t>Moda</t>
        </is>
      </c>
    </row>
    <row r="2555">
      <c r="A2555" t="n">
        <v>2554</v>
      </c>
      <c r="B2555" t="inlineStr">
        <is>
          <t>A-492__77</t>
        </is>
      </c>
      <c r="C2555" s="1" t="n">
        <v>37.2804904799</v>
      </c>
      <c r="D2555" s="1" t="n">
        <v>-7.00173115467</v>
      </c>
      <c r="E2555" s="3" t="n">
        <v>3</v>
      </c>
      <c r="F2555" s="2" t="n">
        <v>2</v>
      </c>
      <c r="G2555" s="4" t="n">
        <v>3</v>
      </c>
      <c r="H2555" s="13" t="n"/>
      <c r="I2555" s="15" t="n"/>
      <c r="J2555" s="19" t="n">
        <v>3</v>
      </c>
      <c r="K2555" s="2" t="inlineStr">
        <is>
          <t>marker_749_823431.png</t>
        </is>
      </c>
      <c r="L2555" s="11">
        <f>HYPERLINK("3\1\" &amp; K2555, "Ver Imagen")</f>
        <v/>
      </c>
      <c r="M2555" t="inlineStr">
        <is>
          <t>Moda</t>
        </is>
      </c>
    </row>
    <row r="2556">
      <c r="A2556" t="n">
        <v>2555</v>
      </c>
      <c r="B2556" t="inlineStr">
        <is>
          <t>A-492__78</t>
        </is>
      </c>
      <c r="C2556" s="1" t="n">
        <v>37.2805351691</v>
      </c>
      <c r="D2556" s="1" t="n">
        <v>-7.00200604448</v>
      </c>
      <c r="E2556" s="3" t="n">
        <v>2</v>
      </c>
      <c r="F2556" s="2" t="n">
        <v>3</v>
      </c>
      <c r="G2556" s="4" t="n">
        <v>3</v>
      </c>
      <c r="H2556" s="13" t="n"/>
      <c r="I2556" s="15" t="n"/>
      <c r="J2556" s="19" t="n">
        <v>3</v>
      </c>
      <c r="K2556" s="2" t="inlineStr">
        <is>
          <t>marker_818_823467.png</t>
        </is>
      </c>
      <c r="L2556" s="11">
        <f>HYPERLINK("3\1\" &amp; K2556, "Ver Imagen")</f>
        <v/>
      </c>
      <c r="M2556" t="inlineStr">
        <is>
          <t>Moda</t>
        </is>
      </c>
    </row>
    <row r="2557">
      <c r="A2557" t="n">
        <v>2556</v>
      </c>
      <c r="B2557" t="inlineStr">
        <is>
          <t>A-492__86</t>
        </is>
      </c>
      <c r="C2557" s="1" t="n">
        <v>37.2806621715</v>
      </c>
      <c r="D2557" s="1" t="n">
        <v>-7.00398110252</v>
      </c>
      <c r="E2557" s="3" t="n">
        <v>3</v>
      </c>
      <c r="F2557" s="2" t="n">
        <v>2</v>
      </c>
      <c r="G2557" s="4" t="n">
        <v>3</v>
      </c>
      <c r="H2557" s="13" t="n"/>
      <c r="I2557" s="15" t="n"/>
      <c r="J2557" s="19" t="n">
        <v>3</v>
      </c>
      <c r="K2557" s="2" t="inlineStr">
        <is>
          <t>marker_395_823569.png</t>
        </is>
      </c>
      <c r="L2557" s="11">
        <f>HYPERLINK("3\1\" &amp; K2557, "Ver Imagen")</f>
        <v/>
      </c>
      <c r="M2557" t="inlineStr">
        <is>
          <t>Moda</t>
        </is>
      </c>
    </row>
    <row r="2558">
      <c r="A2558" t="n">
        <v>2557</v>
      </c>
      <c r="B2558" t="inlineStr">
        <is>
          <t>A-492__87</t>
        </is>
      </c>
      <c r="C2558" s="1" t="n">
        <v>37.2806134547</v>
      </c>
      <c r="D2558" s="1" t="n">
        <v>-7.00426582549</v>
      </c>
      <c r="E2558" s="3" t="n">
        <v>3</v>
      </c>
      <c r="F2558" s="2" t="n">
        <v>2</v>
      </c>
      <c r="G2558" s="4" t="n">
        <v>3</v>
      </c>
      <c r="H2558" s="13" t="n"/>
      <c r="I2558" s="15" t="n"/>
      <c r="J2558" s="19" t="n">
        <v>3</v>
      </c>
      <c r="K2558" s="2" t="inlineStr">
        <is>
          <t>marker_113_823579.png</t>
        </is>
      </c>
      <c r="L2558" s="11">
        <f>HYPERLINK("3\1\" &amp; K2558, "Ver Imagen")</f>
        <v/>
      </c>
      <c r="M2558" t="inlineStr">
        <is>
          <t>Moda</t>
        </is>
      </c>
    </row>
    <row r="2559">
      <c r="A2559" t="n">
        <v>2558</v>
      </c>
      <c r="B2559" t="inlineStr">
        <is>
          <t>A-492__88</t>
        </is>
      </c>
      <c r="C2559" s="1" t="n">
        <v>37.280554469</v>
      </c>
      <c r="D2559" s="1" t="n">
        <v>-7.00450830112</v>
      </c>
      <c r="E2559" s="3" t="n">
        <v>2</v>
      </c>
      <c r="F2559" s="2" t="n">
        <v>3</v>
      </c>
      <c r="G2559" s="4" t="n">
        <v>3</v>
      </c>
      <c r="H2559" s="13" t="n"/>
      <c r="I2559" s="15" t="n"/>
      <c r="J2559" s="19" t="n">
        <v>3</v>
      </c>
      <c r="K2559" s="2" t="inlineStr">
        <is>
          <t>marker_589_823593.png</t>
        </is>
      </c>
      <c r="L2559" s="11">
        <f>HYPERLINK("3\1\" &amp; K2559, "Ver Imagen")</f>
        <v/>
      </c>
      <c r="M2559" t="inlineStr">
        <is>
          <t>Moda</t>
        </is>
      </c>
    </row>
    <row r="2560">
      <c r="A2560" t="n">
        <v>2559</v>
      </c>
      <c r="B2560" t="inlineStr">
        <is>
          <t>A-492__97</t>
        </is>
      </c>
      <c r="C2560" s="1" t="n">
        <v>37.2797772525</v>
      </c>
      <c r="D2560" s="1" t="n">
        <v>-7.00657223881</v>
      </c>
      <c r="E2560" s="3" t="n">
        <v>2</v>
      </c>
      <c r="F2560" s="2" t="n">
        <v>3</v>
      </c>
      <c r="G2560" s="4" t="n">
        <v>3</v>
      </c>
      <c r="H2560" s="13" t="n"/>
      <c r="I2560" s="15" t="n"/>
      <c r="J2560" s="19" t="n">
        <v>3</v>
      </c>
      <c r="K2560" s="2" t="inlineStr">
        <is>
          <t>marker_882_823725.png</t>
        </is>
      </c>
      <c r="L2560" s="11">
        <f>HYPERLINK("3\1\" &amp; K2560, "Ver Imagen")</f>
        <v/>
      </c>
      <c r="M2560" t="inlineStr">
        <is>
          <t>Moda</t>
        </is>
      </c>
    </row>
    <row r="2561">
      <c r="A2561" t="n">
        <v>2560</v>
      </c>
      <c r="B2561" t="inlineStr">
        <is>
          <t>A-492__108</t>
        </is>
      </c>
      <c r="C2561" s="1" t="n">
        <v>37.2787879541</v>
      </c>
      <c r="D2561" s="1" t="n">
        <v>-7.00910027879</v>
      </c>
      <c r="E2561" s="3" t="n">
        <v>2</v>
      </c>
      <c r="F2561" s="2" t="n">
        <v>3</v>
      </c>
      <c r="G2561" s="4" t="n">
        <v>3</v>
      </c>
      <c r="H2561" s="13" t="n"/>
      <c r="I2561" s="15" t="n"/>
      <c r="J2561" s="19" t="n">
        <v>3</v>
      </c>
      <c r="K2561" s="2" t="inlineStr">
        <is>
          <t>marker_702_824269.png</t>
        </is>
      </c>
      <c r="L2561" s="11">
        <f>HYPERLINK("3\1\" &amp; K2561, "Ver Imagen")</f>
        <v/>
      </c>
      <c r="M2561" t="inlineStr">
        <is>
          <t>Moda</t>
        </is>
      </c>
    </row>
    <row r="2562">
      <c r="A2562" t="n">
        <v>2561</v>
      </c>
      <c r="B2562" t="inlineStr">
        <is>
          <t>A-492__109</t>
        </is>
      </c>
      <c r="C2562" s="1" t="n">
        <v>37.2787004165</v>
      </c>
      <c r="D2562" s="1" t="n">
        <v>-7.00931463147</v>
      </c>
      <c r="E2562" s="3" t="n">
        <v>2</v>
      </c>
      <c r="F2562" s="2" t="n">
        <v>3</v>
      </c>
      <c r="G2562" s="4" t="n">
        <v>3</v>
      </c>
      <c r="H2562" s="13" t="n"/>
      <c r="I2562" s="15" t="n"/>
      <c r="J2562" s="19" t="n">
        <v>3</v>
      </c>
      <c r="K2562" s="2" t="inlineStr">
        <is>
          <t>marker_849_824280.png</t>
        </is>
      </c>
      <c r="L2562" s="11">
        <f>HYPERLINK("3\1\" &amp; K2562, "Ver Imagen")</f>
        <v/>
      </c>
      <c r="M2562" t="inlineStr">
        <is>
          <t>Moda</t>
        </is>
      </c>
    </row>
    <row r="2563">
      <c r="A2563" t="n">
        <v>2562</v>
      </c>
      <c r="B2563" t="inlineStr">
        <is>
          <t>A-492__113</t>
        </is>
      </c>
      <c r="C2563" s="1" t="n">
        <v>37.2782944377</v>
      </c>
      <c r="D2563" s="1" t="n">
        <v>-7.0101823527</v>
      </c>
      <c r="E2563" s="3" t="n">
        <v>2</v>
      </c>
      <c r="F2563" s="2" t="n">
        <v>3</v>
      </c>
      <c r="G2563" s="4" t="n">
        <v>3</v>
      </c>
      <c r="H2563" s="13" t="n"/>
      <c r="I2563" s="15" t="n"/>
      <c r="J2563" s="19" t="n">
        <v>3</v>
      </c>
      <c r="K2563" s="2" t="inlineStr">
        <is>
          <t>marker_289_824324.png</t>
        </is>
      </c>
      <c r="L2563" s="11">
        <f>HYPERLINK("3\1\" &amp; K2563, "Ver Imagen")</f>
        <v/>
      </c>
      <c r="M2563" t="inlineStr">
        <is>
          <t>Moda</t>
        </is>
      </c>
    </row>
    <row r="2564">
      <c r="A2564" t="n">
        <v>2563</v>
      </c>
      <c r="B2564" t="inlineStr">
        <is>
          <t>A-492__115</t>
        </is>
      </c>
      <c r="C2564" s="1" t="n">
        <v>37.2780607807</v>
      </c>
      <c r="D2564" s="1" t="n">
        <v>-7.01061763319</v>
      </c>
      <c r="E2564" s="3" t="n">
        <v>2</v>
      </c>
      <c r="F2564" s="2" t="n">
        <v>3</v>
      </c>
      <c r="G2564" s="4" t="n">
        <v>3</v>
      </c>
      <c r="H2564" s="13" t="n"/>
      <c r="I2564" s="15" t="n"/>
      <c r="J2564" s="19" t="n">
        <v>3</v>
      </c>
      <c r="K2564" s="2" t="inlineStr">
        <is>
          <t>marker_148_824349.png</t>
        </is>
      </c>
      <c r="L2564" s="11">
        <f>HYPERLINK("3\1\" &amp; K2564, "Ver Imagen")</f>
        <v/>
      </c>
      <c r="M2564" t="inlineStr">
        <is>
          <t>Moda</t>
        </is>
      </c>
    </row>
    <row r="2565">
      <c r="A2565" t="n">
        <v>2564</v>
      </c>
      <c r="B2565" t="inlineStr">
        <is>
          <t>A-492__117</t>
        </is>
      </c>
      <c r="C2565" s="1" t="n">
        <v>37.2778525034</v>
      </c>
      <c r="D2565" s="1" t="n">
        <v>-7.01099557156</v>
      </c>
      <c r="E2565" s="3" t="n">
        <v>2</v>
      </c>
      <c r="F2565" s="2" t="n">
        <v>3</v>
      </c>
      <c r="G2565" s="4" t="n">
        <v>3</v>
      </c>
      <c r="H2565" s="13" t="n"/>
      <c r="I2565" s="15" t="n"/>
      <c r="J2565" s="19" t="n">
        <v>3</v>
      </c>
      <c r="K2565" s="2" t="inlineStr">
        <is>
          <t>marker_137_824372.png</t>
        </is>
      </c>
      <c r="L2565" s="11">
        <f>HYPERLINK("3\1\" &amp; K2565, "Ver Imagen")</f>
        <v/>
      </c>
      <c r="M2565" t="inlineStr">
        <is>
          <t>Moda</t>
        </is>
      </c>
    </row>
    <row r="2566">
      <c r="A2566" t="n">
        <v>2565</v>
      </c>
      <c r="B2566" t="inlineStr">
        <is>
          <t>A-492__118</t>
        </is>
      </c>
      <c r="C2566" s="1" t="n">
        <v>37.2777354132</v>
      </c>
      <c r="D2566" s="1" t="n">
        <v>-7.01120779867</v>
      </c>
      <c r="E2566" s="3" t="n">
        <v>2</v>
      </c>
      <c r="F2566" s="2" t="n">
        <v>3</v>
      </c>
      <c r="G2566" s="4" t="n">
        <v>3</v>
      </c>
      <c r="H2566" s="13" t="n"/>
      <c r="I2566" s="15" t="n"/>
      <c r="J2566" s="19" t="n">
        <v>3</v>
      </c>
      <c r="K2566" s="2" t="inlineStr">
        <is>
          <t>marker_937_824400.png</t>
        </is>
      </c>
      <c r="L2566" s="11">
        <f>HYPERLINK("3\1\" &amp; K2566, "Ver Imagen")</f>
        <v/>
      </c>
      <c r="M2566" t="inlineStr">
        <is>
          <t>Moda</t>
        </is>
      </c>
    </row>
    <row r="2567">
      <c r="A2567" t="n">
        <v>2566</v>
      </c>
      <c r="B2567" t="inlineStr">
        <is>
          <t>A-492__119</t>
        </is>
      </c>
      <c r="C2567" s="1" t="n">
        <v>37.2776066531</v>
      </c>
      <c r="D2567" s="1" t="n">
        <v>-7.01144215536</v>
      </c>
      <c r="E2567" s="3" t="n">
        <v>2</v>
      </c>
      <c r="F2567" s="2" t="n">
        <v>3</v>
      </c>
      <c r="G2567" s="4" t="n">
        <v>3</v>
      </c>
      <c r="H2567" s="13" t="n"/>
      <c r="I2567" s="15" t="n"/>
      <c r="J2567" s="19" t="n">
        <v>3</v>
      </c>
      <c r="K2567" s="2" t="inlineStr">
        <is>
          <t>marker_740_824413.png</t>
        </is>
      </c>
      <c r="L2567" s="11">
        <f>HYPERLINK("3\1\" &amp; K2567, "Ver Imagen")</f>
        <v/>
      </c>
      <c r="M2567" t="inlineStr">
        <is>
          <t>Moda</t>
        </is>
      </c>
    </row>
    <row r="2568">
      <c r="A2568" t="n">
        <v>2567</v>
      </c>
      <c r="B2568" t="inlineStr">
        <is>
          <t>A-492__121</t>
        </is>
      </c>
      <c r="C2568" s="1" t="n">
        <v>37.2773826562</v>
      </c>
      <c r="D2568" s="1" t="n">
        <v>-7.01185512675</v>
      </c>
      <c r="E2568" s="3" t="n">
        <v>2</v>
      </c>
      <c r="F2568" s="2" t="n">
        <v>3</v>
      </c>
      <c r="G2568" s="4" t="n">
        <v>3</v>
      </c>
      <c r="H2568" s="13" t="n"/>
      <c r="I2568" s="15" t="n"/>
      <c r="J2568" s="19" t="n">
        <v>3</v>
      </c>
      <c r="K2568" s="2" t="inlineStr">
        <is>
          <t>marker_431_824432.png</t>
        </is>
      </c>
      <c r="L2568" s="11">
        <f>HYPERLINK("3\1\" &amp; K2568, "Ver Imagen")</f>
        <v/>
      </c>
      <c r="M2568" t="inlineStr">
        <is>
          <t>Moda</t>
        </is>
      </c>
    </row>
    <row r="2569">
      <c r="A2569" t="n">
        <v>2568</v>
      </c>
      <c r="B2569" t="inlineStr">
        <is>
          <t>A-492__123</t>
        </is>
      </c>
      <c r="C2569" s="1" t="n">
        <v>37.2771657863</v>
      </c>
      <c r="D2569" s="1" t="n">
        <v>-7.01224789913</v>
      </c>
      <c r="E2569" s="3" t="n">
        <v>3</v>
      </c>
      <c r="F2569" s="2" t="n">
        <v>3</v>
      </c>
      <c r="G2569" s="4" t="n">
        <v>4</v>
      </c>
      <c r="H2569" s="13" t="n"/>
      <c r="I2569" s="15" t="n"/>
      <c r="J2569" s="19" t="n">
        <v>3</v>
      </c>
      <c r="K2569" s="2" t="inlineStr">
        <is>
          <t>marker_234_824457.png</t>
        </is>
      </c>
      <c r="L2569" s="11">
        <f>HYPERLINK("3\1\" &amp; K2569, "Ver Imagen")</f>
        <v/>
      </c>
      <c r="M2569" t="inlineStr">
        <is>
          <t>Moda</t>
        </is>
      </c>
    </row>
    <row r="2570">
      <c r="A2570" t="n">
        <v>2569</v>
      </c>
      <c r="B2570" t="inlineStr">
        <is>
          <t>A-492__125</t>
        </is>
      </c>
      <c r="C2570" s="1" t="n">
        <v>37.2769269834</v>
      </c>
      <c r="D2570" s="1" t="n">
        <v>-7.01268334542</v>
      </c>
      <c r="E2570" s="3" t="n">
        <v>2</v>
      </c>
      <c r="F2570" s="2" t="n">
        <v>3</v>
      </c>
      <c r="G2570" s="4" t="n">
        <v>3</v>
      </c>
      <c r="H2570" s="13" t="n"/>
      <c r="I2570" s="15" t="n"/>
      <c r="J2570" s="19" t="n">
        <v>3</v>
      </c>
      <c r="K2570" s="2" t="inlineStr">
        <is>
          <t>marker_106_824477.png</t>
        </is>
      </c>
      <c r="L2570" s="11">
        <f>HYPERLINK("3\1\" &amp; K2570, "Ver Imagen")</f>
        <v/>
      </c>
      <c r="M2570" t="inlineStr">
        <is>
          <t>Moda</t>
        </is>
      </c>
    </row>
    <row r="2571">
      <c r="A2571" t="n">
        <v>2570</v>
      </c>
      <c r="B2571" t="inlineStr">
        <is>
          <t>A-492__128</t>
        </is>
      </c>
      <c r="C2571" s="1" t="n">
        <v>37.2765965569</v>
      </c>
      <c r="D2571" s="1" t="n">
        <v>-7.01330981151</v>
      </c>
      <c r="E2571" s="3" t="n">
        <v>2</v>
      </c>
      <c r="F2571" s="2" t="n">
        <v>3</v>
      </c>
      <c r="G2571" s="4" t="n">
        <v>3</v>
      </c>
      <c r="H2571" s="13" t="n"/>
      <c r="I2571" s="15" t="n"/>
      <c r="J2571" s="19" t="n">
        <v>3</v>
      </c>
      <c r="K2571" s="2" t="inlineStr">
        <is>
          <t>marker_826_824513.png</t>
        </is>
      </c>
      <c r="L2571" s="11">
        <f>HYPERLINK("3\1\" &amp; K2571, "Ver Imagen")</f>
        <v/>
      </c>
      <c r="M2571" t="inlineStr">
        <is>
          <t>Moda</t>
        </is>
      </c>
    </row>
    <row r="2572">
      <c r="A2572" t="n">
        <v>2571</v>
      </c>
      <c r="B2572" t="inlineStr">
        <is>
          <t>A-492__136</t>
        </is>
      </c>
      <c r="C2572" s="1" t="n">
        <v>37.2759296849</v>
      </c>
      <c r="D2572" s="1" t="n">
        <v>-7.01508468679</v>
      </c>
      <c r="E2572" s="3" t="n">
        <v>2</v>
      </c>
      <c r="F2572" s="2" t="n">
        <v>3</v>
      </c>
      <c r="G2572" s="4" t="n">
        <v>3</v>
      </c>
      <c r="H2572" s="13" t="n"/>
      <c r="I2572" s="15" t="n"/>
      <c r="J2572" s="19" t="n">
        <v>3</v>
      </c>
      <c r="K2572" s="2" t="inlineStr">
        <is>
          <t>marker_234_824617.png</t>
        </is>
      </c>
      <c r="L2572" s="11">
        <f>HYPERLINK("3\1\" &amp; K2572, "Ver Imagen")</f>
        <v/>
      </c>
      <c r="M2572" t="inlineStr">
        <is>
          <t>Moda</t>
        </is>
      </c>
    </row>
    <row r="2573">
      <c r="A2573" t="n">
        <v>2572</v>
      </c>
      <c r="B2573" t="inlineStr">
        <is>
          <t>A-492__140</t>
        </is>
      </c>
      <c r="C2573" s="1" t="n">
        <v>37.2755097608</v>
      </c>
      <c r="D2573" s="1" t="n">
        <v>-7.01581115119</v>
      </c>
      <c r="E2573" s="3" t="n">
        <v>2</v>
      </c>
      <c r="F2573" s="2" t="n">
        <v>3</v>
      </c>
      <c r="G2573" s="4" t="n">
        <v>3</v>
      </c>
      <c r="H2573" s="13" t="n"/>
      <c r="I2573" s="15" t="n"/>
      <c r="J2573" s="19" t="n">
        <v>3</v>
      </c>
      <c r="K2573" s="2" t="inlineStr">
        <is>
          <t>marker_994_824673.png</t>
        </is>
      </c>
      <c r="L2573" s="11">
        <f>HYPERLINK("3\1\" &amp; K2573, "Ver Imagen")</f>
        <v/>
      </c>
      <c r="M2573" t="inlineStr">
        <is>
          <t>Moda</t>
        </is>
      </c>
    </row>
    <row r="2574">
      <c r="A2574" t="n">
        <v>2573</v>
      </c>
      <c r="B2574" t="inlineStr">
        <is>
          <t>A-492__166</t>
        </is>
      </c>
      <c r="C2574" s="1" t="n">
        <v>37.2760867684</v>
      </c>
      <c r="D2574" s="1" t="n">
        <v>-7.02225806174</v>
      </c>
      <c r="E2574" s="3" t="n">
        <v>2</v>
      </c>
      <c r="F2574" s="2" t="n">
        <v>3</v>
      </c>
      <c r="G2574" s="4" t="n">
        <v>3</v>
      </c>
      <c r="H2574" s="13" t="n"/>
      <c r="I2574" s="15" t="n"/>
      <c r="J2574" s="19" t="n">
        <v>3</v>
      </c>
      <c r="K2574" s="2" t="inlineStr">
        <is>
          <t>marker_496_831393.png</t>
        </is>
      </c>
      <c r="L2574" s="11">
        <f>HYPERLINK("3\1\" &amp; K2574, "Ver Imagen")</f>
        <v/>
      </c>
      <c r="M2574" t="inlineStr">
        <is>
          <t>Moda</t>
        </is>
      </c>
    </row>
    <row r="2575">
      <c r="A2575" t="n">
        <v>2574</v>
      </c>
      <c r="B2575" t="inlineStr">
        <is>
          <t>A-492__254</t>
        </is>
      </c>
      <c r="C2575" s="1" t="n">
        <v>37.2847982898</v>
      </c>
      <c r="D2575" s="1" t="n">
        <v>-7.03971221781</v>
      </c>
      <c r="E2575" s="3" t="n">
        <v>3</v>
      </c>
      <c r="F2575" s="2" t="n">
        <v>4</v>
      </c>
      <c r="G2575" s="4" t="n">
        <v>3</v>
      </c>
      <c r="H2575" s="13" t="n"/>
      <c r="I2575" s="15" t="n"/>
      <c r="J2575" s="19" t="n">
        <v>3</v>
      </c>
      <c r="K2575" s="2" t="inlineStr">
        <is>
          <t>marker_991_836163.png</t>
        </is>
      </c>
      <c r="L2575" s="11">
        <f>HYPERLINK("3\1\" &amp; K2575, "Ver Imagen")</f>
        <v/>
      </c>
      <c r="M2575" t="inlineStr">
        <is>
          <t>Moda</t>
        </is>
      </c>
    </row>
    <row r="2576">
      <c r="A2576" t="n">
        <v>2575</v>
      </c>
      <c r="B2576" t="inlineStr">
        <is>
          <t>A-492__272</t>
        </is>
      </c>
      <c r="C2576" s="1" t="n">
        <v>37.2876784509</v>
      </c>
      <c r="D2576" s="1" t="n">
        <v>-7.04227297491</v>
      </c>
      <c r="E2576" s="3" t="n">
        <v>3</v>
      </c>
      <c r="F2576" s="2" t="n">
        <v>3</v>
      </c>
      <c r="G2576" s="4" t="n">
        <v>4</v>
      </c>
      <c r="H2576" s="13" t="n"/>
      <c r="I2576" s="15" t="n"/>
      <c r="J2576" s="19" t="n">
        <v>3</v>
      </c>
      <c r="K2576" s="2" t="inlineStr">
        <is>
          <t>marker_315_836812.png</t>
        </is>
      </c>
      <c r="L2576" s="11">
        <f>HYPERLINK("3\1\" &amp; K2576, "Ver Imagen")</f>
        <v/>
      </c>
      <c r="M2576" t="inlineStr">
        <is>
          <t>Moda</t>
        </is>
      </c>
    </row>
    <row r="2577">
      <c r="A2577" t="n">
        <v>2576</v>
      </c>
      <c r="B2577" t="inlineStr">
        <is>
          <t>A-492__273</t>
        </is>
      </c>
      <c r="C2577" s="1" t="n">
        <v>37.2878834655</v>
      </c>
      <c r="D2577" s="1" t="n">
        <v>-7.04237649181</v>
      </c>
      <c r="E2577" s="3" t="n">
        <v>2</v>
      </c>
      <c r="F2577" s="2" t="n">
        <v>3</v>
      </c>
      <c r="G2577" s="4" t="n">
        <v>3</v>
      </c>
      <c r="H2577" s="13" t="n"/>
      <c r="I2577" s="15" t="n"/>
      <c r="J2577" s="19" t="n">
        <v>3</v>
      </c>
      <c r="K2577" s="2" t="inlineStr">
        <is>
          <t>marker_142_836827.png</t>
        </is>
      </c>
      <c r="L2577" s="11">
        <f>HYPERLINK("3\1\" &amp; K2577, "Ver Imagen")</f>
        <v/>
      </c>
      <c r="M2577" t="inlineStr">
        <is>
          <t>Moda</t>
        </is>
      </c>
    </row>
    <row r="2578">
      <c r="A2578" t="n">
        <v>2577</v>
      </c>
      <c r="B2578" t="inlineStr">
        <is>
          <t>A-492__286</t>
        </is>
      </c>
      <c r="C2578" s="1" t="n">
        <v>37.289779324</v>
      </c>
      <c r="D2578" s="1" t="n">
        <v>-7.04459986724</v>
      </c>
      <c r="E2578" s="3" t="n">
        <v>2</v>
      </c>
      <c r="F2578" s="2" t="n">
        <v>3</v>
      </c>
      <c r="G2578" s="4" t="n">
        <v>3</v>
      </c>
      <c r="H2578" s="13" t="n"/>
      <c r="I2578" s="15" t="n"/>
      <c r="J2578" s="19" t="n">
        <v>3</v>
      </c>
      <c r="K2578" s="2" t="inlineStr">
        <is>
          <t>marker_606_837369.png</t>
        </is>
      </c>
      <c r="L2578" s="11">
        <f>HYPERLINK("3\1\" &amp; K2578, "Ver Imagen")</f>
        <v/>
      </c>
      <c r="M2578" t="inlineStr">
        <is>
          <t>Moda</t>
        </is>
      </c>
    </row>
    <row r="2579">
      <c r="A2579" t="n">
        <v>2578</v>
      </c>
      <c r="B2579" t="inlineStr">
        <is>
          <t>A-492__321</t>
        </is>
      </c>
      <c r="C2579" s="1" t="n">
        <v>37.2954926517</v>
      </c>
      <c r="D2579" s="1" t="n">
        <v>-7.04921341109</v>
      </c>
      <c r="E2579" s="3" t="n">
        <v>2</v>
      </c>
      <c r="F2579" s="2" t="n">
        <v>3</v>
      </c>
      <c r="G2579" s="4" t="n">
        <v>3</v>
      </c>
      <c r="H2579" s="13" t="n"/>
      <c r="I2579" s="15" t="n"/>
      <c r="J2579" s="19" t="n">
        <v>3</v>
      </c>
      <c r="K2579" s="2" t="inlineStr">
        <is>
          <t>marker_542_837961.png</t>
        </is>
      </c>
      <c r="L2579" s="11">
        <f>HYPERLINK("3\1\" &amp; K2579, "Ver Imagen")</f>
        <v/>
      </c>
      <c r="M2579" t="inlineStr">
        <is>
          <t>Moda</t>
        </is>
      </c>
    </row>
    <row r="2580">
      <c r="A2580" t="n">
        <v>2579</v>
      </c>
      <c r="B2580" t="inlineStr">
        <is>
          <t>A-492__357</t>
        </is>
      </c>
      <c r="C2580" s="1" t="n">
        <v>37.3003968206</v>
      </c>
      <c r="D2580" s="1" t="n">
        <v>-7.05568820518</v>
      </c>
      <c r="E2580" s="3" t="n">
        <v>2</v>
      </c>
      <c r="F2580" s="2" t="n">
        <v>3</v>
      </c>
      <c r="G2580" s="4" t="n">
        <v>3</v>
      </c>
      <c r="H2580" s="13" t="n"/>
      <c r="I2580" s="15" t="n"/>
      <c r="J2580" s="19" t="n">
        <v>3</v>
      </c>
      <c r="K2580" s="2" t="inlineStr">
        <is>
          <t>marker_849_838595.png</t>
        </is>
      </c>
      <c r="L2580" s="11">
        <f>HYPERLINK("3\1\" &amp; K2580, "Ver Imagen")</f>
        <v/>
      </c>
      <c r="M2580" t="inlineStr">
        <is>
          <t>Moda</t>
        </is>
      </c>
    </row>
    <row r="2581">
      <c r="A2581" t="n">
        <v>2580</v>
      </c>
      <c r="B2581" t="inlineStr">
        <is>
          <t>A-492__358</t>
        </is>
      </c>
      <c r="C2581" s="1" t="n">
        <v>37.3005465383</v>
      </c>
      <c r="D2581" s="1" t="n">
        <v>-7.05582852906</v>
      </c>
      <c r="E2581" s="3" t="n">
        <v>2</v>
      </c>
      <c r="F2581" s="2" t="n">
        <v>3</v>
      </c>
      <c r="G2581" s="4" t="n">
        <v>3</v>
      </c>
      <c r="H2581" s="13" t="n"/>
      <c r="I2581" s="15" t="n"/>
      <c r="J2581" s="19" t="n">
        <v>3</v>
      </c>
      <c r="K2581" s="2" t="inlineStr">
        <is>
          <t>marker_377_838605.png</t>
        </is>
      </c>
      <c r="L2581" s="11">
        <f>HYPERLINK("3\1\" &amp; K2581, "Ver Imagen")</f>
        <v/>
      </c>
      <c r="M2581" t="inlineStr">
        <is>
          <t>Moda</t>
        </is>
      </c>
    </row>
    <row r="2582">
      <c r="A2582" t="n">
        <v>2581</v>
      </c>
      <c r="B2582" t="inlineStr">
        <is>
          <t>A-492__415</t>
        </is>
      </c>
      <c r="C2582" s="1" t="n">
        <v>37.3114523166</v>
      </c>
      <c r="D2582" s="1" t="n">
        <v>-7.0595034301</v>
      </c>
      <c r="E2582" s="3" t="n">
        <v>3</v>
      </c>
      <c r="F2582" s="2" t="n">
        <v>2</v>
      </c>
      <c r="G2582" s="4" t="n">
        <v>3</v>
      </c>
      <c r="H2582" s="13" t="n"/>
      <c r="I2582" s="15" t="n"/>
      <c r="J2582" s="19" t="n">
        <v>3</v>
      </c>
      <c r="K2582" s="2" t="inlineStr">
        <is>
          <t>marker_873_839343.png</t>
        </is>
      </c>
      <c r="L2582" s="11">
        <f>HYPERLINK("3\1\" &amp; K2582, "Ver Imagen")</f>
        <v/>
      </c>
      <c r="M2582" t="inlineStr">
        <is>
          <t>Moda</t>
        </is>
      </c>
    </row>
    <row r="2583">
      <c r="A2583" t="n">
        <v>2582</v>
      </c>
      <c r="B2583" t="inlineStr">
        <is>
          <t>A-495R__19</t>
        </is>
      </c>
      <c r="C2583" s="1" t="n">
        <v>37.4485266077</v>
      </c>
      <c r="D2583" s="1" t="n">
        <v>-7.10961518538</v>
      </c>
      <c r="E2583" s="3" t="n">
        <v>2</v>
      </c>
      <c r="F2583" s="2" t="n">
        <v>3</v>
      </c>
      <c r="G2583" s="4" t="n">
        <v>3</v>
      </c>
      <c r="H2583" s="13" t="n"/>
      <c r="I2583" s="15" t="n"/>
      <c r="J2583" s="19" t="n">
        <v>3</v>
      </c>
      <c r="K2583" s="2" t="inlineStr">
        <is>
          <t>marker_147_936741.png</t>
        </is>
      </c>
      <c r="L2583" s="11">
        <f>HYPERLINK("3\1\" &amp; K2583, "Ver Imagen")</f>
        <v/>
      </c>
      <c r="M2583" t="inlineStr">
        <is>
          <t>Moda</t>
        </is>
      </c>
    </row>
    <row r="2584">
      <c r="A2584" t="n">
        <v>2583</v>
      </c>
      <c r="B2584" t="inlineStr">
        <is>
          <t>A-495R__15</t>
        </is>
      </c>
      <c r="C2584" s="1" t="n">
        <v>37.4478140853</v>
      </c>
      <c r="D2584" s="1" t="n">
        <v>-7.10918245248</v>
      </c>
      <c r="E2584" s="3" t="n">
        <v>2</v>
      </c>
      <c r="F2584" s="2" t="n">
        <v>3</v>
      </c>
      <c r="G2584" s="4" t="n">
        <v>3</v>
      </c>
      <c r="H2584" s="13" t="n"/>
      <c r="I2584" s="15" t="n"/>
      <c r="J2584" s="19" t="n">
        <v>3</v>
      </c>
      <c r="K2584" s="2" t="inlineStr">
        <is>
          <t>marker_263_936851.png</t>
        </is>
      </c>
      <c r="L2584" s="11">
        <f>HYPERLINK("3\1\" &amp; K2584, "Ver Imagen")</f>
        <v/>
      </c>
      <c r="M2584" t="inlineStr">
        <is>
          <t>Moda</t>
        </is>
      </c>
    </row>
    <row r="2585">
      <c r="A2585" t="n">
        <v>2584</v>
      </c>
      <c r="B2585" t="inlineStr">
        <is>
          <t>A-495R__14</t>
        </is>
      </c>
      <c r="C2585" s="1" t="n">
        <v>37.4476152561</v>
      </c>
      <c r="D2585" s="1" t="n">
        <v>-7.10903686063</v>
      </c>
      <c r="E2585" s="3" t="n">
        <v>2</v>
      </c>
      <c r="F2585" s="2" t="n">
        <v>3</v>
      </c>
      <c r="G2585" s="4" t="n">
        <v>3</v>
      </c>
      <c r="H2585" s="13" t="n"/>
      <c r="I2585" s="15" t="n"/>
      <c r="J2585" s="19" t="n">
        <v>3</v>
      </c>
      <c r="K2585" s="2" t="inlineStr">
        <is>
          <t>marker_825_936865.png</t>
        </is>
      </c>
      <c r="L2585" s="11">
        <f>HYPERLINK("3\1\" &amp; K2585, "Ver Imagen")</f>
        <v/>
      </c>
      <c r="M2585" t="inlineStr">
        <is>
          <t>Moda</t>
        </is>
      </c>
    </row>
    <row r="2586">
      <c r="A2586" t="n">
        <v>2585</v>
      </c>
      <c r="B2586" t="inlineStr">
        <is>
          <t>A-495R__13</t>
        </is>
      </c>
      <c r="C2586" s="1" t="n">
        <v>37.4474470561</v>
      </c>
      <c r="D2586" s="1" t="n">
        <v>-7.10891486882</v>
      </c>
      <c r="E2586" s="3" t="n">
        <v>2</v>
      </c>
      <c r="F2586" s="2" t="n">
        <v>3</v>
      </c>
      <c r="G2586" s="4" t="n">
        <v>3</v>
      </c>
      <c r="H2586" s="13" t="n"/>
      <c r="I2586" s="15" t="n"/>
      <c r="J2586" s="19" t="n">
        <v>3</v>
      </c>
      <c r="K2586" s="2" t="inlineStr">
        <is>
          <t>marker_503_936874.png</t>
        </is>
      </c>
      <c r="L2586" s="11">
        <f>HYPERLINK("3\1\" &amp; K2586, "Ver Imagen")</f>
        <v/>
      </c>
      <c r="M2586" t="inlineStr">
        <is>
          <t>Moda</t>
        </is>
      </c>
    </row>
    <row r="2587">
      <c r="A2587" t="n">
        <v>2586</v>
      </c>
      <c r="B2587" t="inlineStr">
        <is>
          <t>A-495R__12</t>
        </is>
      </c>
      <c r="C2587" s="1" t="n">
        <v>37.4472774363</v>
      </c>
      <c r="D2587" s="1" t="n">
        <v>-7.10878937568</v>
      </c>
      <c r="E2587" s="3" t="n">
        <v>2</v>
      </c>
      <c r="F2587" s="2" t="n">
        <v>3</v>
      </c>
      <c r="G2587" s="4" t="n">
        <v>3</v>
      </c>
      <c r="H2587" s="13" t="n"/>
      <c r="I2587" s="15" t="n"/>
      <c r="J2587" s="19" t="n">
        <v>3</v>
      </c>
      <c r="K2587" s="2" t="inlineStr">
        <is>
          <t>marker_845_936898.png</t>
        </is>
      </c>
      <c r="L2587" s="11">
        <f>HYPERLINK("3\1\" &amp; K2587, "Ver Imagen")</f>
        <v/>
      </c>
      <c r="M2587" t="inlineStr">
        <is>
          <t>Moda</t>
        </is>
      </c>
    </row>
    <row r="2588">
      <c r="A2588" t="n">
        <v>2587</v>
      </c>
      <c r="B2588" t="inlineStr">
        <is>
          <t>A-495R__11</t>
        </is>
      </c>
      <c r="C2588" s="1" t="n">
        <v>37.4471408008</v>
      </c>
      <c r="D2588" s="1" t="n">
        <v>-7.10865388001</v>
      </c>
      <c r="E2588" s="3" t="n">
        <v>2</v>
      </c>
      <c r="F2588" s="2" t="n">
        <v>3</v>
      </c>
      <c r="G2588" s="4" t="n">
        <v>3</v>
      </c>
      <c r="H2588" s="13" t="n"/>
      <c r="I2588" s="15" t="n"/>
      <c r="J2588" s="19" t="n">
        <v>3</v>
      </c>
      <c r="K2588" s="2" t="inlineStr">
        <is>
          <t>marker_697_936909.png</t>
        </is>
      </c>
      <c r="L2588" s="11">
        <f>HYPERLINK("3\1\" &amp; K2588, "Ver Imagen")</f>
        <v/>
      </c>
      <c r="M2588" t="inlineStr">
        <is>
          <t>Moda</t>
        </is>
      </c>
    </row>
    <row r="2589">
      <c r="A2589" t="n">
        <v>2588</v>
      </c>
      <c r="B2589" t="inlineStr">
        <is>
          <t>A-495R__10</t>
        </is>
      </c>
      <c r="C2589" s="1" t="n">
        <v>37.4470075412</v>
      </c>
      <c r="D2589" s="1" t="n">
        <v>-7.10843761993</v>
      </c>
      <c r="E2589" s="3" t="n">
        <v>2</v>
      </c>
      <c r="F2589" s="2" t="n">
        <v>3</v>
      </c>
      <c r="G2589" s="4" t="n">
        <v>3</v>
      </c>
      <c r="H2589" s="13" t="n"/>
      <c r="I2589" s="15" t="n"/>
      <c r="J2589" s="19" t="n">
        <v>3</v>
      </c>
      <c r="K2589" s="2" t="inlineStr">
        <is>
          <t>marker_886_936926.png</t>
        </is>
      </c>
      <c r="L2589" s="11">
        <f>HYPERLINK("3\1\" &amp; K2589, "Ver Imagen")</f>
        <v/>
      </c>
      <c r="M2589" t="inlineStr">
        <is>
          <t>Moda</t>
        </is>
      </c>
    </row>
    <row r="2590">
      <c r="A2590" t="n">
        <v>2589</v>
      </c>
      <c r="B2590" t="inlineStr">
        <is>
          <t>A-497__90</t>
        </is>
      </c>
      <c r="C2590" s="1" t="n">
        <v>37.2696191909</v>
      </c>
      <c r="D2590" s="1" t="n">
        <v>-6.9781350029</v>
      </c>
      <c r="E2590" s="3" t="n">
        <v>3</v>
      </c>
      <c r="F2590" s="2" t="n">
        <v>4</v>
      </c>
      <c r="G2590" s="4" t="n">
        <v>3</v>
      </c>
      <c r="H2590" s="13" t="n"/>
      <c r="I2590" s="15" t="n"/>
      <c r="J2590" s="19" t="n">
        <v>3</v>
      </c>
      <c r="K2590" s="2" t="inlineStr">
        <is>
          <t>marker_558_937311.png</t>
        </is>
      </c>
      <c r="L2590" s="11">
        <f>HYPERLINK("3\1\" &amp; K2590, "Ver Imagen")</f>
        <v/>
      </c>
      <c r="M2590" t="inlineStr">
        <is>
          <t>Moda</t>
        </is>
      </c>
    </row>
    <row r="2591">
      <c r="A2591" t="n">
        <v>2590</v>
      </c>
      <c r="B2591" t="inlineStr">
        <is>
          <t>A-497__63</t>
        </is>
      </c>
      <c r="C2591" s="1" t="n">
        <v>37.2681097233</v>
      </c>
      <c r="D2591" s="1" t="n">
        <v>-6.97152780355</v>
      </c>
      <c r="E2591" s="3" t="n">
        <v>3</v>
      </c>
      <c r="F2591" s="2" t="n">
        <v>4</v>
      </c>
      <c r="G2591" s="4" t="n">
        <v>3</v>
      </c>
      <c r="H2591" s="13" t="n"/>
      <c r="I2591" s="15" t="n"/>
      <c r="J2591" s="19" t="n">
        <v>3</v>
      </c>
      <c r="K2591" s="2" t="inlineStr">
        <is>
          <t>marker_744_938226.png</t>
        </is>
      </c>
      <c r="L2591" s="11">
        <f>HYPERLINK("3\1\" &amp; K2591, "Ver Imagen")</f>
        <v/>
      </c>
      <c r="M2591" t="inlineStr">
        <is>
          <t>Moda</t>
        </is>
      </c>
    </row>
    <row r="2592">
      <c r="A2592" t="n">
        <v>2591</v>
      </c>
      <c r="B2592" t="inlineStr">
        <is>
          <t>A-497__62</t>
        </is>
      </c>
      <c r="C2592" s="1" t="n">
        <v>37.2680820975</v>
      </c>
      <c r="D2592" s="1" t="n">
        <v>-6.97134723109</v>
      </c>
      <c r="E2592" s="3" t="n">
        <v>3</v>
      </c>
      <c r="F2592" s="2" t="n">
        <v>4</v>
      </c>
      <c r="G2592" s="4" t="n">
        <v>3</v>
      </c>
      <c r="H2592" s="13" t="n"/>
      <c r="I2592" s="15" t="n"/>
      <c r="J2592" s="19" t="n">
        <v>3</v>
      </c>
      <c r="K2592" s="2" t="inlineStr">
        <is>
          <t>marker_482_938242.png</t>
        </is>
      </c>
      <c r="L2592" s="11">
        <f>HYPERLINK("3\1\" &amp; K2592, "Ver Imagen")</f>
        <v/>
      </c>
      <c r="M2592" t="inlineStr">
        <is>
          <t>Moda</t>
        </is>
      </c>
    </row>
    <row r="2593">
      <c r="A2593" t="n">
        <v>2592</v>
      </c>
      <c r="B2593" t="inlineStr">
        <is>
          <t>A-497__61</t>
        </is>
      </c>
      <c r="C2593" s="1" t="n">
        <v>37.2680438328</v>
      </c>
      <c r="D2593" s="1" t="n">
        <v>-6.97109074537</v>
      </c>
      <c r="E2593" s="3" t="n">
        <v>3</v>
      </c>
      <c r="F2593" s="2" t="n">
        <v>4</v>
      </c>
      <c r="G2593" s="4" t="n">
        <v>3</v>
      </c>
      <c r="H2593" s="13" t="n"/>
      <c r="I2593" s="15" t="n"/>
      <c r="J2593" s="19" t="n">
        <v>3</v>
      </c>
      <c r="K2593" s="2" t="inlineStr">
        <is>
          <t>marker_152_938251.png</t>
        </is>
      </c>
      <c r="L2593" s="11">
        <f>HYPERLINK("3\1\" &amp; K2593, "Ver Imagen")</f>
        <v/>
      </c>
      <c r="M2593" t="inlineStr">
        <is>
          <t>Moda</t>
        </is>
      </c>
    </row>
    <row r="2594">
      <c r="A2594" t="n">
        <v>2593</v>
      </c>
      <c r="B2594" t="inlineStr">
        <is>
          <t>A-497__27</t>
        </is>
      </c>
      <c r="C2594" s="1" t="n">
        <v>37.2674882904</v>
      </c>
      <c r="D2594" s="1" t="n">
        <v>-6.96251427022</v>
      </c>
      <c r="E2594" s="3" t="n">
        <v>2</v>
      </c>
      <c r="F2594" s="2" t="n">
        <v>3</v>
      </c>
      <c r="G2594" s="4" t="n">
        <v>3</v>
      </c>
      <c r="H2594" s="13" t="n"/>
      <c r="I2594" s="15" t="n"/>
      <c r="J2594" s="19" t="n">
        <v>3</v>
      </c>
      <c r="K2594" s="2" t="inlineStr">
        <is>
          <t>marker_709_940902.png</t>
        </is>
      </c>
      <c r="L2594" s="11">
        <f>HYPERLINK("3\1\" &amp; K2594, "Ver Imagen")</f>
        <v/>
      </c>
      <c r="M2594" t="inlineStr">
        <is>
          <t>Moda</t>
        </is>
      </c>
    </row>
    <row r="2595">
      <c r="A2595" t="n">
        <v>2594</v>
      </c>
      <c r="B2595" t="inlineStr">
        <is>
          <t>A-497__17</t>
        </is>
      </c>
      <c r="C2595" s="1" t="n">
        <v>37.2672836332</v>
      </c>
      <c r="D2595" s="1" t="n">
        <v>-6.96000160358</v>
      </c>
      <c r="E2595" s="3" t="n">
        <v>2</v>
      </c>
      <c r="F2595" s="2" t="n">
        <v>3</v>
      </c>
      <c r="G2595" s="4" t="n">
        <v>3</v>
      </c>
      <c r="H2595" s="13" t="n"/>
      <c r="I2595" s="15" t="n"/>
      <c r="J2595" s="19" t="n">
        <v>3</v>
      </c>
      <c r="K2595" s="2" t="inlineStr">
        <is>
          <t>marker_236_943812.png</t>
        </is>
      </c>
      <c r="L2595" s="11">
        <f>HYPERLINK("3\1\" &amp; K2595, "Ver Imagen")</f>
        <v/>
      </c>
      <c r="M2595" t="inlineStr">
        <is>
          <t>Moda</t>
        </is>
      </c>
    </row>
    <row r="2596">
      <c r="A2596" t="n">
        <v>2595</v>
      </c>
      <c r="B2596" t="inlineStr">
        <is>
          <t>A-497__11</t>
        </is>
      </c>
      <c r="C2596" s="1" t="n">
        <v>37.2669917322</v>
      </c>
      <c r="D2596" s="1" t="n">
        <v>-6.9585729871</v>
      </c>
      <c r="E2596" s="3" t="n">
        <v>2</v>
      </c>
      <c r="F2596" s="2" t="n">
        <v>3</v>
      </c>
      <c r="G2596" s="4" t="n">
        <v>3</v>
      </c>
      <c r="H2596" s="13" t="n"/>
      <c r="I2596" s="15" t="n"/>
      <c r="J2596" s="19" t="n">
        <v>3</v>
      </c>
      <c r="K2596" s="2" t="inlineStr">
        <is>
          <t>marker_253_943964.png</t>
        </is>
      </c>
      <c r="L2596" s="11">
        <f>HYPERLINK("3\1\" &amp; K2596, "Ver Imagen")</f>
        <v/>
      </c>
      <c r="M2596" t="inlineStr">
        <is>
          <t>Moda</t>
        </is>
      </c>
    </row>
    <row r="2597">
      <c r="A2597" t="n">
        <v>2596</v>
      </c>
      <c r="B2597" t="inlineStr">
        <is>
          <t>A-497__10</t>
        </is>
      </c>
      <c r="C2597" s="1" t="n">
        <v>37.2668950719</v>
      </c>
      <c r="D2597" s="1" t="n">
        <v>-6.95835431409</v>
      </c>
      <c r="E2597" s="3" t="n">
        <v>3</v>
      </c>
      <c r="F2597" s="2" t="n">
        <v>4</v>
      </c>
      <c r="G2597" s="4" t="n">
        <v>3</v>
      </c>
      <c r="H2597" s="13" t="n"/>
      <c r="I2597" s="15" t="n"/>
      <c r="J2597" s="19" t="n">
        <v>3</v>
      </c>
      <c r="K2597" s="2" t="inlineStr">
        <is>
          <t>marker_314_943975.png</t>
        </is>
      </c>
      <c r="L2597" s="11">
        <f>HYPERLINK("3\1\" &amp; K2597, "Ver Imagen")</f>
        <v/>
      </c>
      <c r="M2597" t="inlineStr">
        <is>
          <t>Moda</t>
        </is>
      </c>
    </row>
    <row r="2598">
      <c r="A2598" t="n">
        <v>2597</v>
      </c>
      <c r="B2598" t="inlineStr">
        <is>
          <t>A-497__7</t>
        </is>
      </c>
      <c r="C2598" s="1" t="n">
        <v>37.2666011903</v>
      </c>
      <c r="D2598" s="1" t="n">
        <v>-6.9577077169</v>
      </c>
      <c r="E2598" s="3" t="n">
        <v>2</v>
      </c>
      <c r="F2598" s="2" t="n">
        <v>3</v>
      </c>
      <c r="G2598" s="4" t="n">
        <v>3</v>
      </c>
      <c r="H2598" s="13" t="n"/>
      <c r="I2598" s="15" t="n"/>
      <c r="J2598" s="19" t="n">
        <v>3</v>
      </c>
      <c r="K2598" s="2" t="inlineStr">
        <is>
          <t>marker_825_944007.png</t>
        </is>
      </c>
      <c r="L2598" s="11">
        <f>HYPERLINK("3\1\" &amp; K2598, "Ver Imagen")</f>
        <v/>
      </c>
      <c r="M2598" t="inlineStr">
        <is>
          <t>Moda</t>
        </is>
      </c>
    </row>
    <row r="2599">
      <c r="A2599" t="n">
        <v>2598</v>
      </c>
      <c r="B2599" t="inlineStr">
        <is>
          <t>A-5050__182</t>
        </is>
      </c>
      <c r="C2599" s="1" t="n">
        <v>37.1898788001</v>
      </c>
      <c r="D2599" s="1" t="n">
        <v>-6.98856150942</v>
      </c>
      <c r="E2599" s="3" t="n">
        <v>2</v>
      </c>
      <c r="F2599" s="2" t="n">
        <v>3</v>
      </c>
      <c r="G2599" s="4" t="n">
        <v>3</v>
      </c>
      <c r="H2599" s="13" t="n"/>
      <c r="I2599" s="15" t="n"/>
      <c r="J2599" s="19" t="n">
        <v>3</v>
      </c>
      <c r="K2599" s="2" t="inlineStr">
        <is>
          <t>marker_946_944153.png</t>
        </is>
      </c>
      <c r="L2599" s="11">
        <f>HYPERLINK("3\1\" &amp; K2599, "Ver Imagen")</f>
        <v/>
      </c>
      <c r="M2599" t="inlineStr">
        <is>
          <t>Moda</t>
        </is>
      </c>
    </row>
    <row r="2600">
      <c r="A2600" t="n">
        <v>2599</v>
      </c>
      <c r="B2600" t="inlineStr">
        <is>
          <t>A-5050__179</t>
        </is>
      </c>
      <c r="C2600" s="1" t="n">
        <v>37.1901824408</v>
      </c>
      <c r="D2600" s="1" t="n">
        <v>-6.98924080101</v>
      </c>
      <c r="E2600" s="3" t="n">
        <v>2</v>
      </c>
      <c r="F2600" s="2" t="n">
        <v>3</v>
      </c>
      <c r="G2600" s="4" t="n">
        <v>3</v>
      </c>
      <c r="H2600" s="13" t="n"/>
      <c r="I2600" s="15" t="n"/>
      <c r="J2600" s="19" t="n">
        <v>3</v>
      </c>
      <c r="K2600" s="2" t="inlineStr">
        <is>
          <t>marker_265_944183.png</t>
        </is>
      </c>
      <c r="L2600" s="11">
        <f>HYPERLINK("3\1\" &amp; K2600, "Ver Imagen")</f>
        <v/>
      </c>
      <c r="M2600" t="inlineStr">
        <is>
          <t>Moda</t>
        </is>
      </c>
    </row>
    <row r="2601">
      <c r="A2601" t="n">
        <v>2600</v>
      </c>
      <c r="B2601" t="inlineStr">
        <is>
          <t>A-5050__178</t>
        </is>
      </c>
      <c r="C2601" s="1" t="n">
        <v>37.1902881339</v>
      </c>
      <c r="D2601" s="1" t="n">
        <v>-6.98947653049</v>
      </c>
      <c r="E2601" s="3" t="n">
        <v>2</v>
      </c>
      <c r="F2601" s="2" t="n">
        <v>3</v>
      </c>
      <c r="G2601" s="4" t="n">
        <v>3</v>
      </c>
      <c r="H2601" s="13" t="n"/>
      <c r="I2601" s="15" t="n"/>
      <c r="J2601" s="19" t="n">
        <v>3</v>
      </c>
      <c r="K2601" s="2" t="inlineStr">
        <is>
          <t>marker_965_944201.png</t>
        </is>
      </c>
      <c r="L2601" s="11">
        <f>HYPERLINK("3\1\" &amp; K2601, "Ver Imagen")</f>
        <v/>
      </c>
      <c r="M2601" t="inlineStr">
        <is>
          <t>Moda</t>
        </is>
      </c>
    </row>
    <row r="2602">
      <c r="A2602" t="n">
        <v>2601</v>
      </c>
      <c r="B2602" t="inlineStr">
        <is>
          <t>A-5050__177</t>
        </is>
      </c>
      <c r="C2602" s="1" t="n">
        <v>37.1903620705</v>
      </c>
      <c r="D2602" s="1" t="n">
        <v>-6.98963989698</v>
      </c>
      <c r="E2602" s="3" t="n">
        <v>2</v>
      </c>
      <c r="F2602" s="2" t="n">
        <v>3</v>
      </c>
      <c r="G2602" s="4" t="n">
        <v>3</v>
      </c>
      <c r="H2602" s="13" t="n"/>
      <c r="I2602" s="15" t="n"/>
      <c r="J2602" s="19" t="n">
        <v>3</v>
      </c>
      <c r="K2602" s="2" t="inlineStr">
        <is>
          <t>marker_289_944211.png</t>
        </is>
      </c>
      <c r="L2602" s="11">
        <f>HYPERLINK("3\1\" &amp; K2602, "Ver Imagen")</f>
        <v/>
      </c>
      <c r="M2602" t="inlineStr">
        <is>
          <t>Moda</t>
        </is>
      </c>
    </row>
    <row r="2603">
      <c r="A2603" t="n">
        <v>2602</v>
      </c>
      <c r="B2603" t="inlineStr">
        <is>
          <t>A-5050__176</t>
        </is>
      </c>
      <c r="C2603" s="1" t="n">
        <v>37.1904736033</v>
      </c>
      <c r="D2603" s="1" t="n">
        <v>-6.9898789545</v>
      </c>
      <c r="E2603" s="3" t="n">
        <v>2</v>
      </c>
      <c r="F2603" s="2" t="n">
        <v>3</v>
      </c>
      <c r="G2603" s="4" t="n">
        <v>3</v>
      </c>
      <c r="H2603" s="13" t="n"/>
      <c r="I2603" s="15" t="n"/>
      <c r="J2603" s="19" t="n">
        <v>3</v>
      </c>
      <c r="K2603" s="2" t="inlineStr">
        <is>
          <t>marker_466_944221.png</t>
        </is>
      </c>
      <c r="L2603" s="11">
        <f>HYPERLINK("3\1\" &amp; K2603, "Ver Imagen")</f>
        <v/>
      </c>
      <c r="M2603" t="inlineStr">
        <is>
          <t>Moda</t>
        </is>
      </c>
    </row>
    <row r="2604">
      <c r="A2604" t="n">
        <v>2603</v>
      </c>
      <c r="B2604" t="inlineStr">
        <is>
          <t>A-5050__175</t>
        </is>
      </c>
      <c r="C2604" s="1" t="n">
        <v>37.1905746632</v>
      </c>
      <c r="D2604" s="1" t="n">
        <v>-6.99009123174</v>
      </c>
      <c r="E2604" s="3" t="n">
        <v>2</v>
      </c>
      <c r="F2604" s="2" t="n">
        <v>3</v>
      </c>
      <c r="G2604" s="4" t="n">
        <v>3</v>
      </c>
      <c r="H2604" s="13" t="n"/>
      <c r="I2604" s="15" t="n"/>
      <c r="J2604" s="19" t="n">
        <v>3</v>
      </c>
      <c r="K2604" s="2" t="inlineStr">
        <is>
          <t>marker_244_944231.png</t>
        </is>
      </c>
      <c r="L2604" s="11">
        <f>HYPERLINK("3\1\" &amp; K2604, "Ver Imagen")</f>
        <v/>
      </c>
      <c r="M2604" t="inlineStr">
        <is>
          <t>Moda</t>
        </is>
      </c>
    </row>
    <row r="2605">
      <c r="A2605" t="n">
        <v>2604</v>
      </c>
      <c r="B2605" t="inlineStr">
        <is>
          <t>A-5050__161</t>
        </is>
      </c>
      <c r="C2605" s="1" t="n">
        <v>37.1920400922</v>
      </c>
      <c r="D2605" s="1" t="n">
        <v>-6.99314273374</v>
      </c>
      <c r="E2605" s="3" t="n">
        <v>2</v>
      </c>
      <c r="F2605" s="2" t="n">
        <v>3</v>
      </c>
      <c r="G2605" s="4" t="n">
        <v>3</v>
      </c>
      <c r="H2605" s="13" t="n"/>
      <c r="I2605" s="15" t="n"/>
      <c r="J2605" s="19" t="n">
        <v>3</v>
      </c>
      <c r="K2605" s="2" t="inlineStr">
        <is>
          <t>marker_904_944679.png</t>
        </is>
      </c>
      <c r="L2605" s="11">
        <f>HYPERLINK("3\1\" &amp; K2605, "Ver Imagen")</f>
        <v/>
      </c>
      <c r="M2605" t="inlineStr">
        <is>
          <t>Moda</t>
        </is>
      </c>
    </row>
    <row r="2606">
      <c r="A2606" t="n">
        <v>2605</v>
      </c>
      <c r="B2606" t="inlineStr">
        <is>
          <t>A-5050__156</t>
        </is>
      </c>
      <c r="C2606" s="1" t="n">
        <v>37.1925500297</v>
      </c>
      <c r="D2606" s="1" t="n">
        <v>-6.99423232102</v>
      </c>
      <c r="E2606" s="3" t="n">
        <v>3</v>
      </c>
      <c r="F2606" s="2" t="n">
        <v>3</v>
      </c>
      <c r="G2606" s="4" t="n">
        <v>4</v>
      </c>
      <c r="H2606" s="13" t="n"/>
      <c r="I2606" s="15" t="n"/>
      <c r="J2606" s="19" t="n">
        <v>3</v>
      </c>
      <c r="K2606" s="2" t="inlineStr">
        <is>
          <t>marker_497_945302.png</t>
        </is>
      </c>
      <c r="L2606" s="11">
        <f>HYPERLINK("3\1\" &amp; K2606, "Ver Imagen")</f>
        <v/>
      </c>
      <c r="M2606" t="inlineStr">
        <is>
          <t>Moda</t>
        </is>
      </c>
    </row>
    <row r="2607">
      <c r="A2607" t="n">
        <v>2606</v>
      </c>
      <c r="B2607" t="inlineStr">
        <is>
          <t>A-5050__154</t>
        </is>
      </c>
      <c r="C2607" s="1" t="n">
        <v>37.1927436505</v>
      </c>
      <c r="D2607" s="1" t="n">
        <v>-6.99467940284</v>
      </c>
      <c r="E2607" s="3" t="n">
        <v>2</v>
      </c>
      <c r="F2607" s="2" t="n">
        <v>3</v>
      </c>
      <c r="G2607" s="4" t="n">
        <v>3</v>
      </c>
      <c r="H2607" s="13" t="n"/>
      <c r="I2607" s="15" t="n"/>
      <c r="J2607" s="19" t="n">
        <v>3</v>
      </c>
      <c r="K2607" s="2" t="inlineStr">
        <is>
          <t>marker_954_945330.png</t>
        </is>
      </c>
      <c r="L2607" s="11">
        <f>HYPERLINK("3\1\" &amp; K2607, "Ver Imagen")</f>
        <v/>
      </c>
      <c r="M2607" t="inlineStr">
        <is>
          <t>Moda</t>
        </is>
      </c>
    </row>
    <row r="2608">
      <c r="A2608" t="n">
        <v>2607</v>
      </c>
      <c r="B2608" t="inlineStr">
        <is>
          <t>A-5050__149</t>
        </is>
      </c>
      <c r="C2608" s="1" t="n">
        <v>37.1931991687</v>
      </c>
      <c r="D2608" s="1" t="n">
        <v>-6.99581569846</v>
      </c>
      <c r="E2608" s="3" t="n">
        <v>2</v>
      </c>
      <c r="F2608" s="2" t="n">
        <v>3</v>
      </c>
      <c r="G2608" s="4" t="n">
        <v>3</v>
      </c>
      <c r="H2608" s="13" t="n"/>
      <c r="I2608" s="15" t="n"/>
      <c r="J2608" s="19" t="n">
        <v>3</v>
      </c>
      <c r="K2608" s="2" t="inlineStr">
        <is>
          <t>marker_109_945402.png</t>
        </is>
      </c>
      <c r="L2608" s="11">
        <f>HYPERLINK("3\1\" &amp; K2608, "Ver Imagen")</f>
        <v/>
      </c>
      <c r="M2608" t="inlineStr">
        <is>
          <t>Moda</t>
        </is>
      </c>
    </row>
    <row r="2609">
      <c r="A2609" t="n">
        <v>2608</v>
      </c>
      <c r="B2609" t="inlineStr">
        <is>
          <t>A-5050__142</t>
        </is>
      </c>
      <c r="C2609" s="1" t="n">
        <v>37.1938583194</v>
      </c>
      <c r="D2609" s="1" t="n">
        <v>-6.99736739777</v>
      </c>
      <c r="E2609" s="3" t="n">
        <v>3</v>
      </c>
      <c r="F2609" s="2" t="n">
        <v>2</v>
      </c>
      <c r="G2609" s="4" t="n">
        <v>3</v>
      </c>
      <c r="H2609" s="13" t="n"/>
      <c r="I2609" s="15" t="n"/>
      <c r="J2609" s="19" t="n">
        <v>3</v>
      </c>
      <c r="K2609" s="2" t="inlineStr">
        <is>
          <t>marker_192_945819.png</t>
        </is>
      </c>
      <c r="L2609" s="11">
        <f>HYPERLINK("3\1\" &amp; K2609, "Ver Imagen")</f>
        <v/>
      </c>
      <c r="M2609" t="inlineStr">
        <is>
          <t>Moda</t>
        </is>
      </c>
    </row>
    <row r="2610">
      <c r="A2610" t="n">
        <v>2609</v>
      </c>
      <c r="B2610" t="inlineStr">
        <is>
          <t>A-5050__130</t>
        </is>
      </c>
      <c r="C2610" s="1" t="n">
        <v>37.194963737</v>
      </c>
      <c r="D2610" s="1" t="n">
        <v>-7.00005767047</v>
      </c>
      <c r="E2610" s="3" t="n">
        <v>2</v>
      </c>
      <c r="F2610" s="2" t="n">
        <v>3</v>
      </c>
      <c r="G2610" s="4" t="n">
        <v>3</v>
      </c>
      <c r="H2610" s="13" t="n"/>
      <c r="I2610" s="15" t="n"/>
      <c r="J2610" s="19" t="n">
        <v>3</v>
      </c>
      <c r="K2610" s="2" t="inlineStr">
        <is>
          <t>marker_444_945945.png</t>
        </is>
      </c>
      <c r="L2610" s="11">
        <f>HYPERLINK("3\1\" &amp; K2610, "Ver Imagen")</f>
        <v/>
      </c>
      <c r="M2610" t="inlineStr">
        <is>
          <t>Moda</t>
        </is>
      </c>
    </row>
    <row r="2611">
      <c r="A2611" t="n">
        <v>2610</v>
      </c>
      <c r="B2611" t="inlineStr">
        <is>
          <t>A-5050__126</t>
        </is>
      </c>
      <c r="C2611" s="1" t="n">
        <v>37.1953454552</v>
      </c>
      <c r="D2611" s="1" t="n">
        <v>-7.00098591564</v>
      </c>
      <c r="E2611" s="3" t="n">
        <v>2</v>
      </c>
      <c r="F2611" s="2" t="n">
        <v>3</v>
      </c>
      <c r="G2611" s="4" t="n">
        <v>3</v>
      </c>
      <c r="H2611" s="13" t="n"/>
      <c r="I2611" s="15" t="n"/>
      <c r="J2611" s="19" t="n">
        <v>3</v>
      </c>
      <c r="K2611" s="2" t="inlineStr">
        <is>
          <t>marker_754_946353.png</t>
        </is>
      </c>
      <c r="L2611" s="11">
        <f>HYPERLINK("3\1\" &amp; K2611, "Ver Imagen")</f>
        <v/>
      </c>
      <c r="M2611" t="inlineStr">
        <is>
          <t>Moda</t>
        </is>
      </c>
    </row>
    <row r="2612">
      <c r="A2612" t="n">
        <v>2611</v>
      </c>
      <c r="B2612" t="inlineStr">
        <is>
          <t>A-5050__107</t>
        </is>
      </c>
      <c r="C2612" s="1" t="n">
        <v>37.1971032126</v>
      </c>
      <c r="D2612" s="1" t="n">
        <v>-7.00519946183</v>
      </c>
      <c r="E2612" s="3" t="n">
        <v>2</v>
      </c>
      <c r="F2612" s="2" t="n">
        <v>3</v>
      </c>
      <c r="G2612" s="4" t="n">
        <v>3</v>
      </c>
      <c r="H2612" s="13" t="n"/>
      <c r="I2612" s="15" t="n"/>
      <c r="J2612" s="19" t="n">
        <v>3</v>
      </c>
      <c r="K2612" s="2" t="inlineStr">
        <is>
          <t>marker_341_946696.png</t>
        </is>
      </c>
      <c r="L2612" s="11">
        <f>HYPERLINK("3\1\" &amp; K2612, "Ver Imagen")</f>
        <v/>
      </c>
      <c r="M2612" t="inlineStr">
        <is>
          <t>Moda</t>
        </is>
      </c>
    </row>
    <row r="2613">
      <c r="A2613" t="n">
        <v>2612</v>
      </c>
      <c r="B2613" t="inlineStr">
        <is>
          <t>A-5050__105</t>
        </is>
      </c>
      <c r="C2613" s="1" t="n">
        <v>37.1973014216</v>
      </c>
      <c r="D2613" s="1" t="n">
        <v>-7.00566903754</v>
      </c>
      <c r="E2613" s="3" t="n">
        <v>2</v>
      </c>
      <c r="F2613" s="2" t="n">
        <v>3</v>
      </c>
      <c r="G2613" s="4" t="n">
        <v>3</v>
      </c>
      <c r="H2613" s="13" t="n"/>
      <c r="I2613" s="15" t="n"/>
      <c r="J2613" s="19" t="n">
        <v>3</v>
      </c>
      <c r="K2613" s="2" t="inlineStr">
        <is>
          <t>marker_874_946720.png</t>
        </is>
      </c>
      <c r="L2613" s="11">
        <f>HYPERLINK("3\1\" &amp; K2613, "Ver Imagen")</f>
        <v/>
      </c>
      <c r="M2613" t="inlineStr">
        <is>
          <t>Moda</t>
        </is>
      </c>
    </row>
    <row r="2614">
      <c r="A2614" t="n">
        <v>2613</v>
      </c>
      <c r="B2614" t="inlineStr">
        <is>
          <t>A-5050__87</t>
        </is>
      </c>
      <c r="C2614" s="1" t="n">
        <v>37.1992800205</v>
      </c>
      <c r="D2614" s="1" t="n">
        <v>-7.00957166272</v>
      </c>
      <c r="E2614" s="3" t="n">
        <v>2</v>
      </c>
      <c r="F2614" s="2" t="n">
        <v>3</v>
      </c>
      <c r="G2614" s="4" t="n">
        <v>3</v>
      </c>
      <c r="H2614" s="13" t="n"/>
      <c r="I2614" s="15" t="n"/>
      <c r="J2614" s="19" t="n">
        <v>3</v>
      </c>
      <c r="K2614" s="2" t="inlineStr">
        <is>
          <t>marker_888_947448.png</t>
        </is>
      </c>
      <c r="L2614" s="11">
        <f>HYPERLINK("3\1\" &amp; K2614, "Ver Imagen")</f>
        <v/>
      </c>
      <c r="M2614" t="inlineStr">
        <is>
          <t>Moda</t>
        </is>
      </c>
    </row>
    <row r="2615">
      <c r="A2615" t="n">
        <v>2614</v>
      </c>
      <c r="B2615" t="inlineStr">
        <is>
          <t>A-5050__85</t>
        </is>
      </c>
      <c r="C2615" s="1" t="n">
        <v>37.1994992632</v>
      </c>
      <c r="D2615" s="1" t="n">
        <v>-7.00993955709</v>
      </c>
      <c r="E2615" s="3" t="n">
        <v>2</v>
      </c>
      <c r="F2615" s="2" t="n">
        <v>3</v>
      </c>
      <c r="G2615" s="4" t="n">
        <v>3</v>
      </c>
      <c r="H2615" s="13" t="n"/>
      <c r="I2615" s="15" t="n"/>
      <c r="J2615" s="19" t="n">
        <v>3</v>
      </c>
      <c r="K2615" s="2" t="inlineStr">
        <is>
          <t>marker_908_948399.png</t>
        </is>
      </c>
      <c r="L2615" s="11">
        <f>HYPERLINK("3\1\" &amp; K2615, "Ver Imagen")</f>
        <v/>
      </c>
      <c r="M2615" t="inlineStr">
        <is>
          <t>Moda</t>
        </is>
      </c>
    </row>
    <row r="2616">
      <c r="A2616" t="n">
        <v>2615</v>
      </c>
      <c r="B2616" t="inlineStr">
        <is>
          <t>A-5050__82</t>
        </is>
      </c>
      <c r="C2616" s="1" t="n">
        <v>37.199902034</v>
      </c>
      <c r="D2616" s="1" t="n">
        <v>-7.01059766765</v>
      </c>
      <c r="E2616" s="3" t="n">
        <v>2</v>
      </c>
      <c r="F2616" s="2" t="n">
        <v>3</v>
      </c>
      <c r="G2616" s="4" t="n">
        <v>3</v>
      </c>
      <c r="H2616" s="13" t="n"/>
      <c r="I2616" s="15" t="n"/>
      <c r="J2616" s="19" t="n">
        <v>3</v>
      </c>
      <c r="K2616" s="2" t="inlineStr">
        <is>
          <t>marker_325_948746.png</t>
        </is>
      </c>
      <c r="L2616" s="11">
        <f>HYPERLINK("3\1\" &amp; K2616, "Ver Imagen")</f>
        <v/>
      </c>
      <c r="M2616" t="inlineStr">
        <is>
          <t>Moda</t>
        </is>
      </c>
    </row>
    <row r="2617">
      <c r="A2617" t="n">
        <v>2616</v>
      </c>
      <c r="B2617" t="inlineStr">
        <is>
          <t>A-5050__75</t>
        </is>
      </c>
      <c r="C2617" s="1" t="n">
        <v>37.2007601014</v>
      </c>
      <c r="D2617" s="1" t="n">
        <v>-7.01192082503</v>
      </c>
      <c r="E2617" s="3" t="n">
        <v>3</v>
      </c>
      <c r="F2617" s="2" t="n">
        <v>3</v>
      </c>
      <c r="G2617" s="4" t="n">
        <v>4</v>
      </c>
      <c r="H2617" s="13" t="n"/>
      <c r="I2617" s="15" t="n"/>
      <c r="J2617" s="19" t="n">
        <v>3</v>
      </c>
      <c r="K2617" s="2" t="inlineStr">
        <is>
          <t>marker_205_948826.png</t>
        </is>
      </c>
      <c r="L2617" s="11">
        <f>HYPERLINK("3\1\" &amp; K2617, "Ver Imagen")</f>
        <v/>
      </c>
      <c r="M2617" t="inlineStr">
        <is>
          <t>Moda</t>
        </is>
      </c>
    </row>
    <row r="2618">
      <c r="A2618" t="n">
        <v>2617</v>
      </c>
      <c r="B2618" t="inlineStr">
        <is>
          <t>A-5050__58</t>
        </is>
      </c>
      <c r="C2618" s="1" t="n">
        <v>37.2029332487</v>
      </c>
      <c r="D2618" s="1" t="n">
        <v>-7.01525303504</v>
      </c>
      <c r="E2618" s="3" t="n">
        <v>3</v>
      </c>
      <c r="F2618" s="2" t="n">
        <v>3</v>
      </c>
      <c r="G2618" s="4" t="n">
        <v>4</v>
      </c>
      <c r="H2618" s="13" t="n"/>
      <c r="I2618" s="15" t="n"/>
      <c r="J2618" s="19" t="n">
        <v>3</v>
      </c>
      <c r="K2618" s="2" t="inlineStr">
        <is>
          <t>marker_762_949062.png</t>
        </is>
      </c>
      <c r="L2618" s="11">
        <f>HYPERLINK("3\1\" &amp; K2618, "Ver Imagen")</f>
        <v/>
      </c>
      <c r="M2618" t="inlineStr">
        <is>
          <t>Moda</t>
        </is>
      </c>
    </row>
    <row r="2619">
      <c r="A2619" t="n">
        <v>2618</v>
      </c>
      <c r="B2619" t="inlineStr">
        <is>
          <t>A-5050__57</t>
        </is>
      </c>
      <c r="C2619" s="1" t="n">
        <v>37.2030445873</v>
      </c>
      <c r="D2619" s="1" t="n">
        <v>-7.0154213978</v>
      </c>
      <c r="E2619" s="3" t="n">
        <v>3</v>
      </c>
      <c r="F2619" s="2" t="n">
        <v>2</v>
      </c>
      <c r="G2619" s="4" t="n">
        <v>3</v>
      </c>
      <c r="H2619" s="13" t="n"/>
      <c r="I2619" s="15" t="n"/>
      <c r="J2619" s="19" t="n">
        <v>3</v>
      </c>
      <c r="K2619" s="2" t="inlineStr">
        <is>
          <t>marker_753_949074.png</t>
        </is>
      </c>
      <c r="L2619" s="11">
        <f>HYPERLINK("3\1\" &amp; K2619, "Ver Imagen")</f>
        <v/>
      </c>
      <c r="M2619" t="inlineStr">
        <is>
          <t>Moda</t>
        </is>
      </c>
    </row>
    <row r="2620">
      <c r="A2620" t="n">
        <v>2619</v>
      </c>
      <c r="B2620" t="inlineStr">
        <is>
          <t>A-5050__53</t>
        </is>
      </c>
      <c r="C2620" s="1" t="n">
        <v>37.2035845366</v>
      </c>
      <c r="D2620" s="1" t="n">
        <v>-7.01624741914</v>
      </c>
      <c r="E2620" s="3" t="n">
        <v>3</v>
      </c>
      <c r="F2620" s="2" t="n">
        <v>4</v>
      </c>
      <c r="G2620" s="4" t="n">
        <v>3</v>
      </c>
      <c r="H2620" s="13" t="n"/>
      <c r="I2620" s="15" t="n"/>
      <c r="J2620" s="19" t="n">
        <v>3</v>
      </c>
      <c r="K2620" s="2" t="inlineStr">
        <is>
          <t>marker_920_949128.png</t>
        </is>
      </c>
      <c r="L2620" s="11">
        <f>HYPERLINK("3\1\" &amp; K2620, "Ver Imagen")</f>
        <v/>
      </c>
      <c r="M2620" t="inlineStr">
        <is>
          <t>Moda</t>
        </is>
      </c>
    </row>
    <row r="2621">
      <c r="A2621" t="n">
        <v>2620</v>
      </c>
      <c r="B2621" t="inlineStr">
        <is>
          <t>A-5050__46</t>
        </is>
      </c>
      <c r="C2621" s="1" t="n">
        <v>37.204459721</v>
      </c>
      <c r="D2621" s="1" t="n">
        <v>-7.01760235432</v>
      </c>
      <c r="E2621" s="3" t="n">
        <v>3</v>
      </c>
      <c r="F2621" s="2" t="n">
        <v>4</v>
      </c>
      <c r="G2621" s="4" t="n">
        <v>3</v>
      </c>
      <c r="H2621" s="13" t="n"/>
      <c r="I2621" s="15" t="n"/>
      <c r="J2621" s="19" t="n">
        <v>3</v>
      </c>
      <c r="K2621" s="2" t="inlineStr">
        <is>
          <t>marker_542_949192.png</t>
        </is>
      </c>
      <c r="L2621" s="11">
        <f>HYPERLINK("3\1\" &amp; K2621, "Ver Imagen")</f>
        <v/>
      </c>
      <c r="M2621" t="inlineStr">
        <is>
          <t>Moda</t>
        </is>
      </c>
    </row>
    <row r="2622">
      <c r="A2622" t="n">
        <v>2621</v>
      </c>
      <c r="B2622" t="inlineStr">
        <is>
          <t>A-5050__40</t>
        </is>
      </c>
      <c r="C2622" s="1" t="n">
        <v>37.2052028392</v>
      </c>
      <c r="D2622" s="1" t="n">
        <v>-7.01874923988</v>
      </c>
      <c r="E2622" s="3" t="n">
        <v>3</v>
      </c>
      <c r="F2622" s="2" t="n">
        <v>4</v>
      </c>
      <c r="G2622" s="4" t="n">
        <v>3</v>
      </c>
      <c r="H2622" s="13" t="n"/>
      <c r="I2622" s="15" t="n"/>
      <c r="J2622" s="19" t="n">
        <v>3</v>
      </c>
      <c r="K2622" s="2" t="inlineStr">
        <is>
          <t>marker_702_949249.png</t>
        </is>
      </c>
      <c r="L2622" s="11">
        <f>HYPERLINK("3\1\" &amp; K2622, "Ver Imagen")</f>
        <v/>
      </c>
      <c r="M2622" t="inlineStr">
        <is>
          <t>Moda</t>
        </is>
      </c>
    </row>
    <row r="2623">
      <c r="A2623" t="n">
        <v>2622</v>
      </c>
      <c r="B2623" t="inlineStr">
        <is>
          <t>A-5050__35</t>
        </is>
      </c>
      <c r="C2623" s="1" t="n">
        <v>37.2058662028</v>
      </c>
      <c r="D2623" s="1" t="n">
        <v>-7.01979855994</v>
      </c>
      <c r="E2623" s="3" t="n">
        <v>2</v>
      </c>
      <c r="F2623" s="2" t="n">
        <v>3</v>
      </c>
      <c r="G2623" s="4" t="n">
        <v>3</v>
      </c>
      <c r="H2623" s="13" t="n"/>
      <c r="I2623" s="15" t="n"/>
      <c r="J2623" s="19" t="n">
        <v>3</v>
      </c>
      <c r="K2623" s="2" t="inlineStr">
        <is>
          <t>marker_901_949309.png</t>
        </is>
      </c>
      <c r="L2623" s="11">
        <f>HYPERLINK("3\1\" &amp; K2623, "Ver Imagen")</f>
        <v/>
      </c>
      <c r="M2623" t="inlineStr">
        <is>
          <t>Moda</t>
        </is>
      </c>
    </row>
    <row r="2624">
      <c r="A2624" t="n">
        <v>2623</v>
      </c>
      <c r="B2624" t="inlineStr">
        <is>
          <t>A-5050__11</t>
        </is>
      </c>
      <c r="C2624" s="1" t="n">
        <v>37.2083480343</v>
      </c>
      <c r="D2624" s="1" t="n">
        <v>-7.02472693199</v>
      </c>
      <c r="E2624" s="3" t="n">
        <v>2</v>
      </c>
      <c r="F2624" s="2" t="n">
        <v>3</v>
      </c>
      <c r="G2624" s="4" t="n">
        <v>3</v>
      </c>
      <c r="H2624" s="13" t="n"/>
      <c r="I2624" s="15" t="n"/>
      <c r="J2624" s="19" t="n">
        <v>3</v>
      </c>
      <c r="K2624" s="2" t="inlineStr">
        <is>
          <t>marker_669_949597.png</t>
        </is>
      </c>
      <c r="L2624" s="11">
        <f>HYPERLINK("3\1\" &amp; K2624, "Ver Imagen")</f>
        <v/>
      </c>
      <c r="M2624" t="inlineStr">
        <is>
          <t>Moda</t>
        </is>
      </c>
    </row>
    <row r="2625">
      <c r="A2625" t="n">
        <v>2624</v>
      </c>
      <c r="B2625" t="inlineStr">
        <is>
          <t>A-5050__2</t>
        </is>
      </c>
      <c r="C2625" s="1" t="n">
        <v>37.2088765033</v>
      </c>
      <c r="D2625" s="1" t="n">
        <v>-7.02688148101</v>
      </c>
      <c r="E2625" s="3" t="n">
        <v>3</v>
      </c>
      <c r="F2625" s="2" t="n">
        <v>4</v>
      </c>
      <c r="G2625" s="4" t="n">
        <v>3</v>
      </c>
      <c r="H2625" s="13" t="n"/>
      <c r="I2625" s="15" t="n"/>
      <c r="J2625" s="19" t="n">
        <v>3</v>
      </c>
      <c r="K2625" s="2" t="inlineStr">
        <is>
          <t>marker_946_949693.png</t>
        </is>
      </c>
      <c r="L2625" s="11">
        <f>HYPERLINK("3\1\" &amp; K2625, "Ver Imagen")</f>
        <v/>
      </c>
      <c r="M2625" t="inlineStr">
        <is>
          <t>Moda</t>
        </is>
      </c>
    </row>
    <row r="2626">
      <c r="A2626" t="n">
        <v>2625</v>
      </c>
      <c r="B2626" t="inlineStr">
        <is>
          <t>A-5052__11</t>
        </is>
      </c>
      <c r="C2626" s="1" t="n">
        <v>37.2182632291</v>
      </c>
      <c r="D2626" s="1" t="n">
        <v>-7.12318665622</v>
      </c>
      <c r="E2626" s="3" t="n">
        <v>3</v>
      </c>
      <c r="F2626" s="2" t="n">
        <v>3</v>
      </c>
      <c r="G2626" s="4" t="n">
        <v>4</v>
      </c>
      <c r="H2626" s="13" t="n"/>
      <c r="I2626" s="15" t="n"/>
      <c r="J2626" s="19" t="n">
        <v>3</v>
      </c>
      <c r="K2626" s="2" t="inlineStr">
        <is>
          <t>marker_373_950033.png</t>
        </is>
      </c>
      <c r="L2626" s="11">
        <f>HYPERLINK("3\1\" &amp; K2626, "Ver Imagen")</f>
        <v/>
      </c>
      <c r="M2626" t="inlineStr">
        <is>
          <t>Moda</t>
        </is>
      </c>
    </row>
    <row r="2627">
      <c r="A2627" t="n">
        <v>2626</v>
      </c>
      <c r="B2627" t="inlineStr">
        <is>
          <t>A-5052__30</t>
        </is>
      </c>
      <c r="C2627" s="1" t="n">
        <v>37.2181142828</v>
      </c>
      <c r="D2627" s="1" t="n">
        <v>-7.11856999337</v>
      </c>
      <c r="E2627" s="3" t="n">
        <v>3</v>
      </c>
      <c r="F2627" s="2" t="n">
        <v>2</v>
      </c>
      <c r="G2627" s="4" t="n">
        <v>3</v>
      </c>
      <c r="H2627" s="13" t="n"/>
      <c r="I2627" s="15" t="n"/>
      <c r="J2627" s="19" t="n">
        <v>3</v>
      </c>
      <c r="K2627" s="2" t="inlineStr">
        <is>
          <t>marker_459_951628.png</t>
        </is>
      </c>
      <c r="L2627" s="11">
        <f>HYPERLINK("3\1\" &amp; K2627, "Ver Imagen")</f>
        <v/>
      </c>
      <c r="M2627" t="inlineStr">
        <is>
          <t>Moda</t>
        </is>
      </c>
    </row>
    <row r="2628">
      <c r="A2628" t="n">
        <v>2627</v>
      </c>
      <c r="B2628" t="inlineStr">
        <is>
          <t>A-5052__57</t>
        </is>
      </c>
      <c r="C2628" s="1" t="n">
        <v>37.2175822989</v>
      </c>
      <c r="D2628" s="1" t="n">
        <v>-7.11172723158</v>
      </c>
      <c r="E2628" s="3" t="n">
        <v>2</v>
      </c>
      <c r="F2628" s="2" t="n">
        <v>3</v>
      </c>
      <c r="G2628" s="4" t="n">
        <v>3</v>
      </c>
      <c r="H2628" s="13" t="n"/>
      <c r="I2628" s="15" t="n"/>
      <c r="J2628" s="19" t="n">
        <v>3</v>
      </c>
      <c r="K2628" s="2" t="inlineStr">
        <is>
          <t>marker_332_957006.png</t>
        </is>
      </c>
      <c r="L2628" s="11">
        <f>HYPERLINK("3\1\" &amp; K2628, "Ver Imagen")</f>
        <v/>
      </c>
      <c r="M2628" t="inlineStr">
        <is>
          <t>Moda</t>
        </is>
      </c>
    </row>
    <row r="2629">
      <c r="A2629" t="n">
        <v>2628</v>
      </c>
      <c r="B2629" t="inlineStr">
        <is>
          <t>A-5052__128</t>
        </is>
      </c>
      <c r="C2629" s="1" t="n">
        <v>37.2166466979</v>
      </c>
      <c r="D2629" s="1" t="n">
        <v>-7.09388965045</v>
      </c>
      <c r="E2629" s="3" t="n">
        <v>2</v>
      </c>
      <c r="F2629" s="2" t="n">
        <v>3</v>
      </c>
      <c r="G2629" s="4" t="n">
        <v>3</v>
      </c>
      <c r="H2629" s="13" t="n"/>
      <c r="I2629" s="15" t="n"/>
      <c r="J2629" s="19" t="n">
        <v>3</v>
      </c>
      <c r="K2629" s="2" t="inlineStr">
        <is>
          <t>marker_446_958062.png</t>
        </is>
      </c>
      <c r="L2629" s="11">
        <f>HYPERLINK("3\1\" &amp; K2629, "Ver Imagen")</f>
        <v/>
      </c>
      <c r="M2629" t="inlineStr">
        <is>
          <t>Moda</t>
        </is>
      </c>
    </row>
    <row r="2630">
      <c r="A2630" t="n">
        <v>2629</v>
      </c>
      <c r="B2630" t="inlineStr">
        <is>
          <t>A-5052__138</t>
        </is>
      </c>
      <c r="C2630" s="1" t="n">
        <v>37.2163065556</v>
      </c>
      <c r="D2630" s="1" t="n">
        <v>-7.09145155326</v>
      </c>
      <c r="E2630" s="3" t="n">
        <v>2</v>
      </c>
      <c r="F2630" s="2" t="n">
        <v>3</v>
      </c>
      <c r="G2630" s="4" t="n">
        <v>3</v>
      </c>
      <c r="H2630" s="13" t="n"/>
      <c r="I2630" s="15" t="n"/>
      <c r="J2630" s="19" t="n">
        <v>3</v>
      </c>
      <c r="K2630" s="2" t="inlineStr">
        <is>
          <t>marker_901_958195.png</t>
        </is>
      </c>
      <c r="L2630" s="11">
        <f>HYPERLINK("3\1\" &amp; K2630, "Ver Imagen")</f>
        <v/>
      </c>
      <c r="M2630" t="inlineStr">
        <is>
          <t>Moda</t>
        </is>
      </c>
    </row>
    <row r="2631">
      <c r="A2631" t="n">
        <v>2630</v>
      </c>
      <c r="B2631" t="inlineStr">
        <is>
          <t>A-5052__282</t>
        </is>
      </c>
      <c r="C2631" s="1" t="n">
        <v>37.2112214592</v>
      </c>
      <c r="D2631" s="1" t="n">
        <v>-7.05604214409</v>
      </c>
      <c r="E2631" s="3" t="n">
        <v>2</v>
      </c>
      <c r="F2631" s="2" t="n">
        <v>3</v>
      </c>
      <c r="G2631" s="4" t="n">
        <v>3</v>
      </c>
      <c r="H2631" s="13" t="n"/>
      <c r="I2631" s="15" t="n"/>
      <c r="J2631" s="19" t="n">
        <v>3</v>
      </c>
      <c r="K2631" s="2" t="inlineStr">
        <is>
          <t>marker_590_960538.png</t>
        </is>
      </c>
      <c r="L2631" s="11">
        <f>HYPERLINK("3\1\" &amp; K2631, "Ver Imagen")</f>
        <v/>
      </c>
      <c r="M2631" t="inlineStr">
        <is>
          <t>Moda</t>
        </is>
      </c>
    </row>
    <row r="2632">
      <c r="A2632" t="n">
        <v>2631</v>
      </c>
      <c r="B2632" t="inlineStr">
        <is>
          <t>A-5052__284</t>
        </is>
      </c>
      <c r="C2632" s="1" t="n">
        <v>37.2111648174</v>
      </c>
      <c r="D2632" s="1" t="n">
        <v>-7.05555057216</v>
      </c>
      <c r="E2632" s="3" t="n">
        <v>2</v>
      </c>
      <c r="F2632" s="2" t="n">
        <v>3</v>
      </c>
      <c r="G2632" s="4" t="n">
        <v>3</v>
      </c>
      <c r="H2632" s="13" t="n"/>
      <c r="I2632" s="15" t="n"/>
      <c r="J2632" s="19" t="n">
        <v>3</v>
      </c>
      <c r="K2632" s="2" t="inlineStr">
        <is>
          <t>marker_102_960571.png</t>
        </is>
      </c>
      <c r="L2632" s="11">
        <f>HYPERLINK("3\1\" &amp; K2632, "Ver Imagen")</f>
        <v/>
      </c>
      <c r="M2632" t="inlineStr">
        <is>
          <t>Moda</t>
        </is>
      </c>
    </row>
    <row r="2633">
      <c r="A2633" t="n">
        <v>2632</v>
      </c>
      <c r="B2633" t="inlineStr">
        <is>
          <t>A-5052__294</t>
        </is>
      </c>
      <c r="C2633" s="1" t="n">
        <v>37.210791744</v>
      </c>
      <c r="D2633" s="1" t="n">
        <v>-7.05306888458</v>
      </c>
      <c r="E2633" s="3" t="n">
        <v>3</v>
      </c>
      <c r="F2633" s="2" t="n">
        <v>4</v>
      </c>
      <c r="G2633" s="4" t="n">
        <v>3</v>
      </c>
      <c r="H2633" s="13" t="n"/>
      <c r="I2633" s="15" t="n"/>
      <c r="J2633" s="19" t="n">
        <v>3</v>
      </c>
      <c r="K2633" s="2" t="inlineStr">
        <is>
          <t>marker_769_960752.png</t>
        </is>
      </c>
      <c r="L2633" s="11">
        <f>HYPERLINK("3\1\" &amp; K2633, "Ver Imagen")</f>
        <v/>
      </c>
      <c r="M2633" t="inlineStr">
        <is>
          <t>Moda</t>
        </is>
      </c>
    </row>
    <row r="2634">
      <c r="A2634" t="n">
        <v>2633</v>
      </c>
      <c r="B2634" t="inlineStr">
        <is>
          <t>A-5052__304</t>
        </is>
      </c>
      <c r="C2634" s="1" t="n">
        <v>37.2111125853</v>
      </c>
      <c r="D2634" s="1" t="n">
        <v>-7.0505557363</v>
      </c>
      <c r="E2634" s="3" t="n">
        <v>2</v>
      </c>
      <c r="F2634" s="2" t="n">
        <v>3</v>
      </c>
      <c r="G2634" s="4" t="n">
        <v>3</v>
      </c>
      <c r="H2634" s="13" t="n"/>
      <c r="I2634" s="15" t="n"/>
      <c r="J2634" s="19" t="n">
        <v>3</v>
      </c>
      <c r="K2634" s="2" t="inlineStr">
        <is>
          <t>marker_167_960972.png</t>
        </is>
      </c>
      <c r="L2634" s="11">
        <f>HYPERLINK("3\1\" &amp; K2634, "Ver Imagen")</f>
        <v/>
      </c>
      <c r="M2634" t="inlineStr">
        <is>
          <t>Moda</t>
        </is>
      </c>
    </row>
    <row r="2635">
      <c r="A2635" t="n">
        <v>2634</v>
      </c>
      <c r="B2635" t="inlineStr">
        <is>
          <t>A-5052__314</t>
        </is>
      </c>
      <c r="C2635" s="1" t="n">
        <v>37.2117679566</v>
      </c>
      <c r="D2635" s="1" t="n">
        <v>-7.04821530275</v>
      </c>
      <c r="E2635" s="3" t="n">
        <v>3</v>
      </c>
      <c r="F2635" s="2" t="n">
        <v>3</v>
      </c>
      <c r="G2635" s="4" t="n">
        <v>4</v>
      </c>
      <c r="H2635" s="13" t="n"/>
      <c r="I2635" s="15" t="n"/>
      <c r="J2635" s="19" t="n">
        <v>3</v>
      </c>
      <c r="K2635" s="2" t="inlineStr">
        <is>
          <t>marker_832_961172.png</t>
        </is>
      </c>
      <c r="L2635" s="11">
        <f>HYPERLINK("3\1\" &amp; K2635, "Ver Imagen")</f>
        <v/>
      </c>
      <c r="M2635" t="inlineStr">
        <is>
          <t>Moda</t>
        </is>
      </c>
    </row>
    <row r="2636">
      <c r="A2636" t="n">
        <v>2635</v>
      </c>
      <c r="B2636" t="inlineStr">
        <is>
          <t>A-5052__326</t>
        </is>
      </c>
      <c r="C2636" s="1" t="n">
        <v>37.2112644135</v>
      </c>
      <c r="D2636" s="1" t="n">
        <v>-7.04522350417</v>
      </c>
      <c r="E2636" s="3" t="n">
        <v>3</v>
      </c>
      <c r="F2636" s="2" t="n">
        <v>4</v>
      </c>
      <c r="G2636" s="4" t="n">
        <v>3</v>
      </c>
      <c r="H2636" s="13" t="n"/>
      <c r="I2636" s="15" t="n"/>
      <c r="J2636" s="19" t="n">
        <v>3</v>
      </c>
      <c r="K2636" s="2" t="inlineStr">
        <is>
          <t>marker_781_961440.png</t>
        </is>
      </c>
      <c r="L2636" s="11">
        <f>HYPERLINK("3\1\" &amp; K2636, "Ver Imagen")</f>
        <v/>
      </c>
      <c r="M2636" t="inlineStr">
        <is>
          <t>Moda</t>
        </is>
      </c>
    </row>
    <row r="2637">
      <c r="A2637" t="n">
        <v>2636</v>
      </c>
      <c r="B2637" t="inlineStr">
        <is>
          <t>A-5052__337</t>
        </is>
      </c>
      <c r="C2637" s="1" t="n">
        <v>37.2103655856</v>
      </c>
      <c r="D2637" s="1" t="n">
        <v>-7.04272424626</v>
      </c>
      <c r="E2637" s="3" t="n">
        <v>3</v>
      </c>
      <c r="F2637" s="2" t="n">
        <v>4</v>
      </c>
      <c r="G2637" s="4" t="n">
        <v>3</v>
      </c>
      <c r="H2637" s="13" t="n"/>
      <c r="I2637" s="15" t="n"/>
      <c r="J2637" s="19" t="n">
        <v>3</v>
      </c>
      <c r="K2637" s="2" t="inlineStr">
        <is>
          <t>marker_314_961579.png</t>
        </is>
      </c>
      <c r="L2637" s="11">
        <f>HYPERLINK("3\1\" &amp; K2637, "Ver Imagen")</f>
        <v/>
      </c>
      <c r="M2637" t="inlineStr">
        <is>
          <t>Moda</t>
        </is>
      </c>
    </row>
    <row r="2638">
      <c r="A2638" t="n">
        <v>2637</v>
      </c>
      <c r="B2638" t="inlineStr">
        <is>
          <t>A-5052__353</t>
        </is>
      </c>
      <c r="C2638" s="1" t="n">
        <v>37.2089730283</v>
      </c>
      <c r="D2638" s="1" t="n">
        <v>-7.03903938132</v>
      </c>
      <c r="E2638" s="3" t="n">
        <v>3</v>
      </c>
      <c r="F2638" s="2" t="n">
        <v>3</v>
      </c>
      <c r="G2638" s="4" t="n">
        <v>4</v>
      </c>
      <c r="H2638" s="13" t="n"/>
      <c r="I2638" s="15" t="n"/>
      <c r="J2638" s="19" t="n">
        <v>3</v>
      </c>
      <c r="K2638" s="2" t="inlineStr">
        <is>
          <t>marker_143_961776.png</t>
        </is>
      </c>
      <c r="L2638" s="11">
        <f>HYPERLINK("3\1\" &amp; K2638, "Ver Imagen")</f>
        <v/>
      </c>
      <c r="M2638" t="inlineStr">
        <is>
          <t>Moda</t>
        </is>
      </c>
    </row>
    <row r="2639">
      <c r="A2639" t="n">
        <v>2638</v>
      </c>
      <c r="B2639" t="inlineStr">
        <is>
          <t>A-5052__354</t>
        </is>
      </c>
      <c r="C2639" s="1" t="n">
        <v>37.2088731193</v>
      </c>
      <c r="D2639" s="1" t="n">
        <v>-7.03878511144</v>
      </c>
      <c r="E2639" s="3" t="n">
        <v>3</v>
      </c>
      <c r="F2639" s="2" t="n">
        <v>4</v>
      </c>
      <c r="G2639" s="4" t="n">
        <v>3</v>
      </c>
      <c r="H2639" s="13" t="n"/>
      <c r="I2639" s="15" t="n"/>
      <c r="J2639" s="19" t="n">
        <v>3</v>
      </c>
      <c r="K2639" s="2" t="inlineStr">
        <is>
          <t>marker_357_961785.png</t>
        </is>
      </c>
      <c r="L2639" s="11">
        <f>HYPERLINK("3\1\" &amp; K2639, "Ver Imagen")</f>
        <v/>
      </c>
      <c r="M2639" t="inlineStr">
        <is>
          <t>Moda</t>
        </is>
      </c>
    </row>
    <row r="2640">
      <c r="A2640" t="n">
        <v>2639</v>
      </c>
      <c r="B2640" t="inlineStr">
        <is>
          <t>A-5052__380</t>
        </is>
      </c>
      <c r="C2640" s="1" t="n">
        <v>37.2066046447</v>
      </c>
      <c r="D2640" s="1" t="n">
        <v>-7.03290829249</v>
      </c>
      <c r="E2640" s="3" t="n">
        <v>3</v>
      </c>
      <c r="F2640" s="2" t="n">
        <v>3</v>
      </c>
      <c r="G2640" s="4" t="n">
        <v>4</v>
      </c>
      <c r="H2640" s="13" t="n"/>
      <c r="I2640" s="15" t="n"/>
      <c r="J2640" s="19" t="n">
        <v>3</v>
      </c>
      <c r="K2640" s="2" t="inlineStr">
        <is>
          <t>marker_269_962475.png</t>
        </is>
      </c>
      <c r="L2640" s="11">
        <f>HYPERLINK("3\1\" &amp; K2640, "Ver Imagen")</f>
        <v/>
      </c>
      <c r="M2640" t="inlineStr">
        <is>
          <t>Moda</t>
        </is>
      </c>
    </row>
    <row r="2641">
      <c r="A2641" t="n">
        <v>2640</v>
      </c>
      <c r="B2641" t="inlineStr">
        <is>
          <t>A-5052__385</t>
        </is>
      </c>
      <c r="C2641" s="1" t="n">
        <v>37.2061544248</v>
      </c>
      <c r="D2641" s="1" t="n">
        <v>-7.03175011307</v>
      </c>
      <c r="E2641" s="3" t="n">
        <v>3</v>
      </c>
      <c r="F2641" s="2" t="n">
        <v>4</v>
      </c>
      <c r="G2641" s="4" t="n">
        <v>3</v>
      </c>
      <c r="H2641" s="13" t="n"/>
      <c r="I2641" s="15" t="n"/>
      <c r="J2641" s="19" t="n">
        <v>3</v>
      </c>
      <c r="K2641" s="2" t="inlineStr">
        <is>
          <t>marker_332_962528.png</t>
        </is>
      </c>
      <c r="L2641" s="11">
        <f>HYPERLINK("3\1\" &amp; K2641, "Ver Imagen")</f>
        <v/>
      </c>
      <c r="M2641" t="inlineStr">
        <is>
          <t>Moda</t>
        </is>
      </c>
    </row>
    <row r="2642">
      <c r="A2642" t="n">
        <v>2641</v>
      </c>
      <c r="B2642" t="inlineStr">
        <is>
          <t>A-5053__325</t>
        </is>
      </c>
      <c r="C2642" s="1" t="n">
        <v>37.2789727287</v>
      </c>
      <c r="D2642" s="1" t="n">
        <v>-7.144590405</v>
      </c>
      <c r="E2642" s="3" t="n">
        <v>3</v>
      </c>
      <c r="F2642" s="2" t="n">
        <v>4</v>
      </c>
      <c r="G2642" s="4" t="n">
        <v>3</v>
      </c>
      <c r="H2642" s="13" t="n"/>
      <c r="I2642" s="15" t="n"/>
      <c r="J2642" s="19" t="n">
        <v>3</v>
      </c>
      <c r="K2642" s="2" t="inlineStr">
        <is>
          <t>marker_796_964518.png</t>
        </is>
      </c>
      <c r="L2642" s="11">
        <f>HYPERLINK("3\1\" &amp; K2642, "Ver Imagen")</f>
        <v/>
      </c>
      <c r="M2642" t="inlineStr">
        <is>
          <t>Moda</t>
        </is>
      </c>
    </row>
    <row r="2643">
      <c r="A2643" t="n">
        <v>2642</v>
      </c>
      <c r="B2643" t="inlineStr">
        <is>
          <t>A-5053__320</t>
        </is>
      </c>
      <c r="C2643" s="1" t="n">
        <v>37.2780743164</v>
      </c>
      <c r="D2643" s="1" t="n">
        <v>-7.14390593608</v>
      </c>
      <c r="E2643" s="3" t="n">
        <v>3</v>
      </c>
      <c r="F2643" s="2" t="n">
        <v>4</v>
      </c>
      <c r="G2643" s="4" t="n">
        <v>3</v>
      </c>
      <c r="H2643" s="13" t="n"/>
      <c r="I2643" s="15" t="n"/>
      <c r="J2643" s="19" t="n">
        <v>3</v>
      </c>
      <c r="K2643" s="2" t="inlineStr">
        <is>
          <t>marker_581_964573.png</t>
        </is>
      </c>
      <c r="L2643" s="11">
        <f>HYPERLINK("3\1\" &amp; K2643, "Ver Imagen")</f>
        <v/>
      </c>
      <c r="M2643" t="inlineStr">
        <is>
          <t>Moda</t>
        </is>
      </c>
    </row>
    <row r="2644">
      <c r="A2644" t="n">
        <v>2643</v>
      </c>
      <c r="B2644" t="inlineStr">
        <is>
          <t>A-5053__291</t>
        </is>
      </c>
      <c r="C2644" s="1" t="n">
        <v>37.272591361</v>
      </c>
      <c r="D2644" s="1" t="n">
        <v>-7.14155874897</v>
      </c>
      <c r="E2644" s="3" t="n">
        <v>3</v>
      </c>
      <c r="F2644" s="2" t="n">
        <v>4</v>
      </c>
      <c r="G2644" s="4" t="n">
        <v>3</v>
      </c>
      <c r="H2644" s="13" t="n"/>
      <c r="I2644" s="15" t="n"/>
      <c r="J2644" s="19" t="n">
        <v>3</v>
      </c>
      <c r="K2644" s="2" t="inlineStr">
        <is>
          <t>marker_437_964949.png</t>
        </is>
      </c>
      <c r="L2644" s="11">
        <f>HYPERLINK("3\1\" &amp; K2644, "Ver Imagen")</f>
        <v/>
      </c>
      <c r="M2644" t="inlineStr">
        <is>
          <t>Moda</t>
        </is>
      </c>
    </row>
    <row r="2645">
      <c r="A2645" t="n">
        <v>2644</v>
      </c>
      <c r="B2645" t="inlineStr">
        <is>
          <t>A-5053__283</t>
        </is>
      </c>
      <c r="C2645" s="1" t="n">
        <v>37.2712007971</v>
      </c>
      <c r="D2645" s="1" t="n">
        <v>-7.14046595237</v>
      </c>
      <c r="E2645" s="3" t="n">
        <v>3</v>
      </c>
      <c r="F2645" s="2" t="n">
        <v>2</v>
      </c>
      <c r="G2645" s="4" t="n">
        <v>3</v>
      </c>
      <c r="H2645" s="13" t="n"/>
      <c r="I2645" s="15" t="n"/>
      <c r="J2645" s="19" t="n">
        <v>3</v>
      </c>
      <c r="K2645" s="2" t="inlineStr">
        <is>
          <t>marker_370_965032.png</t>
        </is>
      </c>
      <c r="L2645" s="11">
        <f>HYPERLINK("3\1\" &amp; K2645, "Ver Imagen")</f>
        <v/>
      </c>
      <c r="M2645" t="inlineStr">
        <is>
          <t>Moda</t>
        </is>
      </c>
    </row>
    <row r="2646">
      <c r="A2646" t="n">
        <v>2645</v>
      </c>
      <c r="B2646" t="inlineStr">
        <is>
          <t>A-5053__279</t>
        </is>
      </c>
      <c r="C2646" s="1" t="n">
        <v>37.2705106288</v>
      </c>
      <c r="D2646" s="1" t="n">
        <v>-7.13994081454</v>
      </c>
      <c r="E2646" s="3" t="n">
        <v>3</v>
      </c>
      <c r="F2646" s="2" t="n">
        <v>4</v>
      </c>
      <c r="G2646" s="4" t="n">
        <v>3</v>
      </c>
      <c r="H2646" s="13" t="n"/>
      <c r="I2646" s="15" t="n"/>
      <c r="J2646" s="19" t="n">
        <v>3</v>
      </c>
      <c r="K2646" s="2" t="inlineStr">
        <is>
          <t>marker_588_965069.png</t>
        </is>
      </c>
      <c r="L2646" s="11">
        <f>HYPERLINK("3\1\" &amp; K2646, "Ver Imagen")</f>
        <v/>
      </c>
      <c r="M2646" t="inlineStr">
        <is>
          <t>Moda</t>
        </is>
      </c>
    </row>
    <row r="2647">
      <c r="A2647" t="n">
        <v>2646</v>
      </c>
      <c r="B2647" t="inlineStr">
        <is>
          <t>A-5053__231</t>
        </is>
      </c>
      <c r="C2647" s="1" t="n">
        <v>37.2641165959</v>
      </c>
      <c r="D2647" s="1" t="n">
        <v>-7.13167178458</v>
      </c>
      <c r="E2647" s="3" t="n">
        <v>3</v>
      </c>
      <c r="F2647" s="2" t="n">
        <v>4</v>
      </c>
      <c r="G2647" s="4" t="n">
        <v>3</v>
      </c>
      <c r="H2647" s="13" t="n"/>
      <c r="I2647" s="15" t="n"/>
      <c r="J2647" s="19" t="n">
        <v>3</v>
      </c>
      <c r="K2647" s="2" t="inlineStr">
        <is>
          <t>marker_208_965585.png</t>
        </is>
      </c>
      <c r="L2647" s="11">
        <f>HYPERLINK("3\1\" &amp; K2647, "Ver Imagen")</f>
        <v/>
      </c>
      <c r="M2647" t="inlineStr">
        <is>
          <t>Moda</t>
        </is>
      </c>
    </row>
    <row r="2648">
      <c r="A2648" t="n">
        <v>2647</v>
      </c>
      <c r="B2648" t="inlineStr">
        <is>
          <t>A-5053__220</t>
        </is>
      </c>
      <c r="C2648" s="1" t="n">
        <v>37.2621325173</v>
      </c>
      <c r="D2648" s="1" t="n">
        <v>-7.13042481093</v>
      </c>
      <c r="E2648" s="3" t="n">
        <v>3</v>
      </c>
      <c r="F2648" s="2" t="n">
        <v>4</v>
      </c>
      <c r="G2648" s="4" t="n">
        <v>3</v>
      </c>
      <c r="H2648" s="13" t="n"/>
      <c r="I2648" s="15" t="n"/>
      <c r="J2648" s="19" t="n">
        <v>3</v>
      </c>
      <c r="K2648" s="2" t="inlineStr">
        <is>
          <t>marker_343_965687.png</t>
        </is>
      </c>
      <c r="L2648" s="11">
        <f>HYPERLINK("3\1\" &amp; K2648, "Ver Imagen")</f>
        <v/>
      </c>
      <c r="M2648" t="inlineStr">
        <is>
          <t>Moda</t>
        </is>
      </c>
    </row>
    <row r="2649">
      <c r="A2649" t="n">
        <v>2648</v>
      </c>
      <c r="B2649" t="inlineStr">
        <is>
          <t>A-5053__218</t>
        </is>
      </c>
      <c r="C2649" s="1" t="n">
        <v>37.2617811558</v>
      </c>
      <c r="D2649" s="1" t="n">
        <v>-7.13020306244</v>
      </c>
      <c r="E2649" s="3" t="n">
        <v>3</v>
      </c>
      <c r="F2649" s="2" t="n">
        <v>4</v>
      </c>
      <c r="G2649" s="4" t="n">
        <v>3</v>
      </c>
      <c r="H2649" s="13" t="n"/>
      <c r="I2649" s="15" t="n"/>
      <c r="J2649" s="19" t="n">
        <v>3</v>
      </c>
      <c r="K2649" s="2" t="inlineStr">
        <is>
          <t>marker_611_965709.png</t>
        </is>
      </c>
      <c r="L2649" s="11">
        <f>HYPERLINK("3\1\" &amp; K2649, "Ver Imagen")</f>
        <v/>
      </c>
      <c r="M2649" t="inlineStr">
        <is>
          <t>Moda</t>
        </is>
      </c>
    </row>
    <row r="2650">
      <c r="A2650" t="n">
        <v>2649</v>
      </c>
      <c r="B2650" t="inlineStr">
        <is>
          <t>A-5053__215</t>
        </is>
      </c>
      <c r="C2650" s="1" t="n">
        <v>37.2612910988</v>
      </c>
      <c r="D2650" s="1" t="n">
        <v>-7.12979515285</v>
      </c>
      <c r="E2650" s="3" t="n">
        <v>4</v>
      </c>
      <c r="F2650" s="2" t="n">
        <v>3</v>
      </c>
      <c r="G2650" s="4" t="n">
        <v>3</v>
      </c>
      <c r="H2650" s="13" t="n"/>
      <c r="I2650" s="15" t="n"/>
      <c r="J2650" s="19" t="n">
        <v>3</v>
      </c>
      <c r="K2650" s="2" t="inlineStr">
        <is>
          <t>marker_649_965737.png</t>
        </is>
      </c>
      <c r="L2650" s="11">
        <f>HYPERLINK("3\1\" &amp; K2650, "Ver Imagen")</f>
        <v/>
      </c>
      <c r="M2650" t="inlineStr">
        <is>
          <t>Moda</t>
        </is>
      </c>
    </row>
    <row r="2651">
      <c r="A2651" t="n">
        <v>2650</v>
      </c>
      <c r="B2651" t="inlineStr">
        <is>
          <t>A-5053__213</t>
        </is>
      </c>
      <c r="C2651" s="1" t="n">
        <v>37.2609101593</v>
      </c>
      <c r="D2651" s="1" t="n">
        <v>-7.12956931496</v>
      </c>
      <c r="E2651" s="3" t="n">
        <v>4</v>
      </c>
      <c r="F2651" s="2" t="n">
        <v>3</v>
      </c>
      <c r="G2651" s="4" t="n">
        <v>3</v>
      </c>
      <c r="H2651" s="13" t="n"/>
      <c r="I2651" s="15" t="n"/>
      <c r="J2651" s="19" t="n">
        <v>3</v>
      </c>
      <c r="K2651" s="2" t="inlineStr">
        <is>
          <t>marker_959_965758.png</t>
        </is>
      </c>
      <c r="L2651" s="11">
        <f>HYPERLINK("3\1\" &amp; K2651, "Ver Imagen")</f>
        <v/>
      </c>
      <c r="M2651" t="inlineStr">
        <is>
          <t>Moda</t>
        </is>
      </c>
    </row>
    <row r="2652">
      <c r="A2652" t="n">
        <v>2651</v>
      </c>
      <c r="B2652" t="inlineStr">
        <is>
          <t>A-5053__209</t>
        </is>
      </c>
      <c r="C2652" s="1" t="n">
        <v>37.2601342612</v>
      </c>
      <c r="D2652" s="1" t="n">
        <v>-7.12915431533</v>
      </c>
      <c r="E2652" s="3" t="n">
        <v>3</v>
      </c>
      <c r="F2652" s="2" t="n">
        <v>3</v>
      </c>
      <c r="G2652" s="4" t="n">
        <v>2</v>
      </c>
      <c r="H2652" s="13" t="n"/>
      <c r="I2652" s="15" t="n"/>
      <c r="J2652" s="19" t="n">
        <v>3</v>
      </c>
      <c r="K2652" s="2" t="inlineStr">
        <is>
          <t>marker_102_965801.png</t>
        </is>
      </c>
      <c r="L2652" s="11">
        <f>HYPERLINK("3\1\" &amp; K2652, "Ver Imagen")</f>
        <v/>
      </c>
      <c r="M2652" t="inlineStr">
        <is>
          <t>Moda</t>
        </is>
      </c>
    </row>
    <row r="2653">
      <c r="A2653" t="n">
        <v>2652</v>
      </c>
      <c r="B2653" t="inlineStr">
        <is>
          <t>A-5053__153</t>
        </is>
      </c>
      <c r="C2653" s="1" t="n">
        <v>37.2493059603</v>
      </c>
      <c r="D2653" s="1" t="n">
        <v>-7.12738581095</v>
      </c>
      <c r="E2653" s="3" t="n">
        <v>3</v>
      </c>
      <c r="F2653" s="2" t="n">
        <v>2</v>
      </c>
      <c r="G2653" s="4" t="n">
        <v>3</v>
      </c>
      <c r="H2653" s="13" t="n"/>
      <c r="I2653" s="15" t="n"/>
      <c r="J2653" s="19" t="n">
        <v>3</v>
      </c>
      <c r="K2653" s="2" t="inlineStr">
        <is>
          <t>marker_783_966358.png</t>
        </is>
      </c>
      <c r="L2653" s="11">
        <f>HYPERLINK("3\1\" &amp; K2653, "Ver Imagen")</f>
        <v/>
      </c>
      <c r="M2653" t="inlineStr">
        <is>
          <t>Moda</t>
        </is>
      </c>
    </row>
    <row r="2654">
      <c r="A2654" t="n">
        <v>2653</v>
      </c>
      <c r="B2654" t="inlineStr">
        <is>
          <t>A-5053__99</t>
        </is>
      </c>
      <c r="C2654" s="1" t="n">
        <v>37.2384284626</v>
      </c>
      <c r="D2654" s="1" t="n">
        <v>-7.12841739786</v>
      </c>
      <c r="E2654" s="3" t="n">
        <v>3</v>
      </c>
      <c r="F2654" s="2" t="n">
        <v>2</v>
      </c>
      <c r="G2654" s="4" t="n">
        <v>3</v>
      </c>
      <c r="H2654" s="13" t="n"/>
      <c r="I2654" s="15" t="n"/>
      <c r="J2654" s="19" t="n">
        <v>3</v>
      </c>
      <c r="K2654" s="2" t="inlineStr">
        <is>
          <t>marker_686_019823.png</t>
        </is>
      </c>
      <c r="L2654" s="11">
        <f>HYPERLINK("3\1\" &amp; K2654, "Ver Imagen")</f>
        <v/>
      </c>
      <c r="M2654" t="inlineStr">
        <is>
          <t>Moda</t>
        </is>
      </c>
    </row>
    <row r="2655">
      <c r="A2655" t="n">
        <v>2654</v>
      </c>
      <c r="B2655" t="inlineStr">
        <is>
          <t>A-5053__47</t>
        </is>
      </c>
      <c r="C2655" s="1" t="n">
        <v>37.2280631609</v>
      </c>
      <c r="D2655" s="1" t="n">
        <v>-7.12674873942</v>
      </c>
      <c r="E2655" s="3" t="n">
        <v>4</v>
      </c>
      <c r="F2655" s="2" t="n">
        <v>3</v>
      </c>
      <c r="G2655" s="4" t="n">
        <v>3</v>
      </c>
      <c r="H2655" s="13" t="n"/>
      <c r="I2655" s="15" t="n"/>
      <c r="J2655" s="19" t="n">
        <v>3</v>
      </c>
      <c r="K2655" s="2" t="inlineStr">
        <is>
          <t>marker_271_021029.png</t>
        </is>
      </c>
      <c r="L2655" s="11">
        <f>HYPERLINK("3\1\" &amp; K2655, "Ver Imagen")</f>
        <v/>
      </c>
      <c r="M2655" t="inlineStr">
        <is>
          <t>Moda</t>
        </is>
      </c>
    </row>
    <row r="2656">
      <c r="A2656" t="n">
        <v>2655</v>
      </c>
      <c r="B2656" t="inlineStr">
        <is>
          <t>A-5053__12</t>
        </is>
      </c>
      <c r="C2656" s="1" t="n">
        <v>37.2212970197</v>
      </c>
      <c r="D2656" s="1" t="n">
        <v>-7.12564208185</v>
      </c>
      <c r="E2656" s="3" t="n">
        <v>4</v>
      </c>
      <c r="F2656" s="2" t="n">
        <v>3</v>
      </c>
      <c r="G2656" s="4" t="n">
        <v>3</v>
      </c>
      <c r="H2656" s="13" t="n"/>
      <c r="I2656" s="15" t="n"/>
      <c r="J2656" s="19" t="n">
        <v>3</v>
      </c>
      <c r="K2656" s="2" t="inlineStr">
        <is>
          <t>marker_802_025082.png</t>
        </is>
      </c>
      <c r="L2656" s="11">
        <f>HYPERLINK("3\1\" &amp; K2656, "Ver Imagen")</f>
        <v/>
      </c>
      <c r="M2656" t="inlineStr">
        <is>
          <t>Moda</t>
        </is>
      </c>
    </row>
    <row r="2657">
      <c r="A2657" t="n">
        <v>2656</v>
      </c>
      <c r="B2657" t="inlineStr">
        <is>
          <t>A-495__20</t>
        </is>
      </c>
      <c r="C2657" s="1" t="n">
        <v>37.4434073273</v>
      </c>
      <c r="D2657" s="1" t="n">
        <v>-7.0955173474</v>
      </c>
      <c r="E2657" s="3" t="n">
        <v>3</v>
      </c>
      <c r="F2657" s="2" t="n">
        <v>2</v>
      </c>
      <c r="G2657" s="4" t="n">
        <v>3</v>
      </c>
      <c r="H2657" s="13" t="n"/>
      <c r="I2657" s="15" t="n"/>
      <c r="J2657" s="19" t="n">
        <v>3</v>
      </c>
      <c r="K2657" s="2" t="inlineStr">
        <is>
          <t>marker_606_381265.png</t>
        </is>
      </c>
      <c r="L2657" s="11">
        <f>HYPERLINK("3\1\" &amp; K2657, "Ver Imagen")</f>
        <v/>
      </c>
      <c r="M2657" t="inlineStr">
        <is>
          <t>Moda</t>
        </is>
      </c>
    </row>
    <row r="2658">
      <c r="A2658" t="n">
        <v>2657</v>
      </c>
      <c r="B2658" t="inlineStr">
        <is>
          <t>A-495__42</t>
        </is>
      </c>
      <c r="C2658" s="1" t="n">
        <v>37.4413715543</v>
      </c>
      <c r="D2658" s="1" t="n">
        <v>-7.09054309119</v>
      </c>
      <c r="E2658" s="3" t="n">
        <v>3</v>
      </c>
      <c r="F2658" s="2" t="n">
        <v>2</v>
      </c>
      <c r="G2658" s="4" t="n">
        <v>3</v>
      </c>
      <c r="H2658" s="13" t="n"/>
      <c r="I2658" s="15" t="n"/>
      <c r="J2658" s="19" t="n">
        <v>3</v>
      </c>
      <c r="K2658" s="2" t="inlineStr">
        <is>
          <t>marker_206_381530.png</t>
        </is>
      </c>
      <c r="L2658" s="11">
        <f>HYPERLINK("3\1\" &amp; K2658, "Ver Imagen")</f>
        <v/>
      </c>
      <c r="M2658" t="inlineStr">
        <is>
          <t>Moda</t>
        </is>
      </c>
    </row>
    <row r="2659">
      <c r="A2659" t="n">
        <v>2658</v>
      </c>
      <c r="B2659" t="inlineStr">
        <is>
          <t>A-495__43</t>
        </is>
      </c>
      <c r="C2659" s="1" t="n">
        <v>37.4412696562</v>
      </c>
      <c r="D2659" s="1" t="n">
        <v>-7.0903248826</v>
      </c>
      <c r="E2659" s="3" t="n">
        <v>3</v>
      </c>
      <c r="F2659" s="2" t="n">
        <v>2</v>
      </c>
      <c r="G2659" s="4" t="n">
        <v>3</v>
      </c>
      <c r="H2659" s="13" t="n"/>
      <c r="I2659" s="15" t="n"/>
      <c r="J2659" s="19" t="n">
        <v>3</v>
      </c>
      <c r="K2659" s="2" t="inlineStr">
        <is>
          <t>marker_469_381543.png</t>
        </is>
      </c>
      <c r="L2659" s="11">
        <f>HYPERLINK("3\1\" &amp; K2659, "Ver Imagen")</f>
        <v/>
      </c>
      <c r="M2659" t="inlineStr">
        <is>
          <t>Moda</t>
        </is>
      </c>
    </row>
    <row r="2660">
      <c r="A2660" t="n">
        <v>2659</v>
      </c>
      <c r="B2660" t="inlineStr">
        <is>
          <t>A-5059__41</t>
        </is>
      </c>
      <c r="C2660" s="1" t="n">
        <v>37.2271302433</v>
      </c>
      <c r="D2660" s="1" t="n">
        <v>-7.06078491716</v>
      </c>
      <c r="E2660" s="3" t="n">
        <v>3</v>
      </c>
      <c r="F2660" s="2" t="n">
        <v>2</v>
      </c>
      <c r="G2660" s="4" t="n">
        <v>3</v>
      </c>
      <c r="H2660" s="13" t="n"/>
      <c r="I2660" s="15" t="n"/>
      <c r="J2660" s="19" t="n">
        <v>3</v>
      </c>
      <c r="K2660" s="2" t="inlineStr">
        <is>
          <t>marker_244_379286.png</t>
        </is>
      </c>
      <c r="L2660" s="11">
        <f>HYPERLINK("3\1\" &amp; K2660, "Ver Imagen")</f>
        <v/>
      </c>
      <c r="M2660" t="inlineStr">
        <is>
          <t>Moda</t>
        </is>
      </c>
    </row>
    <row r="2661">
      <c r="A2661" t="n">
        <v>2660</v>
      </c>
      <c r="B2661" t="inlineStr">
        <is>
          <t>A-5059__39</t>
        </is>
      </c>
      <c r="C2661" s="1" t="n">
        <v>37.2275052527</v>
      </c>
      <c r="D2661" s="1" t="n">
        <v>-7.06096101495</v>
      </c>
      <c r="E2661" s="3" t="n">
        <v>3</v>
      </c>
      <c r="F2661" s="2" t="n">
        <v>2</v>
      </c>
      <c r="G2661" s="4" t="n">
        <v>3</v>
      </c>
      <c r="H2661" s="13" t="n"/>
      <c r="I2661" s="15" t="n"/>
      <c r="J2661" s="19" t="n">
        <v>3</v>
      </c>
      <c r="K2661" s="2" t="inlineStr">
        <is>
          <t>marker_168_379304.png</t>
        </is>
      </c>
      <c r="L2661" s="11">
        <f>HYPERLINK("3\1\" &amp; K2661, "Ver Imagen")</f>
        <v/>
      </c>
      <c r="M2661" t="inlineStr">
        <is>
          <t>Moda</t>
        </is>
      </c>
    </row>
    <row r="2662">
      <c r="A2662" t="n">
        <v>2661</v>
      </c>
      <c r="B2662" t="inlineStr">
        <is>
          <t>A-5059__29</t>
        </is>
      </c>
      <c r="C2662" s="1" t="n">
        <v>37.2291018296</v>
      </c>
      <c r="D2662" s="1" t="n">
        <v>-7.06251964924</v>
      </c>
      <c r="E2662" s="3" t="n">
        <v>3</v>
      </c>
      <c r="F2662" s="2" t="n">
        <v>2</v>
      </c>
      <c r="G2662" s="4" t="n">
        <v>3</v>
      </c>
      <c r="H2662" s="13" t="n"/>
      <c r="I2662" s="15" t="n"/>
      <c r="J2662" s="19" t="n">
        <v>3</v>
      </c>
      <c r="K2662" s="2" t="inlineStr">
        <is>
          <t>marker_659_379413.png</t>
        </is>
      </c>
      <c r="L2662" s="11">
        <f>HYPERLINK("3\1\" &amp; K2662, "Ver Imagen")</f>
        <v/>
      </c>
      <c r="M2662" t="inlineStr">
        <is>
          <t>Moda</t>
        </is>
      </c>
    </row>
    <row r="2663">
      <c r="A2663" t="n">
        <v>2662</v>
      </c>
      <c r="B2663" t="inlineStr">
        <is>
          <t>A-5059__28</t>
        </is>
      </c>
      <c r="C2663" s="1" t="n">
        <v>37.2292179873</v>
      </c>
      <c r="D2663" s="1" t="n">
        <v>-7.06265153806</v>
      </c>
      <c r="E2663" s="3" t="n">
        <v>3</v>
      </c>
      <c r="F2663" s="2" t="n">
        <v>2</v>
      </c>
      <c r="G2663" s="4" t="n">
        <v>3</v>
      </c>
      <c r="H2663" s="13" t="n"/>
      <c r="I2663" s="15" t="n"/>
      <c r="J2663" s="19" t="n">
        <v>3</v>
      </c>
      <c r="K2663" s="2" t="inlineStr">
        <is>
          <t>marker_200_379421.png</t>
        </is>
      </c>
      <c r="L2663" s="11">
        <f>HYPERLINK("3\1\" &amp; K2663, "Ver Imagen")</f>
        <v/>
      </c>
      <c r="M2663" t="inlineStr">
        <is>
          <t>Moda</t>
        </is>
      </c>
    </row>
    <row r="2664">
      <c r="A2664" t="n">
        <v>2663</v>
      </c>
      <c r="B2664" t="inlineStr">
        <is>
          <t>A-5059__26</t>
        </is>
      </c>
      <c r="C2664" s="1" t="n">
        <v>37.229564045</v>
      </c>
      <c r="D2664" s="1" t="n">
        <v>-7.06298513213</v>
      </c>
      <c r="E2664" s="3" t="n">
        <v>3</v>
      </c>
      <c r="F2664" s="2" t="n">
        <v>2</v>
      </c>
      <c r="G2664" s="4" t="n">
        <v>3</v>
      </c>
      <c r="H2664" s="13" t="n"/>
      <c r="I2664" s="15" t="n"/>
      <c r="J2664" s="19" t="n">
        <v>3</v>
      </c>
      <c r="K2664" s="2" t="inlineStr">
        <is>
          <t>marker_428_379439.png</t>
        </is>
      </c>
      <c r="L2664" s="11">
        <f>HYPERLINK("3\1\" &amp; K2664, "Ver Imagen")</f>
        <v/>
      </c>
      <c r="M2664" t="inlineStr">
        <is>
          <t>Moda</t>
        </is>
      </c>
    </row>
    <row r="2665">
      <c r="A2665" t="n">
        <v>2664</v>
      </c>
      <c r="B2665" t="inlineStr">
        <is>
          <t>A-5059__24</t>
        </is>
      </c>
      <c r="C2665" s="1" t="n">
        <v>37.2299189473</v>
      </c>
      <c r="D2665" s="1" t="n">
        <v>-7.06320381309</v>
      </c>
      <c r="E2665" s="3" t="n">
        <v>3</v>
      </c>
      <c r="F2665" s="2" t="n">
        <v>2</v>
      </c>
      <c r="G2665" s="4" t="n">
        <v>3</v>
      </c>
      <c r="H2665" s="13" t="n"/>
      <c r="I2665" s="15" t="n"/>
      <c r="J2665" s="19" t="n">
        <v>3</v>
      </c>
      <c r="K2665" s="2" t="inlineStr">
        <is>
          <t>marker_780_379456.png</t>
        </is>
      </c>
      <c r="L2665" s="11">
        <f>HYPERLINK("3\1\" &amp; K2665, "Ver Imagen")</f>
        <v/>
      </c>
      <c r="M2665" t="inlineStr">
        <is>
          <t>Moda</t>
        </is>
      </c>
    </row>
    <row r="2666">
      <c r="A2666" t="n">
        <v>2665</v>
      </c>
      <c r="B2666" t="inlineStr">
        <is>
          <t>A-5059__23</t>
        </is>
      </c>
      <c r="C2666" s="1" t="n">
        <v>37.2301140629</v>
      </c>
      <c r="D2666" s="1" t="n">
        <v>-7.06327719973</v>
      </c>
      <c r="E2666" s="3" t="n">
        <v>3</v>
      </c>
      <c r="F2666" s="2" t="n">
        <v>2</v>
      </c>
      <c r="G2666" s="4" t="n">
        <v>3</v>
      </c>
      <c r="H2666" s="13" t="n"/>
      <c r="I2666" s="15" t="n"/>
      <c r="J2666" s="19" t="n">
        <v>3</v>
      </c>
      <c r="K2666" s="2" t="inlineStr">
        <is>
          <t>marker_225_379465.png</t>
        </is>
      </c>
      <c r="L2666" s="11">
        <f>HYPERLINK("3\1\" &amp; K2666, "Ver Imagen")</f>
        <v/>
      </c>
      <c r="M2666" t="inlineStr">
        <is>
          <t>Moda</t>
        </is>
      </c>
    </row>
    <row r="2667">
      <c r="A2667" t="n">
        <v>2666</v>
      </c>
      <c r="B2667" t="inlineStr">
        <is>
          <t>A-5059__15</t>
        </is>
      </c>
      <c r="C2667" s="1" t="n">
        <v>37.2316585589</v>
      </c>
      <c r="D2667" s="1" t="n">
        <v>-7.06382036103</v>
      </c>
      <c r="E2667" s="3" t="n">
        <v>3</v>
      </c>
      <c r="F2667" s="2" t="n">
        <v>2</v>
      </c>
      <c r="G2667" s="4" t="n">
        <v>3</v>
      </c>
      <c r="H2667" s="13" t="n"/>
      <c r="I2667" s="15" t="n"/>
      <c r="J2667" s="19" t="n">
        <v>3</v>
      </c>
      <c r="K2667" s="2" t="inlineStr">
        <is>
          <t>marker_719_379535.png</t>
        </is>
      </c>
      <c r="L2667" s="11">
        <f>HYPERLINK("3\1\" &amp; K2667, "Ver Imagen")</f>
        <v/>
      </c>
      <c r="M2667" t="inlineStr">
        <is>
          <t>Moda</t>
        </is>
      </c>
    </row>
    <row r="2668">
      <c r="A2668" t="n">
        <v>2667</v>
      </c>
      <c r="B2668" t="inlineStr">
        <is>
          <t>A-5059__14</t>
        </is>
      </c>
      <c r="C2668" s="1" t="n">
        <v>37.2318343022</v>
      </c>
      <c r="D2668" s="1" t="n">
        <v>-7.06396949358</v>
      </c>
      <c r="E2668" s="3" t="n">
        <v>3</v>
      </c>
      <c r="F2668" s="2" t="n">
        <v>2</v>
      </c>
      <c r="G2668" s="4" t="n">
        <v>3</v>
      </c>
      <c r="H2668" s="13" t="n"/>
      <c r="I2668" s="15" t="n"/>
      <c r="J2668" s="19" t="n">
        <v>3</v>
      </c>
      <c r="K2668" s="2" t="inlineStr">
        <is>
          <t>marker_345_379545.png</t>
        </is>
      </c>
      <c r="L2668" s="11">
        <f>HYPERLINK("3\1\" &amp; K2668, "Ver Imagen")</f>
        <v/>
      </c>
      <c r="M2668" t="inlineStr">
        <is>
          <t>Moda</t>
        </is>
      </c>
    </row>
    <row r="2669">
      <c r="A2669" t="n">
        <v>2668</v>
      </c>
      <c r="B2669" t="inlineStr">
        <is>
          <t>A-5059__10</t>
        </is>
      </c>
      <c r="C2669" s="1" t="n">
        <v>37.2324244609</v>
      </c>
      <c r="D2669" s="1" t="n">
        <v>-7.06465428539</v>
      </c>
      <c r="E2669" s="3" t="n">
        <v>3</v>
      </c>
      <c r="F2669" s="2" t="n">
        <v>2</v>
      </c>
      <c r="G2669" s="4" t="n">
        <v>3</v>
      </c>
      <c r="H2669" s="13" t="n"/>
      <c r="I2669" s="15" t="n"/>
      <c r="J2669" s="19" t="n">
        <v>3</v>
      </c>
      <c r="K2669" s="2" t="inlineStr">
        <is>
          <t>marker_509_379582.png</t>
        </is>
      </c>
      <c r="L2669" s="11">
        <f>HYPERLINK("3\1\" &amp; K2669, "Ver Imagen")</f>
        <v/>
      </c>
      <c r="M2669" t="inlineStr">
        <is>
          <t>Moda</t>
        </is>
      </c>
    </row>
    <row r="2670">
      <c r="A2670" t="n">
        <v>2669</v>
      </c>
      <c r="B2670" t="inlineStr">
        <is>
          <t>A-495__159</t>
        </is>
      </c>
      <c r="C2670" s="1" t="n">
        <v>37.4325030642</v>
      </c>
      <c r="D2670" s="1" t="n">
        <v>-7.06394380594</v>
      </c>
      <c r="E2670" s="3" t="n">
        <v>3</v>
      </c>
      <c r="F2670" s="2" t="n">
        <v>4</v>
      </c>
      <c r="G2670" s="4" t="n">
        <v>3</v>
      </c>
      <c r="H2670" s="13" t="n"/>
      <c r="I2670" s="15" t="n"/>
      <c r="J2670" s="19" t="n">
        <v>3</v>
      </c>
      <c r="K2670" s="2" t="inlineStr">
        <is>
          <t>marker_607_382792.png</t>
        </is>
      </c>
      <c r="L2670" s="11">
        <f>HYPERLINK("3\1\" &amp; K2670, "Ver Imagen")</f>
        <v/>
      </c>
      <c r="M2670" t="inlineStr">
        <is>
          <t>Moda</t>
        </is>
      </c>
    </row>
    <row r="2671">
      <c r="A2671" t="n">
        <v>2670</v>
      </c>
      <c r="B2671" t="inlineStr">
        <is>
          <t>A-5058__7</t>
        </is>
      </c>
      <c r="C2671" s="1" t="n">
        <v>37.2253212648</v>
      </c>
      <c r="D2671" s="1" t="n">
        <v>-7.02902489117</v>
      </c>
      <c r="E2671" s="3" t="n">
        <v>3</v>
      </c>
      <c r="F2671" s="2" t="n">
        <v>2</v>
      </c>
      <c r="G2671" s="4" t="n">
        <v>3</v>
      </c>
      <c r="H2671" s="13" t="n"/>
      <c r="I2671" s="15" t="n"/>
      <c r="J2671" s="19" t="n">
        <v>3</v>
      </c>
      <c r="K2671" s="2" t="inlineStr">
        <is>
          <t>marker_908_379881.png</t>
        </is>
      </c>
      <c r="L2671" s="11">
        <f>HYPERLINK("3\1\" &amp; K2671, "Ver Imagen")</f>
        <v/>
      </c>
      <c r="M2671" t="inlineStr">
        <is>
          <t>Moda</t>
        </is>
      </c>
    </row>
    <row r="2672">
      <c r="A2672" t="n">
        <v>2671</v>
      </c>
      <c r="B2672" t="inlineStr">
        <is>
          <t>A-5058__15</t>
        </is>
      </c>
      <c r="C2672" s="1" t="n">
        <v>37.22529838</v>
      </c>
      <c r="D2672" s="1" t="n">
        <v>-7.03106351334</v>
      </c>
      <c r="E2672" s="3" t="n">
        <v>3</v>
      </c>
      <c r="F2672" s="2" t="n">
        <v>2</v>
      </c>
      <c r="G2672" s="4" t="n">
        <v>3</v>
      </c>
      <c r="H2672" s="13" t="n"/>
      <c r="I2672" s="15" t="n"/>
      <c r="J2672" s="19" t="n">
        <v>3</v>
      </c>
      <c r="K2672" s="2" t="inlineStr">
        <is>
          <t>marker_351_379993.png</t>
        </is>
      </c>
      <c r="L2672" s="11">
        <f>HYPERLINK("3\1\" &amp; K2672, "Ver Imagen")</f>
        <v/>
      </c>
      <c r="M2672" t="inlineStr">
        <is>
          <t>Moda</t>
        </is>
      </c>
    </row>
    <row r="2673">
      <c r="A2673" t="n">
        <v>2672</v>
      </c>
      <c r="B2673" t="inlineStr">
        <is>
          <t>A-5058__25</t>
        </is>
      </c>
      <c r="C2673" s="1" t="n">
        <v>37.2249014309</v>
      </c>
      <c r="D2673" s="1" t="n">
        <v>-7.03352448463</v>
      </c>
      <c r="E2673" s="3" t="n">
        <v>3</v>
      </c>
      <c r="F2673" s="2" t="n">
        <v>2</v>
      </c>
      <c r="G2673" s="4" t="n">
        <v>3</v>
      </c>
      <c r="H2673" s="13" t="n"/>
      <c r="I2673" s="15" t="n"/>
      <c r="J2673" s="19" t="n">
        <v>3</v>
      </c>
      <c r="K2673" s="2" t="inlineStr">
        <is>
          <t>marker_366_380136.png</t>
        </is>
      </c>
      <c r="L2673" s="11">
        <f>HYPERLINK("3\1\" &amp; K2673, "Ver Imagen")</f>
        <v/>
      </c>
      <c r="M2673" t="inlineStr">
        <is>
          <t>Moda</t>
        </is>
      </c>
    </row>
    <row r="2674">
      <c r="A2674" t="n">
        <v>2673</v>
      </c>
      <c r="B2674" t="inlineStr">
        <is>
          <t>A-495__165</t>
        </is>
      </c>
      <c r="C2674" s="1" t="n">
        <v>37.4319012471</v>
      </c>
      <c r="D2674" s="1" t="n">
        <v>-7.06264011676</v>
      </c>
      <c r="E2674" s="3" t="n">
        <v>3</v>
      </c>
      <c r="F2674" s="2" t="n">
        <v>2</v>
      </c>
      <c r="G2674" s="4" t="n">
        <v>3</v>
      </c>
      <c r="H2674" s="13" t="n"/>
      <c r="I2674" s="15" t="n"/>
      <c r="J2674" s="19" t="n">
        <v>3</v>
      </c>
      <c r="K2674" s="2" t="inlineStr">
        <is>
          <t>marker_623_382864.png</t>
        </is>
      </c>
      <c r="L2674" s="11">
        <f>HYPERLINK("3\1\" &amp; K2674, "Ver Imagen")</f>
        <v/>
      </c>
      <c r="M2674" t="inlineStr">
        <is>
          <t>Moda</t>
        </is>
      </c>
    </row>
    <row r="2675">
      <c r="A2675" t="n">
        <v>2674</v>
      </c>
      <c r="B2675" t="inlineStr">
        <is>
          <t>A-5058__33</t>
        </is>
      </c>
      <c r="C2675" s="1" t="n">
        <v>37.2246419617</v>
      </c>
      <c r="D2675" s="1" t="n">
        <v>-7.03534079717</v>
      </c>
      <c r="E2675" s="3" t="n">
        <v>4</v>
      </c>
      <c r="F2675" s="2" t="n">
        <v>3</v>
      </c>
      <c r="G2675" s="4" t="n">
        <v>3</v>
      </c>
      <c r="H2675" s="13" t="n"/>
      <c r="I2675" s="15" t="n"/>
      <c r="J2675" s="19" t="n">
        <v>3</v>
      </c>
      <c r="K2675" s="2" t="inlineStr">
        <is>
          <t>marker_163_380223.png</t>
        </is>
      </c>
      <c r="L2675" s="11">
        <f>HYPERLINK("3\1\" &amp; K2675, "Ver Imagen")</f>
        <v/>
      </c>
      <c r="M2675" t="inlineStr">
        <is>
          <t>Moda</t>
        </is>
      </c>
    </row>
    <row r="2676">
      <c r="A2676" t="n">
        <v>2675</v>
      </c>
      <c r="B2676" t="inlineStr">
        <is>
          <t>A-5058__34</t>
        </is>
      </c>
      <c r="C2676" s="1" t="n">
        <v>37.2246513993</v>
      </c>
      <c r="D2676" s="1" t="n">
        <v>-7.03559923398</v>
      </c>
      <c r="E2676" s="3" t="n">
        <v>4</v>
      </c>
      <c r="F2676" s="2" t="n">
        <v>3</v>
      </c>
      <c r="G2676" s="4" t="n">
        <v>3</v>
      </c>
      <c r="H2676" s="13" t="n"/>
      <c r="I2676" s="15" t="n"/>
      <c r="J2676" s="19" t="n">
        <v>3</v>
      </c>
      <c r="K2676" s="2" t="inlineStr">
        <is>
          <t>marker_967_380234.png</t>
        </is>
      </c>
      <c r="L2676" s="11">
        <f>HYPERLINK("3\1\" &amp; K2676, "Ver Imagen")</f>
        <v/>
      </c>
      <c r="M2676" t="inlineStr">
        <is>
          <t>Moda</t>
        </is>
      </c>
    </row>
    <row r="2677">
      <c r="A2677" t="n">
        <v>2676</v>
      </c>
      <c r="B2677" t="inlineStr">
        <is>
          <t>A-5058__35</t>
        </is>
      </c>
      <c r="C2677" s="1" t="n">
        <v>37.2245859388</v>
      </c>
      <c r="D2677" s="1" t="n">
        <v>-7.03578806529</v>
      </c>
      <c r="E2677" s="3" t="n">
        <v>4</v>
      </c>
      <c r="F2677" s="2" t="n">
        <v>3</v>
      </c>
      <c r="G2677" s="4" t="n">
        <v>3</v>
      </c>
      <c r="H2677" s="13" t="n"/>
      <c r="I2677" s="15" t="n"/>
      <c r="J2677" s="19" t="n">
        <v>3</v>
      </c>
      <c r="K2677" s="2" t="inlineStr">
        <is>
          <t>marker_680_380244.png</t>
        </is>
      </c>
      <c r="L2677" s="11">
        <f>HYPERLINK("3\1\" &amp; K2677, "Ver Imagen")</f>
        <v/>
      </c>
      <c r="M2677" t="inlineStr">
        <is>
          <t>Moda</t>
        </is>
      </c>
    </row>
    <row r="2678">
      <c r="A2678" t="n">
        <v>2677</v>
      </c>
      <c r="B2678" t="inlineStr">
        <is>
          <t>A-5058__37</t>
        </is>
      </c>
      <c r="C2678" s="1" t="n">
        <v>37.2245641975</v>
      </c>
      <c r="D2678" s="1" t="n">
        <v>-7.03622661395</v>
      </c>
      <c r="E2678" s="3" t="n">
        <v>3</v>
      </c>
      <c r="F2678" s="2" t="n">
        <v>2</v>
      </c>
      <c r="G2678" s="4" t="n">
        <v>3</v>
      </c>
      <c r="H2678" s="13" t="n"/>
      <c r="I2678" s="15" t="n"/>
      <c r="J2678" s="19" t="n">
        <v>3</v>
      </c>
      <c r="K2678" s="2" t="inlineStr">
        <is>
          <t>marker_168_380265.png</t>
        </is>
      </c>
      <c r="L2678" s="11">
        <f>HYPERLINK("3\1\" &amp; K2678, "Ver Imagen")</f>
        <v/>
      </c>
      <c r="M2678" t="inlineStr">
        <is>
          <t>Moda</t>
        </is>
      </c>
    </row>
    <row r="2679">
      <c r="A2679" t="n">
        <v>2678</v>
      </c>
      <c r="B2679" t="inlineStr">
        <is>
          <t>A-5058__43</t>
        </is>
      </c>
      <c r="C2679" s="1" t="n">
        <v>37.2246361433</v>
      </c>
      <c r="D2679" s="1" t="n">
        <v>-7.03775202178</v>
      </c>
      <c r="E2679" s="3" t="n">
        <v>3</v>
      </c>
      <c r="F2679" s="2" t="n">
        <v>2</v>
      </c>
      <c r="G2679" s="4" t="n">
        <v>3</v>
      </c>
      <c r="H2679" s="13" t="n"/>
      <c r="I2679" s="15" t="n"/>
      <c r="J2679" s="19" t="n">
        <v>3</v>
      </c>
      <c r="K2679" s="2" t="inlineStr">
        <is>
          <t>marker_758_380453.png</t>
        </is>
      </c>
      <c r="L2679" s="11">
        <f>HYPERLINK("3\1\" &amp; K2679, "Ver Imagen")</f>
        <v/>
      </c>
      <c r="M2679" t="inlineStr">
        <is>
          <t>Moda</t>
        </is>
      </c>
    </row>
    <row r="2680">
      <c r="A2680" t="n">
        <v>2679</v>
      </c>
      <c r="B2680" t="inlineStr">
        <is>
          <t>A-5058__47</t>
        </is>
      </c>
      <c r="C2680" s="1" t="n">
        <v>37.2247203752</v>
      </c>
      <c r="D2680" s="1" t="n">
        <v>-7.03878133358</v>
      </c>
      <c r="E2680" s="3" t="n">
        <v>3</v>
      </c>
      <c r="F2680" s="2" t="n">
        <v>2</v>
      </c>
      <c r="G2680" s="4" t="n">
        <v>3</v>
      </c>
      <c r="H2680" s="13" t="n"/>
      <c r="I2680" s="15" t="n"/>
      <c r="J2680" s="19" t="n">
        <v>3</v>
      </c>
      <c r="K2680" s="2" t="inlineStr">
        <is>
          <t>marker_727_380501.png</t>
        </is>
      </c>
      <c r="L2680" s="11">
        <f>HYPERLINK("3\1\" &amp; K2680, "Ver Imagen")</f>
        <v/>
      </c>
      <c r="M2680" t="inlineStr">
        <is>
          <t>Moda</t>
        </is>
      </c>
    </row>
    <row r="2681">
      <c r="A2681" t="n">
        <v>2680</v>
      </c>
      <c r="B2681" t="inlineStr">
        <is>
          <t>A-5058__75</t>
        </is>
      </c>
      <c r="C2681" s="1" t="n">
        <v>37.2272443794</v>
      </c>
      <c r="D2681" s="1" t="n">
        <v>-7.04499389068</v>
      </c>
      <c r="E2681" s="3" t="n">
        <v>3</v>
      </c>
      <c r="F2681" s="2" t="n">
        <v>2</v>
      </c>
      <c r="G2681" s="4" t="n">
        <v>3</v>
      </c>
      <c r="H2681" s="13" t="n"/>
      <c r="I2681" s="15" t="n"/>
      <c r="J2681" s="19" t="n">
        <v>3</v>
      </c>
      <c r="K2681" s="2" t="inlineStr">
        <is>
          <t>marker_287_380809.png</t>
        </is>
      </c>
      <c r="L2681" s="11">
        <f>HYPERLINK("3\1\" &amp; K2681, "Ver Imagen")</f>
        <v/>
      </c>
      <c r="M2681" t="inlineStr">
        <is>
          <t>Moda</t>
        </is>
      </c>
    </row>
    <row r="2682">
      <c r="A2682" t="n">
        <v>2681</v>
      </c>
      <c r="B2682" t="inlineStr">
        <is>
          <t>A-5058__79</t>
        </is>
      </c>
      <c r="C2682" s="1" t="n">
        <v>37.2278936781</v>
      </c>
      <c r="D2682" s="1" t="n">
        <v>-7.04561506405</v>
      </c>
      <c r="E2682" s="3" t="n">
        <v>3</v>
      </c>
      <c r="F2682" s="2" t="n">
        <v>2</v>
      </c>
      <c r="G2682" s="4" t="n">
        <v>3</v>
      </c>
      <c r="H2682" s="13" t="n"/>
      <c r="I2682" s="15" t="n"/>
      <c r="J2682" s="19" t="n">
        <v>3</v>
      </c>
      <c r="K2682" s="2" t="inlineStr">
        <is>
          <t>marker_670_380848.png</t>
        </is>
      </c>
      <c r="L2682" s="11">
        <f>HYPERLINK("3\1\" &amp; K2682, "Ver Imagen")</f>
        <v/>
      </c>
      <c r="M2682" t="inlineStr">
        <is>
          <t>Moda</t>
        </is>
      </c>
    </row>
    <row r="2683">
      <c r="A2683" t="n">
        <v>2682</v>
      </c>
      <c r="B2683" t="inlineStr">
        <is>
          <t>A-5058__96</t>
        </is>
      </c>
      <c r="C2683" s="1" t="n">
        <v>37.2301085002</v>
      </c>
      <c r="D2683" s="1" t="n">
        <v>-7.04888743739</v>
      </c>
      <c r="E2683" s="3" t="n">
        <v>3</v>
      </c>
      <c r="F2683" s="2" t="n">
        <v>2</v>
      </c>
      <c r="G2683" s="4" t="n">
        <v>3</v>
      </c>
      <c r="H2683" s="13" t="n"/>
      <c r="I2683" s="15" t="n"/>
      <c r="J2683" s="19" t="n">
        <v>3</v>
      </c>
      <c r="K2683" s="2" t="inlineStr">
        <is>
          <t>marker_829_381071.png</t>
        </is>
      </c>
      <c r="L2683" s="11">
        <f>HYPERLINK("3\1\" &amp; K2683, "Ver Imagen")</f>
        <v/>
      </c>
      <c r="M2683" t="inlineStr">
        <is>
          <t>Moda</t>
        </is>
      </c>
    </row>
    <row r="2684">
      <c r="A2684" t="n">
        <v>2683</v>
      </c>
      <c r="B2684" t="inlineStr">
        <is>
          <t>A-5058__100</t>
        </is>
      </c>
      <c r="C2684" s="1" t="n">
        <v>37.2305920099</v>
      </c>
      <c r="D2684" s="1" t="n">
        <v>-7.04969849832</v>
      </c>
      <c r="E2684" s="3" t="n">
        <v>3</v>
      </c>
      <c r="F2684" s="2" t="n">
        <v>2</v>
      </c>
      <c r="G2684" s="4" t="n">
        <v>3</v>
      </c>
      <c r="H2684" s="13" t="n"/>
      <c r="I2684" s="15" t="n"/>
      <c r="J2684" s="19" t="n">
        <v>3</v>
      </c>
      <c r="K2684" s="2" t="inlineStr">
        <is>
          <t>marker_566_381110.png</t>
        </is>
      </c>
      <c r="L2684" s="11">
        <f>HYPERLINK("3\1\" &amp; K2684, "Ver Imagen")</f>
        <v/>
      </c>
      <c r="M2684" t="inlineStr">
        <is>
          <t>Moda</t>
        </is>
      </c>
    </row>
    <row r="2685">
      <c r="A2685" t="n">
        <v>2684</v>
      </c>
      <c r="B2685" t="inlineStr">
        <is>
          <t>A-5058__104</t>
        </is>
      </c>
      <c r="C2685" s="1" t="n">
        <v>37.2310554559</v>
      </c>
      <c r="D2685" s="1" t="n">
        <v>-7.05052152512</v>
      </c>
      <c r="E2685" s="3" t="n">
        <v>3</v>
      </c>
      <c r="F2685" s="2" t="n">
        <v>2</v>
      </c>
      <c r="G2685" s="4" t="n">
        <v>3</v>
      </c>
      <c r="H2685" s="13" t="n"/>
      <c r="I2685" s="15" t="n"/>
      <c r="J2685" s="19" t="n">
        <v>3</v>
      </c>
      <c r="K2685" s="2" t="inlineStr">
        <is>
          <t>marker_734_381168.png</t>
        </is>
      </c>
      <c r="L2685" s="11">
        <f>HYPERLINK("3\1\" &amp; K2685, "Ver Imagen")</f>
        <v/>
      </c>
      <c r="M2685" t="inlineStr">
        <is>
          <t>Moda</t>
        </is>
      </c>
    </row>
    <row r="2686">
      <c r="A2686" t="n">
        <v>2685</v>
      </c>
      <c r="B2686" t="inlineStr">
        <is>
          <t>A-5058__107</t>
        </is>
      </c>
      <c r="C2686" s="1" t="n">
        <v>37.2313915726</v>
      </c>
      <c r="D2686" s="1" t="n">
        <v>-7.05116061492</v>
      </c>
      <c r="E2686" s="3" t="n">
        <v>3</v>
      </c>
      <c r="F2686" s="2" t="n">
        <v>2</v>
      </c>
      <c r="G2686" s="4" t="n">
        <v>3</v>
      </c>
      <c r="H2686" s="13" t="n"/>
      <c r="I2686" s="15" t="n"/>
      <c r="J2686" s="19" t="n">
        <v>3</v>
      </c>
      <c r="K2686" s="2" t="inlineStr">
        <is>
          <t>marker_230_381210.png</t>
        </is>
      </c>
      <c r="L2686" s="11">
        <f>HYPERLINK("3\1\" &amp; K2686, "Ver Imagen")</f>
        <v/>
      </c>
      <c r="M2686" t="inlineStr">
        <is>
          <t>Moda</t>
        </is>
      </c>
    </row>
    <row r="2687">
      <c r="A2687" t="n">
        <v>2686</v>
      </c>
      <c r="B2687" t="inlineStr">
        <is>
          <t>A-5058__109</t>
        </is>
      </c>
      <c r="C2687" s="1" t="n">
        <v>37.2316183436</v>
      </c>
      <c r="D2687" s="1" t="n">
        <v>-7.05158792047</v>
      </c>
      <c r="E2687" s="3" t="n">
        <v>3</v>
      </c>
      <c r="F2687" s="2" t="n">
        <v>2</v>
      </c>
      <c r="G2687" s="4" t="n">
        <v>3</v>
      </c>
      <c r="H2687" s="13" t="n"/>
      <c r="I2687" s="15" t="n"/>
      <c r="J2687" s="19" t="n">
        <v>3</v>
      </c>
      <c r="K2687" s="2" t="inlineStr">
        <is>
          <t>marker_198_381229.png</t>
        </is>
      </c>
      <c r="L2687" s="11">
        <f>HYPERLINK("3\1\" &amp; K2687, "Ver Imagen")</f>
        <v/>
      </c>
      <c r="M2687" t="inlineStr">
        <is>
          <t>Moda</t>
        </is>
      </c>
    </row>
    <row r="2688">
      <c r="A2688" t="n">
        <v>2687</v>
      </c>
      <c r="B2688" t="inlineStr">
        <is>
          <t>A-5058__110</t>
        </is>
      </c>
      <c r="C2688" s="1" t="n">
        <v>37.231734164</v>
      </c>
      <c r="D2688" s="1" t="n">
        <v>-7.05179831323</v>
      </c>
      <c r="E2688" s="3" t="n">
        <v>3</v>
      </c>
      <c r="F2688" s="2" t="n">
        <v>2</v>
      </c>
      <c r="G2688" s="4" t="n">
        <v>3</v>
      </c>
      <c r="H2688" s="13" t="n"/>
      <c r="I2688" s="15" t="n"/>
      <c r="J2688" s="19" t="n">
        <v>3</v>
      </c>
      <c r="K2688" s="2" t="inlineStr">
        <is>
          <t>marker_886_381240.png</t>
        </is>
      </c>
      <c r="L2688" s="11">
        <f>HYPERLINK("3\1\" &amp; K2688, "Ver Imagen")</f>
        <v/>
      </c>
      <c r="M2688" t="inlineStr">
        <is>
          <t>Moda</t>
        </is>
      </c>
    </row>
    <row r="2689">
      <c r="A2689" t="n">
        <v>2688</v>
      </c>
      <c r="B2689" t="inlineStr">
        <is>
          <t>A-5058__112</t>
        </is>
      </c>
      <c r="C2689" s="1" t="n">
        <v>37.2319482292</v>
      </c>
      <c r="D2689" s="1" t="n">
        <v>-7.05220056718</v>
      </c>
      <c r="E2689" s="3" t="n">
        <v>3</v>
      </c>
      <c r="F2689" s="2" t="n">
        <v>2</v>
      </c>
      <c r="G2689" s="4" t="n">
        <v>3</v>
      </c>
      <c r="H2689" s="13" t="n"/>
      <c r="I2689" s="15" t="n"/>
      <c r="J2689" s="19" t="n">
        <v>3</v>
      </c>
      <c r="K2689" s="2" t="inlineStr">
        <is>
          <t>marker_280_381261.png</t>
        </is>
      </c>
      <c r="L2689" s="11">
        <f>HYPERLINK("3\1\" &amp; K2689, "Ver Imagen")</f>
        <v/>
      </c>
      <c r="M2689" t="inlineStr">
        <is>
          <t>Moda</t>
        </is>
      </c>
    </row>
    <row r="2690">
      <c r="A2690" t="n">
        <v>2689</v>
      </c>
      <c r="B2690" t="inlineStr">
        <is>
          <t>A-5058__113</t>
        </is>
      </c>
      <c r="C2690" s="1" t="n">
        <v>37.2320705796</v>
      </c>
      <c r="D2690" s="1" t="n">
        <v>-7.0524309908</v>
      </c>
      <c r="E2690" s="3" t="n">
        <v>3</v>
      </c>
      <c r="F2690" s="2" t="n">
        <v>2</v>
      </c>
      <c r="G2690" s="4" t="n">
        <v>3</v>
      </c>
      <c r="H2690" s="13" t="n"/>
      <c r="I2690" s="15" t="n"/>
      <c r="J2690" s="19" t="n">
        <v>3</v>
      </c>
      <c r="K2690" s="2" t="inlineStr">
        <is>
          <t>marker_702_381271.png</t>
        </is>
      </c>
      <c r="L2690" s="11">
        <f>HYPERLINK("3\1\" &amp; K2690, "Ver Imagen")</f>
        <v/>
      </c>
      <c r="M2690" t="inlineStr">
        <is>
          <t>Moda</t>
        </is>
      </c>
    </row>
    <row r="2691">
      <c r="A2691" t="n">
        <v>2690</v>
      </c>
      <c r="B2691" t="inlineStr">
        <is>
          <t>A-5058__116</t>
        </is>
      </c>
      <c r="C2691" s="1" t="n">
        <v>37.232401727</v>
      </c>
      <c r="D2691" s="1" t="n">
        <v>-7.05303989822</v>
      </c>
      <c r="E2691" s="3" t="n">
        <v>3</v>
      </c>
      <c r="F2691" s="2" t="n">
        <v>2</v>
      </c>
      <c r="G2691" s="4" t="n">
        <v>3</v>
      </c>
      <c r="H2691" s="13" t="n"/>
      <c r="I2691" s="15" t="n"/>
      <c r="J2691" s="19" t="n">
        <v>3</v>
      </c>
      <c r="K2691" s="2" t="inlineStr">
        <is>
          <t>marker_698_381305.png</t>
        </is>
      </c>
      <c r="L2691" s="11">
        <f>HYPERLINK("3\1\" &amp; K2691, "Ver Imagen")</f>
        <v/>
      </c>
      <c r="M2691" t="inlineStr">
        <is>
          <t>Moda</t>
        </is>
      </c>
    </row>
    <row r="2692">
      <c r="A2692" t="n">
        <v>2691</v>
      </c>
      <c r="B2692" t="inlineStr">
        <is>
          <t>A-5058__124</t>
        </is>
      </c>
      <c r="C2692" s="1" t="n">
        <v>37.2331512416</v>
      </c>
      <c r="D2692" s="1" t="n">
        <v>-7.05486215374</v>
      </c>
      <c r="E2692" s="3" t="n">
        <v>3</v>
      </c>
      <c r="F2692" s="2" t="n">
        <v>2</v>
      </c>
      <c r="G2692" s="4" t="n">
        <v>3</v>
      </c>
      <c r="H2692" s="13" t="n"/>
      <c r="I2692" s="15" t="n"/>
      <c r="J2692" s="19" t="n">
        <v>3</v>
      </c>
      <c r="K2692" s="2" t="inlineStr">
        <is>
          <t>marker_245_381378.png</t>
        </is>
      </c>
      <c r="L2692" s="11">
        <f>HYPERLINK("3\1\" &amp; K2692, "Ver Imagen")</f>
        <v/>
      </c>
      <c r="M2692" t="inlineStr">
        <is>
          <t>Moda</t>
        </is>
      </c>
    </row>
    <row r="2693">
      <c r="A2693" t="n">
        <v>2692</v>
      </c>
      <c r="B2693" t="inlineStr">
        <is>
          <t>A-5058__128</t>
        </is>
      </c>
      <c r="C2693" s="1" t="n">
        <v>37.2333967899</v>
      </c>
      <c r="D2693" s="1" t="n">
        <v>-7.05580807744</v>
      </c>
      <c r="E2693" s="3" t="n">
        <v>3</v>
      </c>
      <c r="F2693" s="2" t="n">
        <v>2</v>
      </c>
      <c r="G2693" s="4" t="n">
        <v>3</v>
      </c>
      <c r="H2693" s="13" t="n"/>
      <c r="I2693" s="15" t="n"/>
      <c r="J2693" s="19" t="n">
        <v>3</v>
      </c>
      <c r="K2693" s="2" t="inlineStr">
        <is>
          <t>marker_407_381434.png</t>
        </is>
      </c>
      <c r="L2693" s="11">
        <f>HYPERLINK("3\1\" &amp; K2693, "Ver Imagen")</f>
        <v/>
      </c>
      <c r="M2693" t="inlineStr">
        <is>
          <t>Moda</t>
        </is>
      </c>
    </row>
    <row r="2694">
      <c r="A2694" t="n">
        <v>2693</v>
      </c>
      <c r="B2694" t="inlineStr">
        <is>
          <t>A-5058__130</t>
        </is>
      </c>
      <c r="C2694" s="1" t="n">
        <v>37.2335264427</v>
      </c>
      <c r="D2694" s="1" t="n">
        <v>-7.05630407982</v>
      </c>
      <c r="E2694" s="3" t="n">
        <v>3</v>
      </c>
      <c r="F2694" s="2" t="n">
        <v>2</v>
      </c>
      <c r="G2694" s="4" t="n">
        <v>3</v>
      </c>
      <c r="H2694" s="13" t="n"/>
      <c r="I2694" s="15" t="n"/>
      <c r="J2694" s="19" t="n">
        <v>3</v>
      </c>
      <c r="K2694" s="2" t="inlineStr">
        <is>
          <t>marker_907_381456.png</t>
        </is>
      </c>
      <c r="L2694" s="11">
        <f>HYPERLINK("3\1\" &amp; K2694, "Ver Imagen")</f>
        <v/>
      </c>
      <c r="M2694" t="inlineStr">
        <is>
          <t>Moda</t>
        </is>
      </c>
    </row>
    <row r="2695">
      <c r="A2695" t="n">
        <v>2694</v>
      </c>
      <c r="B2695" t="inlineStr">
        <is>
          <t>A-5058__136</t>
        </is>
      </c>
      <c r="C2695" s="1" t="n">
        <v>37.2339031405</v>
      </c>
      <c r="D2695" s="1" t="n">
        <v>-7.05774442115</v>
      </c>
      <c r="E2695" s="3" t="n">
        <v>3</v>
      </c>
      <c r="F2695" s="2" t="n">
        <v>2</v>
      </c>
      <c r="G2695" s="4" t="n">
        <v>3</v>
      </c>
      <c r="H2695" s="13" t="n"/>
      <c r="I2695" s="15" t="n"/>
      <c r="J2695" s="19" t="n">
        <v>3</v>
      </c>
      <c r="K2695" s="2" t="inlineStr">
        <is>
          <t>marker_826_381527.png</t>
        </is>
      </c>
      <c r="L2695" s="11">
        <f>HYPERLINK("3\1\" &amp; K2695, "Ver Imagen")</f>
        <v/>
      </c>
      <c r="M2695" t="inlineStr">
        <is>
          <t>Moda</t>
        </is>
      </c>
    </row>
    <row r="2696">
      <c r="A2696" t="n">
        <v>2695</v>
      </c>
      <c r="B2696" t="inlineStr">
        <is>
          <t>A-5058__137</t>
        </is>
      </c>
      <c r="C2696" s="1" t="n">
        <v>37.2339570955</v>
      </c>
      <c r="D2696" s="1" t="n">
        <v>-7.05798208228</v>
      </c>
      <c r="E2696" s="3" t="n">
        <v>3</v>
      </c>
      <c r="F2696" s="2" t="n">
        <v>2</v>
      </c>
      <c r="G2696" s="4" t="n">
        <v>3</v>
      </c>
      <c r="H2696" s="13" t="n"/>
      <c r="I2696" s="15" t="n"/>
      <c r="J2696" s="19" t="n">
        <v>3</v>
      </c>
      <c r="K2696" s="2" t="inlineStr">
        <is>
          <t>marker_624_381537.png</t>
        </is>
      </c>
      <c r="L2696" s="11">
        <f>HYPERLINK("3\1\" &amp; K2696, "Ver Imagen")</f>
        <v/>
      </c>
      <c r="M2696" t="inlineStr">
        <is>
          <t>Moda</t>
        </is>
      </c>
    </row>
    <row r="2697">
      <c r="A2697" t="n">
        <v>2696</v>
      </c>
      <c r="B2697" t="inlineStr">
        <is>
          <t>A-5058__138</t>
        </is>
      </c>
      <c r="C2697" s="1" t="n">
        <v>37.2340128804</v>
      </c>
      <c r="D2697" s="1" t="n">
        <v>-7.05825284693</v>
      </c>
      <c r="E2697" s="3" t="n">
        <v>3</v>
      </c>
      <c r="F2697" s="2" t="n">
        <v>2</v>
      </c>
      <c r="G2697" s="4" t="n">
        <v>3</v>
      </c>
      <c r="H2697" s="13" t="n"/>
      <c r="I2697" s="15" t="n"/>
      <c r="J2697" s="19" t="n">
        <v>3</v>
      </c>
      <c r="K2697" s="2" t="inlineStr">
        <is>
          <t>marker_262_381552.png</t>
        </is>
      </c>
      <c r="L2697" s="11">
        <f>HYPERLINK("3\1\" &amp; K2697, "Ver Imagen")</f>
        <v/>
      </c>
      <c r="M2697" t="inlineStr">
        <is>
          <t>Moda</t>
        </is>
      </c>
    </row>
    <row r="2698">
      <c r="A2698" t="n">
        <v>2697</v>
      </c>
      <c r="B2698" t="inlineStr">
        <is>
          <t>A-5058__139</t>
        </is>
      </c>
      <c r="C2698" s="1" t="n">
        <v>37.2340552381</v>
      </c>
      <c r="D2698" s="1" t="n">
        <v>-7.05848485213</v>
      </c>
      <c r="E2698" s="3" t="n">
        <v>3</v>
      </c>
      <c r="F2698" s="2" t="n">
        <v>2</v>
      </c>
      <c r="G2698" s="4" t="n">
        <v>3</v>
      </c>
      <c r="H2698" s="13" t="n"/>
      <c r="I2698" s="15" t="n"/>
      <c r="J2698" s="19" t="n">
        <v>3</v>
      </c>
      <c r="K2698" s="2" t="inlineStr">
        <is>
          <t>marker_494_381561.png</t>
        </is>
      </c>
      <c r="L2698" s="11">
        <f>HYPERLINK("3\1\" &amp; K2698, "Ver Imagen")</f>
        <v/>
      </c>
      <c r="M2698" t="inlineStr">
        <is>
          <t>Moda</t>
        </is>
      </c>
    </row>
    <row r="2699">
      <c r="A2699" t="n">
        <v>2698</v>
      </c>
      <c r="B2699" t="inlineStr">
        <is>
          <t>A-5058__142</t>
        </is>
      </c>
      <c r="C2699" s="1" t="n">
        <v>37.2341322923</v>
      </c>
      <c r="D2699" s="1" t="n">
        <v>-7.0592410957</v>
      </c>
      <c r="E2699" s="3" t="n">
        <v>3</v>
      </c>
      <c r="F2699" s="2" t="n">
        <v>2</v>
      </c>
      <c r="G2699" s="4" t="n">
        <v>3</v>
      </c>
      <c r="H2699" s="13" t="n"/>
      <c r="I2699" s="15" t="n"/>
      <c r="J2699" s="19" t="n">
        <v>3</v>
      </c>
      <c r="K2699" s="2" t="inlineStr">
        <is>
          <t>marker_718_381605.png</t>
        </is>
      </c>
      <c r="L2699" s="11">
        <f>HYPERLINK("3\1\" &amp; K2699, "Ver Imagen")</f>
        <v/>
      </c>
      <c r="M2699" t="inlineStr">
        <is>
          <t>Moda</t>
        </is>
      </c>
    </row>
    <row r="2700">
      <c r="A2700" t="n">
        <v>2699</v>
      </c>
      <c r="B2700" t="inlineStr">
        <is>
          <t>A-5058__146</t>
        </is>
      </c>
      <c r="C2700" s="1" t="n">
        <v>37.2341301235</v>
      </c>
      <c r="D2700" s="1" t="n">
        <v>-7.06025955077</v>
      </c>
      <c r="E2700" s="3" t="n">
        <v>3</v>
      </c>
      <c r="F2700" s="2" t="n">
        <v>2</v>
      </c>
      <c r="G2700" s="4" t="n">
        <v>3</v>
      </c>
      <c r="H2700" s="13" t="n"/>
      <c r="I2700" s="15" t="n"/>
      <c r="J2700" s="19" t="n">
        <v>3</v>
      </c>
      <c r="K2700" s="2" t="inlineStr">
        <is>
          <t>marker_152_381655.png</t>
        </is>
      </c>
      <c r="L2700" s="11">
        <f>HYPERLINK("3\1\" &amp; K2700, "Ver Imagen")</f>
        <v/>
      </c>
      <c r="M2700" t="inlineStr">
        <is>
          <t>Moda</t>
        </is>
      </c>
    </row>
    <row r="2701">
      <c r="A2701" t="n">
        <v>2700</v>
      </c>
      <c r="B2701" t="inlineStr">
        <is>
          <t>A-5058__147</t>
        </is>
      </c>
      <c r="C2701" s="1" t="n">
        <v>37.2341269567</v>
      </c>
      <c r="D2701" s="1" t="n">
        <v>-7.06051110013</v>
      </c>
      <c r="E2701" s="3" t="n">
        <v>3</v>
      </c>
      <c r="F2701" s="2" t="n">
        <v>2</v>
      </c>
      <c r="G2701" s="4" t="n">
        <v>3</v>
      </c>
      <c r="H2701" s="13" t="n"/>
      <c r="I2701" s="15" t="n"/>
      <c r="J2701" s="19" t="n">
        <v>3</v>
      </c>
      <c r="K2701" s="2" t="inlineStr">
        <is>
          <t>marker_498_381665.png</t>
        </is>
      </c>
      <c r="L2701" s="11">
        <f>HYPERLINK("3\1\" &amp; K2701, "Ver Imagen")</f>
        <v/>
      </c>
      <c r="M2701" t="inlineStr">
        <is>
          <t>Moda</t>
        </is>
      </c>
    </row>
    <row r="2702">
      <c r="A2702" t="n">
        <v>2701</v>
      </c>
      <c r="B2702" t="inlineStr">
        <is>
          <t>A-5058__148</t>
        </is>
      </c>
      <c r="C2702" s="1" t="n">
        <v>37.2341233368</v>
      </c>
      <c r="D2702" s="1" t="n">
        <v>-7.06076711427</v>
      </c>
      <c r="E2702" s="3" t="n">
        <v>3</v>
      </c>
      <c r="F2702" s="2" t="n">
        <v>2</v>
      </c>
      <c r="G2702" s="4" t="n">
        <v>3</v>
      </c>
      <c r="H2702" s="13" t="n"/>
      <c r="I2702" s="15" t="n"/>
      <c r="J2702" s="19" t="n">
        <v>3</v>
      </c>
      <c r="K2702" s="2" t="inlineStr">
        <is>
          <t>marker_636_381682.png</t>
        </is>
      </c>
      <c r="L2702" s="11">
        <f>HYPERLINK("3\1\" &amp; K2702, "Ver Imagen")</f>
        <v/>
      </c>
      <c r="M2702" t="inlineStr">
        <is>
          <t>Moda</t>
        </is>
      </c>
    </row>
    <row r="2703">
      <c r="A2703" t="n">
        <v>2702</v>
      </c>
      <c r="B2703" t="inlineStr">
        <is>
          <t>A-5058__150</t>
        </is>
      </c>
      <c r="C2703" s="1" t="n">
        <v>37.2341152455</v>
      </c>
      <c r="D2703" s="1" t="n">
        <v>-7.06127767845</v>
      </c>
      <c r="E2703" s="3" t="n">
        <v>3</v>
      </c>
      <c r="F2703" s="2" t="n">
        <v>4</v>
      </c>
      <c r="G2703" s="4" t="n">
        <v>3</v>
      </c>
      <c r="H2703" s="13" t="n"/>
      <c r="I2703" s="15" t="n"/>
      <c r="J2703" s="19" t="n">
        <v>3</v>
      </c>
      <c r="K2703" s="2" t="inlineStr">
        <is>
          <t>marker_417_381707.png</t>
        </is>
      </c>
      <c r="L2703" s="11">
        <f>HYPERLINK("3\1\" &amp; K2703, "Ver Imagen")</f>
        <v/>
      </c>
      <c r="M2703" t="inlineStr">
        <is>
          <t>Moda</t>
        </is>
      </c>
    </row>
    <row r="2704">
      <c r="A2704" t="n">
        <v>2703</v>
      </c>
      <c r="B2704" t="inlineStr">
        <is>
          <t>A-5058__163</t>
        </is>
      </c>
      <c r="C2704" s="1" t="n">
        <v>37.2340050016</v>
      </c>
      <c r="D2704" s="1" t="n">
        <v>-7.06457878382</v>
      </c>
      <c r="E2704" s="3" t="n">
        <v>3</v>
      </c>
      <c r="F2704" s="2" t="n">
        <v>2</v>
      </c>
      <c r="G2704" s="4" t="n">
        <v>3</v>
      </c>
      <c r="H2704" s="13" t="n"/>
      <c r="I2704" s="15" t="n"/>
      <c r="J2704" s="19" t="n">
        <v>3</v>
      </c>
      <c r="K2704" s="2" t="inlineStr">
        <is>
          <t>marker_401_381857.png</t>
        </is>
      </c>
      <c r="L2704" s="11">
        <f>HYPERLINK("3\1\" &amp; K2704, "Ver Imagen")</f>
        <v/>
      </c>
      <c r="M2704" t="inlineStr">
        <is>
          <t>Moda</t>
        </is>
      </c>
    </row>
    <row r="2705">
      <c r="A2705" t="n">
        <v>2704</v>
      </c>
      <c r="B2705" t="inlineStr">
        <is>
          <t>A-5058__178</t>
        </is>
      </c>
      <c r="C2705" s="1" t="n">
        <v>37.2335949639</v>
      </c>
      <c r="D2705" s="1" t="n">
        <v>-7.06812048407</v>
      </c>
      <c r="E2705" s="3" t="n">
        <v>3</v>
      </c>
      <c r="F2705" s="2" t="n">
        <v>2</v>
      </c>
      <c r="G2705" s="4" t="n">
        <v>3</v>
      </c>
      <c r="H2705" s="13" t="n"/>
      <c r="I2705" s="15" t="n"/>
      <c r="J2705" s="19" t="n">
        <v>3</v>
      </c>
      <c r="K2705" s="2" t="inlineStr">
        <is>
          <t>marker_484_382516.png</t>
        </is>
      </c>
      <c r="L2705" s="11">
        <f>HYPERLINK("3\1\" &amp; K2705, "Ver Imagen")</f>
        <v/>
      </c>
      <c r="M2705" t="inlineStr">
        <is>
          <t>Moda</t>
        </is>
      </c>
    </row>
    <row r="2706">
      <c r="A2706" t="n">
        <v>2705</v>
      </c>
      <c r="B2706" t="inlineStr">
        <is>
          <t>A-5058__179</t>
        </is>
      </c>
      <c r="C2706" s="1" t="n">
        <v>37.2336381649</v>
      </c>
      <c r="D2706" s="1" t="n">
        <v>-7.06835329637</v>
      </c>
      <c r="E2706" s="3" t="n">
        <v>3</v>
      </c>
      <c r="F2706" s="2" t="n">
        <v>2</v>
      </c>
      <c r="G2706" s="4" t="n">
        <v>3</v>
      </c>
      <c r="H2706" s="13" t="n"/>
      <c r="I2706" s="15" t="n"/>
      <c r="J2706" s="19" t="n">
        <v>3</v>
      </c>
      <c r="K2706" s="2" t="inlineStr">
        <is>
          <t>marker_261_382527.png</t>
        </is>
      </c>
      <c r="L2706" s="11">
        <f>HYPERLINK("3\1\" &amp; K2706, "Ver Imagen")</f>
        <v/>
      </c>
      <c r="M2706" t="inlineStr">
        <is>
          <t>Moda</t>
        </is>
      </c>
    </row>
    <row r="2707">
      <c r="A2707" t="n">
        <v>2706</v>
      </c>
      <c r="B2707" t="inlineStr">
        <is>
          <t>A-5058__182</t>
        </is>
      </c>
      <c r="C2707" s="1" t="n">
        <v>37.2338436067</v>
      </c>
      <c r="D2707" s="1" t="n">
        <v>-7.06911803477</v>
      </c>
      <c r="E2707" s="3" t="n">
        <v>3</v>
      </c>
      <c r="F2707" s="2" t="n">
        <v>2</v>
      </c>
      <c r="G2707" s="4" t="n">
        <v>3</v>
      </c>
      <c r="H2707" s="13" t="n"/>
      <c r="I2707" s="15" t="n"/>
      <c r="J2707" s="19" t="n">
        <v>3</v>
      </c>
      <c r="K2707" s="2" t="inlineStr">
        <is>
          <t>marker_303_382680.png</t>
        </is>
      </c>
      <c r="L2707" s="11">
        <f>HYPERLINK("3\1\" &amp; K2707, "Ver Imagen")</f>
        <v/>
      </c>
      <c r="M2707" t="inlineStr">
        <is>
          <t>Moda</t>
        </is>
      </c>
    </row>
    <row r="2708">
      <c r="A2708" t="n">
        <v>2707</v>
      </c>
      <c r="B2708" t="inlineStr">
        <is>
          <t>A-5058__183</t>
        </is>
      </c>
      <c r="C2708" s="1" t="n">
        <v>37.2338988354</v>
      </c>
      <c r="D2708" s="1" t="n">
        <v>-7.06931600543</v>
      </c>
      <c r="E2708" s="3" t="n">
        <v>3</v>
      </c>
      <c r="F2708" s="2" t="n">
        <v>2</v>
      </c>
      <c r="G2708" s="4" t="n">
        <v>3</v>
      </c>
      <c r="H2708" s="13" t="n"/>
      <c r="I2708" s="15" t="n"/>
      <c r="J2708" s="19" t="n">
        <v>3</v>
      </c>
      <c r="K2708" s="2" t="inlineStr">
        <is>
          <t>marker_459_382697.png</t>
        </is>
      </c>
      <c r="L2708" s="11">
        <f>HYPERLINK("3\1\" &amp; K2708, "Ver Imagen")</f>
        <v/>
      </c>
      <c r="M2708" t="inlineStr">
        <is>
          <t>Moda</t>
        </is>
      </c>
    </row>
    <row r="2709">
      <c r="A2709" t="n">
        <v>2708</v>
      </c>
      <c r="B2709" t="inlineStr">
        <is>
          <t>A-5058__185</t>
        </is>
      </c>
      <c r="C2709" s="1" t="n">
        <v>37.234041053</v>
      </c>
      <c r="D2709" s="1" t="n">
        <v>-7.06982005252</v>
      </c>
      <c r="E2709" s="3" t="n">
        <v>3</v>
      </c>
      <c r="F2709" s="2" t="n">
        <v>2</v>
      </c>
      <c r="G2709" s="4" t="n">
        <v>3</v>
      </c>
      <c r="H2709" s="13" t="n"/>
      <c r="I2709" s="15" t="n"/>
      <c r="J2709" s="19" t="n">
        <v>3</v>
      </c>
      <c r="K2709" s="2" t="inlineStr">
        <is>
          <t>marker_450_382727.png</t>
        </is>
      </c>
      <c r="L2709" s="11">
        <f>HYPERLINK("3\1\" &amp; K2709, "Ver Imagen")</f>
        <v/>
      </c>
      <c r="M2709" t="inlineStr">
        <is>
          <t>Moda</t>
        </is>
      </c>
    </row>
    <row r="2710">
      <c r="A2710" t="n">
        <v>2709</v>
      </c>
      <c r="B2710" t="inlineStr">
        <is>
          <t>A-5058__186</t>
        </is>
      </c>
      <c r="C2710" s="1" t="n">
        <v>37.2341035785</v>
      </c>
      <c r="D2710" s="1" t="n">
        <v>-7.07004137059</v>
      </c>
      <c r="E2710" s="3" t="n">
        <v>3</v>
      </c>
      <c r="F2710" s="2" t="n">
        <v>2</v>
      </c>
      <c r="G2710" s="4" t="n">
        <v>3</v>
      </c>
      <c r="H2710" s="13" t="n"/>
      <c r="I2710" s="15" t="n"/>
      <c r="J2710" s="19" t="n">
        <v>3</v>
      </c>
      <c r="K2710" s="2" t="inlineStr">
        <is>
          <t>marker_357_382737.png</t>
        </is>
      </c>
      <c r="L2710" s="11">
        <f>HYPERLINK("3\1\" &amp; K2710, "Ver Imagen")</f>
        <v/>
      </c>
      <c r="M2710" t="inlineStr">
        <is>
          <t>Moda</t>
        </is>
      </c>
    </row>
    <row r="2711">
      <c r="A2711" t="n">
        <v>2710</v>
      </c>
      <c r="B2711" t="inlineStr">
        <is>
          <t>A-5058__190</t>
        </is>
      </c>
      <c r="C2711" s="1" t="n">
        <v>37.2343763392</v>
      </c>
      <c r="D2711" s="1" t="n">
        <v>-7.07101437228</v>
      </c>
      <c r="E2711" s="3" t="n">
        <v>3</v>
      </c>
      <c r="F2711" s="2" t="n">
        <v>2</v>
      </c>
      <c r="G2711" s="4" t="n">
        <v>3</v>
      </c>
      <c r="H2711" s="13" t="n"/>
      <c r="I2711" s="15" t="n"/>
      <c r="J2711" s="19" t="n">
        <v>3</v>
      </c>
      <c r="K2711" s="2" t="inlineStr">
        <is>
          <t>marker_432_382780.png</t>
        </is>
      </c>
      <c r="L2711" s="11">
        <f>HYPERLINK("3\1\" &amp; K2711, "Ver Imagen")</f>
        <v/>
      </c>
      <c r="M2711" t="inlineStr">
        <is>
          <t>Moda</t>
        </is>
      </c>
    </row>
    <row r="2712">
      <c r="A2712" t="n">
        <v>2711</v>
      </c>
      <c r="B2712" t="inlineStr">
        <is>
          <t>A-5058__191</t>
        </is>
      </c>
      <c r="C2712" s="1" t="n">
        <v>37.2344372106</v>
      </c>
      <c r="D2712" s="1" t="n">
        <v>-7.07123328254</v>
      </c>
      <c r="E2712" s="3" t="n">
        <v>3</v>
      </c>
      <c r="F2712" s="2" t="n">
        <v>2</v>
      </c>
      <c r="G2712" s="4" t="n">
        <v>3</v>
      </c>
      <c r="H2712" s="13" t="n"/>
      <c r="I2712" s="15" t="n"/>
      <c r="J2712" s="19" t="n">
        <v>3</v>
      </c>
      <c r="K2712" s="2" t="inlineStr">
        <is>
          <t>marker_389_382793.png</t>
        </is>
      </c>
      <c r="L2712" s="11">
        <f>HYPERLINK("3\1\" &amp; K2712, "Ver Imagen")</f>
        <v/>
      </c>
      <c r="M2712" t="inlineStr">
        <is>
          <t>Moda</t>
        </is>
      </c>
    </row>
    <row r="2713">
      <c r="A2713" t="n">
        <v>2712</v>
      </c>
      <c r="B2713" t="inlineStr">
        <is>
          <t>A-5058__196</t>
        </is>
      </c>
      <c r="C2713" s="1" t="n">
        <v>37.2347832818</v>
      </c>
      <c r="D2713" s="1" t="n">
        <v>-7.07243449552</v>
      </c>
      <c r="E2713" s="3" t="n">
        <v>3</v>
      </c>
      <c r="F2713" s="2" t="n">
        <v>2</v>
      </c>
      <c r="G2713" s="4" t="n">
        <v>3</v>
      </c>
      <c r="H2713" s="13" t="n"/>
      <c r="I2713" s="15" t="n"/>
      <c r="J2713" s="19" t="n">
        <v>3</v>
      </c>
      <c r="K2713" s="2" t="inlineStr">
        <is>
          <t>marker_249_382847.png</t>
        </is>
      </c>
      <c r="L2713" s="11">
        <f>HYPERLINK("3\1\" &amp; K2713, "Ver Imagen")</f>
        <v/>
      </c>
      <c r="M2713" t="inlineStr">
        <is>
          <t>Moda</t>
        </is>
      </c>
    </row>
    <row r="2714">
      <c r="A2714" t="n">
        <v>2713</v>
      </c>
      <c r="B2714" t="inlineStr">
        <is>
          <t>A-5058__218</t>
        </is>
      </c>
      <c r="C2714" s="1" t="n">
        <v>37.2372358058</v>
      </c>
      <c r="D2714" s="1" t="n">
        <v>-7.07702219823</v>
      </c>
      <c r="E2714" s="3" t="n">
        <v>3</v>
      </c>
      <c r="F2714" s="2" t="n">
        <v>3</v>
      </c>
      <c r="G2714" s="4" t="n">
        <v>4</v>
      </c>
      <c r="H2714" s="13" t="n"/>
      <c r="I2714" s="15" t="n"/>
      <c r="J2714" s="19" t="n">
        <v>3</v>
      </c>
      <c r="K2714" s="2" t="inlineStr">
        <is>
          <t>marker_391_383100.png</t>
        </is>
      </c>
      <c r="L2714" s="11">
        <f>HYPERLINK("3\1\" &amp; K2714, "Ver Imagen")</f>
        <v/>
      </c>
      <c r="M2714" t="inlineStr">
        <is>
          <t>Moda</t>
        </is>
      </c>
    </row>
    <row r="2715">
      <c r="A2715" t="n">
        <v>2714</v>
      </c>
      <c r="B2715" t="inlineStr">
        <is>
          <t>A-5058__229</t>
        </is>
      </c>
      <c r="C2715" s="1" t="n">
        <v>37.2385922793</v>
      </c>
      <c r="D2715" s="1" t="n">
        <v>-7.07927159943</v>
      </c>
      <c r="E2715" s="3" t="n">
        <v>3</v>
      </c>
      <c r="F2715" s="2" t="n">
        <v>2</v>
      </c>
      <c r="G2715" s="4" t="n">
        <v>3</v>
      </c>
      <c r="H2715" s="13" t="n"/>
      <c r="I2715" s="15" t="n"/>
      <c r="J2715" s="19" t="n">
        <v>3</v>
      </c>
      <c r="K2715" s="2" t="inlineStr">
        <is>
          <t>marker_616_383234.png</t>
        </is>
      </c>
      <c r="L2715" s="11">
        <f>HYPERLINK("3\1\" &amp; K2715, "Ver Imagen")</f>
        <v/>
      </c>
      <c r="M2715" t="inlineStr">
        <is>
          <t>Moda</t>
        </is>
      </c>
    </row>
    <row r="2716">
      <c r="A2716" t="n">
        <v>2715</v>
      </c>
      <c r="B2716" t="inlineStr">
        <is>
          <t>A-5058__231</t>
        </is>
      </c>
      <c r="C2716" s="1" t="n">
        <v>37.2388572008</v>
      </c>
      <c r="D2716" s="1" t="n">
        <v>-7.07966683025</v>
      </c>
      <c r="E2716" s="3" t="n">
        <v>3</v>
      </c>
      <c r="F2716" s="2" t="n">
        <v>2</v>
      </c>
      <c r="G2716" s="4" t="n">
        <v>3</v>
      </c>
      <c r="H2716" s="13" t="n"/>
      <c r="I2716" s="15" t="n"/>
      <c r="J2716" s="19" t="n">
        <v>3</v>
      </c>
      <c r="K2716" s="2" t="inlineStr">
        <is>
          <t>marker_138_383264.png</t>
        </is>
      </c>
      <c r="L2716" s="11">
        <f>HYPERLINK("3\1\" &amp; K2716, "Ver Imagen")</f>
        <v/>
      </c>
      <c r="M2716" t="inlineStr">
        <is>
          <t>Moda</t>
        </is>
      </c>
    </row>
    <row r="2717">
      <c r="A2717" t="n">
        <v>2716</v>
      </c>
      <c r="B2717" t="inlineStr">
        <is>
          <t>A-5058__232</t>
        </is>
      </c>
      <c r="C2717" s="1" t="n">
        <v>37.2389960688</v>
      </c>
      <c r="D2717" s="1" t="n">
        <v>-7.07987443331</v>
      </c>
      <c r="E2717" s="3" t="n">
        <v>3</v>
      </c>
      <c r="F2717" s="2" t="n">
        <v>2</v>
      </c>
      <c r="G2717" s="4" t="n">
        <v>3</v>
      </c>
      <c r="H2717" s="13" t="n"/>
      <c r="I2717" s="15" t="n"/>
      <c r="J2717" s="19" t="n">
        <v>3</v>
      </c>
      <c r="K2717" s="2" t="inlineStr">
        <is>
          <t>marker_247_383282.png</t>
        </is>
      </c>
      <c r="L2717" s="11">
        <f>HYPERLINK("3\1\" &amp; K2717, "Ver Imagen")</f>
        <v/>
      </c>
      <c r="M2717" t="inlineStr">
        <is>
          <t>Moda</t>
        </is>
      </c>
    </row>
    <row r="2718">
      <c r="A2718" t="n">
        <v>2717</v>
      </c>
      <c r="B2718" t="inlineStr">
        <is>
          <t>A-5058__237</t>
        </is>
      </c>
      <c r="C2718" s="1" t="n">
        <v>37.2396189163</v>
      </c>
      <c r="D2718" s="1" t="n">
        <v>-7.08082208888</v>
      </c>
      <c r="E2718" s="3" t="n">
        <v>3</v>
      </c>
      <c r="F2718" s="2" t="n">
        <v>2</v>
      </c>
      <c r="G2718" s="4" t="n">
        <v>3</v>
      </c>
      <c r="H2718" s="13" t="n"/>
      <c r="I2718" s="15" t="n"/>
      <c r="J2718" s="19" t="n">
        <v>3</v>
      </c>
      <c r="K2718" s="2" t="inlineStr">
        <is>
          <t>marker_330_383333.png</t>
        </is>
      </c>
      <c r="L2718" s="11">
        <f>HYPERLINK("3\1\" &amp; K2718, "Ver Imagen")</f>
        <v/>
      </c>
      <c r="M2718" t="inlineStr">
        <is>
          <t>Moda</t>
        </is>
      </c>
    </row>
    <row r="2719">
      <c r="A2719" t="n">
        <v>2718</v>
      </c>
      <c r="B2719" t="inlineStr">
        <is>
          <t>A-5058__240</t>
        </is>
      </c>
      <c r="C2719" s="1" t="n">
        <v>37.2400097685</v>
      </c>
      <c r="D2719" s="1" t="n">
        <v>-7.0814169843</v>
      </c>
      <c r="E2719" s="3" t="n">
        <v>3</v>
      </c>
      <c r="F2719" s="2" t="n">
        <v>2</v>
      </c>
      <c r="G2719" s="4" t="n">
        <v>3</v>
      </c>
      <c r="H2719" s="13" t="n"/>
      <c r="I2719" s="15" t="n"/>
      <c r="J2719" s="19" t="n">
        <v>3</v>
      </c>
      <c r="K2719" s="2" t="inlineStr">
        <is>
          <t>marker_359_383365.png</t>
        </is>
      </c>
      <c r="L2719" s="11">
        <f>HYPERLINK("3\1\" &amp; K2719, "Ver Imagen")</f>
        <v/>
      </c>
      <c r="M2719" t="inlineStr">
        <is>
          <t>Moda</t>
        </is>
      </c>
    </row>
    <row r="2720">
      <c r="A2720" t="n">
        <v>2719</v>
      </c>
      <c r="B2720" t="inlineStr">
        <is>
          <t>A-5058__249</t>
        </is>
      </c>
      <c r="C2720" s="1" t="n">
        <v>37.2411599954</v>
      </c>
      <c r="D2720" s="1" t="n">
        <v>-7.08315833127</v>
      </c>
      <c r="E2720" s="3" t="n">
        <v>3</v>
      </c>
      <c r="F2720" s="2" t="n">
        <v>2</v>
      </c>
      <c r="G2720" s="4" t="n">
        <v>3</v>
      </c>
      <c r="H2720" s="13" t="n"/>
      <c r="I2720" s="15" t="n"/>
      <c r="J2720" s="19" t="n">
        <v>3</v>
      </c>
      <c r="K2720" s="2" t="inlineStr">
        <is>
          <t>marker_217_383491.png</t>
        </is>
      </c>
      <c r="L2720" s="11">
        <f>HYPERLINK("3\1\" &amp; K2720, "Ver Imagen")</f>
        <v/>
      </c>
      <c r="M2720" t="inlineStr">
        <is>
          <t>Moda</t>
        </is>
      </c>
    </row>
    <row r="2721">
      <c r="A2721" t="n">
        <v>2720</v>
      </c>
      <c r="B2721" t="inlineStr">
        <is>
          <t>A-5058__250</t>
        </is>
      </c>
      <c r="C2721" s="1" t="n">
        <v>37.2412968322</v>
      </c>
      <c r="D2721" s="1" t="n">
        <v>-7.08336721274</v>
      </c>
      <c r="E2721" s="3" t="n">
        <v>3</v>
      </c>
      <c r="F2721" s="2" t="n">
        <v>2</v>
      </c>
      <c r="G2721" s="4" t="n">
        <v>3</v>
      </c>
      <c r="H2721" s="13" t="n"/>
      <c r="I2721" s="15" t="n"/>
      <c r="J2721" s="19" t="n">
        <v>3</v>
      </c>
      <c r="K2721" s="2" t="inlineStr">
        <is>
          <t>marker_154_383517.png</t>
        </is>
      </c>
      <c r="L2721" s="11">
        <f>HYPERLINK("3\1\" &amp; K2721, "Ver Imagen")</f>
        <v/>
      </c>
      <c r="M2721" t="inlineStr">
        <is>
          <t>Moda</t>
        </is>
      </c>
    </row>
    <row r="2722">
      <c r="A2722" t="n">
        <v>2721</v>
      </c>
      <c r="B2722" t="inlineStr">
        <is>
          <t>A-5058__259</t>
        </is>
      </c>
      <c r="C2722" s="1" t="n">
        <v>37.2422962425</v>
      </c>
      <c r="D2722" s="1" t="n">
        <v>-7.08527706782</v>
      </c>
      <c r="E2722" s="3" t="n">
        <v>3</v>
      </c>
      <c r="F2722" s="2" t="n">
        <v>2</v>
      </c>
      <c r="G2722" s="4" t="n">
        <v>3</v>
      </c>
      <c r="H2722" s="13" t="n"/>
      <c r="I2722" s="15" t="n"/>
      <c r="J2722" s="19" t="n">
        <v>3</v>
      </c>
      <c r="K2722" s="2" t="inlineStr">
        <is>
          <t>marker_243_383651.png</t>
        </is>
      </c>
      <c r="L2722" s="11">
        <f>HYPERLINK("3\1\" &amp; K2722, "Ver Imagen")</f>
        <v/>
      </c>
      <c r="M2722" t="inlineStr">
        <is>
          <t>Moda</t>
        </is>
      </c>
    </row>
    <row r="2723">
      <c r="A2723" t="n">
        <v>2722</v>
      </c>
      <c r="B2723" t="inlineStr">
        <is>
          <t>A-5058__260</t>
        </is>
      </c>
      <c r="C2723" s="1" t="n">
        <v>37.2423639705</v>
      </c>
      <c r="D2723" s="1" t="n">
        <v>-7.08549437869</v>
      </c>
      <c r="E2723" s="3" t="n">
        <v>3</v>
      </c>
      <c r="F2723" s="2" t="n">
        <v>2</v>
      </c>
      <c r="G2723" s="4" t="n">
        <v>3</v>
      </c>
      <c r="H2723" s="13" t="n"/>
      <c r="I2723" s="15" t="n"/>
      <c r="J2723" s="19" t="n">
        <v>3</v>
      </c>
      <c r="K2723" s="2" t="inlineStr">
        <is>
          <t>marker_419_383666.png</t>
        </is>
      </c>
      <c r="L2723" s="11">
        <f>HYPERLINK("3\1\" &amp; K2723, "Ver Imagen")</f>
        <v/>
      </c>
      <c r="M2723" t="inlineStr">
        <is>
          <t>Moda</t>
        </is>
      </c>
    </row>
    <row r="2724">
      <c r="A2724" t="n">
        <v>2723</v>
      </c>
      <c r="B2724" t="inlineStr">
        <is>
          <t>A-5058__261</t>
        </is>
      </c>
      <c r="C2724" s="1" t="n">
        <v>37.2424332255</v>
      </c>
      <c r="D2724" s="1" t="n">
        <v>-7.08573558445</v>
      </c>
      <c r="E2724" s="3" t="n">
        <v>3</v>
      </c>
      <c r="F2724" s="2" t="n">
        <v>2</v>
      </c>
      <c r="G2724" s="4" t="n">
        <v>3</v>
      </c>
      <c r="H2724" s="13" t="n"/>
      <c r="I2724" s="15" t="n"/>
      <c r="J2724" s="19" t="n">
        <v>3</v>
      </c>
      <c r="K2724" s="2" t="inlineStr">
        <is>
          <t>marker_282_383676.png</t>
        </is>
      </c>
      <c r="L2724" s="11">
        <f>HYPERLINK("3\1\" &amp; K2724, "Ver Imagen")</f>
        <v/>
      </c>
      <c r="M2724" t="inlineStr">
        <is>
          <t>Moda</t>
        </is>
      </c>
    </row>
    <row r="2725">
      <c r="A2725" t="n">
        <v>2724</v>
      </c>
      <c r="B2725" t="inlineStr">
        <is>
          <t>A-5058__262</t>
        </is>
      </c>
      <c r="C2725" s="1" t="n">
        <v>37.2424966543</v>
      </c>
      <c r="D2725" s="1" t="n">
        <v>-7.0859673194</v>
      </c>
      <c r="E2725" s="3" t="n">
        <v>3</v>
      </c>
      <c r="F2725" s="2" t="n">
        <v>2</v>
      </c>
      <c r="G2725" s="4" t="n">
        <v>3</v>
      </c>
      <c r="H2725" s="13" t="n"/>
      <c r="I2725" s="15" t="n"/>
      <c r="J2725" s="19" t="n">
        <v>3</v>
      </c>
      <c r="K2725" s="2" t="inlineStr">
        <is>
          <t>marker_275_383686.png</t>
        </is>
      </c>
      <c r="L2725" s="11">
        <f>HYPERLINK("3\1\" &amp; K2725, "Ver Imagen")</f>
        <v/>
      </c>
      <c r="M2725" t="inlineStr">
        <is>
          <t>Moda</t>
        </is>
      </c>
    </row>
    <row r="2726">
      <c r="A2726" t="n">
        <v>2725</v>
      </c>
      <c r="B2726" t="inlineStr">
        <is>
          <t>A-5058__264</t>
        </is>
      </c>
      <c r="C2726" s="1" t="n">
        <v>37.2426241818</v>
      </c>
      <c r="D2726" s="1" t="n">
        <v>-7.08645057421</v>
      </c>
      <c r="E2726" s="3" t="n">
        <v>4</v>
      </c>
      <c r="F2726" s="2" t="n">
        <v>3</v>
      </c>
      <c r="G2726" s="4" t="n">
        <v>3</v>
      </c>
      <c r="H2726" s="13" t="n"/>
      <c r="I2726" s="15" t="n"/>
      <c r="J2726" s="19" t="n">
        <v>3</v>
      </c>
      <c r="K2726" s="2" t="inlineStr">
        <is>
          <t>marker_575_383727.png</t>
        </is>
      </c>
      <c r="L2726" s="11">
        <f>HYPERLINK("3\1\" &amp; K2726, "Ver Imagen")</f>
        <v/>
      </c>
      <c r="M2726" t="inlineStr">
        <is>
          <t>Moda</t>
        </is>
      </c>
    </row>
    <row r="2727">
      <c r="A2727" t="n">
        <v>2726</v>
      </c>
      <c r="B2727" t="inlineStr">
        <is>
          <t>A-5058__265</t>
        </is>
      </c>
      <c r="C2727" s="1" t="n">
        <v>37.242693775</v>
      </c>
      <c r="D2727" s="1" t="n">
        <v>-7.0867106147</v>
      </c>
      <c r="E2727" s="3" t="n">
        <v>3</v>
      </c>
      <c r="F2727" s="2" t="n">
        <v>4</v>
      </c>
      <c r="G2727" s="4" t="n">
        <v>3</v>
      </c>
      <c r="H2727" s="13" t="n"/>
      <c r="I2727" s="15" t="n"/>
      <c r="J2727" s="19" t="n">
        <v>3</v>
      </c>
      <c r="K2727" s="2" t="inlineStr">
        <is>
          <t>marker_420_383740.png</t>
        </is>
      </c>
      <c r="L2727" s="11">
        <f>HYPERLINK("3\1\" &amp; K2727, "Ver Imagen")</f>
        <v/>
      </c>
      <c r="M2727" t="inlineStr">
        <is>
          <t>Moda</t>
        </is>
      </c>
    </row>
    <row r="2728">
      <c r="A2728" t="n">
        <v>2727</v>
      </c>
      <c r="B2728" t="inlineStr">
        <is>
          <t>A-5058__266</t>
        </is>
      </c>
      <c r="C2728" s="1" t="n">
        <v>37.242752666</v>
      </c>
      <c r="D2728" s="1" t="n">
        <v>-7.08693055241</v>
      </c>
      <c r="E2728" s="3" t="n">
        <v>4</v>
      </c>
      <c r="F2728" s="2" t="n">
        <v>3</v>
      </c>
      <c r="G2728" s="4" t="n">
        <v>3</v>
      </c>
      <c r="H2728" s="13" t="n"/>
      <c r="I2728" s="15" t="n"/>
      <c r="J2728" s="19" t="n">
        <v>3</v>
      </c>
      <c r="K2728" s="2" t="inlineStr">
        <is>
          <t>marker_131_383750.png</t>
        </is>
      </c>
      <c r="L2728" s="11">
        <f>HYPERLINK("3\1\" &amp; K2728, "Ver Imagen")</f>
        <v/>
      </c>
      <c r="M2728" t="inlineStr">
        <is>
          <t>Moda</t>
        </is>
      </c>
    </row>
    <row r="2729">
      <c r="A2729" t="n">
        <v>2728</v>
      </c>
      <c r="B2729" t="inlineStr">
        <is>
          <t>A-5058__267</t>
        </is>
      </c>
      <c r="C2729" s="1" t="n">
        <v>37.2428256225</v>
      </c>
      <c r="D2729" s="1" t="n">
        <v>-7.08720015935</v>
      </c>
      <c r="E2729" s="3" t="n">
        <v>3</v>
      </c>
      <c r="F2729" s="2" t="n">
        <v>2</v>
      </c>
      <c r="G2729" s="4" t="n">
        <v>3</v>
      </c>
      <c r="H2729" s="13" t="n"/>
      <c r="I2729" s="15" t="n"/>
      <c r="J2729" s="19" t="n">
        <v>3</v>
      </c>
      <c r="K2729" s="2" t="inlineStr">
        <is>
          <t>marker_704_383762.png</t>
        </is>
      </c>
      <c r="L2729" s="11">
        <f>HYPERLINK("3\1\" &amp; K2729, "Ver Imagen")</f>
        <v/>
      </c>
      <c r="M2729" t="inlineStr">
        <is>
          <t>Moda</t>
        </is>
      </c>
    </row>
    <row r="2730">
      <c r="A2730" t="n">
        <v>2729</v>
      </c>
      <c r="B2730" t="inlineStr">
        <is>
          <t>A-5058__276</t>
        </is>
      </c>
      <c r="C2730" s="1" t="n">
        <v>37.2436158692</v>
      </c>
      <c r="D2730" s="1" t="n">
        <v>-7.08920502075</v>
      </c>
      <c r="E2730" s="3" t="n">
        <v>3</v>
      </c>
      <c r="F2730" s="2" t="n">
        <v>2</v>
      </c>
      <c r="G2730" s="4" t="n">
        <v>3</v>
      </c>
      <c r="H2730" s="13" t="n"/>
      <c r="I2730" s="15" t="n"/>
      <c r="J2730" s="19" t="n">
        <v>3</v>
      </c>
      <c r="K2730" s="2" t="inlineStr">
        <is>
          <t>marker_763_383990.png</t>
        </is>
      </c>
      <c r="L2730" s="11">
        <f>HYPERLINK("3\1\" &amp; K2730, "Ver Imagen")</f>
        <v/>
      </c>
      <c r="M2730" t="inlineStr">
        <is>
          <t>Moda</t>
        </is>
      </c>
    </row>
    <row r="2731">
      <c r="A2731" t="n">
        <v>2730</v>
      </c>
      <c r="B2731" t="inlineStr">
        <is>
          <t>A-5058__288</t>
        </is>
      </c>
      <c r="C2731" s="1" t="n">
        <v>37.2449171907</v>
      </c>
      <c r="D2731" s="1" t="n">
        <v>-7.09179214255</v>
      </c>
      <c r="E2731" s="3" t="n">
        <v>3</v>
      </c>
      <c r="F2731" s="2" t="n">
        <v>2</v>
      </c>
      <c r="G2731" s="4" t="n">
        <v>3</v>
      </c>
      <c r="H2731" s="13" t="n"/>
      <c r="I2731" s="15" t="n"/>
      <c r="J2731" s="19" t="n">
        <v>3</v>
      </c>
      <c r="K2731" s="2" t="inlineStr">
        <is>
          <t>marker_155_384126.png</t>
        </is>
      </c>
      <c r="L2731" s="11">
        <f>HYPERLINK("3\1\" &amp; K2731, "Ver Imagen")</f>
        <v/>
      </c>
      <c r="M2731" t="inlineStr">
        <is>
          <t>Moda</t>
        </is>
      </c>
    </row>
    <row r="2732">
      <c r="A2732" t="n">
        <v>2731</v>
      </c>
      <c r="B2732" t="inlineStr">
        <is>
          <t>A-5058__300</t>
        </is>
      </c>
      <c r="C2732" s="1" t="n">
        <v>37.2454909665</v>
      </c>
      <c r="D2732" s="1" t="n">
        <v>-7.09474251474</v>
      </c>
      <c r="E2732" s="3" t="n">
        <v>3</v>
      </c>
      <c r="F2732" s="2" t="n">
        <v>3</v>
      </c>
      <c r="G2732" s="4" t="n">
        <v>4</v>
      </c>
      <c r="H2732" s="13" t="n"/>
      <c r="I2732" s="15" t="n"/>
      <c r="J2732" s="19" t="n">
        <v>3</v>
      </c>
      <c r="K2732" s="2" t="inlineStr">
        <is>
          <t>marker_860_384272.png</t>
        </is>
      </c>
      <c r="L2732" s="11">
        <f>HYPERLINK("3\1\" &amp; K2732, "Ver Imagen")</f>
        <v/>
      </c>
      <c r="M2732" t="inlineStr">
        <is>
          <t>Moda</t>
        </is>
      </c>
    </row>
    <row r="2733">
      <c r="A2733" t="n">
        <v>2732</v>
      </c>
      <c r="B2733" t="inlineStr">
        <is>
          <t>A-5058__301</t>
        </is>
      </c>
      <c r="C2733" s="1" t="n">
        <v>37.2455075198</v>
      </c>
      <c r="D2733" s="1" t="n">
        <v>-7.09495785035</v>
      </c>
      <c r="E2733" s="3" t="n">
        <v>3</v>
      </c>
      <c r="F2733" s="2" t="n">
        <v>2</v>
      </c>
      <c r="G2733" s="4" t="n">
        <v>3</v>
      </c>
      <c r="H2733" s="13" t="n"/>
      <c r="I2733" s="15" t="n"/>
      <c r="J2733" s="19" t="n">
        <v>3</v>
      </c>
      <c r="K2733" s="2" t="inlineStr">
        <is>
          <t>marker_770_384282.png</t>
        </is>
      </c>
      <c r="L2733" s="11">
        <f>HYPERLINK("3\1\" &amp; K2733, "Ver Imagen")</f>
        <v/>
      </c>
      <c r="M2733" t="inlineStr">
        <is>
          <t>Moda</t>
        </is>
      </c>
    </row>
    <row r="2734">
      <c r="A2734" t="n">
        <v>2733</v>
      </c>
      <c r="B2734" t="inlineStr">
        <is>
          <t>A-5058__302</t>
        </is>
      </c>
      <c r="C2734" s="1" t="n">
        <v>37.2455277609</v>
      </c>
      <c r="D2734" s="1" t="n">
        <v>-7.09521938381</v>
      </c>
      <c r="E2734" s="3" t="n">
        <v>3</v>
      </c>
      <c r="F2734" s="2" t="n">
        <v>2</v>
      </c>
      <c r="G2734" s="4" t="n">
        <v>3</v>
      </c>
      <c r="H2734" s="13" t="n"/>
      <c r="I2734" s="15" t="n"/>
      <c r="J2734" s="19" t="n">
        <v>3</v>
      </c>
      <c r="K2734" s="2" t="inlineStr">
        <is>
          <t>marker_151_384298.png</t>
        </is>
      </c>
      <c r="L2734" s="11">
        <f>HYPERLINK("3\1\" &amp; K2734, "Ver Imagen")</f>
        <v/>
      </c>
      <c r="M2734" t="inlineStr">
        <is>
          <t>Moda</t>
        </is>
      </c>
    </row>
    <row r="2735">
      <c r="A2735" t="n">
        <v>2734</v>
      </c>
      <c r="B2735" t="inlineStr">
        <is>
          <t>A-5058__306</t>
        </is>
      </c>
      <c r="C2735" s="1" t="n">
        <v>37.2456058487</v>
      </c>
      <c r="D2735" s="1" t="n">
        <v>-7.09624318157</v>
      </c>
      <c r="E2735" s="3" t="n">
        <v>3</v>
      </c>
      <c r="F2735" s="2" t="n">
        <v>2</v>
      </c>
      <c r="G2735" s="4" t="n">
        <v>3</v>
      </c>
      <c r="H2735" s="13" t="n"/>
      <c r="I2735" s="15" t="n"/>
      <c r="J2735" s="19" t="n">
        <v>3</v>
      </c>
      <c r="K2735" s="2" t="inlineStr">
        <is>
          <t>marker_697_384341.png</t>
        </is>
      </c>
      <c r="L2735" s="11">
        <f>HYPERLINK("3\1\" &amp; K2735, "Ver Imagen")</f>
        <v/>
      </c>
      <c r="M2735" t="inlineStr">
        <is>
          <t>Moda</t>
        </is>
      </c>
    </row>
    <row r="2736">
      <c r="A2736" t="n">
        <v>2735</v>
      </c>
      <c r="B2736" t="inlineStr">
        <is>
          <t>A-5058__307</t>
        </is>
      </c>
      <c r="C2736" s="1" t="n">
        <v>37.2456270619</v>
      </c>
      <c r="D2736" s="1" t="n">
        <v>-7.09650616921</v>
      </c>
      <c r="E2736" s="3" t="n">
        <v>3</v>
      </c>
      <c r="F2736" s="2" t="n">
        <v>2</v>
      </c>
      <c r="G2736" s="4" t="n">
        <v>3</v>
      </c>
      <c r="H2736" s="13" t="n"/>
      <c r="I2736" s="15" t="n"/>
      <c r="J2736" s="19" t="n">
        <v>3</v>
      </c>
      <c r="K2736" s="2" t="inlineStr">
        <is>
          <t>marker_393_384362.png</t>
        </is>
      </c>
      <c r="L2736" s="11">
        <f>HYPERLINK("3\1\" &amp; K2736, "Ver Imagen")</f>
        <v/>
      </c>
      <c r="M2736" t="inlineStr">
        <is>
          <t>Moda</t>
        </is>
      </c>
    </row>
    <row r="2737">
      <c r="A2737" t="n">
        <v>2736</v>
      </c>
      <c r="B2737" t="inlineStr">
        <is>
          <t>A-5058__310</t>
        </is>
      </c>
      <c r="C2737" s="1" t="n">
        <v>37.2457134218</v>
      </c>
      <c r="D2737" s="1" t="n">
        <v>-7.09725261859</v>
      </c>
      <c r="E2737" s="3" t="n">
        <v>3</v>
      </c>
      <c r="F2737" s="2" t="n">
        <v>3</v>
      </c>
      <c r="G2737" s="4" t="n">
        <v>4</v>
      </c>
      <c r="H2737" s="13" t="n"/>
      <c r="I2737" s="15" t="n"/>
      <c r="J2737" s="19" t="n">
        <v>3</v>
      </c>
      <c r="K2737" s="2" t="inlineStr">
        <is>
          <t>marker_639_384393.png</t>
        </is>
      </c>
      <c r="L2737" s="11">
        <f>HYPERLINK("3\1\" &amp; K2737, "Ver Imagen")</f>
        <v/>
      </c>
      <c r="M2737" t="inlineStr">
        <is>
          <t>Moda</t>
        </is>
      </c>
    </row>
    <row r="2738">
      <c r="A2738" t="n">
        <v>2737</v>
      </c>
      <c r="B2738" t="inlineStr">
        <is>
          <t>A-5058__312</t>
        </is>
      </c>
      <c r="C2738" s="1" t="n">
        <v>37.2458089285</v>
      </c>
      <c r="D2738" s="1" t="n">
        <v>-7.09772371272</v>
      </c>
      <c r="E2738" s="3" t="n">
        <v>3</v>
      </c>
      <c r="F2738" s="2" t="n">
        <v>2</v>
      </c>
      <c r="G2738" s="4" t="n">
        <v>3</v>
      </c>
      <c r="H2738" s="13" t="n"/>
      <c r="I2738" s="15" t="n"/>
      <c r="J2738" s="19" t="n">
        <v>3</v>
      </c>
      <c r="K2738" s="2" t="inlineStr">
        <is>
          <t>marker_674_384413.png</t>
        </is>
      </c>
      <c r="L2738" s="11">
        <f>HYPERLINK("3\1\" &amp; K2738, "Ver Imagen")</f>
        <v/>
      </c>
      <c r="M2738" t="inlineStr">
        <is>
          <t>Moda</t>
        </is>
      </c>
    </row>
    <row r="2739">
      <c r="A2739" t="n">
        <v>2738</v>
      </c>
      <c r="B2739" t="inlineStr">
        <is>
          <t>A-5058__314</t>
        </is>
      </c>
      <c r="C2739" s="1" t="n">
        <v>37.2459541504</v>
      </c>
      <c r="D2739" s="1" t="n">
        <v>-7.09816291632</v>
      </c>
      <c r="E2739" s="3" t="n">
        <v>3</v>
      </c>
      <c r="F2739" s="2" t="n">
        <v>2</v>
      </c>
      <c r="G2739" s="4" t="n">
        <v>3</v>
      </c>
      <c r="H2739" s="13" t="n"/>
      <c r="I2739" s="15" t="n"/>
      <c r="J2739" s="19" t="n">
        <v>3</v>
      </c>
      <c r="K2739" s="2" t="inlineStr">
        <is>
          <t>marker_486_384440.png</t>
        </is>
      </c>
      <c r="L2739" s="11">
        <f>HYPERLINK("3\1\" &amp; K2739, "Ver Imagen")</f>
        <v/>
      </c>
      <c r="M2739" t="inlineStr">
        <is>
          <t>Moda</t>
        </is>
      </c>
    </row>
    <row r="2740">
      <c r="A2740" t="n">
        <v>2739</v>
      </c>
      <c r="B2740" t="inlineStr">
        <is>
          <t>A-5058__318</t>
        </is>
      </c>
      <c r="C2740" s="1" t="n">
        <v>37.2464104261</v>
      </c>
      <c r="D2740" s="1" t="n">
        <v>-7.09903855891</v>
      </c>
      <c r="E2740" s="3" t="n">
        <v>3</v>
      </c>
      <c r="F2740" s="2" t="n">
        <v>2</v>
      </c>
      <c r="G2740" s="4" t="n">
        <v>3</v>
      </c>
      <c r="H2740" s="13" t="n"/>
      <c r="I2740" s="15" t="n"/>
      <c r="J2740" s="19" t="n">
        <v>3</v>
      </c>
      <c r="K2740" s="2" t="inlineStr">
        <is>
          <t>marker_331_384477.png</t>
        </is>
      </c>
      <c r="L2740" s="11">
        <f>HYPERLINK("3\1\" &amp; K2740, "Ver Imagen")</f>
        <v/>
      </c>
      <c r="M2740" t="inlineStr">
        <is>
          <t>Moda</t>
        </is>
      </c>
    </row>
    <row r="2741">
      <c r="A2741" t="n">
        <v>2740</v>
      </c>
      <c r="B2741" t="inlineStr">
        <is>
          <t>A-5058__319</t>
        </is>
      </c>
      <c r="C2741" s="1" t="n">
        <v>37.2465351392</v>
      </c>
      <c r="D2741" s="1" t="n">
        <v>-7.09923559967</v>
      </c>
      <c r="E2741" s="3" t="n">
        <v>3</v>
      </c>
      <c r="F2741" s="2" t="n">
        <v>2</v>
      </c>
      <c r="G2741" s="4" t="n">
        <v>3</v>
      </c>
      <c r="H2741" s="13" t="n"/>
      <c r="I2741" s="15" t="n"/>
      <c r="J2741" s="19" t="n">
        <v>3</v>
      </c>
      <c r="K2741" s="2" t="inlineStr">
        <is>
          <t>marker_156_384486.png</t>
        </is>
      </c>
      <c r="L2741" s="11">
        <f>HYPERLINK("3\1\" &amp; K2741, "Ver Imagen")</f>
        <v/>
      </c>
      <c r="M2741" t="inlineStr">
        <is>
          <t>Moda</t>
        </is>
      </c>
    </row>
    <row r="2742">
      <c r="A2742" t="n">
        <v>2741</v>
      </c>
      <c r="B2742" t="inlineStr">
        <is>
          <t>A-5058__322</t>
        </is>
      </c>
      <c r="C2742" s="1" t="n">
        <v>37.246916054</v>
      </c>
      <c r="D2742" s="1" t="n">
        <v>-7.09981862293</v>
      </c>
      <c r="E2742" s="3" t="n">
        <v>3</v>
      </c>
      <c r="F2742" s="2" t="n">
        <v>2</v>
      </c>
      <c r="G2742" s="4" t="n">
        <v>3</v>
      </c>
      <c r="H2742" s="13" t="n"/>
      <c r="I2742" s="15" t="n"/>
      <c r="J2742" s="19" t="n">
        <v>3</v>
      </c>
      <c r="K2742" s="2" t="inlineStr">
        <is>
          <t>marker_256_384519.png</t>
        </is>
      </c>
      <c r="L2742" s="11">
        <f>HYPERLINK("3\1\" &amp; K2742, "Ver Imagen")</f>
        <v/>
      </c>
      <c r="M2742" t="inlineStr">
        <is>
          <t>Moda</t>
        </is>
      </c>
    </row>
    <row r="2743">
      <c r="A2743" t="n">
        <v>2742</v>
      </c>
      <c r="B2743" t="inlineStr">
        <is>
          <t>A-5058__324</t>
        </is>
      </c>
      <c r="C2743" s="1" t="n">
        <v>37.2471671299</v>
      </c>
      <c r="D2743" s="1" t="n">
        <v>-7.10019974181</v>
      </c>
      <c r="E2743" s="3" t="n">
        <v>3</v>
      </c>
      <c r="F2743" s="2" t="n">
        <v>2</v>
      </c>
      <c r="G2743" s="4" t="n">
        <v>3</v>
      </c>
      <c r="H2743" s="13" t="n"/>
      <c r="I2743" s="15" t="n"/>
      <c r="J2743" s="19" t="n">
        <v>3</v>
      </c>
      <c r="K2743" s="2" t="inlineStr">
        <is>
          <t>marker_378_384551.png</t>
        </is>
      </c>
      <c r="L2743" s="11">
        <f>HYPERLINK("3\1\" &amp; K2743, "Ver Imagen")</f>
        <v/>
      </c>
      <c r="M2743" t="inlineStr">
        <is>
          <t>Moda</t>
        </is>
      </c>
    </row>
    <row r="2744">
      <c r="A2744" t="n">
        <v>2743</v>
      </c>
      <c r="B2744" t="inlineStr">
        <is>
          <t>A-5058__330</t>
        </is>
      </c>
      <c r="C2744" s="1" t="n">
        <v>37.2479540647</v>
      </c>
      <c r="D2744" s="1" t="n">
        <v>-7.10137488572</v>
      </c>
      <c r="E2744" s="3" t="n">
        <v>3</v>
      </c>
      <c r="F2744" s="2" t="n">
        <v>2</v>
      </c>
      <c r="G2744" s="4" t="n">
        <v>3</v>
      </c>
      <c r="H2744" s="13" t="n"/>
      <c r="I2744" s="15" t="n"/>
      <c r="J2744" s="19" t="n">
        <v>3</v>
      </c>
      <c r="K2744" s="2" t="inlineStr">
        <is>
          <t>marker_254_384633.png</t>
        </is>
      </c>
      <c r="L2744" s="11">
        <f>HYPERLINK("3\1\" &amp; K2744, "Ver Imagen")</f>
        <v/>
      </c>
      <c r="M2744" t="inlineStr">
        <is>
          <t>Moda</t>
        </is>
      </c>
    </row>
    <row r="2745">
      <c r="A2745" t="n">
        <v>2744</v>
      </c>
      <c r="B2745" t="inlineStr">
        <is>
          <t>A-5058__334</t>
        </is>
      </c>
      <c r="C2745" s="1" t="n">
        <v>37.2485777469</v>
      </c>
      <c r="D2745" s="1" t="n">
        <v>-7.10199469797</v>
      </c>
      <c r="E2745" s="3" t="n">
        <v>3</v>
      </c>
      <c r="F2745" s="2" t="n">
        <v>2</v>
      </c>
      <c r="G2745" s="4" t="n">
        <v>3</v>
      </c>
      <c r="H2745" s="13" t="n"/>
      <c r="I2745" s="15" t="n"/>
      <c r="J2745" s="19" t="n">
        <v>3</v>
      </c>
      <c r="K2745" s="2" t="inlineStr">
        <is>
          <t>marker_120_384693.png</t>
        </is>
      </c>
      <c r="L2745" s="11">
        <f>HYPERLINK("3\1\" &amp; K2745, "Ver Imagen")</f>
        <v/>
      </c>
      <c r="M2745" t="inlineStr">
        <is>
          <t>Moda</t>
        </is>
      </c>
    </row>
    <row r="2746">
      <c r="A2746" t="n">
        <v>2745</v>
      </c>
      <c r="B2746" t="inlineStr">
        <is>
          <t>A-5058__339</t>
        </is>
      </c>
      <c r="C2746" s="1" t="n">
        <v>37.249489062</v>
      </c>
      <c r="D2746" s="1" t="n">
        <v>-7.10253659692</v>
      </c>
      <c r="E2746" s="3" t="n">
        <v>3</v>
      </c>
      <c r="F2746" s="2" t="n">
        <v>2</v>
      </c>
      <c r="G2746" s="4" t="n">
        <v>3</v>
      </c>
      <c r="H2746" s="13" t="n"/>
      <c r="I2746" s="15" t="n"/>
      <c r="J2746" s="19" t="n">
        <v>3</v>
      </c>
      <c r="K2746" s="2" t="inlineStr">
        <is>
          <t>marker_641_384744.png</t>
        </is>
      </c>
      <c r="L2746" s="11">
        <f>HYPERLINK("3\1\" &amp; K2746, "Ver Imagen")</f>
        <v/>
      </c>
      <c r="M2746" t="inlineStr">
        <is>
          <t>Moda</t>
        </is>
      </c>
    </row>
    <row r="2747">
      <c r="A2747" t="n">
        <v>2746</v>
      </c>
      <c r="B2747" t="inlineStr">
        <is>
          <t>A-5058__340</t>
        </is>
      </c>
      <c r="C2747" s="1" t="n">
        <v>37.249688033</v>
      </c>
      <c r="D2747" s="1" t="n">
        <v>-7.10265237646</v>
      </c>
      <c r="E2747" s="3" t="n">
        <v>3</v>
      </c>
      <c r="F2747" s="2" t="n">
        <v>2</v>
      </c>
      <c r="G2747" s="4" t="n">
        <v>3</v>
      </c>
      <c r="H2747" s="13" t="n"/>
      <c r="I2747" s="15" t="n"/>
      <c r="J2747" s="19" t="n">
        <v>3</v>
      </c>
      <c r="K2747" s="2" t="inlineStr">
        <is>
          <t>marker_724_384764.png</t>
        </is>
      </c>
      <c r="L2747" s="11">
        <f>HYPERLINK("3\1\" &amp; K2747, "Ver Imagen")</f>
        <v/>
      </c>
      <c r="M2747" t="inlineStr">
        <is>
          <t>Moda</t>
        </is>
      </c>
    </row>
    <row r="2748">
      <c r="A2748" t="n">
        <v>2747</v>
      </c>
      <c r="B2748" t="inlineStr">
        <is>
          <t>A-5058__344</t>
        </is>
      </c>
      <c r="C2748" s="1" t="n">
        <v>37.2504159725</v>
      </c>
      <c r="D2748" s="1" t="n">
        <v>-7.10307248843</v>
      </c>
      <c r="E2748" s="3" t="n">
        <v>3</v>
      </c>
      <c r="F2748" s="2" t="n">
        <v>2</v>
      </c>
      <c r="G2748" s="4" t="n">
        <v>3</v>
      </c>
      <c r="H2748" s="13" t="n"/>
      <c r="I2748" s="15" t="n"/>
      <c r="J2748" s="19" t="n">
        <v>3</v>
      </c>
      <c r="K2748" s="2" t="inlineStr">
        <is>
          <t>marker_356_384805.png</t>
        </is>
      </c>
      <c r="L2748" s="11">
        <f>HYPERLINK("3\1\" &amp; K2748, "Ver Imagen")</f>
        <v/>
      </c>
      <c r="M2748" t="inlineStr">
        <is>
          <t>Moda</t>
        </is>
      </c>
    </row>
    <row r="2749">
      <c r="A2749" t="n">
        <v>2748</v>
      </c>
      <c r="B2749" t="inlineStr">
        <is>
          <t>A-5058__345</t>
        </is>
      </c>
      <c r="C2749" s="1" t="n">
        <v>37.2506098829</v>
      </c>
      <c r="D2749" s="1" t="n">
        <v>-7.10318631216</v>
      </c>
      <c r="E2749" s="3" t="n">
        <v>3</v>
      </c>
      <c r="F2749" s="2" t="n">
        <v>2</v>
      </c>
      <c r="G2749" s="4" t="n">
        <v>3</v>
      </c>
      <c r="H2749" s="13" t="n"/>
      <c r="I2749" s="15" t="n"/>
      <c r="J2749" s="19" t="n">
        <v>3</v>
      </c>
      <c r="K2749" s="2" t="inlineStr">
        <is>
          <t>marker_123_384817.png</t>
        </is>
      </c>
      <c r="L2749" s="11">
        <f>HYPERLINK("3\1\" &amp; K2749, "Ver Imagen")</f>
        <v/>
      </c>
      <c r="M2749" t="inlineStr">
        <is>
          <t>Moda</t>
        </is>
      </c>
    </row>
    <row r="2750">
      <c r="A2750" t="n">
        <v>2749</v>
      </c>
      <c r="B2750" t="inlineStr">
        <is>
          <t>A-5058__346</t>
        </is>
      </c>
      <c r="C2750" s="1" t="n">
        <v>37.2507832359</v>
      </c>
      <c r="D2750" s="1" t="n">
        <v>-7.10328836133</v>
      </c>
      <c r="E2750" s="3" t="n">
        <v>3</v>
      </c>
      <c r="F2750" s="2" t="n">
        <v>2</v>
      </c>
      <c r="G2750" s="4" t="n">
        <v>3</v>
      </c>
      <c r="H2750" s="13" t="n"/>
      <c r="I2750" s="15" t="n"/>
      <c r="J2750" s="19" t="n">
        <v>3</v>
      </c>
      <c r="K2750" s="2" t="inlineStr">
        <is>
          <t>marker_383_384827.png</t>
        </is>
      </c>
      <c r="L2750" s="11">
        <f>HYPERLINK("3\1\" &amp; K2750, "Ver Imagen")</f>
        <v/>
      </c>
      <c r="M2750" t="inlineStr">
        <is>
          <t>Moda</t>
        </is>
      </c>
    </row>
    <row r="2751">
      <c r="A2751" t="n">
        <v>2750</v>
      </c>
      <c r="B2751" t="inlineStr">
        <is>
          <t>A-5058__347</t>
        </is>
      </c>
      <c r="C2751" s="1" t="n">
        <v>37.2509634732</v>
      </c>
      <c r="D2751" s="1" t="n">
        <v>-7.10339293709</v>
      </c>
      <c r="E2751" s="3" t="n">
        <v>3</v>
      </c>
      <c r="F2751" s="2" t="n">
        <v>2</v>
      </c>
      <c r="G2751" s="4" t="n">
        <v>3</v>
      </c>
      <c r="H2751" s="13" t="n"/>
      <c r="I2751" s="15" t="n"/>
      <c r="J2751" s="19" t="n">
        <v>3</v>
      </c>
      <c r="K2751" s="2" t="inlineStr">
        <is>
          <t>marker_277_384837.png</t>
        </is>
      </c>
      <c r="L2751" s="11">
        <f>HYPERLINK("3\1\" &amp; K2751, "Ver Imagen")</f>
        <v/>
      </c>
      <c r="M2751" t="inlineStr">
        <is>
          <t>Moda</t>
        </is>
      </c>
    </row>
    <row r="2752">
      <c r="A2752" t="n">
        <v>2751</v>
      </c>
      <c r="B2752" t="inlineStr">
        <is>
          <t>A-5058__361</t>
        </is>
      </c>
      <c r="C2752" s="1" t="n">
        <v>37.2529549055</v>
      </c>
      <c r="D2752" s="1" t="n">
        <v>-7.10575763531</v>
      </c>
      <c r="E2752" s="3" t="n">
        <v>3</v>
      </c>
      <c r="F2752" s="2" t="n">
        <v>2</v>
      </c>
      <c r="G2752" s="4" t="n">
        <v>3</v>
      </c>
      <c r="H2752" s="13" t="n"/>
      <c r="I2752" s="15" t="n"/>
      <c r="J2752" s="19" t="n">
        <v>3</v>
      </c>
      <c r="K2752" s="2" t="inlineStr">
        <is>
          <t>marker_313_384983.png</t>
        </is>
      </c>
      <c r="L2752" s="11">
        <f>HYPERLINK("3\1\" &amp; K2752, "Ver Imagen")</f>
        <v/>
      </c>
      <c r="M2752" t="inlineStr">
        <is>
          <t>Moda</t>
        </is>
      </c>
    </row>
    <row r="2753">
      <c r="A2753" t="n">
        <v>2752</v>
      </c>
      <c r="B2753" t="inlineStr">
        <is>
          <t>A-5058__370</t>
        </is>
      </c>
      <c r="C2753" s="1" t="n">
        <v>37.2539528708</v>
      </c>
      <c r="D2753" s="1" t="n">
        <v>-7.10763199775</v>
      </c>
      <c r="E2753" s="3" t="n">
        <v>3</v>
      </c>
      <c r="F2753" s="2" t="n">
        <v>2</v>
      </c>
      <c r="G2753" s="4" t="n">
        <v>3</v>
      </c>
      <c r="H2753" s="13" t="n"/>
      <c r="I2753" s="15" t="n"/>
      <c r="J2753" s="19" t="n">
        <v>3</v>
      </c>
      <c r="K2753" s="2" t="inlineStr">
        <is>
          <t>marker_311_385073.png</t>
        </is>
      </c>
      <c r="L2753" s="11">
        <f>HYPERLINK("3\1\" &amp; K2753, "Ver Imagen")</f>
        <v/>
      </c>
      <c r="M2753" t="inlineStr">
        <is>
          <t>Moda</t>
        </is>
      </c>
    </row>
    <row r="2754">
      <c r="A2754" t="n">
        <v>2753</v>
      </c>
      <c r="B2754" t="inlineStr">
        <is>
          <t>A-5058__371</t>
        </is>
      </c>
      <c r="C2754" s="1" t="n">
        <v>37.2541120901</v>
      </c>
      <c r="D2754" s="1" t="n">
        <v>-7.10783865612</v>
      </c>
      <c r="E2754" s="3" t="n">
        <v>3</v>
      </c>
      <c r="F2754" s="2" t="n">
        <v>2</v>
      </c>
      <c r="G2754" s="4" t="n">
        <v>3</v>
      </c>
      <c r="H2754" s="13" t="n"/>
      <c r="I2754" s="15" t="n"/>
      <c r="J2754" s="19" t="n">
        <v>3</v>
      </c>
      <c r="K2754" s="2" t="inlineStr">
        <is>
          <t>marker_275_385085.png</t>
        </is>
      </c>
      <c r="L2754" s="11">
        <f>HYPERLINK("3\1\" &amp; K2754, "Ver Imagen")</f>
        <v/>
      </c>
      <c r="M2754" t="inlineStr">
        <is>
          <t>Moda</t>
        </is>
      </c>
    </row>
    <row r="2755">
      <c r="A2755" t="n">
        <v>2754</v>
      </c>
      <c r="B2755" t="inlineStr">
        <is>
          <t>A-5058__372</t>
        </is>
      </c>
      <c r="C2755" s="1" t="n">
        <v>37.2542400301</v>
      </c>
      <c r="D2755" s="1" t="n">
        <v>-7.10800404402</v>
      </c>
      <c r="E2755" s="3" t="n">
        <v>3</v>
      </c>
      <c r="F2755" s="2" t="n">
        <v>2</v>
      </c>
      <c r="G2755" s="4" t="n">
        <v>3</v>
      </c>
      <c r="H2755" s="13" t="n"/>
      <c r="I2755" s="15" t="n"/>
      <c r="J2755" s="19" t="n">
        <v>3</v>
      </c>
      <c r="K2755" s="2" t="inlineStr">
        <is>
          <t>marker_905_385095.png</t>
        </is>
      </c>
      <c r="L2755" s="11">
        <f>HYPERLINK("3\1\" &amp; K2755, "Ver Imagen")</f>
        <v/>
      </c>
      <c r="M2755" t="inlineStr">
        <is>
          <t>Moda</t>
        </is>
      </c>
    </row>
    <row r="2756">
      <c r="A2756" t="n">
        <v>2755</v>
      </c>
      <c r="B2756" t="inlineStr">
        <is>
          <t>A-5058__378</t>
        </is>
      </c>
      <c r="C2756" s="1" t="n">
        <v>37.2550172303</v>
      </c>
      <c r="D2756" s="1" t="n">
        <v>-7.10900508002</v>
      </c>
      <c r="E2756" s="3" t="n">
        <v>3</v>
      </c>
      <c r="F2756" s="2" t="n">
        <v>2</v>
      </c>
      <c r="G2756" s="4" t="n">
        <v>3</v>
      </c>
      <c r="H2756" s="13" t="n"/>
      <c r="I2756" s="15" t="n"/>
      <c r="J2756" s="19" t="n">
        <v>3</v>
      </c>
      <c r="K2756" s="2" t="inlineStr">
        <is>
          <t>marker_681_385174.png</t>
        </is>
      </c>
      <c r="L2756" s="11">
        <f>HYPERLINK("3\1\" &amp; K2756, "Ver Imagen")</f>
        <v/>
      </c>
      <c r="M2756" t="inlineStr">
        <is>
          <t>Moda</t>
        </is>
      </c>
    </row>
    <row r="2757">
      <c r="A2757" t="n">
        <v>2756</v>
      </c>
      <c r="B2757" t="inlineStr">
        <is>
          <t>A-5058__388</t>
        </is>
      </c>
      <c r="C2757" s="1" t="n">
        <v>37.2553552575</v>
      </c>
      <c r="D2757" s="1" t="n">
        <v>-7.11142299863</v>
      </c>
      <c r="E2757" s="3" t="n">
        <v>3</v>
      </c>
      <c r="F2757" s="2" t="n">
        <v>2</v>
      </c>
      <c r="G2757" s="4" t="n">
        <v>3</v>
      </c>
      <c r="H2757" s="13" t="n"/>
      <c r="I2757" s="15" t="n"/>
      <c r="J2757" s="19" t="n">
        <v>3</v>
      </c>
      <c r="K2757" s="2" t="inlineStr">
        <is>
          <t>marker_529_385286.png</t>
        </is>
      </c>
      <c r="L2757" s="11">
        <f>HYPERLINK("3\1\" &amp; K2757, "Ver Imagen")</f>
        <v/>
      </c>
      <c r="M2757" t="inlineStr">
        <is>
          <t>Moda</t>
        </is>
      </c>
    </row>
    <row r="2758">
      <c r="A2758" t="n">
        <v>2757</v>
      </c>
      <c r="B2758" t="inlineStr">
        <is>
          <t>A-5058__391</t>
        </is>
      </c>
      <c r="C2758" s="1" t="n">
        <v>37.2552290609</v>
      </c>
      <c r="D2758" s="1" t="n">
        <v>-7.11217570008</v>
      </c>
      <c r="E2758" s="3" t="n">
        <v>3</v>
      </c>
      <c r="F2758" s="2" t="n">
        <v>2</v>
      </c>
      <c r="G2758" s="4" t="n">
        <v>3</v>
      </c>
      <c r="H2758" s="13" t="n"/>
      <c r="I2758" s="15" t="n"/>
      <c r="J2758" s="19" t="n">
        <v>3</v>
      </c>
      <c r="K2758" s="2" t="inlineStr">
        <is>
          <t>marker_467_385314.png</t>
        </is>
      </c>
      <c r="L2758" s="11">
        <f>HYPERLINK("3\1\" &amp; K2758, "Ver Imagen")</f>
        <v/>
      </c>
      <c r="M2758" t="inlineStr">
        <is>
          <t>Moda</t>
        </is>
      </c>
    </row>
    <row r="2759">
      <c r="A2759" t="n">
        <v>2758</v>
      </c>
      <c r="B2759" t="inlineStr">
        <is>
          <t>A-5058__392</t>
        </is>
      </c>
      <c r="C2759" s="1" t="n">
        <v>37.2551766446</v>
      </c>
      <c r="D2759" s="1" t="n">
        <v>-7.11241216443</v>
      </c>
      <c r="E2759" s="3" t="n">
        <v>3</v>
      </c>
      <c r="F2759" s="2" t="n">
        <v>2</v>
      </c>
      <c r="G2759" s="4" t="n">
        <v>3</v>
      </c>
      <c r="H2759" s="13" t="n"/>
      <c r="I2759" s="15" t="n"/>
      <c r="J2759" s="19" t="n">
        <v>3</v>
      </c>
      <c r="K2759" s="2" t="inlineStr">
        <is>
          <t>marker_754_385322.png</t>
        </is>
      </c>
      <c r="L2759" s="11">
        <f>HYPERLINK("3\1\" &amp; K2759, "Ver Imagen")</f>
        <v/>
      </c>
      <c r="M2759" t="inlineStr">
        <is>
          <t>Moda</t>
        </is>
      </c>
    </row>
    <row r="2760">
      <c r="A2760" t="n">
        <v>2759</v>
      </c>
      <c r="B2760" t="inlineStr">
        <is>
          <t>A-5058__398</t>
        </is>
      </c>
      <c r="C2760" s="1" t="n">
        <v>37.254816972</v>
      </c>
      <c r="D2760" s="1" t="n">
        <v>-7.11386953189</v>
      </c>
      <c r="E2760" s="3" t="n">
        <v>3</v>
      </c>
      <c r="F2760" s="2" t="n">
        <v>2</v>
      </c>
      <c r="G2760" s="4" t="n">
        <v>3</v>
      </c>
      <c r="H2760" s="13" t="n"/>
      <c r="I2760" s="15" t="n"/>
      <c r="J2760" s="19" t="n">
        <v>3</v>
      </c>
      <c r="K2760" s="2" t="inlineStr">
        <is>
          <t>marker_357_385404.png</t>
        </is>
      </c>
      <c r="L2760" s="11">
        <f>HYPERLINK("3\1\" &amp; K2760, "Ver Imagen")</f>
        <v/>
      </c>
      <c r="M2760" t="inlineStr">
        <is>
          <t>Moda</t>
        </is>
      </c>
    </row>
    <row r="2761">
      <c r="A2761" t="n">
        <v>2760</v>
      </c>
      <c r="B2761" t="inlineStr">
        <is>
          <t>A-5058__401</t>
        </is>
      </c>
      <c r="C2761" s="1" t="n">
        <v>37.254654362</v>
      </c>
      <c r="D2761" s="1" t="n">
        <v>-7.11458883469</v>
      </c>
      <c r="E2761" s="3" t="n">
        <v>3</v>
      </c>
      <c r="F2761" s="2" t="n">
        <v>2</v>
      </c>
      <c r="G2761" s="4" t="n">
        <v>3</v>
      </c>
      <c r="H2761" s="13" t="n"/>
      <c r="I2761" s="15" t="n"/>
      <c r="J2761" s="19" t="n">
        <v>3</v>
      </c>
      <c r="K2761" s="2" t="inlineStr">
        <is>
          <t>marker_480_388073.png</t>
        </is>
      </c>
      <c r="L2761" s="11">
        <f>HYPERLINK("3\1\" &amp; K2761, "Ver Imagen")</f>
        <v/>
      </c>
      <c r="M2761" t="inlineStr">
        <is>
          <t>Moda</t>
        </is>
      </c>
    </row>
    <row r="2762">
      <c r="A2762" t="n">
        <v>2761</v>
      </c>
      <c r="B2762" t="inlineStr">
        <is>
          <t>A-5058__403</t>
        </is>
      </c>
      <c r="C2762" s="1" t="n">
        <v>37.2545869065</v>
      </c>
      <c r="D2762" s="1" t="n">
        <v>-7.11508469334</v>
      </c>
      <c r="E2762" s="3" t="n">
        <v>3</v>
      </c>
      <c r="F2762" s="2" t="n">
        <v>2</v>
      </c>
      <c r="G2762" s="4" t="n">
        <v>3</v>
      </c>
      <c r="H2762" s="13" t="n"/>
      <c r="I2762" s="15" t="n"/>
      <c r="J2762" s="19" t="n">
        <v>3</v>
      </c>
      <c r="K2762" s="2" t="inlineStr">
        <is>
          <t>marker_392_388527.png</t>
        </is>
      </c>
      <c r="L2762" s="11">
        <f>HYPERLINK("3\1\" &amp; K2762, "Ver Imagen")</f>
        <v/>
      </c>
      <c r="M2762" t="inlineStr">
        <is>
          <t>Moda</t>
        </is>
      </c>
    </row>
    <row r="2763">
      <c r="A2763" t="n">
        <v>2762</v>
      </c>
      <c r="B2763" t="inlineStr">
        <is>
          <t>A-5058__406</t>
        </is>
      </c>
      <c r="C2763" s="1" t="n">
        <v>37.2545875405</v>
      </c>
      <c r="D2763" s="1" t="n">
        <v>-7.11582221974</v>
      </c>
      <c r="E2763" s="3" t="n">
        <v>3</v>
      </c>
      <c r="F2763" s="2" t="n">
        <v>2</v>
      </c>
      <c r="G2763" s="4" t="n">
        <v>3</v>
      </c>
      <c r="H2763" s="13" t="n"/>
      <c r="I2763" s="15" t="n"/>
      <c r="J2763" s="19" t="n">
        <v>3</v>
      </c>
      <c r="K2763" s="2" t="inlineStr">
        <is>
          <t>marker_518_388603.png</t>
        </is>
      </c>
      <c r="L2763" s="11">
        <f>HYPERLINK("3\1\" &amp; K2763, "Ver Imagen")</f>
        <v/>
      </c>
      <c r="M2763" t="inlineStr">
        <is>
          <t>Moda</t>
        </is>
      </c>
    </row>
    <row r="2764">
      <c r="A2764" t="n">
        <v>2763</v>
      </c>
      <c r="B2764" t="inlineStr">
        <is>
          <t>A-5058__409</t>
        </is>
      </c>
      <c r="C2764" s="1" t="n">
        <v>37.2547255806</v>
      </c>
      <c r="D2764" s="1" t="n">
        <v>-7.11655721791</v>
      </c>
      <c r="E2764" s="3" t="n">
        <v>3</v>
      </c>
      <c r="F2764" s="2" t="n">
        <v>2</v>
      </c>
      <c r="G2764" s="4" t="n">
        <v>3</v>
      </c>
      <c r="H2764" s="13" t="n"/>
      <c r="I2764" s="15" t="n"/>
      <c r="J2764" s="19" t="n">
        <v>3</v>
      </c>
      <c r="K2764" s="2" t="inlineStr">
        <is>
          <t>marker_402_388638.png</t>
        </is>
      </c>
      <c r="L2764" s="11">
        <f>HYPERLINK("3\1\" &amp; K2764, "Ver Imagen")</f>
        <v/>
      </c>
      <c r="M2764" t="inlineStr">
        <is>
          <t>Moda</t>
        </is>
      </c>
    </row>
    <row r="2765">
      <c r="A2765" t="n">
        <v>2764</v>
      </c>
      <c r="B2765" t="inlineStr">
        <is>
          <t>A-5058__410</t>
        </is>
      </c>
      <c r="C2765" s="1" t="n">
        <v>37.2547966028</v>
      </c>
      <c r="D2765" s="1" t="n">
        <v>-7.11678051747</v>
      </c>
      <c r="E2765" s="3" t="n">
        <v>3</v>
      </c>
      <c r="F2765" s="2" t="n">
        <v>2</v>
      </c>
      <c r="G2765" s="4" t="n">
        <v>3</v>
      </c>
      <c r="H2765" s="13" t="n"/>
      <c r="I2765" s="15" t="n"/>
      <c r="J2765" s="19" t="n">
        <v>3</v>
      </c>
      <c r="K2765" s="2" t="inlineStr">
        <is>
          <t>marker_498_388648.png</t>
        </is>
      </c>
      <c r="L2765" s="11">
        <f>HYPERLINK("3\1\" &amp; K2765, "Ver Imagen")</f>
        <v/>
      </c>
      <c r="M2765" t="inlineStr">
        <is>
          <t>Moda</t>
        </is>
      </c>
    </row>
    <row r="2766">
      <c r="A2766" t="n">
        <v>2765</v>
      </c>
      <c r="B2766" t="inlineStr">
        <is>
          <t>A-5058__411</t>
        </is>
      </c>
      <c r="C2766" s="1" t="n">
        <v>37.2548965744</v>
      </c>
      <c r="D2766" s="1" t="n">
        <v>-7.1170327352</v>
      </c>
      <c r="E2766" s="3" t="n">
        <v>3</v>
      </c>
      <c r="F2766" s="2" t="n">
        <v>2</v>
      </c>
      <c r="G2766" s="4" t="n">
        <v>3</v>
      </c>
      <c r="H2766" s="13" t="n"/>
      <c r="I2766" s="15" t="n"/>
      <c r="J2766" s="19" t="n">
        <v>3</v>
      </c>
      <c r="K2766" s="2" t="inlineStr">
        <is>
          <t>marker_981_388659.png</t>
        </is>
      </c>
      <c r="L2766" s="11">
        <f>HYPERLINK("3\1\" &amp; K2766, "Ver Imagen")</f>
        <v/>
      </c>
      <c r="M2766" t="inlineStr">
        <is>
          <t>Moda</t>
        </is>
      </c>
    </row>
    <row r="2767">
      <c r="A2767" t="n">
        <v>2766</v>
      </c>
      <c r="B2767" t="inlineStr">
        <is>
          <t>A-5058__417</t>
        </is>
      </c>
      <c r="C2767" s="1" t="n">
        <v>37.2556883888</v>
      </c>
      <c r="D2767" s="1" t="n">
        <v>-7.11813867274</v>
      </c>
      <c r="E2767" s="3" t="n">
        <v>3</v>
      </c>
      <c r="F2767" s="2" t="n">
        <v>2</v>
      </c>
      <c r="G2767" s="4" t="n">
        <v>3</v>
      </c>
      <c r="H2767" s="13" t="n"/>
      <c r="I2767" s="15" t="n"/>
      <c r="J2767" s="19" t="n">
        <v>3</v>
      </c>
      <c r="K2767" s="2" t="inlineStr">
        <is>
          <t>marker_377_388715.png</t>
        </is>
      </c>
      <c r="L2767" s="11">
        <f>HYPERLINK("3\1\" &amp; K2767, "Ver Imagen")</f>
        <v/>
      </c>
      <c r="M2767" t="inlineStr">
        <is>
          <t>Moda</t>
        </is>
      </c>
    </row>
    <row r="2768">
      <c r="A2768" t="n">
        <v>2767</v>
      </c>
      <c r="B2768" t="inlineStr">
        <is>
          <t>A-5058__423</t>
        </is>
      </c>
      <c r="C2768" s="1" t="n">
        <v>37.256728769</v>
      </c>
      <c r="D2768" s="1" t="n">
        <v>-7.11893049813</v>
      </c>
      <c r="E2768" s="3" t="n">
        <v>3</v>
      </c>
      <c r="F2768" s="2" t="n">
        <v>3</v>
      </c>
      <c r="G2768" s="4" t="n">
        <v>4</v>
      </c>
      <c r="H2768" s="13" t="n"/>
      <c r="I2768" s="15" t="n"/>
      <c r="J2768" s="19" t="n">
        <v>3</v>
      </c>
      <c r="K2768" s="2" t="inlineStr">
        <is>
          <t>marker_340_388782.png</t>
        </is>
      </c>
      <c r="L2768" s="11">
        <f>HYPERLINK("3\1\" &amp; K2768, "Ver Imagen")</f>
        <v/>
      </c>
      <c r="M2768" t="inlineStr">
        <is>
          <t>Moda</t>
        </is>
      </c>
    </row>
    <row r="2769">
      <c r="A2769" t="n">
        <v>2768</v>
      </c>
      <c r="B2769" t="inlineStr">
        <is>
          <t>A-5058__433</t>
        </is>
      </c>
      <c r="C2769" s="1" t="n">
        <v>37.2583792063</v>
      </c>
      <c r="D2769" s="1" t="n">
        <v>-7.12034719304</v>
      </c>
      <c r="E2769" s="3" t="n">
        <v>3</v>
      </c>
      <c r="F2769" s="2" t="n">
        <v>2</v>
      </c>
      <c r="G2769" s="4" t="n">
        <v>3</v>
      </c>
      <c r="H2769" s="13" t="n"/>
      <c r="I2769" s="15" t="n"/>
      <c r="J2769" s="19" t="n">
        <v>3</v>
      </c>
      <c r="K2769" s="2" t="inlineStr">
        <is>
          <t>marker_433_388891.png</t>
        </is>
      </c>
      <c r="L2769" s="11">
        <f>HYPERLINK("3\1\" &amp; K2769, "Ver Imagen")</f>
        <v/>
      </c>
      <c r="M2769" t="inlineStr">
        <is>
          <t>Moda</t>
        </is>
      </c>
    </row>
    <row r="2770">
      <c r="A2770" t="n">
        <v>2769</v>
      </c>
      <c r="B2770" t="inlineStr">
        <is>
          <t>A-5058__440</t>
        </is>
      </c>
      <c r="C2770" s="1" t="n">
        <v>37.2587711582</v>
      </c>
      <c r="D2770" s="1" t="n">
        <v>-7.12205072241</v>
      </c>
      <c r="E2770" s="3" t="n">
        <v>3</v>
      </c>
      <c r="F2770" s="2" t="n">
        <v>3</v>
      </c>
      <c r="G2770" s="4" t="n">
        <v>4</v>
      </c>
      <c r="H2770" s="13" t="n"/>
      <c r="I2770" s="15" t="n"/>
      <c r="J2770" s="19" t="n">
        <v>3</v>
      </c>
      <c r="K2770" s="2" t="inlineStr">
        <is>
          <t>marker_983_388969.png</t>
        </is>
      </c>
      <c r="L2770" s="11">
        <f>HYPERLINK("3\1\" &amp; K2770, "Ver Imagen")</f>
        <v/>
      </c>
      <c r="M2770" t="inlineStr">
        <is>
          <t>Moda</t>
        </is>
      </c>
    </row>
    <row r="2771">
      <c r="A2771" t="n">
        <v>2770</v>
      </c>
      <c r="B2771" t="inlineStr">
        <is>
          <t>A-5058__442</t>
        </is>
      </c>
      <c r="C2771" s="1" t="n">
        <v>37.2588148737</v>
      </c>
      <c r="D2771" s="1" t="n">
        <v>-7.12255888644</v>
      </c>
      <c r="E2771" s="3" t="n">
        <v>3</v>
      </c>
      <c r="F2771" s="2" t="n">
        <v>2</v>
      </c>
      <c r="G2771" s="4" t="n">
        <v>3</v>
      </c>
      <c r="H2771" s="13" t="n"/>
      <c r="I2771" s="15" t="n"/>
      <c r="J2771" s="19" t="n">
        <v>3</v>
      </c>
      <c r="K2771" s="2" t="inlineStr">
        <is>
          <t>marker_729_389003.png</t>
        </is>
      </c>
      <c r="L2771" s="11">
        <f>HYPERLINK("3\1\" &amp; K2771, "Ver Imagen")</f>
        <v/>
      </c>
      <c r="M2771" t="inlineStr">
        <is>
          <t>Moda</t>
        </is>
      </c>
    </row>
    <row r="2772">
      <c r="A2772" t="n">
        <v>2771</v>
      </c>
      <c r="B2772" t="inlineStr">
        <is>
          <t>A-5058__456</t>
        </is>
      </c>
      <c r="C2772" s="1" t="n">
        <v>37.2594516729</v>
      </c>
      <c r="D2772" s="1" t="n">
        <v>-7.12594618721</v>
      </c>
      <c r="E2772" s="3" t="n">
        <v>3</v>
      </c>
      <c r="F2772" s="2" t="n">
        <v>2</v>
      </c>
      <c r="G2772" s="4" t="n">
        <v>3</v>
      </c>
      <c r="H2772" s="13" t="n"/>
      <c r="I2772" s="15" t="n"/>
      <c r="J2772" s="19" t="n">
        <v>3</v>
      </c>
      <c r="K2772" s="2" t="inlineStr">
        <is>
          <t>marker_744_389152.png</t>
        </is>
      </c>
      <c r="L2772" s="11">
        <f>HYPERLINK("3\1\" &amp; K2772, "Ver Imagen")</f>
        <v/>
      </c>
      <c r="M2772" t="inlineStr">
        <is>
          <t>Moda</t>
        </is>
      </c>
    </row>
    <row r="2773">
      <c r="A2773" t="n">
        <v>2772</v>
      </c>
      <c r="B2773" t="inlineStr">
        <is>
          <t>A-5058__457</t>
        </is>
      </c>
      <c r="C2773" s="1" t="n">
        <v>37.2595882333</v>
      </c>
      <c r="D2773" s="1" t="n">
        <v>-7.12614345187</v>
      </c>
      <c r="E2773" s="3" t="n">
        <v>3</v>
      </c>
      <c r="F2773" s="2" t="n">
        <v>2</v>
      </c>
      <c r="G2773" s="4" t="n">
        <v>3</v>
      </c>
      <c r="H2773" s="13" t="n"/>
      <c r="I2773" s="15" t="n"/>
      <c r="J2773" s="19" t="n">
        <v>3</v>
      </c>
      <c r="K2773" s="2" t="inlineStr">
        <is>
          <t>marker_629_389163.png</t>
        </is>
      </c>
      <c r="L2773" s="11">
        <f>HYPERLINK("3\1\" &amp; K2773, "Ver Imagen")</f>
        <v/>
      </c>
      <c r="M2773" t="inlineStr">
        <is>
          <t>Moda</t>
        </is>
      </c>
    </row>
    <row r="2774">
      <c r="A2774" t="n">
        <v>2773</v>
      </c>
      <c r="B2774" t="inlineStr">
        <is>
          <t>A-5058__460</t>
        </is>
      </c>
      <c r="C2774" s="1" t="n">
        <v>37.2600381142</v>
      </c>
      <c r="D2774" s="1" t="n">
        <v>-7.12663906496</v>
      </c>
      <c r="E2774" s="3" t="n">
        <v>3</v>
      </c>
      <c r="F2774" s="2" t="n">
        <v>2</v>
      </c>
      <c r="G2774" s="4" t="n">
        <v>3</v>
      </c>
      <c r="H2774" s="13" t="n"/>
      <c r="I2774" s="15" t="n"/>
      <c r="J2774" s="19" t="n">
        <v>3</v>
      </c>
      <c r="K2774" s="2" t="inlineStr">
        <is>
          <t>marker_779_389316.png</t>
        </is>
      </c>
      <c r="L2774" s="11">
        <f>HYPERLINK("3\1\" &amp; K2774, "Ver Imagen")</f>
        <v/>
      </c>
      <c r="M2774" t="inlineStr">
        <is>
          <t>Moda</t>
        </is>
      </c>
    </row>
    <row r="2775">
      <c r="A2775" t="n">
        <v>2774</v>
      </c>
      <c r="B2775" t="inlineStr">
        <is>
          <t>A-5058__461</t>
        </is>
      </c>
      <c r="C2775" s="1" t="n">
        <v>37.2602147426</v>
      </c>
      <c r="D2775" s="1" t="n">
        <v>-7.12681308646</v>
      </c>
      <c r="E2775" s="3" t="n">
        <v>3</v>
      </c>
      <c r="F2775" s="2" t="n">
        <v>2</v>
      </c>
      <c r="G2775" s="4" t="n">
        <v>3</v>
      </c>
      <c r="H2775" s="13" t="n"/>
      <c r="I2775" s="15" t="n"/>
      <c r="J2775" s="19" t="n">
        <v>3</v>
      </c>
      <c r="K2775" s="2" t="inlineStr">
        <is>
          <t>marker_497_389325.png</t>
        </is>
      </c>
      <c r="L2775" s="11">
        <f>HYPERLINK("3\1\" &amp; K2775, "Ver Imagen")</f>
        <v/>
      </c>
      <c r="M2775" t="inlineStr">
        <is>
          <t>Moda</t>
        </is>
      </c>
    </row>
    <row r="2776">
      <c r="A2776" t="n">
        <v>2775</v>
      </c>
      <c r="B2776" t="inlineStr">
        <is>
          <t>A-5058__469</t>
        </is>
      </c>
      <c r="C2776" s="1" t="n">
        <v>37.2610885524</v>
      </c>
      <c r="D2776" s="1" t="n">
        <v>-7.12838764378</v>
      </c>
      <c r="E2776" s="3" t="n">
        <v>3</v>
      </c>
      <c r="F2776" s="2" t="n">
        <v>2</v>
      </c>
      <c r="G2776" s="4" t="n">
        <v>3</v>
      </c>
      <c r="H2776" s="13" t="n"/>
      <c r="I2776" s="15" t="n"/>
      <c r="J2776" s="19" t="n">
        <v>3</v>
      </c>
      <c r="K2776" s="2" t="inlineStr">
        <is>
          <t>marker_631_389394.png</t>
        </is>
      </c>
      <c r="L2776" s="11">
        <f>HYPERLINK("3\1\" &amp; K2776, "Ver Imagen")</f>
        <v/>
      </c>
      <c r="M2776" t="inlineStr">
        <is>
          <t>Moda</t>
        </is>
      </c>
    </row>
    <row r="2777">
      <c r="A2777" t="n">
        <v>2776</v>
      </c>
      <c r="B2777" t="inlineStr">
        <is>
          <t>A-495__3</t>
        </is>
      </c>
      <c r="C2777" s="1" t="n">
        <v>37.4440677273</v>
      </c>
      <c r="D2777" s="1" t="n">
        <v>-7.09974542693</v>
      </c>
      <c r="E2777" s="3" t="n">
        <v>3</v>
      </c>
      <c r="F2777" s="2" t="n">
        <v>2</v>
      </c>
      <c r="G2777" s="4" t="n">
        <v>3</v>
      </c>
      <c r="H2777" s="13" t="n"/>
      <c r="I2777" s="15" t="n"/>
      <c r="J2777" s="19" t="n">
        <v>3</v>
      </c>
      <c r="K2777" s="2" t="inlineStr">
        <is>
          <t>marker_542_380997.png</t>
        </is>
      </c>
      <c r="L2777" s="11">
        <f>HYPERLINK("3\1\" &amp; K2777, "Ver Imagen")</f>
        <v/>
      </c>
      <c r="M2777" t="inlineStr">
        <is>
          <t>Moda</t>
        </is>
      </c>
    </row>
    <row r="2778">
      <c r="A2778" t="n">
        <v>2777</v>
      </c>
      <c r="B2778" t="inlineStr">
        <is>
          <t>A-495__4</t>
        </is>
      </c>
      <c r="C2778" s="1" t="n">
        <v>37.444056272</v>
      </c>
      <c r="D2778" s="1" t="n">
        <v>-7.09942689409</v>
      </c>
      <c r="E2778" s="3" t="n">
        <v>3</v>
      </c>
      <c r="F2778" s="2" t="n">
        <v>2</v>
      </c>
      <c r="G2778" s="4" t="n">
        <v>3</v>
      </c>
      <c r="H2778" s="13" t="n"/>
      <c r="I2778" s="15" t="n"/>
      <c r="J2778" s="19" t="n">
        <v>3</v>
      </c>
      <c r="K2778" s="2" t="inlineStr">
        <is>
          <t>marker_513_381018.png</t>
        </is>
      </c>
      <c r="L2778" s="11">
        <f>HYPERLINK("3\1\" &amp; K2778, "Ver Imagen")</f>
        <v/>
      </c>
      <c r="M2778" t="inlineStr">
        <is>
          <t>Moda</t>
        </is>
      </c>
    </row>
    <row r="2779">
      <c r="A2779" t="n">
        <v>2778</v>
      </c>
      <c r="B2779" t="inlineStr">
        <is>
          <t>A-495__6</t>
        </is>
      </c>
      <c r="C2779" s="1" t="n">
        <v>37.444032081</v>
      </c>
      <c r="D2779" s="1" t="n">
        <v>-7.09896077202</v>
      </c>
      <c r="E2779" s="3" t="n">
        <v>3</v>
      </c>
      <c r="F2779" s="2" t="n">
        <v>2</v>
      </c>
      <c r="G2779" s="4" t="n">
        <v>3</v>
      </c>
      <c r="H2779" s="13" t="n"/>
      <c r="I2779" s="15" t="n"/>
      <c r="J2779" s="19" t="n">
        <v>3</v>
      </c>
      <c r="K2779" s="2" t="inlineStr">
        <is>
          <t>marker_676_381039.png</t>
        </is>
      </c>
      <c r="L2779" s="11">
        <f>HYPERLINK("3\1\" &amp; K2779, "Ver Imagen")</f>
        <v/>
      </c>
      <c r="M2779" t="inlineStr">
        <is>
          <t>Moda</t>
        </is>
      </c>
    </row>
    <row r="2780">
      <c r="A2780" t="n">
        <v>2779</v>
      </c>
      <c r="B2780" t="inlineStr">
        <is>
          <t>A-495__7</t>
        </is>
      </c>
      <c r="C2780" s="1" t="n">
        <v>37.4440136849</v>
      </c>
      <c r="D2780" s="1" t="n">
        <v>-7.09865377334</v>
      </c>
      <c r="E2780" s="3" t="n">
        <v>3</v>
      </c>
      <c r="F2780" s="2" t="n">
        <v>2</v>
      </c>
      <c r="G2780" s="4" t="n">
        <v>3</v>
      </c>
      <c r="H2780" s="13" t="n"/>
      <c r="I2780" s="15" t="n"/>
      <c r="J2780" s="19" t="n">
        <v>3</v>
      </c>
      <c r="K2780" s="2" t="inlineStr">
        <is>
          <t>marker_682_381048.png</t>
        </is>
      </c>
      <c r="L2780" s="11">
        <f>HYPERLINK("3\1\" &amp; K2780, "Ver Imagen")</f>
        <v/>
      </c>
      <c r="M2780" t="inlineStr">
        <is>
          <t>Moda</t>
        </is>
      </c>
    </row>
    <row r="2781">
      <c r="A2781" t="n">
        <v>2780</v>
      </c>
      <c r="B2781" t="inlineStr">
        <is>
          <t>A-495__11</t>
        </is>
      </c>
      <c r="C2781" s="1" t="n">
        <v>37.4439650663</v>
      </c>
      <c r="D2781" s="1" t="n">
        <v>-7.09769547895</v>
      </c>
      <c r="E2781" s="3" t="n">
        <v>3</v>
      </c>
      <c r="F2781" s="2" t="n">
        <v>2</v>
      </c>
      <c r="G2781" s="4" t="n">
        <v>3</v>
      </c>
      <c r="H2781" s="13" t="n"/>
      <c r="I2781" s="15" t="n"/>
      <c r="J2781" s="19" t="n">
        <v>3</v>
      </c>
      <c r="K2781" s="2" t="inlineStr">
        <is>
          <t>marker_703_381171.png</t>
        </is>
      </c>
      <c r="L2781" s="11">
        <f>HYPERLINK("3\1\" &amp; K2781, "Ver Imagen")</f>
        <v/>
      </c>
      <c r="M2781" t="inlineStr">
        <is>
          <t>Moda</t>
        </is>
      </c>
    </row>
    <row r="2782">
      <c r="A2782" t="n">
        <v>2781</v>
      </c>
      <c r="B2782" t="inlineStr">
        <is>
          <t>A-495_1__182</t>
        </is>
      </c>
      <c r="C2782" s="1" t="n">
        <v>37.4826107913</v>
      </c>
      <c r="D2782" s="1" t="n">
        <v>-7.12865726778</v>
      </c>
      <c r="E2782" s="3" t="n">
        <v>3</v>
      </c>
      <c r="F2782" s="2" t="n">
        <v>2</v>
      </c>
      <c r="G2782" s="4" t="n">
        <v>3</v>
      </c>
      <c r="H2782" s="13" t="n"/>
      <c r="I2782" s="15" t="n"/>
      <c r="J2782" s="19" t="n">
        <v>3</v>
      </c>
      <c r="K2782" s="2" t="inlineStr">
        <is>
          <t>marker_637_383803.png</t>
        </is>
      </c>
      <c r="L2782" s="11">
        <f>HYPERLINK("3\1\" &amp; K2782, "Ver Imagen")</f>
        <v/>
      </c>
      <c r="M2782" t="inlineStr">
        <is>
          <t>Moda</t>
        </is>
      </c>
    </row>
    <row r="2783">
      <c r="A2783" t="n">
        <v>2782</v>
      </c>
      <c r="B2783" t="inlineStr">
        <is>
          <t>A-495_1__147</t>
        </is>
      </c>
      <c r="C2783" s="1" t="n">
        <v>37.4763602606</v>
      </c>
      <c r="D2783" s="1" t="n">
        <v>-7.12576052569</v>
      </c>
      <c r="E2783" s="3" t="n">
        <v>3</v>
      </c>
      <c r="F2783" s="2" t="n">
        <v>2</v>
      </c>
      <c r="G2783" s="4" t="n">
        <v>3</v>
      </c>
      <c r="H2783" s="13" t="n"/>
      <c r="I2783" s="15" t="n"/>
      <c r="J2783" s="19" t="n">
        <v>3</v>
      </c>
      <c r="K2783" s="2" t="inlineStr">
        <is>
          <t>marker_652_384273.png</t>
        </is>
      </c>
      <c r="L2783" s="11">
        <f>HYPERLINK("3\1\" &amp; K2783, "Ver Imagen")</f>
        <v/>
      </c>
      <c r="M2783" t="inlineStr">
        <is>
          <t>Moda</t>
        </is>
      </c>
    </row>
    <row r="2784">
      <c r="A2784" t="n">
        <v>2783</v>
      </c>
      <c r="B2784" t="inlineStr">
        <is>
          <t>A-495_1__143</t>
        </is>
      </c>
      <c r="C2784" s="1" t="n">
        <v>37.4755611316</v>
      </c>
      <c r="D2784" s="1" t="n">
        <v>-7.12588198387</v>
      </c>
      <c r="E2784" s="3" t="n">
        <v>3</v>
      </c>
      <c r="F2784" s="2" t="n">
        <v>2</v>
      </c>
      <c r="G2784" s="4" t="n">
        <v>3</v>
      </c>
      <c r="H2784" s="13" t="n"/>
      <c r="I2784" s="15" t="n"/>
      <c r="J2784" s="19" t="n">
        <v>3</v>
      </c>
      <c r="K2784" s="2" t="inlineStr">
        <is>
          <t>marker_808_384323.png</t>
        </is>
      </c>
      <c r="L2784" s="11">
        <f>HYPERLINK("3\1\" &amp; K2784, "Ver Imagen")</f>
        <v/>
      </c>
      <c r="M2784" t="inlineStr">
        <is>
          <t>Moda</t>
        </is>
      </c>
    </row>
    <row r="2785">
      <c r="A2785" t="n">
        <v>2784</v>
      </c>
      <c r="B2785" t="inlineStr">
        <is>
          <t>A-495_1__135</t>
        </is>
      </c>
      <c r="C2785" s="1" t="n">
        <v>37.4739428551</v>
      </c>
      <c r="D2785" s="1" t="n">
        <v>-7.12623591955</v>
      </c>
      <c r="E2785" s="3" t="n">
        <v>3</v>
      </c>
      <c r="F2785" s="2" t="n">
        <v>2</v>
      </c>
      <c r="G2785" s="4" t="n">
        <v>3</v>
      </c>
      <c r="H2785" s="13" t="n"/>
      <c r="I2785" s="15" t="n"/>
      <c r="J2785" s="19" t="n">
        <v>3</v>
      </c>
      <c r="K2785" s="2" t="inlineStr">
        <is>
          <t>marker_779_384422.png</t>
        </is>
      </c>
      <c r="L2785" s="11">
        <f>HYPERLINK("3\1\" &amp; K2785, "Ver Imagen")</f>
        <v/>
      </c>
      <c r="M2785" t="inlineStr">
        <is>
          <t>Moda</t>
        </is>
      </c>
    </row>
    <row r="2786">
      <c r="A2786" t="n">
        <v>2785</v>
      </c>
      <c r="B2786" t="inlineStr">
        <is>
          <t>A-495_1__126</t>
        </is>
      </c>
      <c r="C2786" s="1" t="n">
        <v>37.4721710393</v>
      </c>
      <c r="D2786" s="1" t="n">
        <v>-7.1262922658</v>
      </c>
      <c r="E2786" s="3" t="n">
        <v>3</v>
      </c>
      <c r="F2786" s="2" t="n">
        <v>2</v>
      </c>
      <c r="G2786" s="4" t="n">
        <v>3</v>
      </c>
      <c r="H2786" s="13" t="n"/>
      <c r="I2786" s="15" t="n"/>
      <c r="J2786" s="19" t="n">
        <v>3</v>
      </c>
      <c r="K2786" s="2" t="inlineStr">
        <is>
          <t>marker_331_384512.png</t>
        </is>
      </c>
      <c r="L2786" s="11">
        <f>HYPERLINK("3\1\" &amp; K2786, "Ver Imagen")</f>
        <v/>
      </c>
      <c r="M2786" t="inlineStr">
        <is>
          <t>Moda</t>
        </is>
      </c>
    </row>
    <row r="2787">
      <c r="A2787" t="n">
        <v>2786</v>
      </c>
      <c r="B2787" t="inlineStr">
        <is>
          <t>A-495_1__103</t>
        </is>
      </c>
      <c r="C2787" s="1" t="n">
        <v>37.4681331659</v>
      </c>
      <c r="D2787" s="1" t="n">
        <v>-7.12337861739</v>
      </c>
      <c r="E2787" s="3" t="n">
        <v>3</v>
      </c>
      <c r="F2787" s="2" t="n">
        <v>4</v>
      </c>
      <c r="G2787" s="4" t="n">
        <v>3</v>
      </c>
      <c r="H2787" s="13" t="n"/>
      <c r="I2787" s="15" t="n"/>
      <c r="J2787" s="19" t="n">
        <v>3</v>
      </c>
      <c r="K2787" s="2" t="inlineStr">
        <is>
          <t>marker_486_384969.png</t>
        </is>
      </c>
      <c r="L2787" s="11">
        <f>HYPERLINK("3\1\" &amp; K2787, "Ver Imagen")</f>
        <v/>
      </c>
      <c r="M2787" t="inlineStr">
        <is>
          <t>Moda</t>
        </is>
      </c>
    </row>
    <row r="2788">
      <c r="A2788" t="n">
        <v>2787</v>
      </c>
      <c r="B2788" t="inlineStr">
        <is>
          <t>A-495_1__41</t>
        </is>
      </c>
      <c r="C2788" s="1" t="n">
        <v>37.4560882065</v>
      </c>
      <c r="D2788" s="1" t="n">
        <v>-7.12632734777</v>
      </c>
      <c r="E2788" s="3" t="n">
        <v>3</v>
      </c>
      <c r="F2788" s="2" t="n">
        <v>3</v>
      </c>
      <c r="G2788" s="4" t="n">
        <v>2</v>
      </c>
      <c r="H2788" s="13" t="n"/>
      <c r="I2788" s="15" t="n"/>
      <c r="J2788" s="19" t="n">
        <v>3</v>
      </c>
      <c r="K2788" s="2" t="inlineStr">
        <is>
          <t>marker_862_385645.png</t>
        </is>
      </c>
      <c r="L2788" s="11">
        <f>HYPERLINK("3\1\" &amp; K2788, "Ver Imagen")</f>
        <v/>
      </c>
      <c r="M2788" t="inlineStr">
        <is>
          <t>Moda</t>
        </is>
      </c>
    </row>
    <row r="2789">
      <c r="A2789" t="n">
        <v>2788</v>
      </c>
      <c r="B2789" t="inlineStr">
        <is>
          <t>A-495_1__10</t>
        </is>
      </c>
      <c r="C2789" s="1" t="n">
        <v>37.4499114969</v>
      </c>
      <c r="D2789" s="1" t="n">
        <v>-7.12721494966</v>
      </c>
      <c r="E2789" s="3" t="n">
        <v>3</v>
      </c>
      <c r="F2789" s="2" t="n">
        <v>2</v>
      </c>
      <c r="G2789" s="4" t="n">
        <v>3</v>
      </c>
      <c r="H2789" s="13" t="n"/>
      <c r="I2789" s="15" t="n"/>
      <c r="J2789" s="19" t="n">
        <v>3</v>
      </c>
      <c r="K2789" s="2" t="inlineStr">
        <is>
          <t>marker_691_386227.png</t>
        </is>
      </c>
      <c r="L2789" s="11">
        <f>HYPERLINK("3\1\" &amp; K2789, "Ver Imagen")</f>
        <v/>
      </c>
      <c r="M2789" t="inlineStr">
        <is>
          <t>Moda</t>
        </is>
      </c>
    </row>
    <row r="2790">
      <c r="A2790" t="n">
        <v>2789</v>
      </c>
      <c r="B2790" t="inlineStr">
        <is>
          <t>A-499__54</t>
        </is>
      </c>
      <c r="C2790" s="1" t="n">
        <v>37.4957185996</v>
      </c>
      <c r="D2790" s="1" t="n">
        <v>-7.27428404995</v>
      </c>
      <c r="E2790" s="3" t="n">
        <v>3</v>
      </c>
      <c r="F2790" s="2" t="n">
        <v>2</v>
      </c>
      <c r="G2790" s="4" t="n">
        <v>3</v>
      </c>
      <c r="H2790" s="13" t="n"/>
      <c r="I2790" s="15" t="n"/>
      <c r="J2790" s="19" t="n">
        <v>3</v>
      </c>
      <c r="K2790" s="2" t="inlineStr">
        <is>
          <t>marker_439_534935.png</t>
        </is>
      </c>
      <c r="L2790" s="11">
        <f>HYPERLINK("3\1\" &amp; K2790, "Ver Imagen")</f>
        <v/>
      </c>
      <c r="M2790" t="inlineStr">
        <is>
          <t>Moda</t>
        </is>
      </c>
    </row>
    <row r="2791">
      <c r="A2791" t="n">
        <v>2790</v>
      </c>
      <c r="B2791" t="inlineStr">
        <is>
          <t>A-499__67</t>
        </is>
      </c>
      <c r="C2791" s="1" t="n">
        <v>37.4953632287</v>
      </c>
      <c r="D2791" s="1" t="n">
        <v>-7.27102159712</v>
      </c>
      <c r="E2791" s="3" t="n">
        <v>3</v>
      </c>
      <c r="F2791" s="2" t="n">
        <v>2</v>
      </c>
      <c r="G2791" s="4" t="n">
        <v>3</v>
      </c>
      <c r="H2791" s="13" t="n"/>
      <c r="I2791" s="15" t="n"/>
      <c r="J2791" s="19" t="n">
        <v>3</v>
      </c>
      <c r="K2791" s="2" t="inlineStr">
        <is>
          <t>marker_963_535145.png</t>
        </is>
      </c>
      <c r="L2791" s="11">
        <f>HYPERLINK("3\1\" &amp; K2791, "Ver Imagen")</f>
        <v/>
      </c>
      <c r="M2791" t="inlineStr">
        <is>
          <t>Moda</t>
        </is>
      </c>
    </row>
    <row r="2792">
      <c r="A2792" t="n">
        <v>2791</v>
      </c>
      <c r="B2792" t="inlineStr">
        <is>
          <t>A-499__72</t>
        </is>
      </c>
      <c r="C2792" s="1" t="n">
        <v>37.4954891267</v>
      </c>
      <c r="D2792" s="1" t="n">
        <v>-7.26972688855</v>
      </c>
      <c r="E2792" s="3" t="n">
        <v>3</v>
      </c>
      <c r="F2792" s="2" t="n">
        <v>2</v>
      </c>
      <c r="G2792" s="4" t="n">
        <v>3</v>
      </c>
      <c r="H2792" s="13" t="n"/>
      <c r="I2792" s="15" t="n"/>
      <c r="J2792" s="19" t="n">
        <v>3</v>
      </c>
      <c r="K2792" s="2" t="inlineStr">
        <is>
          <t>marker_561_535198.png</t>
        </is>
      </c>
      <c r="L2792" s="11">
        <f>HYPERLINK("3\1\" &amp; K2792, "Ver Imagen")</f>
        <v/>
      </c>
      <c r="M2792" t="inlineStr">
        <is>
          <t>Moda</t>
        </is>
      </c>
    </row>
    <row r="2793">
      <c r="A2793" t="n">
        <v>2792</v>
      </c>
      <c r="B2793" t="inlineStr">
        <is>
          <t>A-499__73</t>
        </is>
      </c>
      <c r="C2793" s="1" t="n">
        <v>37.4954825693</v>
      </c>
      <c r="D2793" s="1" t="n">
        <v>-7.26944706682</v>
      </c>
      <c r="E2793" s="3" t="n">
        <v>3</v>
      </c>
      <c r="F2793" s="2" t="n">
        <v>3</v>
      </c>
      <c r="G2793" s="4" t="n">
        <v>4</v>
      </c>
      <c r="H2793" s="13" t="n"/>
      <c r="I2793" s="15" t="n"/>
      <c r="J2793" s="19" t="n">
        <v>3</v>
      </c>
      <c r="K2793" s="2" t="inlineStr">
        <is>
          <t>marker_552_788823.png</t>
        </is>
      </c>
      <c r="L2793" s="11">
        <f>HYPERLINK("3\1\" &amp; K2793, "Ver Imagen")</f>
        <v/>
      </c>
      <c r="M2793" t="inlineStr">
        <is>
          <t>Moda</t>
        </is>
      </c>
    </row>
    <row r="2794">
      <c r="A2794" t="n">
        <v>2793</v>
      </c>
      <c r="B2794" t="inlineStr">
        <is>
          <t>A-499__76</t>
        </is>
      </c>
      <c r="C2794" s="1" t="n">
        <v>37.4953891894</v>
      </c>
      <c r="D2794" s="1" t="n">
        <v>-7.2686925487</v>
      </c>
      <c r="E2794" s="3" t="n">
        <v>3</v>
      </c>
      <c r="F2794" s="2" t="n">
        <v>3</v>
      </c>
      <c r="G2794" s="4" t="n">
        <v>4</v>
      </c>
      <c r="H2794" s="13" t="n"/>
      <c r="I2794" s="15" t="n"/>
      <c r="J2794" s="19" t="n">
        <v>3</v>
      </c>
      <c r="K2794" s="2" t="inlineStr">
        <is>
          <t>marker_943_789177.png</t>
        </is>
      </c>
      <c r="L2794" s="11">
        <f>HYPERLINK("3\1\" &amp; K2794, "Ver Imagen")</f>
        <v/>
      </c>
      <c r="M2794" t="inlineStr">
        <is>
          <t>Moda</t>
        </is>
      </c>
    </row>
    <row r="2795">
      <c r="A2795" t="n">
        <v>2794</v>
      </c>
      <c r="B2795" t="inlineStr">
        <is>
          <t>A-499__78</t>
        </is>
      </c>
      <c r="C2795" s="1" t="n">
        <v>37.4953052914</v>
      </c>
      <c r="D2795" s="1" t="n">
        <v>-7.2682363706</v>
      </c>
      <c r="E2795" s="3" t="n">
        <v>4</v>
      </c>
      <c r="F2795" s="2" t="n">
        <v>3</v>
      </c>
      <c r="G2795" s="4" t="n">
        <v>3</v>
      </c>
      <c r="H2795" s="13" t="n"/>
      <c r="I2795" s="15" t="n"/>
      <c r="J2795" s="19" t="n">
        <v>3</v>
      </c>
      <c r="K2795" s="2" t="inlineStr">
        <is>
          <t>marker_731_789221.png</t>
        </is>
      </c>
      <c r="L2795" s="11">
        <f>HYPERLINK("3\1\" &amp; K2795, "Ver Imagen")</f>
        <v/>
      </c>
      <c r="M2795" t="inlineStr">
        <is>
          <t>Moda</t>
        </is>
      </c>
    </row>
    <row r="2796">
      <c r="A2796" t="n">
        <v>2795</v>
      </c>
      <c r="B2796" t="inlineStr">
        <is>
          <t>A-499__86</t>
        </is>
      </c>
      <c r="C2796" s="1" t="n">
        <v>37.4960419056</v>
      </c>
      <c r="D2796" s="1" t="n">
        <v>-7.26816938778</v>
      </c>
      <c r="E2796" s="3" t="n">
        <v>3</v>
      </c>
      <c r="F2796" s="2" t="n">
        <v>3</v>
      </c>
      <c r="G2796" s="4" t="n">
        <v>4</v>
      </c>
      <c r="H2796" s="13" t="n"/>
      <c r="I2796" s="15" t="n"/>
      <c r="J2796" s="19" t="n">
        <v>3</v>
      </c>
      <c r="K2796" s="2" t="inlineStr">
        <is>
          <t>marker_748_789874.png</t>
        </is>
      </c>
      <c r="L2796" s="11">
        <f>HYPERLINK("3\1\" &amp; K2796, "Ver Imagen")</f>
        <v/>
      </c>
      <c r="M2796" t="inlineStr">
        <is>
          <t>Moda</t>
        </is>
      </c>
    </row>
    <row r="2797">
      <c r="A2797" t="n">
        <v>2796</v>
      </c>
      <c r="B2797" t="inlineStr">
        <is>
          <t>A-499__93</t>
        </is>
      </c>
      <c r="C2797" s="1" t="n">
        <v>37.4974278496</v>
      </c>
      <c r="D2797" s="1" t="n">
        <v>-7.26798348101</v>
      </c>
      <c r="E2797" s="3" t="n">
        <v>3</v>
      </c>
      <c r="F2797" s="2" t="n">
        <v>3</v>
      </c>
      <c r="G2797" s="4" t="n">
        <v>2</v>
      </c>
      <c r="H2797" s="13" t="n"/>
      <c r="I2797" s="15" t="n"/>
      <c r="J2797" s="19" t="n">
        <v>3</v>
      </c>
      <c r="K2797" s="2" t="inlineStr">
        <is>
          <t>marker_715_793096.png</t>
        </is>
      </c>
      <c r="L2797" s="11">
        <f>HYPERLINK("3\1\" &amp; K2797, "Ver Imagen")</f>
        <v/>
      </c>
      <c r="M2797" t="inlineStr">
        <is>
          <t>Moda</t>
        </is>
      </c>
    </row>
    <row r="2798">
      <c r="A2798" t="n">
        <v>2797</v>
      </c>
      <c r="B2798" t="inlineStr">
        <is>
          <t>A-499__95</t>
        </is>
      </c>
      <c r="C2798" s="1" t="n">
        <v>37.4978242129</v>
      </c>
      <c r="D2798" s="1" t="n">
        <v>-7.26784673867</v>
      </c>
      <c r="E2798" s="3" t="n">
        <v>3</v>
      </c>
      <c r="F2798" s="2" t="n">
        <v>3</v>
      </c>
      <c r="G2798" s="4" t="n">
        <v>2</v>
      </c>
      <c r="H2798" s="13" t="n"/>
      <c r="I2798" s="15" t="n"/>
      <c r="J2798" s="19" t="n">
        <v>3</v>
      </c>
      <c r="K2798" s="2" t="inlineStr">
        <is>
          <t>marker_693_793137.png</t>
        </is>
      </c>
      <c r="L2798" s="11">
        <f>HYPERLINK("3\1\" &amp; K2798, "Ver Imagen")</f>
        <v/>
      </c>
      <c r="M2798" t="inlineStr">
        <is>
          <t>Moda</t>
        </is>
      </c>
    </row>
    <row r="2799">
      <c r="A2799" t="n">
        <v>2798</v>
      </c>
      <c r="B2799" t="inlineStr">
        <is>
          <t>A-497__836</t>
        </is>
      </c>
      <c r="C2799" s="1" t="n">
        <v>37.1989901729</v>
      </c>
      <c r="D2799" s="1" t="n">
        <v>-6.98282649219</v>
      </c>
      <c r="E2799" s="3" t="n">
        <v>3</v>
      </c>
      <c r="F2799" s="2" t="n">
        <v>2</v>
      </c>
      <c r="G2799" s="4" t="n">
        <v>3</v>
      </c>
      <c r="H2799" s="13" t="n"/>
      <c r="I2799" s="15" t="n"/>
      <c r="J2799" s="19" t="n">
        <v>3</v>
      </c>
      <c r="K2799" s="2" t="inlineStr">
        <is>
          <t>marker_529_367586.png</t>
        </is>
      </c>
      <c r="L2799" s="11">
        <f>HYPERLINK("3\1\" &amp; K2799, "Ver Imagen")</f>
        <v/>
      </c>
      <c r="M2799" t="inlineStr">
        <is>
          <t>Moda</t>
        </is>
      </c>
    </row>
    <row r="2800">
      <c r="A2800" t="n">
        <v>2799</v>
      </c>
      <c r="B2800" t="inlineStr">
        <is>
          <t>A-497__832</t>
        </is>
      </c>
      <c r="C2800" s="1" t="n">
        <v>37.1986215984</v>
      </c>
      <c r="D2800" s="1" t="n">
        <v>-6.98189946538</v>
      </c>
      <c r="E2800" s="3" t="n">
        <v>3</v>
      </c>
      <c r="F2800" s="2" t="n">
        <v>2</v>
      </c>
      <c r="G2800" s="4" t="n">
        <v>3</v>
      </c>
      <c r="H2800" s="13" t="n"/>
      <c r="I2800" s="15" t="n"/>
      <c r="J2800" s="19" t="n">
        <v>3</v>
      </c>
      <c r="K2800" s="2" t="inlineStr">
        <is>
          <t>marker_131_367629.png</t>
        </is>
      </c>
      <c r="L2800" s="11">
        <f>HYPERLINK("3\1\" &amp; K2800, "Ver Imagen")</f>
        <v/>
      </c>
      <c r="M2800" t="inlineStr">
        <is>
          <t>Moda</t>
        </is>
      </c>
    </row>
    <row r="2801">
      <c r="A2801" t="n">
        <v>2800</v>
      </c>
      <c r="B2801" t="inlineStr">
        <is>
          <t>A-497__826</t>
        </is>
      </c>
      <c r="C2801" s="1" t="n">
        <v>37.1979519129</v>
      </c>
      <c r="D2801" s="1" t="n">
        <v>-6.98064176673</v>
      </c>
      <c r="E2801" s="3" t="n">
        <v>3</v>
      </c>
      <c r="F2801" s="2" t="n">
        <v>2</v>
      </c>
      <c r="G2801" s="4" t="n">
        <v>3</v>
      </c>
      <c r="H2801" s="13" t="n"/>
      <c r="I2801" s="15" t="n"/>
      <c r="J2801" s="19" t="n">
        <v>3</v>
      </c>
      <c r="K2801" s="2" t="inlineStr">
        <is>
          <t>marker_203_367688.png</t>
        </is>
      </c>
      <c r="L2801" s="11">
        <f>HYPERLINK("3\1\" &amp; K2801, "Ver Imagen")</f>
        <v/>
      </c>
      <c r="M2801" t="inlineStr">
        <is>
          <t>Moda</t>
        </is>
      </c>
    </row>
    <row r="2802">
      <c r="A2802" t="n">
        <v>2801</v>
      </c>
      <c r="B2802" t="inlineStr">
        <is>
          <t>A-497__822</t>
        </is>
      </c>
      <c r="C2802" s="1" t="n">
        <v>37.1974112164</v>
      </c>
      <c r="D2802" s="1" t="n">
        <v>-6.97991101437</v>
      </c>
      <c r="E2802" s="3" t="n">
        <v>3</v>
      </c>
      <c r="F2802" s="2" t="n">
        <v>2</v>
      </c>
      <c r="G2802" s="4" t="n">
        <v>3</v>
      </c>
      <c r="H2802" s="13" t="n"/>
      <c r="I2802" s="15" t="n"/>
      <c r="J2802" s="19" t="n">
        <v>3</v>
      </c>
      <c r="K2802" s="2" t="inlineStr">
        <is>
          <t>marker_342_367734.png</t>
        </is>
      </c>
      <c r="L2802" s="11">
        <f>HYPERLINK("3\1\" &amp; K2802, "Ver Imagen")</f>
        <v/>
      </c>
      <c r="M2802" t="inlineStr">
        <is>
          <t>Moda</t>
        </is>
      </c>
    </row>
    <row r="2803">
      <c r="A2803" t="n">
        <v>2802</v>
      </c>
      <c r="B2803" t="inlineStr">
        <is>
          <t>A-497__818</t>
        </is>
      </c>
      <c r="C2803" s="1" t="n">
        <v>37.1967839061</v>
      </c>
      <c r="D2803" s="1" t="n">
        <v>-6.97924844608</v>
      </c>
      <c r="E2803" s="3" t="n">
        <v>3</v>
      </c>
      <c r="F2803" s="2" t="n">
        <v>2</v>
      </c>
      <c r="G2803" s="4" t="n">
        <v>3</v>
      </c>
      <c r="H2803" s="13" t="n"/>
      <c r="I2803" s="15" t="n"/>
      <c r="J2803" s="19" t="n">
        <v>3</v>
      </c>
      <c r="K2803" s="2" t="inlineStr">
        <is>
          <t>marker_352_367775.png</t>
        </is>
      </c>
      <c r="L2803" s="11">
        <f>HYPERLINK("3\1\" &amp; K2803, "Ver Imagen")</f>
        <v/>
      </c>
      <c r="M2803" t="inlineStr">
        <is>
          <t>Moda</t>
        </is>
      </c>
    </row>
    <row r="2804">
      <c r="A2804" t="n">
        <v>2803</v>
      </c>
      <c r="B2804" t="inlineStr">
        <is>
          <t>A-497__815</t>
        </is>
      </c>
      <c r="C2804" s="1" t="n">
        <v>37.1962983187</v>
      </c>
      <c r="D2804" s="1" t="n">
        <v>-6.97883966722</v>
      </c>
      <c r="E2804" s="3" t="n">
        <v>3</v>
      </c>
      <c r="F2804" s="2" t="n">
        <v>2</v>
      </c>
      <c r="G2804" s="4" t="n">
        <v>3</v>
      </c>
      <c r="H2804" s="13" t="n"/>
      <c r="I2804" s="15" t="n"/>
      <c r="J2804" s="19" t="n">
        <v>3</v>
      </c>
      <c r="K2804" s="2" t="inlineStr">
        <is>
          <t>marker_815_367801.png</t>
        </is>
      </c>
      <c r="L2804" s="11">
        <f>HYPERLINK("3\1\" &amp; K2804, "Ver Imagen")</f>
        <v/>
      </c>
      <c r="M2804" t="inlineStr">
        <is>
          <t>Moda</t>
        </is>
      </c>
    </row>
    <row r="2805">
      <c r="A2805" t="n">
        <v>2804</v>
      </c>
      <c r="B2805" t="inlineStr">
        <is>
          <t>A-497__813</t>
        </is>
      </c>
      <c r="C2805" s="1" t="n">
        <v>37.1959225546</v>
      </c>
      <c r="D2805" s="1" t="n">
        <v>-6.97857452365</v>
      </c>
      <c r="E2805" s="3" t="n">
        <v>3</v>
      </c>
      <c r="F2805" s="2" t="n">
        <v>2</v>
      </c>
      <c r="G2805" s="4" t="n">
        <v>3</v>
      </c>
      <c r="H2805" s="13" t="n"/>
      <c r="I2805" s="15" t="n"/>
      <c r="J2805" s="19" t="n">
        <v>3</v>
      </c>
      <c r="K2805" s="2" t="inlineStr">
        <is>
          <t>marker_204_367818.png</t>
        </is>
      </c>
      <c r="L2805" s="11">
        <f>HYPERLINK("3\1\" &amp; K2805, "Ver Imagen")</f>
        <v/>
      </c>
      <c r="M2805" t="inlineStr">
        <is>
          <t>Moda</t>
        </is>
      </c>
    </row>
    <row r="2806">
      <c r="A2806" t="n">
        <v>2805</v>
      </c>
      <c r="B2806" t="inlineStr">
        <is>
          <t>A-497__811</t>
        </is>
      </c>
      <c r="C2806" s="1" t="n">
        <v>37.1955746571</v>
      </c>
      <c r="D2806" s="1" t="n">
        <v>-6.97835901767</v>
      </c>
      <c r="E2806" s="3" t="n">
        <v>3</v>
      </c>
      <c r="F2806" s="2" t="n">
        <v>2</v>
      </c>
      <c r="G2806" s="4" t="n">
        <v>3</v>
      </c>
      <c r="H2806" s="13" t="n"/>
      <c r="I2806" s="15" t="n"/>
      <c r="J2806" s="19" t="n">
        <v>3</v>
      </c>
      <c r="K2806" s="2" t="inlineStr">
        <is>
          <t>marker_194_367839.png</t>
        </is>
      </c>
      <c r="L2806" s="11">
        <f>HYPERLINK("3\1\" &amp; K2806, "Ver Imagen")</f>
        <v/>
      </c>
      <c r="M2806" t="inlineStr">
        <is>
          <t>Moda</t>
        </is>
      </c>
    </row>
    <row r="2807">
      <c r="A2807" t="n">
        <v>2806</v>
      </c>
      <c r="B2807" t="inlineStr">
        <is>
          <t>A-497__788</t>
        </is>
      </c>
      <c r="C2807" s="1" t="n">
        <v>37.1910143964</v>
      </c>
      <c r="D2807" s="1" t="n">
        <v>-6.9778787972</v>
      </c>
      <c r="E2807" s="3" t="n">
        <v>3</v>
      </c>
      <c r="F2807" s="2" t="n">
        <v>2</v>
      </c>
      <c r="G2807" s="4" t="n">
        <v>3</v>
      </c>
      <c r="H2807" s="13" t="n"/>
      <c r="I2807" s="15" t="n"/>
      <c r="J2807" s="19" t="n">
        <v>3</v>
      </c>
      <c r="K2807" s="2" t="inlineStr">
        <is>
          <t>marker_478_368083.png</t>
        </is>
      </c>
      <c r="L2807" s="11">
        <f>HYPERLINK("3\1\" &amp; K2807, "Ver Imagen")</f>
        <v/>
      </c>
      <c r="M2807" t="inlineStr">
        <is>
          <t>Moda</t>
        </is>
      </c>
    </row>
    <row r="2808">
      <c r="A2808" t="n">
        <v>2807</v>
      </c>
      <c r="B2808" t="inlineStr">
        <is>
          <t>A-497__778</t>
        </is>
      </c>
      <c r="C2808" s="1" t="n">
        <v>37.1890457602</v>
      </c>
      <c r="D2808" s="1" t="n">
        <v>-6.97841067597</v>
      </c>
      <c r="E2808" s="3" t="n">
        <v>3</v>
      </c>
      <c r="F2808" s="2" t="n">
        <v>2</v>
      </c>
      <c r="G2808" s="4" t="n">
        <v>3</v>
      </c>
      <c r="H2808" s="13" t="n"/>
      <c r="I2808" s="15" t="n"/>
      <c r="J2808" s="19" t="n">
        <v>3</v>
      </c>
      <c r="K2808" s="2" t="inlineStr">
        <is>
          <t>marker_150_368185.png</t>
        </is>
      </c>
      <c r="L2808" s="11">
        <f>HYPERLINK("3\1\" &amp; K2808, "Ver Imagen")</f>
        <v/>
      </c>
      <c r="M2808" t="inlineStr">
        <is>
          <t>Moda</t>
        </is>
      </c>
    </row>
    <row r="2809">
      <c r="A2809" t="n">
        <v>2808</v>
      </c>
      <c r="B2809" t="inlineStr">
        <is>
          <t>A-497__777</t>
        </is>
      </c>
      <c r="C2809" s="1" t="n">
        <v>37.1888333487</v>
      </c>
      <c r="D2809" s="1" t="n">
        <v>-6.97847188933</v>
      </c>
      <c r="E2809" s="3" t="n">
        <v>3</v>
      </c>
      <c r="F2809" s="2" t="n">
        <v>2</v>
      </c>
      <c r="G2809" s="4" t="n">
        <v>3</v>
      </c>
      <c r="H2809" s="13" t="n"/>
      <c r="I2809" s="15" t="n"/>
      <c r="J2809" s="19" t="n">
        <v>3</v>
      </c>
      <c r="K2809" s="2" t="inlineStr">
        <is>
          <t>marker_158_368199.png</t>
        </is>
      </c>
      <c r="L2809" s="11">
        <f>HYPERLINK("3\1\" &amp; K2809, "Ver Imagen")</f>
        <v/>
      </c>
      <c r="M2809" t="inlineStr">
        <is>
          <t>Moda</t>
        </is>
      </c>
    </row>
    <row r="2810">
      <c r="A2810" t="n">
        <v>2809</v>
      </c>
      <c r="B2810" t="inlineStr">
        <is>
          <t>A-499__112</t>
        </is>
      </c>
      <c r="C2810" s="1" t="n">
        <v>37.5011489515</v>
      </c>
      <c r="D2810" s="1" t="n">
        <v>-7.26670862702</v>
      </c>
      <c r="E2810" s="3" t="n">
        <v>3</v>
      </c>
      <c r="F2810" s="2" t="n">
        <v>2</v>
      </c>
      <c r="G2810" s="4" t="n">
        <v>3</v>
      </c>
      <c r="H2810" s="13" t="n"/>
      <c r="I2810" s="15" t="n"/>
      <c r="J2810" s="19" t="n">
        <v>3</v>
      </c>
      <c r="K2810" s="2" t="inlineStr">
        <is>
          <t>marker_462_793433.png</t>
        </is>
      </c>
      <c r="L2810" s="11">
        <f>HYPERLINK("3\1\" &amp; K2810, "Ver Imagen")</f>
        <v/>
      </c>
      <c r="M2810" t="inlineStr">
        <is>
          <t>Moda</t>
        </is>
      </c>
    </row>
    <row r="2811">
      <c r="A2811" t="n">
        <v>2810</v>
      </c>
      <c r="B2811" t="inlineStr">
        <is>
          <t>A-499__115</t>
        </is>
      </c>
      <c r="C2811" s="1" t="n">
        <v>37.5016993322</v>
      </c>
      <c r="D2811" s="1" t="n">
        <v>-7.26652130264</v>
      </c>
      <c r="E2811" s="3" t="n">
        <v>3</v>
      </c>
      <c r="F2811" s="2" t="n">
        <v>2</v>
      </c>
      <c r="G2811" s="4" t="n">
        <v>3</v>
      </c>
      <c r="H2811" s="13" t="n"/>
      <c r="I2811" s="15" t="n"/>
      <c r="J2811" s="19" t="n">
        <v>3</v>
      </c>
      <c r="K2811" s="2" t="inlineStr">
        <is>
          <t>marker_304_793498.png</t>
        </is>
      </c>
      <c r="L2811" s="11">
        <f>HYPERLINK("3\1\" &amp; K2811, "Ver Imagen")</f>
        <v/>
      </c>
      <c r="M2811" t="inlineStr">
        <is>
          <t>Moda</t>
        </is>
      </c>
    </row>
    <row r="2812">
      <c r="A2812" t="n">
        <v>2811</v>
      </c>
      <c r="B2812" t="inlineStr">
        <is>
          <t>A-499__119</t>
        </is>
      </c>
      <c r="C2812" s="1" t="n">
        <v>37.5025050835</v>
      </c>
      <c r="D2812" s="1" t="n">
        <v>-7.26624342189</v>
      </c>
      <c r="E2812" s="3" t="n">
        <v>2</v>
      </c>
      <c r="F2812" s="2" t="n">
        <v>3</v>
      </c>
      <c r="G2812" s="4" t="n">
        <v>3</v>
      </c>
      <c r="H2812" s="13" t="n"/>
      <c r="I2812" s="15" t="n"/>
      <c r="J2812" s="19" t="n">
        <v>3</v>
      </c>
      <c r="K2812" s="2" t="inlineStr">
        <is>
          <t>marker_711_793576.png</t>
        </is>
      </c>
      <c r="L2812" s="11">
        <f>HYPERLINK("3\1\" &amp; K2812, "Ver Imagen")</f>
        <v/>
      </c>
      <c r="M2812" t="inlineStr">
        <is>
          <t>Moda</t>
        </is>
      </c>
    </row>
    <row r="2813">
      <c r="A2813" t="n">
        <v>2812</v>
      </c>
      <c r="B2813" t="inlineStr">
        <is>
          <t>A-499__121</t>
        </is>
      </c>
      <c r="C2813" s="1" t="n">
        <v>37.5028913794</v>
      </c>
      <c r="D2813" s="1" t="n">
        <v>-7.26611482256</v>
      </c>
      <c r="E2813" s="3" t="n">
        <v>2</v>
      </c>
      <c r="F2813" s="2" t="n">
        <v>3</v>
      </c>
      <c r="G2813" s="4" t="n">
        <v>3</v>
      </c>
      <c r="H2813" s="13" t="n"/>
      <c r="I2813" s="15" t="n"/>
      <c r="J2813" s="19" t="n">
        <v>3</v>
      </c>
      <c r="K2813" s="2" t="inlineStr">
        <is>
          <t>marker_187_793629.png</t>
        </is>
      </c>
      <c r="L2813" s="11">
        <f>HYPERLINK("3\1\" &amp; K2813, "Ver Imagen")</f>
        <v/>
      </c>
      <c r="M2813" t="inlineStr">
        <is>
          <t>Moda</t>
        </is>
      </c>
    </row>
    <row r="2814">
      <c r="A2814" t="n">
        <v>2813</v>
      </c>
      <c r="B2814" t="inlineStr">
        <is>
          <t>A-499__186</t>
        </is>
      </c>
      <c r="C2814" s="1" t="n">
        <v>37.5152806519</v>
      </c>
      <c r="D2814" s="1" t="n">
        <v>-7.26853386133</v>
      </c>
      <c r="E2814" s="3" t="n">
        <v>3</v>
      </c>
      <c r="F2814" s="2" t="n">
        <v>2</v>
      </c>
      <c r="G2814" s="4" t="n">
        <v>3</v>
      </c>
      <c r="H2814" s="13" t="n"/>
      <c r="I2814" s="15" t="n"/>
      <c r="J2814" s="19" t="n">
        <v>3</v>
      </c>
      <c r="K2814" s="2" t="inlineStr">
        <is>
          <t>marker_322_795747.png</t>
        </is>
      </c>
      <c r="L2814" s="11">
        <f>HYPERLINK("3\1\" &amp; K2814, "Ver Imagen")</f>
        <v/>
      </c>
      <c r="M2814" t="inlineStr">
        <is>
          <t>Moda</t>
        </is>
      </c>
    </row>
    <row r="2815">
      <c r="A2815" t="n">
        <v>2814</v>
      </c>
      <c r="B2815" t="inlineStr">
        <is>
          <t>A-497_2C__33</t>
        </is>
      </c>
      <c r="C2815" s="1" t="n">
        <v>37.2676785531</v>
      </c>
      <c r="D2815" s="1" t="n">
        <v>-6.9653189</v>
      </c>
      <c r="E2815" s="3" t="n">
        <v>3</v>
      </c>
      <c r="F2815" s="2" t="n">
        <v>2</v>
      </c>
      <c r="G2815" s="4" t="n">
        <v>3</v>
      </c>
      <c r="H2815" s="13" t="n"/>
      <c r="I2815" s="15" t="n"/>
      <c r="J2815" s="19" t="n">
        <v>3</v>
      </c>
      <c r="K2815" s="2" t="inlineStr">
        <is>
          <t>marker_563_654516.png</t>
        </is>
      </c>
      <c r="L2815" s="11">
        <f>HYPERLINK("3\1\" &amp; K2815, "Ver Imagen")</f>
        <v/>
      </c>
      <c r="M2815" t="inlineStr">
        <is>
          <t>Moda</t>
        </is>
      </c>
    </row>
    <row r="2816">
      <c r="A2816" t="n">
        <v>2815</v>
      </c>
      <c r="B2816" t="inlineStr">
        <is>
          <t>A-499__241</t>
        </is>
      </c>
      <c r="C2816" s="1" t="n">
        <v>37.5230874296</v>
      </c>
      <c r="D2816" s="1" t="n">
        <v>-7.25912637975</v>
      </c>
      <c r="E2816" s="3" t="n">
        <v>3</v>
      </c>
      <c r="F2816" s="2" t="n">
        <v>2</v>
      </c>
      <c r="G2816" s="4" t="n">
        <v>3</v>
      </c>
      <c r="H2816" s="13" t="n"/>
      <c r="I2816" s="15" t="n"/>
      <c r="J2816" s="19" t="n">
        <v>3</v>
      </c>
      <c r="K2816" s="2" t="inlineStr">
        <is>
          <t>marker_597_796884.png</t>
        </is>
      </c>
      <c r="L2816" s="11">
        <f>HYPERLINK("3\1\" &amp; K2816, "Ver Imagen")</f>
        <v/>
      </c>
      <c r="M2816" t="inlineStr">
        <is>
          <t>Moda</t>
        </is>
      </c>
    </row>
    <row r="2817">
      <c r="A2817" t="n">
        <v>2816</v>
      </c>
      <c r="B2817" t="inlineStr">
        <is>
          <t>A-497_2C__44</t>
        </is>
      </c>
      <c r="C2817" s="1" t="n">
        <v>37.2678358312</v>
      </c>
      <c r="D2817" s="1" t="n">
        <v>-6.96812571388</v>
      </c>
      <c r="E2817" s="3" t="n">
        <v>3</v>
      </c>
      <c r="F2817" s="2" t="n">
        <v>2</v>
      </c>
      <c r="G2817" s="4" t="n">
        <v>3</v>
      </c>
      <c r="H2817" s="13" t="n"/>
      <c r="I2817" s="15" t="n"/>
      <c r="J2817" s="19" t="n">
        <v>3</v>
      </c>
      <c r="K2817" s="2" t="inlineStr">
        <is>
          <t>marker_778_654683.png</t>
        </is>
      </c>
      <c r="L2817" s="11">
        <f>HYPERLINK("3\1\" &amp; K2817, "Ver Imagen")</f>
        <v/>
      </c>
      <c r="M2817" t="inlineStr">
        <is>
          <t>Moda</t>
        </is>
      </c>
    </row>
    <row r="2818">
      <c r="A2818" t="n">
        <v>2817</v>
      </c>
      <c r="B2818" t="inlineStr">
        <is>
          <t>A-497_2C__45</t>
        </is>
      </c>
      <c r="C2818" s="1" t="n">
        <v>37.2678597323</v>
      </c>
      <c r="D2818" s="1" t="n">
        <v>-6.96838096902</v>
      </c>
      <c r="E2818" s="3" t="n">
        <v>3</v>
      </c>
      <c r="F2818" s="2" t="n">
        <v>2</v>
      </c>
      <c r="G2818" s="4" t="n">
        <v>3</v>
      </c>
      <c r="H2818" s="13" t="n"/>
      <c r="I2818" s="15" t="n"/>
      <c r="J2818" s="19" t="n">
        <v>3</v>
      </c>
      <c r="K2818" s="2" t="inlineStr">
        <is>
          <t>marker_738_654691.png</t>
        </is>
      </c>
      <c r="L2818" s="11">
        <f>HYPERLINK("3\1\" &amp; K2818, "Ver Imagen")</f>
        <v/>
      </c>
      <c r="M2818" t="inlineStr">
        <is>
          <t>Moda</t>
        </is>
      </c>
    </row>
    <row r="2819">
      <c r="A2819" t="n">
        <v>2818</v>
      </c>
      <c r="B2819" t="inlineStr">
        <is>
          <t>A-497_2C__47</t>
        </is>
      </c>
      <c r="C2819" s="1" t="n">
        <v>37.2679053069</v>
      </c>
      <c r="D2819" s="1" t="n">
        <v>-6.96887161925</v>
      </c>
      <c r="E2819" s="3" t="n">
        <v>3</v>
      </c>
      <c r="F2819" s="2" t="n">
        <v>2</v>
      </c>
      <c r="G2819" s="4" t="n">
        <v>3</v>
      </c>
      <c r="H2819" s="13" t="n"/>
      <c r="I2819" s="15" t="n"/>
      <c r="J2819" s="19" t="n">
        <v>3</v>
      </c>
      <c r="K2819" s="2" t="inlineStr">
        <is>
          <t>marker_694_654707.png</t>
        </is>
      </c>
      <c r="L2819" s="11">
        <f>HYPERLINK("3\1\" &amp; K2819, "Ver Imagen")</f>
        <v/>
      </c>
      <c r="M2819" t="inlineStr">
        <is>
          <t>Moda</t>
        </is>
      </c>
    </row>
    <row r="2820">
      <c r="A2820" t="n">
        <v>2819</v>
      </c>
      <c r="B2820" t="inlineStr">
        <is>
          <t>A-497_2C__52</t>
        </is>
      </c>
      <c r="C2820" s="1" t="n">
        <v>37.2680429826</v>
      </c>
      <c r="D2820" s="1" t="n">
        <v>-6.97013913048</v>
      </c>
      <c r="E2820" s="3" t="n">
        <v>3</v>
      </c>
      <c r="F2820" s="2" t="n">
        <v>2</v>
      </c>
      <c r="G2820" s="4" t="n">
        <v>3</v>
      </c>
      <c r="H2820" s="13" t="n"/>
      <c r="I2820" s="15" t="n"/>
      <c r="J2820" s="19" t="n">
        <v>3</v>
      </c>
      <c r="K2820" s="2" t="inlineStr">
        <is>
          <t>marker_137_654774.png</t>
        </is>
      </c>
      <c r="L2820" s="11">
        <f>HYPERLINK("3\1\" &amp; K2820, "Ver Imagen")</f>
        <v/>
      </c>
      <c r="M2820" t="inlineStr">
        <is>
          <t>Moda</t>
        </is>
      </c>
    </row>
    <row r="2821">
      <c r="A2821" t="n">
        <v>2820</v>
      </c>
      <c r="B2821" t="inlineStr">
        <is>
          <t>A-497_2C__55</t>
        </is>
      </c>
      <c r="C2821" s="1" t="n">
        <v>37.2681376022</v>
      </c>
      <c r="D2821" s="1" t="n">
        <v>-6.97087618772</v>
      </c>
      <c r="E2821" s="3" t="n">
        <v>3</v>
      </c>
      <c r="F2821" s="2" t="n">
        <v>2</v>
      </c>
      <c r="G2821" s="4" t="n">
        <v>3</v>
      </c>
      <c r="H2821" s="13" t="n"/>
      <c r="I2821" s="15" t="n"/>
      <c r="J2821" s="19" t="n">
        <v>3</v>
      </c>
      <c r="K2821" s="2" t="inlineStr">
        <is>
          <t>marker_591_654804.png</t>
        </is>
      </c>
      <c r="L2821" s="11">
        <f>HYPERLINK("3\1\" &amp; K2821, "Ver Imagen")</f>
        <v/>
      </c>
      <c r="M2821" t="inlineStr">
        <is>
          <t>Moda</t>
        </is>
      </c>
    </row>
    <row r="2822">
      <c r="A2822" t="n">
        <v>2821</v>
      </c>
      <c r="B2822" t="inlineStr">
        <is>
          <t>A-497_2C__56</t>
        </is>
      </c>
      <c r="C2822" s="1" t="n">
        <v>37.2681744338</v>
      </c>
      <c r="D2822" s="1" t="n">
        <v>-6.97113955796</v>
      </c>
      <c r="E2822" s="3" t="n">
        <v>3</v>
      </c>
      <c r="F2822" s="2" t="n">
        <v>2</v>
      </c>
      <c r="G2822" s="4" t="n">
        <v>3</v>
      </c>
      <c r="H2822" s="13" t="n"/>
      <c r="I2822" s="15" t="n"/>
      <c r="J2822" s="19" t="n">
        <v>3</v>
      </c>
      <c r="K2822" s="2" t="inlineStr">
        <is>
          <t>marker_260_654813.png</t>
        </is>
      </c>
      <c r="L2822" s="11">
        <f>HYPERLINK("3\1\" &amp; K2822, "Ver Imagen")</f>
        <v/>
      </c>
      <c r="M2822" t="inlineStr">
        <is>
          <t>Moda</t>
        </is>
      </c>
    </row>
    <row r="2823">
      <c r="A2823" t="n">
        <v>2822</v>
      </c>
      <c r="B2823" t="inlineStr">
        <is>
          <t>A-497_2C__58</t>
        </is>
      </c>
      <c r="C2823" s="1" t="n">
        <v>37.2682497336</v>
      </c>
      <c r="D2823" s="1" t="n">
        <v>-6.97164412563</v>
      </c>
      <c r="E2823" s="3" t="n">
        <v>3</v>
      </c>
      <c r="F2823" s="2" t="n">
        <v>2</v>
      </c>
      <c r="G2823" s="4" t="n">
        <v>3</v>
      </c>
      <c r="H2823" s="13" t="n"/>
      <c r="I2823" s="15" t="n"/>
      <c r="J2823" s="19" t="n">
        <v>3</v>
      </c>
      <c r="K2823" s="2" t="inlineStr">
        <is>
          <t>marker_350_654855.png</t>
        </is>
      </c>
      <c r="L2823" s="11">
        <f>HYPERLINK("3\1\" &amp; K2823, "Ver Imagen")</f>
        <v/>
      </c>
      <c r="M2823" t="inlineStr">
        <is>
          <t>Moda</t>
        </is>
      </c>
    </row>
    <row r="2824">
      <c r="A2824" t="n">
        <v>2823</v>
      </c>
      <c r="B2824" t="inlineStr">
        <is>
          <t>A-497_2C__60</t>
        </is>
      </c>
      <c r="C2824" s="1" t="n">
        <v>37.2683320963</v>
      </c>
      <c r="D2824" s="1" t="n">
        <v>-6.97214706531</v>
      </c>
      <c r="E2824" s="3" t="n">
        <v>3</v>
      </c>
      <c r="F2824" s="2" t="n">
        <v>2</v>
      </c>
      <c r="G2824" s="4" t="n">
        <v>3</v>
      </c>
      <c r="H2824" s="13" t="n"/>
      <c r="I2824" s="15" t="n"/>
      <c r="J2824" s="19" t="n">
        <v>3</v>
      </c>
      <c r="K2824" s="2" t="inlineStr">
        <is>
          <t>marker_476_654875.png</t>
        </is>
      </c>
      <c r="L2824" s="11">
        <f>HYPERLINK("3\1\" &amp; K2824, "Ver Imagen")</f>
        <v/>
      </c>
      <c r="M2824" t="inlineStr">
        <is>
          <t>Moda</t>
        </is>
      </c>
    </row>
    <row r="2825">
      <c r="A2825" t="n">
        <v>2824</v>
      </c>
      <c r="B2825" t="inlineStr">
        <is>
          <t>A-497_2C__66</t>
        </is>
      </c>
      <c r="C2825" s="1" t="n">
        <v>37.2686058408</v>
      </c>
      <c r="D2825" s="1" t="n">
        <v>-6.97361999545</v>
      </c>
      <c r="E2825" s="3" t="n">
        <v>3</v>
      </c>
      <c r="F2825" s="2" t="n">
        <v>2</v>
      </c>
      <c r="G2825" s="4" t="n">
        <v>3</v>
      </c>
      <c r="H2825" s="13" t="n"/>
      <c r="I2825" s="15" t="n"/>
      <c r="J2825" s="19" t="n">
        <v>3</v>
      </c>
      <c r="K2825" s="2" t="inlineStr">
        <is>
          <t>marker_623_654929.png</t>
        </is>
      </c>
      <c r="L2825" s="11">
        <f>HYPERLINK("3\1\" &amp; K2825, "Ver Imagen")</f>
        <v/>
      </c>
      <c r="M2825" t="inlineStr">
        <is>
          <t>Moda</t>
        </is>
      </c>
    </row>
    <row r="2826">
      <c r="A2826" t="n">
        <v>2825</v>
      </c>
      <c r="B2826" t="inlineStr">
        <is>
          <t>A-497_2C__67</t>
        </is>
      </c>
      <c r="C2826" s="1" t="n">
        <v>37.2686572473</v>
      </c>
      <c r="D2826" s="1" t="n">
        <v>-6.97387554299</v>
      </c>
      <c r="E2826" s="3" t="n">
        <v>3</v>
      </c>
      <c r="F2826" s="2" t="n">
        <v>2</v>
      </c>
      <c r="G2826" s="4" t="n">
        <v>3</v>
      </c>
      <c r="H2826" s="13" t="n"/>
      <c r="I2826" s="15" t="n"/>
      <c r="J2826" s="19" t="n">
        <v>3</v>
      </c>
      <c r="K2826" s="2" t="inlineStr">
        <is>
          <t>marker_612_654937.png</t>
        </is>
      </c>
      <c r="L2826" s="11">
        <f>HYPERLINK("3\1\" &amp; K2826, "Ver Imagen")</f>
        <v/>
      </c>
      <c r="M2826" t="inlineStr">
        <is>
          <t>Moda</t>
        </is>
      </c>
    </row>
    <row r="2827">
      <c r="A2827" t="n">
        <v>2826</v>
      </c>
      <c r="B2827" t="inlineStr">
        <is>
          <t>A-497_2C__71</t>
        </is>
      </c>
      <c r="C2827" s="1" t="n">
        <v>37.26886315</v>
      </c>
      <c r="D2827" s="1" t="n">
        <v>-6.97482699727</v>
      </c>
      <c r="E2827" s="3" t="n">
        <v>3</v>
      </c>
      <c r="F2827" s="2" t="n">
        <v>2</v>
      </c>
      <c r="G2827" s="4" t="n">
        <v>3</v>
      </c>
      <c r="H2827" s="13" t="n"/>
      <c r="I2827" s="15" t="n"/>
      <c r="J2827" s="19" t="n">
        <v>3</v>
      </c>
      <c r="K2827" s="2" t="inlineStr">
        <is>
          <t>marker_564_655048.png</t>
        </is>
      </c>
      <c r="L2827" s="11">
        <f>HYPERLINK("3\1\" &amp; K2827, "Ver Imagen")</f>
        <v/>
      </c>
      <c r="M2827" t="inlineStr">
        <is>
          <t>Moda</t>
        </is>
      </c>
    </row>
    <row r="2828">
      <c r="A2828" t="n">
        <v>2827</v>
      </c>
      <c r="B2828" t="inlineStr">
        <is>
          <t>A-497_2C__73</t>
        </is>
      </c>
      <c r="C2828" s="1" t="n">
        <v>37.268976843</v>
      </c>
      <c r="D2828" s="1" t="n">
        <v>-6.97531898627</v>
      </c>
      <c r="E2828" s="3" t="n">
        <v>3</v>
      </c>
      <c r="F2828" s="2" t="n">
        <v>2</v>
      </c>
      <c r="G2828" s="4" t="n">
        <v>3</v>
      </c>
      <c r="H2828" s="13" t="n"/>
      <c r="I2828" s="15" t="n"/>
      <c r="J2828" s="19" t="n">
        <v>3</v>
      </c>
      <c r="K2828" s="2" t="inlineStr">
        <is>
          <t>marker_680_655064.png</t>
        </is>
      </c>
      <c r="L2828" s="11">
        <f>HYPERLINK("3\1\" &amp; K2828, "Ver Imagen")</f>
        <v/>
      </c>
      <c r="M2828" t="inlineStr">
        <is>
          <t>Moda</t>
        </is>
      </c>
    </row>
    <row r="2829">
      <c r="A2829" t="n">
        <v>2828</v>
      </c>
      <c r="B2829" t="inlineStr">
        <is>
          <t>A-497_2C__79</t>
        </is>
      </c>
      <c r="C2829" s="1" t="n">
        <v>37.2693508642</v>
      </c>
      <c r="D2829" s="1" t="n">
        <v>-6.976762233</v>
      </c>
      <c r="E2829" s="3" t="n">
        <v>4</v>
      </c>
      <c r="F2829" s="2" t="n">
        <v>3</v>
      </c>
      <c r="G2829" s="4" t="n">
        <v>3</v>
      </c>
      <c r="H2829" s="13" t="n"/>
      <c r="I2829" s="15" t="n"/>
      <c r="J2829" s="19" t="n">
        <v>3</v>
      </c>
      <c r="K2829" s="2" t="inlineStr">
        <is>
          <t>marker_206_655117.png</t>
        </is>
      </c>
      <c r="L2829" s="11">
        <f>HYPERLINK("3\1\" &amp; K2829, "Ver Imagen")</f>
        <v/>
      </c>
      <c r="M2829" t="inlineStr">
        <is>
          <t>Moda</t>
        </is>
      </c>
    </row>
    <row r="2830">
      <c r="A2830" t="n">
        <v>2829</v>
      </c>
      <c r="B2830" t="inlineStr">
        <is>
          <t>A-497_2C__84</t>
        </is>
      </c>
      <c r="C2830" s="1" t="n">
        <v>37.2696839356</v>
      </c>
      <c r="D2830" s="1" t="n">
        <v>-6.97793400459</v>
      </c>
      <c r="E2830" s="3" t="n">
        <v>3</v>
      </c>
      <c r="F2830" s="2" t="n">
        <v>2</v>
      </c>
      <c r="G2830" s="4" t="n">
        <v>3</v>
      </c>
      <c r="H2830" s="13" t="n"/>
      <c r="I2830" s="15" t="n"/>
      <c r="J2830" s="19" t="n">
        <v>3</v>
      </c>
      <c r="K2830" s="2" t="inlineStr">
        <is>
          <t>marker_734_655201.png</t>
        </is>
      </c>
      <c r="L2830" s="11">
        <f>HYPERLINK("3\1\" &amp; K2830, "Ver Imagen")</f>
        <v/>
      </c>
      <c r="M2830" t="inlineStr">
        <is>
          <t>Moda</t>
        </is>
      </c>
    </row>
    <row r="2831">
      <c r="A2831" t="n">
        <v>2830</v>
      </c>
      <c r="B2831" t="inlineStr">
        <is>
          <t>A-497_2C__88</t>
        </is>
      </c>
      <c r="C2831" s="1" t="n">
        <v>37.2699591317</v>
      </c>
      <c r="D2831" s="1" t="n">
        <v>-6.97890079704</v>
      </c>
      <c r="E2831" s="3" t="n">
        <v>3</v>
      </c>
      <c r="F2831" s="2" t="n">
        <v>4</v>
      </c>
      <c r="G2831" s="4" t="n">
        <v>3</v>
      </c>
      <c r="H2831" s="13" t="n"/>
      <c r="I2831" s="15" t="n"/>
      <c r="J2831" s="19" t="n">
        <v>3</v>
      </c>
      <c r="K2831" s="2" t="inlineStr">
        <is>
          <t>marker_996_655262.png</t>
        </is>
      </c>
      <c r="L2831" s="11">
        <f>HYPERLINK("3\1\" &amp; K2831, "Ver Imagen")</f>
        <v/>
      </c>
      <c r="M2831" t="inlineStr">
        <is>
          <t>Moda</t>
        </is>
      </c>
    </row>
    <row r="2832">
      <c r="A2832" t="n">
        <v>2831</v>
      </c>
      <c r="B2832" t="inlineStr">
        <is>
          <t>A-497_2C__99</t>
        </is>
      </c>
      <c r="C2832" s="1" t="n">
        <v>37.2707189969</v>
      </c>
      <c r="D2832" s="1" t="n">
        <v>-6.98154575676</v>
      </c>
      <c r="E2832" s="3" t="n">
        <v>3</v>
      </c>
      <c r="F2832" s="2" t="n">
        <v>2</v>
      </c>
      <c r="G2832" s="4" t="n">
        <v>3</v>
      </c>
      <c r="H2832" s="13" t="n"/>
      <c r="I2832" s="15" t="n"/>
      <c r="J2832" s="19" t="n">
        <v>3</v>
      </c>
      <c r="K2832" s="2" t="inlineStr">
        <is>
          <t>marker_736_655433.png</t>
        </is>
      </c>
      <c r="L2832" s="11">
        <f>HYPERLINK("3\1\" &amp; K2832, "Ver Imagen")</f>
        <v/>
      </c>
      <c r="M2832" t="inlineStr">
        <is>
          <t>Moda</t>
        </is>
      </c>
    </row>
    <row r="2833">
      <c r="A2833" t="n">
        <v>2832</v>
      </c>
      <c r="B2833" t="inlineStr">
        <is>
          <t>A-497_2C__101</t>
        </is>
      </c>
      <c r="C2833" s="1" t="n">
        <v>37.2708505312</v>
      </c>
      <c r="D2833" s="1" t="n">
        <v>-6.98199923994</v>
      </c>
      <c r="E2833" s="3" t="n">
        <v>3</v>
      </c>
      <c r="F2833" s="2" t="n">
        <v>2</v>
      </c>
      <c r="G2833" s="4" t="n">
        <v>3</v>
      </c>
      <c r="H2833" s="13" t="n"/>
      <c r="I2833" s="15" t="n"/>
      <c r="J2833" s="19" t="n">
        <v>3</v>
      </c>
      <c r="K2833" s="2" t="inlineStr">
        <is>
          <t>marker_717_655450.png</t>
        </is>
      </c>
      <c r="L2833" s="11">
        <f>HYPERLINK("3\1\" &amp; K2833, "Ver Imagen")</f>
        <v/>
      </c>
      <c r="M2833" t="inlineStr">
        <is>
          <t>Moda</t>
        </is>
      </c>
    </row>
    <row r="2834">
      <c r="A2834" t="n">
        <v>2833</v>
      </c>
      <c r="B2834" t="inlineStr">
        <is>
          <t>A-497_2C__112</t>
        </is>
      </c>
      <c r="C2834" s="1" t="n">
        <v>37.2715935646</v>
      </c>
      <c r="D2834" s="1" t="n">
        <v>-6.98462235567</v>
      </c>
      <c r="E2834" s="3" t="n">
        <v>3</v>
      </c>
      <c r="F2834" s="2" t="n">
        <v>2</v>
      </c>
      <c r="G2834" s="4" t="n">
        <v>3</v>
      </c>
      <c r="H2834" s="13" t="n"/>
      <c r="I2834" s="15" t="n"/>
      <c r="J2834" s="19" t="n">
        <v>3</v>
      </c>
      <c r="K2834" s="2" t="inlineStr">
        <is>
          <t>marker_256_655556.png</t>
        </is>
      </c>
      <c r="L2834" s="11">
        <f>HYPERLINK("3\1\" &amp; K2834, "Ver Imagen")</f>
        <v/>
      </c>
      <c r="M2834" t="inlineStr">
        <is>
          <t>Moda</t>
        </is>
      </c>
    </row>
    <row r="2835">
      <c r="A2835" t="n">
        <v>2834</v>
      </c>
      <c r="B2835" t="inlineStr">
        <is>
          <t>A-497_2C__113</t>
        </is>
      </c>
      <c r="C2835" s="1" t="n">
        <v>37.2716653454</v>
      </c>
      <c r="D2835" s="1" t="n">
        <v>-6.98492048824</v>
      </c>
      <c r="E2835" s="3" t="n">
        <v>3</v>
      </c>
      <c r="F2835" s="2" t="n">
        <v>2</v>
      </c>
      <c r="G2835" s="4" t="n">
        <v>3</v>
      </c>
      <c r="H2835" s="13" t="n"/>
      <c r="I2835" s="15" t="n"/>
      <c r="J2835" s="19" t="n">
        <v>3</v>
      </c>
      <c r="K2835" s="2" t="inlineStr">
        <is>
          <t>marker_192_655617.png</t>
        </is>
      </c>
      <c r="L2835" s="11">
        <f>HYPERLINK("3\1\" &amp; K2835, "Ver Imagen")</f>
        <v/>
      </c>
      <c r="M2835" t="inlineStr">
        <is>
          <t>Moda</t>
        </is>
      </c>
    </row>
    <row r="2836">
      <c r="A2836" t="n">
        <v>2835</v>
      </c>
      <c r="B2836" t="inlineStr">
        <is>
          <t>A-497_2C__143</t>
        </is>
      </c>
      <c r="C2836" s="1" t="n">
        <v>37.2687036069</v>
      </c>
      <c r="D2836" s="1" t="n">
        <v>-6.99055964232</v>
      </c>
      <c r="E2836" s="3" t="n">
        <v>3</v>
      </c>
      <c r="F2836" s="2" t="n">
        <v>2</v>
      </c>
      <c r="G2836" s="4" t="n">
        <v>3</v>
      </c>
      <c r="H2836" s="13" t="n"/>
      <c r="I2836" s="15" t="n"/>
      <c r="J2836" s="19" t="n">
        <v>3</v>
      </c>
      <c r="K2836" s="2" t="inlineStr">
        <is>
          <t>marker_688_655897.png</t>
        </is>
      </c>
      <c r="L2836" s="11">
        <f>HYPERLINK("3\1\" &amp; K2836, "Ver Imagen")</f>
        <v/>
      </c>
      <c r="M2836" t="inlineStr">
        <is>
          <t>Moda</t>
        </is>
      </c>
    </row>
    <row r="2837">
      <c r="A2837" t="n">
        <v>2836</v>
      </c>
      <c r="B2837" t="inlineStr">
        <is>
          <t>A-497__745</t>
        </is>
      </c>
      <c r="C2837" s="1" t="n">
        <v>37.1879602102</v>
      </c>
      <c r="D2837" s="1" t="n">
        <v>-6.97828082278</v>
      </c>
      <c r="E2837" s="3" t="n">
        <v>3</v>
      </c>
      <c r="F2837" s="2" t="n">
        <v>2</v>
      </c>
      <c r="G2837" s="4" t="n">
        <v>3</v>
      </c>
      <c r="H2837" s="13" t="n"/>
      <c r="I2837" s="15" t="n"/>
      <c r="J2837" s="19" t="n">
        <v>3</v>
      </c>
      <c r="K2837" s="2" t="inlineStr">
        <is>
          <t>marker_542_368760.png</t>
        </is>
      </c>
      <c r="L2837" s="11">
        <f>HYPERLINK("3\1\" &amp; K2837, "Ver Imagen")</f>
        <v/>
      </c>
      <c r="M2837" t="inlineStr">
        <is>
          <t>Moda</t>
        </is>
      </c>
    </row>
    <row r="2838">
      <c r="A2838" t="n">
        <v>2837</v>
      </c>
      <c r="B2838" t="inlineStr">
        <is>
          <t>A-497__727</t>
        </is>
      </c>
      <c r="C2838" s="1" t="n">
        <v>37.1915568388</v>
      </c>
      <c r="D2838" s="1" t="n">
        <v>-6.9775947251</v>
      </c>
      <c r="E2838" s="3" t="n">
        <v>3</v>
      </c>
      <c r="F2838" s="2" t="n">
        <v>2</v>
      </c>
      <c r="G2838" s="4" t="n">
        <v>3</v>
      </c>
      <c r="H2838" s="13" t="n"/>
      <c r="I2838" s="15" t="n"/>
      <c r="J2838" s="19" t="n">
        <v>3</v>
      </c>
      <c r="K2838" s="2" t="inlineStr">
        <is>
          <t>marker_197_368993.png</t>
        </is>
      </c>
      <c r="L2838" s="11">
        <f>HYPERLINK("3\1\" &amp; K2838, "Ver Imagen")</f>
        <v/>
      </c>
      <c r="M2838" t="inlineStr">
        <is>
          <t>Moda</t>
        </is>
      </c>
    </row>
    <row r="2839">
      <c r="A2839" t="n">
        <v>2838</v>
      </c>
      <c r="B2839" t="inlineStr">
        <is>
          <t>A-497__722</t>
        </is>
      </c>
      <c r="C2839" s="1" t="n">
        <v>37.1925786358</v>
      </c>
      <c r="D2839" s="1" t="n">
        <v>-6.97748023195</v>
      </c>
      <c r="E2839" s="3" t="n">
        <v>3</v>
      </c>
      <c r="F2839" s="2" t="n">
        <v>2</v>
      </c>
      <c r="G2839" s="4" t="n">
        <v>3</v>
      </c>
      <c r="H2839" s="13" t="n"/>
      <c r="I2839" s="15" t="n"/>
      <c r="J2839" s="19" t="n">
        <v>3</v>
      </c>
      <c r="K2839" s="2" t="inlineStr">
        <is>
          <t>marker_129_369043.png</t>
        </is>
      </c>
      <c r="L2839" s="11">
        <f>HYPERLINK("3\1\" &amp; K2839, "Ver Imagen")</f>
        <v/>
      </c>
      <c r="M2839" t="inlineStr">
        <is>
          <t>Moda</t>
        </is>
      </c>
    </row>
    <row r="2840">
      <c r="A2840" t="n">
        <v>2839</v>
      </c>
      <c r="B2840" t="inlineStr">
        <is>
          <t>A-497__720</t>
        </is>
      </c>
      <c r="C2840" s="1" t="n">
        <v>37.1930026833</v>
      </c>
      <c r="D2840" s="1" t="n">
        <v>-6.9774731311</v>
      </c>
      <c r="E2840" s="3" t="n">
        <v>3</v>
      </c>
      <c r="F2840" s="2" t="n">
        <v>2</v>
      </c>
      <c r="G2840" s="4" t="n">
        <v>3</v>
      </c>
      <c r="H2840" s="13" t="n"/>
      <c r="I2840" s="15" t="n"/>
      <c r="J2840" s="19" t="n">
        <v>3</v>
      </c>
      <c r="K2840" s="2" t="inlineStr">
        <is>
          <t>marker_497_369062.png</t>
        </is>
      </c>
      <c r="L2840" s="11">
        <f>HYPERLINK("3\1\" &amp; K2840, "Ver Imagen")</f>
        <v/>
      </c>
      <c r="M2840" t="inlineStr">
        <is>
          <t>Moda</t>
        </is>
      </c>
    </row>
    <row r="2841">
      <c r="A2841" t="n">
        <v>2840</v>
      </c>
      <c r="B2841" t="inlineStr">
        <is>
          <t>A-497__712</t>
        </is>
      </c>
      <c r="C2841" s="1" t="n">
        <v>37.1945835343</v>
      </c>
      <c r="D2841" s="1" t="n">
        <v>-6.97774073891</v>
      </c>
      <c r="E2841" s="3" t="n">
        <v>3</v>
      </c>
      <c r="F2841" s="2" t="n">
        <v>2</v>
      </c>
      <c r="G2841" s="4" t="n">
        <v>3</v>
      </c>
      <c r="H2841" s="13" t="n"/>
      <c r="I2841" s="15" t="n"/>
      <c r="J2841" s="19" t="n">
        <v>3</v>
      </c>
      <c r="K2841" s="2" t="inlineStr">
        <is>
          <t>marker_812_369151.png</t>
        </is>
      </c>
      <c r="L2841" s="11">
        <f>HYPERLINK("3\1\" &amp; K2841, "Ver Imagen")</f>
        <v/>
      </c>
      <c r="M2841" t="inlineStr">
        <is>
          <t>Moda</t>
        </is>
      </c>
    </row>
    <row r="2842">
      <c r="A2842" t="n">
        <v>2841</v>
      </c>
      <c r="B2842" t="inlineStr">
        <is>
          <t>A-497__710</t>
        </is>
      </c>
      <c r="C2842" s="1" t="n">
        <v>37.1949727983</v>
      </c>
      <c r="D2842" s="1" t="n">
        <v>-6.9778822309</v>
      </c>
      <c r="E2842" s="3" t="n">
        <v>3</v>
      </c>
      <c r="F2842" s="2" t="n">
        <v>2</v>
      </c>
      <c r="G2842" s="4" t="n">
        <v>3</v>
      </c>
      <c r="H2842" s="13" t="n"/>
      <c r="I2842" s="15" t="n"/>
      <c r="J2842" s="19" t="n">
        <v>3</v>
      </c>
      <c r="K2842" s="2" t="inlineStr">
        <is>
          <t>marker_616_370268.png</t>
        </is>
      </c>
      <c r="L2842" s="11">
        <f>HYPERLINK("3\1\" &amp; K2842, "Ver Imagen")</f>
        <v/>
      </c>
      <c r="M2842" t="inlineStr">
        <is>
          <t>Moda</t>
        </is>
      </c>
    </row>
    <row r="2843">
      <c r="A2843" t="n">
        <v>2842</v>
      </c>
      <c r="B2843" t="inlineStr">
        <is>
          <t>A-497__708</t>
        </is>
      </c>
      <c r="C2843" s="1" t="n">
        <v>37.1953358167</v>
      </c>
      <c r="D2843" s="1" t="n">
        <v>-6.97804190183</v>
      </c>
      <c r="E2843" s="3" t="n">
        <v>3</v>
      </c>
      <c r="F2843" s="2" t="n">
        <v>2</v>
      </c>
      <c r="G2843" s="4" t="n">
        <v>3</v>
      </c>
      <c r="H2843" s="13" t="n"/>
      <c r="I2843" s="15" t="n"/>
      <c r="J2843" s="19" t="n">
        <v>3</v>
      </c>
      <c r="K2843" s="2" t="inlineStr">
        <is>
          <t>marker_390_370297.png</t>
        </is>
      </c>
      <c r="L2843" s="11">
        <f>HYPERLINK("3\1\" &amp; K2843, "Ver Imagen")</f>
        <v/>
      </c>
      <c r="M2843" t="inlineStr">
        <is>
          <t>Moda</t>
        </is>
      </c>
    </row>
    <row r="2844">
      <c r="A2844" t="n">
        <v>2843</v>
      </c>
      <c r="B2844" t="inlineStr">
        <is>
          <t>A-497_2C__189</t>
        </is>
      </c>
      <c r="C2844" s="1" t="n">
        <v>37.2647333282</v>
      </c>
      <c r="D2844" s="1" t="n">
        <v>-7.00041779232</v>
      </c>
      <c r="E2844" s="3" t="n">
        <v>3</v>
      </c>
      <c r="F2844" s="2" t="n">
        <v>2</v>
      </c>
      <c r="G2844" s="4" t="n">
        <v>3</v>
      </c>
      <c r="H2844" s="13" t="n"/>
      <c r="I2844" s="15" t="n"/>
      <c r="J2844" s="19" t="n">
        <v>3</v>
      </c>
      <c r="K2844" s="2" t="inlineStr">
        <is>
          <t>marker_434_656411.png</t>
        </is>
      </c>
      <c r="L2844" s="11">
        <f>HYPERLINK("3\1\" &amp; K2844, "Ver Imagen")</f>
        <v/>
      </c>
      <c r="M2844" t="inlineStr">
        <is>
          <t>Moda</t>
        </is>
      </c>
    </row>
    <row r="2845">
      <c r="A2845" t="n">
        <v>2844</v>
      </c>
      <c r="B2845" t="inlineStr">
        <is>
          <t>A-497_2C__195</t>
        </is>
      </c>
      <c r="C2845" s="1" t="n">
        <v>37.2644665592</v>
      </c>
      <c r="D2845" s="1" t="n">
        <v>-7.00190722576</v>
      </c>
      <c r="E2845" s="3" t="n">
        <v>3</v>
      </c>
      <c r="F2845" s="2" t="n">
        <v>2</v>
      </c>
      <c r="G2845" s="4" t="n">
        <v>3</v>
      </c>
      <c r="H2845" s="13" t="n"/>
      <c r="I2845" s="15" t="n"/>
      <c r="J2845" s="19" t="n">
        <v>3</v>
      </c>
      <c r="K2845" s="2" t="inlineStr">
        <is>
          <t>marker_262_656471.png</t>
        </is>
      </c>
      <c r="L2845" s="11">
        <f>HYPERLINK("3\1\" &amp; K2845, "Ver Imagen")</f>
        <v/>
      </c>
      <c r="M2845" t="inlineStr">
        <is>
          <t>Moda</t>
        </is>
      </c>
    </row>
    <row r="2846">
      <c r="A2846" t="n">
        <v>2845</v>
      </c>
      <c r="B2846" t="inlineStr">
        <is>
          <t>A-497_2C__197</t>
        </is>
      </c>
      <c r="C2846" s="1" t="n">
        <v>37.2643751476</v>
      </c>
      <c r="D2846" s="1" t="n">
        <v>-7.002415402</v>
      </c>
      <c r="E2846" s="3" t="n">
        <v>3</v>
      </c>
      <c r="F2846" s="2" t="n">
        <v>2</v>
      </c>
      <c r="G2846" s="4" t="n">
        <v>3</v>
      </c>
      <c r="H2846" s="13" t="n"/>
      <c r="I2846" s="15" t="n"/>
      <c r="J2846" s="19" t="n">
        <v>3</v>
      </c>
      <c r="K2846" s="2" t="inlineStr">
        <is>
          <t>marker_168_656490.png</t>
        </is>
      </c>
      <c r="L2846" s="11">
        <f>HYPERLINK("3\1\" &amp; K2846, "Ver Imagen")</f>
        <v/>
      </c>
      <c r="M2846" t="inlineStr">
        <is>
          <t>Moda</t>
        </is>
      </c>
    </row>
    <row r="2847">
      <c r="A2847" t="n">
        <v>2846</v>
      </c>
      <c r="B2847" t="inlineStr">
        <is>
          <t>A-497_2C__198</t>
        </is>
      </c>
      <c r="C2847" s="1" t="n">
        <v>37.2643314052</v>
      </c>
      <c r="D2847" s="1" t="n">
        <v>-7.00265754285</v>
      </c>
      <c r="E2847" s="3" t="n">
        <v>3</v>
      </c>
      <c r="F2847" s="2" t="n">
        <v>2</v>
      </c>
      <c r="G2847" s="4" t="n">
        <v>3</v>
      </c>
      <c r="H2847" s="13" t="n"/>
      <c r="I2847" s="15" t="n"/>
      <c r="J2847" s="19" t="n">
        <v>3</v>
      </c>
      <c r="K2847" s="2" t="inlineStr">
        <is>
          <t>marker_185_656503.png</t>
        </is>
      </c>
      <c r="L2847" s="11">
        <f>HYPERLINK("3\1\" &amp; K2847, "Ver Imagen")</f>
        <v/>
      </c>
      <c r="M2847" t="inlineStr">
        <is>
          <t>Moda</t>
        </is>
      </c>
    </row>
    <row r="2848">
      <c r="A2848" t="n">
        <v>2847</v>
      </c>
      <c r="B2848" t="inlineStr">
        <is>
          <t>A-497_2C__206</t>
        </is>
      </c>
      <c r="C2848" s="1" t="n">
        <v>37.2639741826</v>
      </c>
      <c r="D2848" s="1" t="n">
        <v>-7.00467665223</v>
      </c>
      <c r="E2848" s="3" t="n">
        <v>3</v>
      </c>
      <c r="F2848" s="2" t="n">
        <v>2</v>
      </c>
      <c r="G2848" s="4" t="n">
        <v>3</v>
      </c>
      <c r="H2848" s="13" t="n"/>
      <c r="I2848" s="15" t="n"/>
      <c r="J2848" s="19" t="n">
        <v>3</v>
      </c>
      <c r="K2848" s="2" t="inlineStr">
        <is>
          <t>marker_711_656611.png</t>
        </is>
      </c>
      <c r="L2848" s="11">
        <f>HYPERLINK("3\1\" &amp; K2848, "Ver Imagen")</f>
        <v/>
      </c>
      <c r="M2848" t="inlineStr">
        <is>
          <t>Moda</t>
        </is>
      </c>
    </row>
    <row r="2849">
      <c r="A2849" t="n">
        <v>2848</v>
      </c>
      <c r="B2849" t="inlineStr">
        <is>
          <t>A-497__694</t>
        </is>
      </c>
      <c r="C2849" s="1" t="n">
        <v>37.1976955087</v>
      </c>
      <c r="D2849" s="1" t="n">
        <v>-6.98000108116</v>
      </c>
      <c r="E2849" s="3" t="n">
        <v>3</v>
      </c>
      <c r="F2849" s="2" t="n">
        <v>2</v>
      </c>
      <c r="G2849" s="4" t="n">
        <v>3</v>
      </c>
      <c r="H2849" s="13" t="n"/>
      <c r="I2849" s="15" t="n"/>
      <c r="J2849" s="19" t="n">
        <v>3</v>
      </c>
      <c r="K2849" s="2" t="inlineStr">
        <is>
          <t>marker_422_370439.png</t>
        </is>
      </c>
      <c r="L2849" s="11">
        <f>HYPERLINK("3\1\" &amp; K2849, "Ver Imagen")</f>
        <v/>
      </c>
      <c r="M2849" t="inlineStr">
        <is>
          <t>Moda</t>
        </is>
      </c>
    </row>
    <row r="2850">
      <c r="A2850" t="n">
        <v>2849</v>
      </c>
      <c r="B2850" t="inlineStr">
        <is>
          <t>A-497__693</t>
        </is>
      </c>
      <c r="C2850" s="1" t="n">
        <v>37.1978342991</v>
      </c>
      <c r="D2850" s="1" t="n">
        <v>-6.98018530604</v>
      </c>
      <c r="E2850" s="3" t="n">
        <v>3</v>
      </c>
      <c r="F2850" s="2" t="n">
        <v>2</v>
      </c>
      <c r="G2850" s="4" t="n">
        <v>3</v>
      </c>
      <c r="H2850" s="13" t="n"/>
      <c r="I2850" s="15" t="n"/>
      <c r="J2850" s="19" t="n">
        <v>3</v>
      </c>
      <c r="K2850" s="2" t="inlineStr">
        <is>
          <t>marker_600_370447.png</t>
        </is>
      </c>
      <c r="L2850" s="11">
        <f>HYPERLINK("3\1\" &amp; K2850, "Ver Imagen")</f>
        <v/>
      </c>
      <c r="M2850" t="inlineStr">
        <is>
          <t>Moda</t>
        </is>
      </c>
    </row>
    <row r="2851">
      <c r="A2851" t="n">
        <v>2850</v>
      </c>
      <c r="B2851" t="inlineStr">
        <is>
          <t>A-497__692</t>
        </is>
      </c>
      <c r="C2851" s="1" t="n">
        <v>37.1979611114</v>
      </c>
      <c r="D2851" s="1" t="n">
        <v>-6.98036584927</v>
      </c>
      <c r="E2851" s="3" t="n">
        <v>3</v>
      </c>
      <c r="F2851" s="2" t="n">
        <v>2</v>
      </c>
      <c r="G2851" s="4" t="n">
        <v>3</v>
      </c>
      <c r="H2851" s="13" t="n"/>
      <c r="I2851" s="15" t="n"/>
      <c r="J2851" s="19" t="n">
        <v>3</v>
      </c>
      <c r="K2851" s="2" t="inlineStr">
        <is>
          <t>marker_254_370455.png</t>
        </is>
      </c>
      <c r="L2851" s="11">
        <f>HYPERLINK("3\1\" &amp; K2851, "Ver Imagen")</f>
        <v/>
      </c>
      <c r="M2851" t="inlineStr">
        <is>
          <t>Moda</t>
        </is>
      </c>
    </row>
    <row r="2852">
      <c r="A2852" t="n">
        <v>2851</v>
      </c>
      <c r="B2852" t="inlineStr">
        <is>
          <t>A-497_2C__217</t>
        </is>
      </c>
      <c r="C2852" s="1" t="n">
        <v>37.2634773255</v>
      </c>
      <c r="D2852" s="1" t="n">
        <v>-7.00737027264</v>
      </c>
      <c r="E2852" s="3" t="n">
        <v>3</v>
      </c>
      <c r="F2852" s="2" t="n">
        <v>2</v>
      </c>
      <c r="G2852" s="4" t="n">
        <v>3</v>
      </c>
      <c r="H2852" s="13" t="n"/>
      <c r="I2852" s="15" t="n"/>
      <c r="J2852" s="19" t="n">
        <v>3</v>
      </c>
      <c r="K2852" s="2" t="inlineStr">
        <is>
          <t>marker_780_656727.png</t>
        </is>
      </c>
      <c r="L2852" s="11">
        <f>HYPERLINK("3\1\" &amp; K2852, "Ver Imagen")</f>
        <v/>
      </c>
      <c r="M2852" t="inlineStr">
        <is>
          <t>Moda</t>
        </is>
      </c>
    </row>
    <row r="2853">
      <c r="A2853" t="n">
        <v>2852</v>
      </c>
      <c r="B2853" t="inlineStr">
        <is>
          <t>A-497__687</t>
        </is>
      </c>
      <c r="C2853" s="1" t="n">
        <v>37.1985553699</v>
      </c>
      <c r="D2853" s="1" t="n">
        <v>-6.98138376145</v>
      </c>
      <c r="E2853" s="3" t="n">
        <v>3</v>
      </c>
      <c r="F2853" s="2" t="n">
        <v>2</v>
      </c>
      <c r="G2853" s="4" t="n">
        <v>3</v>
      </c>
      <c r="H2853" s="13" t="n"/>
      <c r="I2853" s="15" t="n"/>
      <c r="J2853" s="19" t="n">
        <v>3</v>
      </c>
      <c r="K2853" s="2" t="inlineStr">
        <is>
          <t>marker_619_370504.png</t>
        </is>
      </c>
      <c r="L2853" s="11">
        <f>HYPERLINK("3\1\" &amp; K2853, "Ver Imagen")</f>
        <v/>
      </c>
      <c r="M2853" t="inlineStr">
        <is>
          <t>Moda</t>
        </is>
      </c>
    </row>
    <row r="2854">
      <c r="A2854" t="n">
        <v>2853</v>
      </c>
      <c r="B2854" t="inlineStr">
        <is>
          <t>A-497_2C__227</t>
        </is>
      </c>
      <c r="C2854" s="1" t="n">
        <v>37.2625507383</v>
      </c>
      <c r="D2854" s="1" t="n">
        <v>-7.00959361126</v>
      </c>
      <c r="E2854" s="3" t="n">
        <v>3</v>
      </c>
      <c r="F2854" s="2" t="n">
        <v>2</v>
      </c>
      <c r="G2854" s="4" t="n">
        <v>3</v>
      </c>
      <c r="H2854" s="13" t="n"/>
      <c r="I2854" s="15" t="n"/>
      <c r="J2854" s="19" t="n">
        <v>3</v>
      </c>
      <c r="K2854" s="2" t="inlineStr">
        <is>
          <t>marker_560_656856.png</t>
        </is>
      </c>
      <c r="L2854" s="11">
        <f>HYPERLINK("3\1\" &amp; K2854, "Ver Imagen")</f>
        <v/>
      </c>
      <c r="M2854" t="inlineStr">
        <is>
          <t>Moda</t>
        </is>
      </c>
    </row>
    <row r="2855">
      <c r="A2855" t="n">
        <v>2854</v>
      </c>
      <c r="B2855" t="inlineStr">
        <is>
          <t>A-497_2C__239</t>
        </is>
      </c>
      <c r="C2855" s="1" t="n">
        <v>37.2606126973</v>
      </c>
      <c r="D2855" s="1" t="n">
        <v>-7.01131865043</v>
      </c>
      <c r="E2855" s="3" t="n">
        <v>3</v>
      </c>
      <c r="F2855" s="2" t="n">
        <v>2</v>
      </c>
      <c r="G2855" s="4" t="n">
        <v>3</v>
      </c>
      <c r="H2855" s="13" t="n"/>
      <c r="I2855" s="15" t="n"/>
      <c r="J2855" s="19" t="n">
        <v>3</v>
      </c>
      <c r="K2855" s="2" t="inlineStr">
        <is>
          <t>marker_173_656982.png</t>
        </is>
      </c>
      <c r="L2855" s="11">
        <f>HYPERLINK("3\1\" &amp; K2855, "Ver Imagen")</f>
        <v/>
      </c>
      <c r="M2855" t="inlineStr">
        <is>
          <t>Moda</t>
        </is>
      </c>
    </row>
    <row r="2856">
      <c r="A2856" t="n">
        <v>2855</v>
      </c>
      <c r="B2856" t="inlineStr">
        <is>
          <t>A-497__667</t>
        </is>
      </c>
      <c r="C2856" s="1" t="n">
        <v>37.200065761</v>
      </c>
      <c r="D2856" s="1" t="n">
        <v>-6.98610543342</v>
      </c>
      <c r="E2856" s="3" t="n">
        <v>3</v>
      </c>
      <c r="F2856" s="2" t="n">
        <v>2</v>
      </c>
      <c r="G2856" s="4" t="n">
        <v>3</v>
      </c>
      <c r="H2856" s="13" t="n"/>
      <c r="I2856" s="15" t="n"/>
      <c r="J2856" s="19" t="n">
        <v>3</v>
      </c>
      <c r="K2856" s="2" t="inlineStr">
        <is>
          <t>marker_119_371051.png</t>
        </is>
      </c>
      <c r="L2856" s="11">
        <f>HYPERLINK("3\1\" &amp; K2856, "Ver Imagen")</f>
        <v/>
      </c>
      <c r="M2856" t="inlineStr">
        <is>
          <t>Moda</t>
        </is>
      </c>
    </row>
    <row r="2857">
      <c r="A2857" t="n">
        <v>2856</v>
      </c>
      <c r="B2857" t="inlineStr">
        <is>
          <t>A-497__666</t>
        </is>
      </c>
      <c r="C2857" s="1" t="n">
        <v>37.2001359673</v>
      </c>
      <c r="D2857" s="1" t="n">
        <v>-6.98639427637</v>
      </c>
      <c r="E2857" s="3" t="n">
        <v>3</v>
      </c>
      <c r="F2857" s="2" t="n">
        <v>2</v>
      </c>
      <c r="G2857" s="4" t="n">
        <v>3</v>
      </c>
      <c r="H2857" s="13" t="n"/>
      <c r="I2857" s="15" t="n"/>
      <c r="J2857" s="19" t="n">
        <v>3</v>
      </c>
      <c r="K2857" s="2" t="inlineStr">
        <is>
          <t>marker_198_371060.png</t>
        </is>
      </c>
      <c r="L2857" s="11">
        <f>HYPERLINK("3\1\" &amp; K2857, "Ver Imagen")</f>
        <v/>
      </c>
      <c r="M2857" t="inlineStr">
        <is>
          <t>Moda</t>
        </is>
      </c>
    </row>
    <row r="2858">
      <c r="A2858" t="n">
        <v>2857</v>
      </c>
      <c r="B2858" t="inlineStr">
        <is>
          <t>A-497__657</t>
        </is>
      </c>
      <c r="C2858" s="1" t="n">
        <v>37.20062733</v>
      </c>
      <c r="D2858" s="1" t="n">
        <v>-6.98850268419</v>
      </c>
      <c r="E2858" s="3" t="n">
        <v>3</v>
      </c>
      <c r="F2858" s="2" t="n">
        <v>2</v>
      </c>
      <c r="G2858" s="4" t="n">
        <v>3</v>
      </c>
      <c r="H2858" s="13" t="n"/>
      <c r="I2858" s="15" t="n"/>
      <c r="J2858" s="19" t="n">
        <v>3</v>
      </c>
      <c r="K2858" s="2" t="inlineStr">
        <is>
          <t>marker_430_371174.png</t>
        </is>
      </c>
      <c r="L2858" s="11">
        <f>HYPERLINK("3\1\" &amp; K2858, "Ver Imagen")</f>
        <v/>
      </c>
      <c r="M2858" t="inlineStr">
        <is>
          <t>Moda</t>
        </is>
      </c>
    </row>
    <row r="2859">
      <c r="A2859" t="n">
        <v>2858</v>
      </c>
      <c r="B2859" t="inlineStr">
        <is>
          <t>A-497_2C__253</t>
        </is>
      </c>
      <c r="C2859" s="1" t="n">
        <v>37.2580709091</v>
      </c>
      <c r="D2859" s="1" t="n">
        <v>-7.01293607192</v>
      </c>
      <c r="E2859" s="3" t="n">
        <v>3</v>
      </c>
      <c r="F2859" s="2" t="n">
        <v>2</v>
      </c>
      <c r="G2859" s="4" t="n">
        <v>3</v>
      </c>
      <c r="H2859" s="13" t="n"/>
      <c r="I2859" s="15" t="n"/>
      <c r="J2859" s="19" t="n">
        <v>3</v>
      </c>
      <c r="K2859" s="2" t="inlineStr">
        <is>
          <t>marker_213_319432.png</t>
        </is>
      </c>
      <c r="L2859" s="11">
        <f>HYPERLINK("3\1\" &amp; K2859, "Ver Imagen")</f>
        <v/>
      </c>
      <c r="M2859" t="inlineStr">
        <is>
          <t>Moda</t>
        </is>
      </c>
    </row>
    <row r="2860">
      <c r="A2860" t="n">
        <v>2859</v>
      </c>
      <c r="B2860" t="inlineStr">
        <is>
          <t>A-497__639</t>
        </is>
      </c>
      <c r="C2860" s="1" t="n">
        <v>37.2015302816</v>
      </c>
      <c r="D2860" s="1" t="n">
        <v>-6.99287662036</v>
      </c>
      <c r="E2860" s="3" t="n">
        <v>3</v>
      </c>
      <c r="F2860" s="2" t="n">
        <v>2</v>
      </c>
      <c r="G2860" s="4" t="n">
        <v>3</v>
      </c>
      <c r="H2860" s="13" t="n"/>
      <c r="I2860" s="15" t="n"/>
      <c r="J2860" s="19" t="n">
        <v>3</v>
      </c>
      <c r="K2860" s="2" t="inlineStr">
        <is>
          <t>marker_189_371338.png</t>
        </is>
      </c>
      <c r="L2860" s="11">
        <f>HYPERLINK("3\1\" &amp; K2860, "Ver Imagen")</f>
        <v/>
      </c>
      <c r="M2860" t="inlineStr">
        <is>
          <t>Moda</t>
        </is>
      </c>
    </row>
    <row r="2861">
      <c r="A2861" t="n">
        <v>2860</v>
      </c>
      <c r="B2861" t="inlineStr">
        <is>
          <t>A-497__616</t>
        </is>
      </c>
      <c r="C2861" s="1" t="n">
        <v>37.2024821917</v>
      </c>
      <c r="D2861" s="1" t="n">
        <v>-6.99867480374</v>
      </c>
      <c r="E2861" s="3" t="n">
        <v>3</v>
      </c>
      <c r="F2861" s="2" t="n">
        <v>2</v>
      </c>
      <c r="G2861" s="4" t="n">
        <v>3</v>
      </c>
      <c r="H2861" s="13" t="n"/>
      <c r="I2861" s="15" t="n"/>
      <c r="J2861" s="19" t="n">
        <v>3</v>
      </c>
      <c r="K2861" s="2" t="inlineStr">
        <is>
          <t>marker_733_371567.png</t>
        </is>
      </c>
      <c r="L2861" s="11">
        <f>HYPERLINK("3\1\" &amp; K2861, "Ver Imagen")</f>
        <v/>
      </c>
      <c r="M2861" t="inlineStr">
        <is>
          <t>Moda</t>
        </is>
      </c>
    </row>
    <row r="2862">
      <c r="A2862" t="n">
        <v>2861</v>
      </c>
      <c r="B2862" t="inlineStr">
        <is>
          <t>A-497__609</t>
        </is>
      </c>
      <c r="C2862" s="1" t="n">
        <v>37.2027089075</v>
      </c>
      <c r="D2862" s="1" t="n">
        <v>-7.00038535797</v>
      </c>
      <c r="E2862" s="3" t="n">
        <v>3</v>
      </c>
      <c r="F2862" s="2" t="n">
        <v>2</v>
      </c>
      <c r="G2862" s="4" t="n">
        <v>3</v>
      </c>
      <c r="H2862" s="13" t="n"/>
      <c r="I2862" s="15" t="n"/>
      <c r="J2862" s="19" t="n">
        <v>3</v>
      </c>
      <c r="K2862" s="2" t="inlineStr">
        <is>
          <t>marker_110_371630.png</t>
        </is>
      </c>
      <c r="L2862" s="11">
        <f>HYPERLINK("3\1\" &amp; K2862, "Ver Imagen")</f>
        <v/>
      </c>
      <c r="M2862" t="inlineStr">
        <is>
          <t>Moda</t>
        </is>
      </c>
    </row>
    <row r="2863">
      <c r="A2863" t="n">
        <v>2862</v>
      </c>
      <c r="B2863" t="inlineStr">
        <is>
          <t>A-497__601</t>
        </is>
      </c>
      <c r="C2863" s="1" t="n">
        <v>37.2029430203</v>
      </c>
      <c r="D2863" s="1" t="n">
        <v>-7.00240852837</v>
      </c>
      <c r="E2863" s="3" t="n">
        <v>3</v>
      </c>
      <c r="F2863" s="2" t="n">
        <v>2</v>
      </c>
      <c r="G2863" s="4" t="n">
        <v>3</v>
      </c>
      <c r="H2863" s="13" t="n"/>
      <c r="I2863" s="15" t="n"/>
      <c r="J2863" s="19" t="n">
        <v>3</v>
      </c>
      <c r="K2863" s="2" t="inlineStr">
        <is>
          <t>marker_504_371704.png</t>
        </is>
      </c>
      <c r="L2863" s="11">
        <f>HYPERLINK("3\1\" &amp; K2863, "Ver Imagen")</f>
        <v/>
      </c>
      <c r="M2863" t="inlineStr">
        <is>
          <t>Moda</t>
        </is>
      </c>
    </row>
    <row r="2864">
      <c r="A2864" t="n">
        <v>2863</v>
      </c>
      <c r="B2864" t="inlineStr">
        <is>
          <t>A-497__599</t>
        </is>
      </c>
      <c r="C2864" s="1" t="n">
        <v>37.2029952352</v>
      </c>
      <c r="D2864" s="1" t="n">
        <v>-7.00291043342</v>
      </c>
      <c r="E2864" s="3" t="n">
        <v>3</v>
      </c>
      <c r="F2864" s="2" t="n">
        <v>2</v>
      </c>
      <c r="G2864" s="4" t="n">
        <v>3</v>
      </c>
      <c r="H2864" s="13" t="n"/>
      <c r="I2864" s="15" t="n"/>
      <c r="J2864" s="19" t="n">
        <v>3</v>
      </c>
      <c r="K2864" s="2" t="inlineStr">
        <is>
          <t>marker_154_371722.png</t>
        </is>
      </c>
      <c r="L2864" s="11">
        <f>HYPERLINK("3\1\" &amp; K2864, "Ver Imagen")</f>
        <v/>
      </c>
      <c r="M2864" t="inlineStr">
        <is>
          <t>Moda</t>
        </is>
      </c>
    </row>
    <row r="2865">
      <c r="A2865" t="n">
        <v>2864</v>
      </c>
      <c r="B2865" t="inlineStr">
        <is>
          <t>A-497_2C__271</t>
        </is>
      </c>
      <c r="C2865" s="1" t="n">
        <v>37.2548310082</v>
      </c>
      <c r="D2865" s="1" t="n">
        <v>-7.01500212495</v>
      </c>
      <c r="E2865" s="3" t="n">
        <v>3</v>
      </c>
      <c r="F2865" s="2" t="n">
        <v>4</v>
      </c>
      <c r="G2865" s="4" t="n">
        <v>3</v>
      </c>
      <c r="H2865" s="13" t="n"/>
      <c r="I2865" s="15" t="n"/>
      <c r="J2865" s="19" t="n">
        <v>3</v>
      </c>
      <c r="K2865" s="2" t="inlineStr">
        <is>
          <t>marker_574_319755.png</t>
        </is>
      </c>
      <c r="L2865" s="11">
        <f>HYPERLINK("3\1\" &amp; K2865, "Ver Imagen")</f>
        <v/>
      </c>
      <c r="M2865" t="inlineStr">
        <is>
          <t>Moda</t>
        </is>
      </c>
    </row>
    <row r="2866">
      <c r="A2866" t="n">
        <v>2865</v>
      </c>
      <c r="B2866" t="inlineStr">
        <is>
          <t>A-497_2C__289</t>
        </is>
      </c>
      <c r="C2866" s="1" t="n">
        <v>37.2515882186</v>
      </c>
      <c r="D2866" s="1" t="n">
        <v>-7.01708018961</v>
      </c>
      <c r="E2866" s="3" t="n">
        <v>3</v>
      </c>
      <c r="F2866" s="2" t="n">
        <v>3</v>
      </c>
      <c r="G2866" s="4" t="n">
        <v>4</v>
      </c>
      <c r="H2866" s="13" t="n"/>
      <c r="I2866" s="15" t="n"/>
      <c r="J2866" s="19" t="n">
        <v>3</v>
      </c>
      <c r="K2866" s="2" t="inlineStr">
        <is>
          <t>marker_269_320063.png</t>
        </is>
      </c>
      <c r="L2866" s="11">
        <f>HYPERLINK("3\1\" &amp; K2866, "Ver Imagen")</f>
        <v/>
      </c>
      <c r="M2866" t="inlineStr">
        <is>
          <t>Moda</t>
        </is>
      </c>
    </row>
    <row r="2867">
      <c r="A2867" t="n">
        <v>2866</v>
      </c>
      <c r="B2867" t="inlineStr">
        <is>
          <t>A-497_2C__292</t>
        </is>
      </c>
      <c r="C2867" s="1" t="n">
        <v>37.2510372144</v>
      </c>
      <c r="D2867" s="1" t="n">
        <v>-7.01742893132</v>
      </c>
      <c r="E2867" s="3" t="n">
        <v>3</v>
      </c>
      <c r="F2867" s="2" t="n">
        <v>4</v>
      </c>
      <c r="G2867" s="4" t="n">
        <v>3</v>
      </c>
      <c r="H2867" s="13" t="n"/>
      <c r="I2867" s="15" t="n"/>
      <c r="J2867" s="19" t="n">
        <v>3</v>
      </c>
      <c r="K2867" s="2" t="inlineStr">
        <is>
          <t>marker_911_320093.png</t>
        </is>
      </c>
      <c r="L2867" s="11">
        <f>HYPERLINK("3\1\" &amp; K2867, "Ver Imagen")</f>
        <v/>
      </c>
      <c r="M2867" t="inlineStr">
        <is>
          <t>Moda</t>
        </is>
      </c>
    </row>
    <row r="2868">
      <c r="A2868" t="n">
        <v>2867</v>
      </c>
      <c r="B2868" t="inlineStr">
        <is>
          <t>A-497_2C__293</t>
        </is>
      </c>
      <c r="C2868" s="1" t="n">
        <v>37.2508662848</v>
      </c>
      <c r="D2868" s="1" t="n">
        <v>-7.01753479795</v>
      </c>
      <c r="E2868" s="3" t="n">
        <v>3</v>
      </c>
      <c r="F2868" s="2" t="n">
        <v>4</v>
      </c>
      <c r="G2868" s="4" t="n">
        <v>3</v>
      </c>
      <c r="H2868" s="13" t="n"/>
      <c r="I2868" s="15" t="n"/>
      <c r="J2868" s="19" t="n">
        <v>3</v>
      </c>
      <c r="K2868" s="2" t="inlineStr">
        <is>
          <t>marker_231_320101.png</t>
        </is>
      </c>
      <c r="L2868" s="11">
        <f>HYPERLINK("3\1\" &amp; K2868, "Ver Imagen")</f>
        <v/>
      </c>
      <c r="M2868" t="inlineStr">
        <is>
          <t>Moda</t>
        </is>
      </c>
    </row>
    <row r="2869">
      <c r="A2869" t="n">
        <v>2868</v>
      </c>
      <c r="B2869" t="inlineStr">
        <is>
          <t>A-497_2C__296</t>
        </is>
      </c>
      <c r="C2869" s="1" t="n">
        <v>37.2502909995</v>
      </c>
      <c r="D2869" s="1" t="n">
        <v>-7.01787557661</v>
      </c>
      <c r="E2869" s="3" t="n">
        <v>3</v>
      </c>
      <c r="F2869" s="2" t="n">
        <v>2</v>
      </c>
      <c r="G2869" s="4" t="n">
        <v>3</v>
      </c>
      <c r="H2869" s="13" t="n"/>
      <c r="I2869" s="15" t="n"/>
      <c r="J2869" s="19" t="n">
        <v>3</v>
      </c>
      <c r="K2869" s="2" t="inlineStr">
        <is>
          <t>marker_319_320131.png</t>
        </is>
      </c>
      <c r="L2869" s="11">
        <f>HYPERLINK("3\1\" &amp; K2869, "Ver Imagen")</f>
        <v/>
      </c>
      <c r="M2869" t="inlineStr">
        <is>
          <t>Moda</t>
        </is>
      </c>
    </row>
    <row r="2870">
      <c r="A2870" t="n">
        <v>2869</v>
      </c>
      <c r="B2870" t="inlineStr">
        <is>
          <t>A-497_2C__297</t>
        </is>
      </c>
      <c r="C2870" s="1" t="n">
        <v>37.250105569</v>
      </c>
      <c r="D2870" s="1" t="n">
        <v>-7.017969761</v>
      </c>
      <c r="E2870" s="3" t="n">
        <v>3</v>
      </c>
      <c r="F2870" s="2" t="n">
        <v>2</v>
      </c>
      <c r="G2870" s="4" t="n">
        <v>3</v>
      </c>
      <c r="H2870" s="13" t="n"/>
      <c r="I2870" s="15" t="n"/>
      <c r="J2870" s="19" t="n">
        <v>3</v>
      </c>
      <c r="K2870" s="2" t="inlineStr">
        <is>
          <t>marker_166_320141.png</t>
        </is>
      </c>
      <c r="L2870" s="11">
        <f>HYPERLINK("3\1\" &amp; K2870, "Ver Imagen")</f>
        <v/>
      </c>
      <c r="M2870" t="inlineStr">
        <is>
          <t>Moda</t>
        </is>
      </c>
    </row>
    <row r="2871">
      <c r="A2871" t="n">
        <v>2870</v>
      </c>
      <c r="B2871" t="inlineStr">
        <is>
          <t>A-497_2C__316</t>
        </is>
      </c>
      <c r="C2871" s="1" t="n">
        <v>37.2463247256</v>
      </c>
      <c r="D2871" s="1" t="n">
        <v>-7.01844014261</v>
      </c>
      <c r="E2871" s="3" t="n">
        <v>3</v>
      </c>
      <c r="F2871" s="2" t="n">
        <v>4</v>
      </c>
      <c r="G2871" s="4" t="n">
        <v>3</v>
      </c>
      <c r="H2871" s="13" t="n"/>
      <c r="I2871" s="15" t="n"/>
      <c r="J2871" s="19" t="n">
        <v>3</v>
      </c>
      <c r="K2871" s="2" t="inlineStr">
        <is>
          <t>marker_997_361888.png</t>
        </is>
      </c>
      <c r="L2871" s="11">
        <f>HYPERLINK("3\1\" &amp; K2871, "Ver Imagen")</f>
        <v/>
      </c>
      <c r="M2871" t="inlineStr">
        <is>
          <t>Moda</t>
        </is>
      </c>
    </row>
    <row r="2872">
      <c r="A2872" t="n">
        <v>2871</v>
      </c>
      <c r="B2872" t="inlineStr">
        <is>
          <t>A-497_2C__327</t>
        </is>
      </c>
      <c r="C2872" s="1" t="n">
        <v>37.2440619717</v>
      </c>
      <c r="D2872" s="1" t="n">
        <v>-7.01852293688</v>
      </c>
      <c r="E2872" s="3" t="n">
        <v>3</v>
      </c>
      <c r="F2872" s="2" t="n">
        <v>4</v>
      </c>
      <c r="G2872" s="4" t="n">
        <v>3</v>
      </c>
      <c r="H2872" s="13" t="n"/>
      <c r="I2872" s="15" t="n"/>
      <c r="J2872" s="19" t="n">
        <v>3</v>
      </c>
      <c r="K2872" s="2" t="inlineStr">
        <is>
          <t>marker_710_361991.png</t>
        </is>
      </c>
      <c r="L2872" s="11">
        <f>HYPERLINK("3\1\" &amp; K2872, "Ver Imagen")</f>
        <v/>
      </c>
      <c r="M2872" t="inlineStr">
        <is>
          <t>Moda</t>
        </is>
      </c>
    </row>
    <row r="2873">
      <c r="A2873" t="n">
        <v>2872</v>
      </c>
      <c r="B2873" t="inlineStr">
        <is>
          <t>A-497_2C__335</t>
        </is>
      </c>
      <c r="C2873" s="1" t="n">
        <v>37.2424485434</v>
      </c>
      <c r="D2873" s="1" t="n">
        <v>-7.01858172865</v>
      </c>
      <c r="E2873" s="3" t="n">
        <v>3</v>
      </c>
      <c r="F2873" s="2" t="n">
        <v>4</v>
      </c>
      <c r="G2873" s="4" t="n">
        <v>3</v>
      </c>
      <c r="H2873" s="13" t="n"/>
      <c r="I2873" s="15" t="n"/>
      <c r="J2873" s="19" t="n">
        <v>3</v>
      </c>
      <c r="K2873" s="2" t="inlineStr">
        <is>
          <t>marker_369_362070.png</t>
        </is>
      </c>
      <c r="L2873" s="11">
        <f>HYPERLINK("3\1\" &amp; K2873, "Ver Imagen")</f>
        <v/>
      </c>
      <c r="M2873" t="inlineStr">
        <is>
          <t>Moda</t>
        </is>
      </c>
    </row>
    <row r="2874">
      <c r="A2874" t="n">
        <v>2873</v>
      </c>
      <c r="B2874" t="inlineStr">
        <is>
          <t>A-497__542</t>
        </is>
      </c>
      <c r="C2874" s="1" t="n">
        <v>37.2052997902</v>
      </c>
      <c r="D2874" s="1" t="n">
        <v>-7.01700032524</v>
      </c>
      <c r="E2874" s="3" t="n">
        <v>3</v>
      </c>
      <c r="F2874" s="2" t="n">
        <v>2</v>
      </c>
      <c r="G2874" s="4" t="n">
        <v>3</v>
      </c>
      <c r="H2874" s="13" t="n"/>
      <c r="I2874" s="15" t="n"/>
      <c r="J2874" s="19" t="n">
        <v>3</v>
      </c>
      <c r="K2874" s="2" t="inlineStr">
        <is>
          <t>marker_323_372357.png</t>
        </is>
      </c>
      <c r="L2874" s="11">
        <f>HYPERLINK("3\1\" &amp; K2874, "Ver Imagen")</f>
        <v/>
      </c>
      <c r="M2874" t="inlineStr">
        <is>
          <t>Moda</t>
        </is>
      </c>
    </row>
    <row r="2875">
      <c r="A2875" t="n">
        <v>2874</v>
      </c>
      <c r="B2875" t="inlineStr">
        <is>
          <t>A-497__534</t>
        </is>
      </c>
      <c r="C2875" s="1" t="n">
        <v>37.2058456733</v>
      </c>
      <c r="D2875" s="1" t="n">
        <v>-7.01885605932</v>
      </c>
      <c r="E2875" s="3" t="n">
        <v>3</v>
      </c>
      <c r="F2875" s="2" t="n">
        <v>2</v>
      </c>
      <c r="G2875" s="4" t="n">
        <v>3</v>
      </c>
      <c r="H2875" s="13" t="n"/>
      <c r="I2875" s="15" t="n"/>
      <c r="J2875" s="19" t="n">
        <v>3</v>
      </c>
      <c r="K2875" s="2" t="inlineStr">
        <is>
          <t>marker_668_372456.png</t>
        </is>
      </c>
      <c r="L2875" s="11">
        <f>HYPERLINK("3\1\" &amp; K2875, "Ver Imagen")</f>
        <v/>
      </c>
      <c r="M2875" t="inlineStr">
        <is>
          <t>Moda</t>
        </is>
      </c>
    </row>
    <row r="2876">
      <c r="A2876" t="n">
        <v>2875</v>
      </c>
      <c r="B2876" t="inlineStr">
        <is>
          <t>A-497_2C__348</t>
        </is>
      </c>
      <c r="C2876" s="1" t="n">
        <v>37.2397782428</v>
      </c>
      <c r="D2876" s="1" t="n">
        <v>-7.01868551065</v>
      </c>
      <c r="E2876" s="3" t="n">
        <v>3</v>
      </c>
      <c r="F2876" s="2" t="n">
        <v>2</v>
      </c>
      <c r="G2876" s="4" t="n">
        <v>3</v>
      </c>
      <c r="H2876" s="13" t="n"/>
      <c r="I2876" s="15" t="n"/>
      <c r="J2876" s="19" t="n">
        <v>3</v>
      </c>
      <c r="K2876" s="2" t="inlineStr">
        <is>
          <t>marker_716_362203.png</t>
        </is>
      </c>
      <c r="L2876" s="11">
        <f>HYPERLINK("3\1\" &amp; K2876, "Ver Imagen")</f>
        <v/>
      </c>
      <c r="M2876" t="inlineStr">
        <is>
          <t>Moda</t>
        </is>
      </c>
    </row>
    <row r="2877">
      <c r="A2877" t="n">
        <v>2876</v>
      </c>
      <c r="B2877" t="inlineStr">
        <is>
          <t>A-497__530</t>
        </is>
      </c>
      <c r="C2877" s="1" t="n">
        <v>37.2062369495</v>
      </c>
      <c r="D2877" s="1" t="n">
        <v>-7.01980186242</v>
      </c>
      <c r="E2877" s="3" t="n">
        <v>3</v>
      </c>
      <c r="F2877" s="2" t="n">
        <v>2</v>
      </c>
      <c r="G2877" s="4" t="n">
        <v>3</v>
      </c>
      <c r="H2877" s="13" t="n"/>
      <c r="I2877" s="15" t="n"/>
      <c r="J2877" s="19" t="n">
        <v>3</v>
      </c>
      <c r="K2877" s="2" t="inlineStr">
        <is>
          <t>marker_162_372501.png</t>
        </is>
      </c>
      <c r="L2877" s="11">
        <f>HYPERLINK("3\1\" &amp; K2877, "Ver Imagen")</f>
        <v/>
      </c>
      <c r="M2877" t="inlineStr">
        <is>
          <t>Moda</t>
        </is>
      </c>
    </row>
    <row r="2878">
      <c r="A2878" t="n">
        <v>2877</v>
      </c>
      <c r="B2878" t="inlineStr">
        <is>
          <t>A-497__528</t>
        </is>
      </c>
      <c r="C2878" s="1" t="n">
        <v>37.2064594257</v>
      </c>
      <c r="D2878" s="1" t="n">
        <v>-7.02024971035</v>
      </c>
      <c r="E2878" s="3" t="n">
        <v>3</v>
      </c>
      <c r="F2878" s="2" t="n">
        <v>2</v>
      </c>
      <c r="G2878" s="4" t="n">
        <v>3</v>
      </c>
      <c r="H2878" s="13" t="n"/>
      <c r="I2878" s="15" t="n"/>
      <c r="J2878" s="19" t="n">
        <v>3</v>
      </c>
      <c r="K2878" s="2" t="inlineStr">
        <is>
          <t>marker_555_372520.png</t>
        </is>
      </c>
      <c r="L2878" s="11">
        <f>HYPERLINK("3\1\" &amp; K2878, "Ver Imagen")</f>
        <v/>
      </c>
      <c r="M2878" t="inlineStr">
        <is>
          <t>Moda</t>
        </is>
      </c>
    </row>
    <row r="2879">
      <c r="A2879" t="n">
        <v>2878</v>
      </c>
      <c r="B2879" t="inlineStr">
        <is>
          <t>A-497__526</t>
        </is>
      </c>
      <c r="C2879" s="1" t="n">
        <v>37.2066740549</v>
      </c>
      <c r="D2879" s="1" t="n">
        <v>-7.02063312148</v>
      </c>
      <c r="E2879" s="3" t="n">
        <v>3</v>
      </c>
      <c r="F2879" s="2" t="n">
        <v>2</v>
      </c>
      <c r="G2879" s="4" t="n">
        <v>3</v>
      </c>
      <c r="H2879" s="13" t="n"/>
      <c r="I2879" s="15" t="n"/>
      <c r="J2879" s="19" t="n">
        <v>3</v>
      </c>
      <c r="K2879" s="2" t="inlineStr">
        <is>
          <t>marker_998_372537.png</t>
        </is>
      </c>
      <c r="L2879" s="11">
        <f>HYPERLINK("3\1\" &amp; K2879, "Ver Imagen")</f>
        <v/>
      </c>
      <c r="M2879" t="inlineStr">
        <is>
          <t>Moda</t>
        </is>
      </c>
    </row>
    <row r="2880">
      <c r="A2880" t="n">
        <v>2879</v>
      </c>
      <c r="B2880" t="inlineStr">
        <is>
          <t>A-497_2C__361</t>
        </is>
      </c>
      <c r="C2880" s="1" t="n">
        <v>37.2371804525</v>
      </c>
      <c r="D2880" s="1" t="n">
        <v>-7.0187395445</v>
      </c>
      <c r="E2880" s="3" t="n">
        <v>3</v>
      </c>
      <c r="F2880" s="2" t="n">
        <v>2</v>
      </c>
      <c r="G2880" s="4" t="n">
        <v>3</v>
      </c>
      <c r="H2880" s="13" t="n"/>
      <c r="I2880" s="15" t="n"/>
      <c r="J2880" s="19" t="n">
        <v>3</v>
      </c>
      <c r="K2880" s="2" t="inlineStr">
        <is>
          <t>marker_348_362341.png</t>
        </is>
      </c>
      <c r="L2880" s="11">
        <f>HYPERLINK("3\1\" &amp; K2880, "Ver Imagen")</f>
        <v/>
      </c>
      <c r="M2880" t="inlineStr">
        <is>
          <t>Moda</t>
        </is>
      </c>
    </row>
    <row r="2881">
      <c r="A2881" t="n">
        <v>2880</v>
      </c>
      <c r="B2881" t="inlineStr">
        <is>
          <t>A-497__523</t>
        </is>
      </c>
      <c r="C2881" s="1" t="n">
        <v>37.2070684367</v>
      </c>
      <c r="D2881" s="1" t="n">
        <v>-7.02122172849</v>
      </c>
      <c r="E2881" s="3" t="n">
        <v>3</v>
      </c>
      <c r="F2881" s="2" t="n">
        <v>2</v>
      </c>
      <c r="G2881" s="4" t="n">
        <v>3</v>
      </c>
      <c r="H2881" s="13" t="n"/>
      <c r="I2881" s="15" t="n"/>
      <c r="J2881" s="19" t="n">
        <v>3</v>
      </c>
      <c r="K2881" s="2" t="inlineStr">
        <is>
          <t>marker_298_372567.png</t>
        </is>
      </c>
      <c r="L2881" s="11">
        <f>HYPERLINK("3\1\" &amp; K2881, "Ver Imagen")</f>
        <v/>
      </c>
      <c r="M2881" t="inlineStr">
        <is>
          <t>Moda</t>
        </is>
      </c>
    </row>
    <row r="2882">
      <c r="A2882" t="n">
        <v>2881</v>
      </c>
      <c r="B2882" t="inlineStr">
        <is>
          <t>A-497__520</t>
        </is>
      </c>
      <c r="C2882" s="1" t="n">
        <v>37.2075087009</v>
      </c>
      <c r="D2882" s="1" t="n">
        <v>-7.02175870099</v>
      </c>
      <c r="E2882" s="3" t="n">
        <v>3</v>
      </c>
      <c r="F2882" s="2" t="n">
        <v>2</v>
      </c>
      <c r="G2882" s="4" t="n">
        <v>3</v>
      </c>
      <c r="H2882" s="13" t="n"/>
      <c r="I2882" s="15" t="n"/>
      <c r="J2882" s="19" t="n">
        <v>3</v>
      </c>
      <c r="K2882" s="2" t="inlineStr">
        <is>
          <t>marker_125_372594.png</t>
        </is>
      </c>
      <c r="L2882" s="11">
        <f>HYPERLINK("3\1\" &amp; K2882, "Ver Imagen")</f>
        <v/>
      </c>
      <c r="M2882" t="inlineStr">
        <is>
          <t>Moda</t>
        </is>
      </c>
    </row>
    <row r="2883">
      <c r="A2883" t="n">
        <v>2882</v>
      </c>
      <c r="B2883" t="inlineStr">
        <is>
          <t>A-497_2C__375</t>
        </is>
      </c>
      <c r="C2883" s="1" t="n">
        <v>37.2343410016</v>
      </c>
      <c r="D2883" s="1" t="n">
        <v>-7.01817517674</v>
      </c>
      <c r="E2883" s="3" t="n">
        <v>3</v>
      </c>
      <c r="F2883" s="2" t="n">
        <v>2</v>
      </c>
      <c r="G2883" s="4" t="n">
        <v>3</v>
      </c>
      <c r="H2883" s="13" t="n"/>
      <c r="I2883" s="15" t="n"/>
      <c r="J2883" s="19" t="n">
        <v>3</v>
      </c>
      <c r="K2883" s="2" t="inlineStr">
        <is>
          <t>marker_498_362571.png</t>
        </is>
      </c>
      <c r="L2883" s="11">
        <f>HYPERLINK("3\1\" &amp; K2883, "Ver Imagen")</f>
        <v/>
      </c>
      <c r="M2883" t="inlineStr">
        <is>
          <t>Moda</t>
        </is>
      </c>
    </row>
    <row r="2884">
      <c r="A2884" t="n">
        <v>2883</v>
      </c>
      <c r="B2884" t="inlineStr">
        <is>
          <t>A-497__519</t>
        </is>
      </c>
      <c r="C2884" s="1" t="n">
        <v>37.2076581261</v>
      </c>
      <c r="D2884" s="1" t="n">
        <v>-7.02192163848</v>
      </c>
      <c r="E2884" s="3" t="n">
        <v>3</v>
      </c>
      <c r="F2884" s="2" t="n">
        <v>2</v>
      </c>
      <c r="G2884" s="4" t="n">
        <v>3</v>
      </c>
      <c r="H2884" s="13" t="n"/>
      <c r="I2884" s="15" t="n"/>
      <c r="J2884" s="19" t="n">
        <v>3</v>
      </c>
      <c r="K2884" s="2" t="inlineStr">
        <is>
          <t>marker_968_372604.png</t>
        </is>
      </c>
      <c r="L2884" s="11">
        <f>HYPERLINK("3\1\" &amp; K2884, "Ver Imagen")</f>
        <v/>
      </c>
      <c r="M2884" t="inlineStr">
        <is>
          <t>Moda</t>
        </is>
      </c>
    </row>
    <row r="2885">
      <c r="A2885" t="n">
        <v>2884</v>
      </c>
      <c r="B2885" t="inlineStr">
        <is>
          <t>A-497__518</t>
        </is>
      </c>
      <c r="C2885" s="1" t="n">
        <v>37.2078180562</v>
      </c>
      <c r="D2885" s="1" t="n">
        <v>-7.0220860639</v>
      </c>
      <c r="E2885" s="3" t="n">
        <v>3</v>
      </c>
      <c r="F2885" s="2" t="n">
        <v>2</v>
      </c>
      <c r="G2885" s="4" t="n">
        <v>3</v>
      </c>
      <c r="H2885" s="13" t="n"/>
      <c r="I2885" s="15" t="n"/>
      <c r="J2885" s="19" t="n">
        <v>3</v>
      </c>
      <c r="K2885" s="2" t="inlineStr">
        <is>
          <t>marker_501_372614.png</t>
        </is>
      </c>
      <c r="L2885" s="11">
        <f>HYPERLINK("3\1\" &amp; K2885, "Ver Imagen")</f>
        <v/>
      </c>
      <c r="M2885" t="inlineStr">
        <is>
          <t>Moda</t>
        </is>
      </c>
    </row>
    <row r="2886">
      <c r="A2886" t="n">
        <v>2885</v>
      </c>
      <c r="B2886" t="inlineStr">
        <is>
          <t>A-497_2C__376</t>
        </is>
      </c>
      <c r="C2886" s="1" t="n">
        <v>37.2341486757</v>
      </c>
      <c r="D2886" s="1" t="n">
        <v>-7.0181673958</v>
      </c>
      <c r="E2886" s="3" t="n">
        <v>3</v>
      </c>
      <c r="F2886" s="2" t="n">
        <v>2</v>
      </c>
      <c r="G2886" s="4" t="n">
        <v>3</v>
      </c>
      <c r="H2886" s="13" t="n"/>
      <c r="I2886" s="15" t="n"/>
      <c r="J2886" s="19" t="n">
        <v>3</v>
      </c>
      <c r="K2886" s="2" t="inlineStr">
        <is>
          <t>marker_594_362586.png</t>
        </is>
      </c>
      <c r="L2886" s="11">
        <f>HYPERLINK("3\1\" &amp; K2886, "Ver Imagen")</f>
        <v/>
      </c>
      <c r="M2886" t="inlineStr">
        <is>
          <t>Moda</t>
        </is>
      </c>
    </row>
    <row r="2887">
      <c r="A2887" t="n">
        <v>2886</v>
      </c>
      <c r="B2887" t="inlineStr">
        <is>
          <t>A-497_2C__377</t>
        </is>
      </c>
      <c r="C2887" s="1" t="n">
        <v>37.2339818847</v>
      </c>
      <c r="D2887" s="1" t="n">
        <v>-7.01817031416</v>
      </c>
      <c r="E2887" s="3" t="n">
        <v>3</v>
      </c>
      <c r="F2887" s="2" t="n">
        <v>2</v>
      </c>
      <c r="G2887" s="4" t="n">
        <v>3</v>
      </c>
      <c r="H2887" s="13" t="n"/>
      <c r="I2887" s="15" t="n"/>
      <c r="J2887" s="19" t="n">
        <v>3</v>
      </c>
      <c r="K2887" s="2" t="inlineStr">
        <is>
          <t>marker_145_362596.png</t>
        </is>
      </c>
      <c r="L2887" s="11">
        <f>HYPERLINK("3\1\" &amp; K2887, "Ver Imagen")</f>
        <v/>
      </c>
      <c r="M2887" t="inlineStr">
        <is>
          <t>Moda</t>
        </is>
      </c>
    </row>
    <row r="2888">
      <c r="A2888" t="n">
        <v>2887</v>
      </c>
      <c r="B2888" t="inlineStr">
        <is>
          <t>A-497_2C__379</t>
        </is>
      </c>
      <c r="C2888" s="1" t="n">
        <v>37.2335960527</v>
      </c>
      <c r="D2888" s="1" t="n">
        <v>-7.01821236319</v>
      </c>
      <c r="E2888" s="3" t="n">
        <v>3</v>
      </c>
      <c r="F2888" s="2" t="n">
        <v>2</v>
      </c>
      <c r="G2888" s="4" t="n">
        <v>3</v>
      </c>
      <c r="H2888" s="13" t="n"/>
      <c r="I2888" s="15" t="n"/>
      <c r="J2888" s="19" t="n">
        <v>3</v>
      </c>
      <c r="K2888" s="2" t="inlineStr">
        <is>
          <t>marker_504_362694.png</t>
        </is>
      </c>
      <c r="L2888" s="11">
        <f>HYPERLINK("3\1\" &amp; K2888, "Ver Imagen")</f>
        <v/>
      </c>
      <c r="M2888" t="inlineStr">
        <is>
          <t>Moda</t>
        </is>
      </c>
    </row>
    <row r="2889">
      <c r="A2889" t="n">
        <v>2888</v>
      </c>
      <c r="B2889" t="inlineStr">
        <is>
          <t>A-497_2C__380</t>
        </is>
      </c>
      <c r="C2889" s="1" t="n">
        <v>37.2333846756</v>
      </c>
      <c r="D2889" s="1" t="n">
        <v>-7.01825597012</v>
      </c>
      <c r="E2889" s="3" t="n">
        <v>3</v>
      </c>
      <c r="F2889" s="2" t="n">
        <v>2</v>
      </c>
      <c r="G2889" s="4" t="n">
        <v>3</v>
      </c>
      <c r="H2889" s="13" t="n"/>
      <c r="I2889" s="15" t="n"/>
      <c r="J2889" s="19" t="n">
        <v>3</v>
      </c>
      <c r="K2889" s="2" t="inlineStr">
        <is>
          <t>marker_839_362704.png</t>
        </is>
      </c>
      <c r="L2889" s="11">
        <f>HYPERLINK("3\1\" &amp; K2889, "Ver Imagen")</f>
        <v/>
      </c>
      <c r="M2889" t="inlineStr">
        <is>
          <t>Moda</t>
        </is>
      </c>
    </row>
    <row r="2890">
      <c r="A2890" t="n">
        <v>2889</v>
      </c>
      <c r="B2890" t="inlineStr">
        <is>
          <t>A-497__515</t>
        </is>
      </c>
      <c r="C2890" s="1" t="n">
        <v>37.2083370968</v>
      </c>
      <c r="D2890" s="1" t="n">
        <v>-7.02255107066</v>
      </c>
      <c r="E2890" s="3" t="n">
        <v>3</v>
      </c>
      <c r="F2890" s="2" t="n">
        <v>2</v>
      </c>
      <c r="G2890" s="4" t="n">
        <v>3</v>
      </c>
      <c r="H2890" s="13" t="n"/>
      <c r="I2890" s="15" t="n"/>
      <c r="J2890" s="19" t="n">
        <v>3</v>
      </c>
      <c r="K2890" s="2" t="inlineStr">
        <is>
          <t>marker_762_372643.png</t>
        </is>
      </c>
      <c r="L2890" s="11">
        <f>HYPERLINK("3\1\" &amp; K2890, "Ver Imagen")</f>
        <v/>
      </c>
      <c r="M2890" t="inlineStr">
        <is>
          <t>Moda</t>
        </is>
      </c>
    </row>
    <row r="2891">
      <c r="A2891" t="n">
        <v>2890</v>
      </c>
      <c r="B2891" t="inlineStr">
        <is>
          <t>A-497_2C__382</t>
        </is>
      </c>
      <c r="C2891" s="1" t="n">
        <v>37.2329746685</v>
      </c>
      <c r="D2891" s="1" t="n">
        <v>-7.01838532135</v>
      </c>
      <c r="E2891" s="3" t="n">
        <v>3</v>
      </c>
      <c r="F2891" s="2" t="n">
        <v>2</v>
      </c>
      <c r="G2891" s="4" t="n">
        <v>3</v>
      </c>
      <c r="H2891" s="13" t="n"/>
      <c r="I2891" s="15" t="n"/>
      <c r="J2891" s="19" t="n">
        <v>3</v>
      </c>
      <c r="K2891" s="2" t="inlineStr">
        <is>
          <t>marker_227_362721.png</t>
        </is>
      </c>
      <c r="L2891" s="11">
        <f>HYPERLINK("3\1\" &amp; K2891, "Ver Imagen")</f>
        <v/>
      </c>
      <c r="M2891" t="inlineStr">
        <is>
          <t>Moda</t>
        </is>
      </c>
    </row>
    <row r="2892">
      <c r="A2892" t="n">
        <v>2891</v>
      </c>
      <c r="B2892" t="inlineStr">
        <is>
          <t>A-497__514</t>
        </is>
      </c>
      <c r="C2892" s="1" t="n">
        <v>37.2085069232</v>
      </c>
      <c r="D2892" s="1" t="n">
        <v>-7.02268295186</v>
      </c>
      <c r="E2892" s="3" t="n">
        <v>3</v>
      </c>
      <c r="F2892" s="2" t="n">
        <v>2</v>
      </c>
      <c r="G2892" s="4" t="n">
        <v>3</v>
      </c>
      <c r="H2892" s="13" t="n"/>
      <c r="I2892" s="15" t="n"/>
      <c r="J2892" s="19" t="n">
        <v>3</v>
      </c>
      <c r="K2892" s="2" t="inlineStr">
        <is>
          <t>marker_288_372651.png</t>
        </is>
      </c>
      <c r="L2892" s="11">
        <f>HYPERLINK("3\1\" &amp; K2892, "Ver Imagen")</f>
        <v/>
      </c>
      <c r="M2892" t="inlineStr">
        <is>
          <t>Moda</t>
        </is>
      </c>
    </row>
    <row r="2893">
      <c r="A2893" t="n">
        <v>2892</v>
      </c>
      <c r="B2893" t="inlineStr">
        <is>
          <t>A-497__511</t>
        </is>
      </c>
      <c r="C2893" s="1" t="n">
        <v>37.2090203298</v>
      </c>
      <c r="D2893" s="1" t="n">
        <v>-7.02303048086</v>
      </c>
      <c r="E2893" s="3" t="n">
        <v>3</v>
      </c>
      <c r="F2893" s="2" t="n">
        <v>2</v>
      </c>
      <c r="G2893" s="4" t="n">
        <v>3</v>
      </c>
      <c r="H2893" s="13" t="n"/>
      <c r="I2893" s="15" t="n"/>
      <c r="J2893" s="19" t="n">
        <v>3</v>
      </c>
      <c r="K2893" s="2" t="inlineStr">
        <is>
          <t>marker_245_372682.png</t>
        </is>
      </c>
      <c r="L2893" s="11">
        <f>HYPERLINK("3\1\" &amp; K2893, "Ver Imagen")</f>
        <v/>
      </c>
      <c r="M2893" t="inlineStr">
        <is>
          <t>Moda</t>
        </is>
      </c>
    </row>
    <row r="2894">
      <c r="A2894" t="n">
        <v>2893</v>
      </c>
      <c r="B2894" t="inlineStr">
        <is>
          <t>A-497__509</t>
        </is>
      </c>
      <c r="C2894" s="1" t="n">
        <v>37.2093685596</v>
      </c>
      <c r="D2894" s="1" t="n">
        <v>-7.02322685428</v>
      </c>
      <c r="E2894" s="3" t="n">
        <v>3</v>
      </c>
      <c r="F2894" s="2" t="n">
        <v>4</v>
      </c>
      <c r="G2894" s="4" t="n">
        <v>3</v>
      </c>
      <c r="H2894" s="13" t="n"/>
      <c r="I2894" s="15" t="n"/>
      <c r="J2894" s="19" t="n">
        <v>3</v>
      </c>
      <c r="K2894" s="2" t="inlineStr">
        <is>
          <t>marker_608_372702.png</t>
        </is>
      </c>
      <c r="L2894" s="11">
        <f>HYPERLINK("3\1\" &amp; K2894, "Ver Imagen")</f>
        <v/>
      </c>
      <c r="M2894" t="inlineStr">
        <is>
          <t>Moda</t>
        </is>
      </c>
    </row>
    <row r="2895">
      <c r="A2895" t="n">
        <v>2894</v>
      </c>
      <c r="B2895" t="inlineStr">
        <is>
          <t>A-497__507</t>
        </is>
      </c>
      <c r="C2895" s="1" t="n">
        <v>37.2097619971</v>
      </c>
      <c r="D2895" s="1" t="n">
        <v>-7.02341573098</v>
      </c>
      <c r="E2895" s="3" t="n">
        <v>3</v>
      </c>
      <c r="F2895" s="2" t="n">
        <v>2</v>
      </c>
      <c r="G2895" s="4" t="n">
        <v>3</v>
      </c>
      <c r="H2895" s="13" t="n"/>
      <c r="I2895" s="15" t="n"/>
      <c r="J2895" s="19" t="n">
        <v>3</v>
      </c>
      <c r="K2895" s="2" t="inlineStr">
        <is>
          <t>marker_476_372724.png</t>
        </is>
      </c>
      <c r="L2895" s="11">
        <f>HYPERLINK("3\1\" &amp; K2895, "Ver Imagen")</f>
        <v/>
      </c>
      <c r="M2895" t="inlineStr">
        <is>
          <t>Moda</t>
        </is>
      </c>
    </row>
    <row r="2896">
      <c r="A2896" t="n">
        <v>2895</v>
      </c>
      <c r="B2896" t="inlineStr">
        <is>
          <t>A-497__506</t>
        </is>
      </c>
      <c r="C2896" s="1" t="n">
        <v>37.2099736064</v>
      </c>
      <c r="D2896" s="1" t="n">
        <v>-7.02350186691</v>
      </c>
      <c r="E2896" s="3" t="n">
        <v>3</v>
      </c>
      <c r="F2896" s="2" t="n">
        <v>2</v>
      </c>
      <c r="G2896" s="4" t="n">
        <v>3</v>
      </c>
      <c r="H2896" s="13" t="n"/>
      <c r="I2896" s="15" t="n"/>
      <c r="J2896" s="19" t="n">
        <v>3</v>
      </c>
      <c r="K2896" s="2" t="inlineStr">
        <is>
          <t>marker_260_372733.png</t>
        </is>
      </c>
      <c r="L2896" s="11">
        <f>HYPERLINK("3\1\" &amp; K2896, "Ver Imagen")</f>
        <v/>
      </c>
      <c r="M2896" t="inlineStr">
        <is>
          <t>Moda</t>
        </is>
      </c>
    </row>
    <row r="2897">
      <c r="A2897" t="n">
        <v>2896</v>
      </c>
      <c r="B2897" t="inlineStr">
        <is>
          <t>A-497__505</t>
        </is>
      </c>
      <c r="C2897" s="1" t="n">
        <v>37.2101501441</v>
      </c>
      <c r="D2897" s="1" t="n">
        <v>-7.02356558433</v>
      </c>
      <c r="E2897" s="3" t="n">
        <v>3</v>
      </c>
      <c r="F2897" s="2" t="n">
        <v>2</v>
      </c>
      <c r="G2897" s="4" t="n">
        <v>3</v>
      </c>
      <c r="H2897" s="13" t="n"/>
      <c r="I2897" s="15" t="n"/>
      <c r="J2897" s="19" t="n">
        <v>3</v>
      </c>
      <c r="K2897" s="2" t="inlineStr">
        <is>
          <t>marker_386_372747.png</t>
        </is>
      </c>
      <c r="L2897" s="11">
        <f>HYPERLINK("3\1\" &amp; K2897, "Ver Imagen")</f>
        <v/>
      </c>
      <c r="M2897" t="inlineStr">
        <is>
          <t>Moda</t>
        </is>
      </c>
    </row>
    <row r="2898">
      <c r="A2898" t="n">
        <v>2897</v>
      </c>
      <c r="B2898" t="inlineStr">
        <is>
          <t>A-497_2C__396</t>
        </is>
      </c>
      <c r="C2898" s="1" t="n">
        <v>37.2304749791</v>
      </c>
      <c r="D2898" s="1" t="n">
        <v>-7.02010354537</v>
      </c>
      <c r="E2898" s="3" t="n">
        <v>3</v>
      </c>
      <c r="F2898" s="2" t="n">
        <v>2</v>
      </c>
      <c r="G2898" s="4" t="n">
        <v>3</v>
      </c>
      <c r="H2898" s="13" t="n"/>
      <c r="I2898" s="15" t="n"/>
      <c r="J2898" s="19" t="n">
        <v>3</v>
      </c>
      <c r="K2898" s="2" t="inlineStr">
        <is>
          <t>marker_317_362866.png</t>
        </is>
      </c>
      <c r="L2898" s="11">
        <f>HYPERLINK("3\1\" &amp; K2898, "Ver Imagen")</f>
        <v/>
      </c>
      <c r="M2898" t="inlineStr">
        <is>
          <t>Moda</t>
        </is>
      </c>
    </row>
    <row r="2899">
      <c r="A2899" t="n">
        <v>2898</v>
      </c>
      <c r="B2899" t="inlineStr">
        <is>
          <t>A-497_2C__398</t>
        </is>
      </c>
      <c r="C2899" s="1" t="n">
        <v>37.2301652103</v>
      </c>
      <c r="D2899" s="1" t="n">
        <v>-7.02034063031</v>
      </c>
      <c r="E2899" s="3" t="n">
        <v>3</v>
      </c>
      <c r="F2899" s="2" t="n">
        <v>2</v>
      </c>
      <c r="G2899" s="4" t="n">
        <v>3</v>
      </c>
      <c r="H2899" s="13" t="n"/>
      <c r="I2899" s="15" t="n"/>
      <c r="J2899" s="19" t="n">
        <v>3</v>
      </c>
      <c r="K2899" s="2" t="inlineStr">
        <is>
          <t>marker_668_362887.png</t>
        </is>
      </c>
      <c r="L2899" s="11">
        <f>HYPERLINK("3\1\" &amp; K2899, "Ver Imagen")</f>
        <v/>
      </c>
      <c r="M2899" t="inlineStr">
        <is>
          <t>Moda</t>
        </is>
      </c>
    </row>
    <row r="2900">
      <c r="A2900" t="n">
        <v>2899</v>
      </c>
      <c r="B2900" t="inlineStr">
        <is>
          <t>A-497__502</t>
        </is>
      </c>
      <c r="C2900" s="1" t="n">
        <v>37.2107541706</v>
      </c>
      <c r="D2900" s="1" t="n">
        <v>-7.02373605612</v>
      </c>
      <c r="E2900" s="3" t="n">
        <v>3</v>
      </c>
      <c r="F2900" s="2" t="n">
        <v>2</v>
      </c>
      <c r="G2900" s="4" t="n">
        <v>3</v>
      </c>
      <c r="H2900" s="13" t="n"/>
      <c r="I2900" s="15" t="n"/>
      <c r="J2900" s="19" t="n">
        <v>3</v>
      </c>
      <c r="K2900" s="2" t="inlineStr">
        <is>
          <t>marker_908_376063.png</t>
        </is>
      </c>
      <c r="L2900" s="11">
        <f>HYPERLINK("3\1\" &amp; K2900, "Ver Imagen")</f>
        <v/>
      </c>
      <c r="M2900" t="inlineStr">
        <is>
          <t>Moda</t>
        </is>
      </c>
    </row>
    <row r="2901">
      <c r="A2901" t="n">
        <v>2900</v>
      </c>
      <c r="B2901" t="inlineStr">
        <is>
          <t>A-497__498</t>
        </is>
      </c>
      <c r="C2901" s="1" t="n">
        <v>37.2115600655</v>
      </c>
      <c r="D2901" s="1" t="n">
        <v>-7.02385017927</v>
      </c>
      <c r="E2901" s="3" t="n">
        <v>3</v>
      </c>
      <c r="F2901" s="2" t="n">
        <v>4</v>
      </c>
      <c r="G2901" s="4" t="n">
        <v>3</v>
      </c>
      <c r="H2901" s="13" t="n"/>
      <c r="I2901" s="15" t="n"/>
      <c r="J2901" s="19" t="n">
        <v>3</v>
      </c>
      <c r="K2901" s="2" t="inlineStr">
        <is>
          <t>marker_845_376122.png</t>
        </is>
      </c>
      <c r="L2901" s="11">
        <f>HYPERLINK("3\1\" &amp; K2901, "Ver Imagen")</f>
        <v/>
      </c>
      <c r="M2901" t="inlineStr">
        <is>
          <t>Moda</t>
        </is>
      </c>
    </row>
    <row r="2902">
      <c r="A2902" t="n">
        <v>2901</v>
      </c>
      <c r="B2902" t="inlineStr">
        <is>
          <t>A-497_2C__419</t>
        </is>
      </c>
      <c r="C2902" s="1" t="n">
        <v>37.2264870213</v>
      </c>
      <c r="D2902" s="1" t="n">
        <v>-7.02299945685</v>
      </c>
      <c r="E2902" s="3" t="n">
        <v>3</v>
      </c>
      <c r="F2902" s="2" t="n">
        <v>2</v>
      </c>
      <c r="G2902" s="4" t="n">
        <v>3</v>
      </c>
      <c r="H2902" s="13" t="n"/>
      <c r="I2902" s="15" t="n"/>
      <c r="J2902" s="19" t="n">
        <v>3</v>
      </c>
      <c r="K2902" s="2" t="inlineStr">
        <is>
          <t>marker_731_363103.png</t>
        </is>
      </c>
      <c r="L2902" s="11">
        <f>HYPERLINK("3\1\" &amp; K2902, "Ver Imagen")</f>
        <v/>
      </c>
      <c r="M2902" t="inlineStr">
        <is>
          <t>Moda</t>
        </is>
      </c>
    </row>
    <row r="2903">
      <c r="A2903" t="n">
        <v>2902</v>
      </c>
      <c r="B2903" t="inlineStr">
        <is>
          <t>A-497__473</t>
        </is>
      </c>
      <c r="C2903" s="1" t="n">
        <v>37.2165767951</v>
      </c>
      <c r="D2903" s="1" t="n">
        <v>-7.02312599901</v>
      </c>
      <c r="E2903" s="3" t="n">
        <v>3</v>
      </c>
      <c r="F2903" s="2" t="n">
        <v>2</v>
      </c>
      <c r="G2903" s="4" t="n">
        <v>3</v>
      </c>
      <c r="H2903" s="13" t="n"/>
      <c r="I2903" s="15" t="n"/>
      <c r="J2903" s="19" t="n">
        <v>3</v>
      </c>
      <c r="K2903" s="2" t="inlineStr">
        <is>
          <t>marker_304_376395.png</t>
        </is>
      </c>
      <c r="L2903" s="11">
        <f>HYPERLINK("3\1\" &amp; K2903, "Ver Imagen")</f>
        <v/>
      </c>
      <c r="M2903" t="inlineStr">
        <is>
          <t>Moda</t>
        </is>
      </c>
    </row>
    <row r="2904">
      <c r="A2904" t="n">
        <v>2903</v>
      </c>
      <c r="B2904" t="inlineStr">
        <is>
          <t>A-497_2C__458</t>
        </is>
      </c>
      <c r="C2904" s="1" t="n">
        <v>37.218635502</v>
      </c>
      <c r="D2904" s="1" t="n">
        <v>-7.02298872366</v>
      </c>
      <c r="E2904" s="3" t="n">
        <v>3</v>
      </c>
      <c r="F2904" s="2" t="n">
        <v>2</v>
      </c>
      <c r="G2904" s="4" t="n">
        <v>3</v>
      </c>
      <c r="H2904" s="13" t="n"/>
      <c r="I2904" s="15" t="n"/>
      <c r="J2904" s="19" t="n">
        <v>3</v>
      </c>
      <c r="K2904" s="2" t="inlineStr">
        <is>
          <t>marker_478_363508.png</t>
        </is>
      </c>
      <c r="L2904" s="11">
        <f>HYPERLINK("3\1\" &amp; K2904, "Ver Imagen")</f>
        <v/>
      </c>
      <c r="M2904" t="inlineStr">
        <is>
          <t>Moda</t>
        </is>
      </c>
    </row>
    <row r="2905">
      <c r="A2905" t="n">
        <v>2904</v>
      </c>
      <c r="B2905" t="inlineStr">
        <is>
          <t>A-497_2C__461</t>
        </is>
      </c>
      <c r="C2905" s="1" t="n">
        <v>37.2180024163</v>
      </c>
      <c r="D2905" s="1" t="n">
        <v>-7.02306721702</v>
      </c>
      <c r="E2905" s="3" t="n">
        <v>3</v>
      </c>
      <c r="F2905" s="2" t="n">
        <v>2</v>
      </c>
      <c r="G2905" s="4" t="n">
        <v>3</v>
      </c>
      <c r="H2905" s="13" t="n"/>
      <c r="I2905" s="15" t="n"/>
      <c r="J2905" s="19" t="n">
        <v>3</v>
      </c>
      <c r="K2905" s="2" t="inlineStr">
        <is>
          <t>marker_194_363545.png</t>
        </is>
      </c>
      <c r="L2905" s="11">
        <f>HYPERLINK("3\1\" &amp; K2905, "Ver Imagen")</f>
        <v/>
      </c>
      <c r="M2905" t="inlineStr">
        <is>
          <t>Moda</t>
        </is>
      </c>
    </row>
    <row r="2906">
      <c r="A2906" t="n">
        <v>2905</v>
      </c>
      <c r="B2906" t="inlineStr">
        <is>
          <t>A-497_2C__468</t>
        </is>
      </c>
      <c r="C2906" s="1" t="n">
        <v>37.2166292256</v>
      </c>
      <c r="D2906" s="1" t="n">
        <v>-7.02330535353</v>
      </c>
      <c r="E2906" s="3" t="n">
        <v>3</v>
      </c>
      <c r="F2906" s="2" t="n">
        <v>2</v>
      </c>
      <c r="G2906" s="4" t="n">
        <v>3</v>
      </c>
      <c r="H2906" s="13" t="n"/>
      <c r="I2906" s="15" t="n"/>
      <c r="J2906" s="19" t="n">
        <v>3</v>
      </c>
      <c r="K2906" s="2" t="inlineStr">
        <is>
          <t>marker_885_363618.png</t>
        </is>
      </c>
      <c r="L2906" s="11">
        <f>HYPERLINK("3\1\" &amp; K2906, "Ver Imagen")</f>
        <v/>
      </c>
      <c r="M2906" t="inlineStr">
        <is>
          <t>Moda</t>
        </is>
      </c>
    </row>
    <row r="2907">
      <c r="A2907" t="n">
        <v>2906</v>
      </c>
      <c r="B2907" t="inlineStr">
        <is>
          <t>A-497_2C__470</t>
        </is>
      </c>
      <c r="C2907" s="1" t="n">
        <v>37.2162078046</v>
      </c>
      <c r="D2907" s="1" t="n">
        <v>-7.02337931197</v>
      </c>
      <c r="E2907" s="3" t="n">
        <v>3</v>
      </c>
      <c r="F2907" s="2" t="n">
        <v>2</v>
      </c>
      <c r="G2907" s="4" t="n">
        <v>3</v>
      </c>
      <c r="H2907" s="13" t="n"/>
      <c r="I2907" s="15" t="n"/>
      <c r="J2907" s="19" t="n">
        <v>3</v>
      </c>
      <c r="K2907" s="2" t="inlineStr">
        <is>
          <t>marker_622_363638.png</t>
        </is>
      </c>
      <c r="L2907" s="11">
        <f>HYPERLINK("3\1\" &amp; K2907, "Ver Imagen")</f>
        <v/>
      </c>
      <c r="M2907" t="inlineStr">
        <is>
          <t>Moda</t>
        </is>
      </c>
    </row>
    <row r="2908">
      <c r="A2908" t="n">
        <v>2907</v>
      </c>
      <c r="B2908" t="inlineStr">
        <is>
          <t>A-497__467</t>
        </is>
      </c>
      <c r="C2908" s="1" t="n">
        <v>37.2177332178</v>
      </c>
      <c r="D2908" s="1" t="n">
        <v>-7.02292368037</v>
      </c>
      <c r="E2908" s="3" t="n">
        <v>3</v>
      </c>
      <c r="F2908" s="2" t="n">
        <v>2</v>
      </c>
      <c r="G2908" s="4" t="n">
        <v>3</v>
      </c>
      <c r="H2908" s="13" t="n"/>
      <c r="I2908" s="15" t="n"/>
      <c r="J2908" s="19" t="n">
        <v>3</v>
      </c>
      <c r="K2908" s="2" t="inlineStr">
        <is>
          <t>marker_179_376498.png</t>
        </is>
      </c>
      <c r="L2908" s="11">
        <f>HYPERLINK("3\1\" &amp; K2908, "Ver Imagen")</f>
        <v/>
      </c>
      <c r="M2908" t="inlineStr">
        <is>
          <t>Moda</t>
        </is>
      </c>
    </row>
    <row r="2909">
      <c r="A2909" t="n">
        <v>2908</v>
      </c>
      <c r="B2909" t="inlineStr">
        <is>
          <t>A-497__466</t>
        </is>
      </c>
      <c r="C2909" s="1" t="n">
        <v>37.2180024738</v>
      </c>
      <c r="D2909" s="1" t="n">
        <v>-7.02287997784</v>
      </c>
      <c r="E2909" s="3" t="n">
        <v>3</v>
      </c>
      <c r="F2909" s="2" t="n">
        <v>2</v>
      </c>
      <c r="G2909" s="4" t="n">
        <v>3</v>
      </c>
      <c r="H2909" s="13" t="n"/>
      <c r="I2909" s="15" t="n"/>
      <c r="J2909" s="19" t="n">
        <v>3</v>
      </c>
      <c r="K2909" s="2" t="inlineStr">
        <is>
          <t>marker_508_376513.png</t>
        </is>
      </c>
      <c r="L2909" s="11">
        <f>HYPERLINK("3\1\" &amp; K2909, "Ver Imagen")</f>
        <v/>
      </c>
      <c r="M2909" t="inlineStr">
        <is>
          <t>Moda</t>
        </is>
      </c>
    </row>
    <row r="2910">
      <c r="A2910" t="n">
        <v>2909</v>
      </c>
      <c r="B2910" t="inlineStr">
        <is>
          <t>A-497_2C__485</t>
        </is>
      </c>
      <c r="C2910" s="1" t="n">
        <v>37.2131993165</v>
      </c>
      <c r="D2910" s="1" t="n">
        <v>-7.02391028399</v>
      </c>
      <c r="E2910" s="3" t="n">
        <v>3</v>
      </c>
      <c r="F2910" s="2" t="n">
        <v>2</v>
      </c>
      <c r="G2910" s="4" t="n">
        <v>3</v>
      </c>
      <c r="H2910" s="13" t="n"/>
      <c r="I2910" s="15" t="n"/>
      <c r="J2910" s="19" t="n">
        <v>3</v>
      </c>
      <c r="K2910" s="2" t="inlineStr">
        <is>
          <t>marker_226_363822.png</t>
        </is>
      </c>
      <c r="L2910" s="11">
        <f>HYPERLINK("3\1\" &amp; K2910, "Ver Imagen")</f>
        <v/>
      </c>
      <c r="M2910" t="inlineStr">
        <is>
          <t>Moda</t>
        </is>
      </c>
    </row>
    <row r="2911">
      <c r="A2911" t="n">
        <v>2910</v>
      </c>
      <c r="B2911" t="inlineStr">
        <is>
          <t>A-497_2C__487</t>
        </is>
      </c>
      <c r="C2911" s="1" t="n">
        <v>37.2128120552</v>
      </c>
      <c r="D2911" s="1" t="n">
        <v>-7.02396961897</v>
      </c>
      <c r="E2911" s="3" t="n">
        <v>3</v>
      </c>
      <c r="F2911" s="2" t="n">
        <v>2</v>
      </c>
      <c r="G2911" s="4" t="n">
        <v>3</v>
      </c>
      <c r="H2911" s="13" t="n"/>
      <c r="I2911" s="15" t="n"/>
      <c r="J2911" s="19" t="n">
        <v>3</v>
      </c>
      <c r="K2911" s="2" t="inlineStr">
        <is>
          <t>marker_488_363842.png</t>
        </is>
      </c>
      <c r="L2911" s="11">
        <f>HYPERLINK("3\1\" &amp; K2911, "Ver Imagen")</f>
        <v/>
      </c>
      <c r="M2911" t="inlineStr">
        <is>
          <t>Moda</t>
        </is>
      </c>
    </row>
    <row r="2912">
      <c r="A2912" t="n">
        <v>2911</v>
      </c>
      <c r="B2912" t="inlineStr">
        <is>
          <t>A-497_2C__490</t>
        </is>
      </c>
      <c r="C2912" s="1" t="n">
        <v>37.2121819774</v>
      </c>
      <c r="D2912" s="1" t="n">
        <v>-7.02403849708</v>
      </c>
      <c r="E2912" s="3" t="n">
        <v>3</v>
      </c>
      <c r="F2912" s="2" t="n">
        <v>2</v>
      </c>
      <c r="G2912" s="4" t="n">
        <v>3</v>
      </c>
      <c r="H2912" s="13" t="n"/>
      <c r="I2912" s="15" t="n"/>
      <c r="J2912" s="19" t="n">
        <v>3</v>
      </c>
      <c r="K2912" s="2" t="inlineStr">
        <is>
          <t>marker_590_363892.png</t>
        </is>
      </c>
      <c r="L2912" s="11">
        <f>HYPERLINK("3\1\" &amp; K2912, "Ver Imagen")</f>
        <v/>
      </c>
      <c r="M2912" t="inlineStr">
        <is>
          <t>Moda</t>
        </is>
      </c>
    </row>
    <row r="2913">
      <c r="A2913" t="n">
        <v>2912</v>
      </c>
      <c r="B2913" t="inlineStr">
        <is>
          <t>A-497_2C__491</t>
        </is>
      </c>
      <c r="C2913" s="1" t="n">
        <v>37.211983756</v>
      </c>
      <c r="D2913" s="1" t="n">
        <v>-7.02404802406</v>
      </c>
      <c r="E2913" s="3" t="n">
        <v>3</v>
      </c>
      <c r="F2913" s="2" t="n">
        <v>2</v>
      </c>
      <c r="G2913" s="4" t="n">
        <v>3</v>
      </c>
      <c r="H2913" s="13" t="n"/>
      <c r="I2913" s="15" t="n"/>
      <c r="J2913" s="19" t="n">
        <v>3</v>
      </c>
      <c r="K2913" s="2" t="inlineStr">
        <is>
          <t>marker_470_363905.png</t>
        </is>
      </c>
      <c r="L2913" s="11">
        <f>HYPERLINK("3\1\" &amp; K2913, "Ver Imagen")</f>
        <v/>
      </c>
      <c r="M2913" t="inlineStr">
        <is>
          <t>Moda</t>
        </is>
      </c>
    </row>
    <row r="2914">
      <c r="A2914" t="n">
        <v>2913</v>
      </c>
      <c r="B2914" t="inlineStr">
        <is>
          <t>A-497_2C__493</t>
        </is>
      </c>
      <c r="C2914" s="1" t="n">
        <v>37.2115599216</v>
      </c>
      <c r="D2914" s="1" t="n">
        <v>-7.02404260454</v>
      </c>
      <c r="E2914" s="3" t="n">
        <v>3</v>
      </c>
      <c r="F2914" s="2" t="n">
        <v>2</v>
      </c>
      <c r="G2914" s="4" t="n">
        <v>3</v>
      </c>
      <c r="H2914" s="13" t="n"/>
      <c r="I2914" s="15" t="n"/>
      <c r="J2914" s="19" t="n">
        <v>3</v>
      </c>
      <c r="K2914" s="2" t="inlineStr">
        <is>
          <t>marker_800_363930.png</t>
        </is>
      </c>
      <c r="L2914" s="11">
        <f>HYPERLINK("3\1\" &amp; K2914, "Ver Imagen")</f>
        <v/>
      </c>
      <c r="M2914" t="inlineStr">
        <is>
          <t>Moda</t>
        </is>
      </c>
    </row>
    <row r="2915">
      <c r="A2915" t="n">
        <v>2914</v>
      </c>
      <c r="B2915" t="inlineStr">
        <is>
          <t>A-497_2C__499</t>
        </is>
      </c>
      <c r="C2915" s="1" t="n">
        <v>37.2103833078</v>
      </c>
      <c r="D2915" s="1" t="n">
        <v>-7.02384460354</v>
      </c>
      <c r="E2915" s="3" t="n">
        <v>3</v>
      </c>
      <c r="F2915" s="2" t="n">
        <v>2</v>
      </c>
      <c r="G2915" s="4" t="n">
        <v>3</v>
      </c>
      <c r="H2915" s="13" t="n"/>
      <c r="I2915" s="15" t="n"/>
      <c r="J2915" s="19" t="n">
        <v>3</v>
      </c>
      <c r="K2915" s="2" t="inlineStr">
        <is>
          <t>marker_491_364052.png</t>
        </is>
      </c>
      <c r="L2915" s="11">
        <f>HYPERLINK("3\1\" &amp; K2915, "Ver Imagen")</f>
        <v/>
      </c>
      <c r="M2915" t="inlineStr">
        <is>
          <t>Moda</t>
        </is>
      </c>
    </row>
    <row r="2916">
      <c r="A2916" t="n">
        <v>2915</v>
      </c>
      <c r="B2916" t="inlineStr">
        <is>
          <t>A-497_2C__541</t>
        </is>
      </c>
      <c r="C2916" s="1" t="n">
        <v>37.205001162</v>
      </c>
      <c r="D2916" s="1" t="n">
        <v>-7.01634981843</v>
      </c>
      <c r="E2916" s="3" t="n">
        <v>3</v>
      </c>
      <c r="F2916" s="2" t="n">
        <v>4</v>
      </c>
      <c r="G2916" s="4" t="n">
        <v>3</v>
      </c>
      <c r="H2916" s="13" t="n"/>
      <c r="I2916" s="15" t="n"/>
      <c r="J2916" s="19" t="n">
        <v>3</v>
      </c>
      <c r="K2916" s="2" t="inlineStr">
        <is>
          <t>marker_993_364552.png</t>
        </is>
      </c>
      <c r="L2916" s="11">
        <f>HYPERLINK("3\1\" &amp; K2916, "Ver Imagen")</f>
        <v/>
      </c>
      <c r="M2916" t="inlineStr">
        <is>
          <t>Moda</t>
        </is>
      </c>
    </row>
    <row r="2917">
      <c r="A2917" t="n">
        <v>2916</v>
      </c>
      <c r="B2917" t="inlineStr">
        <is>
          <t>A-497_2C__544</t>
        </is>
      </c>
      <c r="C2917" s="1" t="n">
        <v>37.2048824213</v>
      </c>
      <c r="D2917" s="1" t="n">
        <v>-7.01578984922</v>
      </c>
      <c r="E2917" s="3" t="n">
        <v>3</v>
      </c>
      <c r="F2917" s="2" t="n">
        <v>2</v>
      </c>
      <c r="G2917" s="4" t="n">
        <v>3</v>
      </c>
      <c r="H2917" s="13" t="n"/>
      <c r="I2917" s="15" t="n"/>
      <c r="J2917" s="19" t="n">
        <v>3</v>
      </c>
      <c r="K2917" s="2" t="inlineStr">
        <is>
          <t>marker_654_364619.png</t>
        </is>
      </c>
      <c r="L2917" s="11">
        <f>HYPERLINK("3\1\" &amp; K2917, "Ver Imagen")</f>
        <v/>
      </c>
      <c r="M2917" t="inlineStr">
        <is>
          <t>Moda</t>
        </is>
      </c>
    </row>
    <row r="2918">
      <c r="A2918" t="n">
        <v>2917</v>
      </c>
      <c r="B2918" t="inlineStr">
        <is>
          <t>A-497_2C__548</t>
        </is>
      </c>
      <c r="C2918" s="1" t="n">
        <v>37.2046837203</v>
      </c>
      <c r="D2918" s="1" t="n">
        <v>-7.01481344606</v>
      </c>
      <c r="E2918" s="3" t="n">
        <v>3</v>
      </c>
      <c r="F2918" s="2" t="n">
        <v>2</v>
      </c>
      <c r="G2918" s="4" t="n">
        <v>3</v>
      </c>
      <c r="H2918" s="13" t="n"/>
      <c r="I2918" s="15" t="n"/>
      <c r="J2918" s="19" t="n">
        <v>3</v>
      </c>
      <c r="K2918" s="2" t="inlineStr">
        <is>
          <t>marker_278_364665.png</t>
        </is>
      </c>
      <c r="L2918" s="11">
        <f>HYPERLINK("3\1\" &amp; K2918, "Ver Imagen")</f>
        <v/>
      </c>
      <c r="M2918" t="inlineStr">
        <is>
          <t>Moda</t>
        </is>
      </c>
    </row>
    <row r="2919">
      <c r="A2919" t="n">
        <v>2918</v>
      </c>
      <c r="B2919" t="inlineStr">
        <is>
          <t>A-497_2C__550</t>
        </is>
      </c>
      <c r="C2919" s="1" t="n">
        <v>37.2045833482</v>
      </c>
      <c r="D2919" s="1" t="n">
        <v>-7.01430031349</v>
      </c>
      <c r="E2919" s="3" t="n">
        <v>3</v>
      </c>
      <c r="F2919" s="2" t="n">
        <v>2</v>
      </c>
      <c r="G2919" s="4" t="n">
        <v>3</v>
      </c>
      <c r="H2919" s="13" t="n"/>
      <c r="I2919" s="15" t="n"/>
      <c r="J2919" s="19" t="n">
        <v>3</v>
      </c>
      <c r="K2919" s="2" t="inlineStr">
        <is>
          <t>marker_133_364684.png</t>
        </is>
      </c>
      <c r="L2919" s="11">
        <f>HYPERLINK("3\1\" &amp; K2919, "Ver Imagen")</f>
        <v/>
      </c>
      <c r="M2919" t="inlineStr">
        <is>
          <t>Moda</t>
        </is>
      </c>
    </row>
    <row r="2920">
      <c r="A2920" t="n">
        <v>2919</v>
      </c>
      <c r="B2920" t="inlineStr">
        <is>
          <t>A-497_2C__556</t>
        </is>
      </c>
      <c r="C2920" s="1" t="n">
        <v>37.2043011698</v>
      </c>
      <c r="D2920" s="1" t="n">
        <v>-7.01280888402</v>
      </c>
      <c r="E2920" s="3" t="n">
        <v>3</v>
      </c>
      <c r="F2920" s="2" t="n">
        <v>2</v>
      </c>
      <c r="G2920" s="4" t="n">
        <v>3</v>
      </c>
      <c r="H2920" s="13" t="n"/>
      <c r="I2920" s="15" t="n"/>
      <c r="J2920" s="19" t="n">
        <v>3</v>
      </c>
      <c r="K2920" s="2" t="inlineStr">
        <is>
          <t>marker_775_366337.png</t>
        </is>
      </c>
      <c r="L2920" s="11">
        <f>HYPERLINK("3\1\" &amp; K2920, "Ver Imagen")</f>
        <v/>
      </c>
      <c r="M2920" t="inlineStr">
        <is>
          <t>Moda</t>
        </is>
      </c>
    </row>
    <row r="2921">
      <c r="A2921" t="n">
        <v>2920</v>
      </c>
      <c r="B2921" t="inlineStr">
        <is>
          <t>A-497_2C__560</t>
        </is>
      </c>
      <c r="C2921" s="1" t="n">
        <v>37.204132792</v>
      </c>
      <c r="D2921" s="1" t="n">
        <v>-7.01187763542</v>
      </c>
      <c r="E2921" s="3" t="n">
        <v>3</v>
      </c>
      <c r="F2921" s="2" t="n">
        <v>2</v>
      </c>
      <c r="G2921" s="4" t="n">
        <v>3</v>
      </c>
      <c r="H2921" s="13" t="n"/>
      <c r="I2921" s="15" t="n"/>
      <c r="J2921" s="19" t="n">
        <v>3</v>
      </c>
      <c r="K2921" s="2" t="inlineStr">
        <is>
          <t>marker_428_366377.png</t>
        </is>
      </c>
      <c r="L2921" s="11">
        <f>HYPERLINK("3\1\" &amp; K2921, "Ver Imagen")</f>
        <v/>
      </c>
      <c r="M2921" t="inlineStr">
        <is>
          <t>Moda</t>
        </is>
      </c>
    </row>
    <row r="2922">
      <c r="A2922" t="n">
        <v>2921</v>
      </c>
      <c r="B2922" t="inlineStr">
        <is>
          <t>A-497_2C__561</t>
        </is>
      </c>
      <c r="C2922" s="1" t="n">
        <v>37.204077603</v>
      </c>
      <c r="D2922" s="1" t="n">
        <v>-7.01156392962</v>
      </c>
      <c r="E2922" s="3" t="n">
        <v>3</v>
      </c>
      <c r="F2922" s="2" t="n">
        <v>2</v>
      </c>
      <c r="G2922" s="4" t="n">
        <v>3</v>
      </c>
      <c r="H2922" s="13" t="n"/>
      <c r="I2922" s="15" t="n"/>
      <c r="J2922" s="19" t="n">
        <v>3</v>
      </c>
      <c r="K2922" s="2" t="inlineStr">
        <is>
          <t>marker_604_366386.png</t>
        </is>
      </c>
      <c r="L2922" s="11">
        <f>HYPERLINK("3\1\" &amp; K2922, "Ver Imagen")</f>
        <v/>
      </c>
      <c r="M2922" t="inlineStr">
        <is>
          <t>Moda</t>
        </is>
      </c>
    </row>
    <row r="2923">
      <c r="A2923" t="n">
        <v>2922</v>
      </c>
      <c r="B2923" t="inlineStr">
        <is>
          <t>A-497_2C__562</t>
        </is>
      </c>
      <c r="C2923" s="1" t="n">
        <v>37.2040386032</v>
      </c>
      <c r="D2923" s="1" t="n">
        <v>-7.01133928136</v>
      </c>
      <c r="E2923" s="3" t="n">
        <v>3</v>
      </c>
      <c r="F2923" s="2" t="n">
        <v>2</v>
      </c>
      <c r="G2923" s="4" t="n">
        <v>3</v>
      </c>
      <c r="H2923" s="13" t="n"/>
      <c r="I2923" s="15" t="n"/>
      <c r="J2923" s="19" t="n">
        <v>3</v>
      </c>
      <c r="K2923" s="2" t="inlineStr">
        <is>
          <t>marker_207_366394.png</t>
        </is>
      </c>
      <c r="L2923" s="11">
        <f>HYPERLINK("3\1\" &amp; K2923, "Ver Imagen")</f>
        <v/>
      </c>
      <c r="M2923" t="inlineStr">
        <is>
          <t>Moda</t>
        </is>
      </c>
    </row>
    <row r="2924">
      <c r="A2924" t="n">
        <v>2923</v>
      </c>
      <c r="B2924" t="inlineStr">
        <is>
          <t>A-497_2C__564</t>
        </is>
      </c>
      <c r="C2924" s="1" t="n">
        <v>37.203946246</v>
      </c>
      <c r="D2924" s="1" t="n">
        <v>-7.01079275641</v>
      </c>
      <c r="E2924" s="3" t="n">
        <v>3</v>
      </c>
      <c r="F2924" s="2" t="n">
        <v>2</v>
      </c>
      <c r="G2924" s="4" t="n">
        <v>3</v>
      </c>
      <c r="H2924" s="13" t="n"/>
      <c r="I2924" s="15" t="n"/>
      <c r="J2924" s="19" t="n">
        <v>3</v>
      </c>
      <c r="K2924" s="2" t="inlineStr">
        <is>
          <t>marker_492_366424.png</t>
        </is>
      </c>
      <c r="L2924" s="11">
        <f>HYPERLINK("3\1\" &amp; K2924, "Ver Imagen")</f>
        <v/>
      </c>
      <c r="M2924" t="inlineStr">
        <is>
          <t>Moda</t>
        </is>
      </c>
    </row>
    <row r="2925">
      <c r="A2925" t="n">
        <v>2924</v>
      </c>
      <c r="B2925" t="inlineStr">
        <is>
          <t>A-497_2C__574</t>
        </is>
      </c>
      <c r="C2925" s="1" t="n">
        <v>37.2035511429</v>
      </c>
      <c r="D2925" s="1" t="n">
        <v>-7.00832900052</v>
      </c>
      <c r="E2925" s="3" t="n">
        <v>3</v>
      </c>
      <c r="F2925" s="2" t="n">
        <v>2</v>
      </c>
      <c r="G2925" s="4" t="n">
        <v>3</v>
      </c>
      <c r="H2925" s="13" t="n"/>
      <c r="I2925" s="15" t="n"/>
      <c r="J2925" s="19" t="n">
        <v>3</v>
      </c>
      <c r="K2925" s="2" t="inlineStr">
        <is>
          <t>marker_996_366519.png</t>
        </is>
      </c>
      <c r="L2925" s="11">
        <f>HYPERLINK("3\1\" &amp; K2925, "Ver Imagen")</f>
        <v/>
      </c>
      <c r="M2925" t="inlineStr">
        <is>
          <t>Moda</t>
        </is>
      </c>
    </row>
    <row r="2926">
      <c r="A2926" t="n">
        <v>2925</v>
      </c>
      <c r="B2926" t="inlineStr">
        <is>
          <t>A-497_2C__577</t>
        </is>
      </c>
      <c r="C2926" s="1" t="n">
        <v>37.2034434734</v>
      </c>
      <c r="D2926" s="1" t="n">
        <v>-7.00759700238</v>
      </c>
      <c r="E2926" s="3" t="n">
        <v>3</v>
      </c>
      <c r="F2926" s="2" t="n">
        <v>2</v>
      </c>
      <c r="G2926" s="4" t="n">
        <v>3</v>
      </c>
      <c r="H2926" s="13" t="n"/>
      <c r="I2926" s="15" t="n"/>
      <c r="J2926" s="19" t="n">
        <v>3</v>
      </c>
      <c r="K2926" s="2" t="inlineStr">
        <is>
          <t>marker_550_366547.png</t>
        </is>
      </c>
      <c r="L2926" s="11">
        <f>HYPERLINK("3\1\" &amp; K2926, "Ver Imagen")</f>
        <v/>
      </c>
      <c r="M2926" t="inlineStr">
        <is>
          <t>Moda</t>
        </is>
      </c>
    </row>
    <row r="2927">
      <c r="A2927" t="n">
        <v>2926</v>
      </c>
      <c r="B2927" t="inlineStr">
        <is>
          <t>A-497_2C__588</t>
        </is>
      </c>
      <c r="C2927" s="1" t="n">
        <v>37.2030779564</v>
      </c>
      <c r="D2927" s="1" t="n">
        <v>-7.00490179415</v>
      </c>
      <c r="E2927" s="3" t="n">
        <v>3</v>
      </c>
      <c r="F2927" s="2" t="n">
        <v>2</v>
      </c>
      <c r="G2927" s="4" t="n">
        <v>3</v>
      </c>
      <c r="H2927" s="13" t="n"/>
      <c r="I2927" s="15" t="n"/>
      <c r="J2927" s="19" t="n">
        <v>3</v>
      </c>
      <c r="K2927" s="2" t="inlineStr">
        <is>
          <t>marker_316_366650.png</t>
        </is>
      </c>
      <c r="L2927" s="11">
        <f>HYPERLINK("3\1\" &amp; K2927, "Ver Imagen")</f>
        <v/>
      </c>
      <c r="M2927" t="inlineStr">
        <is>
          <t>Moda</t>
        </is>
      </c>
    </row>
    <row r="2928">
      <c r="A2928" t="n">
        <v>2927</v>
      </c>
      <c r="B2928" t="inlineStr">
        <is>
          <t>A-497_2C__595</t>
        </is>
      </c>
      <c r="C2928" s="1" t="n">
        <v>37.2028747403</v>
      </c>
      <c r="D2928" s="1" t="n">
        <v>-7.0031298405</v>
      </c>
      <c r="E2928" s="3" t="n">
        <v>3</v>
      </c>
      <c r="F2928" s="2" t="n">
        <v>2</v>
      </c>
      <c r="G2928" s="4" t="n">
        <v>3</v>
      </c>
      <c r="H2928" s="13" t="n"/>
      <c r="I2928" s="15" t="n"/>
      <c r="J2928" s="19" t="n">
        <v>3</v>
      </c>
      <c r="K2928" s="2" t="inlineStr">
        <is>
          <t>marker_697_366716.png</t>
        </is>
      </c>
      <c r="L2928" s="11">
        <f>HYPERLINK("3\1\" &amp; K2928, "Ver Imagen")</f>
        <v/>
      </c>
      <c r="M2928" t="inlineStr">
        <is>
          <t>Moda</t>
        </is>
      </c>
    </row>
    <row r="2929">
      <c r="A2929" t="n">
        <v>2928</v>
      </c>
      <c r="B2929" t="inlineStr">
        <is>
          <t>A-497_2C__597</t>
        </is>
      </c>
      <c r="C2929" s="1" t="n">
        <v>37.2028158668</v>
      </c>
      <c r="D2929" s="1" t="n">
        <v>-7.00259891962</v>
      </c>
      <c r="E2929" s="3" t="n">
        <v>3</v>
      </c>
      <c r="F2929" s="2" t="n">
        <v>2</v>
      </c>
      <c r="G2929" s="4" t="n">
        <v>3</v>
      </c>
      <c r="H2929" s="13" t="n"/>
      <c r="I2929" s="15" t="n"/>
      <c r="J2929" s="19" t="n">
        <v>3</v>
      </c>
      <c r="K2929" s="2" t="inlineStr">
        <is>
          <t>marker_728_366734.png</t>
        </is>
      </c>
      <c r="L2929" s="11">
        <f>HYPERLINK("3\1\" &amp; K2929, "Ver Imagen")</f>
        <v/>
      </c>
      <c r="M2929" t="inlineStr">
        <is>
          <t>Moda</t>
        </is>
      </c>
    </row>
    <row r="2930">
      <c r="A2930" t="n">
        <v>2929</v>
      </c>
      <c r="B2930" t="inlineStr">
        <is>
          <t>A-497_2C__601</t>
        </is>
      </c>
      <c r="C2930" s="1" t="n">
        <v>37.2027015656</v>
      </c>
      <c r="D2930" s="1" t="n">
        <v>-7.00158992227</v>
      </c>
      <c r="E2930" s="3" t="n">
        <v>3</v>
      </c>
      <c r="F2930" s="2" t="n">
        <v>2</v>
      </c>
      <c r="G2930" s="4" t="n">
        <v>3</v>
      </c>
      <c r="H2930" s="13" t="n"/>
      <c r="I2930" s="15" t="n"/>
      <c r="J2930" s="19" t="n">
        <v>3</v>
      </c>
      <c r="K2930" s="2" t="inlineStr">
        <is>
          <t>marker_249_366773.png</t>
        </is>
      </c>
      <c r="L2930" s="11">
        <f>HYPERLINK("3\1\" &amp; K2930, "Ver Imagen")</f>
        <v/>
      </c>
      <c r="M2930" t="inlineStr">
        <is>
          <t>Moda</t>
        </is>
      </c>
    </row>
    <row r="2931">
      <c r="A2931" t="n">
        <v>2930</v>
      </c>
      <c r="B2931" t="inlineStr">
        <is>
          <t>A-497_2C__606</t>
        </is>
      </c>
      <c r="C2931" s="1" t="n">
        <v>37.2025453324</v>
      </c>
      <c r="D2931" s="1" t="n">
        <v>-7.00031244782</v>
      </c>
      <c r="E2931" s="3" t="n">
        <v>3</v>
      </c>
      <c r="F2931" s="2" t="n">
        <v>4</v>
      </c>
      <c r="G2931" s="4" t="n">
        <v>3</v>
      </c>
      <c r="H2931" s="13" t="n"/>
      <c r="I2931" s="15" t="n"/>
      <c r="J2931" s="19" t="n">
        <v>3</v>
      </c>
      <c r="K2931" s="2" t="inlineStr">
        <is>
          <t>marker_604_366833.png</t>
        </is>
      </c>
      <c r="L2931" s="11">
        <f>HYPERLINK("3\1\" &amp; K2931, "Ver Imagen")</f>
        <v/>
      </c>
      <c r="M2931" t="inlineStr">
        <is>
          <t>Moda</t>
        </is>
      </c>
    </row>
    <row r="2932">
      <c r="A2932" t="n">
        <v>2931</v>
      </c>
      <c r="B2932" t="inlineStr">
        <is>
          <t>A-497_2C__608</t>
        </is>
      </c>
      <c r="C2932" s="1" t="n">
        <v>37.2024839476</v>
      </c>
      <c r="D2932" s="1" t="n">
        <v>-6.99983815111</v>
      </c>
      <c r="E2932" s="3" t="n">
        <v>3</v>
      </c>
      <c r="F2932" s="2" t="n">
        <v>2</v>
      </c>
      <c r="G2932" s="4" t="n">
        <v>3</v>
      </c>
      <c r="H2932" s="13" t="n"/>
      <c r="I2932" s="15" t="n"/>
      <c r="J2932" s="19" t="n">
        <v>3</v>
      </c>
      <c r="K2932" s="2" t="inlineStr">
        <is>
          <t>marker_498_366853.png</t>
        </is>
      </c>
      <c r="L2932" s="11">
        <f>HYPERLINK("3\1\" &amp; K2932, "Ver Imagen")</f>
        <v/>
      </c>
      <c r="M2932" t="inlineStr">
        <is>
          <t>Moda</t>
        </is>
      </c>
    </row>
    <row r="2933">
      <c r="A2933" t="n">
        <v>2932</v>
      </c>
      <c r="B2933" t="inlineStr">
        <is>
          <t>A-497_2C__609</t>
        </is>
      </c>
      <c r="C2933" s="1" t="n">
        <v>37.2024492083</v>
      </c>
      <c r="D2933" s="1" t="n">
        <v>-6.99956855835</v>
      </c>
      <c r="E2933" s="3" t="n">
        <v>3</v>
      </c>
      <c r="F2933" s="2" t="n">
        <v>2</v>
      </c>
      <c r="G2933" s="4" t="n">
        <v>3</v>
      </c>
      <c r="H2933" s="13" t="n"/>
      <c r="I2933" s="15" t="n"/>
      <c r="J2933" s="19" t="n">
        <v>3</v>
      </c>
      <c r="K2933" s="2" t="inlineStr">
        <is>
          <t>marker_554_366862.png</t>
        </is>
      </c>
      <c r="L2933" s="11">
        <f>HYPERLINK("3\1\" &amp; K2933, "Ver Imagen")</f>
        <v/>
      </c>
      <c r="M2933" t="inlineStr">
        <is>
          <t>Moda</t>
        </is>
      </c>
    </row>
    <row r="2934">
      <c r="A2934" t="n">
        <v>2933</v>
      </c>
      <c r="B2934" t="inlineStr">
        <is>
          <t>A-497_2C__617</t>
        </is>
      </c>
      <c r="C2934" s="1" t="n">
        <v>37.2021811773</v>
      </c>
      <c r="D2934" s="1" t="n">
        <v>-6.99765392118</v>
      </c>
      <c r="E2934" s="3" t="n">
        <v>3</v>
      </c>
      <c r="F2934" s="2" t="n">
        <v>2</v>
      </c>
      <c r="G2934" s="4" t="n">
        <v>3</v>
      </c>
      <c r="H2934" s="13" t="n"/>
      <c r="I2934" s="15" t="n"/>
      <c r="J2934" s="19" t="n">
        <v>3</v>
      </c>
      <c r="K2934" s="2" t="inlineStr">
        <is>
          <t>marker_118_366951.png</t>
        </is>
      </c>
      <c r="L2934" s="11">
        <f>HYPERLINK("3\1\" &amp; K2934, "Ver Imagen")</f>
        <v/>
      </c>
      <c r="M2934" t="inlineStr">
        <is>
          <t>Moda</t>
        </is>
      </c>
    </row>
    <row r="2935">
      <c r="A2935" t="n">
        <v>2934</v>
      </c>
      <c r="B2935" t="inlineStr">
        <is>
          <t>A-497_2C__620</t>
        </is>
      </c>
      <c r="C2935" s="1" t="n">
        <v>37.2020589055</v>
      </c>
      <c r="D2935" s="1" t="n">
        <v>-6.99683128229</v>
      </c>
      <c r="E2935" s="3" t="n">
        <v>3</v>
      </c>
      <c r="F2935" s="2" t="n">
        <v>2</v>
      </c>
      <c r="G2935" s="4" t="n">
        <v>3</v>
      </c>
      <c r="H2935" s="13" t="n"/>
      <c r="I2935" s="15" t="n"/>
      <c r="J2935" s="19" t="n">
        <v>3</v>
      </c>
      <c r="K2935" s="2" t="inlineStr">
        <is>
          <t>marker_407_366981.png</t>
        </is>
      </c>
      <c r="L2935" s="11">
        <f>HYPERLINK("3\1\" &amp; K2935, "Ver Imagen")</f>
        <v/>
      </c>
      <c r="M2935" t="inlineStr">
        <is>
          <t>Moda</t>
        </is>
      </c>
    </row>
    <row r="2936">
      <c r="A2936" t="n">
        <v>2935</v>
      </c>
      <c r="B2936" t="inlineStr">
        <is>
          <t>A-497_2C__624</t>
        </is>
      </c>
      <c r="C2936" s="1" t="n">
        <v>37.2018953735</v>
      </c>
      <c r="D2936" s="1" t="n">
        <v>-6.99581356765</v>
      </c>
      <c r="E2936" s="3" t="n">
        <v>3</v>
      </c>
      <c r="F2936" s="2" t="n">
        <v>2</v>
      </c>
      <c r="G2936" s="4" t="n">
        <v>3</v>
      </c>
      <c r="H2936" s="13" t="n"/>
      <c r="I2936" s="15" t="n"/>
      <c r="J2936" s="19" t="n">
        <v>3</v>
      </c>
      <c r="K2936" s="2" t="inlineStr">
        <is>
          <t>marker_286_367026.png</t>
        </is>
      </c>
      <c r="L2936" s="11">
        <f>HYPERLINK("3\1\" &amp; K2936, "Ver Imagen")</f>
        <v/>
      </c>
      <c r="M2936" t="inlineStr">
        <is>
          <t>Moda</t>
        </is>
      </c>
    </row>
    <row r="2937">
      <c r="A2937" t="n">
        <v>2936</v>
      </c>
      <c r="B2937" t="inlineStr">
        <is>
          <t>A-497__405</t>
        </is>
      </c>
      <c r="C2937" s="1" t="n">
        <v>37.2297127805</v>
      </c>
      <c r="D2937" s="1" t="n">
        <v>-7.02047743122</v>
      </c>
      <c r="E2937" s="3" t="n">
        <v>3</v>
      </c>
      <c r="F2937" s="2" t="n">
        <v>2</v>
      </c>
      <c r="G2937" s="4" t="n">
        <v>3</v>
      </c>
      <c r="H2937" s="13" t="n"/>
      <c r="I2937" s="15" t="n"/>
      <c r="J2937" s="19" t="n">
        <v>3</v>
      </c>
      <c r="K2937" s="2" t="inlineStr">
        <is>
          <t>marker_901_377146.png</t>
        </is>
      </c>
      <c r="L2937" s="11">
        <f>HYPERLINK("3\1\" &amp; K2937, "Ver Imagen")</f>
        <v/>
      </c>
      <c r="M2937" t="inlineStr">
        <is>
          <t>Moda</t>
        </is>
      </c>
    </row>
    <row r="2938">
      <c r="A2938" t="n">
        <v>2937</v>
      </c>
      <c r="B2938" t="inlineStr">
        <is>
          <t>A-497__397</t>
        </is>
      </c>
      <c r="C2938" s="1" t="n">
        <v>37.2311006513</v>
      </c>
      <c r="D2938" s="1" t="n">
        <v>-7.01941132372</v>
      </c>
      <c r="E2938" s="3" t="n">
        <v>3</v>
      </c>
      <c r="F2938" s="2" t="n">
        <v>2</v>
      </c>
      <c r="G2938" s="4" t="n">
        <v>3</v>
      </c>
      <c r="H2938" s="13" t="n"/>
      <c r="I2938" s="15" t="n"/>
      <c r="J2938" s="19" t="n">
        <v>3</v>
      </c>
      <c r="K2938" s="2" t="inlineStr">
        <is>
          <t>marker_511_377220.png</t>
        </is>
      </c>
      <c r="L2938" s="11">
        <f>HYPERLINK("3\1\" &amp; K2938, "Ver Imagen")</f>
        <v/>
      </c>
      <c r="M2938" t="inlineStr">
        <is>
          <t>Moda</t>
        </is>
      </c>
    </row>
    <row r="2939">
      <c r="A2939" t="n">
        <v>2938</v>
      </c>
      <c r="B2939" t="inlineStr">
        <is>
          <t>A-497__396</t>
        </is>
      </c>
      <c r="C2939" s="1" t="n">
        <v>37.2312681426</v>
      </c>
      <c r="D2939" s="1" t="n">
        <v>-7.01928384037</v>
      </c>
      <c r="E2939" s="3" t="n">
        <v>3</v>
      </c>
      <c r="F2939" s="2" t="n">
        <v>2</v>
      </c>
      <c r="G2939" s="4" t="n">
        <v>3</v>
      </c>
      <c r="H2939" s="13" t="n"/>
      <c r="I2939" s="15" t="n"/>
      <c r="J2939" s="19" t="n">
        <v>3</v>
      </c>
      <c r="K2939" s="2" t="inlineStr">
        <is>
          <t>marker_205_377228.png</t>
        </is>
      </c>
      <c r="L2939" s="11">
        <f>HYPERLINK("3\1\" &amp; K2939, "Ver Imagen")</f>
        <v/>
      </c>
      <c r="M2939" t="inlineStr">
        <is>
          <t>Moda</t>
        </is>
      </c>
    </row>
    <row r="2940">
      <c r="A2940" t="n">
        <v>2939</v>
      </c>
      <c r="B2940" t="inlineStr">
        <is>
          <t>A-497__393</t>
        </is>
      </c>
      <c r="C2940" s="1" t="n">
        <v>37.2318457888</v>
      </c>
      <c r="D2940" s="1" t="n">
        <v>-7.01884808917</v>
      </c>
      <c r="E2940" s="3" t="n">
        <v>3</v>
      </c>
      <c r="F2940" s="2" t="n">
        <v>2</v>
      </c>
      <c r="G2940" s="4" t="n">
        <v>3</v>
      </c>
      <c r="H2940" s="13" t="n"/>
      <c r="I2940" s="15" t="n"/>
      <c r="J2940" s="19" t="n">
        <v>3</v>
      </c>
      <c r="K2940" s="2" t="inlineStr">
        <is>
          <t>marker_103_377257.png</t>
        </is>
      </c>
      <c r="L2940" s="11">
        <f>HYPERLINK("3\1\" &amp; K2940, "Ver Imagen")</f>
        <v/>
      </c>
      <c r="M2940" t="inlineStr">
        <is>
          <t>Moda</t>
        </is>
      </c>
    </row>
    <row r="2941">
      <c r="A2941" t="n">
        <v>2940</v>
      </c>
      <c r="B2941" t="inlineStr">
        <is>
          <t>A-497__391</t>
        </is>
      </c>
      <c r="C2941" s="1" t="n">
        <v>37.232127421</v>
      </c>
      <c r="D2941" s="1" t="n">
        <v>-7.01865154044</v>
      </c>
      <c r="E2941" s="3" t="n">
        <v>3</v>
      </c>
      <c r="F2941" s="2" t="n">
        <v>2</v>
      </c>
      <c r="G2941" s="4" t="n">
        <v>3</v>
      </c>
      <c r="H2941" s="13" t="n"/>
      <c r="I2941" s="15" t="n"/>
      <c r="J2941" s="19" t="n">
        <v>3</v>
      </c>
      <c r="K2941" s="2" t="inlineStr">
        <is>
          <t>marker_752_377275.png</t>
        </is>
      </c>
      <c r="L2941" s="11">
        <f>HYPERLINK("3\1\" &amp; K2941, "Ver Imagen")</f>
        <v/>
      </c>
      <c r="M2941" t="inlineStr">
        <is>
          <t>Moda</t>
        </is>
      </c>
    </row>
    <row r="2942">
      <c r="A2942" t="n">
        <v>2941</v>
      </c>
      <c r="B2942" t="inlineStr">
        <is>
          <t>A-497__390</t>
        </is>
      </c>
      <c r="C2942" s="1" t="n">
        <v>37.2323217326</v>
      </c>
      <c r="D2942" s="1" t="n">
        <v>-7.01852774787</v>
      </c>
      <c r="E2942" s="3" t="n">
        <v>3</v>
      </c>
      <c r="F2942" s="2" t="n">
        <v>2</v>
      </c>
      <c r="G2942" s="4" t="n">
        <v>3</v>
      </c>
      <c r="H2942" s="13" t="n"/>
      <c r="I2942" s="15" t="n"/>
      <c r="J2942" s="19" t="n">
        <v>3</v>
      </c>
      <c r="K2942" s="2" t="inlineStr">
        <is>
          <t>marker_316_377285.png</t>
        </is>
      </c>
      <c r="L2942" s="11">
        <f>HYPERLINK("3\1\" &amp; K2942, "Ver Imagen")</f>
        <v/>
      </c>
      <c r="M2942" t="inlineStr">
        <is>
          <t>Moda</t>
        </is>
      </c>
    </row>
    <row r="2943">
      <c r="A2943" t="n">
        <v>2942</v>
      </c>
      <c r="B2943" t="inlineStr">
        <is>
          <t>A-497__389</t>
        </is>
      </c>
      <c r="C2943" s="1" t="n">
        <v>37.232530188</v>
      </c>
      <c r="D2943" s="1" t="n">
        <v>-7.01840734944</v>
      </c>
      <c r="E2943" s="3" t="n">
        <v>3</v>
      </c>
      <c r="F2943" s="2" t="n">
        <v>2</v>
      </c>
      <c r="G2943" s="4" t="n">
        <v>3</v>
      </c>
      <c r="H2943" s="13" t="n"/>
      <c r="I2943" s="15" t="n"/>
      <c r="J2943" s="19" t="n">
        <v>3</v>
      </c>
      <c r="K2943" s="2" t="inlineStr">
        <is>
          <t>marker_319_377293.png</t>
        </is>
      </c>
      <c r="L2943" s="11">
        <f>HYPERLINK("3\1\" &amp; K2943, "Ver Imagen")</f>
        <v/>
      </c>
      <c r="M2943" t="inlineStr">
        <is>
          <t>Moda</t>
        </is>
      </c>
    </row>
    <row r="2944">
      <c r="A2944" t="n">
        <v>2943</v>
      </c>
      <c r="B2944" t="inlineStr">
        <is>
          <t>A-497__337</t>
        </is>
      </c>
      <c r="C2944" s="1" t="n">
        <v>37.2429756409</v>
      </c>
      <c r="D2944" s="1" t="n">
        <v>-7.01837136517</v>
      </c>
      <c r="E2944" s="3" t="n">
        <v>3</v>
      </c>
      <c r="F2944" s="2" t="n">
        <v>2</v>
      </c>
      <c r="G2944" s="4" t="n">
        <v>3</v>
      </c>
      <c r="H2944" s="13" t="n"/>
      <c r="I2944" s="15" t="n"/>
      <c r="J2944" s="19" t="n">
        <v>3</v>
      </c>
      <c r="K2944" s="2" t="inlineStr">
        <is>
          <t>marker_283_377800.png</t>
        </is>
      </c>
      <c r="L2944" s="11">
        <f>HYPERLINK("3\1\" &amp; K2944, "Ver Imagen")</f>
        <v/>
      </c>
      <c r="M2944" t="inlineStr">
        <is>
          <t>Moda</t>
        </is>
      </c>
    </row>
    <row r="2945">
      <c r="A2945" t="n">
        <v>2944</v>
      </c>
      <c r="B2945" t="inlineStr">
        <is>
          <t>A-497__328</t>
        </is>
      </c>
      <c r="C2945" s="1" t="n">
        <v>37.2447790892</v>
      </c>
      <c r="D2945" s="1" t="n">
        <v>-7.01830828719</v>
      </c>
      <c r="E2945" s="3" t="n">
        <v>3</v>
      </c>
      <c r="F2945" s="2" t="n">
        <v>2</v>
      </c>
      <c r="G2945" s="4" t="n">
        <v>3</v>
      </c>
      <c r="H2945" s="13" t="n"/>
      <c r="I2945" s="15" t="n"/>
      <c r="J2945" s="19" t="n">
        <v>3</v>
      </c>
      <c r="K2945" s="2" t="inlineStr">
        <is>
          <t>marker_474_377890.png</t>
        </is>
      </c>
      <c r="L2945" s="11">
        <f>HYPERLINK("3\1\" &amp; K2945, "Ver Imagen")</f>
        <v/>
      </c>
      <c r="M2945" t="inlineStr">
        <is>
          <t>Moda</t>
        </is>
      </c>
    </row>
    <row r="2946">
      <c r="A2946" t="n">
        <v>2945</v>
      </c>
      <c r="B2946" t="inlineStr">
        <is>
          <t>A-497__326</t>
        </is>
      </c>
      <c r="C2946" s="1" t="n">
        <v>37.2451949827</v>
      </c>
      <c r="D2946" s="1" t="n">
        <v>-7.01829022671</v>
      </c>
      <c r="E2946" s="3" t="n">
        <v>3</v>
      </c>
      <c r="F2946" s="2" t="n">
        <v>2</v>
      </c>
      <c r="G2946" s="4" t="n">
        <v>3</v>
      </c>
      <c r="H2946" s="13" t="n"/>
      <c r="I2946" s="15" t="n"/>
      <c r="J2946" s="19" t="n">
        <v>3</v>
      </c>
      <c r="K2946" s="2" t="inlineStr">
        <is>
          <t>marker_237_377908.png</t>
        </is>
      </c>
      <c r="L2946" s="11">
        <f>HYPERLINK("3\1\" &amp; K2946, "Ver Imagen")</f>
        <v/>
      </c>
      <c r="M2946" t="inlineStr">
        <is>
          <t>Moda</t>
        </is>
      </c>
    </row>
    <row r="2947">
      <c r="A2947" t="n">
        <v>2946</v>
      </c>
      <c r="B2947" t="inlineStr">
        <is>
          <t>A-497__321</t>
        </is>
      </c>
      <c r="C2947" s="1" t="n">
        <v>37.2462316118</v>
      </c>
      <c r="D2947" s="1" t="n">
        <v>-7.01825302313</v>
      </c>
      <c r="E2947" s="3" t="n">
        <v>4</v>
      </c>
      <c r="F2947" s="2" t="n">
        <v>3</v>
      </c>
      <c r="G2947" s="4" t="n">
        <v>3</v>
      </c>
      <c r="H2947" s="13" t="n"/>
      <c r="I2947" s="15" t="n"/>
      <c r="J2947" s="19" t="n">
        <v>3</v>
      </c>
      <c r="K2947" s="2" t="inlineStr">
        <is>
          <t>marker_619_377954.png</t>
        </is>
      </c>
      <c r="L2947" s="11">
        <f>HYPERLINK("3\1\" &amp; K2947, "Ver Imagen")</f>
        <v/>
      </c>
      <c r="M2947" t="inlineStr">
        <is>
          <t>Moda</t>
        </is>
      </c>
    </row>
    <row r="2948">
      <c r="A2948" t="n">
        <v>2947</v>
      </c>
      <c r="B2948" t="inlineStr">
        <is>
          <t>A-497__315</t>
        </is>
      </c>
      <c r="C2948" s="1" t="n">
        <v>37.2474135472</v>
      </c>
      <c r="D2948" s="1" t="n">
        <v>-7.01821114544</v>
      </c>
      <c r="E2948" s="3" t="n">
        <v>3</v>
      </c>
      <c r="F2948" s="2" t="n">
        <v>2</v>
      </c>
      <c r="G2948" s="4" t="n">
        <v>3</v>
      </c>
      <c r="H2948" s="13" t="n"/>
      <c r="I2948" s="15" t="n"/>
      <c r="J2948" s="19" t="n">
        <v>3</v>
      </c>
      <c r="K2948" s="2" t="inlineStr">
        <is>
          <t>marker_253_378020.png</t>
        </is>
      </c>
      <c r="L2948" s="11">
        <f>HYPERLINK("3\1\" &amp; K2948, "Ver Imagen")</f>
        <v/>
      </c>
      <c r="M2948" t="inlineStr">
        <is>
          <t>Moda</t>
        </is>
      </c>
    </row>
    <row r="2949">
      <c r="A2949" t="n">
        <v>2948</v>
      </c>
      <c r="B2949" t="inlineStr">
        <is>
          <t>A-497__309</t>
        </is>
      </c>
      <c r="C2949" s="1" t="n">
        <v>37.2486369215</v>
      </c>
      <c r="D2949" s="1" t="n">
        <v>-7.01814732273</v>
      </c>
      <c r="E2949" s="3" t="n">
        <v>3</v>
      </c>
      <c r="F2949" s="2" t="n">
        <v>2</v>
      </c>
      <c r="G2949" s="4" t="n">
        <v>3</v>
      </c>
      <c r="H2949" s="13" t="n"/>
      <c r="I2949" s="15" t="n"/>
      <c r="J2949" s="19" t="n">
        <v>3</v>
      </c>
      <c r="K2949" s="2" t="inlineStr">
        <is>
          <t>marker_641_378110.png</t>
        </is>
      </c>
      <c r="L2949" s="11">
        <f>HYPERLINK("3\1\" &amp; K2949, "Ver Imagen")</f>
        <v/>
      </c>
      <c r="M2949" t="inlineStr">
        <is>
          <t>Moda</t>
        </is>
      </c>
    </row>
    <row r="2950">
      <c r="A2950" t="n">
        <v>2949</v>
      </c>
      <c r="B2950" t="inlineStr">
        <is>
          <t>A-497__303</t>
        </is>
      </c>
      <c r="C2950" s="1" t="n">
        <v>37.2498330717</v>
      </c>
      <c r="D2950" s="1" t="n">
        <v>-7.01788763015</v>
      </c>
      <c r="E2950" s="3" t="n">
        <v>3</v>
      </c>
      <c r="F2950" s="2" t="n">
        <v>4</v>
      </c>
      <c r="G2950" s="4" t="n">
        <v>3</v>
      </c>
      <c r="H2950" s="13" t="n"/>
      <c r="I2950" s="15" t="n"/>
      <c r="J2950" s="19" t="n">
        <v>3</v>
      </c>
      <c r="K2950" s="2" t="inlineStr">
        <is>
          <t>marker_546_378171.png</t>
        </is>
      </c>
      <c r="L2950" s="11">
        <f>HYPERLINK("3\1\" &amp; K2950, "Ver Imagen")</f>
        <v/>
      </c>
      <c r="M2950" t="inlineStr">
        <is>
          <t>Moda</t>
        </is>
      </c>
    </row>
    <row r="2951">
      <c r="A2951" t="n">
        <v>2950</v>
      </c>
      <c r="B2951" t="inlineStr">
        <is>
          <t>A-497__291</t>
        </is>
      </c>
      <c r="C2951" s="1" t="n">
        <v>37.2519948332</v>
      </c>
      <c r="D2951" s="1" t="n">
        <v>-7.01660438632</v>
      </c>
      <c r="E2951" s="3" t="n">
        <v>3</v>
      </c>
      <c r="F2951" s="2" t="n">
        <v>2</v>
      </c>
      <c r="G2951" s="4" t="n">
        <v>3</v>
      </c>
      <c r="H2951" s="13" t="n"/>
      <c r="I2951" s="15" t="n"/>
      <c r="J2951" s="19" t="n">
        <v>3</v>
      </c>
      <c r="K2951" s="2" t="inlineStr">
        <is>
          <t>marker_271_378343.png</t>
        </is>
      </c>
      <c r="L2951" s="11">
        <f>HYPERLINK("3\1\" &amp; K2951, "Ver Imagen")</f>
        <v/>
      </c>
      <c r="M2951" t="inlineStr">
        <is>
          <t>Moda</t>
        </is>
      </c>
    </row>
    <row r="2952">
      <c r="A2952" t="n">
        <v>2951</v>
      </c>
      <c r="B2952" t="inlineStr">
        <is>
          <t>A-497__286</t>
        </is>
      </c>
      <c r="C2952" s="1" t="n">
        <v>37.2529135057</v>
      </c>
      <c r="D2952" s="1" t="n">
        <v>-7.0160238571</v>
      </c>
      <c r="E2952" s="3" t="n">
        <v>3</v>
      </c>
      <c r="F2952" s="2" t="n">
        <v>4</v>
      </c>
      <c r="G2952" s="4" t="n">
        <v>3</v>
      </c>
      <c r="H2952" s="13" t="n"/>
      <c r="I2952" s="15" t="n"/>
      <c r="J2952" s="19" t="n">
        <v>3</v>
      </c>
      <c r="K2952" s="2" t="inlineStr">
        <is>
          <t>marker_393_378406.png</t>
        </is>
      </c>
      <c r="L2952" s="11">
        <f>HYPERLINK("3\1\" &amp; K2952, "Ver Imagen")</f>
        <v/>
      </c>
      <c r="M2952" t="inlineStr">
        <is>
          <t>Moda</t>
        </is>
      </c>
    </row>
    <row r="2953">
      <c r="A2953" t="n">
        <v>2952</v>
      </c>
      <c r="B2953" t="inlineStr">
        <is>
          <t>A-497__262</t>
        </is>
      </c>
      <c r="C2953" s="1" t="n">
        <v>37.2572420167</v>
      </c>
      <c r="D2953" s="1" t="n">
        <v>-7.01326543549</v>
      </c>
      <c r="E2953" s="3" t="n">
        <v>3</v>
      </c>
      <c r="F2953" s="2" t="n">
        <v>2</v>
      </c>
      <c r="G2953" s="4" t="n">
        <v>3</v>
      </c>
      <c r="H2953" s="13" t="n"/>
      <c r="I2953" s="15" t="n"/>
      <c r="J2953" s="19" t="n">
        <v>3</v>
      </c>
      <c r="K2953" s="2" t="inlineStr">
        <is>
          <t>marker_234_378658.png</t>
        </is>
      </c>
      <c r="L2953" s="11">
        <f>HYPERLINK("3\1\" &amp; K2953, "Ver Imagen")</f>
        <v/>
      </c>
      <c r="M2953" t="inlineStr">
        <is>
          <t>Moda</t>
        </is>
      </c>
    </row>
    <row r="2954">
      <c r="A2954" t="n">
        <v>2953</v>
      </c>
      <c r="B2954" t="inlineStr">
        <is>
          <t>A-497__246</t>
        </is>
      </c>
      <c r="C2954" s="1" t="n">
        <v>37.2601481533</v>
      </c>
      <c r="D2954" s="1" t="n">
        <v>-7.01141302045</v>
      </c>
      <c r="E2954" s="3" t="n">
        <v>3</v>
      </c>
      <c r="F2954" s="2" t="n">
        <v>2</v>
      </c>
      <c r="G2954" s="4" t="n">
        <v>3</v>
      </c>
      <c r="H2954" s="13" t="n"/>
      <c r="I2954" s="15" t="n"/>
      <c r="J2954" s="19" t="n">
        <v>3</v>
      </c>
      <c r="K2954" s="2" t="inlineStr">
        <is>
          <t>marker_160_378821.png</t>
        </is>
      </c>
      <c r="L2954" s="11">
        <f>HYPERLINK("3\1\" &amp; K2954, "Ver Imagen")</f>
        <v/>
      </c>
      <c r="M2954" t="inlineStr">
        <is>
          <t>Moda</t>
        </is>
      </c>
    </row>
    <row r="2955">
      <c r="A2955" t="n">
        <v>2954</v>
      </c>
      <c r="B2955" t="inlineStr">
        <is>
          <t>A-497__243</t>
        </is>
      </c>
      <c r="C2955" s="1" t="n">
        <v>37.2606563301</v>
      </c>
      <c r="D2955" s="1" t="n">
        <v>-7.01109060838</v>
      </c>
      <c r="E2955" s="3" t="n">
        <v>3</v>
      </c>
      <c r="F2955" s="2" t="n">
        <v>2</v>
      </c>
      <c r="G2955" s="4" t="n">
        <v>3</v>
      </c>
      <c r="H2955" s="13" t="n"/>
      <c r="I2955" s="15" t="n"/>
      <c r="J2955" s="19" t="n">
        <v>3</v>
      </c>
      <c r="K2955" s="2" t="inlineStr">
        <is>
          <t>marker_791_378853.png</t>
        </is>
      </c>
      <c r="L2955" s="11">
        <f>HYPERLINK("3\1\" &amp; K2955, "Ver Imagen")</f>
        <v/>
      </c>
      <c r="M2955" t="inlineStr">
        <is>
          <t>Moda</t>
        </is>
      </c>
    </row>
    <row r="2956">
      <c r="A2956" t="n">
        <v>2955</v>
      </c>
      <c r="B2956" t="inlineStr">
        <is>
          <t>A-497__239</t>
        </is>
      </c>
      <c r="C2956" s="1" t="n">
        <v>37.2613770237</v>
      </c>
      <c r="D2956" s="1" t="n">
        <v>-7.01060373421</v>
      </c>
      <c r="E2956" s="3" t="n">
        <v>3</v>
      </c>
      <c r="F2956" s="2" t="n">
        <v>3</v>
      </c>
      <c r="G2956" s="4" t="n">
        <v>4</v>
      </c>
      <c r="H2956" s="13" t="n"/>
      <c r="I2956" s="15" t="n"/>
      <c r="J2956" s="19" t="n">
        <v>3</v>
      </c>
      <c r="K2956" s="2" t="inlineStr">
        <is>
          <t>marker_881_378927.png</t>
        </is>
      </c>
      <c r="L2956" s="11">
        <f>HYPERLINK("3\1\" &amp; K2956, "Ver Imagen")</f>
        <v/>
      </c>
      <c r="M2956" t="inlineStr">
        <is>
          <t>Moda</t>
        </is>
      </c>
    </row>
    <row r="2957">
      <c r="A2957" t="n">
        <v>2956</v>
      </c>
      <c r="B2957" t="inlineStr">
        <is>
          <t>A-497__238</t>
        </is>
      </c>
      <c r="C2957" s="1" t="n">
        <v>37.2615433606</v>
      </c>
      <c r="D2957" s="1" t="n">
        <v>-7.01047195763</v>
      </c>
      <c r="E2957" s="3" t="n">
        <v>3</v>
      </c>
      <c r="F2957" s="2" t="n">
        <v>2</v>
      </c>
      <c r="G2957" s="4" t="n">
        <v>3</v>
      </c>
      <c r="H2957" s="13" t="n"/>
      <c r="I2957" s="15" t="n"/>
      <c r="J2957" s="19" t="n">
        <v>3</v>
      </c>
      <c r="K2957" s="2" t="inlineStr">
        <is>
          <t>marker_674_378936.png</t>
        </is>
      </c>
      <c r="L2957" s="11">
        <f>HYPERLINK("3\1\" &amp; K2957, "Ver Imagen")</f>
        <v/>
      </c>
      <c r="M2957" t="inlineStr">
        <is>
          <t>Moda</t>
        </is>
      </c>
    </row>
    <row r="2958">
      <c r="A2958" t="n">
        <v>2957</v>
      </c>
      <c r="B2958" t="inlineStr">
        <is>
          <t>A-497__221</t>
        </is>
      </c>
      <c r="C2958" s="1" t="n">
        <v>37.2634333954</v>
      </c>
      <c r="D2958" s="1" t="n">
        <v>-7.00702448752</v>
      </c>
      <c r="E2958" s="3" t="n">
        <v>3</v>
      </c>
      <c r="F2958" s="2" t="n">
        <v>2</v>
      </c>
      <c r="G2958" s="4" t="n">
        <v>3</v>
      </c>
      <c r="H2958" s="13" t="n"/>
      <c r="I2958" s="15" t="n"/>
      <c r="J2958" s="19" t="n">
        <v>3</v>
      </c>
      <c r="K2958" s="2" t="inlineStr">
        <is>
          <t>marker_235_379131.png</t>
        </is>
      </c>
      <c r="L2958" s="11">
        <f>HYPERLINK("3\1\" &amp; K2958, "Ver Imagen")</f>
        <v/>
      </c>
      <c r="M2958" t="inlineStr">
        <is>
          <t>Moda</t>
        </is>
      </c>
    </row>
    <row r="2959">
      <c r="A2959" t="n">
        <v>2958</v>
      </c>
      <c r="B2959" t="inlineStr">
        <is>
          <t>A-497__212</t>
        </is>
      </c>
      <c r="C2959" s="1" t="n">
        <v>37.263832135</v>
      </c>
      <c r="D2959" s="1" t="n">
        <v>-7.00480898228</v>
      </c>
      <c r="E2959" s="3" t="n">
        <v>3</v>
      </c>
      <c r="F2959" s="2" t="n">
        <v>2</v>
      </c>
      <c r="G2959" s="4" t="n">
        <v>3</v>
      </c>
      <c r="H2959" s="13" t="n"/>
      <c r="I2959" s="15" t="n"/>
      <c r="J2959" s="19" t="n">
        <v>3</v>
      </c>
      <c r="K2959" s="2" t="inlineStr">
        <is>
          <t>marker_283_379237.png</t>
        </is>
      </c>
      <c r="L2959" s="11">
        <f>HYPERLINK("3\1\" &amp; K2959, "Ver Imagen")</f>
        <v/>
      </c>
      <c r="M2959" t="inlineStr">
        <is>
          <t>Moda</t>
        </is>
      </c>
    </row>
    <row r="2960">
      <c r="A2960" t="n">
        <v>2959</v>
      </c>
      <c r="B2960" t="inlineStr">
        <is>
          <t>A-497__206</t>
        </is>
      </c>
      <c r="C2960" s="1" t="n">
        <v>37.2641042751</v>
      </c>
      <c r="D2960" s="1" t="n">
        <v>-7.00326792833</v>
      </c>
      <c r="E2960" s="3" t="n">
        <v>3</v>
      </c>
      <c r="F2960" s="2" t="n">
        <v>2</v>
      </c>
      <c r="G2960" s="4" t="n">
        <v>3</v>
      </c>
      <c r="H2960" s="13" t="n"/>
      <c r="I2960" s="15" t="n"/>
      <c r="J2960" s="19" t="n">
        <v>3</v>
      </c>
      <c r="K2960" s="2" t="inlineStr">
        <is>
          <t>marker_850_379312.png</t>
        </is>
      </c>
      <c r="L2960" s="11">
        <f>HYPERLINK("3\1\" &amp; K2960, "Ver Imagen")</f>
        <v/>
      </c>
      <c r="M2960" t="inlineStr">
        <is>
          <t>Moda</t>
        </is>
      </c>
    </row>
    <row r="2961">
      <c r="A2961" t="n">
        <v>2960</v>
      </c>
      <c r="B2961" t="inlineStr">
        <is>
          <t>A-497__204</t>
        </is>
      </c>
      <c r="C2961" s="1" t="n">
        <v>37.2641921283</v>
      </c>
      <c r="D2961" s="1" t="n">
        <v>-7.00276927126</v>
      </c>
      <c r="E2961" s="3" t="n">
        <v>3</v>
      </c>
      <c r="F2961" s="2" t="n">
        <v>4</v>
      </c>
      <c r="G2961" s="4" t="n">
        <v>3</v>
      </c>
      <c r="H2961" s="13" t="n"/>
      <c r="I2961" s="15" t="n"/>
      <c r="J2961" s="19" t="n">
        <v>3</v>
      </c>
      <c r="K2961" s="2" t="inlineStr">
        <is>
          <t>marker_273_379334.png</t>
        </is>
      </c>
      <c r="L2961" s="11">
        <f>HYPERLINK("3\1\" &amp; K2961, "Ver Imagen")</f>
        <v/>
      </c>
      <c r="M2961" t="inlineStr">
        <is>
          <t>Moda</t>
        </is>
      </c>
    </row>
    <row r="2962">
      <c r="A2962" t="n">
        <v>2961</v>
      </c>
      <c r="B2962" t="inlineStr">
        <is>
          <t>A-497__203</t>
        </is>
      </c>
      <c r="C2962" s="1" t="n">
        <v>37.2642370077</v>
      </c>
      <c r="D2962" s="1" t="n">
        <v>-7.00251642287</v>
      </c>
      <c r="E2962" s="3" t="n">
        <v>3</v>
      </c>
      <c r="F2962" s="2" t="n">
        <v>4</v>
      </c>
      <c r="G2962" s="4" t="n">
        <v>3</v>
      </c>
      <c r="H2962" s="13" t="n"/>
      <c r="I2962" s="15" t="n"/>
      <c r="J2962" s="19" t="n">
        <v>3</v>
      </c>
      <c r="K2962" s="2" t="inlineStr">
        <is>
          <t>marker_173_379382.png</t>
        </is>
      </c>
      <c r="L2962" s="11">
        <f>HYPERLINK("3\1\" &amp; K2962, "Ver Imagen")</f>
        <v/>
      </c>
      <c r="M2962" t="inlineStr">
        <is>
          <t>Moda</t>
        </is>
      </c>
    </row>
    <row r="2963">
      <c r="A2963" t="n">
        <v>2962</v>
      </c>
      <c r="B2963" t="inlineStr">
        <is>
          <t>A-497__198</t>
        </is>
      </c>
      <c r="C2963" s="1" t="n">
        <v>37.264445896</v>
      </c>
      <c r="D2963" s="1" t="n">
        <v>-7.00135096478</v>
      </c>
      <c r="E2963" s="3" t="n">
        <v>3</v>
      </c>
      <c r="F2963" s="2" t="n">
        <v>2</v>
      </c>
      <c r="G2963" s="4" t="n">
        <v>3</v>
      </c>
      <c r="H2963" s="13" t="n"/>
      <c r="I2963" s="15" t="n"/>
      <c r="J2963" s="19" t="n">
        <v>3</v>
      </c>
      <c r="K2963" s="2" t="inlineStr">
        <is>
          <t>marker_105_379431.png</t>
        </is>
      </c>
      <c r="L2963" s="11">
        <f>HYPERLINK("3\1\" &amp; K2963, "Ver Imagen")</f>
        <v/>
      </c>
      <c r="M2963" t="inlineStr">
        <is>
          <t>Moda</t>
        </is>
      </c>
    </row>
    <row r="2964">
      <c r="A2964" t="n">
        <v>2963</v>
      </c>
      <c r="B2964" t="inlineStr">
        <is>
          <t>A-497__197</t>
        </is>
      </c>
      <c r="C2964" s="1" t="n">
        <v>37.2644998468</v>
      </c>
      <c r="D2964" s="1" t="n">
        <v>-7.00105254903</v>
      </c>
      <c r="E2964" s="3" t="n">
        <v>3</v>
      </c>
      <c r="F2964" s="2" t="n">
        <v>2</v>
      </c>
      <c r="G2964" s="4" t="n">
        <v>3</v>
      </c>
      <c r="H2964" s="13" t="n"/>
      <c r="I2964" s="15" t="n"/>
      <c r="J2964" s="19" t="n">
        <v>3</v>
      </c>
      <c r="K2964" s="2" t="inlineStr">
        <is>
          <t>marker_297_379439.png</t>
        </is>
      </c>
      <c r="L2964" s="11">
        <f>HYPERLINK("3\1\" &amp; K2964, "Ver Imagen")</f>
        <v/>
      </c>
      <c r="M2964" t="inlineStr">
        <is>
          <t>Moda</t>
        </is>
      </c>
    </row>
    <row r="2965">
      <c r="A2965" t="n">
        <v>2964</v>
      </c>
      <c r="B2965" t="inlineStr">
        <is>
          <t>A-497__196</t>
        </is>
      </c>
      <c r="C2965" s="1" t="n">
        <v>37.2645474147</v>
      </c>
      <c r="D2965" s="1" t="n">
        <v>-7.00079030079</v>
      </c>
      <c r="E2965" s="3" t="n">
        <v>3</v>
      </c>
      <c r="F2965" s="2" t="n">
        <v>2</v>
      </c>
      <c r="G2965" s="4" t="n">
        <v>3</v>
      </c>
      <c r="H2965" s="13" t="n"/>
      <c r="I2965" s="15" t="n"/>
      <c r="J2965" s="19" t="n">
        <v>3</v>
      </c>
      <c r="K2965" s="2" t="inlineStr">
        <is>
          <t>marker_478_379450.png</t>
        </is>
      </c>
      <c r="L2965" s="11">
        <f>HYPERLINK("3\1\" &amp; K2965, "Ver Imagen")</f>
        <v/>
      </c>
      <c r="M2965" t="inlineStr">
        <is>
          <t>Moda</t>
        </is>
      </c>
    </row>
    <row r="2966">
      <c r="A2966" t="n">
        <v>2965</v>
      </c>
      <c r="B2966" t="inlineStr">
        <is>
          <t>A-497__195</t>
        </is>
      </c>
      <c r="C2966" s="1" t="n">
        <v>37.2645860874</v>
      </c>
      <c r="D2966" s="1" t="n">
        <v>-7.00057605687</v>
      </c>
      <c r="E2966" s="3" t="n">
        <v>3</v>
      </c>
      <c r="F2966" s="2" t="n">
        <v>2</v>
      </c>
      <c r="G2966" s="4" t="n">
        <v>3</v>
      </c>
      <c r="H2966" s="13" t="n"/>
      <c r="I2966" s="15" t="n"/>
      <c r="J2966" s="19" t="n">
        <v>3</v>
      </c>
      <c r="K2966" s="2" t="inlineStr">
        <is>
          <t>marker_300_379460.png</t>
        </is>
      </c>
      <c r="L2966" s="11">
        <f>HYPERLINK("3\1\" &amp; K2966, "Ver Imagen")</f>
        <v/>
      </c>
      <c r="M2966" t="inlineStr">
        <is>
          <t>Moda</t>
        </is>
      </c>
    </row>
    <row r="2967">
      <c r="A2967" t="n">
        <v>2966</v>
      </c>
      <c r="B2967" t="inlineStr">
        <is>
          <t>A-497__183</t>
        </is>
      </c>
      <c r="C2967" s="1" t="n">
        <v>37.2651108831</v>
      </c>
      <c r="D2967" s="1" t="n">
        <v>-6.99760247922</v>
      </c>
      <c r="E2967" s="3" t="n">
        <v>3</v>
      </c>
      <c r="F2967" s="2" t="n">
        <v>2</v>
      </c>
      <c r="G2967" s="4" t="n">
        <v>3</v>
      </c>
      <c r="H2967" s="13" t="n"/>
      <c r="I2967" s="15" t="n"/>
      <c r="J2967" s="19" t="n">
        <v>3</v>
      </c>
      <c r="K2967" s="2" t="inlineStr">
        <is>
          <t>marker_169_379608.png</t>
        </is>
      </c>
      <c r="L2967" s="11">
        <f>HYPERLINK("3\1\" &amp; K2967, "Ver Imagen")</f>
        <v/>
      </c>
      <c r="M2967" t="inlineStr">
        <is>
          <t>Moda</t>
        </is>
      </c>
    </row>
    <row r="2968">
      <c r="A2968" t="n">
        <v>2967</v>
      </c>
      <c r="B2968" t="inlineStr">
        <is>
          <t>A-497__170</t>
        </is>
      </c>
      <c r="C2968" s="1" t="n">
        <v>37.2656917236</v>
      </c>
      <c r="D2968" s="1" t="n">
        <v>-6.99438904611</v>
      </c>
      <c r="E2968" s="3" t="n">
        <v>3</v>
      </c>
      <c r="F2968" s="2" t="n">
        <v>4</v>
      </c>
      <c r="G2968" s="4" t="n">
        <v>3</v>
      </c>
      <c r="H2968" s="13" t="n"/>
      <c r="I2968" s="15" t="n"/>
      <c r="J2968" s="19" t="n">
        <v>3</v>
      </c>
      <c r="K2968" s="2" t="inlineStr">
        <is>
          <t>marker_734_379858.png</t>
        </is>
      </c>
      <c r="L2968" s="11">
        <f>HYPERLINK("3\1\" &amp; K2968, "Ver Imagen")</f>
        <v/>
      </c>
      <c r="M2968" t="inlineStr">
        <is>
          <t>Moda</t>
        </is>
      </c>
    </row>
    <row r="2969">
      <c r="A2969" t="n">
        <v>2968</v>
      </c>
      <c r="B2969" t="inlineStr">
        <is>
          <t>A-497__166</t>
        </is>
      </c>
      <c r="C2969" s="1" t="n">
        <v>37.2659737684</v>
      </c>
      <c r="D2969" s="1" t="n">
        <v>-6.99342076519</v>
      </c>
      <c r="E2969" s="3" t="n">
        <v>3</v>
      </c>
      <c r="F2969" s="2" t="n">
        <v>2</v>
      </c>
      <c r="G2969" s="4" t="n">
        <v>3</v>
      </c>
      <c r="H2969" s="13" t="n"/>
      <c r="I2969" s="15" t="n"/>
      <c r="J2969" s="19" t="n">
        <v>3</v>
      </c>
      <c r="K2969" s="2" t="inlineStr">
        <is>
          <t>marker_158_380192.png</t>
        </is>
      </c>
      <c r="L2969" s="11">
        <f>HYPERLINK("3\1\" &amp; K2969, "Ver Imagen")</f>
        <v/>
      </c>
      <c r="M2969" t="inlineStr">
        <is>
          <t>Moda</t>
        </is>
      </c>
    </row>
    <row r="2970">
      <c r="A2970" t="n">
        <v>2969</v>
      </c>
      <c r="B2970" t="inlineStr">
        <is>
          <t>A-497__161</t>
        </is>
      </c>
      <c r="C2970" s="1" t="n">
        <v>37.2665150524</v>
      </c>
      <c r="D2970" s="1" t="n">
        <v>-6.99233892827</v>
      </c>
      <c r="E2970" s="3" t="n">
        <v>3</v>
      </c>
      <c r="F2970" s="2" t="n">
        <v>2</v>
      </c>
      <c r="G2970" s="4" t="n">
        <v>3</v>
      </c>
      <c r="H2970" s="13" t="n"/>
      <c r="I2970" s="15" t="n"/>
      <c r="J2970" s="19" t="n">
        <v>3</v>
      </c>
      <c r="K2970" s="2" t="inlineStr">
        <is>
          <t>marker_762_380243.png</t>
        </is>
      </c>
      <c r="L2970" s="11">
        <f>HYPERLINK("3\1\" &amp; K2970, "Ver Imagen")</f>
        <v/>
      </c>
      <c r="M2970" t="inlineStr">
        <is>
          <t>Moda</t>
        </is>
      </c>
    </row>
    <row r="2971">
      <c r="A2971" t="n">
        <v>2970</v>
      </c>
      <c r="B2971" t="inlineStr">
        <is>
          <t>A-497__160</t>
        </is>
      </c>
      <c r="C2971" s="1" t="n">
        <v>37.2666456328</v>
      </c>
      <c r="D2971" s="1" t="n">
        <v>-6.99214865606</v>
      </c>
      <c r="E2971" s="3" t="n">
        <v>3</v>
      </c>
      <c r="F2971" s="2" t="n">
        <v>2</v>
      </c>
      <c r="G2971" s="4" t="n">
        <v>3</v>
      </c>
      <c r="H2971" s="13" t="n"/>
      <c r="I2971" s="15" t="n"/>
      <c r="J2971" s="19" t="n">
        <v>3</v>
      </c>
      <c r="K2971" s="2" t="inlineStr">
        <is>
          <t>marker_301_380251.png</t>
        </is>
      </c>
      <c r="L2971" s="11">
        <f>HYPERLINK("3\1\" &amp; K2971, "Ver Imagen")</f>
        <v/>
      </c>
      <c r="M2971" t="inlineStr">
        <is>
          <t>Moda</t>
        </is>
      </c>
    </row>
    <row r="2972">
      <c r="A2972" t="n">
        <v>2971</v>
      </c>
      <c r="B2972" t="inlineStr">
        <is>
          <t>A-497__155</t>
        </is>
      </c>
      <c r="C2972" s="1" t="n">
        <v>37.2673704472</v>
      </c>
      <c r="D2972" s="1" t="n">
        <v>-6.99135877023</v>
      </c>
      <c r="E2972" s="3" t="n">
        <v>3</v>
      </c>
      <c r="F2972" s="2" t="n">
        <v>2</v>
      </c>
      <c r="G2972" s="4" t="n">
        <v>3</v>
      </c>
      <c r="H2972" s="13" t="n"/>
      <c r="I2972" s="15" t="n"/>
      <c r="J2972" s="19" t="n">
        <v>3</v>
      </c>
      <c r="K2972" s="2" t="inlineStr">
        <is>
          <t>marker_436_380296.png</t>
        </is>
      </c>
      <c r="L2972" s="11">
        <f>HYPERLINK("3\1\" &amp; K2972, "Ver Imagen")</f>
        <v/>
      </c>
      <c r="M2972" t="inlineStr">
        <is>
          <t>Moda</t>
        </is>
      </c>
    </row>
    <row r="2973">
      <c r="A2973" t="n">
        <v>2972</v>
      </c>
      <c r="B2973" t="inlineStr">
        <is>
          <t>A-497__154</t>
        </is>
      </c>
      <c r="C2973" s="1" t="n">
        <v>37.267552246</v>
      </c>
      <c r="D2973" s="1" t="n">
        <v>-6.99121106513</v>
      </c>
      <c r="E2973" s="3" t="n">
        <v>3</v>
      </c>
      <c r="F2973" s="2" t="n">
        <v>2</v>
      </c>
      <c r="G2973" s="4" t="n">
        <v>3</v>
      </c>
      <c r="H2973" s="13" t="n"/>
      <c r="I2973" s="15" t="n"/>
      <c r="J2973" s="19" t="n">
        <v>3</v>
      </c>
      <c r="K2973" s="2" t="inlineStr">
        <is>
          <t>marker_715_380305.png</t>
        </is>
      </c>
      <c r="L2973" s="11">
        <f>HYPERLINK("3\1\" &amp; K2973, "Ver Imagen")</f>
        <v/>
      </c>
      <c r="M2973" t="inlineStr">
        <is>
          <t>Moda</t>
        </is>
      </c>
    </row>
    <row r="2974">
      <c r="A2974" t="n">
        <v>2973</v>
      </c>
      <c r="B2974" t="inlineStr">
        <is>
          <t>A-497__153</t>
        </is>
      </c>
      <c r="C2974" s="1" t="n">
        <v>37.2677345057</v>
      </c>
      <c r="D2974" s="1" t="n">
        <v>-6.99107279744</v>
      </c>
      <c r="E2974" s="3" t="n">
        <v>3</v>
      </c>
      <c r="F2974" s="2" t="n">
        <v>2</v>
      </c>
      <c r="G2974" s="4" t="n">
        <v>3</v>
      </c>
      <c r="H2974" s="13" t="n"/>
      <c r="I2974" s="15" t="n"/>
      <c r="J2974" s="19" t="n">
        <v>3</v>
      </c>
      <c r="K2974" s="2" t="inlineStr">
        <is>
          <t>marker_636_380315.png</t>
        </is>
      </c>
      <c r="L2974" s="11">
        <f>HYPERLINK("3\1\" &amp; K2974, "Ver Imagen")</f>
        <v/>
      </c>
      <c r="M2974" t="inlineStr">
        <is>
          <t>Moda</t>
        </is>
      </c>
    </row>
    <row r="2975">
      <c r="A2975" t="n">
        <v>2974</v>
      </c>
      <c r="B2975" t="inlineStr">
        <is>
          <t>A-497__148</t>
        </is>
      </c>
      <c r="C2975" s="1" t="n">
        <v>37.2686048115</v>
      </c>
      <c r="D2975" s="1" t="n">
        <v>-6.99044946838</v>
      </c>
      <c r="E2975" s="3" t="n">
        <v>3</v>
      </c>
      <c r="F2975" s="2" t="n">
        <v>2</v>
      </c>
      <c r="G2975" s="4" t="n">
        <v>3</v>
      </c>
      <c r="H2975" s="13" t="n"/>
      <c r="I2975" s="15" t="n"/>
      <c r="J2975" s="19" t="n">
        <v>3</v>
      </c>
      <c r="K2975" s="2" t="inlineStr">
        <is>
          <t>marker_168_380366.png</t>
        </is>
      </c>
      <c r="L2975" s="11">
        <f>HYPERLINK("3\1\" &amp; K2975, "Ver Imagen")</f>
        <v/>
      </c>
      <c r="M2975" t="inlineStr">
        <is>
          <t>Moda</t>
        </is>
      </c>
    </row>
    <row r="2976">
      <c r="A2976" t="n">
        <v>2975</v>
      </c>
      <c r="B2976" t="inlineStr">
        <is>
          <t>A-497__147</t>
        </is>
      </c>
      <c r="C2976" s="1" t="n">
        <v>37.2687768667</v>
      </c>
      <c r="D2976" s="1" t="n">
        <v>-6.99032780686</v>
      </c>
      <c r="E2976" s="3" t="n">
        <v>3</v>
      </c>
      <c r="F2976" s="2" t="n">
        <v>2</v>
      </c>
      <c r="G2976" s="4" t="n">
        <v>3</v>
      </c>
      <c r="H2976" s="13" t="n"/>
      <c r="I2976" s="15" t="n"/>
      <c r="J2976" s="19" t="n">
        <v>3</v>
      </c>
      <c r="K2976" s="2" t="inlineStr">
        <is>
          <t>marker_124_380377.png</t>
        </is>
      </c>
      <c r="L2976" s="11">
        <f>HYPERLINK("3\1\" &amp; K2976, "Ver Imagen")</f>
        <v/>
      </c>
      <c r="M2976" t="inlineStr">
        <is>
          <t>Moda</t>
        </is>
      </c>
    </row>
    <row r="2977">
      <c r="A2977" t="n">
        <v>2976</v>
      </c>
      <c r="B2977" t="inlineStr">
        <is>
          <t>A-497__146</t>
        </is>
      </c>
      <c r="C2977" s="1" t="n">
        <v>37.2689683678</v>
      </c>
      <c r="D2977" s="1" t="n">
        <v>-6.99019252133</v>
      </c>
      <c r="E2977" s="3" t="n">
        <v>3</v>
      </c>
      <c r="F2977" s="2" t="n">
        <v>2</v>
      </c>
      <c r="G2977" s="4" t="n">
        <v>3</v>
      </c>
      <c r="H2977" s="13" t="n"/>
      <c r="I2977" s="15" t="n"/>
      <c r="J2977" s="19" t="n">
        <v>3</v>
      </c>
      <c r="K2977" s="2" t="inlineStr">
        <is>
          <t>marker_576_380386.png</t>
        </is>
      </c>
      <c r="L2977" s="11">
        <f>HYPERLINK("3\1\" &amp; K2977, "Ver Imagen")</f>
        <v/>
      </c>
      <c r="M2977" t="inlineStr">
        <is>
          <t>Moda</t>
        </is>
      </c>
    </row>
    <row r="2978">
      <c r="A2978" t="n">
        <v>2977</v>
      </c>
      <c r="B2978" t="inlineStr">
        <is>
          <t>A-497__145</t>
        </is>
      </c>
      <c r="C2978" s="1" t="n">
        <v>37.2691236479</v>
      </c>
      <c r="D2978" s="1" t="n">
        <v>-6.99008321512</v>
      </c>
      <c r="E2978" s="3" t="n">
        <v>3</v>
      </c>
      <c r="F2978" s="2" t="n">
        <v>2</v>
      </c>
      <c r="G2978" s="4" t="n">
        <v>3</v>
      </c>
      <c r="H2978" s="13" t="n"/>
      <c r="I2978" s="15" t="n"/>
      <c r="J2978" s="19" t="n">
        <v>3</v>
      </c>
      <c r="K2978" s="2" t="inlineStr">
        <is>
          <t>marker_509_380394.png</t>
        </is>
      </c>
      <c r="L2978" s="11">
        <f>HYPERLINK("3\1\" &amp; K2978, "Ver Imagen")</f>
        <v/>
      </c>
      <c r="M2978" t="inlineStr">
        <is>
          <t>Moda</t>
        </is>
      </c>
    </row>
    <row r="2979">
      <c r="A2979" t="n">
        <v>2978</v>
      </c>
      <c r="B2979" t="inlineStr">
        <is>
          <t>A-497__144</t>
        </is>
      </c>
      <c r="C2979" s="1" t="n">
        <v>37.2693102269</v>
      </c>
      <c r="D2979" s="1" t="n">
        <v>-6.98995241159</v>
      </c>
      <c r="E2979" s="3" t="n">
        <v>3</v>
      </c>
      <c r="F2979" s="2" t="n">
        <v>2</v>
      </c>
      <c r="G2979" s="4" t="n">
        <v>3</v>
      </c>
      <c r="H2979" s="13" t="n"/>
      <c r="I2979" s="15" t="n"/>
      <c r="J2979" s="19" t="n">
        <v>3</v>
      </c>
      <c r="K2979" s="2" t="inlineStr">
        <is>
          <t>marker_670_380403.png</t>
        </is>
      </c>
      <c r="L2979" s="11">
        <f>HYPERLINK("3\1\" &amp; K2979, "Ver Imagen")</f>
        <v/>
      </c>
      <c r="M2979" t="inlineStr">
        <is>
          <t>Moda</t>
        </is>
      </c>
    </row>
    <row r="2980">
      <c r="A2980" t="n">
        <v>2979</v>
      </c>
      <c r="B2980" t="inlineStr">
        <is>
          <t>A-497__143</t>
        </is>
      </c>
      <c r="C2980" s="1" t="n">
        <v>37.2694828156</v>
      </c>
      <c r="D2980" s="1" t="n">
        <v>-6.9898315469</v>
      </c>
      <c r="E2980" s="3" t="n">
        <v>3</v>
      </c>
      <c r="F2980" s="2" t="n">
        <v>2</v>
      </c>
      <c r="G2980" s="4" t="n">
        <v>3</v>
      </c>
      <c r="H2980" s="13" t="n"/>
      <c r="I2980" s="15" t="n"/>
      <c r="J2980" s="19" t="n">
        <v>3</v>
      </c>
      <c r="K2980" s="2" t="inlineStr">
        <is>
          <t>marker_330_380415.png</t>
        </is>
      </c>
      <c r="L2980" s="11">
        <f>HYPERLINK("3\1\" &amp; K2980, "Ver Imagen")</f>
        <v/>
      </c>
      <c r="M2980" t="inlineStr">
        <is>
          <t>Moda</t>
        </is>
      </c>
    </row>
    <row r="2981">
      <c r="A2981" t="n">
        <v>2980</v>
      </c>
      <c r="B2981" t="inlineStr">
        <is>
          <t>A-497__142</t>
        </is>
      </c>
      <c r="C2981" s="1" t="n">
        <v>37.2696675016</v>
      </c>
      <c r="D2981" s="1" t="n">
        <v>-6.98970239456</v>
      </c>
      <c r="E2981" s="3" t="n">
        <v>3</v>
      </c>
      <c r="F2981" s="2" t="n">
        <v>2</v>
      </c>
      <c r="G2981" s="4" t="n">
        <v>3</v>
      </c>
      <c r="H2981" s="13" t="n"/>
      <c r="I2981" s="15" t="n"/>
      <c r="J2981" s="19" t="n">
        <v>3</v>
      </c>
      <c r="K2981" s="2" t="inlineStr">
        <is>
          <t>marker_543_380423.png</t>
        </is>
      </c>
      <c r="L2981" s="11">
        <f>HYPERLINK("3\1\" &amp; K2981, "Ver Imagen")</f>
        <v/>
      </c>
      <c r="M2981" t="inlineStr">
        <is>
          <t>Moda</t>
        </is>
      </c>
    </row>
    <row r="2982">
      <c r="A2982" t="n">
        <v>2981</v>
      </c>
      <c r="B2982" t="inlineStr">
        <is>
          <t>A-497__141</t>
        </is>
      </c>
      <c r="C2982" s="1" t="n">
        <v>37.2698411786</v>
      </c>
      <c r="D2982" s="1" t="n">
        <v>-6.98958186451</v>
      </c>
      <c r="E2982" s="3" t="n">
        <v>3</v>
      </c>
      <c r="F2982" s="2" t="n">
        <v>2</v>
      </c>
      <c r="G2982" s="4" t="n">
        <v>3</v>
      </c>
      <c r="H2982" s="13" t="n"/>
      <c r="I2982" s="15" t="n"/>
      <c r="J2982" s="19" t="n">
        <v>3</v>
      </c>
      <c r="K2982" s="2" t="inlineStr">
        <is>
          <t>marker_309_380433.png</t>
        </is>
      </c>
      <c r="L2982" s="11">
        <f>HYPERLINK("3\1\" &amp; K2982, "Ver Imagen")</f>
        <v/>
      </c>
      <c r="M2982" t="inlineStr">
        <is>
          <t>Moda</t>
        </is>
      </c>
    </row>
    <row r="2983">
      <c r="A2983" t="n">
        <v>2982</v>
      </c>
      <c r="B2983" t="inlineStr">
        <is>
          <t>A-497__109</t>
        </is>
      </c>
      <c r="C2983" s="1" t="n">
        <v>37.2709370603</v>
      </c>
      <c r="D2983" s="1" t="n">
        <v>-6.98273591689</v>
      </c>
      <c r="E2983" s="3" t="n">
        <v>3</v>
      </c>
      <c r="F2983" s="2" t="n">
        <v>3</v>
      </c>
      <c r="G2983" s="4" t="n">
        <v>4</v>
      </c>
      <c r="H2983" s="13" t="n"/>
      <c r="I2983" s="15" t="n"/>
      <c r="J2983" s="19" t="n">
        <v>3</v>
      </c>
      <c r="K2983" s="2" t="inlineStr">
        <is>
          <t>marker_442_380736.png</t>
        </is>
      </c>
      <c r="L2983" s="11">
        <f>HYPERLINK("3\1\" &amp; K2983, "Ver Imagen")</f>
        <v/>
      </c>
      <c r="M2983" t="inlineStr">
        <is>
          <t>Moda</t>
        </is>
      </c>
    </row>
    <row r="2984">
      <c r="A2984" t="n">
        <v>2983</v>
      </c>
      <c r="B2984" t="inlineStr">
        <is>
          <t>A-497__106</t>
        </is>
      </c>
      <c r="C2984" s="1" t="n">
        <v>37.2707172783</v>
      </c>
      <c r="D2984" s="1" t="n">
        <v>-6.98195847141</v>
      </c>
      <c r="E2984" s="3" t="n">
        <v>3</v>
      </c>
      <c r="F2984" s="2" t="n">
        <v>3</v>
      </c>
      <c r="G2984" s="4" t="n">
        <v>4</v>
      </c>
      <c r="H2984" s="13" t="n"/>
      <c r="I2984" s="15" t="n"/>
      <c r="J2984" s="19" t="n">
        <v>3</v>
      </c>
      <c r="K2984" s="2" t="inlineStr">
        <is>
          <t>marker_834_380767.png</t>
        </is>
      </c>
      <c r="L2984" s="11">
        <f>HYPERLINK("3\1\" &amp; K2984, "Ver Imagen")</f>
        <v/>
      </c>
      <c r="M2984" t="inlineStr">
        <is>
          <t>Moda</t>
        </is>
      </c>
    </row>
    <row r="2985">
      <c r="A2985" t="n">
        <v>2984</v>
      </c>
      <c r="B2985" t="inlineStr">
        <is>
          <t>A-497__105</t>
        </is>
      </c>
      <c r="C2985" s="1" t="n">
        <v>37.2706603106</v>
      </c>
      <c r="D2985" s="1" t="n">
        <v>-6.98175568225</v>
      </c>
      <c r="E2985" s="3" t="n">
        <v>3</v>
      </c>
      <c r="F2985" s="2" t="n">
        <v>3</v>
      </c>
      <c r="G2985" s="4" t="n">
        <v>4</v>
      </c>
      <c r="H2985" s="13" t="n"/>
      <c r="I2985" s="15" t="n"/>
      <c r="J2985" s="19" t="n">
        <v>3</v>
      </c>
      <c r="K2985" s="2" t="inlineStr">
        <is>
          <t>marker_478_380776.png</t>
        </is>
      </c>
      <c r="L2985" s="11">
        <f>HYPERLINK("3\1\" &amp; K2985, "Ver Imagen")</f>
        <v/>
      </c>
      <c r="M2985" t="inlineStr">
        <is>
          <t>Moda</t>
        </is>
      </c>
    </row>
    <row r="2986">
      <c r="A2986" t="n">
        <v>2985</v>
      </c>
      <c r="B2986" t="inlineStr">
        <is>
          <t>A-497__104</t>
        </is>
      </c>
      <c r="C2986" s="1" t="n">
        <v>37.2706000493</v>
      </c>
      <c r="D2986" s="1" t="n">
        <v>-6.98154688939</v>
      </c>
      <c r="E2986" s="3" t="n">
        <v>4</v>
      </c>
      <c r="F2986" s="2" t="n">
        <v>3</v>
      </c>
      <c r="G2986" s="4" t="n">
        <v>3</v>
      </c>
      <c r="H2986" s="13" t="n"/>
      <c r="I2986" s="15" t="n"/>
      <c r="J2986" s="19" t="n">
        <v>3</v>
      </c>
      <c r="K2986" s="2" t="inlineStr">
        <is>
          <t>marker_830_380787.png</t>
        </is>
      </c>
      <c r="L2986" s="11">
        <f>HYPERLINK("3\1\" &amp; K2986, "Ver Imagen")</f>
        <v/>
      </c>
      <c r="M2986" t="inlineStr">
        <is>
          <t>Moda</t>
        </is>
      </c>
    </row>
    <row r="2987">
      <c r="A2987" t="n">
        <v>2986</v>
      </c>
      <c r="B2987" t="inlineStr">
        <is>
          <t>A-497__100</t>
        </is>
      </c>
      <c r="C2987" s="1" t="n">
        <v>37.2703215931</v>
      </c>
      <c r="D2987" s="1" t="n">
        <v>-6.98059382456</v>
      </c>
      <c r="E2987" s="3" t="n">
        <v>3</v>
      </c>
      <c r="F2987" s="2" t="n">
        <v>4</v>
      </c>
      <c r="G2987" s="4" t="n">
        <v>3</v>
      </c>
      <c r="H2987" s="13" t="n"/>
      <c r="I2987" s="15" t="n"/>
      <c r="J2987" s="19" t="n">
        <v>3</v>
      </c>
      <c r="K2987" s="2" t="inlineStr">
        <is>
          <t>marker_782_380837.png</t>
        </is>
      </c>
      <c r="L2987" s="11">
        <f>HYPERLINK("3\1\" &amp; K2987, "Ver Imagen")</f>
        <v/>
      </c>
      <c r="M2987" t="inlineStr">
        <is>
          <t>Moda</t>
        </is>
      </c>
    </row>
    <row r="2988">
      <c r="A2988" t="n">
        <v>2987</v>
      </c>
      <c r="B2988" t="inlineStr">
        <is>
          <t>A-497__96</t>
        </is>
      </c>
      <c r="C2988" s="1" t="n">
        <v>37.2700489297</v>
      </c>
      <c r="D2988" s="1" t="n">
        <v>-6.97963456028</v>
      </c>
      <c r="E2988" s="3" t="n">
        <v>3</v>
      </c>
      <c r="F2988" s="2" t="n">
        <v>4</v>
      </c>
      <c r="G2988" s="4" t="n">
        <v>3</v>
      </c>
      <c r="H2988" s="13" t="n"/>
      <c r="I2988" s="15" t="n"/>
      <c r="J2988" s="19" t="n">
        <v>3</v>
      </c>
      <c r="K2988" s="2" t="inlineStr">
        <is>
          <t>marker_323_380879.png</t>
        </is>
      </c>
      <c r="L2988" s="11">
        <f>HYPERLINK("3\1\" &amp; K2988, "Ver Imagen")</f>
        <v/>
      </c>
      <c r="M2988" t="inlineStr">
        <is>
          <t>Moda</t>
        </is>
      </c>
    </row>
    <row r="2989">
      <c r="A2989" t="n">
        <v>2988</v>
      </c>
      <c r="B2989" t="inlineStr">
        <is>
          <t>A-497__93</t>
        </is>
      </c>
      <c r="C2989" s="1" t="n">
        <v>37.2698411741</v>
      </c>
      <c r="D2989" s="1" t="n">
        <v>-6.97890979886</v>
      </c>
      <c r="E2989" s="3" t="n">
        <v>4</v>
      </c>
      <c r="F2989" s="2" t="n">
        <v>3</v>
      </c>
      <c r="G2989" s="4" t="n">
        <v>3</v>
      </c>
      <c r="H2989" s="13" t="n"/>
      <c r="I2989" s="15" t="n"/>
      <c r="J2989" s="19" t="n">
        <v>3</v>
      </c>
      <c r="K2989" s="2" t="inlineStr">
        <is>
          <t>marker_847_380906.png</t>
        </is>
      </c>
      <c r="L2989" s="11">
        <f>HYPERLINK("3\1\" &amp; K2989, "Ver Imagen")</f>
        <v/>
      </c>
      <c r="M2989" t="inlineStr">
        <is>
          <t>Moda</t>
        </is>
      </c>
    </row>
    <row r="2990">
      <c r="A2990" t="n">
        <v>2989</v>
      </c>
      <c r="B2990" t="inlineStr">
        <is>
          <t>A-490__246</t>
        </is>
      </c>
      <c r="C2990" s="1" t="n">
        <v>37.4653817928</v>
      </c>
      <c r="D2990" s="1" t="n">
        <v>-7.18102235774</v>
      </c>
      <c r="E2990" s="3" t="n">
        <v>4</v>
      </c>
      <c r="F2990" s="2" t="n">
        <v>3</v>
      </c>
      <c r="G2990" s="4" t="n">
        <v>3</v>
      </c>
      <c r="H2990" s="13" t="n"/>
      <c r="I2990" s="15" t="n"/>
      <c r="J2990" s="19" t="n">
        <v>3</v>
      </c>
      <c r="K2990" s="2" t="inlineStr">
        <is>
          <t>marker_232_749422.png</t>
        </is>
      </c>
      <c r="L2990" s="11">
        <f>HYPERLINK("3\1\" &amp; K2990, "Ver Imagen")</f>
        <v/>
      </c>
      <c r="M2990" t="inlineStr">
        <is>
          <t>Moda</t>
        </is>
      </c>
    </row>
    <row r="2991">
      <c r="A2991" t="n">
        <v>2990</v>
      </c>
      <c r="B2991" t="inlineStr">
        <is>
          <t>A-490__250</t>
        </is>
      </c>
      <c r="C2991" s="1" t="n">
        <v>37.465830469</v>
      </c>
      <c r="D2991" s="1" t="n">
        <v>-7.18186305252</v>
      </c>
      <c r="E2991" s="3" t="n">
        <v>3</v>
      </c>
      <c r="F2991" s="2" t="n">
        <v>3</v>
      </c>
      <c r="G2991" s="4" t="n">
        <v>4</v>
      </c>
      <c r="H2991" s="13" t="n"/>
      <c r="I2991" s="15" t="n"/>
      <c r="J2991" s="19" t="n">
        <v>3</v>
      </c>
      <c r="K2991" s="2" t="inlineStr">
        <is>
          <t>marker_912_749496.png</t>
        </is>
      </c>
      <c r="L2991" s="11">
        <f>HYPERLINK("3\1\" &amp; K2991, "Ver Imagen")</f>
        <v/>
      </c>
      <c r="M2991" t="inlineStr">
        <is>
          <t>Moda</t>
        </is>
      </c>
    </row>
    <row r="2992">
      <c r="A2992" t="n">
        <v>2991</v>
      </c>
      <c r="B2992" t="inlineStr">
        <is>
          <t>A-490__257</t>
        </is>
      </c>
      <c r="C2992" s="1" t="n">
        <v>37.46664716</v>
      </c>
      <c r="D2992" s="1" t="n">
        <v>-7.1833862573</v>
      </c>
      <c r="E2992" s="3" t="n">
        <v>3</v>
      </c>
      <c r="F2992" s="2" t="n">
        <v>3</v>
      </c>
      <c r="G2992" s="4" t="n">
        <v>4</v>
      </c>
      <c r="H2992" s="13" t="n"/>
      <c r="I2992" s="15" t="n"/>
      <c r="J2992" s="19" t="n">
        <v>3</v>
      </c>
      <c r="K2992" s="2" t="inlineStr">
        <is>
          <t>marker_609_749644.png</t>
        </is>
      </c>
      <c r="L2992" s="11">
        <f>HYPERLINK("3\1\" &amp; K2992, "Ver Imagen")</f>
        <v/>
      </c>
      <c r="M2992" t="inlineStr">
        <is>
          <t>Moda</t>
        </is>
      </c>
    </row>
    <row r="2993">
      <c r="A2993" t="n">
        <v>2992</v>
      </c>
      <c r="B2993" t="inlineStr">
        <is>
          <t>A-490__629</t>
        </is>
      </c>
      <c r="C2993" s="1" t="n">
        <v>37.4952313383</v>
      </c>
      <c r="D2993" s="1" t="n">
        <v>-7.26763566896</v>
      </c>
      <c r="E2993" s="3" t="n">
        <v>4</v>
      </c>
      <c r="F2993" s="2" t="n">
        <v>3</v>
      </c>
      <c r="G2993" s="4" t="n">
        <v>3</v>
      </c>
      <c r="H2993" s="13" t="n"/>
      <c r="I2993" s="15" t="n"/>
      <c r="J2993" s="19" t="n">
        <v>3</v>
      </c>
      <c r="K2993" s="2" t="inlineStr">
        <is>
          <t>marker_751_789296.png</t>
        </is>
      </c>
      <c r="L2993" s="11">
        <f>HYPERLINK("3\1\" &amp; K2993, "Ver Imagen")</f>
        <v/>
      </c>
      <c r="M2993" t="inlineStr">
        <is>
          <t>Moda</t>
        </is>
      </c>
    </row>
    <row r="2994">
      <c r="A2994" t="n">
        <v>2993</v>
      </c>
      <c r="B2994" t="inlineStr">
        <is>
          <t>A-490__630</t>
        </is>
      </c>
      <c r="C2994" s="1" t="n">
        <v>37.4954338456</v>
      </c>
      <c r="D2994" s="1" t="n">
        <v>-7.26768327472</v>
      </c>
      <c r="E2994" s="3" t="n">
        <v>4</v>
      </c>
      <c r="F2994" s="2" t="n">
        <v>3</v>
      </c>
      <c r="G2994" s="4" t="n">
        <v>3</v>
      </c>
      <c r="H2994" s="13" t="n"/>
      <c r="I2994" s="15" t="n"/>
      <c r="J2994" s="19" t="n">
        <v>3</v>
      </c>
      <c r="K2994" s="2" t="inlineStr">
        <is>
          <t>marker_946_789339.png</t>
        </is>
      </c>
      <c r="L2994" s="11">
        <f>HYPERLINK("3\1\" &amp; K2994, "Ver Imagen")</f>
        <v/>
      </c>
      <c r="M2994" t="inlineStr">
        <is>
          <t>Moda</t>
        </is>
      </c>
    </row>
    <row r="2995">
      <c r="A2995" t="n">
        <v>2994</v>
      </c>
      <c r="B2995" t="inlineStr">
        <is>
          <t>A-492__19</t>
        </is>
      </c>
      <c r="C2995" s="1" t="n">
        <v>37.2751812829</v>
      </c>
      <c r="D2995" s="1" t="n">
        <v>-6.99117240577</v>
      </c>
      <c r="E2995" s="3" t="n">
        <v>3</v>
      </c>
      <c r="F2995" s="2" t="n">
        <v>3</v>
      </c>
      <c r="G2995" s="4" t="n">
        <v>4</v>
      </c>
      <c r="H2995" s="13" t="n"/>
      <c r="I2995" s="15" t="n"/>
      <c r="J2995" s="19" t="n">
        <v>3</v>
      </c>
      <c r="K2995" s="2" t="inlineStr">
        <is>
          <t>marker_293_822009.png</t>
        </is>
      </c>
      <c r="L2995" s="11">
        <f>HYPERLINK("3\1\" &amp; K2995, "Ver Imagen")</f>
        <v/>
      </c>
      <c r="M2995" t="inlineStr">
        <is>
          <t>Moda</t>
        </is>
      </c>
    </row>
    <row r="2996">
      <c r="A2996" t="n">
        <v>2995</v>
      </c>
      <c r="B2996" t="inlineStr">
        <is>
          <t>A-492__64</t>
        </is>
      </c>
      <c r="C2996" s="1" t="n">
        <v>37.2799768143</v>
      </c>
      <c r="D2996" s="1" t="n">
        <v>-6.99897565084</v>
      </c>
      <c r="E2996" s="3" t="n">
        <v>3</v>
      </c>
      <c r="F2996" s="2" t="n">
        <v>3</v>
      </c>
      <c r="G2996" s="4" t="n">
        <v>4</v>
      </c>
      <c r="H2996" s="13" t="n"/>
      <c r="I2996" s="15" t="n"/>
      <c r="J2996" s="19" t="n">
        <v>3</v>
      </c>
      <c r="K2996" s="2" t="inlineStr">
        <is>
          <t>marker_878_823190.png</t>
        </is>
      </c>
      <c r="L2996" s="11">
        <f>HYPERLINK("3\1\" &amp; K2996, "Ver Imagen")</f>
        <v/>
      </c>
      <c r="M2996" t="inlineStr">
        <is>
          <t>Moda</t>
        </is>
      </c>
    </row>
    <row r="2997">
      <c r="A2997" t="n">
        <v>2996</v>
      </c>
      <c r="B2997" t="inlineStr">
        <is>
          <t>A-492__65</t>
        </is>
      </c>
      <c r="C2997" s="1" t="n">
        <v>37.2800368387</v>
      </c>
      <c r="D2997" s="1" t="n">
        <v>-6.99925722577</v>
      </c>
      <c r="E2997" s="3" t="n">
        <v>4</v>
      </c>
      <c r="F2997" s="2" t="n">
        <v>3</v>
      </c>
      <c r="G2997" s="4" t="n">
        <v>3</v>
      </c>
      <c r="H2997" s="13" t="n"/>
      <c r="I2997" s="15" t="n"/>
      <c r="J2997" s="19" t="n">
        <v>3</v>
      </c>
      <c r="K2997" s="2" t="inlineStr">
        <is>
          <t>marker_197_823203.png</t>
        </is>
      </c>
      <c r="L2997" s="11">
        <f>HYPERLINK("3\1\" &amp; K2997, "Ver Imagen")</f>
        <v/>
      </c>
      <c r="M2997" t="inlineStr">
        <is>
          <t>Moda</t>
        </is>
      </c>
    </row>
    <row r="2998">
      <c r="A2998" t="n">
        <v>2997</v>
      </c>
      <c r="B2998" t="inlineStr">
        <is>
          <t>A-492__72</t>
        </is>
      </c>
      <c r="C2998" s="1" t="n">
        <v>37.280593761</v>
      </c>
      <c r="D2998" s="1" t="n">
        <v>-7.0006300834</v>
      </c>
      <c r="E2998" s="3" t="n">
        <v>3</v>
      </c>
      <c r="F2998" s="2" t="n">
        <v>3</v>
      </c>
      <c r="G2998" s="4" t="n">
        <v>4</v>
      </c>
      <c r="H2998" s="13" t="n"/>
      <c r="I2998" s="15" t="n"/>
      <c r="J2998" s="19" t="n">
        <v>3</v>
      </c>
      <c r="K2998" s="2" t="inlineStr">
        <is>
          <t>marker_543_823361.png</t>
        </is>
      </c>
      <c r="L2998" s="11">
        <f>HYPERLINK("3\1\" &amp; K2998, "Ver Imagen")</f>
        <v/>
      </c>
      <c r="M2998" t="inlineStr">
        <is>
          <t>Moda</t>
        </is>
      </c>
    </row>
    <row r="2999">
      <c r="A2999" t="n">
        <v>2998</v>
      </c>
      <c r="B2999" t="inlineStr">
        <is>
          <t>A-492__75</t>
        </is>
      </c>
      <c r="C2999" s="1" t="n">
        <v>37.2804725675</v>
      </c>
      <c r="D2999" s="1" t="n">
        <v>-7.00123885439</v>
      </c>
      <c r="E2999" s="3" t="n">
        <v>3</v>
      </c>
      <c r="F2999" s="2" t="n">
        <v>3</v>
      </c>
      <c r="G2999" s="4" t="n">
        <v>4</v>
      </c>
      <c r="H2999" s="13" t="n"/>
      <c r="I2999" s="15" t="n"/>
      <c r="J2999" s="19" t="n">
        <v>3</v>
      </c>
      <c r="K2999" s="2" t="inlineStr">
        <is>
          <t>marker_327_823407.png</t>
        </is>
      </c>
      <c r="L2999" s="11">
        <f>HYPERLINK("3\1\" &amp; K2999, "Ver Imagen")</f>
        <v/>
      </c>
      <c r="M2999" t="inlineStr">
        <is>
          <t>Moda</t>
        </is>
      </c>
    </row>
    <row r="3000">
      <c r="A3000" t="n">
        <v>2999</v>
      </c>
      <c r="B3000" t="inlineStr">
        <is>
          <t>A-492__76</t>
        </is>
      </c>
      <c r="C3000" s="1" t="n">
        <v>37.2804681274</v>
      </c>
      <c r="D3000" s="1" t="n">
        <v>-7.00149102567</v>
      </c>
      <c r="E3000" s="3" t="n">
        <v>3</v>
      </c>
      <c r="F3000" s="2" t="n">
        <v>3</v>
      </c>
      <c r="G3000" s="4" t="n">
        <v>4</v>
      </c>
      <c r="H3000" s="13" t="n"/>
      <c r="I3000" s="15" t="n"/>
      <c r="J3000" s="19" t="n">
        <v>3</v>
      </c>
      <c r="K3000" s="2" t="inlineStr">
        <is>
          <t>marker_768_823421.png</t>
        </is>
      </c>
      <c r="L3000" s="11">
        <f>HYPERLINK("3\1\" &amp; K3000, "Ver Imagen")</f>
        <v/>
      </c>
      <c r="M3000" t="inlineStr">
        <is>
          <t>Moda</t>
        </is>
      </c>
    </row>
    <row r="3001">
      <c r="A3001" t="n">
        <v>3000</v>
      </c>
      <c r="B3001" t="inlineStr">
        <is>
          <t>A-492__91</t>
        </is>
      </c>
      <c r="C3001" s="1" t="n">
        <v>37.2803205102</v>
      </c>
      <c r="D3001" s="1" t="n">
        <v>-7.00518932259</v>
      </c>
      <c r="E3001" s="3" t="n">
        <v>3</v>
      </c>
      <c r="F3001" s="2" t="n">
        <v>3</v>
      </c>
      <c r="G3001" s="4" t="n">
        <v>4</v>
      </c>
      <c r="H3001" s="13" t="n"/>
      <c r="I3001" s="15" t="n"/>
      <c r="J3001" s="19" t="n">
        <v>3</v>
      </c>
      <c r="K3001" s="2" t="inlineStr">
        <is>
          <t>marker_725_823631.png</t>
        </is>
      </c>
      <c r="L3001" s="11">
        <f>HYPERLINK("3\1\" &amp; K3001, "Ver Imagen")</f>
        <v/>
      </c>
      <c r="M3001" t="inlineStr">
        <is>
          <t>Moda</t>
        </is>
      </c>
    </row>
    <row r="3002">
      <c r="A3002" t="n">
        <v>3001</v>
      </c>
      <c r="B3002" t="inlineStr">
        <is>
          <t>A-492__251</t>
        </is>
      </c>
      <c r="C3002" s="1" t="n">
        <v>37.2845884335</v>
      </c>
      <c r="D3002" s="1" t="n">
        <v>-7.03904570211</v>
      </c>
      <c r="E3002" s="3" t="n">
        <v>3</v>
      </c>
      <c r="F3002" s="2" t="n">
        <v>3</v>
      </c>
      <c r="G3002" s="4" t="n">
        <v>4</v>
      </c>
      <c r="H3002" s="13" t="n"/>
      <c r="I3002" s="15" t="n"/>
      <c r="J3002" s="19" t="n">
        <v>3</v>
      </c>
      <c r="K3002" s="2" t="inlineStr">
        <is>
          <t>marker_209_836109.png</t>
        </is>
      </c>
      <c r="L3002" s="11">
        <f>HYPERLINK("3\1\" &amp; K3002, "Ver Imagen")</f>
        <v/>
      </c>
      <c r="M3002" t="inlineStr">
        <is>
          <t>Moda</t>
        </is>
      </c>
    </row>
    <row r="3003">
      <c r="A3003" t="n">
        <v>3002</v>
      </c>
      <c r="B3003" t="inlineStr">
        <is>
          <t>A-492__252</t>
        </is>
      </c>
      <c r="C3003" s="1" t="n">
        <v>37.284658891</v>
      </c>
      <c r="D3003" s="1" t="n">
        <v>-7.03929553637</v>
      </c>
      <c r="E3003" s="3" t="n">
        <v>3</v>
      </c>
      <c r="F3003" s="2" t="n">
        <v>3</v>
      </c>
      <c r="G3003" s="4" t="n">
        <v>4</v>
      </c>
      <c r="H3003" s="13" t="n"/>
      <c r="I3003" s="15" t="n"/>
      <c r="J3003" s="19" t="n">
        <v>3</v>
      </c>
      <c r="K3003" s="2" t="inlineStr">
        <is>
          <t>marker_856_836119.png</t>
        </is>
      </c>
      <c r="L3003" s="11">
        <f>HYPERLINK("3\1\" &amp; K3003, "Ver Imagen")</f>
        <v/>
      </c>
      <c r="M3003" t="inlineStr">
        <is>
          <t>Moda</t>
        </is>
      </c>
    </row>
    <row r="3004">
      <c r="A3004" t="n">
        <v>3003</v>
      </c>
      <c r="B3004" t="inlineStr">
        <is>
          <t>A-492__320</t>
        </is>
      </c>
      <c r="C3004" s="1" t="n">
        <v>37.295362399</v>
      </c>
      <c r="D3004" s="1" t="n">
        <v>-7.04906448567</v>
      </c>
      <c r="E3004" s="3" t="n">
        <v>3</v>
      </c>
      <c r="F3004" s="2" t="n">
        <v>3</v>
      </c>
      <c r="G3004" s="4" t="n">
        <v>4</v>
      </c>
      <c r="H3004" s="13" t="n"/>
      <c r="I3004" s="15" t="n"/>
      <c r="J3004" s="19" t="n">
        <v>3</v>
      </c>
      <c r="K3004" s="2" t="inlineStr">
        <is>
          <t>marker_631_837946.png</t>
        </is>
      </c>
      <c r="L3004" s="11">
        <f>HYPERLINK("3\1\" &amp; K3004, "Ver Imagen")</f>
        <v/>
      </c>
      <c r="M3004" t="inlineStr">
        <is>
          <t>Moda</t>
        </is>
      </c>
    </row>
    <row r="3005">
      <c r="A3005" t="n">
        <v>3004</v>
      </c>
      <c r="B3005" t="inlineStr">
        <is>
          <t>A-492__478</t>
        </is>
      </c>
      <c r="C3005" s="1" t="n">
        <v>37.3189555422</v>
      </c>
      <c r="D3005" s="1" t="n">
        <v>-7.07142353019</v>
      </c>
      <c r="E3005" s="3" t="n">
        <v>3</v>
      </c>
      <c r="F3005" s="2" t="n">
        <v>3</v>
      </c>
      <c r="G3005" s="4" t="n">
        <v>4</v>
      </c>
      <c r="H3005" s="13" t="n"/>
      <c r="I3005" s="15" t="n"/>
      <c r="J3005" s="19" t="n">
        <v>3</v>
      </c>
      <c r="K3005" s="2" t="inlineStr">
        <is>
          <t>marker_288_840134.png</t>
        </is>
      </c>
      <c r="L3005" s="11">
        <f>HYPERLINK("3\1\" &amp; K3005, "Ver Imagen")</f>
        <v/>
      </c>
      <c r="M3005" t="inlineStr">
        <is>
          <t>Moda</t>
        </is>
      </c>
    </row>
    <row r="3006">
      <c r="A3006" t="n">
        <v>3005</v>
      </c>
      <c r="B3006" t="inlineStr">
        <is>
          <t>A-492__479</t>
        </is>
      </c>
      <c r="C3006" s="1" t="n">
        <v>37.3191376902</v>
      </c>
      <c r="D3006" s="1" t="n">
        <v>-7.07145640033</v>
      </c>
      <c r="E3006" s="3" t="n">
        <v>3</v>
      </c>
      <c r="F3006" s="2" t="n">
        <v>3</v>
      </c>
      <c r="G3006" s="4" t="n">
        <v>4</v>
      </c>
      <c r="H3006" s="13" t="n"/>
      <c r="I3006" s="15" t="n"/>
      <c r="J3006" s="19" t="n">
        <v>3</v>
      </c>
      <c r="K3006" s="2" t="inlineStr">
        <is>
          <t>marker_984_840144.png</t>
        </is>
      </c>
      <c r="L3006" s="11">
        <f>HYPERLINK("3\1\" &amp; K3006, "Ver Imagen")</f>
        <v/>
      </c>
      <c r="M3006" t="inlineStr">
        <is>
          <t>Moda</t>
        </is>
      </c>
    </row>
    <row r="3007">
      <c r="A3007" t="n">
        <v>3006</v>
      </c>
      <c r="B3007" t="inlineStr">
        <is>
          <t>A-495R__47</t>
        </is>
      </c>
      <c r="C3007" s="1" t="n">
        <v>37.4537077677</v>
      </c>
      <c r="D3007" s="1" t="n">
        <v>-7.11244724332</v>
      </c>
      <c r="E3007" s="3" t="n">
        <v>4</v>
      </c>
      <c r="F3007" s="2" t="n">
        <v>3</v>
      </c>
      <c r="G3007" s="4" t="n">
        <v>3</v>
      </c>
      <c r="H3007" s="13" t="n"/>
      <c r="I3007" s="15" t="n"/>
      <c r="J3007" s="19" t="n">
        <v>3</v>
      </c>
      <c r="K3007" s="2" t="inlineStr">
        <is>
          <t>marker_873_935694.png</t>
        </is>
      </c>
      <c r="L3007" s="11">
        <f>HYPERLINK("3\1\" &amp; K3007, "Ver Imagen")</f>
        <v/>
      </c>
      <c r="M3007" t="inlineStr">
        <is>
          <t>Moda</t>
        </is>
      </c>
    </row>
    <row r="3008">
      <c r="A3008" t="n">
        <v>3007</v>
      </c>
      <c r="B3008" t="inlineStr">
        <is>
          <t>A-495R__9</t>
        </is>
      </c>
      <c r="C3008" s="1" t="n">
        <v>37.4469678945</v>
      </c>
      <c r="D3008" s="1" t="n">
        <v>-7.10817475151</v>
      </c>
      <c r="E3008" s="3" t="n">
        <v>3</v>
      </c>
      <c r="F3008" s="2" t="n">
        <v>3</v>
      </c>
      <c r="G3008" s="4" t="n">
        <v>4</v>
      </c>
      <c r="H3008" s="13" t="n"/>
      <c r="I3008" s="15" t="n"/>
      <c r="J3008" s="19" t="n">
        <v>3</v>
      </c>
      <c r="K3008" s="2" t="inlineStr">
        <is>
          <t>marker_697_937016.png</t>
        </is>
      </c>
      <c r="L3008" s="11">
        <f>HYPERLINK("3\1\" &amp; K3008, "Ver Imagen")</f>
        <v/>
      </c>
      <c r="M3008" t="inlineStr">
        <is>
          <t>Moda</t>
        </is>
      </c>
    </row>
    <row r="3009">
      <c r="A3009" t="n">
        <v>3009</v>
      </c>
      <c r="B3009" t="inlineStr">
        <is>
          <t>A-495R__3</t>
        </is>
      </c>
      <c r="C3009" s="1" t="n">
        <v>37.4468159633</v>
      </c>
      <c r="D3009" s="1" t="n">
        <v>-7.10667751913</v>
      </c>
      <c r="E3009" s="3" t="n">
        <v>3</v>
      </c>
      <c r="F3009" s="2" t="n">
        <v>3</v>
      </c>
      <c r="G3009" s="4" t="n">
        <v>4</v>
      </c>
      <c r="H3009" s="13" t="n"/>
      <c r="I3009" s="15" t="n"/>
      <c r="J3009" s="19" t="n">
        <v>3</v>
      </c>
      <c r="K3009" s="2" t="inlineStr">
        <is>
          <t>marker_535_937089.png</t>
        </is>
      </c>
      <c r="L3009" s="11">
        <f>HYPERLINK("3\1\" &amp; K3009, "Ver Imagen")</f>
        <v/>
      </c>
      <c r="M3009" t="inlineStr">
        <is>
          <t>Moda</t>
        </is>
      </c>
    </row>
    <row r="3010">
      <c r="A3010" t="n">
        <v>3010</v>
      </c>
      <c r="B3010" t="inlineStr">
        <is>
          <t>A-497__30</t>
        </is>
      </c>
      <c r="C3010" s="1" t="n">
        <v>37.2675053459</v>
      </c>
      <c r="D3010" s="1" t="n">
        <v>-6.96328466959</v>
      </c>
      <c r="E3010" s="3" t="n">
        <v>3</v>
      </c>
      <c r="F3010" s="2" t="n">
        <v>3</v>
      </c>
      <c r="G3010" s="4" t="n">
        <v>4</v>
      </c>
      <c r="H3010" s="13" t="n"/>
      <c r="I3010" s="15" t="n"/>
      <c r="J3010" s="19" t="n">
        <v>3</v>
      </c>
      <c r="K3010" s="2" t="inlineStr">
        <is>
          <t>marker_593_940802.png</t>
        </is>
      </c>
      <c r="L3010" s="11">
        <f>HYPERLINK("3\1\" &amp; K3010, "Ver Imagen")</f>
        <v/>
      </c>
      <c r="M3010" t="inlineStr">
        <is>
          <t>Moda</t>
        </is>
      </c>
    </row>
    <row r="3011">
      <c r="A3011" t="n">
        <v>3011</v>
      </c>
      <c r="B3011" t="inlineStr">
        <is>
          <t>A-497__25</t>
        </is>
      </c>
      <c r="C3011" s="1" t="n">
        <v>37.2674775639</v>
      </c>
      <c r="D3011" s="1" t="n">
        <v>-6.9620167012</v>
      </c>
      <c r="E3011" s="3" t="n">
        <v>3</v>
      </c>
      <c r="F3011" s="2" t="n">
        <v>3</v>
      </c>
      <c r="G3011" s="4" t="n">
        <v>4</v>
      </c>
      <c r="H3011" s="13" t="n"/>
      <c r="I3011" s="15" t="n"/>
      <c r="J3011" s="19" t="n">
        <v>3</v>
      </c>
      <c r="K3011" s="2" t="inlineStr">
        <is>
          <t>marker_723_943716.png</t>
        </is>
      </c>
      <c r="L3011" s="11">
        <f>HYPERLINK("3\1\" &amp; K3011, "Ver Imagen")</f>
        <v/>
      </c>
      <c r="M3011" t="inlineStr">
        <is>
          <t>Moda</t>
        </is>
      </c>
    </row>
    <row r="3012">
      <c r="A3012" t="n">
        <v>3012</v>
      </c>
      <c r="B3012" t="inlineStr">
        <is>
          <t>A-490__22</t>
        </is>
      </c>
      <c r="C3012" s="1" t="n">
        <v>37.4466525157</v>
      </c>
      <c r="D3012" s="1" t="n">
        <v>-7.13175431647</v>
      </c>
      <c r="E3012" s="3" t="n">
        <v>2</v>
      </c>
      <c r="F3012" s="2" t="n">
        <v>3</v>
      </c>
      <c r="G3012" s="4" t="n">
        <v>3</v>
      </c>
      <c r="H3012" s="13" t="n"/>
      <c r="I3012" s="15" t="n"/>
      <c r="J3012" s="19" t="n">
        <v>3</v>
      </c>
      <c r="K3012" s="2" t="inlineStr">
        <is>
          <t>marker_772_730713.png</t>
        </is>
      </c>
      <c r="L3012" s="11">
        <f>HYPERLINK("3\1\" &amp; K3012, "Ver Imagen")</f>
        <v/>
      </c>
      <c r="M3012" t="inlineStr">
        <is>
          <t>Moda</t>
        </is>
      </c>
    </row>
    <row r="3013">
      <c r="A3013" t="n">
        <v>3013</v>
      </c>
      <c r="B3013" t="inlineStr">
        <is>
          <t>A-490__52</t>
        </is>
      </c>
      <c r="C3013" s="1" t="n">
        <v>37.4469294494</v>
      </c>
      <c r="D3013" s="1" t="n">
        <v>-7.13906027951</v>
      </c>
      <c r="E3013" s="3" t="n">
        <v>2</v>
      </c>
      <c r="F3013" s="2" t="n">
        <v>3</v>
      </c>
      <c r="G3013" s="4" t="n">
        <v>3</v>
      </c>
      <c r="H3013" s="13" t="n"/>
      <c r="I3013" s="15" t="n"/>
      <c r="J3013" s="19" t="n">
        <v>3</v>
      </c>
      <c r="K3013" s="2" t="inlineStr">
        <is>
          <t>marker_152_732343.png</t>
        </is>
      </c>
      <c r="L3013" s="11">
        <f>HYPERLINK("3\1\" &amp; K3013, "Ver Imagen")</f>
        <v/>
      </c>
      <c r="M3013" t="inlineStr">
        <is>
          <t>Moda</t>
        </is>
      </c>
    </row>
    <row r="3014">
      <c r="A3014" t="n">
        <v>3014</v>
      </c>
      <c r="B3014" t="inlineStr">
        <is>
          <t>A-490__168</t>
        </is>
      </c>
      <c r="C3014" s="1" t="n">
        <v>37.4552907672</v>
      </c>
      <c r="D3014" s="1" t="n">
        <v>-7.1659316041</v>
      </c>
      <c r="E3014" s="3" t="n">
        <v>2</v>
      </c>
      <c r="F3014" s="2" t="n">
        <v>3</v>
      </c>
      <c r="G3014" s="4" t="n">
        <v>3</v>
      </c>
      <c r="H3014" s="13" t="n"/>
      <c r="I3014" s="15" t="n"/>
      <c r="J3014" s="19" t="n">
        <v>3</v>
      </c>
      <c r="K3014" s="2" t="inlineStr">
        <is>
          <t>marker_526_741425.png</t>
        </is>
      </c>
      <c r="L3014" s="11">
        <f>HYPERLINK("3\1\" &amp; K3014, "Ver Imagen")</f>
        <v/>
      </c>
      <c r="M3014" t="inlineStr">
        <is>
          <t>Moda</t>
        </is>
      </c>
    </row>
    <row r="3015">
      <c r="A3015" t="n">
        <v>3015</v>
      </c>
      <c r="B3015" t="inlineStr">
        <is>
          <t>A-490__189</t>
        </is>
      </c>
      <c r="C3015" s="1" t="n">
        <v>37.4583140495</v>
      </c>
      <c r="D3015" s="1" t="n">
        <v>-7.16965001338</v>
      </c>
      <c r="E3015" s="3" t="n">
        <v>2</v>
      </c>
      <c r="F3015" s="2" t="n">
        <v>3</v>
      </c>
      <c r="G3015" s="4" t="n">
        <v>3</v>
      </c>
      <c r="H3015" s="13" t="n"/>
      <c r="I3015" s="15" t="n"/>
      <c r="J3015" s="19" t="n">
        <v>3</v>
      </c>
      <c r="K3015" s="2" t="inlineStr">
        <is>
          <t>marker_625_742023.png</t>
        </is>
      </c>
      <c r="L3015" s="11">
        <f>HYPERLINK("3\1\" &amp; K3015, "Ver Imagen")</f>
        <v/>
      </c>
      <c r="M3015" t="inlineStr">
        <is>
          <t>Moda</t>
        </is>
      </c>
    </row>
    <row r="3016">
      <c r="A3016" t="n">
        <v>3016</v>
      </c>
      <c r="B3016" t="inlineStr">
        <is>
          <t>A-490__229</t>
        </is>
      </c>
      <c r="C3016" s="1" t="n">
        <v>37.4634249945</v>
      </c>
      <c r="D3016" s="1" t="n">
        <v>-7.17746312756</v>
      </c>
      <c r="E3016" s="3" t="n">
        <v>2</v>
      </c>
      <c r="F3016" s="2" t="n">
        <v>3</v>
      </c>
      <c r="G3016" s="4" t="n">
        <v>3</v>
      </c>
      <c r="H3016" s="13" t="n"/>
      <c r="I3016" s="15" t="n"/>
      <c r="J3016" s="19" t="n">
        <v>3</v>
      </c>
      <c r="K3016" s="2" t="inlineStr">
        <is>
          <t>marker_146_743811.png</t>
        </is>
      </c>
      <c r="L3016" s="11">
        <f>HYPERLINK("3\1\" &amp; K3016, "Ver Imagen")</f>
        <v/>
      </c>
      <c r="M3016" t="inlineStr">
        <is>
          <t>Moda</t>
        </is>
      </c>
    </row>
    <row r="3017">
      <c r="A3017" t="n">
        <v>3017</v>
      </c>
      <c r="B3017" t="inlineStr">
        <is>
          <t>A-490__253</t>
        </is>
      </c>
      <c r="C3017" s="1" t="n">
        <v>37.4662037207</v>
      </c>
      <c r="D3017" s="1" t="n">
        <v>-7.18255117555</v>
      </c>
      <c r="E3017" s="3" t="n">
        <v>2</v>
      </c>
      <c r="F3017" s="2" t="n">
        <v>3</v>
      </c>
      <c r="G3017" s="4" t="n">
        <v>3</v>
      </c>
      <c r="H3017" s="13" t="n"/>
      <c r="I3017" s="15" t="n"/>
      <c r="J3017" s="19" t="n">
        <v>3</v>
      </c>
      <c r="K3017" s="2" t="inlineStr">
        <is>
          <t>marker_914_749567.png</t>
        </is>
      </c>
      <c r="L3017" s="11">
        <f>HYPERLINK("3\1\" &amp; K3017, "Ver Imagen")</f>
        <v/>
      </c>
      <c r="M3017" t="inlineStr">
        <is>
          <t>Moda</t>
        </is>
      </c>
    </row>
    <row r="3018">
      <c r="A3018" t="n">
        <v>3018</v>
      </c>
      <c r="B3018" t="inlineStr">
        <is>
          <t>A-490__353</t>
        </is>
      </c>
      <c r="C3018" s="1" t="n">
        <v>37.4771733755</v>
      </c>
      <c r="D3018" s="1" t="n">
        <v>-7.20379357651</v>
      </c>
      <c r="E3018" s="3" t="n">
        <v>2</v>
      </c>
      <c r="F3018" s="2" t="n">
        <v>3</v>
      </c>
      <c r="G3018" s="4" t="n">
        <v>3</v>
      </c>
      <c r="H3018" s="13" t="n"/>
      <c r="I3018" s="15" t="n"/>
      <c r="J3018" s="19" t="n">
        <v>3</v>
      </c>
      <c r="K3018" s="2" t="inlineStr">
        <is>
          <t>marker_989_751729.png</t>
        </is>
      </c>
      <c r="L3018" s="11">
        <f>HYPERLINK("3\1\" &amp; K3018, "Ver Imagen")</f>
        <v/>
      </c>
      <c r="M3018" t="inlineStr">
        <is>
          <t>Moda</t>
        </is>
      </c>
    </row>
    <row r="3019">
      <c r="A3019" t="n">
        <v>3019</v>
      </c>
      <c r="B3019" t="inlineStr">
        <is>
          <t>A-490__359</t>
        </is>
      </c>
      <c r="C3019" s="1" t="n">
        <v>37.4777457346</v>
      </c>
      <c r="D3019" s="1" t="n">
        <v>-7.20511079666</v>
      </c>
      <c r="E3019" s="3" t="n">
        <v>2</v>
      </c>
      <c r="F3019" s="2" t="n">
        <v>3</v>
      </c>
      <c r="G3019" s="4" t="n">
        <v>3</v>
      </c>
      <c r="H3019" s="13" t="n"/>
      <c r="I3019" s="15" t="n"/>
      <c r="J3019" s="19" t="n">
        <v>3</v>
      </c>
      <c r="K3019" s="2" t="inlineStr">
        <is>
          <t>marker_495_751861.png</t>
        </is>
      </c>
      <c r="L3019" s="11">
        <f>HYPERLINK("3\1\" &amp; K3019, "Ver Imagen")</f>
        <v/>
      </c>
      <c r="M3019" t="inlineStr">
        <is>
          <t>Moda</t>
        </is>
      </c>
    </row>
    <row r="3020">
      <c r="A3020" t="n">
        <v>3020</v>
      </c>
      <c r="B3020" t="inlineStr">
        <is>
          <t>A-490__360</t>
        </is>
      </c>
      <c r="C3020" s="1" t="n">
        <v>37.4778431368</v>
      </c>
      <c r="D3020" s="1" t="n">
        <v>-7.2053393042</v>
      </c>
      <c r="E3020" s="3" t="n">
        <v>2</v>
      </c>
      <c r="F3020" s="2" t="n">
        <v>3</v>
      </c>
      <c r="G3020" s="4" t="n">
        <v>3</v>
      </c>
      <c r="H3020" s="13" t="n"/>
      <c r="I3020" s="15" t="n"/>
      <c r="J3020" s="19" t="n">
        <v>3</v>
      </c>
      <c r="K3020" s="2" t="inlineStr">
        <is>
          <t>marker_444_751877.png</t>
        </is>
      </c>
      <c r="L3020" s="11">
        <f>HYPERLINK("3\1\" &amp; K3020, "Ver Imagen")</f>
        <v/>
      </c>
      <c r="M3020" t="inlineStr">
        <is>
          <t>Moda</t>
        </is>
      </c>
    </row>
    <row r="3021">
      <c r="A3021" t="n">
        <v>3021</v>
      </c>
      <c r="B3021" t="inlineStr">
        <is>
          <t>A-490__362</t>
        </is>
      </c>
      <c r="C3021" s="1" t="n">
        <v>37.4780459842</v>
      </c>
      <c r="D3021" s="1" t="n">
        <v>-7.2058110117</v>
      </c>
      <c r="E3021" s="3" t="n">
        <v>2</v>
      </c>
      <c r="F3021" s="2" t="n">
        <v>3</v>
      </c>
      <c r="G3021" s="4" t="n">
        <v>3</v>
      </c>
      <c r="H3021" s="13" t="n"/>
      <c r="I3021" s="15" t="n"/>
      <c r="J3021" s="19" t="n">
        <v>3</v>
      </c>
      <c r="K3021" s="2" t="inlineStr">
        <is>
          <t>marker_134_751926.png</t>
        </is>
      </c>
      <c r="L3021" s="11">
        <f>HYPERLINK("3\1\" &amp; K3021, "Ver Imagen")</f>
        <v/>
      </c>
      <c r="M3021" t="inlineStr">
        <is>
          <t>Moda</t>
        </is>
      </c>
    </row>
    <row r="3022">
      <c r="A3022" t="n">
        <v>3022</v>
      </c>
      <c r="B3022" t="inlineStr">
        <is>
          <t>A-490__374</t>
        </is>
      </c>
      <c r="C3022" s="1" t="n">
        <v>37.4791804655</v>
      </c>
      <c r="D3022" s="1" t="n">
        <v>-7.20846764031</v>
      </c>
      <c r="E3022" s="3" t="n">
        <v>2</v>
      </c>
      <c r="F3022" s="2" t="n">
        <v>3</v>
      </c>
      <c r="G3022" s="4" t="n">
        <v>3</v>
      </c>
      <c r="H3022" s="13" t="n"/>
      <c r="I3022" s="15" t="n"/>
      <c r="J3022" s="19" t="n">
        <v>3</v>
      </c>
      <c r="K3022" s="2" t="inlineStr">
        <is>
          <t>marker_245_752181.png</t>
        </is>
      </c>
      <c r="L3022" s="11">
        <f>HYPERLINK("3\1\" &amp; K3022, "Ver Imagen")</f>
        <v/>
      </c>
      <c r="M3022" t="inlineStr">
        <is>
          <t>Moda</t>
        </is>
      </c>
    </row>
    <row r="3023">
      <c r="A3023" t="n">
        <v>3023</v>
      </c>
      <c r="B3023" t="inlineStr">
        <is>
          <t>A-490__379</t>
        </is>
      </c>
      <c r="C3023" s="1" t="n">
        <v>37.4796586356</v>
      </c>
      <c r="D3023" s="1" t="n">
        <v>-7.20956579035</v>
      </c>
      <c r="E3023" s="3" t="n">
        <v>2</v>
      </c>
      <c r="F3023" s="2" t="n">
        <v>3</v>
      </c>
      <c r="G3023" s="4" t="n">
        <v>3</v>
      </c>
      <c r="H3023" s="13" t="n"/>
      <c r="I3023" s="15" t="n"/>
      <c r="J3023" s="19" t="n">
        <v>3</v>
      </c>
      <c r="K3023" s="2" t="inlineStr">
        <is>
          <t>marker_173_752315.png</t>
        </is>
      </c>
      <c r="L3023" s="11">
        <f>HYPERLINK("3\1\" &amp; K3023, "Ver Imagen")</f>
        <v/>
      </c>
      <c r="M3023" t="inlineStr">
        <is>
          <t>Moda</t>
        </is>
      </c>
    </row>
    <row r="3024">
      <c r="A3024" t="n">
        <v>3024</v>
      </c>
      <c r="B3024" t="inlineStr">
        <is>
          <t>A-490__381</t>
        </is>
      </c>
      <c r="C3024" s="1" t="n">
        <v>37.479885127</v>
      </c>
      <c r="D3024" s="1" t="n">
        <v>-7.21008663599</v>
      </c>
      <c r="E3024" s="3" t="n">
        <v>2</v>
      </c>
      <c r="F3024" s="2" t="n">
        <v>3</v>
      </c>
      <c r="G3024" s="4" t="n">
        <v>3</v>
      </c>
      <c r="H3024" s="13" t="n"/>
      <c r="I3024" s="15" t="n"/>
      <c r="J3024" s="19" t="n">
        <v>3</v>
      </c>
      <c r="K3024" s="2" t="inlineStr">
        <is>
          <t>marker_684_752355.png</t>
        </is>
      </c>
      <c r="L3024" s="11">
        <f>HYPERLINK("3\1\" &amp; K3024, "Ver Imagen")</f>
        <v/>
      </c>
      <c r="M3024" t="inlineStr">
        <is>
          <t>Moda</t>
        </is>
      </c>
    </row>
    <row r="3025">
      <c r="A3025" t="n">
        <v>3025</v>
      </c>
      <c r="B3025" t="inlineStr">
        <is>
          <t>A-490__392</t>
        </is>
      </c>
      <c r="C3025" s="1" t="n">
        <v>37.4808694853</v>
      </c>
      <c r="D3025" s="1" t="n">
        <v>-7.21249547395</v>
      </c>
      <c r="E3025" s="3" t="n">
        <v>2</v>
      </c>
      <c r="F3025" s="2" t="n">
        <v>3</v>
      </c>
      <c r="G3025" s="4" t="n">
        <v>3</v>
      </c>
      <c r="H3025" s="13" t="n"/>
      <c r="I3025" s="15" t="n"/>
      <c r="J3025" s="19" t="n">
        <v>3</v>
      </c>
      <c r="K3025" s="2" t="inlineStr">
        <is>
          <t>marker_575_752591.png</t>
        </is>
      </c>
      <c r="L3025" s="11">
        <f>HYPERLINK("3\1\" &amp; K3025, "Ver Imagen")</f>
        <v/>
      </c>
      <c r="M3025" t="inlineStr">
        <is>
          <t>Moda</t>
        </is>
      </c>
    </row>
    <row r="3026">
      <c r="A3026" t="n">
        <v>3026</v>
      </c>
      <c r="B3026" t="inlineStr">
        <is>
          <t>A-490__394</t>
        </is>
      </c>
      <c r="C3026" s="1" t="n">
        <v>37.4810507902</v>
      </c>
      <c r="D3026" s="1" t="n">
        <v>-7.21298714821</v>
      </c>
      <c r="E3026" s="3" t="n">
        <v>2</v>
      </c>
      <c r="F3026" s="2" t="n">
        <v>3</v>
      </c>
      <c r="G3026" s="4" t="n">
        <v>3</v>
      </c>
      <c r="H3026" s="13" t="n"/>
      <c r="I3026" s="15" t="n"/>
      <c r="J3026" s="19" t="n">
        <v>3</v>
      </c>
      <c r="K3026" s="2" t="inlineStr">
        <is>
          <t>marker_564_752892.png</t>
        </is>
      </c>
      <c r="L3026" s="11">
        <f>HYPERLINK("3\1\" &amp; K3026, "Ver Imagen")</f>
        <v/>
      </c>
      <c r="M3026" t="inlineStr">
        <is>
          <t>Moda</t>
        </is>
      </c>
    </row>
    <row r="3027">
      <c r="A3027" t="n">
        <v>3027</v>
      </c>
      <c r="B3027" t="inlineStr">
        <is>
          <t>A-490__405</t>
        </is>
      </c>
      <c r="C3027" s="1" t="n">
        <v>37.4819810342</v>
      </c>
      <c r="D3027" s="1" t="n">
        <v>-7.2155140568</v>
      </c>
      <c r="E3027" s="3" t="n">
        <v>2</v>
      </c>
      <c r="F3027" s="2" t="n">
        <v>3</v>
      </c>
      <c r="G3027" s="4" t="n">
        <v>3</v>
      </c>
      <c r="H3027" s="13" t="n"/>
      <c r="I3027" s="15" t="n"/>
      <c r="J3027" s="19" t="n">
        <v>3</v>
      </c>
      <c r="K3027" s="2" t="inlineStr">
        <is>
          <t>marker_947_753128.png</t>
        </is>
      </c>
      <c r="L3027" s="11">
        <f>HYPERLINK("3\1\" &amp; K3027, "Ver Imagen")</f>
        <v/>
      </c>
      <c r="M3027" t="inlineStr">
        <is>
          <t>Moda</t>
        </is>
      </c>
    </row>
    <row r="3028">
      <c r="A3028" t="n">
        <v>3028</v>
      </c>
      <c r="B3028" t="inlineStr">
        <is>
          <t>A-490__445</t>
        </is>
      </c>
      <c r="C3028" s="1" t="n">
        <v>37.4840220801</v>
      </c>
      <c r="D3028" s="1" t="n">
        <v>-7.22542640719</v>
      </c>
      <c r="E3028" s="3" t="n">
        <v>2</v>
      </c>
      <c r="F3028" s="2" t="n">
        <v>3</v>
      </c>
      <c r="G3028" s="4" t="n">
        <v>3</v>
      </c>
      <c r="H3028" s="13" t="n"/>
      <c r="I3028" s="15" t="n"/>
      <c r="J3028" s="19" t="n">
        <v>3</v>
      </c>
      <c r="K3028" s="2" t="inlineStr">
        <is>
          <t>marker_832_754859.png</t>
        </is>
      </c>
      <c r="L3028" s="11">
        <f>HYPERLINK("3\1\" &amp; K3028, "Ver Imagen")</f>
        <v/>
      </c>
      <c r="M3028" t="inlineStr">
        <is>
          <t>Moda</t>
        </is>
      </c>
    </row>
    <row r="3029">
      <c r="A3029" t="n">
        <v>3029</v>
      </c>
      <c r="B3029" t="inlineStr">
        <is>
          <t>A-490__460</t>
        </is>
      </c>
      <c r="C3029" s="1" t="n">
        <v>37.4847253348</v>
      </c>
      <c r="D3029" s="1" t="n">
        <v>-7.2290316734</v>
      </c>
      <c r="E3029" s="3" t="n">
        <v>2</v>
      </c>
      <c r="F3029" s="2" t="n">
        <v>3</v>
      </c>
      <c r="G3029" s="4" t="n">
        <v>3</v>
      </c>
      <c r="H3029" s="13" t="n"/>
      <c r="I3029" s="15" t="n"/>
      <c r="J3029" s="19" t="n">
        <v>3</v>
      </c>
      <c r="K3029" s="2" t="inlineStr">
        <is>
          <t>marker_419_755215.png</t>
        </is>
      </c>
      <c r="L3029" s="11">
        <f>HYPERLINK("3\1\" &amp; K3029, "Ver Imagen")</f>
        <v/>
      </c>
      <c r="M3029" t="inlineStr">
        <is>
          <t>Moda</t>
        </is>
      </c>
    </row>
    <row r="3030">
      <c r="A3030" t="n">
        <v>3030</v>
      </c>
      <c r="B3030" t="inlineStr">
        <is>
          <t>A-490__524</t>
        </is>
      </c>
      <c r="C3030" s="1" t="n">
        <v>37.4877724063</v>
      </c>
      <c r="D3030" s="1" t="n">
        <v>-7.24482894838</v>
      </c>
      <c r="E3030" s="3" t="n">
        <v>2</v>
      </c>
      <c r="F3030" s="2" t="n">
        <v>3</v>
      </c>
      <c r="G3030" s="4" t="n">
        <v>3</v>
      </c>
      <c r="H3030" s="13" t="n"/>
      <c r="I3030" s="15" t="n"/>
      <c r="J3030" s="19" t="n">
        <v>3</v>
      </c>
      <c r="K3030" s="2" t="inlineStr">
        <is>
          <t>marker_137_818112.png</t>
        </is>
      </c>
      <c r="L3030" s="11">
        <f>HYPERLINK("3\1\" &amp; K3030, "Ver Imagen")</f>
        <v/>
      </c>
      <c r="M3030" t="inlineStr">
        <is>
          <t>Moda</t>
        </is>
      </c>
    </row>
    <row r="3031">
      <c r="A3031" t="n">
        <v>3031</v>
      </c>
      <c r="B3031" t="inlineStr">
        <is>
          <t>A-492__9</t>
        </is>
      </c>
      <c r="C3031" s="1" t="n">
        <v>37.2732215615</v>
      </c>
      <c r="D3031" s="1" t="n">
        <v>-6.99134259282</v>
      </c>
      <c r="E3031" s="3" t="n">
        <v>3</v>
      </c>
      <c r="F3031" s="2" t="n">
        <v>3</v>
      </c>
      <c r="G3031" s="4" t="n">
        <v>4</v>
      </c>
      <c r="H3031" s="13" t="n"/>
      <c r="I3031" s="15" t="n"/>
      <c r="J3031" s="19" t="n">
        <v>3</v>
      </c>
      <c r="K3031" s="2" t="inlineStr">
        <is>
          <t>marker_516_821869.png</t>
        </is>
      </c>
      <c r="L3031" s="11">
        <f>HYPERLINK("3\1\" &amp; K3031, "Ver Imagen")</f>
        <v/>
      </c>
      <c r="M3031" t="inlineStr">
        <is>
          <t>Moda</t>
        </is>
      </c>
    </row>
    <row r="3032">
      <c r="A3032" t="n">
        <v>3032</v>
      </c>
      <c r="B3032" t="inlineStr">
        <is>
          <t>A-492__20</t>
        </is>
      </c>
      <c r="C3032" s="1" t="n">
        <v>37.2753796454</v>
      </c>
      <c r="D3032" s="1" t="n">
        <v>-6.99114964431</v>
      </c>
      <c r="E3032" s="3" t="n">
        <v>3</v>
      </c>
      <c r="F3032" s="2" t="n">
        <v>3</v>
      </c>
      <c r="G3032" s="4" t="n">
        <v>4</v>
      </c>
      <c r="H3032" s="13" t="n"/>
      <c r="I3032" s="15" t="n"/>
      <c r="J3032" s="19" t="n">
        <v>3</v>
      </c>
      <c r="K3032" s="2" t="inlineStr">
        <is>
          <t>marker_647_822021.png</t>
        </is>
      </c>
      <c r="L3032" s="11">
        <f>HYPERLINK("3\1\" &amp; K3032, "Ver Imagen")</f>
        <v/>
      </c>
      <c r="M3032" t="inlineStr">
        <is>
          <t>Moda</t>
        </is>
      </c>
    </row>
    <row r="3033">
      <c r="A3033" t="n">
        <v>3033</v>
      </c>
      <c r="B3033" t="inlineStr">
        <is>
          <t>A-492__26</t>
        </is>
      </c>
      <c r="C3033" s="1" t="n">
        <v>37.2763369765</v>
      </c>
      <c r="D3033" s="1" t="n">
        <v>-6.99112440362</v>
      </c>
      <c r="E3033" s="3" t="n">
        <v>2</v>
      </c>
      <c r="F3033" s="2" t="n">
        <v>3</v>
      </c>
      <c r="G3033" s="4" t="n">
        <v>3</v>
      </c>
      <c r="H3033" s="13" t="n"/>
      <c r="I3033" s="15" t="n"/>
      <c r="J3033" s="19" t="n">
        <v>3</v>
      </c>
      <c r="K3033" s="2" t="inlineStr">
        <is>
          <t>marker_420_822235.png</t>
        </is>
      </c>
      <c r="L3033" s="11">
        <f>HYPERLINK("3\1\" &amp; K3033, "Ver Imagen")</f>
        <v/>
      </c>
      <c r="M3033" t="inlineStr">
        <is>
          <t>Moda</t>
        </is>
      </c>
    </row>
    <row r="3034">
      <c r="A3034" t="n">
        <v>3034</v>
      </c>
      <c r="B3034" t="inlineStr">
        <is>
          <t>A-492__54</t>
        </is>
      </c>
      <c r="C3034" s="1" t="n">
        <v>37.2795251255</v>
      </c>
      <c r="D3034" s="1" t="n">
        <v>-6.99658973319</v>
      </c>
      <c r="E3034" s="3" t="n">
        <v>2</v>
      </c>
      <c r="F3034" s="2" t="n">
        <v>3</v>
      </c>
      <c r="G3034" s="4" t="n">
        <v>3</v>
      </c>
      <c r="H3034" s="13" t="n"/>
      <c r="I3034" s="15" t="n"/>
      <c r="J3034" s="19" t="n">
        <v>3</v>
      </c>
      <c r="K3034" s="2" t="inlineStr">
        <is>
          <t>marker_363_823063.png</t>
        </is>
      </c>
      <c r="L3034" s="11">
        <f>HYPERLINK("3\1\" &amp; K3034, "Ver Imagen")</f>
        <v/>
      </c>
      <c r="M3034" t="inlineStr">
        <is>
          <t>Moda</t>
        </is>
      </c>
    </row>
    <row r="3035">
      <c r="A3035" t="n">
        <v>3035</v>
      </c>
      <c r="B3035" t="inlineStr">
        <is>
          <t>A-492__127</t>
        </is>
      </c>
      <c r="C3035" s="1" t="n">
        <v>37.2767036743</v>
      </c>
      <c r="D3035" s="1" t="n">
        <v>-7.01310267037</v>
      </c>
      <c r="E3035" s="3" t="n">
        <v>2</v>
      </c>
      <c r="F3035" s="2" t="n">
        <v>3</v>
      </c>
      <c r="G3035" s="4" t="n">
        <v>3</v>
      </c>
      <c r="H3035" s="13" t="n"/>
      <c r="I3035" s="15" t="n"/>
      <c r="J3035" s="19" t="n">
        <v>3</v>
      </c>
      <c r="K3035" s="2" t="inlineStr">
        <is>
          <t>marker_685_824502.png</t>
        </is>
      </c>
      <c r="L3035" s="11">
        <f>HYPERLINK("3\1\" &amp; K3035, "Ver Imagen")</f>
        <v/>
      </c>
      <c r="M3035" t="inlineStr">
        <is>
          <t>Moda</t>
        </is>
      </c>
    </row>
    <row r="3036">
      <c r="A3036" t="n">
        <v>3036</v>
      </c>
      <c r="B3036" t="inlineStr">
        <is>
          <t>A-492__307</t>
        </is>
      </c>
      <c r="C3036" s="1" t="n">
        <v>37.2935507756</v>
      </c>
      <c r="D3036" s="1" t="n">
        <v>-7.04666683499</v>
      </c>
      <c r="E3036" s="3" t="n">
        <v>2</v>
      </c>
      <c r="F3036" s="2" t="n">
        <v>3</v>
      </c>
      <c r="G3036" s="4" t="n">
        <v>3</v>
      </c>
      <c r="H3036" s="13" t="n"/>
      <c r="I3036" s="15" t="n"/>
      <c r="J3036" s="19" t="n">
        <v>3</v>
      </c>
      <c r="K3036" s="2" t="inlineStr">
        <is>
          <t>marker_871_837632.png</t>
        </is>
      </c>
      <c r="L3036" s="11">
        <f>HYPERLINK("3\1\" &amp; K3036, "Ver Imagen")</f>
        <v/>
      </c>
      <c r="M3036" t="inlineStr">
        <is>
          <t>Moda</t>
        </is>
      </c>
    </row>
    <row r="3037">
      <c r="A3037" t="n">
        <v>3037</v>
      </c>
      <c r="B3037" t="inlineStr">
        <is>
          <t>A-492__461</t>
        </is>
      </c>
      <c r="C3037" s="1" t="n">
        <v>37.3161782343</v>
      </c>
      <c r="D3037" s="1" t="n">
        <v>-7.06935961496</v>
      </c>
      <c r="E3037" s="3" t="n">
        <v>3</v>
      </c>
      <c r="F3037" s="2" t="n">
        <v>3</v>
      </c>
      <c r="G3037" s="4" t="n">
        <v>4</v>
      </c>
      <c r="H3037" s="13" t="n"/>
      <c r="I3037" s="15" t="n"/>
      <c r="J3037" s="19" t="n">
        <v>3</v>
      </c>
      <c r="K3037" s="2" t="inlineStr">
        <is>
          <t>marker_488_839940.png</t>
        </is>
      </c>
      <c r="L3037" s="11">
        <f>HYPERLINK("3\1\" &amp; K3037, "Ver Imagen")</f>
        <v/>
      </c>
      <c r="M3037" t="inlineStr">
        <is>
          <t>Moda</t>
        </is>
      </c>
    </row>
    <row r="3038">
      <c r="A3038" t="n">
        <v>3038</v>
      </c>
      <c r="B3038" t="inlineStr">
        <is>
          <t>A-492__464</t>
        </is>
      </c>
      <c r="C3038" s="1" t="n">
        <v>37.3165111837</v>
      </c>
      <c r="D3038" s="1" t="n">
        <v>-7.07001636303</v>
      </c>
      <c r="E3038" s="3" t="n">
        <v>3</v>
      </c>
      <c r="F3038" s="2" t="n">
        <v>3</v>
      </c>
      <c r="G3038" s="4" t="n">
        <v>4</v>
      </c>
      <c r="H3038" s="13" t="n"/>
      <c r="I3038" s="15" t="n"/>
      <c r="J3038" s="19" t="n">
        <v>3</v>
      </c>
      <c r="K3038" s="2" t="inlineStr">
        <is>
          <t>marker_449_839971.png</t>
        </is>
      </c>
      <c r="L3038" s="11">
        <f>HYPERLINK("3\1\" &amp; K3038, "Ver Imagen")</f>
        <v/>
      </c>
      <c r="M3038" t="inlineStr">
        <is>
          <t>Moda</t>
        </is>
      </c>
    </row>
    <row r="3039">
      <c r="A3039" t="n">
        <v>3039</v>
      </c>
      <c r="B3039" t="inlineStr">
        <is>
          <t>A-495R__16</t>
        </is>
      </c>
      <c r="C3039" s="1" t="n">
        <v>37.4479736127</v>
      </c>
      <c r="D3039" s="1" t="n">
        <v>-7.1092931045</v>
      </c>
      <c r="E3039" s="3" t="n">
        <v>2</v>
      </c>
      <c r="F3039" s="2" t="n">
        <v>3</v>
      </c>
      <c r="G3039" s="4" t="n">
        <v>3</v>
      </c>
      <c r="H3039" s="13" t="n"/>
      <c r="I3039" s="15" t="n"/>
      <c r="J3039" s="19" t="n">
        <v>3</v>
      </c>
      <c r="K3039" s="2" t="inlineStr">
        <is>
          <t>marker_796_936835.png</t>
        </is>
      </c>
      <c r="L3039" s="11">
        <f>HYPERLINK("3\1\" &amp; K3039, "Ver Imagen")</f>
        <v/>
      </c>
      <c r="M3039" t="inlineStr">
        <is>
          <t>Moda</t>
        </is>
      </c>
    </row>
    <row r="3040">
      <c r="A3040" t="n">
        <v>3040</v>
      </c>
      <c r="B3040" t="inlineStr">
        <is>
          <t>A-495R__5</t>
        </is>
      </c>
      <c r="C3040" s="1" t="n">
        <v>37.4468544556</v>
      </c>
      <c r="D3040" s="1" t="n">
        <v>-7.10716620456</v>
      </c>
      <c r="E3040" s="3" t="n">
        <v>2</v>
      </c>
      <c r="F3040" s="2" t="n">
        <v>3</v>
      </c>
      <c r="G3040" s="4" t="n">
        <v>3</v>
      </c>
      <c r="H3040" s="13" t="n"/>
      <c r="I3040" s="15" t="n"/>
      <c r="J3040" s="19" t="n">
        <v>3</v>
      </c>
      <c r="K3040" s="2" t="inlineStr">
        <is>
          <t>marker_523_937064.png</t>
        </is>
      </c>
      <c r="L3040" s="11">
        <f>HYPERLINK("3\1\" &amp; K3040, "Ver Imagen")</f>
        <v/>
      </c>
      <c r="M3040" t="inlineStr">
        <is>
          <t>Moda</t>
        </is>
      </c>
    </row>
    <row r="3041">
      <c r="A3041" t="n">
        <v>3041</v>
      </c>
      <c r="B3041" t="inlineStr">
        <is>
          <t>A-497__79</t>
        </is>
      </c>
      <c r="C3041" s="1" t="n">
        <v>37.2689059951</v>
      </c>
      <c r="D3041" s="1" t="n">
        <v>-6.97550772697</v>
      </c>
      <c r="E3041" s="3" t="n">
        <v>3</v>
      </c>
      <c r="F3041" s="2" t="n">
        <v>3</v>
      </c>
      <c r="G3041" s="4" t="n">
        <v>4</v>
      </c>
      <c r="H3041" s="13" t="n"/>
      <c r="I3041" s="15" t="n"/>
      <c r="J3041" s="19" t="n">
        <v>3</v>
      </c>
      <c r="K3041" s="2" t="inlineStr">
        <is>
          <t>marker_802_937930.png</t>
        </is>
      </c>
      <c r="L3041" s="11">
        <f>HYPERLINK("3\1\" &amp; K3041, "Ver Imagen")</f>
        <v/>
      </c>
      <c r="M3041" t="inlineStr">
        <is>
          <t>Moda</t>
        </is>
      </c>
    </row>
    <row r="3042">
      <c r="A3042" t="n">
        <v>3042</v>
      </c>
      <c r="B3042" t="inlineStr">
        <is>
          <t>A-497__76</t>
        </is>
      </c>
      <c r="C3042" s="1" t="n">
        <v>37.2687342602</v>
      </c>
      <c r="D3042" s="1" t="n">
        <v>-6.97476752315</v>
      </c>
      <c r="E3042" s="3" t="n">
        <v>3</v>
      </c>
      <c r="F3042" s="2" t="n">
        <v>3</v>
      </c>
      <c r="G3042" s="4" t="n">
        <v>4</v>
      </c>
      <c r="H3042" s="13" t="n"/>
      <c r="I3042" s="15" t="n"/>
      <c r="J3042" s="19" t="n">
        <v>3</v>
      </c>
      <c r="K3042" s="2" t="inlineStr">
        <is>
          <t>marker_968_937979.png</t>
        </is>
      </c>
      <c r="L3042" s="11">
        <f>HYPERLINK("3\1\" &amp; K3042, "Ver Imagen")</f>
        <v/>
      </c>
      <c r="M3042" t="inlineStr">
        <is>
          <t>Moda</t>
        </is>
      </c>
    </row>
    <row r="3043">
      <c r="A3043" t="n">
        <v>3043</v>
      </c>
      <c r="B3043" t="inlineStr">
        <is>
          <t>A-497__72</t>
        </is>
      </c>
      <c r="C3043" s="1" t="n">
        <v>37.2685315333</v>
      </c>
      <c r="D3043" s="1" t="n">
        <v>-6.97384057004</v>
      </c>
      <c r="E3043" s="3" t="n">
        <v>2</v>
      </c>
      <c r="F3043" s="2" t="n">
        <v>3</v>
      </c>
      <c r="G3043" s="4" t="n">
        <v>3</v>
      </c>
      <c r="H3043" s="13" t="n"/>
      <c r="I3043" s="15" t="n"/>
      <c r="J3043" s="19" t="n">
        <v>3</v>
      </c>
      <c r="K3043" s="2" t="inlineStr">
        <is>
          <t>marker_949_938025.png</t>
        </is>
      </c>
      <c r="L3043" s="11">
        <f>HYPERLINK("3\1\" &amp; K3043, "Ver Imagen")</f>
        <v/>
      </c>
      <c r="M3043" t="inlineStr">
        <is>
          <t>Moda</t>
        </is>
      </c>
    </row>
    <row r="3044">
      <c r="A3044" t="n">
        <v>3044</v>
      </c>
      <c r="B3044" t="inlineStr">
        <is>
          <t>A-497__58</t>
        </is>
      </c>
      <c r="C3044" s="1" t="n">
        <v>37.2679341351</v>
      </c>
      <c r="D3044" s="1" t="n">
        <v>-6.97031000543</v>
      </c>
      <c r="E3044" s="3" t="n">
        <v>2</v>
      </c>
      <c r="F3044" s="2" t="n">
        <v>3</v>
      </c>
      <c r="G3044" s="4" t="n">
        <v>3</v>
      </c>
      <c r="H3044" s="13" t="n"/>
      <c r="I3044" s="15" t="n"/>
      <c r="J3044" s="19" t="n">
        <v>3</v>
      </c>
      <c r="K3044" s="2" t="inlineStr">
        <is>
          <t>marker_570_938284.png</t>
        </is>
      </c>
      <c r="L3044" s="11">
        <f>HYPERLINK("3\1\" &amp; K3044, "Ver Imagen")</f>
        <v/>
      </c>
      <c r="M3044" t="inlineStr">
        <is>
          <t>Moda</t>
        </is>
      </c>
    </row>
    <row r="3045">
      <c r="A3045" t="n">
        <v>3045</v>
      </c>
      <c r="B3045" t="inlineStr">
        <is>
          <t>A-497__57</t>
        </is>
      </c>
      <c r="C3045" s="1" t="n">
        <v>37.2679060732</v>
      </c>
      <c r="D3045" s="1" t="n">
        <v>-6.97009151174</v>
      </c>
      <c r="E3045" s="3" t="n">
        <v>2</v>
      </c>
      <c r="F3045" s="2" t="n">
        <v>3</v>
      </c>
      <c r="G3045" s="4" t="n">
        <v>3</v>
      </c>
      <c r="H3045" s="13" t="n"/>
      <c r="I3045" s="15" t="n"/>
      <c r="J3045" s="19" t="n">
        <v>3</v>
      </c>
      <c r="K3045" s="2" t="inlineStr">
        <is>
          <t>marker_960_938295.png</t>
        </is>
      </c>
      <c r="L3045" s="11">
        <f>HYPERLINK("3\1\" &amp; K3045, "Ver Imagen")</f>
        <v/>
      </c>
      <c r="M3045" t="inlineStr">
        <is>
          <t>Moda</t>
        </is>
      </c>
    </row>
    <row r="3046">
      <c r="A3046" t="n">
        <v>3046</v>
      </c>
      <c r="B3046" t="inlineStr">
        <is>
          <t>A-497__54</t>
        </is>
      </c>
      <c r="C3046" s="1" t="n">
        <v>37.2678091299</v>
      </c>
      <c r="D3046" s="1" t="n">
        <v>-6.96928007187</v>
      </c>
      <c r="E3046" s="3" t="n">
        <v>2</v>
      </c>
      <c r="F3046" s="2" t="n">
        <v>3</v>
      </c>
      <c r="G3046" s="4" t="n">
        <v>3</v>
      </c>
      <c r="H3046" s="13" t="n"/>
      <c r="I3046" s="15" t="n"/>
      <c r="J3046" s="19" t="n">
        <v>3</v>
      </c>
      <c r="K3046" s="2" t="inlineStr">
        <is>
          <t>marker_670_938340.png</t>
        </is>
      </c>
      <c r="L3046" s="11">
        <f>HYPERLINK("3\1\" &amp; K3046, "Ver Imagen")</f>
        <v/>
      </c>
      <c r="M3046" t="inlineStr">
        <is>
          <t>Moda</t>
        </is>
      </c>
    </row>
    <row r="3047">
      <c r="A3047" t="n">
        <v>3047</v>
      </c>
      <c r="B3047" t="inlineStr">
        <is>
          <t>A-497__51</t>
        </is>
      </c>
      <c r="C3047" s="1" t="n">
        <v>37.2677338078</v>
      </c>
      <c r="D3047" s="1" t="n">
        <v>-6.96853106708</v>
      </c>
      <c r="E3047" s="3" t="n">
        <v>2</v>
      </c>
      <c r="F3047" s="2" t="n">
        <v>3</v>
      </c>
      <c r="G3047" s="4" t="n">
        <v>3</v>
      </c>
      <c r="H3047" s="13" t="n"/>
      <c r="I3047" s="15" t="n"/>
      <c r="J3047" s="19" t="n">
        <v>3</v>
      </c>
      <c r="K3047" s="2" t="inlineStr">
        <is>
          <t>marker_801_938376.png</t>
        </is>
      </c>
      <c r="L3047" s="11">
        <f>HYPERLINK("3\1\" &amp; K3047, "Ver Imagen")</f>
        <v/>
      </c>
      <c r="M3047" t="inlineStr">
        <is>
          <t>Moda</t>
        </is>
      </c>
    </row>
    <row r="3048">
      <c r="A3048" t="n">
        <v>3048</v>
      </c>
      <c r="B3048" t="inlineStr">
        <is>
          <t>A-497__49</t>
        </is>
      </c>
      <c r="C3048" s="1" t="n">
        <v>37.2676923919</v>
      </c>
      <c r="D3048" s="1" t="n">
        <v>-6.96806620875</v>
      </c>
      <c r="E3048" s="3" t="n">
        <v>2</v>
      </c>
      <c r="F3048" s="2" t="n">
        <v>3</v>
      </c>
      <c r="G3048" s="4" t="n">
        <v>3</v>
      </c>
      <c r="H3048" s="13" t="n"/>
      <c r="I3048" s="15" t="n"/>
      <c r="J3048" s="19" t="n">
        <v>3</v>
      </c>
      <c r="K3048" s="2" t="inlineStr">
        <is>
          <t>marker_735_938406.png</t>
        </is>
      </c>
      <c r="L3048" s="11">
        <f>HYPERLINK("3\1\" &amp; K3048, "Ver Imagen")</f>
        <v/>
      </c>
      <c r="M3048" t="inlineStr">
        <is>
          <t>Moda</t>
        </is>
      </c>
    </row>
    <row r="3049">
      <c r="A3049" t="n">
        <v>3049</v>
      </c>
      <c r="B3049" t="inlineStr">
        <is>
          <t>A-497__46</t>
        </is>
      </c>
      <c r="C3049" s="1" t="n">
        <v>37.2676364139</v>
      </c>
      <c r="D3049" s="1" t="n">
        <v>-6.96733458012</v>
      </c>
      <c r="E3049" s="3" t="n">
        <v>2</v>
      </c>
      <c r="F3049" s="2" t="n">
        <v>3</v>
      </c>
      <c r="G3049" s="4" t="n">
        <v>3</v>
      </c>
      <c r="H3049" s="13" t="n"/>
      <c r="I3049" s="15" t="n"/>
      <c r="J3049" s="19" t="n">
        <v>3</v>
      </c>
      <c r="K3049" s="2" t="inlineStr">
        <is>
          <t>marker_499_938439.png</t>
        </is>
      </c>
      <c r="L3049" s="11">
        <f>HYPERLINK("3\1\" &amp; K3049, "Ver Imagen")</f>
        <v/>
      </c>
      <c r="M3049" t="inlineStr">
        <is>
          <t>Moda</t>
        </is>
      </c>
    </row>
    <row r="3050">
      <c r="A3050" t="n">
        <v>3050</v>
      </c>
      <c r="B3050" t="inlineStr">
        <is>
          <t>A-497__45</t>
        </is>
      </c>
      <c r="C3050" s="1" t="n">
        <v>37.2676193428</v>
      </c>
      <c r="D3050" s="1" t="n">
        <v>-6.96706071645</v>
      </c>
      <c r="E3050" s="3" t="n">
        <v>2</v>
      </c>
      <c r="F3050" s="2" t="n">
        <v>3</v>
      </c>
      <c r="G3050" s="4" t="n">
        <v>3</v>
      </c>
      <c r="H3050" s="13" t="n"/>
      <c r="I3050" s="15" t="n"/>
      <c r="J3050" s="19" t="n">
        <v>3</v>
      </c>
      <c r="K3050" s="2" t="inlineStr">
        <is>
          <t>marker_658_938449.png</t>
        </is>
      </c>
      <c r="L3050" s="11">
        <f>HYPERLINK("3\1\" &amp; K3050, "Ver Imagen")</f>
        <v/>
      </c>
      <c r="M3050" t="inlineStr">
        <is>
          <t>Moda</t>
        </is>
      </c>
    </row>
    <row r="3051">
      <c r="A3051" t="n">
        <v>3051</v>
      </c>
      <c r="B3051" t="inlineStr">
        <is>
          <t>A-497__42</t>
        </is>
      </c>
      <c r="C3051" s="1" t="n">
        <v>37.2675790046</v>
      </c>
      <c r="D3051" s="1" t="n">
        <v>-6.96627427939</v>
      </c>
      <c r="E3051" s="3" t="n">
        <v>2</v>
      </c>
      <c r="F3051" s="2" t="n">
        <v>3</v>
      </c>
      <c r="G3051" s="4" t="n">
        <v>3</v>
      </c>
      <c r="H3051" s="13" t="n"/>
      <c r="I3051" s="15" t="n"/>
      <c r="J3051" s="19" t="n">
        <v>3</v>
      </c>
      <c r="K3051" s="2" t="inlineStr">
        <is>
          <t>marker_166_940255.png</t>
        </is>
      </c>
      <c r="L3051" s="11">
        <f>HYPERLINK("3\1\" &amp; K3051, "Ver Imagen")</f>
        <v/>
      </c>
      <c r="M3051" t="inlineStr">
        <is>
          <t>Moda</t>
        </is>
      </c>
    </row>
    <row r="3052">
      <c r="A3052" t="n">
        <v>3052</v>
      </c>
      <c r="B3052" t="inlineStr">
        <is>
          <t>A-497__38</t>
        </is>
      </c>
      <c r="C3052" s="1" t="n">
        <v>37.2675461074</v>
      </c>
      <c r="D3052" s="1" t="n">
        <v>-6.96529555102</v>
      </c>
      <c r="E3052" s="3" t="n">
        <v>2</v>
      </c>
      <c r="F3052" s="2" t="n">
        <v>3</v>
      </c>
      <c r="G3052" s="4" t="n">
        <v>3</v>
      </c>
      <c r="H3052" s="13" t="n"/>
      <c r="I3052" s="15" t="n"/>
      <c r="J3052" s="19" t="n">
        <v>3</v>
      </c>
      <c r="K3052" s="2" t="inlineStr">
        <is>
          <t>marker_234_940302.png</t>
        </is>
      </c>
      <c r="L3052" s="11">
        <f>HYPERLINK("3\1\" &amp; K3052, "Ver Imagen")</f>
        <v/>
      </c>
      <c r="M3052" t="inlineStr">
        <is>
          <t>Moda</t>
        </is>
      </c>
    </row>
    <row r="3053">
      <c r="A3053" t="n">
        <v>3053</v>
      </c>
      <c r="B3053" t="inlineStr">
        <is>
          <t>A-497__34</t>
        </is>
      </c>
      <c r="C3053" s="1" t="n">
        <v>37.267524945</v>
      </c>
      <c r="D3053" s="1" t="n">
        <v>-6.96425213295</v>
      </c>
      <c r="E3053" s="3" t="n">
        <v>3</v>
      </c>
      <c r="F3053" s="2" t="n">
        <v>3</v>
      </c>
      <c r="G3053" s="4" t="n">
        <v>4</v>
      </c>
      <c r="H3053" s="13" t="n"/>
      <c r="I3053" s="15" t="n"/>
      <c r="J3053" s="19" t="n">
        <v>3</v>
      </c>
      <c r="K3053" s="2" t="inlineStr">
        <is>
          <t>marker_306_940557.png</t>
        </is>
      </c>
      <c r="L3053" s="11">
        <f>HYPERLINK("3\1\" &amp; K3053, "Ver Imagen")</f>
        <v/>
      </c>
      <c r="M3053" t="inlineStr">
        <is>
          <t>Moda</t>
        </is>
      </c>
    </row>
    <row r="3054">
      <c r="A3054" t="n">
        <v>3054</v>
      </c>
      <c r="B3054" t="inlineStr">
        <is>
          <t>A-497__33</t>
        </is>
      </c>
      <c r="C3054" s="1" t="n">
        <v>37.2675196437</v>
      </c>
      <c r="D3054" s="1" t="n">
        <v>-6.96399968545</v>
      </c>
      <c r="E3054" s="3" t="n">
        <v>2</v>
      </c>
      <c r="F3054" s="2" t="n">
        <v>3</v>
      </c>
      <c r="G3054" s="4" t="n">
        <v>3</v>
      </c>
      <c r="H3054" s="13" t="n"/>
      <c r="I3054" s="15" t="n"/>
      <c r="J3054" s="19" t="n">
        <v>3</v>
      </c>
      <c r="K3054" s="2" t="inlineStr">
        <is>
          <t>marker_393_940568.png</t>
        </is>
      </c>
      <c r="L3054" s="11">
        <f>HYPERLINK("3\1\" &amp; K3054, "Ver Imagen")</f>
        <v/>
      </c>
      <c r="M3054" t="inlineStr">
        <is>
          <t>Moda</t>
        </is>
      </c>
    </row>
    <row r="3055">
      <c r="A3055" t="n">
        <v>3055</v>
      </c>
      <c r="B3055" t="inlineStr">
        <is>
          <t>A-497__31</t>
        </is>
      </c>
      <c r="C3055" s="1" t="n">
        <v>37.2675102362</v>
      </c>
      <c r="D3055" s="1" t="n">
        <v>-6.96351265418</v>
      </c>
      <c r="E3055" s="3" t="n">
        <v>3</v>
      </c>
      <c r="F3055" s="2" t="n">
        <v>3</v>
      </c>
      <c r="G3055" s="4" t="n">
        <v>4</v>
      </c>
      <c r="H3055" s="13" t="n"/>
      <c r="I3055" s="15" t="n"/>
      <c r="J3055" s="19" t="n">
        <v>3</v>
      </c>
      <c r="K3055" s="2" t="inlineStr">
        <is>
          <t>marker_811_940683.png</t>
        </is>
      </c>
      <c r="L3055" s="11">
        <f>HYPERLINK("3\1\" &amp; K3055, "Ver Imagen")</f>
        <v/>
      </c>
      <c r="M3055" t="inlineStr">
        <is>
          <t>Moda</t>
        </is>
      </c>
    </row>
    <row r="3056">
      <c r="A3056" t="n">
        <v>3056</v>
      </c>
      <c r="B3056" t="inlineStr">
        <is>
          <t>A-5050__169</t>
        </is>
      </c>
      <c r="C3056" s="1" t="n">
        <v>37.1911823942</v>
      </c>
      <c r="D3056" s="1" t="n">
        <v>-6.99136770168</v>
      </c>
      <c r="E3056" s="3" t="n">
        <v>2</v>
      </c>
      <c r="F3056" s="2" t="n">
        <v>3</v>
      </c>
      <c r="G3056" s="4" t="n">
        <v>3</v>
      </c>
      <c r="H3056" s="13" t="n"/>
      <c r="I3056" s="15" t="n"/>
      <c r="J3056" s="19" t="n">
        <v>3</v>
      </c>
      <c r="K3056" s="2" t="inlineStr">
        <is>
          <t>marker_842_944298.png</t>
        </is>
      </c>
      <c r="L3056" s="11">
        <f>HYPERLINK("3\1\" &amp; K3056, "Ver Imagen")</f>
        <v/>
      </c>
      <c r="M3056" t="inlineStr">
        <is>
          <t>Moda</t>
        </is>
      </c>
    </row>
    <row r="3057">
      <c r="A3057" t="n">
        <v>3057</v>
      </c>
      <c r="B3057" t="inlineStr">
        <is>
          <t>A-5050__148</t>
        </is>
      </c>
      <c r="C3057" s="1" t="n">
        <v>37.1932924826</v>
      </c>
      <c r="D3057" s="1" t="n">
        <v>-6.99603810767</v>
      </c>
      <c r="E3057" s="3" t="n">
        <v>2</v>
      </c>
      <c r="F3057" s="2" t="n">
        <v>3</v>
      </c>
      <c r="G3057" s="4" t="n">
        <v>3</v>
      </c>
      <c r="H3057" s="13" t="n"/>
      <c r="I3057" s="15" t="n"/>
      <c r="J3057" s="19" t="n">
        <v>3</v>
      </c>
      <c r="K3057" s="2" t="inlineStr">
        <is>
          <t>marker_818_945420.png</t>
        </is>
      </c>
      <c r="L3057" s="11">
        <f>HYPERLINK("3\1\" &amp; K3057, "Ver Imagen")</f>
        <v/>
      </c>
      <c r="M3057" t="inlineStr">
        <is>
          <t>Moda</t>
        </is>
      </c>
    </row>
    <row r="3058">
      <c r="A3058" t="n">
        <v>3058</v>
      </c>
      <c r="B3058" t="inlineStr">
        <is>
          <t>A-5050__141</t>
        </is>
      </c>
      <c r="C3058" s="1" t="n">
        <v>37.1939643171</v>
      </c>
      <c r="D3058" s="1" t="n">
        <v>-6.99762173129</v>
      </c>
      <c r="E3058" s="3" t="n">
        <v>2</v>
      </c>
      <c r="F3058" s="2" t="n">
        <v>3</v>
      </c>
      <c r="G3058" s="4" t="n">
        <v>3</v>
      </c>
      <c r="H3058" s="13" t="n"/>
      <c r="I3058" s="15" t="n"/>
      <c r="J3058" s="19" t="n">
        <v>3</v>
      </c>
      <c r="K3058" s="2" t="inlineStr">
        <is>
          <t>marker_155_945829.png</t>
        </is>
      </c>
      <c r="L3058" s="11">
        <f>HYPERLINK("3\1\" &amp; K3058, "Ver Imagen")</f>
        <v/>
      </c>
      <c r="M3058" t="inlineStr">
        <is>
          <t>Moda</t>
        </is>
      </c>
    </row>
    <row r="3059">
      <c r="A3059" t="n">
        <v>3059</v>
      </c>
      <c r="B3059" t="inlineStr">
        <is>
          <t>A-5050__101</t>
        </is>
      </c>
      <c r="C3059" s="1" t="n">
        <v>37.1977070895</v>
      </c>
      <c r="D3059" s="1" t="n">
        <v>-7.00656888846</v>
      </c>
      <c r="E3059" s="3" t="n">
        <v>2</v>
      </c>
      <c r="F3059" s="2" t="n">
        <v>3</v>
      </c>
      <c r="G3059" s="4" t="n">
        <v>3</v>
      </c>
      <c r="H3059" s="13" t="n"/>
      <c r="I3059" s="15" t="n"/>
      <c r="J3059" s="19" t="n">
        <v>3</v>
      </c>
      <c r="K3059" s="2" t="inlineStr">
        <is>
          <t>marker_632_946795.png</t>
        </is>
      </c>
      <c r="L3059" s="11">
        <f>HYPERLINK("3\1\" &amp; K3059, "Ver Imagen")</f>
        <v/>
      </c>
      <c r="M3059" t="inlineStr">
        <is>
          <t>Moda</t>
        </is>
      </c>
    </row>
    <row r="3060">
      <c r="A3060" t="n">
        <v>3060</v>
      </c>
      <c r="B3060" t="inlineStr">
        <is>
          <t>A-5050__81</t>
        </is>
      </c>
      <c r="C3060" s="1" t="n">
        <v>37.1999697672</v>
      </c>
      <c r="D3060" s="1" t="n">
        <v>-7.01070458318</v>
      </c>
      <c r="E3060" s="3" t="n">
        <v>3</v>
      </c>
      <c r="F3060" s="2" t="n">
        <v>3</v>
      </c>
      <c r="G3060" s="4" t="n">
        <v>4</v>
      </c>
      <c r="H3060" s="13" t="n"/>
      <c r="I3060" s="15" t="n"/>
      <c r="J3060" s="19" t="n">
        <v>3</v>
      </c>
      <c r="K3060" s="2" t="inlineStr">
        <is>
          <t>marker_603_948761.png</t>
        </is>
      </c>
      <c r="L3060" s="11">
        <f>HYPERLINK("3\1\" &amp; K3060, "Ver Imagen")</f>
        <v/>
      </c>
      <c r="M3060" t="inlineStr">
        <is>
          <t>Moda</t>
        </is>
      </c>
    </row>
    <row r="3061">
      <c r="A3061" t="n">
        <v>3061</v>
      </c>
      <c r="B3061" t="inlineStr">
        <is>
          <t>A-5050__79</t>
        </is>
      </c>
      <c r="C3061" s="1" t="n">
        <v>37.2002495687</v>
      </c>
      <c r="D3061" s="1" t="n">
        <v>-7.01114145155</v>
      </c>
      <c r="E3061" s="3" t="n">
        <v>3</v>
      </c>
      <c r="F3061" s="2" t="n">
        <v>3</v>
      </c>
      <c r="G3061" s="4" t="n">
        <v>4</v>
      </c>
      <c r="H3061" s="13" t="n"/>
      <c r="I3061" s="15" t="n"/>
      <c r="J3061" s="19" t="n">
        <v>3</v>
      </c>
      <c r="K3061" s="2" t="inlineStr">
        <is>
          <t>marker_518_948784.png</t>
        </is>
      </c>
      <c r="L3061" s="11">
        <f>HYPERLINK("3\1\" &amp; K3061, "Ver Imagen")</f>
        <v/>
      </c>
      <c r="M3061" t="inlineStr">
        <is>
          <t>Moda</t>
        </is>
      </c>
    </row>
    <row r="3062">
      <c r="A3062" t="n">
        <v>3062</v>
      </c>
      <c r="B3062" t="inlineStr">
        <is>
          <t>A-5050__22</t>
        </is>
      </c>
      <c r="C3062" s="1" t="n">
        <v>37.2075805916</v>
      </c>
      <c r="D3062" s="1" t="n">
        <v>-7.02223693209</v>
      </c>
      <c r="E3062" s="3" t="n">
        <v>3</v>
      </c>
      <c r="F3062" s="2" t="n">
        <v>3</v>
      </c>
      <c r="G3062" s="4" t="n">
        <v>4</v>
      </c>
      <c r="H3062" s="13" t="n"/>
      <c r="I3062" s="15" t="n"/>
      <c r="J3062" s="19" t="n">
        <v>3</v>
      </c>
      <c r="K3062" s="2" t="inlineStr">
        <is>
          <t>marker_720_949439.png</t>
        </is>
      </c>
      <c r="L3062" s="11">
        <f>HYPERLINK("3\1\" &amp; K3062, "Ver Imagen")</f>
        <v/>
      </c>
      <c r="M3062" t="inlineStr">
        <is>
          <t>Moda</t>
        </is>
      </c>
    </row>
    <row r="3063">
      <c r="A3063" t="n">
        <v>3063</v>
      </c>
      <c r="B3063" t="inlineStr">
        <is>
          <t>A-5052__6</t>
        </is>
      </c>
      <c r="C3063" s="1" t="n">
        <v>37.2183843415</v>
      </c>
      <c r="D3063" s="1" t="n">
        <v>-7.12447037864</v>
      </c>
      <c r="E3063" s="3" t="n">
        <v>2</v>
      </c>
      <c r="F3063" s="2" t="n">
        <v>3</v>
      </c>
      <c r="G3063" s="4" t="n">
        <v>3</v>
      </c>
      <c r="H3063" s="13" t="n"/>
      <c r="I3063" s="15" t="n"/>
      <c r="J3063" s="19" t="n">
        <v>3</v>
      </c>
      <c r="K3063" s="2" t="inlineStr">
        <is>
          <t>marker_310_949930.png</t>
        </is>
      </c>
      <c r="L3063" s="11">
        <f>HYPERLINK("3\1\" &amp; K3063, "Ver Imagen")</f>
        <v/>
      </c>
      <c r="M3063" t="inlineStr">
        <is>
          <t>Moda</t>
        </is>
      </c>
    </row>
    <row r="3064">
      <c r="A3064" t="n">
        <v>3064</v>
      </c>
      <c r="B3064" t="inlineStr">
        <is>
          <t>A-5052__9</t>
        </is>
      </c>
      <c r="C3064" s="1" t="n">
        <v>37.2183465663</v>
      </c>
      <c r="D3064" s="1" t="n">
        <v>-7.12372800095</v>
      </c>
      <c r="E3064" s="3" t="n">
        <v>3</v>
      </c>
      <c r="F3064" s="2" t="n">
        <v>3</v>
      </c>
      <c r="G3064" s="4" t="n">
        <v>4</v>
      </c>
      <c r="H3064" s="13" t="n"/>
      <c r="I3064" s="15" t="n"/>
      <c r="J3064" s="19" t="n">
        <v>3</v>
      </c>
      <c r="K3064" s="2" t="inlineStr">
        <is>
          <t>marker_970_950011.png</t>
        </is>
      </c>
      <c r="L3064" s="11">
        <f>HYPERLINK("3\1\" &amp; K3064, "Ver Imagen")</f>
        <v/>
      </c>
      <c r="M3064" t="inlineStr">
        <is>
          <t>Moda</t>
        </is>
      </c>
    </row>
    <row r="3065">
      <c r="A3065" t="n">
        <v>3065</v>
      </c>
      <c r="B3065" t="inlineStr">
        <is>
          <t>A-5052__14</t>
        </is>
      </c>
      <c r="C3065" s="1" t="n">
        <v>37.2180626073</v>
      </c>
      <c r="D3065" s="1" t="n">
        <v>-7.12249300778</v>
      </c>
      <c r="E3065" s="3" t="n">
        <v>2</v>
      </c>
      <c r="F3065" s="2" t="n">
        <v>3</v>
      </c>
      <c r="G3065" s="4" t="n">
        <v>3</v>
      </c>
      <c r="H3065" s="13" t="n"/>
      <c r="I3065" s="15" t="n"/>
      <c r="J3065" s="19" t="n">
        <v>3</v>
      </c>
      <c r="K3065" s="2" t="inlineStr">
        <is>
          <t>marker_747_950145.png</t>
        </is>
      </c>
      <c r="L3065" s="11">
        <f>HYPERLINK("3\1\" &amp; K3065, "Ver Imagen")</f>
        <v/>
      </c>
      <c r="M3065" t="inlineStr">
        <is>
          <t>Moda</t>
        </is>
      </c>
    </row>
    <row r="3066">
      <c r="A3066" t="n">
        <v>3066</v>
      </c>
      <c r="B3066" t="inlineStr">
        <is>
          <t>A-5052__42</t>
        </is>
      </c>
      <c r="C3066" s="1" t="n">
        <v>37.2176988063</v>
      </c>
      <c r="D3066" s="1" t="n">
        <v>-7.11549733016</v>
      </c>
      <c r="E3066" s="3" t="n">
        <v>3</v>
      </c>
      <c r="F3066" s="2" t="n">
        <v>3</v>
      </c>
      <c r="G3066" s="4" t="n">
        <v>2</v>
      </c>
      <c r="H3066" s="13" t="n"/>
      <c r="I3066" s="15" t="n"/>
      <c r="J3066" s="19" t="n">
        <v>3</v>
      </c>
      <c r="K3066" s="2" t="inlineStr">
        <is>
          <t>marker_833_956832.png</t>
        </is>
      </c>
      <c r="L3066" s="11">
        <f>HYPERLINK("3\1\" &amp; K3066, "Ver Imagen")</f>
        <v/>
      </c>
      <c r="M3066" t="inlineStr">
        <is>
          <t>Moda</t>
        </is>
      </c>
    </row>
    <row r="3067">
      <c r="A3067" t="n">
        <v>3067</v>
      </c>
      <c r="B3067" t="inlineStr">
        <is>
          <t>A-5052__66</t>
        </is>
      </c>
      <c r="C3067" s="1" t="n">
        <v>37.2176453982</v>
      </c>
      <c r="D3067" s="1" t="n">
        <v>-7.10945577093</v>
      </c>
      <c r="E3067" s="3" t="n">
        <v>2</v>
      </c>
      <c r="F3067" s="2" t="n">
        <v>3</v>
      </c>
      <c r="G3067" s="4" t="n">
        <v>3</v>
      </c>
      <c r="H3067" s="13" t="n"/>
      <c r="I3067" s="15" t="n"/>
      <c r="J3067" s="19" t="n">
        <v>3</v>
      </c>
      <c r="K3067" s="2" t="inlineStr">
        <is>
          <t>marker_187_957129.png</t>
        </is>
      </c>
      <c r="L3067" s="11">
        <f>HYPERLINK("3\1\" &amp; K3067, "Ver Imagen")</f>
        <v/>
      </c>
      <c r="M3067" t="inlineStr">
        <is>
          <t>Moda</t>
        </is>
      </c>
    </row>
    <row r="3068">
      <c r="A3068" t="n">
        <v>3068</v>
      </c>
      <c r="B3068" t="inlineStr">
        <is>
          <t>A-5052__130</t>
        </is>
      </c>
      <c r="C3068" s="1" t="n">
        <v>37.216609273</v>
      </c>
      <c r="D3068" s="1" t="n">
        <v>-7.09341147307</v>
      </c>
      <c r="E3068" s="3" t="n">
        <v>2</v>
      </c>
      <c r="F3068" s="2" t="n">
        <v>3</v>
      </c>
      <c r="G3068" s="4" t="n">
        <v>3</v>
      </c>
      <c r="H3068" s="13" t="n"/>
      <c r="I3068" s="15" t="n"/>
      <c r="J3068" s="19" t="n">
        <v>3</v>
      </c>
      <c r="K3068" s="2" t="inlineStr">
        <is>
          <t>marker_355_958109.png</t>
        </is>
      </c>
      <c r="L3068" s="11">
        <f>HYPERLINK("3\1\" &amp; K3068, "Ver Imagen")</f>
        <v/>
      </c>
      <c r="M3068" t="inlineStr">
        <is>
          <t>Moda</t>
        </is>
      </c>
    </row>
    <row r="3069">
      <c r="A3069" t="n">
        <v>3069</v>
      </c>
      <c r="B3069" t="inlineStr">
        <is>
          <t>A-5052__136</t>
        </is>
      </c>
      <c r="C3069" s="1" t="n">
        <v>37.2163770365</v>
      </c>
      <c r="D3069" s="1" t="n">
        <v>-7.09189322484</v>
      </c>
      <c r="E3069" s="3" t="n">
        <v>2</v>
      </c>
      <c r="F3069" s="2" t="n">
        <v>3</v>
      </c>
      <c r="G3069" s="4" t="n">
        <v>3</v>
      </c>
      <c r="H3069" s="13" t="n"/>
      <c r="I3069" s="15" t="n"/>
      <c r="J3069" s="19" t="n">
        <v>3</v>
      </c>
      <c r="K3069" s="2" t="inlineStr">
        <is>
          <t>marker_825_958175.png</t>
        </is>
      </c>
      <c r="L3069" s="11">
        <f>HYPERLINK("3\1\" &amp; K3069, "Ver Imagen")</f>
        <v/>
      </c>
      <c r="M3069" t="inlineStr">
        <is>
          <t>Moda</t>
        </is>
      </c>
    </row>
    <row r="3070">
      <c r="A3070" t="n">
        <v>3070</v>
      </c>
      <c r="B3070" t="inlineStr">
        <is>
          <t>A-5052__137</t>
        </is>
      </c>
      <c r="C3070" s="1" t="n">
        <v>37.2163387163</v>
      </c>
      <c r="D3070" s="1" t="n">
        <v>-7.09164979477</v>
      </c>
      <c r="E3070" s="3" t="n">
        <v>2</v>
      </c>
      <c r="F3070" s="2" t="n">
        <v>3</v>
      </c>
      <c r="G3070" s="4" t="n">
        <v>3</v>
      </c>
      <c r="H3070" s="13" t="n"/>
      <c r="I3070" s="15" t="n"/>
      <c r="J3070" s="19" t="n">
        <v>3</v>
      </c>
      <c r="K3070" s="2" t="inlineStr">
        <is>
          <t>marker_139_958186.png</t>
        </is>
      </c>
      <c r="L3070" s="11">
        <f>HYPERLINK("3\1\" &amp; K3070, "Ver Imagen")</f>
        <v/>
      </c>
      <c r="M3070" t="inlineStr">
        <is>
          <t>Moda</t>
        </is>
      </c>
    </row>
    <row r="3071">
      <c r="A3071" t="n">
        <v>3071</v>
      </c>
      <c r="B3071" t="inlineStr">
        <is>
          <t>A-5052__167</t>
        </is>
      </c>
      <c r="C3071" s="1" t="n">
        <v>37.2161973333</v>
      </c>
      <c r="D3071" s="1" t="n">
        <v>-7.08411267036</v>
      </c>
      <c r="E3071" s="3" t="n">
        <v>2</v>
      </c>
      <c r="F3071" s="2" t="n">
        <v>3</v>
      </c>
      <c r="G3071" s="4" t="n">
        <v>3</v>
      </c>
      <c r="H3071" s="13" t="n"/>
      <c r="I3071" s="15" t="n"/>
      <c r="J3071" s="19" t="n">
        <v>3</v>
      </c>
      <c r="K3071" s="2" t="inlineStr">
        <is>
          <t>marker_768_958921.png</t>
        </is>
      </c>
      <c r="L3071" s="11">
        <f>HYPERLINK("3\1\" &amp; K3071, "Ver Imagen")</f>
        <v/>
      </c>
      <c r="M3071" t="inlineStr">
        <is>
          <t>Moda</t>
        </is>
      </c>
    </row>
    <row r="3072">
      <c r="A3072" t="n">
        <v>3072</v>
      </c>
      <c r="B3072" t="inlineStr">
        <is>
          <t>A-5052__204</t>
        </is>
      </c>
      <c r="C3072" s="1" t="n">
        <v>37.2141412537</v>
      </c>
      <c r="D3072" s="1" t="n">
        <v>-7.07515283625</v>
      </c>
      <c r="E3072" s="3" t="n">
        <v>2</v>
      </c>
      <c r="F3072" s="2" t="n">
        <v>3</v>
      </c>
      <c r="G3072" s="4" t="n">
        <v>3</v>
      </c>
      <c r="H3072" s="13" t="n"/>
      <c r="I3072" s="15" t="n"/>
      <c r="J3072" s="19" t="n">
        <v>3</v>
      </c>
      <c r="K3072" s="2" t="inlineStr">
        <is>
          <t>marker_733_959511.png</t>
        </is>
      </c>
      <c r="L3072" s="11">
        <f>HYPERLINK("3\1\" &amp; K3072, "Ver Imagen")</f>
        <v/>
      </c>
      <c r="M3072" t="inlineStr">
        <is>
          <t>Moda</t>
        </is>
      </c>
    </row>
    <row r="3073">
      <c r="A3073" t="n">
        <v>3073</v>
      </c>
      <c r="B3073" t="inlineStr">
        <is>
          <t>A-5052__244</t>
        </is>
      </c>
      <c r="C3073" s="1" t="n">
        <v>37.2132955169</v>
      </c>
      <c r="D3073" s="1" t="n">
        <v>-7.0650942016</v>
      </c>
      <c r="E3073" s="3" t="n">
        <v>2</v>
      </c>
      <c r="F3073" s="2" t="n">
        <v>3</v>
      </c>
      <c r="G3073" s="4" t="n">
        <v>3</v>
      </c>
      <c r="H3073" s="13" t="n"/>
      <c r="I3073" s="15" t="n"/>
      <c r="J3073" s="19" t="n">
        <v>3</v>
      </c>
      <c r="K3073" s="2" t="inlineStr">
        <is>
          <t>marker_613_959999.png</t>
        </is>
      </c>
      <c r="L3073" s="11">
        <f>HYPERLINK("3\1\" &amp; K3073, "Ver Imagen")</f>
        <v/>
      </c>
      <c r="M3073" t="inlineStr">
        <is>
          <t>Moda</t>
        </is>
      </c>
    </row>
    <row r="3074">
      <c r="A3074" t="n">
        <v>3074</v>
      </c>
      <c r="B3074" t="inlineStr">
        <is>
          <t>A-5052__293</t>
        </is>
      </c>
      <c r="C3074" s="1" t="n">
        <v>37.2108120264</v>
      </c>
      <c r="D3074" s="1" t="n">
        <v>-7.05330653668</v>
      </c>
      <c r="E3074" s="3" t="n">
        <v>3</v>
      </c>
      <c r="F3074" s="2" t="n">
        <v>3</v>
      </c>
      <c r="G3074" s="4" t="n">
        <v>4</v>
      </c>
      <c r="H3074" s="13" t="n"/>
      <c r="I3074" s="15" t="n"/>
      <c r="J3074" s="19" t="n">
        <v>3</v>
      </c>
      <c r="K3074" s="2" t="inlineStr">
        <is>
          <t>marker_125_960742.png</t>
        </is>
      </c>
      <c r="L3074" s="11">
        <f>HYPERLINK("3\1\" &amp; K3074, "Ver Imagen")</f>
        <v/>
      </c>
      <c r="M3074" t="inlineStr">
        <is>
          <t>Moda</t>
        </is>
      </c>
    </row>
    <row r="3075">
      <c r="A3075" t="n">
        <v>3075</v>
      </c>
      <c r="B3075" t="inlineStr">
        <is>
          <t>A-5052__307</t>
        </is>
      </c>
      <c r="C3075" s="1" t="n">
        <v>37.2114030916</v>
      </c>
      <c r="D3075" s="1" t="n">
        <v>-7.04993841598</v>
      </c>
      <c r="E3075" s="3" t="n">
        <v>2</v>
      </c>
      <c r="F3075" s="2" t="n">
        <v>3</v>
      </c>
      <c r="G3075" s="4" t="n">
        <v>3</v>
      </c>
      <c r="H3075" s="13" t="n"/>
      <c r="I3075" s="15" t="n"/>
      <c r="J3075" s="19" t="n">
        <v>3</v>
      </c>
      <c r="K3075" s="2" t="inlineStr">
        <is>
          <t>marker_515_961054.png</t>
        </is>
      </c>
      <c r="L3075" s="11">
        <f>HYPERLINK("3\1\" &amp; K3075, "Ver Imagen")</f>
        <v/>
      </c>
      <c r="M3075" t="inlineStr">
        <is>
          <t>Moda</t>
        </is>
      </c>
    </row>
    <row r="3076">
      <c r="A3076" t="n">
        <v>3076</v>
      </c>
      <c r="B3076" t="inlineStr">
        <is>
          <t>A-5052__360</t>
        </is>
      </c>
      <c r="C3076" s="1" t="n">
        <v>37.2083647881</v>
      </c>
      <c r="D3076" s="1" t="n">
        <v>-7.03747503376</v>
      </c>
      <c r="E3076" s="3" t="n">
        <v>3</v>
      </c>
      <c r="F3076" s="2" t="n">
        <v>3</v>
      </c>
      <c r="G3076" s="4" t="n">
        <v>4</v>
      </c>
      <c r="H3076" s="13" t="n"/>
      <c r="I3076" s="15" t="n"/>
      <c r="J3076" s="19" t="n">
        <v>3</v>
      </c>
      <c r="K3076" s="2" t="inlineStr">
        <is>
          <t>marker_201_961858.png</t>
        </is>
      </c>
      <c r="L3076" s="11">
        <f>HYPERLINK("3\1\" &amp; K3076, "Ver Imagen")</f>
        <v/>
      </c>
      <c r="M3076" t="inlineStr">
        <is>
          <t>Moda</t>
        </is>
      </c>
    </row>
    <row r="3077">
      <c r="A3077" t="n">
        <v>3077</v>
      </c>
      <c r="B3077" t="inlineStr">
        <is>
          <t>A-5052__361</t>
        </is>
      </c>
      <c r="C3077" s="1" t="n">
        <v>37.2082817357</v>
      </c>
      <c r="D3077" s="1" t="n">
        <v>-7.03725777445</v>
      </c>
      <c r="E3077" s="3" t="n">
        <v>3</v>
      </c>
      <c r="F3077" s="2" t="n">
        <v>3</v>
      </c>
      <c r="G3077" s="4" t="n">
        <v>4</v>
      </c>
      <c r="H3077" s="13" t="n"/>
      <c r="I3077" s="15" t="n"/>
      <c r="J3077" s="19" t="n">
        <v>3</v>
      </c>
      <c r="K3077" s="2" t="inlineStr">
        <is>
          <t>marker_442_961866.png</t>
        </is>
      </c>
      <c r="L3077" s="11">
        <f>HYPERLINK("3\1\" &amp; K3077, "Ver Imagen")</f>
        <v/>
      </c>
      <c r="M3077" t="inlineStr">
        <is>
          <t>Moda</t>
        </is>
      </c>
    </row>
    <row r="3078">
      <c r="A3078" t="n">
        <v>3078</v>
      </c>
      <c r="B3078" t="inlineStr">
        <is>
          <t>A-5052__372</t>
        </is>
      </c>
      <c r="C3078" s="1" t="n">
        <v>37.2073069458</v>
      </c>
      <c r="D3078" s="1" t="n">
        <v>-7.03473738343</v>
      </c>
      <c r="E3078" s="3" t="n">
        <v>3</v>
      </c>
      <c r="F3078" s="2" t="n">
        <v>3</v>
      </c>
      <c r="G3078" s="4" t="n">
        <v>2</v>
      </c>
      <c r="H3078" s="13" t="n"/>
      <c r="I3078" s="15" t="n"/>
      <c r="J3078" s="19" t="n">
        <v>3</v>
      </c>
      <c r="K3078" s="2" t="inlineStr">
        <is>
          <t>marker_898_962313.png</t>
        </is>
      </c>
      <c r="L3078" s="11">
        <f>HYPERLINK("3\1\" &amp; K3078, "Ver Imagen")</f>
        <v/>
      </c>
      <c r="M3078" t="inlineStr">
        <is>
          <t>Moda</t>
        </is>
      </c>
    </row>
    <row r="3079">
      <c r="A3079" t="n">
        <v>3079</v>
      </c>
      <c r="B3079" t="inlineStr">
        <is>
          <t>A-5052__377</t>
        </is>
      </c>
      <c r="C3079" s="1" t="n">
        <v>37.2068673105</v>
      </c>
      <c r="D3079" s="1" t="n">
        <v>-7.03360024727</v>
      </c>
      <c r="E3079" s="3" t="n">
        <v>2</v>
      </c>
      <c r="F3079" s="2" t="n">
        <v>3</v>
      </c>
      <c r="G3079" s="4" t="n">
        <v>3</v>
      </c>
      <c r="H3079" s="13" t="n"/>
      <c r="I3079" s="15" t="n"/>
      <c r="J3079" s="19" t="n">
        <v>3</v>
      </c>
      <c r="K3079" s="2" t="inlineStr">
        <is>
          <t>marker_663_962447.png</t>
        </is>
      </c>
      <c r="L3079" s="11">
        <f>HYPERLINK("3\1\" &amp; K3079, "Ver Imagen")</f>
        <v/>
      </c>
      <c r="M3079" t="inlineStr">
        <is>
          <t>Moda</t>
        </is>
      </c>
    </row>
    <row r="3080">
      <c r="A3080" t="n">
        <v>3080</v>
      </c>
      <c r="B3080" t="inlineStr">
        <is>
          <t>A-5052__378</t>
        </is>
      </c>
      <c r="C3080" s="1" t="n">
        <v>37.2067821377</v>
      </c>
      <c r="D3080" s="1" t="n">
        <v>-7.03337521888</v>
      </c>
      <c r="E3080" s="3" t="n">
        <v>2</v>
      </c>
      <c r="F3080" s="2" t="n">
        <v>3</v>
      </c>
      <c r="G3080" s="4" t="n">
        <v>3</v>
      </c>
      <c r="H3080" s="13" t="n"/>
      <c r="I3080" s="15" t="n"/>
      <c r="J3080" s="19" t="n">
        <v>3</v>
      </c>
      <c r="K3080" s="2" t="inlineStr">
        <is>
          <t>marker_295_962456.png</t>
        </is>
      </c>
      <c r="L3080" s="11">
        <f>HYPERLINK("3\1\" &amp; K3080, "Ver Imagen")</f>
        <v/>
      </c>
      <c r="M3080" t="inlineStr">
        <is>
          <t>Moda</t>
        </is>
      </c>
    </row>
    <row r="3081">
      <c r="A3081" t="n">
        <v>3081</v>
      </c>
      <c r="B3081" t="inlineStr">
        <is>
          <t>A-5052__389</t>
        </is>
      </c>
      <c r="C3081" s="1" t="n">
        <v>37.2058050464</v>
      </c>
      <c r="D3081" s="1" t="n">
        <v>-7.03083514291</v>
      </c>
      <c r="E3081" s="3" t="n">
        <v>2</v>
      </c>
      <c r="F3081" s="2" t="n">
        <v>3</v>
      </c>
      <c r="G3081" s="4" t="n">
        <v>3</v>
      </c>
      <c r="H3081" s="13" t="n"/>
      <c r="I3081" s="15" t="n"/>
      <c r="J3081" s="19" t="n">
        <v>3</v>
      </c>
      <c r="K3081" s="2" t="inlineStr">
        <is>
          <t>marker_201_962569.png</t>
        </is>
      </c>
      <c r="L3081" s="11">
        <f>HYPERLINK("3\1\" &amp; K3081, "Ver Imagen")</f>
        <v/>
      </c>
      <c r="M3081" t="inlineStr">
        <is>
          <t>Moda</t>
        </is>
      </c>
    </row>
    <row r="3082">
      <c r="A3082" t="n">
        <v>3082</v>
      </c>
      <c r="B3082" t="inlineStr">
        <is>
          <t>A-5052__394</t>
        </is>
      </c>
      <c r="C3082" s="1" t="n">
        <v>37.2053690574</v>
      </c>
      <c r="D3082" s="1" t="n">
        <v>-7.02969516812</v>
      </c>
      <c r="E3082" s="3" t="n">
        <v>3</v>
      </c>
      <c r="F3082" s="2" t="n">
        <v>3</v>
      </c>
      <c r="G3082" s="4" t="n">
        <v>4</v>
      </c>
      <c r="H3082" s="13" t="n"/>
      <c r="I3082" s="15" t="n"/>
      <c r="J3082" s="19" t="n">
        <v>3</v>
      </c>
      <c r="K3082" s="2" t="inlineStr">
        <is>
          <t>marker_996_962613.png</t>
        </is>
      </c>
      <c r="L3082" s="11">
        <f>HYPERLINK("3\1\" &amp; K3082, "Ver Imagen")</f>
        <v/>
      </c>
      <c r="M3082" t="inlineStr">
        <is>
          <t>Moda</t>
        </is>
      </c>
    </row>
    <row r="3083">
      <c r="A3083" t="n">
        <v>3083</v>
      </c>
      <c r="B3083" t="inlineStr">
        <is>
          <t>A-5052__407</t>
        </is>
      </c>
      <c r="C3083" s="1" t="n">
        <v>37.2042142158</v>
      </c>
      <c r="D3083" s="1" t="n">
        <v>-7.02681799399</v>
      </c>
      <c r="E3083" s="3" t="n">
        <v>3</v>
      </c>
      <c r="F3083" s="2" t="n">
        <v>3</v>
      </c>
      <c r="G3083" s="4" t="n">
        <v>4</v>
      </c>
      <c r="H3083" s="13" t="n"/>
      <c r="I3083" s="15" t="n"/>
      <c r="J3083" s="19" t="n">
        <v>3</v>
      </c>
      <c r="K3083" s="2" t="inlineStr">
        <is>
          <t>marker_558_962746.png</t>
        </is>
      </c>
      <c r="L3083" s="11">
        <f>HYPERLINK("3\1\" &amp; K3083, "Ver Imagen")</f>
        <v/>
      </c>
      <c r="M3083" t="inlineStr">
        <is>
          <t>Moda</t>
        </is>
      </c>
    </row>
    <row r="3084">
      <c r="A3084" t="n">
        <v>3084</v>
      </c>
      <c r="B3084" t="inlineStr">
        <is>
          <t>A-5052__471</t>
        </is>
      </c>
      <c r="C3084" s="1" t="n">
        <v>37.198648448</v>
      </c>
      <c r="D3084" s="1" t="n">
        <v>-7.01218449888</v>
      </c>
      <c r="E3084" s="3" t="n">
        <v>2</v>
      </c>
      <c r="F3084" s="2" t="n">
        <v>3</v>
      </c>
      <c r="G3084" s="4" t="n">
        <v>3</v>
      </c>
      <c r="H3084" s="13" t="n"/>
      <c r="I3084" s="15" t="n"/>
      <c r="J3084" s="19" t="n">
        <v>3</v>
      </c>
      <c r="K3084" s="2" t="inlineStr">
        <is>
          <t>marker_398_963398.png</t>
        </is>
      </c>
      <c r="L3084" s="11">
        <f>HYPERLINK("3\1\" &amp; K3084, "Ver Imagen")</f>
        <v/>
      </c>
      <c r="M3084" t="inlineStr">
        <is>
          <t>Moda</t>
        </is>
      </c>
    </row>
    <row r="3085">
      <c r="A3085" t="n">
        <v>3085</v>
      </c>
      <c r="B3085" t="inlineStr">
        <is>
          <t>A-5052__478</t>
        </is>
      </c>
      <c r="C3085" s="1" t="n">
        <v>37.1980165651</v>
      </c>
      <c r="D3085" s="1" t="n">
        <v>-7.01055230626</v>
      </c>
      <c r="E3085" s="3" t="n">
        <v>2</v>
      </c>
      <c r="F3085" s="2" t="n">
        <v>3</v>
      </c>
      <c r="G3085" s="4" t="n">
        <v>3</v>
      </c>
      <c r="H3085" s="13" t="n"/>
      <c r="I3085" s="15" t="n"/>
      <c r="J3085" s="19" t="n">
        <v>3</v>
      </c>
      <c r="K3085" s="2" t="inlineStr">
        <is>
          <t>marker_921_963468.png</t>
        </is>
      </c>
      <c r="L3085" s="11">
        <f>HYPERLINK("3\1\" &amp; K3085, "Ver Imagen")</f>
        <v/>
      </c>
      <c r="M3085" t="inlineStr">
        <is>
          <t>Moda</t>
        </is>
      </c>
    </row>
    <row r="3086">
      <c r="A3086" t="n">
        <v>3086</v>
      </c>
      <c r="B3086" t="inlineStr">
        <is>
          <t>A-5052__498</t>
        </is>
      </c>
      <c r="C3086" s="1" t="n">
        <v>37.1969971821</v>
      </c>
      <c r="D3086" s="1" t="n">
        <v>-7.0057559185</v>
      </c>
      <c r="E3086" s="3" t="n">
        <v>2</v>
      </c>
      <c r="F3086" s="2" t="n">
        <v>3</v>
      </c>
      <c r="G3086" s="4" t="n">
        <v>3</v>
      </c>
      <c r="H3086" s="13" t="n"/>
      <c r="I3086" s="15" t="n"/>
      <c r="J3086" s="19" t="n">
        <v>3</v>
      </c>
      <c r="K3086" s="2" t="inlineStr">
        <is>
          <t>marker_766_963659.png</t>
        </is>
      </c>
      <c r="L3086" s="11">
        <f>HYPERLINK("3\1\" &amp; K3086, "Ver Imagen")</f>
        <v/>
      </c>
      <c r="M3086" t="inlineStr">
        <is>
          <t>Moda</t>
        </is>
      </c>
    </row>
    <row r="3087">
      <c r="A3087" t="n">
        <v>3087</v>
      </c>
      <c r="B3087" t="inlineStr">
        <is>
          <t>A-5052__500</t>
        </is>
      </c>
      <c r="C3087" s="1" t="n">
        <v>37.1968632985</v>
      </c>
      <c r="D3087" s="1" t="n">
        <v>-7.00526964712</v>
      </c>
      <c r="E3087" s="3" t="n">
        <v>2</v>
      </c>
      <c r="F3087" s="2" t="n">
        <v>3</v>
      </c>
      <c r="G3087" s="4" t="n">
        <v>3</v>
      </c>
      <c r="H3087" s="13" t="n"/>
      <c r="I3087" s="15" t="n"/>
      <c r="J3087" s="19" t="n">
        <v>3</v>
      </c>
      <c r="K3087" s="2" t="inlineStr">
        <is>
          <t>marker_324_963680.png</t>
        </is>
      </c>
      <c r="L3087" s="11">
        <f>HYPERLINK("3\1\" &amp; K3087, "Ver Imagen")</f>
        <v/>
      </c>
      <c r="M3087" t="inlineStr">
        <is>
          <t>Moda</t>
        </is>
      </c>
    </row>
    <row r="3088">
      <c r="A3088" t="n">
        <v>3088</v>
      </c>
      <c r="B3088" t="inlineStr">
        <is>
          <t>A-5053__373</t>
        </is>
      </c>
      <c r="C3088" s="1" t="n">
        <v>37.2870499166</v>
      </c>
      <c r="D3088" s="1" t="n">
        <v>-7.14126383887</v>
      </c>
      <c r="E3088" s="3" t="n">
        <v>2</v>
      </c>
      <c r="F3088" s="2" t="n">
        <v>3</v>
      </c>
      <c r="G3088" s="4" t="n">
        <v>3</v>
      </c>
      <c r="H3088" s="13" t="n"/>
      <c r="I3088" s="15" t="n"/>
      <c r="J3088" s="19" t="n">
        <v>3</v>
      </c>
      <c r="K3088" s="2" t="inlineStr">
        <is>
          <t>marker_889_963927.png</t>
        </is>
      </c>
      <c r="L3088" s="11">
        <f>HYPERLINK("3\1\" &amp; K3088, "Ver Imagen")</f>
        <v/>
      </c>
      <c r="M3088" t="inlineStr">
        <is>
          <t>Moda</t>
        </is>
      </c>
    </row>
    <row r="3089">
      <c r="A3089" t="n">
        <v>3089</v>
      </c>
      <c r="B3089" t="inlineStr">
        <is>
          <t>A-5053__371</t>
        </is>
      </c>
      <c r="C3089" s="1" t="n">
        <v>37.2866635646</v>
      </c>
      <c r="D3089" s="1" t="n">
        <v>-7.1414057224</v>
      </c>
      <c r="E3089" s="3" t="n">
        <v>2</v>
      </c>
      <c r="F3089" s="2" t="n">
        <v>3</v>
      </c>
      <c r="G3089" s="4" t="n">
        <v>3</v>
      </c>
      <c r="H3089" s="13" t="n"/>
      <c r="I3089" s="15" t="n"/>
      <c r="J3089" s="19" t="n">
        <v>3</v>
      </c>
      <c r="K3089" s="2" t="inlineStr">
        <is>
          <t>marker_514_963948.png</t>
        </is>
      </c>
      <c r="L3089" s="11">
        <f>HYPERLINK("3\1\" &amp; K3089, "Ver Imagen")</f>
        <v/>
      </c>
      <c r="M3089" t="inlineStr">
        <is>
          <t>Moda</t>
        </is>
      </c>
    </row>
    <row r="3090">
      <c r="A3090" t="n">
        <v>3090</v>
      </c>
      <c r="B3090" t="inlineStr">
        <is>
          <t>A-5053__339</t>
        </is>
      </c>
      <c r="C3090" s="1" t="n">
        <v>37.2809809671</v>
      </c>
      <c r="D3090" s="1" t="n">
        <v>-7.14489269363</v>
      </c>
      <c r="E3090" s="3" t="n">
        <v>2</v>
      </c>
      <c r="F3090" s="2" t="n">
        <v>3</v>
      </c>
      <c r="G3090" s="4" t="n">
        <v>3</v>
      </c>
      <c r="H3090" s="13" t="n"/>
      <c r="I3090" s="15" t="n"/>
      <c r="J3090" s="19" t="n">
        <v>3</v>
      </c>
      <c r="K3090" s="2" t="inlineStr">
        <is>
          <t>marker_534_964361.png</t>
        </is>
      </c>
      <c r="L3090" s="11">
        <f>HYPERLINK("3\1\" &amp; K3090, "Ver Imagen")</f>
        <v/>
      </c>
      <c r="M3090" t="inlineStr">
        <is>
          <t>Moda</t>
        </is>
      </c>
    </row>
    <row r="3091">
      <c r="A3091" t="n">
        <v>3091</v>
      </c>
      <c r="B3091" t="inlineStr">
        <is>
          <t>A-5053__338</t>
        </is>
      </c>
      <c r="C3091" s="1" t="n">
        <v>37.2808215709</v>
      </c>
      <c r="D3091" s="1" t="n">
        <v>-7.14500117239</v>
      </c>
      <c r="E3091" s="3" t="n">
        <v>2</v>
      </c>
      <c r="F3091" s="2" t="n">
        <v>3</v>
      </c>
      <c r="G3091" s="4" t="n">
        <v>3</v>
      </c>
      <c r="H3091" s="13" t="n"/>
      <c r="I3091" s="15" t="n"/>
      <c r="J3091" s="19" t="n">
        <v>3</v>
      </c>
      <c r="K3091" s="2" t="inlineStr">
        <is>
          <t>marker_303_964369.png</t>
        </is>
      </c>
      <c r="L3091" s="11">
        <f>HYPERLINK("3\1\" &amp; K3091, "Ver Imagen")</f>
        <v/>
      </c>
      <c r="M3091" t="inlineStr">
        <is>
          <t>Moda</t>
        </is>
      </c>
    </row>
    <row r="3092">
      <c r="A3092" t="n">
        <v>3092</v>
      </c>
      <c r="B3092" t="inlineStr">
        <is>
          <t>A-5053__337</t>
        </is>
      </c>
      <c r="C3092" s="1" t="n">
        <v>37.2806402081</v>
      </c>
      <c r="D3092" s="1" t="n">
        <v>-7.14512944965</v>
      </c>
      <c r="E3092" s="3" t="n">
        <v>2</v>
      </c>
      <c r="F3092" s="2" t="n">
        <v>3</v>
      </c>
      <c r="G3092" s="4" t="n">
        <v>3</v>
      </c>
      <c r="H3092" s="13" t="n"/>
      <c r="I3092" s="15" t="n"/>
      <c r="J3092" s="19" t="n">
        <v>3</v>
      </c>
      <c r="K3092" s="2" t="inlineStr">
        <is>
          <t>marker_862_964378.png</t>
        </is>
      </c>
      <c r="L3092" s="11">
        <f>HYPERLINK("3\1\" &amp; K3092, "Ver Imagen")</f>
        <v/>
      </c>
      <c r="M3092" t="inlineStr">
        <is>
          <t>Moda</t>
        </is>
      </c>
    </row>
    <row r="3093">
      <c r="A3093" t="n">
        <v>3093</v>
      </c>
      <c r="B3093" t="inlineStr">
        <is>
          <t>A-5053__336</t>
        </is>
      </c>
      <c r="C3093" s="1" t="n">
        <v>37.280480312</v>
      </c>
      <c r="D3093" s="1" t="n">
        <v>-7.14524594706</v>
      </c>
      <c r="E3093" s="3" t="n">
        <v>2</v>
      </c>
      <c r="F3093" s="2" t="n">
        <v>3</v>
      </c>
      <c r="G3093" s="4" t="n">
        <v>3</v>
      </c>
      <c r="H3093" s="13" t="n"/>
      <c r="I3093" s="15" t="n"/>
      <c r="J3093" s="19" t="n">
        <v>3</v>
      </c>
      <c r="K3093" s="2" t="inlineStr">
        <is>
          <t>marker_769_964389.png</t>
        </is>
      </c>
      <c r="L3093" s="11">
        <f>HYPERLINK("3\1\" &amp; K3093, "Ver Imagen")</f>
        <v/>
      </c>
      <c r="M3093" t="inlineStr">
        <is>
          <t>Moda</t>
        </is>
      </c>
    </row>
    <row r="3094">
      <c r="A3094" t="n">
        <v>3094</v>
      </c>
      <c r="B3094" t="inlineStr">
        <is>
          <t>A-5053__335</t>
        </is>
      </c>
      <c r="C3094" s="1" t="n">
        <v>37.2803027817</v>
      </c>
      <c r="D3094" s="1" t="n">
        <v>-7.14539073864</v>
      </c>
      <c r="E3094" s="3" t="n">
        <v>2</v>
      </c>
      <c r="F3094" s="2" t="n">
        <v>3</v>
      </c>
      <c r="G3094" s="4" t="n">
        <v>3</v>
      </c>
      <c r="H3094" s="13" t="n"/>
      <c r="I3094" s="15" t="n"/>
      <c r="J3094" s="19" t="n">
        <v>3</v>
      </c>
      <c r="K3094" s="2" t="inlineStr">
        <is>
          <t>marker_801_964400.png</t>
        </is>
      </c>
      <c r="L3094" s="11">
        <f>HYPERLINK("3\1\" &amp; K3094, "Ver Imagen")</f>
        <v/>
      </c>
      <c r="M3094" t="inlineStr">
        <is>
          <t>Moda</t>
        </is>
      </c>
    </row>
    <row r="3095">
      <c r="A3095" t="n">
        <v>3095</v>
      </c>
      <c r="B3095" t="inlineStr">
        <is>
          <t>A-5053__333</t>
        </is>
      </c>
      <c r="C3095" s="1" t="n">
        <v>37.2800585105</v>
      </c>
      <c r="D3095" s="1" t="n">
        <v>-7.14582132944</v>
      </c>
      <c r="E3095" s="3" t="n">
        <v>2</v>
      </c>
      <c r="F3095" s="2" t="n">
        <v>3</v>
      </c>
      <c r="G3095" s="4" t="n">
        <v>3</v>
      </c>
      <c r="H3095" s="13" t="n"/>
      <c r="I3095" s="15" t="n"/>
      <c r="J3095" s="19" t="n">
        <v>3</v>
      </c>
      <c r="K3095" s="2" t="inlineStr">
        <is>
          <t>marker_111_964425.png</t>
        </is>
      </c>
      <c r="L3095" s="11">
        <f>HYPERLINK("3\1\" &amp; K3095, "Ver Imagen")</f>
        <v/>
      </c>
      <c r="M3095" t="inlineStr">
        <is>
          <t>Moda</t>
        </is>
      </c>
    </row>
    <row r="3096">
      <c r="A3096" t="n">
        <v>3096</v>
      </c>
      <c r="B3096" t="inlineStr">
        <is>
          <t>A-5053__314</t>
        </is>
      </c>
      <c r="C3096" s="1" t="n">
        <v>37.2769834893</v>
      </c>
      <c r="D3096" s="1" t="n">
        <v>-7.14323621351</v>
      </c>
      <c r="E3096" s="3" t="n">
        <v>2</v>
      </c>
      <c r="F3096" s="2" t="n">
        <v>3</v>
      </c>
      <c r="G3096" s="4" t="n">
        <v>3</v>
      </c>
      <c r="H3096" s="13" t="n"/>
      <c r="I3096" s="15" t="n"/>
      <c r="J3096" s="19" t="n">
        <v>3</v>
      </c>
      <c r="K3096" s="2" t="inlineStr">
        <is>
          <t>marker_946_964635.png</t>
        </is>
      </c>
      <c r="L3096" s="11">
        <f>HYPERLINK("3\1\" &amp; K3096, "Ver Imagen")</f>
        <v/>
      </c>
      <c r="M3096" t="inlineStr">
        <is>
          <t>Moda</t>
        </is>
      </c>
    </row>
    <row r="3097">
      <c r="A3097" t="n">
        <v>3097</v>
      </c>
      <c r="B3097" t="inlineStr">
        <is>
          <t>A-5053__293</t>
        </is>
      </c>
      <c r="C3097" s="1" t="n">
        <v>37.2729496145</v>
      </c>
      <c r="D3097" s="1" t="n">
        <v>-7.14175350119</v>
      </c>
      <c r="E3097" s="3" t="n">
        <v>3</v>
      </c>
      <c r="F3097" s="2" t="n">
        <v>3</v>
      </c>
      <c r="G3097" s="4" t="n">
        <v>4</v>
      </c>
      <c r="H3097" s="13" t="n"/>
      <c r="I3097" s="15" t="n"/>
      <c r="J3097" s="19" t="n">
        <v>3</v>
      </c>
      <c r="K3097" s="2" t="inlineStr">
        <is>
          <t>marker_279_964931.png</t>
        </is>
      </c>
      <c r="L3097" s="11">
        <f>HYPERLINK("3\1\" &amp; K3097, "Ver Imagen")</f>
        <v/>
      </c>
      <c r="M3097" t="inlineStr">
        <is>
          <t>Moda</t>
        </is>
      </c>
    </row>
    <row r="3098">
      <c r="A3098" t="n">
        <v>3098</v>
      </c>
      <c r="B3098" t="inlineStr">
        <is>
          <t>A-5053__290</t>
        </is>
      </c>
      <c r="C3098" s="1" t="n">
        <v>37.272390383</v>
      </c>
      <c r="D3098" s="1" t="n">
        <v>-7.14143623308</v>
      </c>
      <c r="E3098" s="3" t="n">
        <v>2</v>
      </c>
      <c r="F3098" s="2" t="n">
        <v>3</v>
      </c>
      <c r="G3098" s="4" t="n">
        <v>3</v>
      </c>
      <c r="H3098" s="13" t="n"/>
      <c r="I3098" s="15" t="n"/>
      <c r="J3098" s="19" t="n">
        <v>3</v>
      </c>
      <c r="K3098" s="2" t="inlineStr">
        <is>
          <t>marker_891_964958.png</t>
        </is>
      </c>
      <c r="L3098" s="11">
        <f>HYPERLINK("3\1\" &amp; K3098, "Ver Imagen")</f>
        <v/>
      </c>
      <c r="M3098" t="inlineStr">
        <is>
          <t>Moda</t>
        </is>
      </c>
    </row>
    <row r="3099">
      <c r="A3099" t="n">
        <v>3099</v>
      </c>
      <c r="B3099" t="inlineStr">
        <is>
          <t>A-5053__282</t>
        </is>
      </c>
      <c r="C3099" s="1" t="n">
        <v>37.271022609</v>
      </c>
      <c r="D3099" s="1" t="n">
        <v>-7.1403230349</v>
      </c>
      <c r="E3099" s="3" t="n">
        <v>4</v>
      </c>
      <c r="F3099" s="2" t="n">
        <v>3</v>
      </c>
      <c r="G3099" s="4" t="n">
        <v>3</v>
      </c>
      <c r="H3099" s="13" t="n"/>
      <c r="I3099" s="15" t="n"/>
      <c r="J3099" s="19" t="n">
        <v>3</v>
      </c>
      <c r="K3099" s="2" t="inlineStr">
        <is>
          <t>marker_641_965041.png</t>
        </is>
      </c>
      <c r="L3099" s="11">
        <f>HYPERLINK("3\1\" &amp; K3099, "Ver Imagen")</f>
        <v/>
      </c>
      <c r="M3099" t="inlineStr">
        <is>
          <t>Moda</t>
        </is>
      </c>
    </row>
    <row r="3100">
      <c r="A3100" t="n">
        <v>3100</v>
      </c>
      <c r="B3100" t="inlineStr">
        <is>
          <t>A-5053__274</t>
        </is>
      </c>
      <c r="C3100" s="1" t="n">
        <v>37.2696357568</v>
      </c>
      <c r="D3100" s="1" t="n">
        <v>-7.13929678927</v>
      </c>
      <c r="E3100" s="3" t="n">
        <v>3</v>
      </c>
      <c r="F3100" s="2" t="n">
        <v>3</v>
      </c>
      <c r="G3100" s="4" t="n">
        <v>4</v>
      </c>
      <c r="H3100" s="13" t="n"/>
      <c r="I3100" s="15" t="n"/>
      <c r="J3100" s="19" t="n">
        <v>3</v>
      </c>
      <c r="K3100" s="2" t="inlineStr">
        <is>
          <t>marker_959_965113.png</t>
        </is>
      </c>
      <c r="L3100" s="11">
        <f>HYPERLINK("3\1\" &amp; K3100, "Ver Imagen")</f>
        <v/>
      </c>
      <c r="M3100" t="inlineStr">
        <is>
          <t>Moda</t>
        </is>
      </c>
    </row>
    <row r="3101">
      <c r="A3101" t="n">
        <v>3101</v>
      </c>
      <c r="B3101" t="inlineStr">
        <is>
          <t>A-5053__272</t>
        </is>
      </c>
      <c r="C3101" s="1" t="n">
        <v>37.2693329205</v>
      </c>
      <c r="D3101" s="1" t="n">
        <v>-7.13896426684</v>
      </c>
      <c r="E3101" s="3" t="n">
        <v>3</v>
      </c>
      <c r="F3101" s="2" t="n">
        <v>3</v>
      </c>
      <c r="G3101" s="4" t="n">
        <v>4</v>
      </c>
      <c r="H3101" s="13" t="n"/>
      <c r="I3101" s="15" t="n"/>
      <c r="J3101" s="19" t="n">
        <v>3</v>
      </c>
      <c r="K3101" s="2" t="inlineStr">
        <is>
          <t>marker_278_965131.png</t>
        </is>
      </c>
      <c r="L3101" s="11">
        <f>HYPERLINK("3\1\" &amp; K3101, "Ver Imagen")</f>
        <v/>
      </c>
      <c r="M3101" t="inlineStr">
        <is>
          <t>Moda</t>
        </is>
      </c>
    </row>
    <row r="3102">
      <c r="A3102" t="n">
        <v>3102</v>
      </c>
      <c r="B3102" t="inlineStr">
        <is>
          <t>A-5053__258</t>
        </is>
      </c>
      <c r="C3102" s="1" t="n">
        <v>37.2682694897</v>
      </c>
      <c r="D3102" s="1" t="n">
        <v>-7.13572552104</v>
      </c>
      <c r="E3102" s="3" t="n">
        <v>3</v>
      </c>
      <c r="F3102" s="2" t="n">
        <v>3</v>
      </c>
      <c r="G3102" s="4" t="n">
        <v>4</v>
      </c>
      <c r="H3102" s="13" t="n"/>
      <c r="I3102" s="15" t="n"/>
      <c r="J3102" s="19" t="n">
        <v>3</v>
      </c>
      <c r="K3102" s="2" t="inlineStr">
        <is>
          <t>marker_564_965276.png</t>
        </is>
      </c>
      <c r="L3102" s="11">
        <f>HYPERLINK("3\1\" &amp; K3102, "Ver Imagen")</f>
        <v/>
      </c>
      <c r="M3102" t="inlineStr">
        <is>
          <t>Moda</t>
        </is>
      </c>
    </row>
    <row r="3103">
      <c r="A3103" t="n">
        <v>3103</v>
      </c>
      <c r="B3103" t="inlineStr">
        <is>
          <t>A-5053__247</t>
        </is>
      </c>
      <c r="C3103" s="1" t="n">
        <v>37.266993255</v>
      </c>
      <c r="D3103" s="1" t="n">
        <v>-7.13351927685</v>
      </c>
      <c r="E3103" s="3" t="n">
        <v>4</v>
      </c>
      <c r="F3103" s="2" t="n">
        <v>3</v>
      </c>
      <c r="G3103" s="4" t="n">
        <v>3</v>
      </c>
      <c r="H3103" s="13" t="n"/>
      <c r="I3103" s="15" t="n"/>
      <c r="J3103" s="19" t="n">
        <v>3</v>
      </c>
      <c r="K3103" s="2" t="inlineStr">
        <is>
          <t>marker_825_965438.png</t>
        </is>
      </c>
      <c r="L3103" s="11">
        <f>HYPERLINK("3\1\" &amp; K3103, "Ver Imagen")</f>
        <v/>
      </c>
      <c r="M3103" t="inlineStr">
        <is>
          <t>Moda</t>
        </is>
      </c>
    </row>
    <row r="3104">
      <c r="A3104" t="n">
        <v>3104</v>
      </c>
      <c r="B3104" t="inlineStr">
        <is>
          <t>A-5053__244</t>
        </is>
      </c>
      <c r="C3104" s="1" t="n">
        <v>37.2664975306</v>
      </c>
      <c r="D3104" s="1" t="n">
        <v>-7.13317030491</v>
      </c>
      <c r="E3104" s="3" t="n">
        <v>4</v>
      </c>
      <c r="F3104" s="2" t="n">
        <v>3</v>
      </c>
      <c r="G3104" s="4" t="n">
        <v>3</v>
      </c>
      <c r="H3104" s="13" t="n"/>
      <c r="I3104" s="15" t="n"/>
      <c r="J3104" s="19" t="n">
        <v>3</v>
      </c>
      <c r="K3104" s="2" t="inlineStr">
        <is>
          <t>marker_949_965463.png</t>
        </is>
      </c>
      <c r="L3104" s="11">
        <f>HYPERLINK("3\1\" &amp; K3104, "Ver Imagen")</f>
        <v/>
      </c>
      <c r="M3104" t="inlineStr">
        <is>
          <t>Moda</t>
        </is>
      </c>
    </row>
    <row r="3105">
      <c r="A3105" t="n">
        <v>3105</v>
      </c>
      <c r="B3105" t="inlineStr">
        <is>
          <t>A-5053__230</t>
        </is>
      </c>
      <c r="C3105" s="1" t="n">
        <v>37.263939162</v>
      </c>
      <c r="D3105" s="1" t="n">
        <v>-7.13156148946</v>
      </c>
      <c r="E3105" s="3" t="n">
        <v>4</v>
      </c>
      <c r="F3105" s="2" t="n">
        <v>3</v>
      </c>
      <c r="G3105" s="4" t="n">
        <v>3</v>
      </c>
      <c r="H3105" s="13" t="n"/>
      <c r="I3105" s="15" t="n"/>
      <c r="J3105" s="19" t="n">
        <v>3</v>
      </c>
      <c r="K3105" s="2" t="inlineStr">
        <is>
          <t>marker_563_965595.png</t>
        </is>
      </c>
      <c r="L3105" s="11">
        <f>HYPERLINK("3\1\" &amp; K3105, "Ver Imagen")</f>
        <v/>
      </c>
      <c r="M3105" t="inlineStr">
        <is>
          <t>Moda</t>
        </is>
      </c>
    </row>
    <row r="3106">
      <c r="A3106" t="n">
        <v>3106</v>
      </c>
      <c r="B3106" t="inlineStr">
        <is>
          <t>A-5053__224</t>
        </is>
      </c>
      <c r="C3106" s="1" t="n">
        <v>37.262848672</v>
      </c>
      <c r="D3106" s="1" t="n">
        <v>-7.13087001197</v>
      </c>
      <c r="E3106" s="3" t="n">
        <v>4</v>
      </c>
      <c r="F3106" s="2" t="n">
        <v>3</v>
      </c>
      <c r="G3106" s="4" t="n">
        <v>3</v>
      </c>
      <c r="H3106" s="13" t="n"/>
      <c r="I3106" s="15" t="n"/>
      <c r="J3106" s="19" t="n">
        <v>3</v>
      </c>
      <c r="K3106" s="2" t="inlineStr">
        <is>
          <t>marker_380_965654.png</t>
        </is>
      </c>
      <c r="L3106" s="11">
        <f>HYPERLINK("3\1\" &amp; K3106, "Ver Imagen")</f>
        <v/>
      </c>
      <c r="M3106" t="inlineStr">
        <is>
          <t>Moda</t>
        </is>
      </c>
    </row>
    <row r="3107">
      <c r="A3107" t="n">
        <v>3107</v>
      </c>
      <c r="B3107" t="inlineStr">
        <is>
          <t>A-5053__222</t>
        </is>
      </c>
      <c r="C3107" s="1" t="n">
        <v>37.2624871621</v>
      </c>
      <c r="D3107" s="1" t="n">
        <v>-7.13064738978</v>
      </c>
      <c r="E3107" s="3" t="n">
        <v>4</v>
      </c>
      <c r="F3107" s="2" t="n">
        <v>3</v>
      </c>
      <c r="G3107" s="4" t="n">
        <v>3</v>
      </c>
      <c r="H3107" s="13" t="n"/>
      <c r="I3107" s="15" t="n"/>
      <c r="J3107" s="19" t="n">
        <v>3</v>
      </c>
      <c r="K3107" s="2" t="inlineStr">
        <is>
          <t>marker_816_965671.png</t>
        </is>
      </c>
      <c r="L3107" s="11">
        <f>HYPERLINK("3\1\" &amp; K3107, "Ver Imagen")</f>
        <v/>
      </c>
      <c r="M3107" t="inlineStr">
        <is>
          <t>Moda</t>
        </is>
      </c>
    </row>
    <row r="3108">
      <c r="A3108" t="n">
        <v>3108</v>
      </c>
      <c r="B3108" t="inlineStr">
        <is>
          <t>A-5053__219</t>
        </is>
      </c>
      <c r="C3108" s="1" t="n">
        <v>37.2619707952</v>
      </c>
      <c r="D3108" s="1" t="n">
        <v>-7.13032375334</v>
      </c>
      <c r="E3108" s="3" t="n">
        <v>3</v>
      </c>
      <c r="F3108" s="2" t="n">
        <v>3</v>
      </c>
      <c r="G3108" s="4" t="n">
        <v>4</v>
      </c>
      <c r="H3108" s="13" t="n"/>
      <c r="I3108" s="15" t="n"/>
      <c r="J3108" s="19" t="n">
        <v>3</v>
      </c>
      <c r="K3108" s="2" t="inlineStr">
        <is>
          <t>marker_466_965698.png</t>
        </is>
      </c>
      <c r="L3108" s="11">
        <f>HYPERLINK("3\1\" &amp; K3108, "Ver Imagen")</f>
        <v/>
      </c>
      <c r="M3108" t="inlineStr">
        <is>
          <t>Moda</t>
        </is>
      </c>
    </row>
    <row r="3109">
      <c r="A3109" t="n">
        <v>3109</v>
      </c>
      <c r="B3109" t="inlineStr">
        <is>
          <t>A-5053__124</t>
        </is>
      </c>
      <c r="C3109" s="1" t="n">
        <v>37.2434648569</v>
      </c>
      <c r="D3109" s="1" t="n">
        <v>-7.12824492085</v>
      </c>
      <c r="E3109" s="3" t="n">
        <v>2</v>
      </c>
      <c r="F3109" s="2" t="n">
        <v>3</v>
      </c>
      <c r="G3109" s="4" t="n">
        <v>3</v>
      </c>
      <c r="H3109" s="13" t="n"/>
      <c r="I3109" s="15" t="n"/>
      <c r="J3109" s="19" t="n">
        <v>3</v>
      </c>
      <c r="K3109" s="2" t="inlineStr">
        <is>
          <t>marker_757_019551.png</t>
        </is>
      </c>
      <c r="L3109" s="11">
        <f>HYPERLINK("3\1\" &amp; K3109, "Ver Imagen")</f>
        <v/>
      </c>
      <c r="M3109" t="inlineStr">
        <is>
          <t>Moda</t>
        </is>
      </c>
    </row>
    <row r="3110">
      <c r="A3110" t="n">
        <v>3110</v>
      </c>
      <c r="B3110" t="inlineStr">
        <is>
          <t>A-5053__122</t>
        </is>
      </c>
      <c r="C3110" s="1" t="n">
        <v>37.2430778459</v>
      </c>
      <c r="D3110" s="1" t="n">
        <v>-7.12830369956</v>
      </c>
      <c r="E3110" s="3" t="n">
        <v>2</v>
      </c>
      <c r="F3110" s="2" t="n">
        <v>3</v>
      </c>
      <c r="G3110" s="4" t="n">
        <v>3</v>
      </c>
      <c r="H3110" s="13" t="n"/>
      <c r="I3110" s="15" t="n"/>
      <c r="J3110" s="19" t="n">
        <v>3</v>
      </c>
      <c r="K3110" s="2" t="inlineStr">
        <is>
          <t>marker_149_019570.png</t>
        </is>
      </c>
      <c r="L3110" s="11">
        <f>HYPERLINK("3\1\" &amp; K3110, "Ver Imagen")</f>
        <v/>
      </c>
      <c r="M3110" t="inlineStr">
        <is>
          <t>Moda</t>
        </is>
      </c>
    </row>
    <row r="3111">
      <c r="A3111" t="n">
        <v>3111</v>
      </c>
      <c r="B3111" t="inlineStr">
        <is>
          <t>A-5053__112</t>
        </is>
      </c>
      <c r="C3111" s="1" t="n">
        <v>37.2410350624</v>
      </c>
      <c r="D3111" s="1" t="n">
        <v>-7.12858987476</v>
      </c>
      <c r="E3111" s="3" t="n">
        <v>2</v>
      </c>
      <c r="F3111" s="2" t="n">
        <v>3</v>
      </c>
      <c r="G3111" s="4" t="n">
        <v>3</v>
      </c>
      <c r="H3111" s="13" t="n"/>
      <c r="I3111" s="15" t="n"/>
      <c r="J3111" s="19" t="n">
        <v>3</v>
      </c>
      <c r="K3111" s="2" t="inlineStr">
        <is>
          <t>marker_189_019683.png</t>
        </is>
      </c>
      <c r="L3111" s="11">
        <f>HYPERLINK("3\1\" &amp; K3111, "Ver Imagen")</f>
        <v/>
      </c>
      <c r="M3111" t="inlineStr">
        <is>
          <t>Moda</t>
        </is>
      </c>
    </row>
    <row r="3112">
      <c r="A3112" t="n">
        <v>3112</v>
      </c>
      <c r="B3112" t="inlineStr">
        <is>
          <t>A-5053__111</t>
        </is>
      </c>
      <c r="C3112" s="1" t="n">
        <v>37.2408534832</v>
      </c>
      <c r="D3112" s="1" t="n">
        <v>-7.12860054509</v>
      </c>
      <c r="E3112" s="3" t="n">
        <v>2</v>
      </c>
      <c r="F3112" s="2" t="n">
        <v>3</v>
      </c>
      <c r="G3112" s="4" t="n">
        <v>3</v>
      </c>
      <c r="H3112" s="13" t="n"/>
      <c r="I3112" s="15" t="n"/>
      <c r="J3112" s="19" t="n">
        <v>3</v>
      </c>
      <c r="K3112" s="2" t="inlineStr">
        <is>
          <t>marker_823_019692.png</t>
        </is>
      </c>
      <c r="L3112" s="11">
        <f>HYPERLINK("3\1\" &amp; K3112, "Ver Imagen")</f>
        <v/>
      </c>
      <c r="M3112" t="inlineStr">
        <is>
          <t>Moda</t>
        </is>
      </c>
    </row>
    <row r="3113">
      <c r="A3113" t="n">
        <v>3113</v>
      </c>
      <c r="B3113" t="inlineStr">
        <is>
          <t>A-5053__105</t>
        </is>
      </c>
      <c r="C3113" s="1" t="n">
        <v>37.2396213686</v>
      </c>
      <c r="D3113" s="1" t="n">
        <v>-7.12853528498</v>
      </c>
      <c r="E3113" s="3" t="n">
        <v>2</v>
      </c>
      <c r="F3113" s="2" t="n">
        <v>3</v>
      </c>
      <c r="G3113" s="4" t="n">
        <v>3</v>
      </c>
      <c r="H3113" s="13" t="n"/>
      <c r="I3113" s="15" t="n"/>
      <c r="J3113" s="19" t="n">
        <v>3</v>
      </c>
      <c r="K3113" s="2" t="inlineStr">
        <is>
          <t>marker_574_019768.png</t>
        </is>
      </c>
      <c r="L3113" s="11">
        <f>HYPERLINK("3\1\" &amp; K3113, "Ver Imagen")</f>
        <v/>
      </c>
      <c r="M3113" t="inlineStr">
        <is>
          <t>Moda</t>
        </is>
      </c>
    </row>
    <row r="3114">
      <c r="A3114" t="n">
        <v>3114</v>
      </c>
      <c r="B3114" t="inlineStr">
        <is>
          <t>A-5053__97</t>
        </is>
      </c>
      <c r="C3114" s="1" t="n">
        <v>37.2380354298</v>
      </c>
      <c r="D3114" s="1" t="n">
        <v>-7.12837933139</v>
      </c>
      <c r="E3114" s="3" t="n">
        <v>2</v>
      </c>
      <c r="F3114" s="2" t="n">
        <v>3</v>
      </c>
      <c r="G3114" s="4" t="n">
        <v>3</v>
      </c>
      <c r="H3114" s="13" t="n"/>
      <c r="I3114" s="15" t="n"/>
      <c r="J3114" s="19" t="n">
        <v>3</v>
      </c>
      <c r="K3114" s="2" t="inlineStr">
        <is>
          <t>marker_637_019842.png</t>
        </is>
      </c>
      <c r="L3114" s="11">
        <f>HYPERLINK("3\1\" &amp; K3114, "Ver Imagen")</f>
        <v/>
      </c>
      <c r="M3114" t="inlineStr">
        <is>
          <t>Moda</t>
        </is>
      </c>
    </row>
    <row r="3115">
      <c r="A3115" t="n">
        <v>3115</v>
      </c>
      <c r="B3115" t="inlineStr">
        <is>
          <t>A-5053__96</t>
        </is>
      </c>
      <c r="C3115" s="1" t="n">
        <v>37.2378315227</v>
      </c>
      <c r="D3115" s="1" t="n">
        <v>-7.12835921787</v>
      </c>
      <c r="E3115" s="3" t="n">
        <v>2</v>
      </c>
      <c r="F3115" s="2" t="n">
        <v>3</v>
      </c>
      <c r="G3115" s="4" t="n">
        <v>3</v>
      </c>
      <c r="H3115" s="13" t="n"/>
      <c r="I3115" s="15" t="n"/>
      <c r="J3115" s="19" t="n">
        <v>3</v>
      </c>
      <c r="K3115" s="2" t="inlineStr">
        <is>
          <t>marker_617_019851.png</t>
        </is>
      </c>
      <c r="L3115" s="11">
        <f>HYPERLINK("3\1\" &amp; K3115, "Ver Imagen")</f>
        <v/>
      </c>
      <c r="M3115" t="inlineStr">
        <is>
          <t>Moda</t>
        </is>
      </c>
    </row>
    <row r="3116">
      <c r="A3116" t="n">
        <v>3116</v>
      </c>
      <c r="B3116" t="inlineStr">
        <is>
          <t>A-5053__63</t>
        </is>
      </c>
      <c r="C3116" s="1" t="n">
        <v>37.231266575</v>
      </c>
      <c r="D3116" s="1" t="n">
        <v>-7.12708034702</v>
      </c>
      <c r="E3116" s="3" t="n">
        <v>2</v>
      </c>
      <c r="F3116" s="2" t="n">
        <v>3</v>
      </c>
      <c r="G3116" s="4" t="n">
        <v>3</v>
      </c>
      <c r="H3116" s="13" t="n"/>
      <c r="I3116" s="15" t="n"/>
      <c r="J3116" s="19" t="n">
        <v>3</v>
      </c>
      <c r="K3116" s="2" t="inlineStr">
        <is>
          <t>marker_415_020772.png</t>
        </is>
      </c>
      <c r="L3116" s="11">
        <f>HYPERLINK("3\1\" &amp; K3116, "Ver Imagen")</f>
        <v/>
      </c>
      <c r="M3116" t="inlineStr">
        <is>
          <t>Moda</t>
        </is>
      </c>
    </row>
    <row r="3117">
      <c r="A3117" t="n">
        <v>3117</v>
      </c>
      <c r="B3117" t="inlineStr">
        <is>
          <t>A-5053__61</t>
        </is>
      </c>
      <c r="C3117" s="1" t="n">
        <v>37.2308339031</v>
      </c>
      <c r="D3117" s="1" t="n">
        <v>-7.127040557</v>
      </c>
      <c r="E3117" s="3" t="n">
        <v>2</v>
      </c>
      <c r="F3117" s="2" t="n">
        <v>3</v>
      </c>
      <c r="G3117" s="4" t="n">
        <v>3</v>
      </c>
      <c r="H3117" s="13" t="n"/>
      <c r="I3117" s="15" t="n"/>
      <c r="J3117" s="19" t="n">
        <v>3</v>
      </c>
      <c r="K3117" s="2" t="inlineStr">
        <is>
          <t>marker_512_020793.png</t>
        </is>
      </c>
      <c r="L3117" s="11">
        <f>HYPERLINK("3\1\" &amp; K3117, "Ver Imagen")</f>
        <v/>
      </c>
      <c r="M3117" t="inlineStr">
        <is>
          <t>Moda</t>
        </is>
      </c>
    </row>
    <row r="3118">
      <c r="A3118" t="n">
        <v>3118</v>
      </c>
      <c r="B3118" t="inlineStr">
        <is>
          <t>A-5053__60</t>
        </is>
      </c>
      <c r="C3118" s="1" t="n">
        <v>37.2306603258</v>
      </c>
      <c r="D3118" s="1" t="n">
        <v>-7.12702396603</v>
      </c>
      <c r="E3118" s="3" t="n">
        <v>2</v>
      </c>
      <c r="F3118" s="2" t="n">
        <v>3</v>
      </c>
      <c r="G3118" s="4" t="n">
        <v>3</v>
      </c>
      <c r="H3118" s="13" t="n"/>
      <c r="I3118" s="15" t="n"/>
      <c r="J3118" s="19" t="n">
        <v>3</v>
      </c>
      <c r="K3118" s="2" t="inlineStr">
        <is>
          <t>marker_436_020802.png</t>
        </is>
      </c>
      <c r="L3118" s="11">
        <f>HYPERLINK("3\1\" &amp; K3118, "Ver Imagen")</f>
        <v/>
      </c>
      <c r="M3118" t="inlineStr">
        <is>
          <t>Moda</t>
        </is>
      </c>
    </row>
    <row r="3119">
      <c r="A3119" t="n">
        <v>3119</v>
      </c>
      <c r="B3119" t="inlineStr">
        <is>
          <t>A-5053__59</t>
        </is>
      </c>
      <c r="C3119" s="1" t="n">
        <v>37.2304764606</v>
      </c>
      <c r="D3119" s="1" t="n">
        <v>-7.12700641609</v>
      </c>
      <c r="E3119" s="3" t="n">
        <v>2</v>
      </c>
      <c r="F3119" s="2" t="n">
        <v>3</v>
      </c>
      <c r="G3119" s="4" t="n">
        <v>3</v>
      </c>
      <c r="H3119" s="13" t="n"/>
      <c r="I3119" s="15" t="n"/>
      <c r="J3119" s="19" t="n">
        <v>3</v>
      </c>
      <c r="K3119" s="2" t="inlineStr">
        <is>
          <t>marker_165_020894.png</t>
        </is>
      </c>
      <c r="L3119" s="11">
        <f>HYPERLINK("3\1\" &amp; K3119, "Ver Imagen")</f>
        <v/>
      </c>
      <c r="M3119" t="inlineStr">
        <is>
          <t>Moda</t>
        </is>
      </c>
    </row>
    <row r="3120">
      <c r="A3120" t="n">
        <v>3120</v>
      </c>
      <c r="B3120" t="inlineStr">
        <is>
          <t>A-5053__53</t>
        </is>
      </c>
      <c r="C3120" s="1" t="n">
        <v>37.2292679477</v>
      </c>
      <c r="D3120" s="1" t="n">
        <v>-7.12689000758</v>
      </c>
      <c r="E3120" s="3" t="n">
        <v>2</v>
      </c>
      <c r="F3120" s="2" t="n">
        <v>3</v>
      </c>
      <c r="G3120" s="4" t="n">
        <v>3</v>
      </c>
      <c r="H3120" s="13" t="n"/>
      <c r="I3120" s="15" t="n"/>
      <c r="J3120" s="19" t="n">
        <v>3</v>
      </c>
      <c r="K3120" s="2" t="inlineStr">
        <is>
          <t>marker_255_020951.png</t>
        </is>
      </c>
      <c r="L3120" s="11">
        <f>HYPERLINK("3\1\" &amp; K3120, "Ver Imagen")</f>
        <v/>
      </c>
      <c r="M3120" t="inlineStr">
        <is>
          <t>Moda</t>
        </is>
      </c>
    </row>
    <row r="3121">
      <c r="A3121" t="n">
        <v>3121</v>
      </c>
      <c r="B3121" t="inlineStr">
        <is>
          <t>A-5053__52</t>
        </is>
      </c>
      <c r="C3121" s="1" t="n">
        <v>37.2290611294</v>
      </c>
      <c r="D3121" s="1" t="n">
        <v>-7.12686769714</v>
      </c>
      <c r="E3121" s="3" t="n">
        <v>2</v>
      </c>
      <c r="F3121" s="2" t="n">
        <v>3</v>
      </c>
      <c r="G3121" s="4" t="n">
        <v>3</v>
      </c>
      <c r="H3121" s="13" t="n"/>
      <c r="I3121" s="15" t="n"/>
      <c r="J3121" s="19" t="n">
        <v>3</v>
      </c>
      <c r="K3121" s="2" t="inlineStr">
        <is>
          <t>marker_626_020974.png</t>
        </is>
      </c>
      <c r="L3121" s="11">
        <f>HYPERLINK("3\1\" &amp; K3121, "Ver Imagen")</f>
        <v/>
      </c>
      <c r="M3121" t="inlineStr">
        <is>
          <t>Moda</t>
        </is>
      </c>
    </row>
    <row r="3122">
      <c r="A3122" t="n">
        <v>3122</v>
      </c>
      <c r="B3122" t="inlineStr">
        <is>
          <t>A-5053__51</t>
        </is>
      </c>
      <c r="C3122" s="1" t="n">
        <v>37.2288623223</v>
      </c>
      <c r="D3122" s="1" t="n">
        <v>-7.12684113919</v>
      </c>
      <c r="E3122" s="3" t="n">
        <v>2</v>
      </c>
      <c r="F3122" s="2" t="n">
        <v>3</v>
      </c>
      <c r="G3122" s="4" t="n">
        <v>3</v>
      </c>
      <c r="H3122" s="13" t="n"/>
      <c r="I3122" s="15" t="n"/>
      <c r="J3122" s="19" t="n">
        <v>3</v>
      </c>
      <c r="K3122" s="2" t="inlineStr">
        <is>
          <t>marker_207_020983.png</t>
        </is>
      </c>
      <c r="L3122" s="11">
        <f>HYPERLINK("3\1\" &amp; K3122, "Ver Imagen")</f>
        <v/>
      </c>
      <c r="M3122" t="inlineStr">
        <is>
          <t>Moda</t>
        </is>
      </c>
    </row>
    <row r="3123">
      <c r="A3123" t="n">
        <v>3123</v>
      </c>
      <c r="B3123" t="inlineStr">
        <is>
          <t>A-5053__50</t>
        </is>
      </c>
      <c r="C3123" s="1" t="n">
        <v>37.2286580786</v>
      </c>
      <c r="D3123" s="1" t="n">
        <v>-7.12680552112</v>
      </c>
      <c r="E3123" s="3" t="n">
        <v>3</v>
      </c>
      <c r="F3123" s="2" t="n">
        <v>3</v>
      </c>
      <c r="G3123" s="4" t="n">
        <v>4</v>
      </c>
      <c r="H3123" s="13" t="n"/>
      <c r="I3123" s="15" t="n"/>
      <c r="J3123" s="19" t="n">
        <v>3</v>
      </c>
      <c r="K3123" s="2" t="inlineStr">
        <is>
          <t>marker_287_020992.png</t>
        </is>
      </c>
      <c r="L3123" s="11">
        <f>HYPERLINK("3\1\" &amp; K3123, "Ver Imagen")</f>
        <v/>
      </c>
      <c r="M3123" t="inlineStr">
        <is>
          <t>Moda</t>
        </is>
      </c>
    </row>
    <row r="3124">
      <c r="A3124" t="n">
        <v>3124</v>
      </c>
      <c r="B3124" t="inlineStr">
        <is>
          <t>A-5053__48</t>
        </is>
      </c>
      <c r="C3124" s="1" t="n">
        <v>37.2282629998</v>
      </c>
      <c r="D3124" s="1" t="n">
        <v>-7.12673905964</v>
      </c>
      <c r="E3124" s="3" t="n">
        <v>4</v>
      </c>
      <c r="F3124" s="2" t="n">
        <v>3</v>
      </c>
      <c r="G3124" s="4" t="n">
        <v>3</v>
      </c>
      <c r="H3124" s="13" t="n"/>
      <c r="I3124" s="15" t="n"/>
      <c r="J3124" s="19" t="n">
        <v>3</v>
      </c>
      <c r="K3124" s="2" t="inlineStr">
        <is>
          <t>marker_648_021018.png</t>
        </is>
      </c>
      <c r="L3124" s="11">
        <f>HYPERLINK("3\1\" &amp; K3124, "Ver Imagen")</f>
        <v/>
      </c>
      <c r="M3124" t="inlineStr">
        <is>
          <t>Moda</t>
        </is>
      </c>
    </row>
    <row r="3125">
      <c r="A3125" t="n">
        <v>3125</v>
      </c>
      <c r="B3125" t="inlineStr">
        <is>
          <t>A-5053__41</t>
        </is>
      </c>
      <c r="C3125" s="1" t="n">
        <v>37.2268858249</v>
      </c>
      <c r="D3125" s="1" t="n">
        <v>-7.12634656072</v>
      </c>
      <c r="E3125" s="3" t="n">
        <v>3</v>
      </c>
      <c r="F3125" s="2" t="n">
        <v>3</v>
      </c>
      <c r="G3125" s="4" t="n">
        <v>4</v>
      </c>
      <c r="H3125" s="13" t="n"/>
      <c r="I3125" s="15" t="n"/>
      <c r="J3125" s="19" t="n">
        <v>3</v>
      </c>
      <c r="K3125" s="2" t="inlineStr">
        <is>
          <t>marker_847_021704.png</t>
        </is>
      </c>
      <c r="L3125" s="11">
        <f>HYPERLINK("3\1\" &amp; K3125, "Ver Imagen")</f>
        <v/>
      </c>
      <c r="M3125" t="inlineStr">
        <is>
          <t>Moda</t>
        </is>
      </c>
    </row>
    <row r="3126">
      <c r="A3126" t="n">
        <v>3126</v>
      </c>
      <c r="B3126" t="inlineStr">
        <is>
          <t>A-5053__25</t>
        </is>
      </c>
      <c r="C3126" s="1" t="n">
        <v>37.223780397</v>
      </c>
      <c r="D3126" s="1" t="n">
        <v>-7.12519884575</v>
      </c>
      <c r="E3126" s="3" t="n">
        <v>4</v>
      </c>
      <c r="F3126" s="2" t="n">
        <v>3</v>
      </c>
      <c r="G3126" s="4" t="n">
        <v>3</v>
      </c>
      <c r="H3126" s="13" t="n"/>
      <c r="I3126" s="15" t="n"/>
      <c r="J3126" s="19" t="n">
        <v>3</v>
      </c>
      <c r="K3126" s="2" t="inlineStr">
        <is>
          <t>marker_457_022416.png</t>
        </is>
      </c>
      <c r="L3126" s="11">
        <f>HYPERLINK("3\1\" &amp; K3126, "Ver Imagen")</f>
        <v/>
      </c>
      <c r="M3126" t="inlineStr">
        <is>
          <t>Moda</t>
        </is>
      </c>
    </row>
    <row r="3127">
      <c r="A3127" t="n">
        <v>3127</v>
      </c>
      <c r="B3127" t="inlineStr">
        <is>
          <t>A-5053__16</t>
        </is>
      </c>
      <c r="C3127" s="1" t="n">
        <v>37.2219882211</v>
      </c>
      <c r="D3127" s="1" t="n">
        <v>-7.12515574838</v>
      </c>
      <c r="E3127" s="3" t="n">
        <v>2</v>
      </c>
      <c r="F3127" s="2" t="n">
        <v>3</v>
      </c>
      <c r="G3127" s="4" t="n">
        <v>3</v>
      </c>
      <c r="H3127" s="13" t="n"/>
      <c r="I3127" s="15" t="n"/>
      <c r="J3127" s="19" t="n">
        <v>3</v>
      </c>
      <c r="K3127" s="2" t="inlineStr">
        <is>
          <t>marker_322_025042.png</t>
        </is>
      </c>
      <c r="L3127" s="11">
        <f>HYPERLINK("3\1\" &amp; K3127, "Ver Imagen")</f>
        <v/>
      </c>
      <c r="M3127" t="inlineStr">
        <is>
          <t>Moda</t>
        </is>
      </c>
    </row>
    <row r="3128">
      <c r="A3128" t="n">
        <v>3128</v>
      </c>
      <c r="B3128" t="inlineStr">
        <is>
          <t>A-5053__14</t>
        </is>
      </c>
      <c r="C3128" s="1" t="n">
        <v>37.2216006425</v>
      </c>
      <c r="D3128" s="1" t="n">
        <v>-7.12531934624</v>
      </c>
      <c r="E3128" s="3" t="n">
        <v>2</v>
      </c>
      <c r="F3128" s="2" t="n">
        <v>3</v>
      </c>
      <c r="G3128" s="4" t="n">
        <v>3</v>
      </c>
      <c r="H3128" s="13" t="n"/>
      <c r="I3128" s="15" t="n"/>
      <c r="J3128" s="19" t="n">
        <v>3</v>
      </c>
      <c r="K3128" s="2" t="inlineStr">
        <is>
          <t>marker_506_025062.png</t>
        </is>
      </c>
      <c r="L3128" s="11">
        <f>HYPERLINK("3\1\" &amp; K3128, "Ver Imagen")</f>
        <v/>
      </c>
      <c r="M3128" t="inlineStr">
        <is>
          <t>Moda</t>
        </is>
      </c>
    </row>
    <row r="3129">
      <c r="A3129" t="n">
        <v>3129</v>
      </c>
      <c r="B3129" t="inlineStr">
        <is>
          <t>A-495__22</t>
        </is>
      </c>
      <c r="C3129" s="1" t="n">
        <v>37.4432356506</v>
      </c>
      <c r="D3129" s="1" t="n">
        <v>-7.09507108551</v>
      </c>
      <c r="E3129" s="3" t="n">
        <v>2</v>
      </c>
      <c r="F3129" s="2" t="n">
        <v>3</v>
      </c>
      <c r="G3129" s="4" t="n">
        <v>3</v>
      </c>
      <c r="H3129" s="13" t="n"/>
      <c r="I3129" s="15" t="n"/>
      <c r="J3129" s="19" t="n">
        <v>3</v>
      </c>
      <c r="K3129" s="2" t="inlineStr">
        <is>
          <t>marker_682_381315.png</t>
        </is>
      </c>
      <c r="L3129" s="11">
        <f>HYPERLINK("3\1\" &amp; K3129, "Ver Imagen")</f>
        <v/>
      </c>
      <c r="M3129" t="inlineStr">
        <is>
          <t>Moda</t>
        </is>
      </c>
    </row>
    <row r="3130">
      <c r="A3130" t="n">
        <v>3130</v>
      </c>
      <c r="B3130" t="inlineStr">
        <is>
          <t>A-495__28</t>
        </is>
      </c>
      <c r="C3130" s="1" t="n">
        <v>37.4427074014</v>
      </c>
      <c r="D3130" s="1" t="n">
        <v>-7.0936930899</v>
      </c>
      <c r="E3130" s="3" t="n">
        <v>3</v>
      </c>
      <c r="F3130" s="2" t="n">
        <v>3</v>
      </c>
      <c r="G3130" s="4" t="n">
        <v>2</v>
      </c>
      <c r="H3130" s="13" t="n"/>
      <c r="I3130" s="15" t="n"/>
      <c r="J3130" s="19" t="n">
        <v>3</v>
      </c>
      <c r="K3130" s="2" t="inlineStr">
        <is>
          <t>marker_667_381378.png</t>
        </is>
      </c>
      <c r="L3130" s="11">
        <f>HYPERLINK("3\1\" &amp; K3130, "Ver Imagen")</f>
        <v/>
      </c>
      <c r="M3130" t="inlineStr">
        <is>
          <t>Moda</t>
        </is>
      </c>
    </row>
    <row r="3131">
      <c r="A3131" t="n">
        <v>3131</v>
      </c>
      <c r="B3131" t="inlineStr">
        <is>
          <t>A-495__29</t>
        </is>
      </c>
      <c r="C3131" s="1" t="n">
        <v>37.4426237704</v>
      </c>
      <c r="D3131" s="1" t="n">
        <v>-7.09347596208</v>
      </c>
      <c r="E3131" s="3" t="n">
        <v>3</v>
      </c>
      <c r="F3131" s="2" t="n">
        <v>3</v>
      </c>
      <c r="G3131" s="4" t="n">
        <v>2</v>
      </c>
      <c r="H3131" s="13" t="n"/>
      <c r="I3131" s="15" t="n"/>
      <c r="J3131" s="19" t="n">
        <v>3</v>
      </c>
      <c r="K3131" s="2" t="inlineStr">
        <is>
          <t>marker_163_381388.png</t>
        </is>
      </c>
      <c r="L3131" s="11">
        <f>HYPERLINK("3\1\" &amp; K3131, "Ver Imagen")</f>
        <v/>
      </c>
      <c r="M3131" t="inlineStr">
        <is>
          <t>Moda</t>
        </is>
      </c>
    </row>
    <row r="3132">
      <c r="A3132" t="n">
        <v>3132</v>
      </c>
      <c r="B3132" t="inlineStr">
        <is>
          <t>A-495__56</t>
        </is>
      </c>
      <c r="C3132" s="1" t="n">
        <v>37.4399346985</v>
      </c>
      <c r="D3132" s="1" t="n">
        <v>-7.0875200302</v>
      </c>
      <c r="E3132" s="3" t="n">
        <v>3</v>
      </c>
      <c r="F3132" s="2" t="n">
        <v>3</v>
      </c>
      <c r="G3132" s="4" t="n">
        <v>4</v>
      </c>
      <c r="H3132" s="13" t="n"/>
      <c r="I3132" s="15" t="n"/>
      <c r="J3132" s="19" t="n">
        <v>3</v>
      </c>
      <c r="K3132" s="2" t="inlineStr">
        <is>
          <t>marker_490_381670.png</t>
        </is>
      </c>
      <c r="L3132" s="11">
        <f>HYPERLINK("3\1\" &amp; K3132, "Ver Imagen")</f>
        <v/>
      </c>
      <c r="M3132" t="inlineStr">
        <is>
          <t>Moda</t>
        </is>
      </c>
    </row>
    <row r="3133">
      <c r="A3133" t="n">
        <v>3133</v>
      </c>
      <c r="B3133" t="inlineStr">
        <is>
          <t>A-495__58</t>
        </is>
      </c>
      <c r="C3133" s="1" t="n">
        <v>37.4397336416</v>
      </c>
      <c r="D3133" s="1" t="n">
        <v>-7.08709899758</v>
      </c>
      <c r="E3133" s="3" t="n">
        <v>3</v>
      </c>
      <c r="F3133" s="2" t="n">
        <v>3</v>
      </c>
      <c r="G3133" s="4" t="n">
        <v>4</v>
      </c>
      <c r="H3133" s="13" t="n"/>
      <c r="I3133" s="15" t="n"/>
      <c r="J3133" s="19" t="n">
        <v>3</v>
      </c>
      <c r="K3133" s="2" t="inlineStr">
        <is>
          <t>marker_973_381692.png</t>
        </is>
      </c>
      <c r="L3133" s="11">
        <f>HYPERLINK("3\1\" &amp; K3133, "Ver Imagen")</f>
        <v/>
      </c>
      <c r="M3133" t="inlineStr">
        <is>
          <t>Moda</t>
        </is>
      </c>
    </row>
    <row r="3134">
      <c r="A3134" t="n">
        <v>3134</v>
      </c>
      <c r="B3134" t="inlineStr">
        <is>
          <t>A-495__67</t>
        </is>
      </c>
      <c r="C3134" s="1" t="n">
        <v>37.4388237698</v>
      </c>
      <c r="D3134" s="1" t="n">
        <v>-7.08508273067</v>
      </c>
      <c r="E3134" s="3" t="n">
        <v>3</v>
      </c>
      <c r="F3134" s="2" t="n">
        <v>3</v>
      </c>
      <c r="G3134" s="4" t="n">
        <v>4</v>
      </c>
      <c r="H3134" s="13" t="n"/>
      <c r="I3134" s="15" t="n"/>
      <c r="J3134" s="19" t="n">
        <v>3</v>
      </c>
      <c r="K3134" s="2" t="inlineStr">
        <is>
          <t>marker_180_381786.png</t>
        </is>
      </c>
      <c r="L3134" s="11">
        <f>HYPERLINK("3\1\" &amp; K3134, "Ver Imagen")</f>
        <v/>
      </c>
      <c r="M3134" t="inlineStr">
        <is>
          <t>Moda</t>
        </is>
      </c>
    </row>
    <row r="3135">
      <c r="A3135" t="n">
        <v>3135</v>
      </c>
      <c r="B3135" t="inlineStr">
        <is>
          <t>A-495__75</t>
        </is>
      </c>
      <c r="C3135" s="1" t="n">
        <v>37.4381624096</v>
      </c>
      <c r="D3135" s="1" t="n">
        <v>-7.08320674695</v>
      </c>
      <c r="E3135" s="3" t="n">
        <v>3</v>
      </c>
      <c r="F3135" s="2" t="n">
        <v>3</v>
      </c>
      <c r="G3135" s="4" t="n">
        <v>4</v>
      </c>
      <c r="H3135" s="13" t="n"/>
      <c r="I3135" s="15" t="n"/>
      <c r="J3135" s="19" t="n">
        <v>3</v>
      </c>
      <c r="K3135" s="2" t="inlineStr">
        <is>
          <t>marker_338_381867.png</t>
        </is>
      </c>
      <c r="L3135" s="11">
        <f>HYPERLINK("3\1\" &amp; K3135, "Ver Imagen")</f>
        <v/>
      </c>
      <c r="M3135" t="inlineStr">
        <is>
          <t>Moda</t>
        </is>
      </c>
    </row>
    <row r="3136">
      <c r="A3136" t="n">
        <v>3136</v>
      </c>
      <c r="B3136" t="inlineStr">
        <is>
          <t>A-495__80</t>
        </is>
      </c>
      <c r="C3136" s="1" t="n">
        <v>37.4377786487</v>
      </c>
      <c r="D3136" s="1" t="n">
        <v>-7.08207202602</v>
      </c>
      <c r="E3136" s="3" t="n">
        <v>3</v>
      </c>
      <c r="F3136" s="2" t="n">
        <v>3</v>
      </c>
      <c r="G3136" s="4" t="n">
        <v>4</v>
      </c>
      <c r="H3136" s="13" t="n"/>
      <c r="I3136" s="15" t="n"/>
      <c r="J3136" s="19" t="n">
        <v>3</v>
      </c>
      <c r="K3136" s="2" t="inlineStr">
        <is>
          <t>marker_947_381933.png</t>
        </is>
      </c>
      <c r="L3136" s="11">
        <f>HYPERLINK("3\1\" &amp; K3136, "Ver Imagen")</f>
        <v/>
      </c>
      <c r="M3136" t="inlineStr">
        <is>
          <t>Moda</t>
        </is>
      </c>
    </row>
    <row r="3137">
      <c r="A3137" t="n">
        <v>3137</v>
      </c>
      <c r="B3137" t="inlineStr">
        <is>
          <t>A-495__87</t>
        </is>
      </c>
      <c r="C3137" s="1" t="n">
        <v>37.4371276425</v>
      </c>
      <c r="D3137" s="1" t="n">
        <v>-7.08052397841</v>
      </c>
      <c r="E3137" s="3" t="n">
        <v>3</v>
      </c>
      <c r="F3137" s="2" t="n">
        <v>3</v>
      </c>
      <c r="G3137" s="4" t="n">
        <v>4</v>
      </c>
      <c r="H3137" s="13" t="n"/>
      <c r="I3137" s="15" t="n"/>
      <c r="J3137" s="19" t="n">
        <v>3</v>
      </c>
      <c r="K3137" s="2" t="inlineStr">
        <is>
          <t>marker_867_382013.png</t>
        </is>
      </c>
      <c r="L3137" s="11">
        <f>HYPERLINK("3\1\" &amp; K3137, "Ver Imagen")</f>
        <v/>
      </c>
      <c r="M3137" t="inlineStr">
        <is>
          <t>Moda</t>
        </is>
      </c>
    </row>
    <row r="3138">
      <c r="A3138" t="n">
        <v>3138</v>
      </c>
      <c r="B3138" t="inlineStr">
        <is>
          <t>A-495__95</t>
        </is>
      </c>
      <c r="C3138" s="1" t="n">
        <v>37.4366067255</v>
      </c>
      <c r="D3138" s="1" t="n">
        <v>-7.07872765912</v>
      </c>
      <c r="E3138" s="3" t="n">
        <v>3</v>
      </c>
      <c r="F3138" s="2" t="n">
        <v>3</v>
      </c>
      <c r="G3138" s="4" t="n">
        <v>4</v>
      </c>
      <c r="H3138" s="13" t="n"/>
      <c r="I3138" s="15" t="n"/>
      <c r="J3138" s="19" t="n">
        <v>3</v>
      </c>
      <c r="K3138" s="2" t="inlineStr">
        <is>
          <t>marker_746_382108.png</t>
        </is>
      </c>
      <c r="L3138" s="11">
        <f>HYPERLINK("3\1\" &amp; K3138, "Ver Imagen")</f>
        <v/>
      </c>
      <c r="M3138" t="inlineStr">
        <is>
          <t>Moda</t>
        </is>
      </c>
    </row>
    <row r="3139">
      <c r="A3139" t="n">
        <v>3139</v>
      </c>
      <c r="B3139" t="inlineStr">
        <is>
          <t>A-495__110</t>
        </is>
      </c>
      <c r="C3139" s="1" t="n">
        <v>37.4355246306</v>
      </c>
      <c r="D3139" s="1" t="n">
        <v>-7.07556157678</v>
      </c>
      <c r="E3139" s="3" t="n">
        <v>3</v>
      </c>
      <c r="F3139" s="2" t="n">
        <v>3</v>
      </c>
      <c r="G3139" s="4" t="n">
        <v>2</v>
      </c>
      <c r="H3139" s="13" t="n"/>
      <c r="I3139" s="15" t="n"/>
      <c r="J3139" s="19" t="n">
        <v>3</v>
      </c>
      <c r="K3139" s="2" t="inlineStr">
        <is>
          <t>marker_731_382274.png</t>
        </is>
      </c>
      <c r="L3139" s="11">
        <f>HYPERLINK("3\1\" &amp; K3139, "Ver Imagen")</f>
        <v/>
      </c>
      <c r="M3139" t="inlineStr">
        <is>
          <t>Moda</t>
        </is>
      </c>
    </row>
    <row r="3140">
      <c r="A3140" t="n">
        <v>3140</v>
      </c>
      <c r="B3140" t="inlineStr">
        <is>
          <t>A-5059__83</t>
        </is>
      </c>
      <c r="C3140" s="1" t="n">
        <v>37.2211167801</v>
      </c>
      <c r="D3140" s="1" t="n">
        <v>-7.05370153791</v>
      </c>
      <c r="E3140" s="3" t="n">
        <v>4</v>
      </c>
      <c r="F3140" s="2" t="n">
        <v>3</v>
      </c>
      <c r="G3140" s="4" t="n">
        <v>3</v>
      </c>
      <c r="H3140" s="13" t="n"/>
      <c r="I3140" s="15" t="n"/>
      <c r="J3140" s="19" t="n">
        <v>3</v>
      </c>
      <c r="K3140" s="2" t="inlineStr">
        <is>
          <t>marker_994_378694.png</t>
        </is>
      </c>
      <c r="L3140" s="11">
        <f>HYPERLINK("3\1\" &amp; K3140, "Ver Imagen")</f>
        <v/>
      </c>
      <c r="M3140" t="inlineStr">
        <is>
          <t>Moda</t>
        </is>
      </c>
    </row>
    <row r="3141">
      <c r="A3141" t="n">
        <v>3141</v>
      </c>
      <c r="B3141" t="inlineStr">
        <is>
          <t>A-5059__80</t>
        </is>
      </c>
      <c r="C3141" s="1" t="n">
        <v>37.2214194229</v>
      </c>
      <c r="D3141" s="1" t="n">
        <v>-7.0543462767</v>
      </c>
      <c r="E3141" s="3" t="n">
        <v>4</v>
      </c>
      <c r="F3141" s="2" t="n">
        <v>3</v>
      </c>
      <c r="G3141" s="4" t="n">
        <v>3</v>
      </c>
      <c r="H3141" s="13" t="n"/>
      <c r="I3141" s="15" t="n"/>
      <c r="J3141" s="19" t="n">
        <v>3</v>
      </c>
      <c r="K3141" s="2" t="inlineStr">
        <is>
          <t>marker_647_378739.png</t>
        </is>
      </c>
      <c r="L3141" s="11">
        <f>HYPERLINK("3\1\" &amp; K3141, "Ver Imagen")</f>
        <v/>
      </c>
      <c r="M3141" t="inlineStr">
        <is>
          <t>Moda</t>
        </is>
      </c>
    </row>
    <row r="3142">
      <c r="A3142" t="n">
        <v>3142</v>
      </c>
      <c r="B3142" t="inlineStr">
        <is>
          <t>A-495__125</t>
        </is>
      </c>
      <c r="C3142" s="1" t="n">
        <v>37.4352949968</v>
      </c>
      <c r="D3142" s="1" t="n">
        <v>-7.0717431855</v>
      </c>
      <c r="E3142" s="3" t="n">
        <v>4</v>
      </c>
      <c r="F3142" s="2" t="n">
        <v>3</v>
      </c>
      <c r="G3142" s="4" t="n">
        <v>3</v>
      </c>
      <c r="H3142" s="13" t="n"/>
      <c r="I3142" s="15" t="n"/>
      <c r="J3142" s="19" t="n">
        <v>3</v>
      </c>
      <c r="K3142" s="2" t="inlineStr">
        <is>
          <t>marker_664_382423.png</t>
        </is>
      </c>
      <c r="L3142" s="11">
        <f>HYPERLINK("3\1\" &amp; K3142, "Ver Imagen")</f>
        <v/>
      </c>
      <c r="M3142" t="inlineStr">
        <is>
          <t>Moda</t>
        </is>
      </c>
    </row>
    <row r="3143">
      <c r="A3143" t="n">
        <v>3143</v>
      </c>
      <c r="B3143" t="inlineStr">
        <is>
          <t>A-5059__43</t>
        </is>
      </c>
      <c r="C3143" s="1" t="n">
        <v>37.2267742194</v>
      </c>
      <c r="D3143" s="1" t="n">
        <v>-7.06054936131</v>
      </c>
      <c r="E3143" s="3" t="n">
        <v>3</v>
      </c>
      <c r="F3143" s="2" t="n">
        <v>3</v>
      </c>
      <c r="G3143" s="4" t="n">
        <v>2</v>
      </c>
      <c r="H3143" s="13" t="n"/>
      <c r="I3143" s="15" t="n"/>
      <c r="J3143" s="19" t="n">
        <v>3</v>
      </c>
      <c r="K3143" s="2" t="inlineStr">
        <is>
          <t>marker_469_379267.png</t>
        </is>
      </c>
      <c r="L3143" s="11">
        <f>HYPERLINK("3\1\" &amp; K3143, "Ver Imagen")</f>
        <v/>
      </c>
      <c r="M3143" t="inlineStr">
        <is>
          <t>Moda</t>
        </is>
      </c>
    </row>
    <row r="3144">
      <c r="A3144" t="n">
        <v>3144</v>
      </c>
      <c r="B3144" t="inlineStr">
        <is>
          <t>A-495__144</t>
        </is>
      </c>
      <c r="C3144" s="1" t="n">
        <v>37.4340201991</v>
      </c>
      <c r="D3144" s="1" t="n">
        <v>-7.06724667731</v>
      </c>
      <c r="E3144" s="3" t="n">
        <v>2</v>
      </c>
      <c r="F3144" s="2" t="n">
        <v>3</v>
      </c>
      <c r="G3144" s="4" t="n">
        <v>3</v>
      </c>
      <c r="H3144" s="13" t="n"/>
      <c r="I3144" s="15" t="n"/>
      <c r="J3144" s="19" t="n">
        <v>3</v>
      </c>
      <c r="K3144" s="2" t="inlineStr">
        <is>
          <t>marker_584_382615.png</t>
        </is>
      </c>
      <c r="L3144" s="11">
        <f>HYPERLINK("3\1\" &amp; K3144, "Ver Imagen")</f>
        <v/>
      </c>
      <c r="M3144" t="inlineStr">
        <is>
          <t>Moda</t>
        </is>
      </c>
    </row>
    <row r="3145">
      <c r="A3145" t="n">
        <v>3145</v>
      </c>
      <c r="B3145" t="inlineStr">
        <is>
          <t>A-5059__5</t>
        </is>
      </c>
      <c r="C3145" s="1" t="n">
        <v>37.2330060246</v>
      </c>
      <c r="D3145" s="1" t="n">
        <v>-7.06567556526</v>
      </c>
      <c r="E3145" s="3" t="n">
        <v>3</v>
      </c>
      <c r="F3145" s="2" t="n">
        <v>3</v>
      </c>
      <c r="G3145" s="4" t="n">
        <v>4</v>
      </c>
      <c r="H3145" s="13" t="n"/>
      <c r="I3145" s="15" t="n"/>
      <c r="J3145" s="19" t="n">
        <v>3</v>
      </c>
      <c r="K3145" s="2" t="inlineStr">
        <is>
          <t>marker_475_379626.png</t>
        </is>
      </c>
      <c r="L3145" s="11">
        <f>HYPERLINK("3\1\" &amp; K3145, "Ver Imagen")</f>
        <v/>
      </c>
      <c r="M3145" t="inlineStr">
        <is>
          <t>Moda</t>
        </is>
      </c>
    </row>
    <row r="3146">
      <c r="A3146" t="n">
        <v>3146</v>
      </c>
      <c r="B3146" t="inlineStr">
        <is>
          <t>A-5058__31</t>
        </is>
      </c>
      <c r="C3146" s="1" t="n">
        <v>37.224536181</v>
      </c>
      <c r="D3146" s="1" t="n">
        <v>-7.03492053218</v>
      </c>
      <c r="E3146" s="3" t="n">
        <v>4</v>
      </c>
      <c r="F3146" s="2" t="n">
        <v>3</v>
      </c>
      <c r="G3146" s="4" t="n">
        <v>3</v>
      </c>
      <c r="H3146" s="13" t="n"/>
      <c r="I3146" s="15" t="n"/>
      <c r="J3146" s="19" t="n">
        <v>3</v>
      </c>
      <c r="K3146" s="2" t="inlineStr">
        <is>
          <t>marker_464_380200.png</t>
        </is>
      </c>
      <c r="L3146" s="11">
        <f>HYPERLINK("3\1\" &amp; K3146, "Ver Imagen")</f>
        <v/>
      </c>
      <c r="M3146" t="inlineStr">
        <is>
          <t>Moda</t>
        </is>
      </c>
    </row>
    <row r="3147">
      <c r="A3147" t="n">
        <v>3147</v>
      </c>
      <c r="B3147" t="inlineStr">
        <is>
          <t>A-5058__32</t>
        </is>
      </c>
      <c r="C3147" s="1" t="n">
        <v>37.2245558064</v>
      </c>
      <c r="D3147" s="1" t="n">
        <v>-7.03515995738</v>
      </c>
      <c r="E3147" s="3" t="n">
        <v>4</v>
      </c>
      <c r="F3147" s="2" t="n">
        <v>3</v>
      </c>
      <c r="G3147" s="4" t="n">
        <v>3</v>
      </c>
      <c r="H3147" s="13" t="n"/>
      <c r="I3147" s="15" t="n"/>
      <c r="J3147" s="19" t="n">
        <v>3</v>
      </c>
      <c r="K3147" s="2" t="inlineStr">
        <is>
          <t>marker_207_380212.png</t>
        </is>
      </c>
      <c r="L3147" s="11">
        <f>HYPERLINK("3\1\" &amp; K3147, "Ver Imagen")</f>
        <v/>
      </c>
      <c r="M3147" t="inlineStr">
        <is>
          <t>Moda</t>
        </is>
      </c>
    </row>
    <row r="3148">
      <c r="A3148" t="n">
        <v>3148</v>
      </c>
      <c r="B3148" t="inlineStr">
        <is>
          <t>A-5058__86</t>
        </is>
      </c>
      <c r="C3148" s="1" t="n">
        <v>37.2288894211</v>
      </c>
      <c r="D3148" s="1" t="n">
        <v>-7.04686583937</v>
      </c>
      <c r="E3148" s="3" t="n">
        <v>2</v>
      </c>
      <c r="F3148" s="2" t="n">
        <v>3</v>
      </c>
      <c r="G3148" s="4" t="n">
        <v>3</v>
      </c>
      <c r="H3148" s="13" t="n"/>
      <c r="I3148" s="15" t="n"/>
      <c r="J3148" s="19" t="n">
        <v>3</v>
      </c>
      <c r="K3148" s="2" t="inlineStr">
        <is>
          <t>marker_716_380944.png</t>
        </is>
      </c>
      <c r="L3148" s="11">
        <f>HYPERLINK("3\1\" &amp; K3148, "Ver Imagen")</f>
        <v/>
      </c>
      <c r="M3148" t="inlineStr">
        <is>
          <t>Moda</t>
        </is>
      </c>
    </row>
    <row r="3149">
      <c r="A3149" t="n">
        <v>3149</v>
      </c>
      <c r="B3149" t="inlineStr">
        <is>
          <t>A-5058__99</t>
        </is>
      </c>
      <c r="C3149" s="1" t="n">
        <v>37.2304768331</v>
      </c>
      <c r="D3149" s="1" t="n">
        <v>-7.04950354179</v>
      </c>
      <c r="E3149" s="3" t="n">
        <v>2</v>
      </c>
      <c r="F3149" s="2" t="n">
        <v>3</v>
      </c>
      <c r="G3149" s="4" t="n">
        <v>3</v>
      </c>
      <c r="H3149" s="13" t="n"/>
      <c r="I3149" s="15" t="n"/>
      <c r="J3149" s="19" t="n">
        <v>3</v>
      </c>
      <c r="K3149" s="2" t="inlineStr">
        <is>
          <t>marker_349_381099.png</t>
        </is>
      </c>
      <c r="L3149" s="11">
        <f>HYPERLINK("3\1\" &amp; K3149, "Ver Imagen")</f>
        <v/>
      </c>
      <c r="M3149" t="inlineStr">
        <is>
          <t>Moda</t>
        </is>
      </c>
    </row>
    <row r="3150">
      <c r="A3150" t="n">
        <v>3150</v>
      </c>
      <c r="B3150" t="inlineStr">
        <is>
          <t>A-5058__140</t>
        </is>
      </c>
      <c r="C3150" s="1" t="n">
        <v>37.2340904023</v>
      </c>
      <c r="D3150" s="1" t="n">
        <v>-7.05871767374</v>
      </c>
      <c r="E3150" s="3" t="n">
        <v>2</v>
      </c>
      <c r="F3150" s="2" t="n">
        <v>3</v>
      </c>
      <c r="G3150" s="4" t="n">
        <v>3</v>
      </c>
      <c r="H3150" s="13" t="n"/>
      <c r="I3150" s="15" t="n"/>
      <c r="J3150" s="19" t="n">
        <v>3</v>
      </c>
      <c r="K3150" s="2" t="inlineStr">
        <is>
          <t>marker_130_381572.png</t>
        </is>
      </c>
      <c r="L3150" s="11">
        <f>HYPERLINK("3\1\" &amp; K3150, "Ver Imagen")</f>
        <v/>
      </c>
      <c r="M3150" t="inlineStr">
        <is>
          <t>Moda</t>
        </is>
      </c>
    </row>
    <row r="3151">
      <c r="A3151" t="n">
        <v>3151</v>
      </c>
      <c r="B3151" t="inlineStr">
        <is>
          <t>A-5058__143</t>
        </is>
      </c>
      <c r="C3151" s="1" t="n">
        <v>37.2341382234</v>
      </c>
      <c r="D3151" s="1" t="n">
        <v>-7.05951863246</v>
      </c>
      <c r="E3151" s="3" t="n">
        <v>3</v>
      </c>
      <c r="F3151" s="2" t="n">
        <v>3</v>
      </c>
      <c r="G3151" s="4" t="n">
        <v>4</v>
      </c>
      <c r="H3151" s="13" t="n"/>
      <c r="I3151" s="15" t="n"/>
      <c r="J3151" s="19" t="n">
        <v>3</v>
      </c>
      <c r="K3151" s="2" t="inlineStr">
        <is>
          <t>marker_877_381622.png</t>
        </is>
      </c>
      <c r="L3151" s="11">
        <f>HYPERLINK("3\1\" &amp; K3151, "Ver Imagen")</f>
        <v/>
      </c>
      <c r="M3151" t="inlineStr">
        <is>
          <t>Moda</t>
        </is>
      </c>
    </row>
    <row r="3152">
      <c r="A3152" t="n">
        <v>3152</v>
      </c>
      <c r="B3152" t="inlineStr">
        <is>
          <t>A-5058__153</t>
        </is>
      </c>
      <c r="C3152" s="1" t="n">
        <v>37.2340891191</v>
      </c>
      <c r="D3152" s="1" t="n">
        <v>-7.06204014997</v>
      </c>
      <c r="E3152" s="3" t="n">
        <v>4</v>
      </c>
      <c r="F3152" s="2" t="n">
        <v>3</v>
      </c>
      <c r="G3152" s="4" t="n">
        <v>3</v>
      </c>
      <c r="H3152" s="13" t="n"/>
      <c r="I3152" s="15" t="n"/>
      <c r="J3152" s="19" t="n">
        <v>3</v>
      </c>
      <c r="K3152" s="2" t="inlineStr">
        <is>
          <t>marker_316_381739.png</t>
        </is>
      </c>
      <c r="L3152" s="11">
        <f>HYPERLINK("3\1\" &amp; K3152, "Ver Imagen")</f>
        <v/>
      </c>
      <c r="M3152" t="inlineStr">
        <is>
          <t>Moda</t>
        </is>
      </c>
    </row>
    <row r="3153">
      <c r="A3153" t="n">
        <v>3153</v>
      </c>
      <c r="B3153" t="inlineStr">
        <is>
          <t>A-5058__156</t>
        </is>
      </c>
      <c r="C3153" s="1" t="n">
        <v>37.2340679975</v>
      </c>
      <c r="D3153" s="1" t="n">
        <v>-7.06280591168</v>
      </c>
      <c r="E3153" s="3" t="n">
        <v>3</v>
      </c>
      <c r="F3153" s="2" t="n">
        <v>3</v>
      </c>
      <c r="G3153" s="4" t="n">
        <v>2</v>
      </c>
      <c r="H3153" s="13" t="n"/>
      <c r="I3153" s="15" t="n"/>
      <c r="J3153" s="19" t="n">
        <v>3</v>
      </c>
      <c r="K3153" s="2" t="inlineStr">
        <is>
          <t>marker_211_381768.png</t>
        </is>
      </c>
      <c r="L3153" s="11">
        <f>HYPERLINK("3\1\" &amp; K3153, "Ver Imagen")</f>
        <v/>
      </c>
      <c r="M3153" t="inlineStr">
        <is>
          <t>Moda</t>
        </is>
      </c>
    </row>
    <row r="3154">
      <c r="A3154" t="n">
        <v>3154</v>
      </c>
      <c r="B3154" t="inlineStr">
        <is>
          <t>A-5058__165</t>
        </is>
      </c>
      <c r="C3154" s="1" t="n">
        <v>37.2339652516</v>
      </c>
      <c r="D3154" s="1" t="n">
        <v>-7.06504946945</v>
      </c>
      <c r="E3154" s="3" t="n">
        <v>3</v>
      </c>
      <c r="F3154" s="2" t="n">
        <v>3</v>
      </c>
      <c r="G3154" s="4" t="n">
        <v>4</v>
      </c>
      <c r="H3154" s="13" t="n"/>
      <c r="I3154" s="15" t="n"/>
      <c r="J3154" s="19" t="n">
        <v>3</v>
      </c>
      <c r="K3154" s="2" t="inlineStr">
        <is>
          <t>marker_651_381877.png</t>
        </is>
      </c>
      <c r="L3154" s="11">
        <f>HYPERLINK("3\1\" &amp; K3154, "Ver Imagen")</f>
        <v/>
      </c>
      <c r="M3154" t="inlineStr">
        <is>
          <t>Moda</t>
        </is>
      </c>
    </row>
    <row r="3155">
      <c r="A3155" t="n">
        <v>3155</v>
      </c>
      <c r="B3155" t="inlineStr">
        <is>
          <t>A-5058__166</t>
        </is>
      </c>
      <c r="C3155" s="1" t="n">
        <v>37.2339373108</v>
      </c>
      <c r="D3155" s="1" t="n">
        <v>-7.06530926446</v>
      </c>
      <c r="E3155" s="3" t="n">
        <v>3</v>
      </c>
      <c r="F3155" s="2" t="n">
        <v>3</v>
      </c>
      <c r="G3155" s="4" t="n">
        <v>4</v>
      </c>
      <c r="H3155" s="13" t="n"/>
      <c r="I3155" s="15" t="n"/>
      <c r="J3155" s="19" t="n">
        <v>3</v>
      </c>
      <c r="K3155" s="2" t="inlineStr">
        <is>
          <t>marker_844_381887.png</t>
        </is>
      </c>
      <c r="L3155" s="11">
        <f>HYPERLINK("3\1\" &amp; K3155, "Ver Imagen")</f>
        <v/>
      </c>
      <c r="M3155" t="inlineStr">
        <is>
          <t>Moda</t>
        </is>
      </c>
    </row>
    <row r="3156">
      <c r="A3156" t="n">
        <v>3156</v>
      </c>
      <c r="B3156" t="inlineStr">
        <is>
          <t>A-5058__168</t>
        </is>
      </c>
      <c r="C3156" s="1" t="n">
        <v>37.2338747632</v>
      </c>
      <c r="D3156" s="1" t="n">
        <v>-7.06580790427</v>
      </c>
      <c r="E3156" s="3" t="n">
        <v>3</v>
      </c>
      <c r="F3156" s="2" t="n">
        <v>3</v>
      </c>
      <c r="G3156" s="4" t="n">
        <v>4</v>
      </c>
      <c r="H3156" s="13" t="n"/>
      <c r="I3156" s="15" t="n"/>
      <c r="J3156" s="19" t="n">
        <v>3</v>
      </c>
      <c r="K3156" s="2" t="inlineStr">
        <is>
          <t>marker_689_382315.png</t>
        </is>
      </c>
      <c r="L3156" s="11">
        <f>HYPERLINK("3\1\" &amp; K3156, "Ver Imagen")</f>
        <v/>
      </c>
      <c r="M3156" t="inlineStr">
        <is>
          <t>Moda</t>
        </is>
      </c>
    </row>
    <row r="3157">
      <c r="A3157" t="n">
        <v>3157</v>
      </c>
      <c r="B3157" t="inlineStr">
        <is>
          <t>A-5058__174</t>
        </is>
      </c>
      <c r="C3157" s="1" t="n">
        <v>37.2336534133</v>
      </c>
      <c r="D3157" s="1" t="n">
        <v>-7.06712962324</v>
      </c>
      <c r="E3157" s="3" t="n">
        <v>3</v>
      </c>
      <c r="F3157" s="2" t="n">
        <v>3</v>
      </c>
      <c r="G3157" s="4" t="n">
        <v>4</v>
      </c>
      <c r="H3157" s="13" t="n"/>
      <c r="I3157" s="15" t="n"/>
      <c r="J3157" s="19" t="n">
        <v>3</v>
      </c>
      <c r="K3157" s="2" t="inlineStr">
        <is>
          <t>marker_870_382454.png</t>
        </is>
      </c>
      <c r="L3157" s="11">
        <f>HYPERLINK("3\1\" &amp; K3157, "Ver Imagen")</f>
        <v/>
      </c>
      <c r="M3157" t="inlineStr">
        <is>
          <t>Moda</t>
        </is>
      </c>
    </row>
    <row r="3158">
      <c r="A3158" t="n">
        <v>3158</v>
      </c>
      <c r="B3158" t="inlineStr">
        <is>
          <t>A-5058__176</t>
        </is>
      </c>
      <c r="C3158" s="1" t="n">
        <v>37.2335787621</v>
      </c>
      <c r="D3158" s="1" t="n">
        <v>-7.06765257012</v>
      </c>
      <c r="E3158" s="3" t="n">
        <v>3</v>
      </c>
      <c r="F3158" s="2" t="n">
        <v>3</v>
      </c>
      <c r="G3158" s="4" t="n">
        <v>4</v>
      </c>
      <c r="H3158" s="13" t="n"/>
      <c r="I3158" s="15" t="n"/>
      <c r="J3158" s="19" t="n">
        <v>3</v>
      </c>
      <c r="K3158" s="2" t="inlineStr">
        <is>
          <t>marker_236_382475.png</t>
        </is>
      </c>
      <c r="L3158" s="11">
        <f>HYPERLINK("3\1\" &amp; K3158, "Ver Imagen")</f>
        <v/>
      </c>
      <c r="M3158" t="inlineStr">
        <is>
          <t>Moda</t>
        </is>
      </c>
    </row>
    <row r="3159">
      <c r="A3159" t="n">
        <v>3159</v>
      </c>
      <c r="B3159" t="inlineStr">
        <is>
          <t>A-5058__180</t>
        </is>
      </c>
      <c r="C3159" s="1" t="n">
        <v>37.2337083777</v>
      </c>
      <c r="D3159" s="1" t="n">
        <v>-7.06863385774</v>
      </c>
      <c r="E3159" s="3" t="n">
        <v>3</v>
      </c>
      <c r="F3159" s="2" t="n">
        <v>3</v>
      </c>
      <c r="G3159" s="4" t="n">
        <v>4</v>
      </c>
      <c r="H3159" s="13" t="n"/>
      <c r="I3159" s="15" t="n"/>
      <c r="J3159" s="19" t="n">
        <v>3</v>
      </c>
      <c r="K3159" s="2" t="inlineStr">
        <is>
          <t>marker_208_382662.png</t>
        </is>
      </c>
      <c r="L3159" s="11">
        <f>HYPERLINK("3\1\" &amp; K3159, "Ver Imagen")</f>
        <v/>
      </c>
      <c r="M3159" t="inlineStr">
        <is>
          <t>Moda</t>
        </is>
      </c>
    </row>
    <row r="3160">
      <c r="A3160" t="n">
        <v>3160</v>
      </c>
      <c r="B3160" t="inlineStr">
        <is>
          <t>A-5058__184</t>
        </is>
      </c>
      <c r="C3160" s="1" t="n">
        <v>37.2339735242</v>
      </c>
      <c r="D3160" s="1" t="n">
        <v>-7.06958170602</v>
      </c>
      <c r="E3160" s="3" t="n">
        <v>2</v>
      </c>
      <c r="F3160" s="2" t="n">
        <v>3</v>
      </c>
      <c r="G3160" s="4" t="n">
        <v>3</v>
      </c>
      <c r="H3160" s="13" t="n"/>
      <c r="I3160" s="15" t="n"/>
      <c r="J3160" s="19" t="n">
        <v>3</v>
      </c>
      <c r="K3160" s="2" t="inlineStr">
        <is>
          <t>marker_782_382717.png</t>
        </is>
      </c>
      <c r="L3160" s="11">
        <f>HYPERLINK("3\1\" &amp; K3160, "Ver Imagen")</f>
        <v/>
      </c>
      <c r="M3160" t="inlineStr">
        <is>
          <t>Moda</t>
        </is>
      </c>
    </row>
    <row r="3161">
      <c r="A3161" t="n">
        <v>3161</v>
      </c>
      <c r="B3161" t="inlineStr">
        <is>
          <t>A-5058__188</t>
        </is>
      </c>
      <c r="C3161" s="1" t="n">
        <v>37.2342342037</v>
      </c>
      <c r="D3161" s="1" t="n">
        <v>-7.0705075035</v>
      </c>
      <c r="E3161" s="3" t="n">
        <v>3</v>
      </c>
      <c r="F3161" s="2" t="n">
        <v>3</v>
      </c>
      <c r="G3161" s="4" t="n">
        <v>4</v>
      </c>
      <c r="H3161" s="13" t="n"/>
      <c r="I3161" s="15" t="n"/>
      <c r="J3161" s="19" t="n">
        <v>3</v>
      </c>
      <c r="K3161" s="2" t="inlineStr">
        <is>
          <t>marker_993_382758.png</t>
        </is>
      </c>
      <c r="L3161" s="11">
        <f>HYPERLINK("3\1\" &amp; K3161, "Ver Imagen")</f>
        <v/>
      </c>
      <c r="M3161" t="inlineStr">
        <is>
          <t>Moda</t>
        </is>
      </c>
    </row>
    <row r="3162">
      <c r="A3162" t="n">
        <v>3162</v>
      </c>
      <c r="B3162" t="inlineStr">
        <is>
          <t>A-5058__193</t>
        </is>
      </c>
      <c r="C3162" s="1" t="n">
        <v>37.2345691077</v>
      </c>
      <c r="D3162" s="1" t="n">
        <v>-7.07170556897</v>
      </c>
      <c r="E3162" s="3" t="n">
        <v>3</v>
      </c>
      <c r="F3162" s="2" t="n">
        <v>3</v>
      </c>
      <c r="G3162" s="4" t="n">
        <v>4</v>
      </c>
      <c r="H3162" s="13" t="n"/>
      <c r="I3162" s="15" t="n"/>
      <c r="J3162" s="19" t="n">
        <v>3</v>
      </c>
      <c r="K3162" s="2" t="inlineStr">
        <is>
          <t>marker_276_382814.png</t>
        </is>
      </c>
      <c r="L3162" s="11">
        <f>HYPERLINK("3\1\" &amp; K3162, "Ver Imagen")</f>
        <v/>
      </c>
      <c r="M3162" t="inlineStr">
        <is>
          <t>Moda</t>
        </is>
      </c>
    </row>
    <row r="3163">
      <c r="A3163" t="n">
        <v>3163</v>
      </c>
      <c r="B3163" t="inlineStr">
        <is>
          <t>A-5058__195</t>
        </is>
      </c>
      <c r="C3163" s="1" t="n">
        <v>37.2347078409</v>
      </c>
      <c r="D3163" s="1" t="n">
        <v>-7.07219482988</v>
      </c>
      <c r="E3163" s="3" t="n">
        <v>3</v>
      </c>
      <c r="F3163" s="2" t="n">
        <v>3</v>
      </c>
      <c r="G3163" s="4" t="n">
        <v>4</v>
      </c>
      <c r="H3163" s="13" t="n"/>
      <c r="I3163" s="15" t="n"/>
      <c r="J3163" s="19" t="n">
        <v>3</v>
      </c>
      <c r="K3163" s="2" t="inlineStr">
        <is>
          <t>marker_150_382837.png</t>
        </is>
      </c>
      <c r="L3163" s="11">
        <f>HYPERLINK("3\1\" &amp; K3163, "Ver Imagen")</f>
        <v/>
      </c>
      <c r="M3163" t="inlineStr">
        <is>
          <t>Moda</t>
        </is>
      </c>
    </row>
    <row r="3164">
      <c r="A3164" t="n">
        <v>3164</v>
      </c>
      <c r="B3164" t="inlineStr">
        <is>
          <t>A-5058__198</t>
        </is>
      </c>
      <c r="C3164" s="1" t="n">
        <v>37.2349470993</v>
      </c>
      <c r="D3164" s="1" t="n">
        <v>-7.07285634743</v>
      </c>
      <c r="E3164" s="3" t="n">
        <v>3</v>
      </c>
      <c r="F3164" s="2" t="n">
        <v>3</v>
      </c>
      <c r="G3164" s="4" t="n">
        <v>4</v>
      </c>
      <c r="H3164" s="13" t="n"/>
      <c r="I3164" s="15" t="n"/>
      <c r="J3164" s="19" t="n">
        <v>3</v>
      </c>
      <c r="K3164" s="2" t="inlineStr">
        <is>
          <t>marker_140_382870.png</t>
        </is>
      </c>
      <c r="L3164" s="11">
        <f>HYPERLINK("3\1\" &amp; K3164, "Ver Imagen")</f>
        <v/>
      </c>
      <c r="M3164" t="inlineStr">
        <is>
          <t>Moda</t>
        </is>
      </c>
    </row>
    <row r="3165">
      <c r="A3165" t="n">
        <v>3165</v>
      </c>
      <c r="B3165" t="inlineStr">
        <is>
          <t>A-5058__199</t>
        </is>
      </c>
      <c r="C3165" s="1" t="n">
        <v>37.2350585061</v>
      </c>
      <c r="D3165" s="1" t="n">
        <v>-7.07309905839</v>
      </c>
      <c r="E3165" s="3" t="n">
        <v>3</v>
      </c>
      <c r="F3165" s="2" t="n">
        <v>3</v>
      </c>
      <c r="G3165" s="4" t="n">
        <v>4</v>
      </c>
      <c r="H3165" s="13" t="n"/>
      <c r="I3165" s="15" t="n"/>
      <c r="J3165" s="19" t="n">
        <v>3</v>
      </c>
      <c r="K3165" s="2" t="inlineStr">
        <is>
          <t>marker_970_382879.png</t>
        </is>
      </c>
      <c r="L3165" s="11">
        <f>HYPERLINK("3\1\" &amp; K3165, "Ver Imagen")</f>
        <v/>
      </c>
      <c r="M3165" t="inlineStr">
        <is>
          <t>Moda</t>
        </is>
      </c>
    </row>
    <row r="3166">
      <c r="A3166" t="n">
        <v>3166</v>
      </c>
      <c r="B3166" t="inlineStr">
        <is>
          <t>A-5058__201</t>
        </is>
      </c>
      <c r="C3166" s="1" t="n">
        <v>37.2352839844</v>
      </c>
      <c r="D3166" s="1" t="n">
        <v>-7.07352667163</v>
      </c>
      <c r="E3166" s="3" t="n">
        <v>3</v>
      </c>
      <c r="F3166" s="2" t="n">
        <v>3</v>
      </c>
      <c r="G3166" s="4" t="n">
        <v>4</v>
      </c>
      <c r="H3166" s="13" t="n"/>
      <c r="I3166" s="15" t="n"/>
      <c r="J3166" s="19" t="n">
        <v>3</v>
      </c>
      <c r="K3166" s="2" t="inlineStr">
        <is>
          <t>marker_433_382903.png</t>
        </is>
      </c>
      <c r="L3166" s="11">
        <f>HYPERLINK("3\1\" &amp; K3166, "Ver Imagen")</f>
        <v/>
      </c>
      <c r="M3166" t="inlineStr">
        <is>
          <t>Moda</t>
        </is>
      </c>
    </row>
    <row r="3167">
      <c r="A3167" t="n">
        <v>3167</v>
      </c>
      <c r="B3167" t="inlineStr">
        <is>
          <t>A-5058__204</t>
        </is>
      </c>
      <c r="C3167" s="1" t="n">
        <v>37.2356360569</v>
      </c>
      <c r="D3167" s="1" t="n">
        <v>-7.07415535162</v>
      </c>
      <c r="E3167" s="3" t="n">
        <v>3</v>
      </c>
      <c r="F3167" s="2" t="n">
        <v>3</v>
      </c>
      <c r="G3167" s="4" t="n">
        <v>4</v>
      </c>
      <c r="H3167" s="13" t="n"/>
      <c r="I3167" s="15" t="n"/>
      <c r="J3167" s="19" t="n">
        <v>3</v>
      </c>
      <c r="K3167" s="2" t="inlineStr">
        <is>
          <t>marker_404_382931.png</t>
        </is>
      </c>
      <c r="L3167" s="11">
        <f>HYPERLINK("3\1\" &amp; K3167, "Ver Imagen")</f>
        <v/>
      </c>
      <c r="M3167" t="inlineStr">
        <is>
          <t>Moda</t>
        </is>
      </c>
    </row>
    <row r="3168">
      <c r="A3168" t="n">
        <v>3168</v>
      </c>
      <c r="B3168" t="inlineStr">
        <is>
          <t>A-5058__206</t>
        </is>
      </c>
      <c r="C3168" s="1" t="n">
        <v>37.2358663076</v>
      </c>
      <c r="D3168" s="1" t="n">
        <v>-7.07456706011</v>
      </c>
      <c r="E3168" s="3" t="n">
        <v>3</v>
      </c>
      <c r="F3168" s="2" t="n">
        <v>3</v>
      </c>
      <c r="G3168" s="4" t="n">
        <v>4</v>
      </c>
      <c r="H3168" s="13" t="n"/>
      <c r="I3168" s="15" t="n"/>
      <c r="J3168" s="19" t="n">
        <v>3</v>
      </c>
      <c r="K3168" s="2" t="inlineStr">
        <is>
          <t>marker_769_382969.png</t>
        </is>
      </c>
      <c r="L3168" s="11">
        <f>HYPERLINK("3\1\" &amp; K3168, "Ver Imagen")</f>
        <v/>
      </c>
      <c r="M3168" t="inlineStr">
        <is>
          <t>Moda</t>
        </is>
      </c>
    </row>
    <row r="3169">
      <c r="A3169" t="n">
        <v>3169</v>
      </c>
      <c r="B3169" t="inlineStr">
        <is>
          <t>A-5058__208</t>
        </is>
      </c>
      <c r="C3169" s="1" t="n">
        <v>37.236095908</v>
      </c>
      <c r="D3169" s="1" t="n">
        <v>-7.0749751965</v>
      </c>
      <c r="E3169" s="3" t="n">
        <v>3</v>
      </c>
      <c r="F3169" s="2" t="n">
        <v>3</v>
      </c>
      <c r="G3169" s="4" t="n">
        <v>4</v>
      </c>
      <c r="H3169" s="13" t="n"/>
      <c r="I3169" s="15" t="n"/>
      <c r="J3169" s="19" t="n">
        <v>3</v>
      </c>
      <c r="K3169" s="2" t="inlineStr">
        <is>
          <t>marker_677_382989.png</t>
        </is>
      </c>
      <c r="L3169" s="11">
        <f>HYPERLINK("3\1\" &amp; K3169, "Ver Imagen")</f>
        <v/>
      </c>
      <c r="M3169" t="inlineStr">
        <is>
          <t>Moda</t>
        </is>
      </c>
    </row>
    <row r="3170">
      <c r="A3170" t="n">
        <v>3170</v>
      </c>
      <c r="B3170" t="inlineStr">
        <is>
          <t>A-5058__210</t>
        </is>
      </c>
      <c r="C3170" s="1" t="n">
        <v>37.2363177893</v>
      </c>
      <c r="D3170" s="1" t="n">
        <v>-7.07537066776</v>
      </c>
      <c r="E3170" s="3" t="n">
        <v>3</v>
      </c>
      <c r="F3170" s="2" t="n">
        <v>3</v>
      </c>
      <c r="G3170" s="4" t="n">
        <v>4</v>
      </c>
      <c r="H3170" s="13" t="n"/>
      <c r="I3170" s="15" t="n"/>
      <c r="J3170" s="19" t="n">
        <v>3</v>
      </c>
      <c r="K3170" s="2" t="inlineStr">
        <is>
          <t>marker_128_383021.png</t>
        </is>
      </c>
      <c r="L3170" s="11">
        <f>HYPERLINK("3\1\" &amp; K3170, "Ver Imagen")</f>
        <v/>
      </c>
      <c r="M3170" t="inlineStr">
        <is>
          <t>Moda</t>
        </is>
      </c>
    </row>
    <row r="3171">
      <c r="A3171" t="n">
        <v>3171</v>
      </c>
      <c r="B3171" t="inlineStr">
        <is>
          <t>A-5058__211</t>
        </is>
      </c>
      <c r="C3171" s="1" t="n">
        <v>37.2364453008</v>
      </c>
      <c r="D3171" s="1" t="n">
        <v>-7.07560307569</v>
      </c>
      <c r="E3171" s="3" t="n">
        <v>3</v>
      </c>
      <c r="F3171" s="2" t="n">
        <v>3</v>
      </c>
      <c r="G3171" s="4" t="n">
        <v>4</v>
      </c>
      <c r="H3171" s="13" t="n"/>
      <c r="I3171" s="15" t="n"/>
      <c r="J3171" s="19" t="n">
        <v>3</v>
      </c>
      <c r="K3171" s="2" t="inlineStr">
        <is>
          <t>marker_457_383029.png</t>
        </is>
      </c>
      <c r="L3171" s="11">
        <f>HYPERLINK("3\1\" &amp; K3171, "Ver Imagen")</f>
        <v/>
      </c>
      <c r="M3171" t="inlineStr">
        <is>
          <t>Moda</t>
        </is>
      </c>
    </row>
    <row r="3172">
      <c r="A3172" t="n">
        <v>3172</v>
      </c>
      <c r="B3172" t="inlineStr">
        <is>
          <t>A-5058__212</t>
        </is>
      </c>
      <c r="C3172" s="1" t="n">
        <v>37.2365549028</v>
      </c>
      <c r="D3172" s="1" t="n">
        <v>-7.07580119375</v>
      </c>
      <c r="E3172" s="3" t="n">
        <v>3</v>
      </c>
      <c r="F3172" s="2" t="n">
        <v>3</v>
      </c>
      <c r="G3172" s="4" t="n">
        <v>4</v>
      </c>
      <c r="H3172" s="13" t="n"/>
      <c r="I3172" s="15" t="n"/>
      <c r="J3172" s="19" t="n">
        <v>3</v>
      </c>
      <c r="K3172" s="2" t="inlineStr">
        <is>
          <t>marker_262_383041.png</t>
        </is>
      </c>
      <c r="L3172" s="11">
        <f>HYPERLINK("3\1\" &amp; K3172, "Ver Imagen")</f>
        <v/>
      </c>
      <c r="M3172" t="inlineStr">
        <is>
          <t>Moda</t>
        </is>
      </c>
    </row>
    <row r="3173">
      <c r="A3173" t="n">
        <v>3173</v>
      </c>
      <c r="B3173" t="inlineStr">
        <is>
          <t>A-5058__213</t>
        </is>
      </c>
      <c r="C3173" s="1" t="n">
        <v>37.2366810614</v>
      </c>
      <c r="D3173" s="1" t="n">
        <v>-7.07602461087</v>
      </c>
      <c r="E3173" s="3" t="n">
        <v>3</v>
      </c>
      <c r="F3173" s="2" t="n">
        <v>3</v>
      </c>
      <c r="G3173" s="4" t="n">
        <v>4</v>
      </c>
      <c r="H3173" s="13" t="n"/>
      <c r="I3173" s="15" t="n"/>
      <c r="J3173" s="19" t="n">
        <v>3</v>
      </c>
      <c r="K3173" s="2" t="inlineStr">
        <is>
          <t>marker_573_383052.png</t>
        </is>
      </c>
      <c r="L3173" s="11">
        <f>HYPERLINK("3\1\" &amp; K3173, "Ver Imagen")</f>
        <v/>
      </c>
      <c r="M3173" t="inlineStr">
        <is>
          <t>Moda</t>
        </is>
      </c>
    </row>
    <row r="3174">
      <c r="A3174" t="n">
        <v>3174</v>
      </c>
      <c r="B3174" t="inlineStr">
        <is>
          <t>A-5058__214</t>
        </is>
      </c>
      <c r="C3174" s="1" t="n">
        <v>37.2367915443</v>
      </c>
      <c r="D3174" s="1" t="n">
        <v>-7.07621966912</v>
      </c>
      <c r="E3174" s="3" t="n">
        <v>3</v>
      </c>
      <c r="F3174" s="2" t="n">
        <v>3</v>
      </c>
      <c r="G3174" s="4" t="n">
        <v>4</v>
      </c>
      <c r="H3174" s="13" t="n"/>
      <c r="I3174" s="15" t="n"/>
      <c r="J3174" s="19" t="n">
        <v>3</v>
      </c>
      <c r="K3174" s="2" t="inlineStr">
        <is>
          <t>marker_382_383062.png</t>
        </is>
      </c>
      <c r="L3174" s="11">
        <f>HYPERLINK("3\1\" &amp; K3174, "Ver Imagen")</f>
        <v/>
      </c>
      <c r="M3174" t="inlineStr">
        <is>
          <t>Moda</t>
        </is>
      </c>
    </row>
    <row r="3175">
      <c r="A3175" t="n">
        <v>3175</v>
      </c>
      <c r="B3175" t="inlineStr">
        <is>
          <t>A-5058__215</t>
        </is>
      </c>
      <c r="C3175" s="1" t="n">
        <v>37.2369018456</v>
      </c>
      <c r="D3175" s="1" t="n">
        <v>-7.0764155946</v>
      </c>
      <c r="E3175" s="3" t="n">
        <v>3</v>
      </c>
      <c r="F3175" s="2" t="n">
        <v>3</v>
      </c>
      <c r="G3175" s="4" t="n">
        <v>4</v>
      </c>
      <c r="H3175" s="13" t="n"/>
      <c r="I3175" s="15" t="n"/>
      <c r="J3175" s="19" t="n">
        <v>3</v>
      </c>
      <c r="K3175" s="2" t="inlineStr">
        <is>
          <t>marker_179_383071.png</t>
        </is>
      </c>
      <c r="L3175" s="11">
        <f>HYPERLINK("3\1\" &amp; K3175, "Ver Imagen")</f>
        <v/>
      </c>
      <c r="M3175" t="inlineStr">
        <is>
          <t>Moda</t>
        </is>
      </c>
    </row>
    <row r="3176">
      <c r="A3176" t="n">
        <v>3176</v>
      </c>
      <c r="B3176" t="inlineStr">
        <is>
          <t>A-5058__217</t>
        </is>
      </c>
      <c r="C3176" s="1" t="n">
        <v>37.2371324948</v>
      </c>
      <c r="D3176" s="1" t="n">
        <v>-7.07683422093</v>
      </c>
      <c r="E3176" s="3" t="n">
        <v>3</v>
      </c>
      <c r="F3176" s="2" t="n">
        <v>3</v>
      </c>
      <c r="G3176" s="4" t="n">
        <v>4</v>
      </c>
      <c r="H3176" s="13" t="n"/>
      <c r="I3176" s="15" t="n"/>
      <c r="J3176" s="19" t="n">
        <v>3</v>
      </c>
      <c r="K3176" s="2" t="inlineStr">
        <is>
          <t>marker_233_383092.png</t>
        </is>
      </c>
      <c r="L3176" s="11">
        <f>HYPERLINK("3\1\" &amp; K3176, "Ver Imagen")</f>
        <v/>
      </c>
      <c r="M3176" t="inlineStr">
        <is>
          <t>Moda</t>
        </is>
      </c>
    </row>
    <row r="3177">
      <c r="A3177" t="n">
        <v>3177</v>
      </c>
      <c r="B3177" t="inlineStr">
        <is>
          <t>A-5058__219</t>
        </is>
      </c>
      <c r="C3177" s="1" t="n">
        <v>37.2373647183</v>
      </c>
      <c r="D3177" s="1" t="n">
        <v>-7.07725293148</v>
      </c>
      <c r="E3177" s="3" t="n">
        <v>3</v>
      </c>
      <c r="F3177" s="2" t="n">
        <v>3</v>
      </c>
      <c r="G3177" s="4" t="n">
        <v>4</v>
      </c>
      <c r="H3177" s="13" t="n"/>
      <c r="I3177" s="15" t="n"/>
      <c r="J3177" s="19" t="n">
        <v>3</v>
      </c>
      <c r="K3177" s="2" t="inlineStr">
        <is>
          <t>marker_224_383110.png</t>
        </is>
      </c>
      <c r="L3177" s="11">
        <f>HYPERLINK("3\1\" &amp; K3177, "Ver Imagen")</f>
        <v/>
      </c>
      <c r="M3177" t="inlineStr">
        <is>
          <t>Moda</t>
        </is>
      </c>
    </row>
    <row r="3178">
      <c r="A3178" t="n">
        <v>3178</v>
      </c>
      <c r="B3178" t="inlineStr">
        <is>
          <t>A-5058__220</t>
        </is>
      </c>
      <c r="C3178" s="1" t="n">
        <v>37.2374839717</v>
      </c>
      <c r="D3178" s="1" t="n">
        <v>-7.07746546893</v>
      </c>
      <c r="E3178" s="3" t="n">
        <v>3</v>
      </c>
      <c r="F3178" s="2" t="n">
        <v>3</v>
      </c>
      <c r="G3178" s="4" t="n">
        <v>4</v>
      </c>
      <c r="H3178" s="13" t="n"/>
      <c r="I3178" s="15" t="n"/>
      <c r="J3178" s="19" t="n">
        <v>3</v>
      </c>
      <c r="K3178" s="2" t="inlineStr">
        <is>
          <t>marker_603_383128.png</t>
        </is>
      </c>
      <c r="L3178" s="11">
        <f>HYPERLINK("3\1\" &amp; K3178, "Ver Imagen")</f>
        <v/>
      </c>
      <c r="M3178" t="inlineStr">
        <is>
          <t>Moda</t>
        </is>
      </c>
    </row>
    <row r="3179">
      <c r="A3179" t="n">
        <v>3179</v>
      </c>
      <c r="B3179" t="inlineStr">
        <is>
          <t>A-5058__221</t>
        </is>
      </c>
      <c r="C3179" s="1" t="n">
        <v>37.2375984542</v>
      </c>
      <c r="D3179" s="1" t="n">
        <v>-7.07766558076</v>
      </c>
      <c r="E3179" s="3" t="n">
        <v>3</v>
      </c>
      <c r="F3179" s="2" t="n">
        <v>3</v>
      </c>
      <c r="G3179" s="4" t="n">
        <v>4</v>
      </c>
      <c r="H3179" s="13" t="n"/>
      <c r="I3179" s="15" t="n"/>
      <c r="J3179" s="19" t="n">
        <v>3</v>
      </c>
      <c r="K3179" s="2" t="inlineStr">
        <is>
          <t>marker_594_383149.png</t>
        </is>
      </c>
      <c r="L3179" s="11">
        <f>HYPERLINK("3\1\" &amp; K3179, "Ver Imagen")</f>
        <v/>
      </c>
      <c r="M3179" t="inlineStr">
        <is>
          <t>Moda</t>
        </is>
      </c>
    </row>
    <row r="3180">
      <c r="A3180" t="n">
        <v>3180</v>
      </c>
      <c r="B3180" t="inlineStr">
        <is>
          <t>A-5058__222</t>
        </is>
      </c>
      <c r="C3180" s="1" t="n">
        <v>37.23771425</v>
      </c>
      <c r="D3180" s="1" t="n">
        <v>-7.07786595309</v>
      </c>
      <c r="E3180" s="3" t="n">
        <v>3</v>
      </c>
      <c r="F3180" s="2" t="n">
        <v>3</v>
      </c>
      <c r="G3180" s="4" t="n">
        <v>4</v>
      </c>
      <c r="H3180" s="13" t="n"/>
      <c r="I3180" s="15" t="n"/>
      <c r="J3180" s="19" t="n">
        <v>3</v>
      </c>
      <c r="K3180" s="2" t="inlineStr">
        <is>
          <t>marker_103_383158.png</t>
        </is>
      </c>
      <c r="L3180" s="11">
        <f>HYPERLINK("3\1\" &amp; K3180, "Ver Imagen")</f>
        <v/>
      </c>
      <c r="M3180" t="inlineStr">
        <is>
          <t>Moda</t>
        </is>
      </c>
    </row>
    <row r="3181">
      <c r="A3181" t="n">
        <v>3181</v>
      </c>
      <c r="B3181" t="inlineStr">
        <is>
          <t>A-5058__223</t>
        </is>
      </c>
      <c r="C3181" s="1" t="n">
        <v>37.23784305</v>
      </c>
      <c r="D3181" s="1" t="n">
        <v>-7.07808507513</v>
      </c>
      <c r="E3181" s="3" t="n">
        <v>3</v>
      </c>
      <c r="F3181" s="2" t="n">
        <v>3</v>
      </c>
      <c r="G3181" s="4" t="n">
        <v>4</v>
      </c>
      <c r="H3181" s="13" t="n"/>
      <c r="I3181" s="15" t="n"/>
      <c r="J3181" s="19" t="n">
        <v>3</v>
      </c>
      <c r="K3181" s="2" t="inlineStr">
        <is>
          <t>marker_970_383168.png</t>
        </is>
      </c>
      <c r="L3181" s="11">
        <f>HYPERLINK("3\1\" &amp; K3181, "Ver Imagen")</f>
        <v/>
      </c>
      <c r="M3181" t="inlineStr">
        <is>
          <t>Moda</t>
        </is>
      </c>
    </row>
    <row r="3182">
      <c r="A3182" t="n">
        <v>3182</v>
      </c>
      <c r="B3182" t="inlineStr">
        <is>
          <t>A-5058__224</t>
        </is>
      </c>
      <c r="C3182" s="1" t="n">
        <v>37.2379572713</v>
      </c>
      <c r="D3182" s="1" t="n">
        <v>-7.078277792</v>
      </c>
      <c r="E3182" s="3" t="n">
        <v>3</v>
      </c>
      <c r="F3182" s="2" t="n">
        <v>3</v>
      </c>
      <c r="G3182" s="4" t="n">
        <v>4</v>
      </c>
      <c r="H3182" s="13" t="n"/>
      <c r="I3182" s="15" t="n"/>
      <c r="J3182" s="19" t="n">
        <v>3</v>
      </c>
      <c r="K3182" s="2" t="inlineStr">
        <is>
          <t>marker_573_383182.png</t>
        </is>
      </c>
      <c r="L3182" s="11">
        <f>HYPERLINK("3\1\" &amp; K3182, "Ver Imagen")</f>
        <v/>
      </c>
      <c r="M3182" t="inlineStr">
        <is>
          <t>Moda</t>
        </is>
      </c>
    </row>
    <row r="3183">
      <c r="A3183" t="n">
        <v>3183</v>
      </c>
      <c r="B3183" t="inlineStr">
        <is>
          <t>A-5058__227</t>
        </is>
      </c>
      <c r="C3183" s="1" t="n">
        <v>37.2383295488</v>
      </c>
      <c r="D3183" s="1" t="n">
        <v>-7.07887566809</v>
      </c>
      <c r="E3183" s="3" t="n">
        <v>3</v>
      </c>
      <c r="F3183" s="2" t="n">
        <v>3</v>
      </c>
      <c r="G3183" s="4" t="n">
        <v>4</v>
      </c>
      <c r="H3183" s="13" t="n"/>
      <c r="I3183" s="15" t="n"/>
      <c r="J3183" s="19" t="n">
        <v>3</v>
      </c>
      <c r="K3183" s="2" t="inlineStr">
        <is>
          <t>marker_850_383213.png</t>
        </is>
      </c>
      <c r="L3183" s="11">
        <f>HYPERLINK("3\1\" &amp; K3183, "Ver Imagen")</f>
        <v/>
      </c>
      <c r="M3183" t="inlineStr">
        <is>
          <t>Moda</t>
        </is>
      </c>
    </row>
    <row r="3184">
      <c r="A3184" t="n">
        <v>3184</v>
      </c>
      <c r="B3184" t="inlineStr">
        <is>
          <t>A-5058__228</t>
        </is>
      </c>
      <c r="C3184" s="1" t="n">
        <v>37.2384735418</v>
      </c>
      <c r="D3184" s="1" t="n">
        <v>-7.0790936783</v>
      </c>
      <c r="E3184" s="3" t="n">
        <v>3</v>
      </c>
      <c r="F3184" s="2" t="n">
        <v>3</v>
      </c>
      <c r="G3184" s="4" t="n">
        <v>4</v>
      </c>
      <c r="H3184" s="13" t="n"/>
      <c r="I3184" s="15" t="n"/>
      <c r="J3184" s="19" t="n">
        <v>3</v>
      </c>
      <c r="K3184" s="2" t="inlineStr">
        <is>
          <t>marker_109_383225.png</t>
        </is>
      </c>
      <c r="L3184" s="11">
        <f>HYPERLINK("3\1\" &amp; K3184, "Ver Imagen")</f>
        <v/>
      </c>
      <c r="M3184" t="inlineStr">
        <is>
          <t>Moda</t>
        </is>
      </c>
    </row>
    <row r="3185">
      <c r="A3185" t="n">
        <v>3185</v>
      </c>
      <c r="B3185" t="inlineStr">
        <is>
          <t>A-5058__238</t>
        </is>
      </c>
      <c r="C3185" s="1" t="n">
        <v>37.2397460951</v>
      </c>
      <c r="D3185" s="1" t="n">
        <v>-7.08101283156</v>
      </c>
      <c r="E3185" s="3" t="n">
        <v>3</v>
      </c>
      <c r="F3185" s="2" t="n">
        <v>3</v>
      </c>
      <c r="G3185" s="4" t="n">
        <v>4</v>
      </c>
      <c r="H3185" s="13" t="n"/>
      <c r="I3185" s="15" t="n"/>
      <c r="J3185" s="19" t="n">
        <v>3</v>
      </c>
      <c r="K3185" s="2" t="inlineStr">
        <is>
          <t>marker_547_383343.png</t>
        </is>
      </c>
      <c r="L3185" s="11">
        <f>HYPERLINK("3\1\" &amp; K3185, "Ver Imagen")</f>
        <v/>
      </c>
      <c r="M3185" t="inlineStr">
        <is>
          <t>Moda</t>
        </is>
      </c>
    </row>
    <row r="3186">
      <c r="A3186" t="n">
        <v>3186</v>
      </c>
      <c r="B3186" t="inlineStr">
        <is>
          <t>A-5058__239</t>
        </is>
      </c>
      <c r="C3186" s="1" t="n">
        <v>37.2398771207</v>
      </c>
      <c r="D3186" s="1" t="n">
        <v>-7.08121233237</v>
      </c>
      <c r="E3186" s="3" t="n">
        <v>3</v>
      </c>
      <c r="F3186" s="2" t="n">
        <v>3</v>
      </c>
      <c r="G3186" s="4" t="n">
        <v>4</v>
      </c>
      <c r="H3186" s="13" t="n"/>
      <c r="I3186" s="15" t="n"/>
      <c r="J3186" s="19" t="n">
        <v>3</v>
      </c>
      <c r="K3186" s="2" t="inlineStr">
        <is>
          <t>marker_368_383356.png</t>
        </is>
      </c>
      <c r="L3186" s="11">
        <f>HYPERLINK("3\1\" &amp; K3186, "Ver Imagen")</f>
        <v/>
      </c>
      <c r="M3186" t="inlineStr">
        <is>
          <t>Moda</t>
        </is>
      </c>
    </row>
    <row r="3187">
      <c r="A3187" t="n">
        <v>3187</v>
      </c>
      <c r="B3187" t="inlineStr">
        <is>
          <t>A-5058__241</t>
        </is>
      </c>
      <c r="C3187" s="1" t="n">
        <v>37.2401460062</v>
      </c>
      <c r="D3187" s="1" t="n">
        <v>-7.08162572011</v>
      </c>
      <c r="E3187" s="3" t="n">
        <v>3</v>
      </c>
      <c r="F3187" s="2" t="n">
        <v>3</v>
      </c>
      <c r="G3187" s="4" t="n">
        <v>4</v>
      </c>
      <c r="H3187" s="13" t="n"/>
      <c r="I3187" s="15" t="n"/>
      <c r="J3187" s="19" t="n">
        <v>3</v>
      </c>
      <c r="K3187" s="2" t="inlineStr">
        <is>
          <t>marker_695_383386.png</t>
        </is>
      </c>
      <c r="L3187" s="11">
        <f>HYPERLINK("3\1\" &amp; K3187, "Ver Imagen")</f>
        <v/>
      </c>
      <c r="M3187" t="inlineStr">
        <is>
          <t>Moda</t>
        </is>
      </c>
    </row>
    <row r="3188">
      <c r="A3188" t="n">
        <v>3188</v>
      </c>
      <c r="B3188" t="inlineStr">
        <is>
          <t>A-5058__242</t>
        </is>
      </c>
      <c r="C3188" s="1" t="n">
        <v>37.2402733579</v>
      </c>
      <c r="D3188" s="1" t="n">
        <v>-7.08181968396</v>
      </c>
      <c r="E3188" s="3" t="n">
        <v>3</v>
      </c>
      <c r="F3188" s="2" t="n">
        <v>3</v>
      </c>
      <c r="G3188" s="4" t="n">
        <v>4</v>
      </c>
      <c r="H3188" s="13" t="n"/>
      <c r="I3188" s="15" t="n"/>
      <c r="J3188" s="19" t="n">
        <v>3</v>
      </c>
      <c r="K3188" s="2" t="inlineStr">
        <is>
          <t>marker_171_383402.png</t>
        </is>
      </c>
      <c r="L3188" s="11">
        <f>HYPERLINK("3\1\" &amp; K3188, "Ver Imagen")</f>
        <v/>
      </c>
      <c r="M3188" t="inlineStr">
        <is>
          <t>Moda</t>
        </is>
      </c>
    </row>
    <row r="3189">
      <c r="A3189" t="n">
        <v>3189</v>
      </c>
      <c r="B3189" t="inlineStr">
        <is>
          <t>A-5058__243</t>
        </is>
      </c>
      <c r="C3189" s="1" t="n">
        <v>37.2404025198</v>
      </c>
      <c r="D3189" s="1" t="n">
        <v>-7.08201545899</v>
      </c>
      <c r="E3189" s="3" t="n">
        <v>3</v>
      </c>
      <c r="F3189" s="2" t="n">
        <v>3</v>
      </c>
      <c r="G3189" s="4" t="n">
        <v>4</v>
      </c>
      <c r="H3189" s="13" t="n"/>
      <c r="I3189" s="15" t="n"/>
      <c r="J3189" s="19" t="n">
        <v>3</v>
      </c>
      <c r="K3189" s="2" t="inlineStr">
        <is>
          <t>marker_821_383413.png</t>
        </is>
      </c>
      <c r="L3189" s="11">
        <f>HYPERLINK("3\1\" &amp; K3189, "Ver Imagen")</f>
        <v/>
      </c>
      <c r="M3189" t="inlineStr">
        <is>
          <t>Moda</t>
        </is>
      </c>
    </row>
    <row r="3190">
      <c r="A3190" t="n">
        <v>3190</v>
      </c>
      <c r="B3190" t="inlineStr">
        <is>
          <t>A-5058__244</t>
        </is>
      </c>
      <c r="C3190" s="1" t="n">
        <v>37.2405407295</v>
      </c>
      <c r="D3190" s="1" t="n">
        <v>-7.08222286931</v>
      </c>
      <c r="E3190" s="3" t="n">
        <v>3</v>
      </c>
      <c r="F3190" s="2" t="n">
        <v>3</v>
      </c>
      <c r="G3190" s="4" t="n">
        <v>4</v>
      </c>
      <c r="H3190" s="13" t="n"/>
      <c r="I3190" s="15" t="n"/>
      <c r="J3190" s="19" t="n">
        <v>3</v>
      </c>
      <c r="K3190" s="2" t="inlineStr">
        <is>
          <t>marker_395_383424.png</t>
        </is>
      </c>
      <c r="L3190" s="11">
        <f>HYPERLINK("3\1\" &amp; K3190, "Ver Imagen")</f>
        <v/>
      </c>
      <c r="M3190" t="inlineStr">
        <is>
          <t>Moda</t>
        </is>
      </c>
    </row>
    <row r="3191">
      <c r="A3191" t="n">
        <v>3191</v>
      </c>
      <c r="B3191" t="inlineStr">
        <is>
          <t>A-5058__245</t>
        </is>
      </c>
      <c r="C3191" s="1" t="n">
        <v>37.2406499679</v>
      </c>
      <c r="D3191" s="1" t="n">
        <v>-7.0823876804</v>
      </c>
      <c r="E3191" s="3" t="n">
        <v>3</v>
      </c>
      <c r="F3191" s="2" t="n">
        <v>3</v>
      </c>
      <c r="G3191" s="4" t="n">
        <v>4</v>
      </c>
      <c r="H3191" s="13" t="n"/>
      <c r="I3191" s="15" t="n"/>
      <c r="J3191" s="19" t="n">
        <v>3</v>
      </c>
      <c r="K3191" s="2" t="inlineStr">
        <is>
          <t>marker_885_383440.png</t>
        </is>
      </c>
      <c r="L3191" s="11">
        <f>HYPERLINK("3\1\" &amp; K3191, "Ver Imagen")</f>
        <v/>
      </c>
      <c r="M3191" t="inlineStr">
        <is>
          <t>Moda</t>
        </is>
      </c>
    </row>
    <row r="3192">
      <c r="A3192" t="n">
        <v>3192</v>
      </c>
      <c r="B3192" t="inlineStr">
        <is>
          <t>A-5058__246</t>
        </is>
      </c>
      <c r="C3192" s="1" t="n">
        <v>37.2407953427</v>
      </c>
      <c r="D3192" s="1" t="n">
        <v>-7.08260741973</v>
      </c>
      <c r="E3192" s="3" t="n">
        <v>3</v>
      </c>
      <c r="F3192" s="2" t="n">
        <v>3</v>
      </c>
      <c r="G3192" s="4" t="n">
        <v>4</v>
      </c>
      <c r="H3192" s="13" t="n"/>
      <c r="I3192" s="15" t="n"/>
      <c r="J3192" s="19" t="n">
        <v>3</v>
      </c>
      <c r="K3192" s="2" t="inlineStr">
        <is>
          <t>marker_259_383450.png</t>
        </is>
      </c>
      <c r="L3192" s="11">
        <f>HYPERLINK("3\1\" &amp; K3192, "Ver Imagen")</f>
        <v/>
      </c>
      <c r="M3192" t="inlineStr">
        <is>
          <t>Moda</t>
        </is>
      </c>
    </row>
    <row r="3193">
      <c r="A3193" t="n">
        <v>3193</v>
      </c>
      <c r="B3193" t="inlineStr">
        <is>
          <t>A-5058__248</t>
        </is>
      </c>
      <c r="C3193" s="1" t="n">
        <v>37.2410399058</v>
      </c>
      <c r="D3193" s="1" t="n">
        <v>-7.0829756846</v>
      </c>
      <c r="E3193" s="3" t="n">
        <v>4</v>
      </c>
      <c r="F3193" s="2" t="n">
        <v>3</v>
      </c>
      <c r="G3193" s="4" t="n">
        <v>3</v>
      </c>
      <c r="H3193" s="13" t="n"/>
      <c r="I3193" s="15" t="n"/>
      <c r="J3193" s="19" t="n">
        <v>3</v>
      </c>
      <c r="K3193" s="2" t="inlineStr">
        <is>
          <t>marker_906_383473.png</t>
        </is>
      </c>
      <c r="L3193" s="11">
        <f>HYPERLINK("3\1\" &amp; K3193, "Ver Imagen")</f>
        <v/>
      </c>
      <c r="M3193" t="inlineStr">
        <is>
          <t>Moda</t>
        </is>
      </c>
    </row>
    <row r="3194">
      <c r="A3194" t="n">
        <v>3194</v>
      </c>
      <c r="B3194" t="inlineStr">
        <is>
          <t>A-5058__251</t>
        </is>
      </c>
      <c r="C3194" s="1" t="n">
        <v>37.2414405893</v>
      </c>
      <c r="D3194" s="1" t="n">
        <v>-7.08358667753</v>
      </c>
      <c r="E3194" s="3" t="n">
        <v>3</v>
      </c>
      <c r="F3194" s="2" t="n">
        <v>3</v>
      </c>
      <c r="G3194" s="4" t="n">
        <v>4</v>
      </c>
      <c r="H3194" s="13" t="n"/>
      <c r="I3194" s="15" t="n"/>
      <c r="J3194" s="19" t="n">
        <v>3</v>
      </c>
      <c r="K3194" s="2" t="inlineStr">
        <is>
          <t>marker_200_383532.png</t>
        </is>
      </c>
      <c r="L3194" s="11">
        <f>HYPERLINK("3\1\" &amp; K3194, "Ver Imagen")</f>
        <v/>
      </c>
      <c r="M3194" t="inlineStr">
        <is>
          <t>Moda</t>
        </is>
      </c>
    </row>
    <row r="3195">
      <c r="A3195" t="n">
        <v>3195</v>
      </c>
      <c r="B3195" t="inlineStr">
        <is>
          <t>A-5058__252</t>
        </is>
      </c>
      <c r="C3195" s="1" t="n">
        <v>37.2415607014</v>
      </c>
      <c r="D3195" s="1" t="n">
        <v>-7.08377167865</v>
      </c>
      <c r="E3195" s="3" t="n">
        <v>3</v>
      </c>
      <c r="F3195" s="2" t="n">
        <v>3</v>
      </c>
      <c r="G3195" s="4" t="n">
        <v>4</v>
      </c>
      <c r="H3195" s="13" t="n"/>
      <c r="I3195" s="15" t="n"/>
      <c r="J3195" s="19" t="n">
        <v>3</v>
      </c>
      <c r="K3195" s="2" t="inlineStr">
        <is>
          <t>marker_101_383544.png</t>
        </is>
      </c>
      <c r="L3195" s="11">
        <f>HYPERLINK("3\1\" &amp; K3195, "Ver Imagen")</f>
        <v/>
      </c>
      <c r="M3195" t="inlineStr">
        <is>
          <t>Moda</t>
        </is>
      </c>
    </row>
    <row r="3196">
      <c r="A3196" t="n">
        <v>3196</v>
      </c>
      <c r="B3196" t="inlineStr">
        <is>
          <t>A-5058__255</t>
        </is>
      </c>
      <c r="C3196" s="1" t="n">
        <v>37.2419211377</v>
      </c>
      <c r="D3196" s="1" t="n">
        <v>-7.0843767378</v>
      </c>
      <c r="E3196" s="3" t="n">
        <v>3</v>
      </c>
      <c r="F3196" s="2" t="n">
        <v>3</v>
      </c>
      <c r="G3196" s="4" t="n">
        <v>4</v>
      </c>
      <c r="H3196" s="13" t="n"/>
      <c r="I3196" s="15" t="n"/>
      <c r="J3196" s="19" t="n">
        <v>3</v>
      </c>
      <c r="K3196" s="2" t="inlineStr">
        <is>
          <t>marker_471_383594.png</t>
        </is>
      </c>
      <c r="L3196" s="11">
        <f>HYPERLINK("3\1\" &amp; K3196, "Ver Imagen")</f>
        <v/>
      </c>
      <c r="M3196" t="inlineStr">
        <is>
          <t>Moda</t>
        </is>
      </c>
    </row>
    <row r="3197">
      <c r="A3197" t="n">
        <v>3197</v>
      </c>
      <c r="B3197" t="inlineStr">
        <is>
          <t>A-5058__256</t>
        </is>
      </c>
      <c r="C3197" s="1" t="n">
        <v>37.2420252503</v>
      </c>
      <c r="D3197" s="1" t="n">
        <v>-7.08458609245</v>
      </c>
      <c r="E3197" s="3" t="n">
        <v>3</v>
      </c>
      <c r="F3197" s="2" t="n">
        <v>3</v>
      </c>
      <c r="G3197" s="4" t="n">
        <v>4</v>
      </c>
      <c r="H3197" s="13" t="n"/>
      <c r="I3197" s="15" t="n"/>
      <c r="J3197" s="19" t="n">
        <v>3</v>
      </c>
      <c r="K3197" s="2" t="inlineStr">
        <is>
          <t>marker_799_383608.png</t>
        </is>
      </c>
      <c r="L3197" s="11">
        <f>HYPERLINK("3\1\" &amp; K3197, "Ver Imagen")</f>
        <v/>
      </c>
      <c r="M3197" t="inlineStr">
        <is>
          <t>Moda</t>
        </is>
      </c>
    </row>
    <row r="3198">
      <c r="A3198" t="n">
        <v>3198</v>
      </c>
      <c r="B3198" t="inlineStr">
        <is>
          <t>A-5058__257</t>
        </is>
      </c>
      <c r="C3198" s="1" t="n">
        <v>37.2421172372</v>
      </c>
      <c r="D3198" s="1" t="n">
        <v>-7.08479344656</v>
      </c>
      <c r="E3198" s="3" t="n">
        <v>3</v>
      </c>
      <c r="F3198" s="2" t="n">
        <v>3</v>
      </c>
      <c r="G3198" s="4" t="n">
        <v>4</v>
      </c>
      <c r="H3198" s="13" t="n"/>
      <c r="I3198" s="15" t="n"/>
      <c r="J3198" s="19" t="n">
        <v>3</v>
      </c>
      <c r="K3198" s="2" t="inlineStr">
        <is>
          <t>marker_764_383632.png</t>
        </is>
      </c>
      <c r="L3198" s="11">
        <f>HYPERLINK("3\1\" &amp; K3198, "Ver Imagen")</f>
        <v/>
      </c>
      <c r="M3198" t="inlineStr">
        <is>
          <t>Moda</t>
        </is>
      </c>
    </row>
    <row r="3199">
      <c r="A3199" t="n">
        <v>3199</v>
      </c>
      <c r="B3199" t="inlineStr">
        <is>
          <t>A-5058__258</t>
        </is>
      </c>
      <c r="C3199" s="1" t="n">
        <v>37.2422153357</v>
      </c>
      <c r="D3199" s="1" t="n">
        <v>-7.08504421058</v>
      </c>
      <c r="E3199" s="3" t="n">
        <v>3</v>
      </c>
      <c r="F3199" s="2" t="n">
        <v>3</v>
      </c>
      <c r="G3199" s="4" t="n">
        <v>4</v>
      </c>
      <c r="H3199" s="13" t="n"/>
      <c r="I3199" s="15" t="n"/>
      <c r="J3199" s="19" t="n">
        <v>3</v>
      </c>
      <c r="K3199" s="2" t="inlineStr">
        <is>
          <t>marker_699_383641.png</t>
        </is>
      </c>
      <c r="L3199" s="11">
        <f>HYPERLINK("3\1\" &amp; K3199, "Ver Imagen")</f>
        <v/>
      </c>
      <c r="M3199" t="inlineStr">
        <is>
          <t>Moda</t>
        </is>
      </c>
    </row>
    <row r="3200">
      <c r="A3200" t="n">
        <v>3200</v>
      </c>
      <c r="B3200" t="inlineStr">
        <is>
          <t>A-5058__268</t>
        </is>
      </c>
      <c r="C3200" s="1" t="n">
        <v>37.2428811503</v>
      </c>
      <c r="D3200" s="1" t="n">
        <v>-7.08740092729</v>
      </c>
      <c r="E3200" s="3" t="n">
        <v>4</v>
      </c>
      <c r="F3200" s="2" t="n">
        <v>3</v>
      </c>
      <c r="G3200" s="4" t="n">
        <v>3</v>
      </c>
      <c r="H3200" s="13" t="n"/>
      <c r="I3200" s="15" t="n"/>
      <c r="J3200" s="19" t="n">
        <v>3</v>
      </c>
      <c r="K3200" s="2" t="inlineStr">
        <is>
          <t>marker_788_383894.png</t>
        </is>
      </c>
      <c r="L3200" s="11">
        <f>HYPERLINK("3\1\" &amp; K3200, "Ver Imagen")</f>
        <v/>
      </c>
      <c r="M3200" t="inlineStr">
        <is>
          <t>Moda</t>
        </is>
      </c>
    </row>
    <row r="3201">
      <c r="A3201" t="n">
        <v>3201</v>
      </c>
      <c r="B3201" t="inlineStr">
        <is>
          <t>A-5058__273</t>
        </is>
      </c>
      <c r="C3201" s="1" t="n">
        <v>37.2433021954</v>
      </c>
      <c r="D3201" s="1" t="n">
        <v>-7.0885640155</v>
      </c>
      <c r="E3201" s="3" t="n">
        <v>3</v>
      </c>
      <c r="F3201" s="2" t="n">
        <v>3</v>
      </c>
      <c r="G3201" s="4" t="n">
        <v>4</v>
      </c>
      <c r="H3201" s="13" t="n"/>
      <c r="I3201" s="15" t="n"/>
      <c r="J3201" s="19" t="n">
        <v>3</v>
      </c>
      <c r="K3201" s="2" t="inlineStr">
        <is>
          <t>marker_863_383953.png</t>
        </is>
      </c>
      <c r="L3201" s="11">
        <f>HYPERLINK("3\1\" &amp; K3201, "Ver Imagen")</f>
        <v/>
      </c>
      <c r="M3201" t="inlineStr">
        <is>
          <t>Moda</t>
        </is>
      </c>
    </row>
    <row r="3202">
      <c r="A3202" t="n">
        <v>3202</v>
      </c>
      <c r="B3202" t="inlineStr">
        <is>
          <t>A-5058__299</t>
        </is>
      </c>
      <c r="C3202" s="1" t="n">
        <v>37.2454676902</v>
      </c>
      <c r="D3202" s="1" t="n">
        <v>-7.09445703989</v>
      </c>
      <c r="E3202" s="3" t="n">
        <v>3</v>
      </c>
      <c r="F3202" s="2" t="n">
        <v>3</v>
      </c>
      <c r="G3202" s="4" t="n">
        <v>4</v>
      </c>
      <c r="H3202" s="13" t="n"/>
      <c r="I3202" s="15" t="n"/>
      <c r="J3202" s="19" t="n">
        <v>3</v>
      </c>
      <c r="K3202" s="2" t="inlineStr">
        <is>
          <t>marker_235_384259.png</t>
        </is>
      </c>
      <c r="L3202" s="11">
        <f>HYPERLINK("3\1\" &amp; K3202, "Ver Imagen")</f>
        <v/>
      </c>
      <c r="M3202" t="inlineStr">
        <is>
          <t>Moda</t>
        </is>
      </c>
    </row>
    <row r="3203">
      <c r="A3203" t="n">
        <v>3203</v>
      </c>
      <c r="B3203" t="inlineStr">
        <is>
          <t>A-5058__313</t>
        </is>
      </c>
      <c r="C3203" s="1" t="n">
        <v>37.245877303</v>
      </c>
      <c r="D3203" s="1" t="n">
        <v>-7.09795059117</v>
      </c>
      <c r="E3203" s="3" t="n">
        <v>3</v>
      </c>
      <c r="F3203" s="2" t="n">
        <v>3</v>
      </c>
      <c r="G3203" s="4" t="n">
        <v>4</v>
      </c>
      <c r="H3203" s="13" t="n"/>
      <c r="I3203" s="15" t="n"/>
      <c r="J3203" s="19" t="n">
        <v>3</v>
      </c>
      <c r="K3203" s="2" t="inlineStr">
        <is>
          <t>marker_230_384425.png</t>
        </is>
      </c>
      <c r="L3203" s="11">
        <f>HYPERLINK("3\1\" &amp; K3203, "Ver Imagen")</f>
        <v/>
      </c>
      <c r="M3203" t="inlineStr">
        <is>
          <t>Moda</t>
        </is>
      </c>
    </row>
    <row r="3204">
      <c r="A3204" t="n">
        <v>3204</v>
      </c>
      <c r="B3204" t="inlineStr">
        <is>
          <t>A-5058__315</t>
        </is>
      </c>
      <c r="C3204" s="1" t="n">
        <v>37.246048215</v>
      </c>
      <c r="D3204" s="1" t="n">
        <v>-7.09838606259</v>
      </c>
      <c r="E3204" s="3" t="n">
        <v>3</v>
      </c>
      <c r="F3204" s="2" t="n">
        <v>3</v>
      </c>
      <c r="G3204" s="4" t="n">
        <v>4</v>
      </c>
      <c r="H3204" s="13" t="n"/>
      <c r="I3204" s="15" t="n"/>
      <c r="J3204" s="19" t="n">
        <v>3</v>
      </c>
      <c r="K3204" s="2" t="inlineStr">
        <is>
          <t>marker_752_384450.png</t>
        </is>
      </c>
      <c r="L3204" s="11">
        <f>HYPERLINK("3\1\" &amp; K3204, "Ver Imagen")</f>
        <v/>
      </c>
      <c r="M3204" t="inlineStr">
        <is>
          <t>Moda</t>
        </is>
      </c>
    </row>
    <row r="3205">
      <c r="A3205" t="n">
        <v>3205</v>
      </c>
      <c r="B3205" t="inlineStr">
        <is>
          <t>A-5058__320</t>
        </is>
      </c>
      <c r="C3205" s="1" t="n">
        <v>37.246663766</v>
      </c>
      <c r="D3205" s="1" t="n">
        <v>-7.09943551406</v>
      </c>
      <c r="E3205" s="3" t="n">
        <v>3</v>
      </c>
      <c r="F3205" s="2" t="n">
        <v>3</v>
      </c>
      <c r="G3205" s="4" t="n">
        <v>4</v>
      </c>
      <c r="H3205" s="13" t="n"/>
      <c r="I3205" s="15" t="n"/>
      <c r="J3205" s="19" t="n">
        <v>3</v>
      </c>
      <c r="K3205" s="2" t="inlineStr">
        <is>
          <t>marker_733_384502.png</t>
        </is>
      </c>
      <c r="L3205" s="11">
        <f>HYPERLINK("3\1\" &amp; K3205, "Ver Imagen")</f>
        <v/>
      </c>
      <c r="M3205" t="inlineStr">
        <is>
          <t>Moda</t>
        </is>
      </c>
    </row>
    <row r="3206">
      <c r="A3206" t="n">
        <v>3206</v>
      </c>
      <c r="B3206" t="inlineStr">
        <is>
          <t>A-5058__325</t>
        </is>
      </c>
      <c r="C3206" s="1" t="n">
        <v>37.2473104085</v>
      </c>
      <c r="D3206" s="1" t="n">
        <v>-7.10041770013</v>
      </c>
      <c r="E3206" s="3" t="n">
        <v>3</v>
      </c>
      <c r="F3206" s="2" t="n">
        <v>3</v>
      </c>
      <c r="G3206" s="4" t="n">
        <v>4</v>
      </c>
      <c r="H3206" s="13" t="n"/>
      <c r="I3206" s="15" t="n"/>
      <c r="J3206" s="19" t="n">
        <v>3</v>
      </c>
      <c r="K3206" s="2" t="inlineStr">
        <is>
          <t>marker_309_384561.png</t>
        </is>
      </c>
      <c r="L3206" s="11">
        <f>HYPERLINK("3\1\" &amp; K3206, "Ver Imagen")</f>
        <v/>
      </c>
      <c r="M3206" t="inlineStr">
        <is>
          <t>Moda</t>
        </is>
      </c>
    </row>
    <row r="3207">
      <c r="A3207" t="n">
        <v>3207</v>
      </c>
      <c r="B3207" t="inlineStr">
        <is>
          <t>A-5058__326</t>
        </is>
      </c>
      <c r="C3207" s="1" t="n">
        <v>37.2474411686</v>
      </c>
      <c r="D3207" s="1" t="n">
        <v>-7.10061370905</v>
      </c>
      <c r="E3207" s="3" t="n">
        <v>3</v>
      </c>
      <c r="F3207" s="2" t="n">
        <v>3</v>
      </c>
      <c r="G3207" s="4" t="n">
        <v>4</v>
      </c>
      <c r="H3207" s="13" t="n"/>
      <c r="I3207" s="15" t="n"/>
      <c r="J3207" s="19" t="n">
        <v>3</v>
      </c>
      <c r="K3207" s="2" t="inlineStr">
        <is>
          <t>marker_285_384571.png</t>
        </is>
      </c>
      <c r="L3207" s="11">
        <f>HYPERLINK("3\1\" &amp; K3207, "Ver Imagen")</f>
        <v/>
      </c>
      <c r="M3207" t="inlineStr">
        <is>
          <t>Moda</t>
        </is>
      </c>
    </row>
    <row r="3208">
      <c r="A3208" t="n">
        <v>3208</v>
      </c>
      <c r="B3208" t="inlineStr">
        <is>
          <t>A-5058__328</t>
        </is>
      </c>
      <c r="C3208" s="1" t="n">
        <v>37.2477000462</v>
      </c>
      <c r="D3208" s="1" t="n">
        <v>-7.10099892546</v>
      </c>
      <c r="E3208" s="3" t="n">
        <v>3</v>
      </c>
      <c r="F3208" s="2" t="n">
        <v>3</v>
      </c>
      <c r="G3208" s="4" t="n">
        <v>4</v>
      </c>
      <c r="H3208" s="13" t="n"/>
      <c r="I3208" s="15" t="n"/>
      <c r="J3208" s="19" t="n">
        <v>3</v>
      </c>
      <c r="K3208" s="2" t="inlineStr">
        <is>
          <t>marker_727_384595.png</t>
        </is>
      </c>
      <c r="L3208" s="11">
        <f>HYPERLINK("3\1\" &amp; K3208, "Ver Imagen")</f>
        <v/>
      </c>
      <c r="M3208" t="inlineStr">
        <is>
          <t>Moda</t>
        </is>
      </c>
    </row>
    <row r="3209">
      <c r="A3209" t="n">
        <v>3209</v>
      </c>
      <c r="B3209" t="inlineStr">
        <is>
          <t>A-5058__336</t>
        </is>
      </c>
      <c r="C3209" s="1" t="n">
        <v>37.2489429864</v>
      </c>
      <c r="D3209" s="1" t="n">
        <v>-7.10222034778</v>
      </c>
      <c r="E3209" s="3" t="n">
        <v>3</v>
      </c>
      <c r="F3209" s="2" t="n">
        <v>3</v>
      </c>
      <c r="G3209" s="4" t="n">
        <v>4</v>
      </c>
      <c r="H3209" s="13" t="n"/>
      <c r="I3209" s="15" t="n"/>
      <c r="J3209" s="19" t="n">
        <v>3</v>
      </c>
      <c r="K3209" s="2" t="inlineStr">
        <is>
          <t>marker_373_384714.png</t>
        </is>
      </c>
      <c r="L3209" s="11">
        <f>HYPERLINK("3\1\" &amp; K3209, "Ver Imagen")</f>
        <v/>
      </c>
      <c r="M3209" t="inlineStr">
        <is>
          <t>Moda</t>
        </is>
      </c>
    </row>
    <row r="3210">
      <c r="A3210" t="n">
        <v>3210</v>
      </c>
      <c r="B3210" t="inlineStr">
        <is>
          <t>A-5058__349</t>
        </is>
      </c>
      <c r="C3210" s="1" t="n">
        <v>37.2513356124</v>
      </c>
      <c r="D3210" s="1" t="n">
        <v>-7.10361140574</v>
      </c>
      <c r="E3210" s="3" t="n">
        <v>2</v>
      </c>
      <c r="F3210" s="2" t="n">
        <v>3</v>
      </c>
      <c r="G3210" s="4" t="n">
        <v>3</v>
      </c>
      <c r="H3210" s="13" t="n"/>
      <c r="I3210" s="15" t="n"/>
      <c r="J3210" s="19" t="n">
        <v>3</v>
      </c>
      <c r="K3210" s="2" t="inlineStr">
        <is>
          <t>marker_719_384856.png</t>
        </is>
      </c>
      <c r="L3210" s="11">
        <f>HYPERLINK("3\1\" &amp; K3210, "Ver Imagen")</f>
        <v/>
      </c>
      <c r="M3210" t="inlineStr">
        <is>
          <t>Moda</t>
        </is>
      </c>
    </row>
    <row r="3211">
      <c r="A3211" t="n">
        <v>3211</v>
      </c>
      <c r="B3211" t="inlineStr">
        <is>
          <t>A-5058__350</t>
        </is>
      </c>
      <c r="C3211" s="1" t="n">
        <v>37.2515132078</v>
      </c>
      <c r="D3211" s="1" t="n">
        <v>-7.10372156947</v>
      </c>
      <c r="E3211" s="3" t="n">
        <v>2</v>
      </c>
      <c r="F3211" s="2" t="n">
        <v>3</v>
      </c>
      <c r="G3211" s="4" t="n">
        <v>3</v>
      </c>
      <c r="H3211" s="13" t="n"/>
      <c r="I3211" s="15" t="n"/>
      <c r="J3211" s="19" t="n">
        <v>3</v>
      </c>
      <c r="K3211" s="2" t="inlineStr">
        <is>
          <t>marker_576_384866.png</t>
        </is>
      </c>
      <c r="L3211" s="11">
        <f>HYPERLINK("3\1\" &amp; K3211, "Ver Imagen")</f>
        <v/>
      </c>
      <c r="M3211" t="inlineStr">
        <is>
          <t>Moda</t>
        </is>
      </c>
    </row>
    <row r="3212">
      <c r="A3212" t="n">
        <v>3212</v>
      </c>
      <c r="B3212" t="inlineStr">
        <is>
          <t>A-5058__351</t>
        </is>
      </c>
      <c r="C3212" s="1" t="n">
        <v>37.2516857743</v>
      </c>
      <c r="D3212" s="1" t="n">
        <v>-7.10384224924</v>
      </c>
      <c r="E3212" s="3" t="n">
        <v>2</v>
      </c>
      <c r="F3212" s="2" t="n">
        <v>3</v>
      </c>
      <c r="G3212" s="4" t="n">
        <v>3</v>
      </c>
      <c r="H3212" s="13" t="n"/>
      <c r="I3212" s="15" t="n"/>
      <c r="J3212" s="19" t="n">
        <v>3</v>
      </c>
      <c r="K3212" s="2" t="inlineStr">
        <is>
          <t>marker_159_384878.png</t>
        </is>
      </c>
      <c r="L3212" s="11">
        <f>HYPERLINK("3\1\" &amp; K3212, "Ver Imagen")</f>
        <v/>
      </c>
      <c r="M3212" t="inlineStr">
        <is>
          <t>Moda</t>
        </is>
      </c>
    </row>
    <row r="3213">
      <c r="A3213" t="n">
        <v>3213</v>
      </c>
      <c r="B3213" t="inlineStr">
        <is>
          <t>A-5058__352</t>
        </is>
      </c>
      <c r="C3213" s="1" t="n">
        <v>37.2518552897</v>
      </c>
      <c r="D3213" s="1" t="n">
        <v>-7.10397898333</v>
      </c>
      <c r="E3213" s="3" t="n">
        <v>2</v>
      </c>
      <c r="F3213" s="2" t="n">
        <v>3</v>
      </c>
      <c r="G3213" s="4" t="n">
        <v>3</v>
      </c>
      <c r="H3213" s="13" t="n"/>
      <c r="I3213" s="15" t="n"/>
      <c r="J3213" s="19" t="n">
        <v>3</v>
      </c>
      <c r="K3213" s="2" t="inlineStr">
        <is>
          <t>marker_873_384889.png</t>
        </is>
      </c>
      <c r="L3213" s="11">
        <f>HYPERLINK("3\1\" &amp; K3213, "Ver Imagen")</f>
        <v/>
      </c>
      <c r="M3213" t="inlineStr">
        <is>
          <t>Moda</t>
        </is>
      </c>
    </row>
    <row r="3214">
      <c r="A3214" t="n">
        <v>3214</v>
      </c>
      <c r="B3214" t="inlineStr">
        <is>
          <t>A-5058__353</t>
        </is>
      </c>
      <c r="C3214" s="1" t="n">
        <v>37.2520257153</v>
      </c>
      <c r="D3214" s="1" t="n">
        <v>-7.10413587951</v>
      </c>
      <c r="E3214" s="3" t="n">
        <v>2</v>
      </c>
      <c r="F3214" s="2" t="n">
        <v>3</v>
      </c>
      <c r="G3214" s="4" t="n">
        <v>3</v>
      </c>
      <c r="H3214" s="13" t="n"/>
      <c r="I3214" s="15" t="n"/>
      <c r="J3214" s="19" t="n">
        <v>3</v>
      </c>
      <c r="K3214" s="2" t="inlineStr">
        <is>
          <t>marker_939_384898.png</t>
        </is>
      </c>
      <c r="L3214" s="11">
        <f>HYPERLINK("3\1\" &amp; K3214, "Ver Imagen")</f>
        <v/>
      </c>
      <c r="M3214" t="inlineStr">
        <is>
          <t>Moda</t>
        </is>
      </c>
    </row>
    <row r="3215">
      <c r="A3215" t="n">
        <v>3215</v>
      </c>
      <c r="B3215" t="inlineStr">
        <is>
          <t>A-5058__354</t>
        </is>
      </c>
      <c r="C3215" s="1" t="n">
        <v>37.2521806997</v>
      </c>
      <c r="D3215" s="1" t="n">
        <v>-7.10430227039</v>
      </c>
      <c r="E3215" s="3" t="n">
        <v>2</v>
      </c>
      <c r="F3215" s="2" t="n">
        <v>3</v>
      </c>
      <c r="G3215" s="4" t="n">
        <v>3</v>
      </c>
      <c r="H3215" s="13" t="n"/>
      <c r="I3215" s="15" t="n"/>
      <c r="J3215" s="19" t="n">
        <v>3</v>
      </c>
      <c r="K3215" s="2" t="inlineStr">
        <is>
          <t>marker_783_384907.png</t>
        </is>
      </c>
      <c r="L3215" s="11">
        <f>HYPERLINK("3\1\" &amp; K3215, "Ver Imagen")</f>
        <v/>
      </c>
      <c r="M3215" t="inlineStr">
        <is>
          <t>Moda</t>
        </is>
      </c>
    </row>
    <row r="3216">
      <c r="A3216" t="n">
        <v>3216</v>
      </c>
      <c r="B3216" t="inlineStr">
        <is>
          <t>A-5058__356</t>
        </is>
      </c>
      <c r="C3216" s="1" t="n">
        <v>37.2524664422</v>
      </c>
      <c r="D3216" s="1" t="n">
        <v>-7.10469579191</v>
      </c>
      <c r="E3216" s="3" t="n">
        <v>2</v>
      </c>
      <c r="F3216" s="2" t="n">
        <v>3</v>
      </c>
      <c r="G3216" s="4" t="n">
        <v>3</v>
      </c>
      <c r="H3216" s="13" t="n"/>
      <c r="I3216" s="15" t="n"/>
      <c r="J3216" s="19" t="n">
        <v>3</v>
      </c>
      <c r="K3216" s="2" t="inlineStr">
        <is>
          <t>marker_555_384926.png</t>
        </is>
      </c>
      <c r="L3216" s="11">
        <f>HYPERLINK("3\1\" &amp; K3216, "Ver Imagen")</f>
        <v/>
      </c>
      <c r="M3216" t="inlineStr">
        <is>
          <t>Moda</t>
        </is>
      </c>
    </row>
    <row r="3217">
      <c r="A3217" t="n">
        <v>3217</v>
      </c>
      <c r="B3217" t="inlineStr">
        <is>
          <t>A-5058__357</t>
        </is>
      </c>
      <c r="C3217" s="1" t="n">
        <v>37.2525737259</v>
      </c>
      <c r="D3217" s="1" t="n">
        <v>-7.10488207965</v>
      </c>
      <c r="E3217" s="3" t="n">
        <v>2</v>
      </c>
      <c r="F3217" s="2" t="n">
        <v>3</v>
      </c>
      <c r="G3217" s="4" t="n">
        <v>3</v>
      </c>
      <c r="H3217" s="13" t="n"/>
      <c r="I3217" s="15" t="n"/>
      <c r="J3217" s="19" t="n">
        <v>3</v>
      </c>
      <c r="K3217" s="2" t="inlineStr">
        <is>
          <t>marker_678_384935.png</t>
        </is>
      </c>
      <c r="L3217" s="11">
        <f>HYPERLINK("3\1\" &amp; K3217, "Ver Imagen")</f>
        <v/>
      </c>
      <c r="M3217" t="inlineStr">
        <is>
          <t>Moda</t>
        </is>
      </c>
    </row>
    <row r="3218">
      <c r="A3218" t="n">
        <v>3218</v>
      </c>
      <c r="B3218" t="inlineStr">
        <is>
          <t>A-5058__360</t>
        </is>
      </c>
      <c r="C3218" s="1" t="n">
        <v>37.2528712728</v>
      </c>
      <c r="D3218" s="1" t="n">
        <v>-7.10554316704</v>
      </c>
      <c r="E3218" s="3" t="n">
        <v>2</v>
      </c>
      <c r="F3218" s="2" t="n">
        <v>3</v>
      </c>
      <c r="G3218" s="4" t="n">
        <v>3</v>
      </c>
      <c r="H3218" s="13" t="n"/>
      <c r="I3218" s="15" t="n"/>
      <c r="J3218" s="19" t="n">
        <v>3</v>
      </c>
      <c r="K3218" s="2" t="inlineStr">
        <is>
          <t>marker_988_384972.png</t>
        </is>
      </c>
      <c r="L3218" s="11">
        <f>HYPERLINK("3\1\" &amp; K3218, "Ver Imagen")</f>
        <v/>
      </c>
      <c r="M3218" t="inlineStr">
        <is>
          <t>Moda</t>
        </is>
      </c>
    </row>
    <row r="3219">
      <c r="A3219" t="n">
        <v>3219</v>
      </c>
      <c r="B3219" t="inlineStr">
        <is>
          <t>A-5058__362</t>
        </is>
      </c>
      <c r="C3219" s="1" t="n">
        <v>37.2530551442</v>
      </c>
      <c r="D3219" s="1" t="n">
        <v>-7.10601794642</v>
      </c>
      <c r="E3219" s="3" t="n">
        <v>2</v>
      </c>
      <c r="F3219" s="2" t="n">
        <v>3</v>
      </c>
      <c r="G3219" s="4" t="n">
        <v>3</v>
      </c>
      <c r="H3219" s="13" t="n"/>
      <c r="I3219" s="15" t="n"/>
      <c r="J3219" s="19" t="n">
        <v>3</v>
      </c>
      <c r="K3219" s="2" t="inlineStr">
        <is>
          <t>marker_206_384992.png</t>
        </is>
      </c>
      <c r="L3219" s="11">
        <f>HYPERLINK("3\1\" &amp; K3219, "Ver Imagen")</f>
        <v/>
      </c>
      <c r="M3219" t="inlineStr">
        <is>
          <t>Moda</t>
        </is>
      </c>
    </row>
    <row r="3220">
      <c r="A3220" t="n">
        <v>3220</v>
      </c>
      <c r="B3220" t="inlineStr">
        <is>
          <t>A-5058__364</t>
        </is>
      </c>
      <c r="C3220" s="1" t="n">
        <v>37.2532390245</v>
      </c>
      <c r="D3220" s="1" t="n">
        <v>-7.10646588723</v>
      </c>
      <c r="E3220" s="3" t="n">
        <v>2</v>
      </c>
      <c r="F3220" s="2" t="n">
        <v>3</v>
      </c>
      <c r="G3220" s="4" t="n">
        <v>3</v>
      </c>
      <c r="H3220" s="13" t="n"/>
      <c r="I3220" s="15" t="n"/>
      <c r="J3220" s="19" t="n">
        <v>3</v>
      </c>
      <c r="K3220" s="2" t="inlineStr">
        <is>
          <t>marker_359_385013.png</t>
        </is>
      </c>
      <c r="L3220" s="11">
        <f>HYPERLINK("3\1\" &amp; K3220, "Ver Imagen")</f>
        <v/>
      </c>
      <c r="M3220" t="inlineStr">
        <is>
          <t>Moda</t>
        </is>
      </c>
    </row>
    <row r="3221">
      <c r="A3221" t="n">
        <v>3221</v>
      </c>
      <c r="B3221" t="inlineStr">
        <is>
          <t>A-5058__365</t>
        </is>
      </c>
      <c r="C3221" s="1" t="n">
        <v>37.2533426838</v>
      </c>
      <c r="D3221" s="1" t="n">
        <v>-7.10668342296</v>
      </c>
      <c r="E3221" s="3" t="n">
        <v>2</v>
      </c>
      <c r="F3221" s="2" t="n">
        <v>3</v>
      </c>
      <c r="G3221" s="4" t="n">
        <v>3</v>
      </c>
      <c r="H3221" s="13" t="n"/>
      <c r="I3221" s="15" t="n"/>
      <c r="J3221" s="19" t="n">
        <v>3</v>
      </c>
      <c r="K3221" s="2" t="inlineStr">
        <is>
          <t>marker_820_385025.png</t>
        </is>
      </c>
      <c r="L3221" s="11">
        <f>HYPERLINK("3\1\" &amp; K3221, "Ver Imagen")</f>
        <v/>
      </c>
      <c r="M3221" t="inlineStr">
        <is>
          <t>Moda</t>
        </is>
      </c>
    </row>
    <row r="3222">
      <c r="A3222" t="n">
        <v>3222</v>
      </c>
      <c r="B3222" t="inlineStr">
        <is>
          <t>A-5058__373</t>
        </is>
      </c>
      <c r="C3222" s="1" t="n">
        <v>37.2543967112</v>
      </c>
      <c r="D3222" s="1" t="n">
        <v>-7.10821221289</v>
      </c>
      <c r="E3222" s="3" t="n">
        <v>2</v>
      </c>
      <c r="F3222" s="2" t="n">
        <v>3</v>
      </c>
      <c r="G3222" s="4" t="n">
        <v>3</v>
      </c>
      <c r="H3222" s="13" t="n"/>
      <c r="I3222" s="15" t="n"/>
      <c r="J3222" s="19" t="n">
        <v>3</v>
      </c>
      <c r="K3222" s="2" t="inlineStr">
        <is>
          <t>marker_987_385107.png</t>
        </is>
      </c>
      <c r="L3222" s="11">
        <f>HYPERLINK("3\1\" &amp; K3222, "Ver Imagen")</f>
        <v/>
      </c>
      <c r="M3222" t="inlineStr">
        <is>
          <t>Moda</t>
        </is>
      </c>
    </row>
    <row r="3223">
      <c r="A3223" t="n">
        <v>3223</v>
      </c>
      <c r="B3223" t="inlineStr">
        <is>
          <t>A-5058__374</t>
        </is>
      </c>
      <c r="C3223" s="1" t="n">
        <v>37.2545172938</v>
      </c>
      <c r="D3223" s="1" t="n">
        <v>-7.10837643034</v>
      </c>
      <c r="E3223" s="3" t="n">
        <v>2</v>
      </c>
      <c r="F3223" s="2" t="n">
        <v>3</v>
      </c>
      <c r="G3223" s="4" t="n">
        <v>3</v>
      </c>
      <c r="H3223" s="13" t="n"/>
      <c r="I3223" s="15" t="n"/>
      <c r="J3223" s="19" t="n">
        <v>3</v>
      </c>
      <c r="K3223" s="2" t="inlineStr">
        <is>
          <t>marker_545_385119.png</t>
        </is>
      </c>
      <c r="L3223" s="11">
        <f>HYPERLINK("3\1\" &amp; K3223, "Ver Imagen")</f>
        <v/>
      </c>
      <c r="M3223" t="inlineStr">
        <is>
          <t>Moda</t>
        </is>
      </c>
    </row>
    <row r="3224">
      <c r="A3224" t="n">
        <v>3224</v>
      </c>
      <c r="B3224" t="inlineStr">
        <is>
          <t>A-5058__375</t>
        </is>
      </c>
      <c r="C3224" s="1" t="n">
        <v>37.2546643514</v>
      </c>
      <c r="D3224" s="1" t="n">
        <v>-7.10856201771</v>
      </c>
      <c r="E3224" s="3" t="n">
        <v>4</v>
      </c>
      <c r="F3224" s="2" t="n">
        <v>3</v>
      </c>
      <c r="G3224" s="4" t="n">
        <v>3</v>
      </c>
      <c r="H3224" s="13" t="n"/>
      <c r="I3224" s="15" t="n"/>
      <c r="J3224" s="19" t="n">
        <v>3</v>
      </c>
      <c r="K3224" s="2" t="inlineStr">
        <is>
          <t>marker_973_385130.png</t>
        </is>
      </c>
      <c r="L3224" s="11">
        <f>HYPERLINK("3\1\" &amp; K3224, "Ver Imagen")</f>
        <v/>
      </c>
      <c r="M3224" t="inlineStr">
        <is>
          <t>Moda</t>
        </is>
      </c>
    </row>
    <row r="3225">
      <c r="A3225" t="n">
        <v>3225</v>
      </c>
      <c r="B3225" t="inlineStr">
        <is>
          <t>A-5058__380</t>
        </is>
      </c>
      <c r="C3225" s="1" t="n">
        <v>37.255102501</v>
      </c>
      <c r="D3225" s="1" t="n">
        <v>-7.10940814389</v>
      </c>
      <c r="E3225" s="3" t="n">
        <v>3</v>
      </c>
      <c r="F3225" s="2" t="n">
        <v>3</v>
      </c>
      <c r="G3225" s="4" t="n">
        <v>4</v>
      </c>
      <c r="H3225" s="13" t="n"/>
      <c r="I3225" s="15" t="n"/>
      <c r="J3225" s="19" t="n">
        <v>3</v>
      </c>
      <c r="K3225" s="2" t="inlineStr">
        <is>
          <t>marker_672_385197.png</t>
        </is>
      </c>
      <c r="L3225" s="11">
        <f>HYPERLINK("3\1\" &amp; K3225, "Ver Imagen")</f>
        <v/>
      </c>
      <c r="M3225" t="inlineStr">
        <is>
          <t>Moda</t>
        </is>
      </c>
    </row>
    <row r="3226">
      <c r="A3226" t="n">
        <v>3226</v>
      </c>
      <c r="B3226" t="inlineStr">
        <is>
          <t>A-5058__381</t>
        </is>
      </c>
      <c r="C3226" s="1" t="n">
        <v>37.2551864279</v>
      </c>
      <c r="D3226" s="1" t="n">
        <v>-7.10966743512</v>
      </c>
      <c r="E3226" s="3" t="n">
        <v>3</v>
      </c>
      <c r="F3226" s="2" t="n">
        <v>3</v>
      </c>
      <c r="G3226" s="4" t="n">
        <v>4</v>
      </c>
      <c r="H3226" s="13" t="n"/>
      <c r="I3226" s="15" t="n"/>
      <c r="J3226" s="19" t="n">
        <v>3</v>
      </c>
      <c r="K3226" s="2" t="inlineStr">
        <is>
          <t>marker_498_385220.png</t>
        </is>
      </c>
      <c r="L3226" s="11">
        <f>HYPERLINK("3\1\" &amp; K3226, "Ver Imagen")</f>
        <v/>
      </c>
      <c r="M3226" t="inlineStr">
        <is>
          <t>Moda</t>
        </is>
      </c>
    </row>
    <row r="3227">
      <c r="A3227" t="n">
        <v>3227</v>
      </c>
      <c r="B3227" t="inlineStr">
        <is>
          <t>A-5058__382</t>
        </is>
      </c>
      <c r="C3227" s="1" t="n">
        <v>37.2552516039</v>
      </c>
      <c r="D3227" s="1" t="n">
        <v>-7.10989809575</v>
      </c>
      <c r="E3227" s="3" t="n">
        <v>3</v>
      </c>
      <c r="F3227" s="2" t="n">
        <v>3</v>
      </c>
      <c r="G3227" s="4" t="n">
        <v>4</v>
      </c>
      <c r="H3227" s="13" t="n"/>
      <c r="I3227" s="15" t="n"/>
      <c r="J3227" s="19" t="n">
        <v>3</v>
      </c>
      <c r="K3227" s="2" t="inlineStr">
        <is>
          <t>marker_356_385231.png</t>
        </is>
      </c>
      <c r="L3227" s="11">
        <f>HYPERLINK("3\1\" &amp; K3227, "Ver Imagen")</f>
        <v/>
      </c>
      <c r="M3227" t="inlineStr">
        <is>
          <t>Moda</t>
        </is>
      </c>
    </row>
    <row r="3228">
      <c r="A3228" t="n">
        <v>3228</v>
      </c>
      <c r="B3228" t="inlineStr">
        <is>
          <t>A-5058__384</t>
        </is>
      </c>
      <c r="C3228" s="1" t="n">
        <v>37.2553487117</v>
      </c>
      <c r="D3228" s="1" t="n">
        <v>-7.11040217566</v>
      </c>
      <c r="E3228" s="3" t="n">
        <v>3</v>
      </c>
      <c r="F3228" s="2" t="n">
        <v>3</v>
      </c>
      <c r="G3228" s="4" t="n">
        <v>4</v>
      </c>
      <c r="H3228" s="13" t="n"/>
      <c r="I3228" s="15" t="n"/>
      <c r="J3228" s="19" t="n">
        <v>3</v>
      </c>
      <c r="K3228" s="2" t="inlineStr">
        <is>
          <t>marker_782_385249.png</t>
        </is>
      </c>
      <c r="L3228" s="11">
        <f>HYPERLINK("3\1\" &amp; K3228, "Ver Imagen")</f>
        <v/>
      </c>
      <c r="M3228" t="inlineStr">
        <is>
          <t>Moda</t>
        </is>
      </c>
    </row>
    <row r="3229">
      <c r="A3229" t="n">
        <v>3229</v>
      </c>
      <c r="B3229" t="inlineStr">
        <is>
          <t>A-5058__389</t>
        </is>
      </c>
      <c r="C3229" s="1" t="n">
        <v>37.2553233</v>
      </c>
      <c r="D3229" s="1" t="n">
        <v>-7.11166386755</v>
      </c>
      <c r="E3229" s="3" t="n">
        <v>3</v>
      </c>
      <c r="F3229" s="2" t="n">
        <v>3</v>
      </c>
      <c r="G3229" s="4" t="n">
        <v>4</v>
      </c>
      <c r="H3229" s="13" t="n"/>
      <c r="I3229" s="15" t="n"/>
      <c r="J3229" s="19" t="n">
        <v>3</v>
      </c>
      <c r="K3229" s="2" t="inlineStr">
        <is>
          <t>marker_236_385295.png</t>
        </is>
      </c>
      <c r="L3229" s="11">
        <f>HYPERLINK("3\1\" &amp; K3229, "Ver Imagen")</f>
        <v/>
      </c>
      <c r="M3229" t="inlineStr">
        <is>
          <t>Moda</t>
        </is>
      </c>
    </row>
    <row r="3230">
      <c r="A3230" t="n">
        <v>3230</v>
      </c>
      <c r="B3230" t="inlineStr">
        <is>
          <t>A-5058__394</t>
        </is>
      </c>
      <c r="C3230" s="1" t="n">
        <v>37.255055113</v>
      </c>
      <c r="D3230" s="1" t="n">
        <v>-7.1129129728</v>
      </c>
      <c r="E3230" s="3" t="n">
        <v>3</v>
      </c>
      <c r="F3230" s="2" t="n">
        <v>3</v>
      </c>
      <c r="G3230" s="4" t="n">
        <v>4</v>
      </c>
      <c r="H3230" s="13" t="n"/>
      <c r="I3230" s="15" t="n"/>
      <c r="J3230" s="19" t="n">
        <v>3</v>
      </c>
      <c r="K3230" s="2" t="inlineStr">
        <is>
          <t>marker_216_385342.png</t>
        </is>
      </c>
      <c r="L3230" s="11">
        <f>HYPERLINK("3\1\" &amp; K3230, "Ver Imagen")</f>
        <v/>
      </c>
      <c r="M3230" t="inlineStr">
        <is>
          <t>Moda</t>
        </is>
      </c>
    </row>
    <row r="3231">
      <c r="A3231" t="n">
        <v>3231</v>
      </c>
      <c r="B3231" t="inlineStr">
        <is>
          <t>A-5058__397</t>
        </is>
      </c>
      <c r="C3231" s="1" t="n">
        <v>37.2548767549</v>
      </c>
      <c r="D3231" s="1" t="n">
        <v>-7.1136299006</v>
      </c>
      <c r="E3231" s="3" t="n">
        <v>3</v>
      </c>
      <c r="F3231" s="2" t="n">
        <v>3</v>
      </c>
      <c r="G3231" s="4" t="n">
        <v>4</v>
      </c>
      <c r="H3231" s="13" t="n"/>
      <c r="I3231" s="15" t="n"/>
      <c r="J3231" s="19" t="n">
        <v>3</v>
      </c>
      <c r="K3231" s="2" t="inlineStr">
        <is>
          <t>marker_150_385391.png</t>
        </is>
      </c>
      <c r="L3231" s="11">
        <f>HYPERLINK("3\1\" &amp; K3231, "Ver Imagen")</f>
        <v/>
      </c>
      <c r="M3231" t="inlineStr">
        <is>
          <t>Moda</t>
        </is>
      </c>
    </row>
    <row r="3232">
      <c r="A3232" t="n">
        <v>3232</v>
      </c>
      <c r="B3232" t="inlineStr">
        <is>
          <t>A-5058__399</t>
        </is>
      </c>
      <c r="C3232" s="1" t="n">
        <v>37.2547577748</v>
      </c>
      <c r="D3232" s="1" t="n">
        <v>-7.1141100892</v>
      </c>
      <c r="E3232" s="3" t="n">
        <v>3</v>
      </c>
      <c r="F3232" s="2" t="n">
        <v>3</v>
      </c>
      <c r="G3232" s="4" t="n">
        <v>4</v>
      </c>
      <c r="H3232" s="13" t="n"/>
      <c r="I3232" s="15" t="n"/>
      <c r="J3232" s="19" t="n">
        <v>3</v>
      </c>
      <c r="K3232" s="2" t="inlineStr">
        <is>
          <t>marker_115_385419.png</t>
        </is>
      </c>
      <c r="L3232" s="11">
        <f>HYPERLINK("3\1\" &amp; K3232, "Ver Imagen")</f>
        <v/>
      </c>
      <c r="M3232" t="inlineStr">
        <is>
          <t>Moda</t>
        </is>
      </c>
    </row>
    <row r="3233">
      <c r="A3233" t="n">
        <v>3233</v>
      </c>
      <c r="B3233" t="inlineStr">
        <is>
          <t>A-5058__402</t>
        </is>
      </c>
      <c r="C3233" s="1" t="n">
        <v>37.2546167025</v>
      </c>
      <c r="D3233" s="1" t="n">
        <v>-7.11481933008</v>
      </c>
      <c r="E3233" s="3" t="n">
        <v>3</v>
      </c>
      <c r="F3233" s="2" t="n">
        <v>3</v>
      </c>
      <c r="G3233" s="4" t="n">
        <v>4</v>
      </c>
      <c r="H3233" s="13" t="n"/>
      <c r="I3233" s="15" t="n"/>
      <c r="J3233" s="19" t="n">
        <v>3</v>
      </c>
      <c r="K3233" s="2" t="inlineStr">
        <is>
          <t>marker_182_388517.png</t>
        </is>
      </c>
      <c r="L3233" s="11">
        <f>HYPERLINK("3\1\" &amp; K3233, "Ver Imagen")</f>
        <v/>
      </c>
      <c r="M3233" t="inlineStr">
        <is>
          <t>Moda</t>
        </is>
      </c>
    </row>
    <row r="3234">
      <c r="A3234" t="n">
        <v>3234</v>
      </c>
      <c r="B3234" t="inlineStr">
        <is>
          <t>A-5058__404</t>
        </is>
      </c>
      <c r="C3234" s="1" t="n">
        <v>37.2545731678</v>
      </c>
      <c r="D3234" s="1" t="n">
        <v>-7.11533837826</v>
      </c>
      <c r="E3234" s="3" t="n">
        <v>3</v>
      </c>
      <c r="F3234" s="2" t="n">
        <v>3</v>
      </c>
      <c r="G3234" s="4" t="n">
        <v>4</v>
      </c>
      <c r="H3234" s="13" t="n"/>
      <c r="I3234" s="15" t="n"/>
      <c r="J3234" s="19" t="n">
        <v>3</v>
      </c>
      <c r="K3234" s="2" t="inlineStr">
        <is>
          <t>marker_847_388576.png</t>
        </is>
      </c>
      <c r="L3234" s="11">
        <f>HYPERLINK("3\1\" &amp; K3234, "Ver Imagen")</f>
        <v/>
      </c>
      <c r="M3234" t="inlineStr">
        <is>
          <t>Moda</t>
        </is>
      </c>
    </row>
    <row r="3235">
      <c r="A3235" t="n">
        <v>3235</v>
      </c>
      <c r="B3235" t="inlineStr">
        <is>
          <t>A-5058__405</t>
        </is>
      </c>
      <c r="C3235" s="1" t="n">
        <v>37.2545736808</v>
      </c>
      <c r="D3235" s="1" t="n">
        <v>-7.11558915008</v>
      </c>
      <c r="E3235" s="3" t="n">
        <v>3</v>
      </c>
      <c r="F3235" s="2" t="n">
        <v>3</v>
      </c>
      <c r="G3235" s="4" t="n">
        <v>4</v>
      </c>
      <c r="H3235" s="13" t="n"/>
      <c r="I3235" s="15" t="n"/>
      <c r="J3235" s="19" t="n">
        <v>3</v>
      </c>
      <c r="K3235" s="2" t="inlineStr">
        <is>
          <t>marker_156_388587.png</t>
        </is>
      </c>
      <c r="L3235" s="11">
        <f>HYPERLINK("3\1\" &amp; K3235, "Ver Imagen")</f>
        <v/>
      </c>
      <c r="M3235" t="inlineStr">
        <is>
          <t>Moda</t>
        </is>
      </c>
    </row>
    <row r="3236">
      <c r="A3236" t="n">
        <v>3236</v>
      </c>
      <c r="B3236" t="inlineStr">
        <is>
          <t>A-5058__412</t>
        </is>
      </c>
      <c r="C3236" s="1" t="n">
        <v>37.2549887292</v>
      </c>
      <c r="D3236" s="1" t="n">
        <v>-7.11722761293</v>
      </c>
      <c r="E3236" s="3" t="n">
        <v>2</v>
      </c>
      <c r="F3236" s="2" t="n">
        <v>3</v>
      </c>
      <c r="G3236" s="4" t="n">
        <v>3</v>
      </c>
      <c r="H3236" s="13" t="n"/>
      <c r="I3236" s="15" t="n"/>
      <c r="J3236" s="19" t="n">
        <v>3</v>
      </c>
      <c r="K3236" s="2" t="inlineStr">
        <is>
          <t>marker_459_388669.png</t>
        </is>
      </c>
      <c r="L3236" s="11">
        <f>HYPERLINK("3\1\" &amp; K3236, "Ver Imagen")</f>
        <v/>
      </c>
      <c r="M3236" t="inlineStr">
        <is>
          <t>Moda</t>
        </is>
      </c>
    </row>
    <row r="3237">
      <c r="A3237" t="n">
        <v>3237</v>
      </c>
      <c r="B3237" t="inlineStr">
        <is>
          <t>A-5058__414</t>
        </is>
      </c>
      <c r="C3237" s="1" t="n">
        <v>37.255240676</v>
      </c>
      <c r="D3237" s="1" t="n">
        <v>-7.11764093193</v>
      </c>
      <c r="E3237" s="3" t="n">
        <v>3</v>
      </c>
      <c r="F3237" s="2" t="n">
        <v>3</v>
      </c>
      <c r="G3237" s="4" t="n">
        <v>4</v>
      </c>
      <c r="H3237" s="13" t="n"/>
      <c r="I3237" s="15" t="n"/>
      <c r="J3237" s="19" t="n">
        <v>3</v>
      </c>
      <c r="K3237" s="2" t="inlineStr">
        <is>
          <t>marker_501_388688.png</t>
        </is>
      </c>
      <c r="L3237" s="11">
        <f>HYPERLINK("3\1\" &amp; K3237, "Ver Imagen")</f>
        <v/>
      </c>
      <c r="M3237" t="inlineStr">
        <is>
          <t>Moda</t>
        </is>
      </c>
    </row>
    <row r="3238">
      <c r="A3238" t="n">
        <v>3238</v>
      </c>
      <c r="B3238" t="inlineStr">
        <is>
          <t>A-5058__416</t>
        </is>
      </c>
      <c r="C3238" s="1" t="n">
        <v>37.2555144071</v>
      </c>
      <c r="D3238" s="1" t="n">
        <v>-7.11797058293</v>
      </c>
      <c r="E3238" s="3" t="n">
        <v>3</v>
      </c>
      <c r="F3238" s="2" t="n">
        <v>3</v>
      </c>
      <c r="G3238" s="4" t="n">
        <v>4</v>
      </c>
      <c r="H3238" s="13" t="n"/>
      <c r="I3238" s="15" t="n"/>
      <c r="J3238" s="19" t="n">
        <v>3</v>
      </c>
      <c r="K3238" s="2" t="inlineStr">
        <is>
          <t>marker_897_388705.png</t>
        </is>
      </c>
      <c r="L3238" s="11">
        <f>HYPERLINK("3\1\" &amp; K3238, "Ver Imagen")</f>
        <v/>
      </c>
      <c r="M3238" t="inlineStr">
        <is>
          <t>Moda</t>
        </is>
      </c>
    </row>
    <row r="3239">
      <c r="A3239" t="n">
        <v>3239</v>
      </c>
      <c r="B3239" t="inlineStr">
        <is>
          <t>A-5058__418</t>
        </is>
      </c>
      <c r="C3239" s="1" t="n">
        <v>37.2558360239</v>
      </c>
      <c r="D3239" s="1" t="n">
        <v>-7.11826311321</v>
      </c>
      <c r="E3239" s="3" t="n">
        <v>3</v>
      </c>
      <c r="F3239" s="2" t="n">
        <v>3</v>
      </c>
      <c r="G3239" s="4" t="n">
        <v>4</v>
      </c>
      <c r="H3239" s="13" t="n"/>
      <c r="I3239" s="15" t="n"/>
      <c r="J3239" s="19" t="n">
        <v>3</v>
      </c>
      <c r="K3239" s="2" t="inlineStr">
        <is>
          <t>marker_584_388726.png</t>
        </is>
      </c>
      <c r="L3239" s="11">
        <f>HYPERLINK("3\1\" &amp; K3239, "Ver Imagen")</f>
        <v/>
      </c>
      <c r="M3239" t="inlineStr">
        <is>
          <t>Moda</t>
        </is>
      </c>
    </row>
    <row r="3240">
      <c r="A3240" t="n">
        <v>3240</v>
      </c>
      <c r="B3240" t="inlineStr">
        <is>
          <t>A-5058__419</t>
        </is>
      </c>
      <c r="C3240" s="1" t="n">
        <v>37.2560226945</v>
      </c>
      <c r="D3240" s="1" t="n">
        <v>-7.11840734464</v>
      </c>
      <c r="E3240" s="3" t="n">
        <v>3</v>
      </c>
      <c r="F3240" s="2" t="n">
        <v>3</v>
      </c>
      <c r="G3240" s="4" t="n">
        <v>4</v>
      </c>
      <c r="H3240" s="13" t="n"/>
      <c r="I3240" s="15" t="n"/>
      <c r="J3240" s="19" t="n">
        <v>3</v>
      </c>
      <c r="K3240" s="2" t="inlineStr">
        <is>
          <t>marker_591_388745.png</t>
        </is>
      </c>
      <c r="L3240" s="11">
        <f>HYPERLINK("3\1\" &amp; K3240, "Ver Imagen")</f>
        <v/>
      </c>
      <c r="M3240" t="inlineStr">
        <is>
          <t>Moda</t>
        </is>
      </c>
    </row>
    <row r="3241">
      <c r="A3241" t="n">
        <v>3241</v>
      </c>
      <c r="B3241" t="inlineStr">
        <is>
          <t>A-5058__420</t>
        </is>
      </c>
      <c r="C3241" s="1" t="n">
        <v>37.2562156141</v>
      </c>
      <c r="D3241" s="1" t="n">
        <v>-7.11855037413</v>
      </c>
      <c r="E3241" s="3" t="n">
        <v>3</v>
      </c>
      <c r="F3241" s="2" t="n">
        <v>3</v>
      </c>
      <c r="G3241" s="4" t="n">
        <v>4</v>
      </c>
      <c r="H3241" s="13" t="n"/>
      <c r="I3241" s="15" t="n"/>
      <c r="J3241" s="19" t="n">
        <v>3</v>
      </c>
      <c r="K3241" s="2" t="inlineStr">
        <is>
          <t>marker_418_388754.png</t>
        </is>
      </c>
      <c r="L3241" s="11">
        <f>HYPERLINK("3\1\" &amp; K3241, "Ver Imagen")</f>
        <v/>
      </c>
      <c r="M3241" t="inlineStr">
        <is>
          <t>Moda</t>
        </is>
      </c>
    </row>
    <row r="3242">
      <c r="A3242" t="n">
        <v>3242</v>
      </c>
      <c r="B3242" t="inlineStr">
        <is>
          <t>A-5058__421</t>
        </is>
      </c>
      <c r="C3242" s="1" t="n">
        <v>37.2564004982</v>
      </c>
      <c r="D3242" s="1" t="n">
        <v>-7.11868624146</v>
      </c>
      <c r="E3242" s="3" t="n">
        <v>3</v>
      </c>
      <c r="F3242" s="2" t="n">
        <v>3</v>
      </c>
      <c r="G3242" s="4" t="n">
        <v>4</v>
      </c>
      <c r="H3242" s="13" t="n"/>
      <c r="I3242" s="15" t="n"/>
      <c r="J3242" s="19" t="n">
        <v>3</v>
      </c>
      <c r="K3242" s="2" t="inlineStr">
        <is>
          <t>marker_537_388763.png</t>
        </is>
      </c>
      <c r="L3242" s="11">
        <f>HYPERLINK("3\1\" &amp; K3242, "Ver Imagen")</f>
        <v/>
      </c>
      <c r="M3242" t="inlineStr">
        <is>
          <t>Moda</t>
        </is>
      </c>
    </row>
    <row r="3243">
      <c r="A3243" t="n">
        <v>3243</v>
      </c>
      <c r="B3243" t="inlineStr">
        <is>
          <t>A-5058__425</t>
        </is>
      </c>
      <c r="C3243" s="1" t="n">
        <v>37.2570787285</v>
      </c>
      <c r="D3243" s="1" t="n">
        <v>-7.11918777327</v>
      </c>
      <c r="E3243" s="3" t="n">
        <v>3</v>
      </c>
      <c r="F3243" s="2" t="n">
        <v>3</v>
      </c>
      <c r="G3243" s="4" t="n">
        <v>4</v>
      </c>
      <c r="H3243" s="13" t="n"/>
      <c r="I3243" s="15" t="n"/>
      <c r="J3243" s="19" t="n">
        <v>3</v>
      </c>
      <c r="K3243" s="2" t="inlineStr">
        <is>
          <t>marker_850_388803.png</t>
        </is>
      </c>
      <c r="L3243" s="11">
        <f>HYPERLINK("3\1\" &amp; K3243, "Ver Imagen")</f>
        <v/>
      </c>
      <c r="M3243" t="inlineStr">
        <is>
          <t>Moda</t>
        </is>
      </c>
    </row>
    <row r="3244">
      <c r="A3244" t="n">
        <v>3244</v>
      </c>
      <c r="B3244" t="inlineStr">
        <is>
          <t>A-5058__427</t>
        </is>
      </c>
      <c r="C3244" s="1" t="n">
        <v>37.2574276684</v>
      </c>
      <c r="D3244" s="1" t="n">
        <v>-7.1194409721</v>
      </c>
      <c r="E3244" s="3" t="n">
        <v>3</v>
      </c>
      <c r="F3244" s="2" t="n">
        <v>3</v>
      </c>
      <c r="G3244" s="4" t="n">
        <v>4</v>
      </c>
      <c r="H3244" s="13" t="n"/>
      <c r="I3244" s="15" t="n"/>
      <c r="J3244" s="19" t="n">
        <v>3</v>
      </c>
      <c r="K3244" s="2" t="inlineStr">
        <is>
          <t>marker_198_388825.png</t>
        </is>
      </c>
      <c r="L3244" s="11">
        <f>HYPERLINK("3\1\" &amp; K3244, "Ver Imagen")</f>
        <v/>
      </c>
      <c r="M3244" t="inlineStr">
        <is>
          <t>Moda</t>
        </is>
      </c>
    </row>
    <row r="3245">
      <c r="A3245" t="n">
        <v>3245</v>
      </c>
      <c r="B3245" t="inlineStr">
        <is>
          <t>A-5058__428</t>
        </is>
      </c>
      <c r="C3245" s="1" t="n">
        <v>37.2576231461</v>
      </c>
      <c r="D3245" s="1" t="n">
        <v>-7.11958157832</v>
      </c>
      <c r="E3245" s="3" t="n">
        <v>3</v>
      </c>
      <c r="F3245" s="2" t="n">
        <v>3</v>
      </c>
      <c r="G3245" s="4" t="n">
        <v>4</v>
      </c>
      <c r="H3245" s="13" t="n"/>
      <c r="I3245" s="15" t="n"/>
      <c r="J3245" s="19" t="n">
        <v>3</v>
      </c>
      <c r="K3245" s="2" t="inlineStr">
        <is>
          <t>marker_767_388834.png</t>
        </is>
      </c>
      <c r="L3245" s="11">
        <f>HYPERLINK("3\1\" &amp; K3245, "Ver Imagen")</f>
        <v/>
      </c>
      <c r="M3245" t="inlineStr">
        <is>
          <t>Moda</t>
        </is>
      </c>
    </row>
    <row r="3246">
      <c r="A3246" t="n">
        <v>3246</v>
      </c>
      <c r="B3246" t="inlineStr">
        <is>
          <t>A-5058__430</t>
        </is>
      </c>
      <c r="C3246" s="1" t="n">
        <v>37.2579374011</v>
      </c>
      <c r="D3246" s="1" t="n">
        <v>-7.11982860737</v>
      </c>
      <c r="E3246" s="3" t="n">
        <v>3</v>
      </c>
      <c r="F3246" s="2" t="n">
        <v>3</v>
      </c>
      <c r="G3246" s="4" t="n">
        <v>4</v>
      </c>
      <c r="H3246" s="13" t="n"/>
      <c r="I3246" s="15" t="n"/>
      <c r="J3246" s="19" t="n">
        <v>3</v>
      </c>
      <c r="K3246" s="2" t="inlineStr">
        <is>
          <t>marker_560_388851.png</t>
        </is>
      </c>
      <c r="L3246" s="11">
        <f>HYPERLINK("3\1\" &amp; K3246, "Ver Imagen")</f>
        <v/>
      </c>
      <c r="M3246" t="inlineStr">
        <is>
          <t>Moda</t>
        </is>
      </c>
    </row>
    <row r="3247">
      <c r="A3247" t="n">
        <v>3247</v>
      </c>
      <c r="B3247" t="inlineStr">
        <is>
          <t>A-5058__431</t>
        </is>
      </c>
      <c r="C3247" s="1" t="n">
        <v>37.2581058569</v>
      </c>
      <c r="D3247" s="1" t="n">
        <v>-7.1199917777</v>
      </c>
      <c r="E3247" s="3" t="n">
        <v>3</v>
      </c>
      <c r="F3247" s="2" t="n">
        <v>3</v>
      </c>
      <c r="G3247" s="4" t="n">
        <v>4</v>
      </c>
      <c r="H3247" s="13" t="n"/>
      <c r="I3247" s="15" t="n"/>
      <c r="J3247" s="19" t="n">
        <v>3</v>
      </c>
      <c r="K3247" s="2" t="inlineStr">
        <is>
          <t>marker_719_388873.png</t>
        </is>
      </c>
      <c r="L3247" s="11">
        <f>HYPERLINK("3\1\" &amp; K3247, "Ver Imagen")</f>
        <v/>
      </c>
      <c r="M3247" t="inlineStr">
        <is>
          <t>Moda</t>
        </is>
      </c>
    </row>
    <row r="3248">
      <c r="A3248" t="n">
        <v>3248</v>
      </c>
      <c r="B3248" t="inlineStr">
        <is>
          <t>A-5058__432</t>
        </is>
      </c>
      <c r="C3248" s="1" t="n">
        <v>37.2582533972</v>
      </c>
      <c r="D3248" s="1" t="n">
        <v>-7.12016394724</v>
      </c>
      <c r="E3248" s="3" t="n">
        <v>3</v>
      </c>
      <c r="F3248" s="2" t="n">
        <v>3</v>
      </c>
      <c r="G3248" s="4" t="n">
        <v>4</v>
      </c>
      <c r="H3248" s="13" t="n"/>
      <c r="I3248" s="15" t="n"/>
      <c r="J3248" s="19" t="n">
        <v>3</v>
      </c>
      <c r="K3248" s="2" t="inlineStr">
        <is>
          <t>marker_985_388883.png</t>
        </is>
      </c>
      <c r="L3248" s="11">
        <f>HYPERLINK("3\1\" &amp; K3248, "Ver Imagen")</f>
        <v/>
      </c>
      <c r="M3248" t="inlineStr">
        <is>
          <t>Moda</t>
        </is>
      </c>
    </row>
    <row r="3249">
      <c r="A3249" t="n">
        <v>3249</v>
      </c>
      <c r="B3249" t="inlineStr">
        <is>
          <t>A-5058__435</t>
        </is>
      </c>
      <c r="C3249" s="1" t="n">
        <v>37.258583598</v>
      </c>
      <c r="D3249" s="1" t="n">
        <v>-7.12079651616</v>
      </c>
      <c r="E3249" s="3" t="n">
        <v>3</v>
      </c>
      <c r="F3249" s="2" t="n">
        <v>3</v>
      </c>
      <c r="G3249" s="4" t="n">
        <v>4</v>
      </c>
      <c r="H3249" s="13" t="n"/>
      <c r="I3249" s="15" t="n"/>
      <c r="J3249" s="19" t="n">
        <v>3</v>
      </c>
      <c r="K3249" s="2" t="inlineStr">
        <is>
          <t>marker_783_388911.png</t>
        </is>
      </c>
      <c r="L3249" s="11">
        <f>HYPERLINK("3\1\" &amp; K3249, "Ver Imagen")</f>
        <v/>
      </c>
      <c r="M3249" t="inlineStr">
        <is>
          <t>Moda</t>
        </is>
      </c>
    </row>
    <row r="3250">
      <c r="A3250" t="n">
        <v>3250</v>
      </c>
      <c r="B3250" t="inlineStr">
        <is>
          <t>A-5058__436</t>
        </is>
      </c>
      <c r="C3250" s="1" t="n">
        <v>37.2586491397</v>
      </c>
      <c r="D3250" s="1" t="n">
        <v>-7.1210368944</v>
      </c>
      <c r="E3250" s="3" t="n">
        <v>3</v>
      </c>
      <c r="F3250" s="2" t="n">
        <v>3</v>
      </c>
      <c r="G3250" s="4" t="n">
        <v>4</v>
      </c>
      <c r="H3250" s="13" t="n"/>
      <c r="I3250" s="15" t="n"/>
      <c r="J3250" s="19" t="n">
        <v>3</v>
      </c>
      <c r="K3250" s="2" t="inlineStr">
        <is>
          <t>marker_454_388921.png</t>
        </is>
      </c>
      <c r="L3250" s="11">
        <f>HYPERLINK("3\1\" &amp; K3250, "Ver Imagen")</f>
        <v/>
      </c>
      <c r="M3250" t="inlineStr">
        <is>
          <t>Moda</t>
        </is>
      </c>
    </row>
    <row r="3251">
      <c r="A3251" t="n">
        <v>3251</v>
      </c>
      <c r="B3251" t="inlineStr">
        <is>
          <t>A-5058__437</t>
        </is>
      </c>
      <c r="C3251" s="1" t="n">
        <v>37.258696889</v>
      </c>
      <c r="D3251" s="1" t="n">
        <v>-7.12130680702</v>
      </c>
      <c r="E3251" s="3" t="n">
        <v>3</v>
      </c>
      <c r="F3251" s="2" t="n">
        <v>3</v>
      </c>
      <c r="G3251" s="4" t="n">
        <v>4</v>
      </c>
      <c r="H3251" s="13" t="n"/>
      <c r="I3251" s="15" t="n"/>
      <c r="J3251" s="19" t="n">
        <v>3</v>
      </c>
      <c r="K3251" s="2" t="inlineStr">
        <is>
          <t>marker_267_388936.png</t>
        </is>
      </c>
      <c r="L3251" s="11">
        <f>HYPERLINK("3\1\" &amp; K3251, "Ver Imagen")</f>
        <v/>
      </c>
      <c r="M3251" t="inlineStr">
        <is>
          <t>Moda</t>
        </is>
      </c>
    </row>
    <row r="3252">
      <c r="A3252" t="n">
        <v>3252</v>
      </c>
      <c r="B3252" t="inlineStr">
        <is>
          <t>A-5058__438</t>
        </is>
      </c>
      <c r="C3252" s="1" t="n">
        <v>37.2587257375</v>
      </c>
      <c r="D3252" s="1" t="n">
        <v>-7.1215500688</v>
      </c>
      <c r="E3252" s="3" t="n">
        <v>3</v>
      </c>
      <c r="F3252" s="2" t="n">
        <v>3</v>
      </c>
      <c r="G3252" s="4" t="n">
        <v>4</v>
      </c>
      <c r="H3252" s="13" t="n"/>
      <c r="I3252" s="15" t="n"/>
      <c r="J3252" s="19" t="n">
        <v>3</v>
      </c>
      <c r="K3252" s="2" t="inlineStr">
        <is>
          <t>marker_460_388945.png</t>
        </is>
      </c>
      <c r="L3252" s="11">
        <f>HYPERLINK("3\1\" &amp; K3252, "Ver Imagen")</f>
        <v/>
      </c>
      <c r="M3252" t="inlineStr">
        <is>
          <t>Moda</t>
        </is>
      </c>
    </row>
    <row r="3253">
      <c r="A3253" t="n">
        <v>3253</v>
      </c>
      <c r="B3253" t="inlineStr">
        <is>
          <t>A-5058__439</t>
        </is>
      </c>
      <c r="C3253" s="1" t="n">
        <v>37.2587465829</v>
      </c>
      <c r="D3253" s="1" t="n">
        <v>-7.12176825016</v>
      </c>
      <c r="E3253" s="3" t="n">
        <v>3</v>
      </c>
      <c r="F3253" s="2" t="n">
        <v>3</v>
      </c>
      <c r="G3253" s="4" t="n">
        <v>4</v>
      </c>
      <c r="H3253" s="13" t="n"/>
      <c r="I3253" s="15" t="n"/>
      <c r="J3253" s="19" t="n">
        <v>3</v>
      </c>
      <c r="K3253" s="2" t="inlineStr">
        <is>
          <t>marker_273_388959.png</t>
        </is>
      </c>
      <c r="L3253" s="11">
        <f>HYPERLINK("3\1\" &amp; K3253, "Ver Imagen")</f>
        <v/>
      </c>
      <c r="M3253" t="inlineStr">
        <is>
          <t>Moda</t>
        </is>
      </c>
    </row>
    <row r="3254">
      <c r="A3254" t="n">
        <v>3254</v>
      </c>
      <c r="B3254" t="inlineStr">
        <is>
          <t>A-5058__454</t>
        </is>
      </c>
      <c r="C3254" s="1" t="n">
        <v>37.2592293113</v>
      </c>
      <c r="D3254" s="1" t="n">
        <v>-7.12551717628</v>
      </c>
      <c r="E3254" s="3" t="n">
        <v>3</v>
      </c>
      <c r="F3254" s="2" t="n">
        <v>3</v>
      </c>
      <c r="G3254" s="4" t="n">
        <v>4</v>
      </c>
      <c r="H3254" s="13" t="n"/>
      <c r="I3254" s="15" t="n"/>
      <c r="J3254" s="19" t="n">
        <v>3</v>
      </c>
      <c r="K3254" s="2" t="inlineStr">
        <is>
          <t>marker_495_389131.png</t>
        </is>
      </c>
      <c r="L3254" s="11">
        <f>HYPERLINK("3\1\" &amp; K3254, "Ver Imagen")</f>
        <v/>
      </c>
      <c r="M3254" t="inlineStr">
        <is>
          <t>Moda</t>
        </is>
      </c>
    </row>
    <row r="3255">
      <c r="A3255" t="n">
        <v>3255</v>
      </c>
      <c r="B3255" t="inlineStr">
        <is>
          <t>A-5058__455</t>
        </is>
      </c>
      <c r="C3255" s="1" t="n">
        <v>37.2593335805</v>
      </c>
      <c r="D3255" s="1" t="n">
        <v>-7.12573988662</v>
      </c>
      <c r="E3255" s="3" t="n">
        <v>3</v>
      </c>
      <c r="F3255" s="2" t="n">
        <v>3</v>
      </c>
      <c r="G3255" s="4" t="n">
        <v>4</v>
      </c>
      <c r="H3255" s="13" t="n"/>
      <c r="I3255" s="15" t="n"/>
      <c r="J3255" s="19" t="n">
        <v>3</v>
      </c>
      <c r="K3255" s="2" t="inlineStr">
        <is>
          <t>marker_579_389140.png</t>
        </is>
      </c>
      <c r="L3255" s="11">
        <f>HYPERLINK("3\1\" &amp; K3255, "Ver Imagen")</f>
        <v/>
      </c>
      <c r="M3255" t="inlineStr">
        <is>
          <t>Moda</t>
        </is>
      </c>
    </row>
    <row r="3256">
      <c r="A3256" t="n">
        <v>3256</v>
      </c>
      <c r="B3256" t="inlineStr">
        <is>
          <t>A-5058__462</t>
        </is>
      </c>
      <c r="C3256" s="1" t="n">
        <v>37.2603526803</v>
      </c>
      <c r="D3256" s="1" t="n">
        <v>-7.12695015865</v>
      </c>
      <c r="E3256" s="3" t="n">
        <v>3</v>
      </c>
      <c r="F3256" s="2" t="n">
        <v>3</v>
      </c>
      <c r="G3256" s="4" t="n">
        <v>4</v>
      </c>
      <c r="H3256" s="13" t="n"/>
      <c r="I3256" s="15" t="n"/>
      <c r="J3256" s="19" t="n">
        <v>3</v>
      </c>
      <c r="K3256" s="2" t="inlineStr">
        <is>
          <t>marker_324_389333.png</t>
        </is>
      </c>
      <c r="L3256" s="11">
        <f>HYPERLINK("3\1\" &amp; K3256, "Ver Imagen")</f>
        <v/>
      </c>
      <c r="M3256" t="inlineStr">
        <is>
          <t>Moda</t>
        </is>
      </c>
    </row>
    <row r="3257">
      <c r="A3257" t="n">
        <v>3257</v>
      </c>
      <c r="B3257" t="inlineStr">
        <is>
          <t>A-5058__464</t>
        </is>
      </c>
      <c r="C3257" s="1" t="n">
        <v>37.2606466485</v>
      </c>
      <c r="D3257" s="1" t="n">
        <v>-7.12726327641</v>
      </c>
      <c r="E3257" s="3" t="n">
        <v>3</v>
      </c>
      <c r="F3257" s="2" t="n">
        <v>3</v>
      </c>
      <c r="G3257" s="4" t="n">
        <v>4</v>
      </c>
      <c r="H3257" s="13" t="n"/>
      <c r="I3257" s="15" t="n"/>
      <c r="J3257" s="19" t="n">
        <v>3</v>
      </c>
      <c r="K3257" s="2" t="inlineStr">
        <is>
          <t>marker_345_389350.png</t>
        </is>
      </c>
      <c r="L3257" s="11">
        <f>HYPERLINK("3\1\" &amp; K3257, "Ver Imagen")</f>
        <v/>
      </c>
      <c r="M3257" t="inlineStr">
        <is>
          <t>Moda</t>
        </is>
      </c>
    </row>
    <row r="3258">
      <c r="A3258" t="n">
        <v>3258</v>
      </c>
      <c r="B3258" t="inlineStr">
        <is>
          <t>A-5058__465</t>
        </is>
      </c>
      <c r="C3258" s="1" t="n">
        <v>37.2607913092</v>
      </c>
      <c r="D3258" s="1" t="n">
        <v>-7.12744974224</v>
      </c>
      <c r="E3258" s="3" t="n">
        <v>3</v>
      </c>
      <c r="F3258" s="2" t="n">
        <v>3</v>
      </c>
      <c r="G3258" s="4" t="n">
        <v>4</v>
      </c>
      <c r="H3258" s="13" t="n"/>
      <c r="I3258" s="15" t="n"/>
      <c r="J3258" s="19" t="n">
        <v>3</v>
      </c>
      <c r="K3258" s="2" t="inlineStr">
        <is>
          <t>marker_705_389360.png</t>
        </is>
      </c>
      <c r="L3258" s="11">
        <f>HYPERLINK("3\1\" &amp; K3258, "Ver Imagen")</f>
        <v/>
      </c>
      <c r="M3258" t="inlineStr">
        <is>
          <t>Moda</t>
        </is>
      </c>
    </row>
    <row r="3259">
      <c r="A3259" t="n">
        <v>3259</v>
      </c>
      <c r="B3259" t="inlineStr">
        <is>
          <t>A-5058__466</t>
        </is>
      </c>
      <c r="C3259" s="1" t="n">
        <v>37.2609126394</v>
      </c>
      <c r="D3259" s="1" t="n">
        <v>-7.1276561012</v>
      </c>
      <c r="E3259" s="3" t="n">
        <v>3</v>
      </c>
      <c r="F3259" s="2" t="n">
        <v>3</v>
      </c>
      <c r="G3259" s="4" t="n">
        <v>4</v>
      </c>
      <c r="H3259" s="13" t="n"/>
      <c r="I3259" s="15" t="n"/>
      <c r="J3259" s="19" t="n">
        <v>3</v>
      </c>
      <c r="K3259" s="2" t="inlineStr">
        <is>
          <t>marker_420_389368.png</t>
        </is>
      </c>
      <c r="L3259" s="11">
        <f>HYPERLINK("3\1\" &amp; K3259, "Ver Imagen")</f>
        <v/>
      </c>
      <c r="M3259" t="inlineStr">
        <is>
          <t>Moda</t>
        </is>
      </c>
    </row>
    <row r="3260">
      <c r="A3260" t="n">
        <v>3260</v>
      </c>
      <c r="B3260" t="inlineStr">
        <is>
          <t>A-5058__467</t>
        </is>
      </c>
      <c r="C3260" s="1" t="n">
        <v>37.2610098312</v>
      </c>
      <c r="D3260" s="1" t="n">
        <v>-7.12790315885</v>
      </c>
      <c r="E3260" s="3" t="n">
        <v>3</v>
      </c>
      <c r="F3260" s="2" t="n">
        <v>3</v>
      </c>
      <c r="G3260" s="4" t="n">
        <v>4</v>
      </c>
      <c r="H3260" s="13" t="n"/>
      <c r="I3260" s="15" t="n"/>
      <c r="J3260" s="19" t="n">
        <v>3</v>
      </c>
      <c r="K3260" s="2" t="inlineStr">
        <is>
          <t>marker_924_389377.png</t>
        </is>
      </c>
      <c r="L3260" s="11">
        <f>HYPERLINK("3\1\" &amp; K3260, "Ver Imagen")</f>
        <v/>
      </c>
      <c r="M3260" t="inlineStr">
        <is>
          <t>Moda</t>
        </is>
      </c>
    </row>
    <row r="3261">
      <c r="A3261" t="n">
        <v>3261</v>
      </c>
      <c r="B3261" t="inlineStr">
        <is>
          <t>A-5058__470</t>
        </is>
      </c>
      <c r="C3261" s="1" t="n">
        <v>37.2610870142</v>
      </c>
      <c r="D3261" s="1" t="n">
        <v>-7.12865370949</v>
      </c>
      <c r="E3261" s="3" t="n">
        <v>3</v>
      </c>
      <c r="F3261" s="2" t="n">
        <v>3</v>
      </c>
      <c r="G3261" s="4" t="n">
        <v>4</v>
      </c>
      <c r="H3261" s="13" t="n"/>
      <c r="I3261" s="15" t="n"/>
      <c r="J3261" s="19" t="n">
        <v>3</v>
      </c>
      <c r="K3261" s="2" t="inlineStr">
        <is>
          <t>marker_137_389404.png</t>
        </is>
      </c>
      <c r="L3261" s="11">
        <f>HYPERLINK("3\1\" &amp; K3261, "Ver Imagen")</f>
        <v/>
      </c>
      <c r="M3261" t="inlineStr">
        <is>
          <t>Moda</t>
        </is>
      </c>
    </row>
    <row r="3262">
      <c r="A3262" t="n">
        <v>3262</v>
      </c>
      <c r="B3262" t="inlineStr">
        <is>
          <t>A-495__10</t>
        </is>
      </c>
      <c r="C3262" s="1" t="n">
        <v>37.4439802268</v>
      </c>
      <c r="D3262" s="1" t="n">
        <v>-7.09794997392</v>
      </c>
      <c r="E3262" s="3" t="n">
        <v>4</v>
      </c>
      <c r="F3262" s="2" t="n">
        <v>3</v>
      </c>
      <c r="G3262" s="4" t="n">
        <v>3</v>
      </c>
      <c r="H3262" s="13" t="n"/>
      <c r="I3262" s="15" t="n"/>
      <c r="J3262" s="19" t="n">
        <v>3</v>
      </c>
      <c r="K3262" s="2" t="inlineStr">
        <is>
          <t>marker_389_381162.png</t>
        </is>
      </c>
      <c r="L3262" s="11">
        <f>HYPERLINK("3\1\" &amp; K3262, "Ver Imagen")</f>
        <v/>
      </c>
      <c r="M3262" t="inlineStr">
        <is>
          <t>Moda</t>
        </is>
      </c>
    </row>
    <row r="3263">
      <c r="A3263" t="n">
        <v>3263</v>
      </c>
      <c r="B3263" t="inlineStr">
        <is>
          <t>A-495__54</t>
        </is>
      </c>
      <c r="C3263" s="1" t="n">
        <v>37.4401418106</v>
      </c>
      <c r="D3263" s="1" t="n">
        <v>-7.0879476845</v>
      </c>
      <c r="E3263" s="3" t="n">
        <v>4</v>
      </c>
      <c r="F3263" s="2" t="n">
        <v>3</v>
      </c>
      <c r="G3263" s="4" t="n">
        <v>3</v>
      </c>
      <c r="H3263" s="13" t="n"/>
      <c r="I3263" s="15" t="n"/>
      <c r="J3263" s="19" t="n">
        <v>3</v>
      </c>
      <c r="K3263" s="2" t="inlineStr">
        <is>
          <t>marker_122_381653.png</t>
        </is>
      </c>
      <c r="L3263" s="11">
        <f>HYPERLINK("3\1\" &amp; K3263, "Ver Imagen")</f>
        <v/>
      </c>
      <c r="M3263" t="inlineStr">
        <is>
          <t>Moda</t>
        </is>
      </c>
    </row>
    <row r="3264">
      <c r="A3264" t="n">
        <v>3264</v>
      </c>
      <c r="B3264" t="inlineStr">
        <is>
          <t>A-495_1__192</t>
        </is>
      </c>
      <c r="C3264" s="1" t="n">
        <v>37.4842250189</v>
      </c>
      <c r="D3264" s="1" t="n">
        <v>-7.13014750602</v>
      </c>
      <c r="E3264" s="3" t="n">
        <v>4</v>
      </c>
      <c r="F3264" s="2" t="n">
        <v>3</v>
      </c>
      <c r="G3264" s="4" t="n">
        <v>3</v>
      </c>
      <c r="H3264" s="13" t="n"/>
      <c r="I3264" s="15" t="n"/>
      <c r="J3264" s="19" t="n">
        <v>3</v>
      </c>
      <c r="K3264" s="2" t="inlineStr">
        <is>
          <t>marker_297_383710.png</t>
        </is>
      </c>
      <c r="L3264" s="11">
        <f>HYPERLINK("3\1\" &amp; K3264, "Ver Imagen")</f>
        <v/>
      </c>
      <c r="M3264" t="inlineStr">
        <is>
          <t>Moda</t>
        </is>
      </c>
    </row>
    <row r="3265">
      <c r="A3265" t="n">
        <v>3265</v>
      </c>
      <c r="B3265" t="inlineStr">
        <is>
          <t>A-495_1__191</t>
        </is>
      </c>
      <c r="C3265" s="1" t="n">
        <v>37.4840701163</v>
      </c>
      <c r="D3265" s="1" t="n">
        <v>-7.1300039346</v>
      </c>
      <c r="E3265" s="3" t="n">
        <v>4</v>
      </c>
      <c r="F3265" s="2" t="n">
        <v>3</v>
      </c>
      <c r="G3265" s="4" t="n">
        <v>3</v>
      </c>
      <c r="H3265" s="13" t="n"/>
      <c r="I3265" s="15" t="n"/>
      <c r="J3265" s="19" t="n">
        <v>3</v>
      </c>
      <c r="K3265" s="2" t="inlineStr">
        <is>
          <t>marker_783_383719.png</t>
        </is>
      </c>
      <c r="L3265" s="11">
        <f>HYPERLINK("3\1\" &amp; K3265, "Ver Imagen")</f>
        <v/>
      </c>
      <c r="M3265" t="inlineStr">
        <is>
          <t>Moda</t>
        </is>
      </c>
    </row>
    <row r="3266">
      <c r="A3266" t="n">
        <v>3266</v>
      </c>
      <c r="B3266" t="inlineStr">
        <is>
          <t>A-495_1__190</t>
        </is>
      </c>
      <c r="C3266" s="1" t="n">
        <v>37.4839095974</v>
      </c>
      <c r="D3266" s="1" t="n">
        <v>-7.12983663106</v>
      </c>
      <c r="E3266" s="3" t="n">
        <v>4</v>
      </c>
      <c r="F3266" s="2" t="n">
        <v>3</v>
      </c>
      <c r="G3266" s="4" t="n">
        <v>3</v>
      </c>
      <c r="H3266" s="13" t="n"/>
      <c r="I3266" s="15" t="n"/>
      <c r="J3266" s="19" t="n">
        <v>3</v>
      </c>
      <c r="K3266" s="2" t="inlineStr">
        <is>
          <t>marker_440_383727.png</t>
        </is>
      </c>
      <c r="L3266" s="11">
        <f>HYPERLINK("3\1\" &amp; K3266, "Ver Imagen")</f>
        <v/>
      </c>
      <c r="M3266" t="inlineStr">
        <is>
          <t>Moda</t>
        </is>
      </c>
    </row>
    <row r="3267">
      <c r="A3267" t="n">
        <v>3267</v>
      </c>
      <c r="B3267" t="inlineStr">
        <is>
          <t>A-495_1__185</t>
        </is>
      </c>
      <c r="C3267" s="1" t="n">
        <v>37.4831488861</v>
      </c>
      <c r="D3267" s="1" t="n">
        <v>-7.12904573503</v>
      </c>
      <c r="E3267" s="3" t="n">
        <v>3</v>
      </c>
      <c r="F3267" s="2" t="n">
        <v>3</v>
      </c>
      <c r="G3267" s="4" t="n">
        <v>2</v>
      </c>
      <c r="H3267" s="13" t="n"/>
      <c r="I3267" s="15" t="n"/>
      <c r="J3267" s="19" t="n">
        <v>3</v>
      </c>
      <c r="K3267" s="2" t="inlineStr">
        <is>
          <t>marker_470_383775.png</t>
        </is>
      </c>
      <c r="L3267" s="11">
        <f>HYPERLINK("3\1\" &amp; K3267, "Ver Imagen")</f>
        <v/>
      </c>
      <c r="M3267" t="inlineStr">
        <is>
          <t>Moda</t>
        </is>
      </c>
    </row>
    <row r="3268">
      <c r="A3268" t="n">
        <v>3268</v>
      </c>
      <c r="B3268" t="inlineStr">
        <is>
          <t>A-495_1__174</t>
        </is>
      </c>
      <c r="C3268" s="1" t="n">
        <v>37.4811420707</v>
      </c>
      <c r="D3268" s="1" t="n">
        <v>-7.12785697274</v>
      </c>
      <c r="E3268" s="3" t="n">
        <v>3</v>
      </c>
      <c r="F3268" s="2" t="n">
        <v>3</v>
      </c>
      <c r="G3268" s="4" t="n">
        <v>2</v>
      </c>
      <c r="H3268" s="13" t="n"/>
      <c r="I3268" s="15" t="n"/>
      <c r="J3268" s="19" t="n">
        <v>3</v>
      </c>
      <c r="K3268" s="2" t="inlineStr">
        <is>
          <t>marker_533_383952.png</t>
        </is>
      </c>
      <c r="L3268" s="11">
        <f>HYPERLINK("3\1\" &amp; K3268, "Ver Imagen")</f>
        <v/>
      </c>
      <c r="M3268" t="inlineStr">
        <is>
          <t>Moda</t>
        </is>
      </c>
    </row>
    <row r="3269">
      <c r="A3269" t="n">
        <v>3269</v>
      </c>
      <c r="B3269" t="inlineStr">
        <is>
          <t>A-495_1__172</t>
        </is>
      </c>
      <c r="C3269" s="1" t="n">
        <v>37.4807413984</v>
      </c>
      <c r="D3269" s="1" t="n">
        <v>-7.12776216302</v>
      </c>
      <c r="E3269" s="3" t="n">
        <v>4</v>
      </c>
      <c r="F3269" s="2" t="n">
        <v>3</v>
      </c>
      <c r="G3269" s="4" t="n">
        <v>3</v>
      </c>
      <c r="H3269" s="13" t="n"/>
      <c r="I3269" s="15" t="n"/>
      <c r="J3269" s="19" t="n">
        <v>3</v>
      </c>
      <c r="K3269" s="2" t="inlineStr">
        <is>
          <t>marker_988_383968.png</t>
        </is>
      </c>
      <c r="L3269" s="11">
        <f>HYPERLINK("3\1\" &amp; K3269, "Ver Imagen")</f>
        <v/>
      </c>
      <c r="M3269" t="inlineStr">
        <is>
          <t>Moda</t>
        </is>
      </c>
    </row>
    <row r="3270">
      <c r="A3270" t="n">
        <v>3270</v>
      </c>
      <c r="B3270" t="inlineStr">
        <is>
          <t>A-495_1__167</t>
        </is>
      </c>
      <c r="C3270" s="1" t="n">
        <v>37.4797564562</v>
      </c>
      <c r="D3270" s="1" t="n">
        <v>-7.1279470455</v>
      </c>
      <c r="E3270" s="3" t="n">
        <v>4</v>
      </c>
      <c r="F3270" s="2" t="n">
        <v>3</v>
      </c>
      <c r="G3270" s="4" t="n">
        <v>3</v>
      </c>
      <c r="H3270" s="13" t="n"/>
      <c r="I3270" s="15" t="n"/>
      <c r="J3270" s="19" t="n">
        <v>3</v>
      </c>
      <c r="K3270" s="2" t="inlineStr">
        <is>
          <t>marker_647_384019.png</t>
        </is>
      </c>
      <c r="L3270" s="11">
        <f>HYPERLINK("3\1\" &amp; K3270, "Ver Imagen")</f>
        <v/>
      </c>
      <c r="M3270" t="inlineStr">
        <is>
          <t>Moda</t>
        </is>
      </c>
    </row>
    <row r="3271">
      <c r="A3271" t="n">
        <v>3271</v>
      </c>
      <c r="B3271" t="inlineStr">
        <is>
          <t>A-495_1__166</t>
        </is>
      </c>
      <c r="C3271" s="1" t="n">
        <v>37.4795188799</v>
      </c>
      <c r="D3271" s="1" t="n">
        <v>-7.12800270825</v>
      </c>
      <c r="E3271" s="3" t="n">
        <v>4</v>
      </c>
      <c r="F3271" s="2" t="n">
        <v>3</v>
      </c>
      <c r="G3271" s="4" t="n">
        <v>3</v>
      </c>
      <c r="H3271" s="13" t="n"/>
      <c r="I3271" s="15" t="n"/>
      <c r="J3271" s="19" t="n">
        <v>3</v>
      </c>
      <c r="K3271" s="2" t="inlineStr">
        <is>
          <t>marker_120_384029.png</t>
        </is>
      </c>
      <c r="L3271" s="11">
        <f>HYPERLINK("3\1\" &amp; K3271, "Ver Imagen")</f>
        <v/>
      </c>
      <c r="M3271" t="inlineStr">
        <is>
          <t>Moda</t>
        </is>
      </c>
    </row>
    <row r="3272">
      <c r="A3272" t="n">
        <v>3272</v>
      </c>
      <c r="B3272" t="inlineStr">
        <is>
          <t>A-495_1__164</t>
        </is>
      </c>
      <c r="C3272" s="1" t="n">
        <v>37.4791468558</v>
      </c>
      <c r="D3272" s="1" t="n">
        <v>-7.12800545995</v>
      </c>
      <c r="E3272" s="3" t="n">
        <v>3</v>
      </c>
      <c r="F3272" s="2" t="n">
        <v>3</v>
      </c>
      <c r="G3272" s="4" t="n">
        <v>4</v>
      </c>
      <c r="H3272" s="13" t="n"/>
      <c r="I3272" s="15" t="n"/>
      <c r="J3272" s="19" t="n">
        <v>3</v>
      </c>
      <c r="K3272" s="2" t="inlineStr">
        <is>
          <t>marker_166_384046.png</t>
        </is>
      </c>
      <c r="L3272" s="11">
        <f>HYPERLINK("3\1\" &amp; K3272, "Ver Imagen")</f>
        <v/>
      </c>
      <c r="M3272" t="inlineStr">
        <is>
          <t>Moda</t>
        </is>
      </c>
    </row>
    <row r="3273">
      <c r="A3273" t="n">
        <v>3273</v>
      </c>
      <c r="B3273" t="inlineStr">
        <is>
          <t>A-495_1__149</t>
        </is>
      </c>
      <c r="C3273" s="1" t="n">
        <v>37.4767542726</v>
      </c>
      <c r="D3273" s="1" t="n">
        <v>-7.12582845875</v>
      </c>
      <c r="E3273" s="3" t="n">
        <v>4</v>
      </c>
      <c r="F3273" s="2" t="n">
        <v>3</v>
      </c>
      <c r="G3273" s="4" t="n">
        <v>3</v>
      </c>
      <c r="H3273" s="13" t="n"/>
      <c r="I3273" s="15" t="n"/>
      <c r="J3273" s="19" t="n">
        <v>3</v>
      </c>
      <c r="K3273" s="2" t="inlineStr">
        <is>
          <t>marker_638_384251.png</t>
        </is>
      </c>
      <c r="L3273" s="11">
        <f>HYPERLINK("3\1\" &amp; K3273, "Ver Imagen")</f>
        <v/>
      </c>
      <c r="M3273" t="inlineStr">
        <is>
          <t>Moda</t>
        </is>
      </c>
    </row>
    <row r="3274">
      <c r="A3274" t="n">
        <v>3274</v>
      </c>
      <c r="B3274" t="inlineStr">
        <is>
          <t>A-495_1__148</t>
        </is>
      </c>
      <c r="C3274" s="1" t="n">
        <v>37.4765533577</v>
      </c>
      <c r="D3274" s="1" t="n">
        <v>-7.12577284559</v>
      </c>
      <c r="E3274" s="3" t="n">
        <v>4</v>
      </c>
      <c r="F3274" s="2" t="n">
        <v>3</v>
      </c>
      <c r="G3274" s="4" t="n">
        <v>3</v>
      </c>
      <c r="H3274" s="13" t="n"/>
      <c r="I3274" s="15" t="n"/>
      <c r="J3274" s="19" t="n">
        <v>3</v>
      </c>
      <c r="K3274" s="2" t="inlineStr">
        <is>
          <t>marker_431_384261.png</t>
        </is>
      </c>
      <c r="L3274" s="11">
        <f>HYPERLINK("3\1\" &amp; K3274, "Ver Imagen")</f>
        <v/>
      </c>
      <c r="M3274" t="inlineStr">
        <is>
          <t>Moda</t>
        </is>
      </c>
    </row>
    <row r="3275">
      <c r="A3275" t="n">
        <v>3275</v>
      </c>
      <c r="B3275" t="inlineStr">
        <is>
          <t>A-495_1__132</t>
        </is>
      </c>
      <c r="C3275" s="1" t="n">
        <v>37.4733647854</v>
      </c>
      <c r="D3275" s="1" t="n">
        <v>-7.12635472642</v>
      </c>
      <c r="E3275" s="3" t="n">
        <v>3</v>
      </c>
      <c r="F3275" s="2" t="n">
        <v>3</v>
      </c>
      <c r="G3275" s="4" t="n">
        <v>2</v>
      </c>
      <c r="H3275" s="13" t="n"/>
      <c r="I3275" s="15" t="n"/>
      <c r="J3275" s="19" t="n">
        <v>3</v>
      </c>
      <c r="K3275" s="2" t="inlineStr">
        <is>
          <t>marker_507_384455.png</t>
        </is>
      </c>
      <c r="L3275" s="11">
        <f>HYPERLINK("3\1\" &amp; K3275, "Ver Imagen")</f>
        <v/>
      </c>
      <c r="M3275" t="inlineStr">
        <is>
          <t>Moda</t>
        </is>
      </c>
    </row>
    <row r="3276">
      <c r="A3276" t="n">
        <v>3276</v>
      </c>
      <c r="B3276" t="inlineStr">
        <is>
          <t>A-495_1__118</t>
        </is>
      </c>
      <c r="C3276" s="1" t="n">
        <v>37.4707865434</v>
      </c>
      <c r="D3276" s="1" t="n">
        <v>-7.12523290409</v>
      </c>
      <c r="E3276" s="3" t="n">
        <v>3</v>
      </c>
      <c r="F3276" s="2" t="n">
        <v>3</v>
      </c>
      <c r="G3276" s="4" t="n">
        <v>2</v>
      </c>
      <c r="H3276" s="13" t="n"/>
      <c r="I3276" s="15" t="n"/>
      <c r="J3276" s="19" t="n">
        <v>3</v>
      </c>
      <c r="K3276" s="2" t="inlineStr">
        <is>
          <t>marker_446_384597.png</t>
        </is>
      </c>
      <c r="L3276" s="11">
        <f>HYPERLINK("3\1\" &amp; K3276, "Ver Imagen")</f>
        <v/>
      </c>
      <c r="M3276" t="inlineStr">
        <is>
          <t>Moda</t>
        </is>
      </c>
    </row>
    <row r="3277">
      <c r="A3277" t="n">
        <v>3277</v>
      </c>
      <c r="B3277" t="inlineStr">
        <is>
          <t>A-495_1__117</t>
        </is>
      </c>
      <c r="C3277" s="1" t="n">
        <v>37.4705959766</v>
      </c>
      <c r="D3277" s="1" t="n">
        <v>-7.12508339335</v>
      </c>
      <c r="E3277" s="3" t="n">
        <v>3</v>
      </c>
      <c r="F3277" s="2" t="n">
        <v>3</v>
      </c>
      <c r="G3277" s="4" t="n">
        <v>4</v>
      </c>
      <c r="H3277" s="13" t="n"/>
      <c r="I3277" s="15" t="n"/>
      <c r="J3277" s="19" t="n">
        <v>3</v>
      </c>
      <c r="K3277" s="2" t="inlineStr">
        <is>
          <t>marker_286_384606.png</t>
        </is>
      </c>
      <c r="L3277" s="11">
        <f>HYPERLINK("3\1\" &amp; K3277, "Ver Imagen")</f>
        <v/>
      </c>
      <c r="M3277" t="inlineStr">
        <is>
          <t>Moda</t>
        </is>
      </c>
    </row>
    <row r="3278">
      <c r="A3278" t="n">
        <v>3278</v>
      </c>
      <c r="B3278" t="inlineStr">
        <is>
          <t>A-495_1__114</t>
        </is>
      </c>
      <c r="C3278" s="1" t="n">
        <v>37.4700760685</v>
      </c>
      <c r="D3278" s="1" t="n">
        <v>-7.12468982979</v>
      </c>
      <c r="E3278" s="3" t="n">
        <v>3</v>
      </c>
      <c r="F3278" s="2" t="n">
        <v>3</v>
      </c>
      <c r="G3278" s="4" t="n">
        <v>2</v>
      </c>
      <c r="H3278" s="13" t="n"/>
      <c r="I3278" s="15" t="n"/>
      <c r="J3278" s="19" t="n">
        <v>3</v>
      </c>
      <c r="K3278" s="2" t="inlineStr">
        <is>
          <t>marker_328_384682.png</t>
        </is>
      </c>
      <c r="L3278" s="11">
        <f>HYPERLINK("3\1\" &amp; K3278, "Ver Imagen")</f>
        <v/>
      </c>
      <c r="M3278" t="inlineStr">
        <is>
          <t>Moda</t>
        </is>
      </c>
    </row>
    <row r="3279">
      <c r="A3279" t="n">
        <v>3279</v>
      </c>
      <c r="B3279" t="inlineStr">
        <is>
          <t>A-495_1__98</t>
        </is>
      </c>
      <c r="C3279" s="1" t="n">
        <v>37.4672012837</v>
      </c>
      <c r="D3279" s="1" t="n">
        <v>-7.12287100661</v>
      </c>
      <c r="E3279" s="3" t="n">
        <v>3</v>
      </c>
      <c r="F3279" s="2" t="n">
        <v>3</v>
      </c>
      <c r="G3279" s="4" t="n">
        <v>2</v>
      </c>
      <c r="H3279" s="13" t="n"/>
      <c r="I3279" s="15" t="n"/>
      <c r="J3279" s="19" t="n">
        <v>3</v>
      </c>
      <c r="K3279" s="2" t="inlineStr">
        <is>
          <t>marker_361_385060.png</t>
        </is>
      </c>
      <c r="L3279" s="11">
        <f>HYPERLINK("3\1\" &amp; K3279, "Ver Imagen")</f>
        <v/>
      </c>
      <c r="M3279" t="inlineStr">
        <is>
          <t>Moda</t>
        </is>
      </c>
    </row>
    <row r="3280">
      <c r="A3280" t="n">
        <v>3280</v>
      </c>
      <c r="B3280" t="inlineStr">
        <is>
          <t>A-495_1__73</t>
        </is>
      </c>
      <c r="C3280" s="1" t="n">
        <v>37.4623833918</v>
      </c>
      <c r="D3280" s="1" t="n">
        <v>-7.12427227879</v>
      </c>
      <c r="E3280" s="3" t="n">
        <v>2</v>
      </c>
      <c r="F3280" s="2" t="n">
        <v>3</v>
      </c>
      <c r="G3280" s="4" t="n">
        <v>3</v>
      </c>
      <c r="H3280" s="13" t="n"/>
      <c r="I3280" s="15" t="n"/>
      <c r="J3280" s="19" t="n">
        <v>3</v>
      </c>
      <c r="K3280" s="2" t="inlineStr">
        <is>
          <t>marker_527_385298.png</t>
        </is>
      </c>
      <c r="L3280" s="11">
        <f>HYPERLINK("3\1\" &amp; K3280, "Ver Imagen")</f>
        <v/>
      </c>
      <c r="M3280" t="inlineStr">
        <is>
          <t>Moda</t>
        </is>
      </c>
    </row>
    <row r="3281">
      <c r="A3281" t="n">
        <v>3281</v>
      </c>
      <c r="B3281" t="inlineStr">
        <is>
          <t>A-495_1__61</t>
        </is>
      </c>
      <c r="C3281" s="1" t="n">
        <v>37.4600180714</v>
      </c>
      <c r="D3281" s="1" t="n">
        <v>-7.12489090673</v>
      </c>
      <c r="E3281" s="3" t="n">
        <v>2</v>
      </c>
      <c r="F3281" s="2" t="n">
        <v>3</v>
      </c>
      <c r="G3281" s="4" t="n">
        <v>3</v>
      </c>
      <c r="H3281" s="13" t="n"/>
      <c r="I3281" s="15" t="n"/>
      <c r="J3281" s="19" t="n">
        <v>3</v>
      </c>
      <c r="K3281" s="2" t="inlineStr">
        <is>
          <t>marker_375_385413.png</t>
        </is>
      </c>
      <c r="L3281" s="11">
        <f>HYPERLINK("3\1\" &amp; K3281, "Ver Imagen")</f>
        <v/>
      </c>
      <c r="M3281" t="inlineStr">
        <is>
          <t>Moda</t>
        </is>
      </c>
    </row>
    <row r="3282">
      <c r="A3282" t="n">
        <v>3282</v>
      </c>
      <c r="B3282" t="inlineStr">
        <is>
          <t>A-495_1__45</t>
        </is>
      </c>
      <c r="C3282" s="1" t="n">
        <v>37.4568912553</v>
      </c>
      <c r="D3282" s="1" t="n">
        <v>-7.12602695409</v>
      </c>
      <c r="E3282" s="3" t="n">
        <v>3</v>
      </c>
      <c r="F3282" s="2" t="n">
        <v>3</v>
      </c>
      <c r="G3282" s="4" t="n">
        <v>2</v>
      </c>
      <c r="H3282" s="13" t="n"/>
      <c r="I3282" s="15" t="n"/>
      <c r="J3282" s="19" t="n">
        <v>3</v>
      </c>
      <c r="K3282" s="2" t="inlineStr">
        <is>
          <t>marker_830_385609.png</t>
        </is>
      </c>
      <c r="L3282" s="11">
        <f>HYPERLINK("3\1\" &amp; K3282, "Ver Imagen")</f>
        <v/>
      </c>
      <c r="M3282" t="inlineStr">
        <is>
          <t>Moda</t>
        </is>
      </c>
    </row>
    <row r="3283">
      <c r="A3283" t="n">
        <v>3283</v>
      </c>
      <c r="B3283" t="inlineStr">
        <is>
          <t>A-495_1__38</t>
        </is>
      </c>
      <c r="C3283" s="1" t="n">
        <v>37.4555166971</v>
      </c>
      <c r="D3283" s="1" t="n">
        <v>-7.12653608336</v>
      </c>
      <c r="E3283" s="3" t="n">
        <v>3</v>
      </c>
      <c r="F3283" s="2" t="n">
        <v>3</v>
      </c>
      <c r="G3283" s="4" t="n">
        <v>2</v>
      </c>
      <c r="H3283" s="13" t="n"/>
      <c r="I3283" s="15" t="n"/>
      <c r="J3283" s="19" t="n">
        <v>3</v>
      </c>
      <c r="K3283" s="2" t="inlineStr">
        <is>
          <t>marker_955_385672.png</t>
        </is>
      </c>
      <c r="L3283" s="11">
        <f>HYPERLINK("3\1\" &amp; K3283, "Ver Imagen")</f>
        <v/>
      </c>
      <c r="M3283" t="inlineStr">
        <is>
          <t>Moda</t>
        </is>
      </c>
    </row>
    <row r="3284">
      <c r="A3284" t="n">
        <v>3284</v>
      </c>
      <c r="B3284" t="inlineStr">
        <is>
          <t>A-495_1__13</t>
        </is>
      </c>
      <c r="C3284" s="1" t="n">
        <v>37.4505725584</v>
      </c>
      <c r="D3284" s="1" t="n">
        <v>-7.12735672264</v>
      </c>
      <c r="E3284" s="3" t="n">
        <v>2</v>
      </c>
      <c r="F3284" s="2" t="n">
        <v>3</v>
      </c>
      <c r="G3284" s="4" t="n">
        <v>3</v>
      </c>
      <c r="H3284" s="13" t="n"/>
      <c r="I3284" s="15" t="n"/>
      <c r="J3284" s="19" t="n">
        <v>3</v>
      </c>
      <c r="K3284" s="2" t="inlineStr">
        <is>
          <t>marker_200_386195.png</t>
        </is>
      </c>
      <c r="L3284" s="11">
        <f>HYPERLINK("3\1\" &amp; K3284, "Ver Imagen")</f>
        <v/>
      </c>
      <c r="M3284" t="inlineStr">
        <is>
          <t>Moda</t>
        </is>
      </c>
    </row>
    <row r="3285">
      <c r="A3285" t="n">
        <v>3285</v>
      </c>
      <c r="B3285" t="inlineStr">
        <is>
          <t>A-495_1__12</t>
        </is>
      </c>
      <c r="C3285" s="1" t="n">
        <v>37.45037478</v>
      </c>
      <c r="D3285" s="1" t="n">
        <v>-7.12731855943</v>
      </c>
      <c r="E3285" s="3" t="n">
        <v>2</v>
      </c>
      <c r="F3285" s="2" t="n">
        <v>3</v>
      </c>
      <c r="G3285" s="4" t="n">
        <v>3</v>
      </c>
      <c r="H3285" s="13" t="n"/>
      <c r="I3285" s="15" t="n"/>
      <c r="J3285" s="19" t="n">
        <v>3</v>
      </c>
      <c r="K3285" s="2" t="inlineStr">
        <is>
          <t>marker_811_386207.png</t>
        </is>
      </c>
      <c r="L3285" s="11">
        <f>HYPERLINK("3\1\" &amp; K3285, "Ver Imagen")</f>
        <v/>
      </c>
      <c r="M3285" t="inlineStr">
        <is>
          <t>Moda</t>
        </is>
      </c>
    </row>
    <row r="3286">
      <c r="A3286" t="n">
        <v>3286</v>
      </c>
      <c r="B3286" t="inlineStr">
        <is>
          <t>A-495_1__11</t>
        </is>
      </c>
      <c r="C3286" s="1" t="n">
        <v>37.4501421582</v>
      </c>
      <c r="D3286" s="1" t="n">
        <v>-7.12726897625</v>
      </c>
      <c r="E3286" s="3" t="n">
        <v>2</v>
      </c>
      <c r="F3286" s="2" t="n">
        <v>3</v>
      </c>
      <c r="G3286" s="4" t="n">
        <v>3</v>
      </c>
      <c r="H3286" s="13" t="n"/>
      <c r="I3286" s="15" t="n"/>
      <c r="J3286" s="19" t="n">
        <v>3</v>
      </c>
      <c r="K3286" s="2" t="inlineStr">
        <is>
          <t>marker_743_386216.png</t>
        </is>
      </c>
      <c r="L3286" s="11">
        <f>HYPERLINK("3\1\" &amp; K3286, "Ver Imagen")</f>
        <v/>
      </c>
      <c r="M3286" t="inlineStr">
        <is>
          <t>Moda</t>
        </is>
      </c>
    </row>
    <row r="3287">
      <c r="A3287" t="n">
        <v>3287</v>
      </c>
      <c r="B3287" t="inlineStr">
        <is>
          <t>A-495_1__9</t>
        </is>
      </c>
      <c r="C3287" s="1" t="n">
        <v>37.4497570488</v>
      </c>
      <c r="D3287" s="1" t="n">
        <v>-7.12717511093</v>
      </c>
      <c r="E3287" s="3" t="n">
        <v>2</v>
      </c>
      <c r="F3287" s="2" t="n">
        <v>3</v>
      </c>
      <c r="G3287" s="4" t="n">
        <v>3</v>
      </c>
      <c r="H3287" s="13" t="n"/>
      <c r="I3287" s="15" t="n"/>
      <c r="J3287" s="19" t="n">
        <v>3</v>
      </c>
      <c r="K3287" s="2" t="inlineStr">
        <is>
          <t>marker_462_386236.png</t>
        </is>
      </c>
      <c r="L3287" s="11">
        <f>HYPERLINK("3\1\" &amp; K3287, "Ver Imagen")</f>
        <v/>
      </c>
      <c r="M3287" t="inlineStr">
        <is>
          <t>Moda</t>
        </is>
      </c>
    </row>
    <row r="3288">
      <c r="A3288" t="n">
        <v>3288</v>
      </c>
      <c r="B3288" t="inlineStr">
        <is>
          <t>A-495_1__8</t>
        </is>
      </c>
      <c r="C3288" s="1" t="n">
        <v>37.4496015822</v>
      </c>
      <c r="D3288" s="1" t="n">
        <v>-7.1271306129</v>
      </c>
      <c r="E3288" s="3" t="n">
        <v>2</v>
      </c>
      <c r="F3288" s="2" t="n">
        <v>3</v>
      </c>
      <c r="G3288" s="4" t="n">
        <v>3</v>
      </c>
      <c r="H3288" s="13" t="n"/>
      <c r="I3288" s="15" t="n"/>
      <c r="J3288" s="19" t="n">
        <v>3</v>
      </c>
      <c r="K3288" s="2" t="inlineStr">
        <is>
          <t>marker_228_386244.png</t>
        </is>
      </c>
      <c r="L3288" s="11">
        <f>HYPERLINK("3\1\" &amp; K3288, "Ver Imagen")</f>
        <v/>
      </c>
      <c r="M3288" t="inlineStr">
        <is>
          <t>Moda</t>
        </is>
      </c>
    </row>
    <row r="3289">
      <c r="A3289" t="n">
        <v>3289</v>
      </c>
      <c r="B3289" t="inlineStr">
        <is>
          <t>A-495_1__7</t>
        </is>
      </c>
      <c r="C3289" s="1" t="n">
        <v>37.4494015162</v>
      </c>
      <c r="D3289" s="1" t="n">
        <v>-7.1270668417</v>
      </c>
      <c r="E3289" s="3" t="n">
        <v>3</v>
      </c>
      <c r="F3289" s="2" t="n">
        <v>3</v>
      </c>
      <c r="G3289" s="4" t="n">
        <v>4</v>
      </c>
      <c r="H3289" s="13" t="n"/>
      <c r="I3289" s="15" t="n"/>
      <c r="J3289" s="19" t="n">
        <v>3</v>
      </c>
      <c r="K3289" s="2" t="inlineStr">
        <is>
          <t>marker_457_386253.png</t>
        </is>
      </c>
      <c r="L3289" s="11">
        <f>HYPERLINK("3\1\" &amp; K3289, "Ver Imagen")</f>
        <v/>
      </c>
      <c r="M3289" t="inlineStr">
        <is>
          <t>Moda</t>
        </is>
      </c>
    </row>
    <row r="3290">
      <c r="A3290" t="n">
        <v>3290</v>
      </c>
      <c r="B3290" t="inlineStr">
        <is>
          <t>A-495_1__5</t>
        </is>
      </c>
      <c r="C3290" s="1" t="n">
        <v>37.4489930812</v>
      </c>
      <c r="D3290" s="1" t="n">
        <v>-7.12692472109</v>
      </c>
      <c r="E3290" s="3" t="n">
        <v>3</v>
      </c>
      <c r="F3290" s="2" t="n">
        <v>3</v>
      </c>
      <c r="G3290" s="4" t="n">
        <v>4</v>
      </c>
      <c r="H3290" s="13" t="n"/>
      <c r="I3290" s="15" t="n"/>
      <c r="J3290" s="19" t="n">
        <v>3</v>
      </c>
      <c r="K3290" s="2" t="inlineStr">
        <is>
          <t>marker_617_386274.png</t>
        </is>
      </c>
      <c r="L3290" s="11">
        <f>HYPERLINK("3\1\" &amp; K3290, "Ver Imagen")</f>
        <v/>
      </c>
      <c r="M3290" t="inlineStr">
        <is>
          <t>Moda</t>
        </is>
      </c>
    </row>
    <row r="3291">
      <c r="A3291" t="n">
        <v>3291</v>
      </c>
      <c r="B3291" t="inlineStr">
        <is>
          <t>A-495_1__4</t>
        </is>
      </c>
      <c r="C3291" s="1" t="n">
        <v>37.4488242107</v>
      </c>
      <c r="D3291" s="1" t="n">
        <v>-7.12686598263</v>
      </c>
      <c r="E3291" s="3" t="n">
        <v>3</v>
      </c>
      <c r="F3291" s="2" t="n">
        <v>3</v>
      </c>
      <c r="G3291" s="4" t="n">
        <v>4</v>
      </c>
      <c r="H3291" s="13" t="n"/>
      <c r="I3291" s="15" t="n"/>
      <c r="J3291" s="19" t="n">
        <v>3</v>
      </c>
      <c r="K3291" s="2" t="inlineStr">
        <is>
          <t>marker_958_386285.png</t>
        </is>
      </c>
      <c r="L3291" s="11">
        <f>HYPERLINK("3\1\" &amp; K3291, "Ver Imagen")</f>
        <v/>
      </c>
      <c r="M3291" t="inlineStr">
        <is>
          <t>Moda</t>
        </is>
      </c>
    </row>
    <row r="3292">
      <c r="A3292" t="n">
        <v>3292</v>
      </c>
      <c r="B3292" t="inlineStr">
        <is>
          <t>A-495_1__2</t>
        </is>
      </c>
      <c r="C3292" s="1" t="n">
        <v>37.4484289359</v>
      </c>
      <c r="D3292" s="1" t="n">
        <v>-7.12672446462</v>
      </c>
      <c r="E3292" s="3" t="n">
        <v>3</v>
      </c>
      <c r="F3292" s="2" t="n">
        <v>3</v>
      </c>
      <c r="G3292" s="4" t="n">
        <v>4</v>
      </c>
      <c r="H3292" s="13" t="n"/>
      <c r="I3292" s="15" t="n"/>
      <c r="J3292" s="19" t="n">
        <v>3</v>
      </c>
      <c r="K3292" s="2" t="inlineStr">
        <is>
          <t>marker_738_386308.png</t>
        </is>
      </c>
      <c r="L3292" s="11">
        <f>HYPERLINK("3\1\" &amp; K3292, "Ver Imagen")</f>
        <v/>
      </c>
      <c r="M3292" t="inlineStr">
        <is>
          <t>Moda</t>
        </is>
      </c>
    </row>
    <row r="3293">
      <c r="A3293" t="n">
        <v>3293</v>
      </c>
      <c r="B3293" t="inlineStr">
        <is>
          <t>A-499__52</t>
        </is>
      </c>
      <c r="C3293" s="1" t="n">
        <v>37.4956986015</v>
      </c>
      <c r="D3293" s="1" t="n">
        <v>-7.27476081099</v>
      </c>
      <c r="E3293" s="3" t="n">
        <v>2</v>
      </c>
      <c r="F3293" s="2" t="n">
        <v>3</v>
      </c>
      <c r="G3293" s="4" t="n">
        <v>3</v>
      </c>
      <c r="H3293" s="13" t="n"/>
      <c r="I3293" s="15" t="n"/>
      <c r="J3293" s="19" t="n">
        <v>3</v>
      </c>
      <c r="K3293" s="2" t="inlineStr">
        <is>
          <t>marker_495_534916.png</t>
        </is>
      </c>
      <c r="L3293" s="11">
        <f>HYPERLINK("3\1\" &amp; K3293, "Ver Imagen")</f>
        <v/>
      </c>
      <c r="M3293" t="inlineStr">
        <is>
          <t>Moda</t>
        </is>
      </c>
    </row>
    <row r="3294">
      <c r="A3294" t="n">
        <v>3294</v>
      </c>
      <c r="B3294" t="inlineStr">
        <is>
          <t>A-499__57</t>
        </is>
      </c>
      <c r="C3294" s="1" t="n">
        <v>37.4956308317</v>
      </c>
      <c r="D3294" s="1" t="n">
        <v>-7.2735034779</v>
      </c>
      <c r="E3294" s="3" t="n">
        <v>2</v>
      </c>
      <c r="F3294" s="2" t="n">
        <v>3</v>
      </c>
      <c r="G3294" s="4" t="n">
        <v>3</v>
      </c>
      <c r="H3294" s="13" t="n"/>
      <c r="I3294" s="15" t="n"/>
      <c r="J3294" s="19" t="n">
        <v>3</v>
      </c>
      <c r="K3294" s="2" t="inlineStr">
        <is>
          <t>marker_291_534966.png</t>
        </is>
      </c>
      <c r="L3294" s="11">
        <f>HYPERLINK("3\1\" &amp; K3294, "Ver Imagen")</f>
        <v/>
      </c>
      <c r="M3294" t="inlineStr">
        <is>
          <t>Moda</t>
        </is>
      </c>
    </row>
    <row r="3295">
      <c r="A3295" t="n">
        <v>3295</v>
      </c>
      <c r="B3295" t="inlineStr">
        <is>
          <t>A-499__58</t>
        </is>
      </c>
      <c r="C3295" s="1" t="n">
        <v>37.4955945549</v>
      </c>
      <c r="D3295" s="1" t="n">
        <v>-7.27327534569</v>
      </c>
      <c r="E3295" s="3" t="n">
        <v>2</v>
      </c>
      <c r="F3295" s="2" t="n">
        <v>3</v>
      </c>
      <c r="G3295" s="4" t="n">
        <v>3</v>
      </c>
      <c r="H3295" s="13" t="n"/>
      <c r="I3295" s="15" t="n"/>
      <c r="J3295" s="19" t="n">
        <v>3</v>
      </c>
      <c r="K3295" s="2" t="inlineStr">
        <is>
          <t>marker_422_534976.png</t>
        </is>
      </c>
      <c r="L3295" s="11">
        <f>HYPERLINK("3\1\" &amp; K3295, "Ver Imagen")</f>
        <v/>
      </c>
      <c r="M3295" t="inlineStr">
        <is>
          <t>Moda</t>
        </is>
      </c>
    </row>
    <row r="3296">
      <c r="A3296" t="n">
        <v>3296</v>
      </c>
      <c r="B3296" t="inlineStr">
        <is>
          <t>A-497__831</t>
        </is>
      </c>
      <c r="C3296" s="1" t="n">
        <v>37.1985217034</v>
      </c>
      <c r="D3296" s="1" t="n">
        <v>-6.98168007796</v>
      </c>
      <c r="E3296" s="3" t="n">
        <v>3</v>
      </c>
      <c r="F3296" s="2" t="n">
        <v>3</v>
      </c>
      <c r="G3296" s="4" t="n">
        <v>4</v>
      </c>
      <c r="H3296" s="13" t="n"/>
      <c r="I3296" s="15" t="n"/>
      <c r="J3296" s="19" t="n">
        <v>3</v>
      </c>
      <c r="K3296" s="2" t="inlineStr">
        <is>
          <t>marker_323_367639.png</t>
        </is>
      </c>
      <c r="L3296" s="11">
        <f>HYPERLINK("3\1\" &amp; K3296, "Ver Imagen")</f>
        <v/>
      </c>
      <c r="M3296" t="inlineStr">
        <is>
          <t>Moda</t>
        </is>
      </c>
    </row>
    <row r="3297">
      <c r="A3297" t="n">
        <v>3297</v>
      </c>
      <c r="B3297" t="inlineStr">
        <is>
          <t>A-497__825</t>
        </is>
      </c>
      <c r="C3297" s="1" t="n">
        <v>37.1978336901</v>
      </c>
      <c r="D3297" s="1" t="n">
        <v>-6.98046650753</v>
      </c>
      <c r="E3297" s="3" t="n">
        <v>4</v>
      </c>
      <c r="F3297" s="2" t="n">
        <v>3</v>
      </c>
      <c r="G3297" s="4" t="n">
        <v>3</v>
      </c>
      <c r="H3297" s="13" t="n"/>
      <c r="I3297" s="15" t="n"/>
      <c r="J3297" s="19" t="n">
        <v>3</v>
      </c>
      <c r="K3297" s="2" t="inlineStr">
        <is>
          <t>marker_823_367703.png</t>
        </is>
      </c>
      <c r="L3297" s="11">
        <f>HYPERLINK("3\1\" &amp; K3297, "Ver Imagen")</f>
        <v/>
      </c>
      <c r="M3297" t="inlineStr">
        <is>
          <t>Moda</t>
        </is>
      </c>
    </row>
    <row r="3298">
      <c r="A3298" t="n">
        <v>3298</v>
      </c>
      <c r="B3298" t="inlineStr">
        <is>
          <t>A-497__824</t>
        </is>
      </c>
      <c r="C3298" s="1" t="n">
        <v>37.1976715908</v>
      </c>
      <c r="D3298" s="1" t="n">
        <v>-6.98024162323</v>
      </c>
      <c r="E3298" s="3" t="n">
        <v>4</v>
      </c>
      <c r="F3298" s="2" t="n">
        <v>3</v>
      </c>
      <c r="G3298" s="4" t="n">
        <v>3</v>
      </c>
      <c r="H3298" s="13" t="n"/>
      <c r="I3298" s="15" t="n"/>
      <c r="J3298" s="19" t="n">
        <v>3</v>
      </c>
      <c r="K3298" s="2" t="inlineStr">
        <is>
          <t>marker_202_367713.png</t>
        </is>
      </c>
      <c r="L3298" s="11">
        <f>HYPERLINK("3\1\" &amp; K3298, "Ver Imagen")</f>
        <v/>
      </c>
      <c r="M3298" t="inlineStr">
        <is>
          <t>Moda</t>
        </is>
      </c>
    </row>
    <row r="3299">
      <c r="A3299" t="n">
        <v>3299</v>
      </c>
      <c r="B3299" t="inlineStr">
        <is>
          <t>A-497__816</t>
        </is>
      </c>
      <c r="C3299" s="1" t="n">
        <v>37.1964649304</v>
      </c>
      <c r="D3299" s="1" t="n">
        <v>-6.97897032489</v>
      </c>
      <c r="E3299" s="3" t="n">
        <v>4</v>
      </c>
      <c r="F3299" s="2" t="n">
        <v>3</v>
      </c>
      <c r="G3299" s="4" t="n">
        <v>3</v>
      </c>
      <c r="H3299" s="13" t="n"/>
      <c r="I3299" s="15" t="n"/>
      <c r="J3299" s="19" t="n">
        <v>3</v>
      </c>
      <c r="K3299" s="2" t="inlineStr">
        <is>
          <t>marker_391_367792.png</t>
        </is>
      </c>
      <c r="L3299" s="11">
        <f>HYPERLINK("3\1\" &amp; K3299, "Ver Imagen")</f>
        <v/>
      </c>
      <c r="M3299" t="inlineStr">
        <is>
          <t>Moda</t>
        </is>
      </c>
    </row>
    <row r="3300">
      <c r="A3300" t="n">
        <v>3300</v>
      </c>
      <c r="B3300" t="inlineStr">
        <is>
          <t>A-497__814</t>
        </is>
      </c>
      <c r="C3300" s="1" t="n">
        <v>37.1960957593</v>
      </c>
      <c r="D3300" s="1" t="n">
        <v>-6.97869192314</v>
      </c>
      <c r="E3300" s="3" t="n">
        <v>2</v>
      </c>
      <c r="F3300" s="2" t="n">
        <v>3</v>
      </c>
      <c r="G3300" s="4" t="n">
        <v>3</v>
      </c>
      <c r="H3300" s="13" t="n"/>
      <c r="I3300" s="15" t="n"/>
      <c r="J3300" s="19" t="n">
        <v>3</v>
      </c>
      <c r="K3300" s="2" t="inlineStr">
        <is>
          <t>marker_136_367810.png</t>
        </is>
      </c>
      <c r="L3300" s="11">
        <f>HYPERLINK("3\1\" &amp; K3300, "Ver Imagen")</f>
        <v/>
      </c>
      <c r="M3300" t="inlineStr">
        <is>
          <t>Moda</t>
        </is>
      </c>
    </row>
    <row r="3301">
      <c r="A3301" t="n">
        <v>3301</v>
      </c>
      <c r="B3301" t="inlineStr">
        <is>
          <t>A-497__812</t>
        </is>
      </c>
      <c r="C3301" s="1" t="n">
        <v>37.1957499129</v>
      </c>
      <c r="D3301" s="1" t="n">
        <v>-6.97846403414</v>
      </c>
      <c r="E3301" s="3" t="n">
        <v>4</v>
      </c>
      <c r="F3301" s="2" t="n">
        <v>3</v>
      </c>
      <c r="G3301" s="4" t="n">
        <v>3</v>
      </c>
      <c r="H3301" s="13" t="n"/>
      <c r="I3301" s="15" t="n"/>
      <c r="J3301" s="19" t="n">
        <v>3</v>
      </c>
      <c r="K3301" s="2" t="inlineStr">
        <is>
          <t>marker_693_367828.png</t>
        </is>
      </c>
      <c r="L3301" s="11">
        <f>HYPERLINK("3\1\" &amp; K3301, "Ver Imagen")</f>
        <v/>
      </c>
      <c r="M3301" t="inlineStr">
        <is>
          <t>Moda</t>
        </is>
      </c>
    </row>
    <row r="3302">
      <c r="A3302" t="n">
        <v>3302</v>
      </c>
      <c r="B3302" t="inlineStr">
        <is>
          <t>A-497__810</t>
        </is>
      </c>
      <c r="C3302" s="1" t="n">
        <v>37.1953652283</v>
      </c>
      <c r="D3302" s="1" t="n">
        <v>-6.97824438361</v>
      </c>
      <c r="E3302" s="3" t="n">
        <v>2</v>
      </c>
      <c r="F3302" s="2" t="n">
        <v>3</v>
      </c>
      <c r="G3302" s="4" t="n">
        <v>3</v>
      </c>
      <c r="H3302" s="13" t="n"/>
      <c r="I3302" s="15" t="n"/>
      <c r="J3302" s="19" t="n">
        <v>3</v>
      </c>
      <c r="K3302" s="2" t="inlineStr">
        <is>
          <t>marker_744_367851.png</t>
        </is>
      </c>
      <c r="L3302" s="11">
        <f>HYPERLINK("3\1\" &amp; K3302, "Ver Imagen")</f>
        <v/>
      </c>
      <c r="M3302" t="inlineStr">
        <is>
          <t>Moda</t>
        </is>
      </c>
    </row>
    <row r="3303">
      <c r="A3303" t="n">
        <v>3303</v>
      </c>
      <c r="B3303" t="inlineStr">
        <is>
          <t>A-497__809</t>
        </is>
      </c>
      <c r="C3303" s="1" t="n">
        <v>37.1951603643</v>
      </c>
      <c r="D3303" s="1" t="n">
        <v>-6.97814389998</v>
      </c>
      <c r="E3303" s="3" t="n">
        <v>3</v>
      </c>
      <c r="F3303" s="2" t="n">
        <v>3</v>
      </c>
      <c r="G3303" s="4" t="n">
        <v>4</v>
      </c>
      <c r="H3303" s="13" t="n"/>
      <c r="I3303" s="15" t="n"/>
      <c r="J3303" s="19" t="n">
        <v>3</v>
      </c>
      <c r="K3303" s="2" t="inlineStr">
        <is>
          <t>marker_264_367859.png</t>
        </is>
      </c>
      <c r="L3303" s="11">
        <f>HYPERLINK("3\1\" &amp; K3303, "Ver Imagen")</f>
        <v/>
      </c>
      <c r="M3303" t="inlineStr">
        <is>
          <t>Moda</t>
        </is>
      </c>
    </row>
    <row r="3304">
      <c r="A3304" t="n">
        <v>3304</v>
      </c>
      <c r="B3304" t="inlineStr">
        <is>
          <t>A-497__807</t>
        </is>
      </c>
      <c r="C3304" s="1" t="n">
        <v>37.1947935062</v>
      </c>
      <c r="D3304" s="1" t="n">
        <v>-6.97799041847</v>
      </c>
      <c r="E3304" s="3" t="n">
        <v>3</v>
      </c>
      <c r="F3304" s="2" t="n">
        <v>3</v>
      </c>
      <c r="G3304" s="4" t="n">
        <v>4</v>
      </c>
      <c r="H3304" s="13" t="n"/>
      <c r="I3304" s="15" t="n"/>
      <c r="J3304" s="19" t="n">
        <v>3</v>
      </c>
      <c r="K3304" s="2" t="inlineStr">
        <is>
          <t>marker_219_367879.png</t>
        </is>
      </c>
      <c r="L3304" s="11">
        <f>HYPERLINK("3\1\" &amp; K3304, "Ver Imagen")</f>
        <v/>
      </c>
      <c r="M3304" t="inlineStr">
        <is>
          <t>Moda</t>
        </is>
      </c>
    </row>
    <row r="3305">
      <c r="A3305" t="n">
        <v>3305</v>
      </c>
      <c r="B3305" t="inlineStr">
        <is>
          <t>A-497__805</t>
        </is>
      </c>
      <c r="C3305" s="1" t="n">
        <v>37.1944363249</v>
      </c>
      <c r="D3305" s="1" t="n">
        <v>-6.9778699802</v>
      </c>
      <c r="E3305" s="3" t="n">
        <v>3</v>
      </c>
      <c r="F3305" s="2" t="n">
        <v>3</v>
      </c>
      <c r="G3305" s="4" t="n">
        <v>4</v>
      </c>
      <c r="H3305" s="13" t="n"/>
      <c r="I3305" s="15" t="n"/>
      <c r="J3305" s="19" t="n">
        <v>3</v>
      </c>
      <c r="K3305" s="2" t="inlineStr">
        <is>
          <t>marker_871_367900.png</t>
        </is>
      </c>
      <c r="L3305" s="11">
        <f>HYPERLINK("3\1\" &amp; K3305, "Ver Imagen")</f>
        <v/>
      </c>
      <c r="M3305" t="inlineStr">
        <is>
          <t>Moda</t>
        </is>
      </c>
    </row>
    <row r="3306">
      <c r="A3306" t="n">
        <v>3306</v>
      </c>
      <c r="B3306" t="inlineStr">
        <is>
          <t>A-497__804</t>
        </is>
      </c>
      <c r="C3306" s="1" t="n">
        <v>37.1941786129</v>
      </c>
      <c r="D3306" s="1" t="n">
        <v>-6.97779733172</v>
      </c>
      <c r="E3306" s="3" t="n">
        <v>3</v>
      </c>
      <c r="F3306" s="2" t="n">
        <v>3</v>
      </c>
      <c r="G3306" s="4" t="n">
        <v>4</v>
      </c>
      <c r="H3306" s="13" t="n"/>
      <c r="I3306" s="15" t="n"/>
      <c r="J3306" s="19" t="n">
        <v>3</v>
      </c>
      <c r="K3306" s="2" t="inlineStr">
        <is>
          <t>marker_837_367909.png</t>
        </is>
      </c>
      <c r="L3306" s="11">
        <f>HYPERLINK("3\1\" &amp; K3306, "Ver Imagen")</f>
        <v/>
      </c>
      <c r="M3306" t="inlineStr">
        <is>
          <t>Moda</t>
        </is>
      </c>
    </row>
    <row r="3307">
      <c r="A3307" t="n">
        <v>3307</v>
      </c>
      <c r="B3307" t="inlineStr">
        <is>
          <t>A-497__803</t>
        </is>
      </c>
      <c r="C3307" s="1" t="n">
        <v>37.1940116983</v>
      </c>
      <c r="D3307" s="1" t="n">
        <v>-6.97775715444</v>
      </c>
      <c r="E3307" s="3" t="n">
        <v>3</v>
      </c>
      <c r="F3307" s="2" t="n">
        <v>3</v>
      </c>
      <c r="G3307" s="4" t="n">
        <v>4</v>
      </c>
      <c r="H3307" s="13" t="n"/>
      <c r="I3307" s="15" t="n"/>
      <c r="J3307" s="19" t="n">
        <v>3</v>
      </c>
      <c r="K3307" s="2" t="inlineStr">
        <is>
          <t>marker_956_367918.png</t>
        </is>
      </c>
      <c r="L3307" s="11">
        <f>HYPERLINK("3\1\" &amp; K3307, "Ver Imagen")</f>
        <v/>
      </c>
      <c r="M3307" t="inlineStr">
        <is>
          <t>Moda</t>
        </is>
      </c>
    </row>
    <row r="3308">
      <c r="A3308" t="n">
        <v>3308</v>
      </c>
      <c r="B3308" t="inlineStr">
        <is>
          <t>A-497__802</t>
        </is>
      </c>
      <c r="C3308" s="1" t="n">
        <v>37.1938144846</v>
      </c>
      <c r="D3308" s="1" t="n">
        <v>-6.97771708808</v>
      </c>
      <c r="E3308" s="3" t="n">
        <v>3</v>
      </c>
      <c r="F3308" s="2" t="n">
        <v>3</v>
      </c>
      <c r="G3308" s="4" t="n">
        <v>4</v>
      </c>
      <c r="H3308" s="13" t="n"/>
      <c r="I3308" s="15" t="n"/>
      <c r="J3308" s="19" t="n">
        <v>3</v>
      </c>
      <c r="K3308" s="2" t="inlineStr">
        <is>
          <t>marker_265_367929.png</t>
        </is>
      </c>
      <c r="L3308" s="11">
        <f>HYPERLINK("3\1\" &amp; K3308, "Ver Imagen")</f>
        <v/>
      </c>
      <c r="M3308" t="inlineStr">
        <is>
          <t>Moda</t>
        </is>
      </c>
    </row>
    <row r="3309">
      <c r="A3309" t="n">
        <v>3309</v>
      </c>
      <c r="B3309" t="inlineStr">
        <is>
          <t>A-497__801</t>
        </is>
      </c>
      <c r="C3309" s="1" t="n">
        <v>37.1936275369</v>
      </c>
      <c r="D3309" s="1" t="n">
        <v>-6.97768765535</v>
      </c>
      <c r="E3309" s="3" t="n">
        <v>3</v>
      </c>
      <c r="F3309" s="2" t="n">
        <v>3</v>
      </c>
      <c r="G3309" s="4" t="n">
        <v>4</v>
      </c>
      <c r="H3309" s="13" t="n"/>
      <c r="I3309" s="15" t="n"/>
      <c r="J3309" s="19" t="n">
        <v>3</v>
      </c>
      <c r="K3309" s="2" t="inlineStr">
        <is>
          <t>marker_513_367938.png</t>
        </is>
      </c>
      <c r="L3309" s="11">
        <f>HYPERLINK("3\1\" &amp; K3309, "Ver Imagen")</f>
        <v/>
      </c>
      <c r="M3309" t="inlineStr">
        <is>
          <t>Moda</t>
        </is>
      </c>
    </row>
    <row r="3310">
      <c r="A3310" t="n">
        <v>3310</v>
      </c>
      <c r="B3310" t="inlineStr">
        <is>
          <t>A-497__798</t>
        </is>
      </c>
      <c r="C3310" s="1" t="n">
        <v>37.1930516025</v>
      </c>
      <c r="D3310" s="1" t="n">
        <v>-6.97764269172</v>
      </c>
      <c r="E3310" s="3" t="n">
        <v>3</v>
      </c>
      <c r="F3310" s="2" t="n">
        <v>3</v>
      </c>
      <c r="G3310" s="4" t="n">
        <v>4</v>
      </c>
      <c r="H3310" s="13" t="n"/>
      <c r="I3310" s="15" t="n"/>
      <c r="J3310" s="19" t="n">
        <v>3</v>
      </c>
      <c r="K3310" s="2" t="inlineStr">
        <is>
          <t>marker_830_367971.png</t>
        </is>
      </c>
      <c r="L3310" s="11">
        <f>HYPERLINK("3\1\" &amp; K3310, "Ver Imagen")</f>
        <v/>
      </c>
      <c r="M3310" t="inlineStr">
        <is>
          <t>Moda</t>
        </is>
      </c>
    </row>
    <row r="3311">
      <c r="A3311" t="n">
        <v>3311</v>
      </c>
      <c r="B3311" t="inlineStr">
        <is>
          <t>A-497__797</t>
        </is>
      </c>
      <c r="C3311" s="1" t="n">
        <v>37.1928366385</v>
      </c>
      <c r="D3311" s="1" t="n">
        <v>-6.97764091577</v>
      </c>
      <c r="E3311" s="3" t="n">
        <v>2</v>
      </c>
      <c r="F3311" s="2" t="n">
        <v>3</v>
      </c>
      <c r="G3311" s="4" t="n">
        <v>3</v>
      </c>
      <c r="H3311" s="13" t="n"/>
      <c r="I3311" s="15" t="n"/>
      <c r="J3311" s="19" t="n">
        <v>3</v>
      </c>
      <c r="K3311" s="2" t="inlineStr">
        <is>
          <t>marker_166_367983.png</t>
        </is>
      </c>
      <c r="L3311" s="11">
        <f>HYPERLINK("3\1\" &amp; K3311, "Ver Imagen")</f>
        <v/>
      </c>
      <c r="M3311" t="inlineStr">
        <is>
          <t>Moda</t>
        </is>
      </c>
    </row>
    <row r="3312">
      <c r="A3312" t="n">
        <v>3312</v>
      </c>
      <c r="B3312" t="inlineStr">
        <is>
          <t>A-497__796</t>
        </is>
      </c>
      <c r="C3312" s="1" t="n">
        <v>37.1926232475</v>
      </c>
      <c r="D3312" s="1" t="n">
        <v>-6.97764606993</v>
      </c>
      <c r="E3312" s="3" t="n">
        <v>3</v>
      </c>
      <c r="F3312" s="2" t="n">
        <v>3</v>
      </c>
      <c r="G3312" s="4" t="n">
        <v>4</v>
      </c>
      <c r="H3312" s="13" t="n"/>
      <c r="I3312" s="15" t="n"/>
      <c r="J3312" s="19" t="n">
        <v>3</v>
      </c>
      <c r="K3312" s="2" t="inlineStr">
        <is>
          <t>marker_119_367995.png</t>
        </is>
      </c>
      <c r="L3312" s="11">
        <f>HYPERLINK("3\1\" &amp; K3312, "Ver Imagen")</f>
        <v/>
      </c>
      <c r="M3312" t="inlineStr">
        <is>
          <t>Moda</t>
        </is>
      </c>
    </row>
    <row r="3313">
      <c r="A3313" t="n">
        <v>3313</v>
      </c>
      <c r="B3313" t="inlineStr">
        <is>
          <t>A-497__791</t>
        </is>
      </c>
      <c r="C3313" s="1" t="n">
        <v>37.1915880441</v>
      </c>
      <c r="D3313" s="1" t="n">
        <v>-6.97776205671</v>
      </c>
      <c r="E3313" s="3" t="n">
        <v>3</v>
      </c>
      <c r="F3313" s="2" t="n">
        <v>3</v>
      </c>
      <c r="G3313" s="4" t="n">
        <v>4</v>
      </c>
      <c r="H3313" s="13" t="n"/>
      <c r="I3313" s="15" t="n"/>
      <c r="J3313" s="19" t="n">
        <v>3</v>
      </c>
      <c r="K3313" s="2" t="inlineStr">
        <is>
          <t>marker_888_368052.png</t>
        </is>
      </c>
      <c r="L3313" s="11">
        <f>HYPERLINK("3\1\" &amp; K3313, "Ver Imagen")</f>
        <v/>
      </c>
      <c r="M3313" t="inlineStr">
        <is>
          <t>Moda</t>
        </is>
      </c>
    </row>
    <row r="3314">
      <c r="A3314" t="n">
        <v>3314</v>
      </c>
      <c r="B3314" t="inlineStr">
        <is>
          <t>A-497__790</t>
        </is>
      </c>
      <c r="C3314" s="1" t="n">
        <v>37.1914015111</v>
      </c>
      <c r="D3314" s="1" t="n">
        <v>-6.9777966568</v>
      </c>
      <c r="E3314" s="3" t="n">
        <v>3</v>
      </c>
      <c r="F3314" s="2" t="n">
        <v>3</v>
      </c>
      <c r="G3314" s="4" t="n">
        <v>4</v>
      </c>
      <c r="H3314" s="13" t="n"/>
      <c r="I3314" s="15" t="n"/>
      <c r="J3314" s="19" t="n">
        <v>3</v>
      </c>
      <c r="K3314" s="2" t="inlineStr">
        <is>
          <t>marker_907_368062.png</t>
        </is>
      </c>
      <c r="L3314" s="11">
        <f>HYPERLINK("3\1\" &amp; K3314, "Ver Imagen")</f>
        <v/>
      </c>
      <c r="M3314" t="inlineStr">
        <is>
          <t>Moda</t>
        </is>
      </c>
    </row>
    <row r="3315">
      <c r="A3315" t="n">
        <v>3315</v>
      </c>
      <c r="B3315" t="inlineStr">
        <is>
          <t>A-497__787</t>
        </is>
      </c>
      <c r="C3315" s="1" t="n">
        <v>37.1908268649</v>
      </c>
      <c r="D3315" s="1" t="n">
        <v>-6.97792204452</v>
      </c>
      <c r="E3315" s="3" t="n">
        <v>3</v>
      </c>
      <c r="F3315" s="2" t="n">
        <v>3</v>
      </c>
      <c r="G3315" s="4" t="n">
        <v>4</v>
      </c>
      <c r="H3315" s="13" t="n"/>
      <c r="I3315" s="15" t="n"/>
      <c r="J3315" s="19" t="n">
        <v>3</v>
      </c>
      <c r="K3315" s="2" t="inlineStr">
        <is>
          <t>marker_564_368092.png</t>
        </is>
      </c>
      <c r="L3315" s="11">
        <f>HYPERLINK("3\1\" &amp; K3315, "Ver Imagen")</f>
        <v/>
      </c>
      <c r="M3315" t="inlineStr">
        <is>
          <t>Moda</t>
        </is>
      </c>
    </row>
    <row r="3316">
      <c r="A3316" t="n">
        <v>3316</v>
      </c>
      <c r="B3316" t="inlineStr">
        <is>
          <t>A-497__786</t>
        </is>
      </c>
      <c r="C3316" s="1" t="n">
        <v>37.1906397211</v>
      </c>
      <c r="D3316" s="1" t="n">
        <v>-6.97796739633</v>
      </c>
      <c r="E3316" s="3" t="n">
        <v>3</v>
      </c>
      <c r="F3316" s="2" t="n">
        <v>3</v>
      </c>
      <c r="G3316" s="4" t="n">
        <v>4</v>
      </c>
      <c r="H3316" s="13" t="n"/>
      <c r="I3316" s="15" t="n"/>
      <c r="J3316" s="19" t="n">
        <v>3</v>
      </c>
      <c r="K3316" s="2" t="inlineStr">
        <is>
          <t>marker_762_368102.png</t>
        </is>
      </c>
      <c r="L3316" s="11">
        <f>HYPERLINK("3\1\" &amp; K3316, "Ver Imagen")</f>
        <v/>
      </c>
      <c r="M3316" t="inlineStr">
        <is>
          <t>Moda</t>
        </is>
      </c>
    </row>
    <row r="3317">
      <c r="A3317" t="n">
        <v>3317</v>
      </c>
      <c r="B3317" t="inlineStr">
        <is>
          <t>A-497__785</t>
        </is>
      </c>
      <c r="C3317" s="1" t="n">
        <v>37.1904423957</v>
      </c>
      <c r="D3317" s="1" t="n">
        <v>-6.97801743829</v>
      </c>
      <c r="E3317" s="3" t="n">
        <v>3</v>
      </c>
      <c r="F3317" s="2" t="n">
        <v>3</v>
      </c>
      <c r="G3317" s="4" t="n">
        <v>4</v>
      </c>
      <c r="H3317" s="13" t="n"/>
      <c r="I3317" s="15" t="n"/>
      <c r="J3317" s="19" t="n">
        <v>3</v>
      </c>
      <c r="K3317" s="2" t="inlineStr">
        <is>
          <t>marker_374_368112.png</t>
        </is>
      </c>
      <c r="L3317" s="11">
        <f>HYPERLINK("3\1\" &amp; K3317, "Ver Imagen")</f>
        <v/>
      </c>
      <c r="M3317" t="inlineStr">
        <is>
          <t>Moda</t>
        </is>
      </c>
    </row>
    <row r="3318">
      <c r="A3318" t="n">
        <v>3318</v>
      </c>
      <c r="B3318" t="inlineStr">
        <is>
          <t>A-497__784</t>
        </is>
      </c>
      <c r="C3318" s="1" t="n">
        <v>37.1902339759</v>
      </c>
      <c r="D3318" s="1" t="n">
        <v>-6.97807207244</v>
      </c>
      <c r="E3318" s="3" t="n">
        <v>3</v>
      </c>
      <c r="F3318" s="2" t="n">
        <v>3</v>
      </c>
      <c r="G3318" s="4" t="n">
        <v>4</v>
      </c>
      <c r="H3318" s="13" t="n"/>
      <c r="I3318" s="15" t="n"/>
      <c r="J3318" s="19" t="n">
        <v>3</v>
      </c>
      <c r="K3318" s="2" t="inlineStr">
        <is>
          <t>marker_349_368122.png</t>
        </is>
      </c>
      <c r="L3318" s="11">
        <f>HYPERLINK("3\1\" &amp; K3318, "Ver Imagen")</f>
        <v/>
      </c>
      <c r="M3318" t="inlineStr">
        <is>
          <t>Moda</t>
        </is>
      </c>
    </row>
    <row r="3319">
      <c r="A3319" t="n">
        <v>3319</v>
      </c>
      <c r="B3319" t="inlineStr">
        <is>
          <t>A-497__781</t>
        </is>
      </c>
      <c r="C3319" s="1" t="n">
        <v>37.189615514</v>
      </c>
      <c r="D3319" s="1" t="n">
        <v>-6.97824626041</v>
      </c>
      <c r="E3319" s="3" t="n">
        <v>3</v>
      </c>
      <c r="F3319" s="2" t="n">
        <v>3</v>
      </c>
      <c r="G3319" s="4" t="n">
        <v>4</v>
      </c>
      <c r="H3319" s="13" t="n"/>
      <c r="I3319" s="15" t="n"/>
      <c r="J3319" s="19" t="n">
        <v>3</v>
      </c>
      <c r="K3319" s="2" t="inlineStr">
        <is>
          <t>marker_531_368152.png</t>
        </is>
      </c>
      <c r="L3319" s="11">
        <f>HYPERLINK("3\1\" &amp; K3319, "Ver Imagen")</f>
        <v/>
      </c>
      <c r="M3319" t="inlineStr">
        <is>
          <t>Moda</t>
        </is>
      </c>
    </row>
    <row r="3320">
      <c r="A3320" t="n">
        <v>3320</v>
      </c>
      <c r="B3320" t="inlineStr">
        <is>
          <t>A-497__779</t>
        </is>
      </c>
      <c r="C3320" s="1" t="n">
        <v>37.1892359894</v>
      </c>
      <c r="D3320" s="1" t="n">
        <v>-6.97835679246</v>
      </c>
      <c r="E3320" s="3" t="n">
        <v>2</v>
      </c>
      <c r="F3320" s="2" t="n">
        <v>3</v>
      </c>
      <c r="G3320" s="4" t="n">
        <v>3</v>
      </c>
      <c r="H3320" s="13" t="n"/>
      <c r="I3320" s="15" t="n"/>
      <c r="J3320" s="19" t="n">
        <v>3</v>
      </c>
      <c r="K3320" s="2" t="inlineStr">
        <is>
          <t>marker_873_368173.png</t>
        </is>
      </c>
      <c r="L3320" s="11">
        <f>HYPERLINK("3\1\" &amp; K3320, "Ver Imagen")</f>
        <v/>
      </c>
      <c r="M3320" t="inlineStr">
        <is>
          <t>Moda</t>
        </is>
      </c>
    </row>
    <row r="3321">
      <c r="A3321" t="n">
        <v>3321</v>
      </c>
      <c r="B3321" t="inlineStr">
        <is>
          <t>A-497__763</t>
        </is>
      </c>
      <c r="C3321" s="1" t="n">
        <v>37.1864657128</v>
      </c>
      <c r="D3321" s="1" t="n">
        <v>-6.98016509798</v>
      </c>
      <c r="E3321" s="3" t="n">
        <v>3</v>
      </c>
      <c r="F3321" s="2" t="n">
        <v>3</v>
      </c>
      <c r="G3321" s="4" t="n">
        <v>4</v>
      </c>
      <c r="H3321" s="13" t="n"/>
      <c r="I3321" s="15" t="n"/>
      <c r="J3321" s="19" t="n">
        <v>3</v>
      </c>
      <c r="K3321" s="2" t="inlineStr">
        <is>
          <t>marker_645_368529.png</t>
        </is>
      </c>
      <c r="L3321" s="11">
        <f>HYPERLINK("3\1\" &amp; K3321, "Ver Imagen")</f>
        <v/>
      </c>
      <c r="M3321" t="inlineStr">
        <is>
          <t>Moda</t>
        </is>
      </c>
    </row>
    <row r="3322">
      <c r="A3322" t="n">
        <v>3322</v>
      </c>
      <c r="B3322" t="inlineStr">
        <is>
          <t>A-497__762</t>
        </is>
      </c>
      <c r="C3322" s="1" t="n">
        <v>37.1863575543</v>
      </c>
      <c r="D3322" s="1" t="n">
        <v>-6.98040079943</v>
      </c>
      <c r="E3322" s="3" t="n">
        <v>3</v>
      </c>
      <c r="F3322" s="2" t="n">
        <v>3</v>
      </c>
      <c r="G3322" s="4" t="n">
        <v>4</v>
      </c>
      <c r="H3322" s="13" t="n"/>
      <c r="I3322" s="15" t="n"/>
      <c r="J3322" s="19" t="n">
        <v>3</v>
      </c>
      <c r="K3322" s="2" t="inlineStr">
        <is>
          <t>marker_677_368540.png</t>
        </is>
      </c>
      <c r="L3322" s="11">
        <f>HYPERLINK("3\1\" &amp; K3322, "Ver Imagen")</f>
        <v/>
      </c>
      <c r="M3322" t="inlineStr">
        <is>
          <t>Moda</t>
        </is>
      </c>
    </row>
    <row r="3323">
      <c r="A3323" t="n">
        <v>3323</v>
      </c>
      <c r="B3323" t="inlineStr">
        <is>
          <t>A-497_2C__22</t>
        </is>
      </c>
      <c r="C3323" s="1" t="n">
        <v>37.267607136</v>
      </c>
      <c r="D3323" s="1" t="n">
        <v>-6.96252513979</v>
      </c>
      <c r="E3323" s="3" t="n">
        <v>3</v>
      </c>
      <c r="F3323" s="2" t="n">
        <v>3</v>
      </c>
      <c r="G3323" s="4" t="n">
        <v>4</v>
      </c>
      <c r="H3323" s="13" t="n"/>
      <c r="I3323" s="15" t="n"/>
      <c r="J3323" s="19" t="n">
        <v>3</v>
      </c>
      <c r="K3323" s="2" t="inlineStr">
        <is>
          <t>marker_879_654407.png</t>
        </is>
      </c>
      <c r="L3323" s="11">
        <f>HYPERLINK("3\1\" &amp; K3323, "Ver Imagen")</f>
        <v/>
      </c>
      <c r="M3323" t="inlineStr">
        <is>
          <t>Moda</t>
        </is>
      </c>
    </row>
    <row r="3324">
      <c r="A3324" t="n">
        <v>3324</v>
      </c>
      <c r="B3324" t="inlineStr">
        <is>
          <t>A-497_2C__24</t>
        </is>
      </c>
      <c r="C3324" s="1" t="n">
        <v>37.2676206651</v>
      </c>
      <c r="D3324" s="1" t="n">
        <v>-6.96302666065</v>
      </c>
      <c r="E3324" s="3" t="n">
        <v>4</v>
      </c>
      <c r="F3324" s="2" t="n">
        <v>3</v>
      </c>
      <c r="G3324" s="4" t="n">
        <v>3</v>
      </c>
      <c r="H3324" s="13" t="n"/>
      <c r="I3324" s="15" t="n"/>
      <c r="J3324" s="19" t="n">
        <v>3</v>
      </c>
      <c r="K3324" s="2" t="inlineStr">
        <is>
          <t>marker_161_654425.png</t>
        </is>
      </c>
      <c r="L3324" s="11">
        <f>HYPERLINK("3\1\" &amp; K3324, "Ver Imagen")</f>
        <v/>
      </c>
      <c r="M3324" t="inlineStr">
        <is>
          <t>Moda</t>
        </is>
      </c>
    </row>
    <row r="3325">
      <c r="A3325" t="n">
        <v>3325</v>
      </c>
      <c r="B3325" t="inlineStr">
        <is>
          <t>A-497_2C__27</t>
        </is>
      </c>
      <c r="C3325" s="1" t="n">
        <v>37.2676424132</v>
      </c>
      <c r="D3325" s="1" t="n">
        <v>-6.9638071887</v>
      </c>
      <c r="E3325" s="3" t="n">
        <v>2</v>
      </c>
      <c r="F3325" s="2" t="n">
        <v>3</v>
      </c>
      <c r="G3325" s="4" t="n">
        <v>3</v>
      </c>
      <c r="H3325" s="13" t="n"/>
      <c r="I3325" s="15" t="n"/>
      <c r="J3325" s="19" t="n">
        <v>3</v>
      </c>
      <c r="K3325" s="2" t="inlineStr">
        <is>
          <t>marker_156_654457.png</t>
        </is>
      </c>
      <c r="L3325" s="11">
        <f>HYPERLINK("3\1\" &amp; K3325, "Ver Imagen")</f>
        <v/>
      </c>
      <c r="M3325" t="inlineStr">
        <is>
          <t>Moda</t>
        </is>
      </c>
    </row>
    <row r="3326">
      <c r="A3326" t="n">
        <v>3326</v>
      </c>
      <c r="B3326" t="inlineStr">
        <is>
          <t>A-497_2C__34</t>
        </is>
      </c>
      <c r="C3326" s="1" t="n">
        <v>37.2676859556</v>
      </c>
      <c r="D3326" s="1" t="n">
        <v>-6.96556137038</v>
      </c>
      <c r="E3326" s="3" t="n">
        <v>4</v>
      </c>
      <c r="F3326" s="2" t="n">
        <v>3</v>
      </c>
      <c r="G3326" s="4" t="n">
        <v>3</v>
      </c>
      <c r="H3326" s="13" t="n"/>
      <c r="I3326" s="15" t="n"/>
      <c r="J3326" s="19" t="n">
        <v>3</v>
      </c>
      <c r="K3326" s="2" t="inlineStr">
        <is>
          <t>marker_961_654525.png</t>
        </is>
      </c>
      <c r="L3326" s="11">
        <f>HYPERLINK("3\1\" &amp; K3326, "Ver Imagen")</f>
        <v/>
      </c>
      <c r="M3326" t="inlineStr">
        <is>
          <t>Moda</t>
        </is>
      </c>
    </row>
    <row r="3327">
      <c r="A3327" t="n">
        <v>3327</v>
      </c>
      <c r="B3327" t="inlineStr">
        <is>
          <t>A-497_2C__36</t>
        </is>
      </c>
      <c r="C3327" s="1" t="n">
        <v>37.2677065537</v>
      </c>
      <c r="D3327" s="1" t="n">
        <v>-6.96609157311</v>
      </c>
      <c r="E3327" s="3" t="n">
        <v>4</v>
      </c>
      <c r="F3327" s="2" t="n">
        <v>3</v>
      </c>
      <c r="G3327" s="4" t="n">
        <v>3</v>
      </c>
      <c r="H3327" s="13" t="n"/>
      <c r="I3327" s="15" t="n"/>
      <c r="J3327" s="19" t="n">
        <v>3</v>
      </c>
      <c r="K3327" s="2" t="inlineStr">
        <is>
          <t>marker_765_654611.png</t>
        </is>
      </c>
      <c r="L3327" s="11">
        <f>HYPERLINK("3\1\" &amp; K3327, "Ver Imagen")</f>
        <v/>
      </c>
      <c r="M3327" t="inlineStr">
        <is>
          <t>Moda</t>
        </is>
      </c>
    </row>
    <row r="3328">
      <c r="A3328" t="n">
        <v>3328</v>
      </c>
      <c r="B3328" t="inlineStr">
        <is>
          <t>A-497_2C__37</t>
        </is>
      </c>
      <c r="C3328" s="1" t="n">
        <v>37.2677189296</v>
      </c>
      <c r="D3328" s="1" t="n">
        <v>-6.96636040165</v>
      </c>
      <c r="E3328" s="3" t="n">
        <v>4</v>
      </c>
      <c r="F3328" s="2" t="n">
        <v>3</v>
      </c>
      <c r="G3328" s="4" t="n">
        <v>3</v>
      </c>
      <c r="H3328" s="13" t="n"/>
      <c r="I3328" s="15" t="n"/>
      <c r="J3328" s="19" t="n">
        <v>3</v>
      </c>
      <c r="K3328" s="2" t="inlineStr">
        <is>
          <t>marker_815_654621.png</t>
        </is>
      </c>
      <c r="L3328" s="11">
        <f>HYPERLINK("3\1\" &amp; K3328, "Ver Imagen")</f>
        <v/>
      </c>
      <c r="M3328" t="inlineStr">
        <is>
          <t>Moda</t>
        </is>
      </c>
    </row>
    <row r="3329">
      <c r="A3329" t="n">
        <v>3329</v>
      </c>
      <c r="B3329" t="inlineStr">
        <is>
          <t>A-497_2C__40</t>
        </is>
      </c>
      <c r="C3329" s="1" t="n">
        <v>37.2677608225</v>
      </c>
      <c r="D3329" s="1" t="n">
        <v>-6.96713156249</v>
      </c>
      <c r="E3329" s="3" t="n">
        <v>4</v>
      </c>
      <c r="F3329" s="2" t="n">
        <v>3</v>
      </c>
      <c r="G3329" s="4" t="n">
        <v>3</v>
      </c>
      <c r="H3329" s="13" t="n"/>
      <c r="I3329" s="15" t="n"/>
      <c r="J3329" s="19" t="n">
        <v>3</v>
      </c>
      <c r="K3329" s="2" t="inlineStr">
        <is>
          <t>marker_888_654649.png</t>
        </is>
      </c>
      <c r="L3329" s="11">
        <f>HYPERLINK("3\1\" &amp; K3329, "Ver Imagen")</f>
        <v/>
      </c>
      <c r="M3329" t="inlineStr">
        <is>
          <t>Moda</t>
        </is>
      </c>
    </row>
    <row r="3330">
      <c r="A3330" t="n">
        <v>3330</v>
      </c>
      <c r="B3330" t="inlineStr">
        <is>
          <t>A-497_2C__41</t>
        </is>
      </c>
      <c r="C3330" s="1" t="n">
        <v>37.2677771973</v>
      </c>
      <c r="D3330" s="1" t="n">
        <v>-6.96738532336</v>
      </c>
      <c r="E3330" s="3" t="n">
        <v>4</v>
      </c>
      <c r="F3330" s="2" t="n">
        <v>3</v>
      </c>
      <c r="G3330" s="4" t="n">
        <v>3</v>
      </c>
      <c r="H3330" s="13" t="n"/>
      <c r="I3330" s="15" t="n"/>
      <c r="J3330" s="19" t="n">
        <v>3</v>
      </c>
      <c r="K3330" s="2" t="inlineStr">
        <is>
          <t>marker_211_654657.png</t>
        </is>
      </c>
      <c r="L3330" s="11">
        <f>HYPERLINK("3\1\" &amp; K3330, "Ver Imagen")</f>
        <v/>
      </c>
      <c r="M3330" t="inlineStr">
        <is>
          <t>Moda</t>
        </is>
      </c>
    </row>
    <row r="3331">
      <c r="A3331" t="n">
        <v>3331</v>
      </c>
      <c r="B3331" t="inlineStr">
        <is>
          <t>A-497_2C__42</t>
        </is>
      </c>
      <c r="C3331" s="1" t="n">
        <v>37.2677903159</v>
      </c>
      <c r="D3331" s="1" t="n">
        <v>-6.9675738089</v>
      </c>
      <c r="E3331" s="3" t="n">
        <v>4</v>
      </c>
      <c r="F3331" s="2" t="n">
        <v>3</v>
      </c>
      <c r="G3331" s="4" t="n">
        <v>3</v>
      </c>
      <c r="H3331" s="13" t="n"/>
      <c r="I3331" s="15" t="n"/>
      <c r="J3331" s="19" t="n">
        <v>3</v>
      </c>
      <c r="K3331" s="2" t="inlineStr">
        <is>
          <t>marker_388_654665.png</t>
        </is>
      </c>
      <c r="L3331" s="11">
        <f>HYPERLINK("3\1\" &amp; K3331, "Ver Imagen")</f>
        <v/>
      </c>
      <c r="M3331" t="inlineStr">
        <is>
          <t>Moda</t>
        </is>
      </c>
    </row>
    <row r="3332">
      <c r="A3332" t="n">
        <v>3332</v>
      </c>
      <c r="B3332" t="inlineStr">
        <is>
          <t>A-497_2C__46</t>
        </is>
      </c>
      <c r="C3332" s="1" t="n">
        <v>37.2678842974</v>
      </c>
      <c r="D3332" s="1" t="n">
        <v>-6.96864503402</v>
      </c>
      <c r="E3332" s="3" t="n">
        <v>4</v>
      </c>
      <c r="F3332" s="2" t="n">
        <v>3</v>
      </c>
      <c r="G3332" s="4" t="n">
        <v>3</v>
      </c>
      <c r="H3332" s="13" t="n"/>
      <c r="I3332" s="15" t="n"/>
      <c r="J3332" s="19" t="n">
        <v>3</v>
      </c>
      <c r="K3332" s="2" t="inlineStr">
        <is>
          <t>marker_865_654700.png</t>
        </is>
      </c>
      <c r="L3332" s="11">
        <f>HYPERLINK("3\1\" &amp; K3332, "Ver Imagen")</f>
        <v/>
      </c>
      <c r="M3332" t="inlineStr">
        <is>
          <t>Moda</t>
        </is>
      </c>
    </row>
    <row r="3333">
      <c r="A3333" t="n">
        <v>3333</v>
      </c>
      <c r="B3333" t="inlineStr">
        <is>
          <t>A-497_2C__48</t>
        </is>
      </c>
      <c r="C3333" s="1" t="n">
        <v>37.2679307331</v>
      </c>
      <c r="D3333" s="1" t="n">
        <v>-6.96913368859</v>
      </c>
      <c r="E3333" s="3" t="n">
        <v>4</v>
      </c>
      <c r="F3333" s="2" t="n">
        <v>3</v>
      </c>
      <c r="G3333" s="4" t="n">
        <v>3</v>
      </c>
      <c r="H3333" s="13" t="n"/>
      <c r="I3333" s="15" t="n"/>
      <c r="J3333" s="19" t="n">
        <v>3</v>
      </c>
      <c r="K3333" s="2" t="inlineStr">
        <is>
          <t>marker_515_654716.png</t>
        </is>
      </c>
      <c r="L3333" s="11">
        <f>HYPERLINK("3\1\" &amp; K3333, "Ver Imagen")</f>
        <v/>
      </c>
      <c r="M3333" t="inlineStr">
        <is>
          <t>Moda</t>
        </is>
      </c>
    </row>
    <row r="3334">
      <c r="A3334" t="n">
        <v>3334</v>
      </c>
      <c r="B3334" t="inlineStr">
        <is>
          <t>A-497_2C__49</t>
        </is>
      </c>
      <c r="C3334" s="1" t="n">
        <v>37.2679580547</v>
      </c>
      <c r="D3334" s="1" t="n">
        <v>-6.9693953785</v>
      </c>
      <c r="E3334" s="3" t="n">
        <v>4</v>
      </c>
      <c r="F3334" s="2" t="n">
        <v>3</v>
      </c>
      <c r="G3334" s="4" t="n">
        <v>3</v>
      </c>
      <c r="H3334" s="13" t="n"/>
      <c r="I3334" s="15" t="n"/>
      <c r="J3334" s="19" t="n">
        <v>3</v>
      </c>
      <c r="K3334" s="2" t="inlineStr">
        <is>
          <t>marker_550_654725.png</t>
        </is>
      </c>
      <c r="L3334" s="11">
        <f>HYPERLINK("3\1\" &amp; K3334, "Ver Imagen")</f>
        <v/>
      </c>
      <c r="M3334" t="inlineStr">
        <is>
          <t>Moda</t>
        </is>
      </c>
    </row>
    <row r="3335">
      <c r="A3335" t="n">
        <v>3335</v>
      </c>
      <c r="B3335" t="inlineStr">
        <is>
          <t>A-497_2C__54</t>
        </is>
      </c>
      <c r="C3335" s="1" t="n">
        <v>37.2681059585</v>
      </c>
      <c r="D3335" s="1" t="n">
        <v>-6.97064017424</v>
      </c>
      <c r="E3335" s="3" t="n">
        <v>2</v>
      </c>
      <c r="F3335" s="2" t="n">
        <v>3</v>
      </c>
      <c r="G3335" s="4" t="n">
        <v>3</v>
      </c>
      <c r="H3335" s="13" t="n"/>
      <c r="I3335" s="15" t="n"/>
      <c r="J3335" s="19" t="n">
        <v>3</v>
      </c>
      <c r="K3335" s="2" t="inlineStr">
        <is>
          <t>marker_529_654795.png</t>
        </is>
      </c>
      <c r="L3335" s="11">
        <f>HYPERLINK("3\1\" &amp; K3335, "Ver Imagen")</f>
        <v/>
      </c>
      <c r="M3335" t="inlineStr">
        <is>
          <t>Moda</t>
        </is>
      </c>
    </row>
    <row r="3336">
      <c r="A3336" t="n">
        <v>3336</v>
      </c>
      <c r="B3336" t="inlineStr">
        <is>
          <t>A-497_2C__59</t>
        </is>
      </c>
      <c r="C3336" s="1" t="n">
        <v>37.268288927</v>
      </c>
      <c r="D3336" s="1" t="n">
        <v>-6.97188963842</v>
      </c>
      <c r="E3336" s="3" t="n">
        <v>3</v>
      </c>
      <c r="F3336" s="2" t="n">
        <v>3</v>
      </c>
      <c r="G3336" s="4" t="n">
        <v>2</v>
      </c>
      <c r="H3336" s="13" t="n"/>
      <c r="I3336" s="15" t="n"/>
      <c r="J3336" s="19" t="n">
        <v>3</v>
      </c>
      <c r="K3336" s="2" t="inlineStr">
        <is>
          <t>marker_395_654864.png</t>
        </is>
      </c>
      <c r="L3336" s="11">
        <f>HYPERLINK("3\1\" &amp; K3336, "Ver Imagen")</f>
        <v/>
      </c>
      <c r="M3336" t="inlineStr">
        <is>
          <t>Moda</t>
        </is>
      </c>
    </row>
    <row r="3337">
      <c r="A3337" t="n">
        <v>3337</v>
      </c>
      <c r="B3337" t="inlineStr">
        <is>
          <t>A-497_2C__61</t>
        </is>
      </c>
      <c r="C3337" s="1" t="n">
        <v>37.2683703934</v>
      </c>
      <c r="D3337" s="1" t="n">
        <v>-6.97236862736</v>
      </c>
      <c r="E3337" s="3" t="n">
        <v>4</v>
      </c>
      <c r="F3337" s="2" t="n">
        <v>3</v>
      </c>
      <c r="G3337" s="4" t="n">
        <v>3</v>
      </c>
      <c r="H3337" s="13" t="n"/>
      <c r="I3337" s="15" t="n"/>
      <c r="J3337" s="19" t="n">
        <v>3</v>
      </c>
      <c r="K3337" s="2" t="inlineStr">
        <is>
          <t>marker_327_654884.png</t>
        </is>
      </c>
      <c r="L3337" s="11">
        <f>HYPERLINK("3\1\" &amp; K3337, "Ver Imagen")</f>
        <v/>
      </c>
      <c r="M3337" t="inlineStr">
        <is>
          <t>Moda</t>
        </is>
      </c>
    </row>
    <row r="3338">
      <c r="A3338" t="n">
        <v>3338</v>
      </c>
      <c r="B3338" t="inlineStr">
        <is>
          <t>A-497_2C__62</t>
        </is>
      </c>
      <c r="C3338" s="1" t="n">
        <v>37.2684156282</v>
      </c>
      <c r="D3338" s="1" t="n">
        <v>-6.97262385617</v>
      </c>
      <c r="E3338" s="3" t="n">
        <v>3</v>
      </c>
      <c r="F3338" s="2" t="n">
        <v>3</v>
      </c>
      <c r="G3338" s="4" t="n">
        <v>2</v>
      </c>
      <c r="H3338" s="13" t="n"/>
      <c r="I3338" s="15" t="n"/>
      <c r="J3338" s="19" t="n">
        <v>3</v>
      </c>
      <c r="K3338" s="2" t="inlineStr">
        <is>
          <t>marker_539_654893.png</t>
        </is>
      </c>
      <c r="L3338" s="11">
        <f>HYPERLINK("3\1\" &amp; K3338, "Ver Imagen")</f>
        <v/>
      </c>
      <c r="M3338" t="inlineStr">
        <is>
          <t>Moda</t>
        </is>
      </c>
    </row>
    <row r="3339">
      <c r="A3339" t="n">
        <v>3339</v>
      </c>
      <c r="B3339" t="inlineStr">
        <is>
          <t>A-497_2C__64</t>
        </is>
      </c>
      <c r="C3339" s="1" t="n">
        <v>37.2685122023</v>
      </c>
      <c r="D3339" s="1" t="n">
        <v>-6.97314242986</v>
      </c>
      <c r="E3339" s="3" t="n">
        <v>4</v>
      </c>
      <c r="F3339" s="2" t="n">
        <v>3</v>
      </c>
      <c r="G3339" s="4" t="n">
        <v>3</v>
      </c>
      <c r="H3339" s="13" t="n"/>
      <c r="I3339" s="15" t="n"/>
      <c r="J3339" s="19" t="n">
        <v>3</v>
      </c>
      <c r="K3339" s="2" t="inlineStr">
        <is>
          <t>marker_985_654911.png</t>
        </is>
      </c>
      <c r="L3339" s="11">
        <f>HYPERLINK("3\1\" &amp; K3339, "Ver Imagen")</f>
        <v/>
      </c>
      <c r="M3339" t="inlineStr">
        <is>
          <t>Moda</t>
        </is>
      </c>
    </row>
    <row r="3340">
      <c r="A3340" t="n">
        <v>3340</v>
      </c>
      <c r="B3340" t="inlineStr">
        <is>
          <t>A-497_2C__65</t>
        </is>
      </c>
      <c r="C3340" s="1" t="n">
        <v>37.2685523747</v>
      </c>
      <c r="D3340" s="1" t="n">
        <v>-6.973350256</v>
      </c>
      <c r="E3340" s="3" t="n">
        <v>2</v>
      </c>
      <c r="F3340" s="2" t="n">
        <v>3</v>
      </c>
      <c r="G3340" s="4" t="n">
        <v>3</v>
      </c>
      <c r="H3340" s="13" t="n"/>
      <c r="I3340" s="15" t="n"/>
      <c r="J3340" s="19" t="n">
        <v>3</v>
      </c>
      <c r="K3340" s="2" t="inlineStr">
        <is>
          <t>marker_504_654920.png</t>
        </is>
      </c>
      <c r="L3340" s="11">
        <f>HYPERLINK("3\1\" &amp; K3340, "Ver Imagen")</f>
        <v/>
      </c>
      <c r="M3340" t="inlineStr">
        <is>
          <t>Moda</t>
        </is>
      </c>
    </row>
    <row r="3341">
      <c r="A3341" t="n">
        <v>3341</v>
      </c>
      <c r="B3341" t="inlineStr">
        <is>
          <t>A-497_2C__75</t>
        </is>
      </c>
      <c r="C3341" s="1" t="n">
        <v>37.2690922295</v>
      </c>
      <c r="D3341" s="1" t="n">
        <v>-6.97578865732</v>
      </c>
      <c r="E3341" s="3" t="n">
        <v>4</v>
      </c>
      <c r="F3341" s="2" t="n">
        <v>3</v>
      </c>
      <c r="G3341" s="4" t="n">
        <v>3</v>
      </c>
      <c r="H3341" s="13" t="n"/>
      <c r="I3341" s="15" t="n"/>
      <c r="J3341" s="19" t="n">
        <v>3</v>
      </c>
      <c r="K3341" s="2" t="inlineStr">
        <is>
          <t>marker_709_655083.png</t>
        </is>
      </c>
      <c r="L3341" s="11">
        <f>HYPERLINK("3\1\" &amp; K3341, "Ver Imagen")</f>
        <v/>
      </c>
      <c r="M3341" t="inlineStr">
        <is>
          <t>Moda</t>
        </is>
      </c>
    </row>
    <row r="3342">
      <c r="A3342" t="n">
        <v>3342</v>
      </c>
      <c r="B3342" t="inlineStr">
        <is>
          <t>A-497_2C__76</t>
        </is>
      </c>
      <c r="C3342" s="1" t="n">
        <v>37.2691582179</v>
      </c>
      <c r="D3342" s="1" t="n">
        <v>-6.97604587271</v>
      </c>
      <c r="E3342" s="3" t="n">
        <v>4</v>
      </c>
      <c r="F3342" s="2" t="n">
        <v>3</v>
      </c>
      <c r="G3342" s="4" t="n">
        <v>3</v>
      </c>
      <c r="H3342" s="13" t="n"/>
      <c r="I3342" s="15" t="n"/>
      <c r="J3342" s="19" t="n">
        <v>3</v>
      </c>
      <c r="K3342" s="2" t="inlineStr">
        <is>
          <t>marker_764_655091.png</t>
        </is>
      </c>
      <c r="L3342" s="11">
        <f>HYPERLINK("3\1\" &amp; K3342, "Ver Imagen")</f>
        <v/>
      </c>
      <c r="M3342" t="inlineStr">
        <is>
          <t>Moda</t>
        </is>
      </c>
    </row>
    <row r="3343">
      <c r="A3343" t="n">
        <v>3343</v>
      </c>
      <c r="B3343" t="inlineStr">
        <is>
          <t>A-497_2C__77</t>
        </is>
      </c>
      <c r="C3343" s="1" t="n">
        <v>37.2692195098</v>
      </c>
      <c r="D3343" s="1" t="n">
        <v>-6.97628061481</v>
      </c>
      <c r="E3343" s="3" t="n">
        <v>4</v>
      </c>
      <c r="F3343" s="2" t="n">
        <v>3</v>
      </c>
      <c r="G3343" s="4" t="n">
        <v>3</v>
      </c>
      <c r="H3343" s="13" t="n"/>
      <c r="I3343" s="15" t="n"/>
      <c r="J3343" s="19" t="n">
        <v>3</v>
      </c>
      <c r="K3343" s="2" t="inlineStr">
        <is>
          <t>marker_986_655099.png</t>
        </is>
      </c>
      <c r="L3343" s="11">
        <f>HYPERLINK("3\1\" &amp; K3343, "Ver Imagen")</f>
        <v/>
      </c>
      <c r="M3343" t="inlineStr">
        <is>
          <t>Moda</t>
        </is>
      </c>
    </row>
    <row r="3344">
      <c r="A3344" t="n">
        <v>3344</v>
      </c>
      <c r="B3344" t="inlineStr">
        <is>
          <t>A-497_2C__81</t>
        </is>
      </c>
      <c r="C3344" s="1" t="n">
        <v>37.2694784022</v>
      </c>
      <c r="D3344" s="1" t="n">
        <v>-6.97721420613</v>
      </c>
      <c r="E3344" s="3" t="n">
        <v>2</v>
      </c>
      <c r="F3344" s="2" t="n">
        <v>3</v>
      </c>
      <c r="G3344" s="4" t="n">
        <v>3</v>
      </c>
      <c r="H3344" s="13" t="n"/>
      <c r="I3344" s="15" t="n"/>
      <c r="J3344" s="19" t="n">
        <v>3</v>
      </c>
      <c r="K3344" s="2" t="inlineStr">
        <is>
          <t>marker_497_655139.png</t>
        </is>
      </c>
      <c r="L3344" s="11">
        <f>HYPERLINK("3\1\" &amp; K3344, "Ver Imagen")</f>
        <v/>
      </c>
      <c r="M3344" t="inlineStr">
        <is>
          <t>Moda</t>
        </is>
      </c>
    </row>
    <row r="3345">
      <c r="A3345" t="n">
        <v>3345</v>
      </c>
      <c r="B3345" t="inlineStr">
        <is>
          <t>A-497_2C__87</t>
        </is>
      </c>
      <c r="C3345" s="1" t="n">
        <v>37.2698948573</v>
      </c>
      <c r="D3345" s="1" t="n">
        <v>-6.97867728086</v>
      </c>
      <c r="E3345" s="3" t="n">
        <v>4</v>
      </c>
      <c r="F3345" s="2" t="n">
        <v>3</v>
      </c>
      <c r="G3345" s="4" t="n">
        <v>3</v>
      </c>
      <c r="H3345" s="13" t="n"/>
      <c r="I3345" s="15" t="n"/>
      <c r="J3345" s="19" t="n">
        <v>3</v>
      </c>
      <c r="K3345" s="2" t="inlineStr">
        <is>
          <t>marker_454_655233.png</t>
        </is>
      </c>
      <c r="L3345" s="11">
        <f>HYPERLINK("3\1\" &amp; K3345, "Ver Imagen")</f>
        <v/>
      </c>
      <c r="M3345" t="inlineStr">
        <is>
          <t>Moda</t>
        </is>
      </c>
    </row>
    <row r="3346">
      <c r="A3346" t="n">
        <v>3346</v>
      </c>
      <c r="B3346" t="inlineStr">
        <is>
          <t>A-497_2C__89</t>
        </is>
      </c>
      <c r="C3346" s="1" t="n">
        <v>37.2700363155</v>
      </c>
      <c r="D3346" s="1" t="n">
        <v>-6.97916846704</v>
      </c>
      <c r="E3346" s="3" t="n">
        <v>4</v>
      </c>
      <c r="F3346" s="2" t="n">
        <v>3</v>
      </c>
      <c r="G3346" s="4" t="n">
        <v>3</v>
      </c>
      <c r="H3346" s="13" t="n"/>
      <c r="I3346" s="15" t="n"/>
      <c r="J3346" s="19" t="n">
        <v>3</v>
      </c>
      <c r="K3346" s="2" t="inlineStr">
        <is>
          <t>marker_175_655271.png</t>
        </is>
      </c>
      <c r="L3346" s="11">
        <f>HYPERLINK("3\1\" &amp; K3346, "Ver Imagen")</f>
        <v/>
      </c>
      <c r="M3346" t="inlineStr">
        <is>
          <t>Moda</t>
        </is>
      </c>
    </row>
    <row r="3347">
      <c r="A3347" t="n">
        <v>3347</v>
      </c>
      <c r="B3347" t="inlineStr">
        <is>
          <t>A-497_2C__90</t>
        </is>
      </c>
      <c r="C3347" s="1" t="n">
        <v>37.2700979719</v>
      </c>
      <c r="D3347" s="1" t="n">
        <v>-6.97938296081</v>
      </c>
      <c r="E3347" s="3" t="n">
        <v>4</v>
      </c>
      <c r="F3347" s="2" t="n">
        <v>3</v>
      </c>
      <c r="G3347" s="4" t="n">
        <v>3</v>
      </c>
      <c r="H3347" s="13" t="n"/>
      <c r="I3347" s="15" t="n"/>
      <c r="J3347" s="19" t="n">
        <v>3</v>
      </c>
      <c r="K3347" s="2" t="inlineStr">
        <is>
          <t>marker_248_655280.png</t>
        </is>
      </c>
      <c r="L3347" s="11">
        <f>HYPERLINK("3\1\" &amp; K3347, "Ver Imagen")</f>
        <v/>
      </c>
      <c r="M3347" t="inlineStr">
        <is>
          <t>Moda</t>
        </is>
      </c>
    </row>
    <row r="3348">
      <c r="A3348" t="n">
        <v>3348</v>
      </c>
      <c r="B3348" t="inlineStr">
        <is>
          <t>A-497_2C__91</t>
        </is>
      </c>
      <c r="C3348" s="1" t="n">
        <v>37.2701633068</v>
      </c>
      <c r="D3348" s="1" t="n">
        <v>-6.97961095253</v>
      </c>
      <c r="E3348" s="3" t="n">
        <v>4</v>
      </c>
      <c r="F3348" s="2" t="n">
        <v>3</v>
      </c>
      <c r="G3348" s="4" t="n">
        <v>3</v>
      </c>
      <c r="H3348" s="13" t="n"/>
      <c r="I3348" s="15" t="n"/>
      <c r="J3348" s="19" t="n">
        <v>3</v>
      </c>
      <c r="K3348" s="2" t="inlineStr">
        <is>
          <t>marker_829_655291.png</t>
        </is>
      </c>
      <c r="L3348" s="11">
        <f>HYPERLINK("3\1\" &amp; K3348, "Ver Imagen")</f>
        <v/>
      </c>
      <c r="M3348" t="inlineStr">
        <is>
          <t>Moda</t>
        </is>
      </c>
    </row>
    <row r="3349">
      <c r="A3349" t="n">
        <v>3349</v>
      </c>
      <c r="B3349" t="inlineStr">
        <is>
          <t>A-497_2C__102</t>
        </is>
      </c>
      <c r="C3349" s="1" t="n">
        <v>37.2709260771</v>
      </c>
      <c r="D3349" s="1" t="n">
        <v>-6.98225954432</v>
      </c>
      <c r="E3349" s="3" t="n">
        <v>2</v>
      </c>
      <c r="F3349" s="2" t="n">
        <v>3</v>
      </c>
      <c r="G3349" s="4" t="n">
        <v>3</v>
      </c>
      <c r="H3349" s="13" t="n"/>
      <c r="I3349" s="15" t="n"/>
      <c r="J3349" s="19" t="n">
        <v>3</v>
      </c>
      <c r="K3349" s="2" t="inlineStr">
        <is>
          <t>marker_750_655460.png</t>
        </is>
      </c>
      <c r="L3349" s="11">
        <f>HYPERLINK("3\1\" &amp; K3349, "Ver Imagen")</f>
        <v/>
      </c>
      <c r="M3349" t="inlineStr">
        <is>
          <t>Moda</t>
        </is>
      </c>
    </row>
    <row r="3350">
      <c r="A3350" t="n">
        <v>3350</v>
      </c>
      <c r="B3350" t="inlineStr">
        <is>
          <t>A-497_2C__104</t>
        </is>
      </c>
      <c r="C3350" s="1" t="n">
        <v>37.271063947</v>
      </c>
      <c r="D3350" s="1" t="n">
        <v>-6.98273852614</v>
      </c>
      <c r="E3350" s="3" t="n">
        <v>3</v>
      </c>
      <c r="F3350" s="2" t="n">
        <v>3</v>
      </c>
      <c r="G3350" s="4" t="n">
        <v>4</v>
      </c>
      <c r="H3350" s="13" t="n"/>
      <c r="I3350" s="15" t="n"/>
      <c r="J3350" s="19" t="n">
        <v>3</v>
      </c>
      <c r="K3350" s="2" t="inlineStr">
        <is>
          <t>marker_336_655478.png</t>
        </is>
      </c>
      <c r="L3350" s="11">
        <f>HYPERLINK("3\1\" &amp; K3350, "Ver Imagen")</f>
        <v/>
      </c>
      <c r="M3350" t="inlineStr">
        <is>
          <t>Moda</t>
        </is>
      </c>
    </row>
    <row r="3351">
      <c r="A3351" t="n">
        <v>3351</v>
      </c>
      <c r="B3351" t="inlineStr">
        <is>
          <t>A-497_2C__105</t>
        </is>
      </c>
      <c r="C3351" s="1" t="n">
        <v>37.2711279526</v>
      </c>
      <c r="D3351" s="1" t="n">
        <v>-6.98295986008</v>
      </c>
      <c r="E3351" s="3" t="n">
        <v>4</v>
      </c>
      <c r="F3351" s="2" t="n">
        <v>3</v>
      </c>
      <c r="G3351" s="4" t="n">
        <v>3</v>
      </c>
      <c r="H3351" s="13" t="n"/>
      <c r="I3351" s="15" t="n"/>
      <c r="J3351" s="19" t="n">
        <v>3</v>
      </c>
      <c r="K3351" s="2" t="inlineStr">
        <is>
          <t>marker_899_655488.png</t>
        </is>
      </c>
      <c r="L3351" s="11">
        <f>HYPERLINK("3\1\" &amp; K3351, "Ver Imagen")</f>
        <v/>
      </c>
      <c r="M3351" t="inlineStr">
        <is>
          <t>Moda</t>
        </is>
      </c>
    </row>
    <row r="3352">
      <c r="A3352" t="n">
        <v>3352</v>
      </c>
      <c r="B3352" t="inlineStr">
        <is>
          <t>A-497_2C__110</t>
        </is>
      </c>
      <c r="C3352" s="1" t="n">
        <v>37.2714765752</v>
      </c>
      <c r="D3352" s="1" t="n">
        <v>-6.98417843435</v>
      </c>
      <c r="E3352" s="3" t="n">
        <v>3</v>
      </c>
      <c r="F3352" s="2" t="n">
        <v>3</v>
      </c>
      <c r="G3352" s="4" t="n">
        <v>2</v>
      </c>
      <c r="H3352" s="13" t="n"/>
      <c r="I3352" s="15" t="n"/>
      <c r="J3352" s="19" t="n">
        <v>3</v>
      </c>
      <c r="K3352" s="2" t="inlineStr">
        <is>
          <t>marker_777_655535.png</t>
        </is>
      </c>
      <c r="L3352" s="11">
        <f>HYPERLINK("3\1\" &amp; K3352, "Ver Imagen")</f>
        <v/>
      </c>
      <c r="M3352" t="inlineStr">
        <is>
          <t>Moda</t>
        </is>
      </c>
    </row>
    <row r="3353">
      <c r="A3353" t="n">
        <v>3353</v>
      </c>
      <c r="B3353" t="inlineStr">
        <is>
          <t>A-497_2C__111</t>
        </is>
      </c>
      <c r="C3353" s="1" t="n">
        <v>37.2715406642</v>
      </c>
      <c r="D3353" s="1" t="n">
        <v>-6.98441752509</v>
      </c>
      <c r="E3353" s="3" t="n">
        <v>3</v>
      </c>
      <c r="F3353" s="2" t="n">
        <v>3</v>
      </c>
      <c r="G3353" s="4" t="n">
        <v>2</v>
      </c>
      <c r="H3353" s="13" t="n"/>
      <c r="I3353" s="15" t="n"/>
      <c r="J3353" s="19" t="n">
        <v>3</v>
      </c>
      <c r="K3353" s="2" t="inlineStr">
        <is>
          <t>marker_642_655545.png</t>
        </is>
      </c>
      <c r="L3353" s="11">
        <f>HYPERLINK("3\1\" &amp; K3353, "Ver Imagen")</f>
        <v/>
      </c>
      <c r="M3353" t="inlineStr">
        <is>
          <t>Moda</t>
        </is>
      </c>
    </row>
    <row r="3354">
      <c r="A3354" t="n">
        <v>3354</v>
      </c>
      <c r="B3354" t="inlineStr">
        <is>
          <t>A-497_2C__114</t>
        </is>
      </c>
      <c r="C3354" s="1" t="n">
        <v>37.27170982</v>
      </c>
      <c r="D3354" s="1" t="n">
        <v>-6.98512471642</v>
      </c>
      <c r="E3354" s="3" t="n">
        <v>3</v>
      </c>
      <c r="F3354" s="2" t="n">
        <v>3</v>
      </c>
      <c r="G3354" s="4" t="n">
        <v>2</v>
      </c>
      <c r="H3354" s="13" t="n"/>
      <c r="I3354" s="15" t="n"/>
      <c r="J3354" s="19" t="n">
        <v>3</v>
      </c>
      <c r="K3354" s="2" t="inlineStr">
        <is>
          <t>marker_838_655626.png</t>
        </is>
      </c>
      <c r="L3354" s="11">
        <f>HYPERLINK("3\1\" &amp; K3354, "Ver Imagen")</f>
        <v/>
      </c>
      <c r="M3354" t="inlineStr">
        <is>
          <t>Moda</t>
        </is>
      </c>
    </row>
    <row r="3355">
      <c r="A3355" t="n">
        <v>3355</v>
      </c>
      <c r="B3355" t="inlineStr">
        <is>
          <t>A-497_2C__115</t>
        </is>
      </c>
      <c r="C3355" s="1" t="n">
        <v>37.2717599606</v>
      </c>
      <c r="D3355" s="1" t="n">
        <v>-6.98538559174</v>
      </c>
      <c r="E3355" s="3" t="n">
        <v>3</v>
      </c>
      <c r="F3355" s="2" t="n">
        <v>3</v>
      </c>
      <c r="G3355" s="4" t="n">
        <v>2</v>
      </c>
      <c r="H3355" s="13" t="n"/>
      <c r="I3355" s="15" t="n"/>
      <c r="J3355" s="19" t="n">
        <v>3</v>
      </c>
      <c r="K3355" s="2" t="inlineStr">
        <is>
          <t>marker_352_655635.png</t>
        </is>
      </c>
      <c r="L3355" s="11">
        <f>HYPERLINK("3\1\" &amp; K3355, "Ver Imagen")</f>
        <v/>
      </c>
      <c r="M3355" t="inlineStr">
        <is>
          <t>Moda</t>
        </is>
      </c>
    </row>
    <row r="3356">
      <c r="A3356" t="n">
        <v>3356</v>
      </c>
      <c r="B3356" t="inlineStr">
        <is>
          <t>A-497_2C__118</t>
        </is>
      </c>
      <c r="C3356" s="1" t="n">
        <v>37.2718493812</v>
      </c>
      <c r="D3356" s="1" t="n">
        <v>-6.98614513661</v>
      </c>
      <c r="E3356" s="3" t="n">
        <v>2</v>
      </c>
      <c r="F3356" s="2" t="n">
        <v>3</v>
      </c>
      <c r="G3356" s="4" t="n">
        <v>3</v>
      </c>
      <c r="H3356" s="13" t="n"/>
      <c r="I3356" s="15" t="n"/>
      <c r="J3356" s="19" t="n">
        <v>3</v>
      </c>
      <c r="K3356" s="2" t="inlineStr">
        <is>
          <t>marker_195_655664.png</t>
        </is>
      </c>
      <c r="L3356" s="11">
        <f>HYPERLINK("3\1\" &amp; K3356, "Ver Imagen")</f>
        <v/>
      </c>
      <c r="M3356" t="inlineStr">
        <is>
          <t>Moda</t>
        </is>
      </c>
    </row>
    <row r="3357">
      <c r="A3357" t="n">
        <v>3357</v>
      </c>
      <c r="B3357" t="inlineStr">
        <is>
          <t>A-497_2C__120</t>
        </is>
      </c>
      <c r="C3357" s="1" t="n">
        <v>37.2718475651</v>
      </c>
      <c r="D3357" s="1" t="n">
        <v>-6.9866712407</v>
      </c>
      <c r="E3357" s="3" t="n">
        <v>3</v>
      </c>
      <c r="F3357" s="2" t="n">
        <v>3</v>
      </c>
      <c r="G3357" s="4" t="n">
        <v>2</v>
      </c>
      <c r="H3357" s="13" t="n"/>
      <c r="I3357" s="15" t="n"/>
      <c r="J3357" s="19" t="n">
        <v>3</v>
      </c>
      <c r="K3357" s="2" t="inlineStr">
        <is>
          <t>marker_603_655682.png</t>
        </is>
      </c>
      <c r="L3357" s="11">
        <f>HYPERLINK("3\1\" &amp; K3357, "Ver Imagen")</f>
        <v/>
      </c>
      <c r="M3357" t="inlineStr">
        <is>
          <t>Moda</t>
        </is>
      </c>
    </row>
    <row r="3358">
      <c r="A3358" t="n">
        <v>3358</v>
      </c>
      <c r="B3358" t="inlineStr">
        <is>
          <t>A-497_2C__136</t>
        </is>
      </c>
      <c r="C3358" s="1" t="n">
        <v>37.2699537484</v>
      </c>
      <c r="D3358" s="1" t="n">
        <v>-6.98967854562</v>
      </c>
      <c r="E3358" s="3" t="n">
        <v>2</v>
      </c>
      <c r="F3358" s="2" t="n">
        <v>3</v>
      </c>
      <c r="G3358" s="4" t="n">
        <v>3</v>
      </c>
      <c r="H3358" s="13" t="n"/>
      <c r="I3358" s="15" t="n"/>
      <c r="J3358" s="19" t="n">
        <v>3</v>
      </c>
      <c r="K3358" s="2" t="inlineStr">
        <is>
          <t>marker_745_655830.png</t>
        </is>
      </c>
      <c r="L3358" s="11">
        <f>HYPERLINK("3\1\" &amp; K3358, "Ver Imagen")</f>
        <v/>
      </c>
      <c r="M3358" t="inlineStr">
        <is>
          <t>Moda</t>
        </is>
      </c>
    </row>
    <row r="3359">
      <c r="A3359" t="n">
        <v>3359</v>
      </c>
      <c r="B3359" t="inlineStr">
        <is>
          <t>A-497_2C__137</t>
        </is>
      </c>
      <c r="C3359" s="1" t="n">
        <v>37.2697643278</v>
      </c>
      <c r="D3359" s="1" t="n">
        <v>-6.98981070155</v>
      </c>
      <c r="E3359" s="3" t="n">
        <v>2</v>
      </c>
      <c r="F3359" s="2" t="n">
        <v>3</v>
      </c>
      <c r="G3359" s="4" t="n">
        <v>3</v>
      </c>
      <c r="H3359" s="13" t="n"/>
      <c r="I3359" s="15" t="n"/>
      <c r="J3359" s="19" t="n">
        <v>3</v>
      </c>
      <c r="K3359" s="2" t="inlineStr">
        <is>
          <t>marker_359_655842.png</t>
        </is>
      </c>
      <c r="L3359" s="11">
        <f>HYPERLINK("3\1\" &amp; K3359, "Ver Imagen")</f>
        <v/>
      </c>
      <c r="M3359" t="inlineStr">
        <is>
          <t>Moda</t>
        </is>
      </c>
    </row>
    <row r="3360">
      <c r="A3360" t="n">
        <v>3360</v>
      </c>
      <c r="B3360" t="inlineStr">
        <is>
          <t>A-497_2C__139</t>
        </is>
      </c>
      <c r="C3360" s="1" t="n">
        <v>37.2694114942</v>
      </c>
      <c r="D3360" s="1" t="n">
        <v>-6.99005889042</v>
      </c>
      <c r="E3360" s="3" t="n">
        <v>2</v>
      </c>
      <c r="F3360" s="2" t="n">
        <v>3</v>
      </c>
      <c r="G3360" s="4" t="n">
        <v>3</v>
      </c>
      <c r="H3360" s="13" t="n"/>
      <c r="I3360" s="15" t="n"/>
      <c r="J3360" s="19" t="n">
        <v>3</v>
      </c>
      <c r="K3360" s="2" t="inlineStr">
        <is>
          <t>marker_498_655864.png</t>
        </is>
      </c>
      <c r="L3360" s="11">
        <f>HYPERLINK("3\1\" &amp; K3360, "Ver Imagen")</f>
        <v/>
      </c>
      <c r="M3360" t="inlineStr">
        <is>
          <t>Moda</t>
        </is>
      </c>
    </row>
    <row r="3361">
      <c r="A3361" t="n">
        <v>3361</v>
      </c>
      <c r="B3361" t="inlineStr">
        <is>
          <t>A-497_2C__141</t>
        </is>
      </c>
      <c r="C3361" s="1" t="n">
        <v>37.26906961</v>
      </c>
      <c r="D3361" s="1" t="n">
        <v>-6.99030306329</v>
      </c>
      <c r="E3361" s="3" t="n">
        <v>3</v>
      </c>
      <c r="F3361" s="2" t="n">
        <v>3</v>
      </c>
      <c r="G3361" s="4" t="n">
        <v>2</v>
      </c>
      <c r="H3361" s="13" t="n"/>
      <c r="I3361" s="15" t="n"/>
      <c r="J3361" s="19" t="n">
        <v>3</v>
      </c>
      <c r="K3361" s="2" t="inlineStr">
        <is>
          <t>marker_674_655881.png</t>
        </is>
      </c>
      <c r="L3361" s="11">
        <f>HYPERLINK("3\1\" &amp; K3361, "Ver Imagen")</f>
        <v/>
      </c>
      <c r="M3361" t="inlineStr">
        <is>
          <t>Moda</t>
        </is>
      </c>
    </row>
    <row r="3362">
      <c r="A3362" t="n">
        <v>3362</v>
      </c>
      <c r="B3362" t="inlineStr">
        <is>
          <t>A-497_2C__148</t>
        </is>
      </c>
      <c r="C3362" s="1" t="n">
        <v>37.2678209478</v>
      </c>
      <c r="D3362" s="1" t="n">
        <v>-6.9911829071</v>
      </c>
      <c r="E3362" s="3" t="n">
        <v>2</v>
      </c>
      <c r="F3362" s="2" t="n">
        <v>3</v>
      </c>
      <c r="G3362" s="4" t="n">
        <v>3</v>
      </c>
      <c r="H3362" s="13" t="n"/>
      <c r="I3362" s="15" t="n"/>
      <c r="J3362" s="19" t="n">
        <v>3</v>
      </c>
      <c r="K3362" s="2" t="inlineStr">
        <is>
          <t>marker_319_655956.png</t>
        </is>
      </c>
      <c r="L3362" s="11">
        <f>HYPERLINK("3\1\" &amp; K3362, "Ver Imagen")</f>
        <v/>
      </c>
      <c r="M3362" t="inlineStr">
        <is>
          <t>Moda</t>
        </is>
      </c>
    </row>
    <row r="3363">
      <c r="A3363" t="n">
        <v>3363</v>
      </c>
      <c r="B3363" t="inlineStr">
        <is>
          <t>A-497_2C__158</t>
        </is>
      </c>
      <c r="C3363" s="1" t="n">
        <v>37.2663493782</v>
      </c>
      <c r="D3363" s="1" t="n">
        <v>-6.99286299308</v>
      </c>
      <c r="E3363" s="3" t="n">
        <v>2</v>
      </c>
      <c r="F3363" s="2" t="n">
        <v>3</v>
      </c>
      <c r="G3363" s="4" t="n">
        <v>3</v>
      </c>
      <c r="H3363" s="13" t="n"/>
      <c r="I3363" s="15" t="n"/>
      <c r="J3363" s="19" t="n">
        <v>3</v>
      </c>
      <c r="K3363" s="2" t="inlineStr">
        <is>
          <t>marker_933_656086.png</t>
        </is>
      </c>
      <c r="L3363" s="11">
        <f>HYPERLINK("3\1\" &amp; K3363, "Ver Imagen")</f>
        <v/>
      </c>
      <c r="M3363" t="inlineStr">
        <is>
          <t>Moda</t>
        </is>
      </c>
    </row>
    <row r="3364">
      <c r="A3364" t="n">
        <v>3364</v>
      </c>
      <c r="B3364" t="inlineStr">
        <is>
          <t>A-497_2C__159</t>
        </is>
      </c>
      <c r="C3364" s="1" t="n">
        <v>37.2662466553</v>
      </c>
      <c r="D3364" s="1" t="n">
        <v>-6.99307142277</v>
      </c>
      <c r="E3364" s="3" t="n">
        <v>2</v>
      </c>
      <c r="F3364" s="2" t="n">
        <v>3</v>
      </c>
      <c r="G3364" s="4" t="n">
        <v>3</v>
      </c>
      <c r="H3364" s="13" t="n"/>
      <c r="I3364" s="15" t="n"/>
      <c r="J3364" s="19" t="n">
        <v>3</v>
      </c>
      <c r="K3364" s="2" t="inlineStr">
        <is>
          <t>marker_742_656094.png</t>
        </is>
      </c>
      <c r="L3364" s="11">
        <f>HYPERLINK("3\1\" &amp; K3364, "Ver Imagen")</f>
        <v/>
      </c>
      <c r="M3364" t="inlineStr">
        <is>
          <t>Moda</t>
        </is>
      </c>
    </row>
    <row r="3365">
      <c r="A3365" t="n">
        <v>3365</v>
      </c>
      <c r="B3365" t="inlineStr">
        <is>
          <t>A-497__733</t>
        </is>
      </c>
      <c r="C3365" s="1" t="n">
        <v>37.1903633984</v>
      </c>
      <c r="D3365" s="1" t="n">
        <v>-6.97786198072</v>
      </c>
      <c r="E3365" s="3" t="n">
        <v>2</v>
      </c>
      <c r="F3365" s="2" t="n">
        <v>3</v>
      </c>
      <c r="G3365" s="4" t="n">
        <v>3</v>
      </c>
      <c r="H3365" s="13" t="n"/>
      <c r="I3365" s="15" t="n"/>
      <c r="J3365" s="19" t="n">
        <v>3</v>
      </c>
      <c r="K3365" s="2" t="inlineStr">
        <is>
          <t>marker_390_368914.png</t>
        </is>
      </c>
      <c r="L3365" s="11">
        <f>HYPERLINK("3\1\" &amp; K3365, "Ver Imagen")</f>
        <v/>
      </c>
      <c r="M3365" t="inlineStr">
        <is>
          <t>Moda</t>
        </is>
      </c>
    </row>
    <row r="3366">
      <c r="A3366" t="n">
        <v>3366</v>
      </c>
      <c r="B3366" t="inlineStr">
        <is>
          <t>A-497__732</t>
        </is>
      </c>
      <c r="C3366" s="1" t="n">
        <v>37.1906065036</v>
      </c>
      <c r="D3366" s="1" t="n">
        <v>-6.97780062168</v>
      </c>
      <c r="E3366" s="3" t="n">
        <v>2</v>
      </c>
      <c r="F3366" s="2" t="n">
        <v>3</v>
      </c>
      <c r="G3366" s="4" t="n">
        <v>3</v>
      </c>
      <c r="H3366" s="13" t="n"/>
      <c r="I3366" s="15" t="n"/>
      <c r="J3366" s="19" t="n">
        <v>3</v>
      </c>
      <c r="K3366" s="2" t="inlineStr">
        <is>
          <t>marker_250_368927.png</t>
        </is>
      </c>
      <c r="L3366" s="11">
        <f>HYPERLINK("3\1\" &amp; K3366, "Ver Imagen")</f>
        <v/>
      </c>
      <c r="M3366" t="inlineStr">
        <is>
          <t>Moda</t>
        </is>
      </c>
    </row>
    <row r="3367">
      <c r="A3367" t="n">
        <v>3367</v>
      </c>
      <c r="B3367" t="inlineStr">
        <is>
          <t>A-497__729</t>
        </is>
      </c>
      <c r="C3367" s="1" t="n">
        <v>37.191208144</v>
      </c>
      <c r="D3367" s="1" t="n">
        <v>-6.97766170586</v>
      </c>
      <c r="E3367" s="3" t="n">
        <v>3</v>
      </c>
      <c r="F3367" s="2" t="n">
        <v>3</v>
      </c>
      <c r="G3367" s="4" t="n">
        <v>2</v>
      </c>
      <c r="H3367" s="13" t="n"/>
      <c r="I3367" s="15" t="n"/>
      <c r="J3367" s="19" t="n">
        <v>3</v>
      </c>
      <c r="K3367" s="2" t="inlineStr">
        <is>
          <t>marker_279_368974.png</t>
        </is>
      </c>
      <c r="L3367" s="11">
        <f>HYPERLINK("3\1\" &amp; K3367, "Ver Imagen")</f>
        <v/>
      </c>
      <c r="M3367" t="inlineStr">
        <is>
          <t>Moda</t>
        </is>
      </c>
    </row>
    <row r="3368">
      <c r="A3368" t="n">
        <v>3368</v>
      </c>
      <c r="B3368" t="inlineStr">
        <is>
          <t>A-497__726</t>
        </is>
      </c>
      <c r="C3368" s="1" t="n">
        <v>37.1917637979</v>
      </c>
      <c r="D3368" s="1" t="n">
        <v>-6.97756227574</v>
      </c>
      <c r="E3368" s="3" t="n">
        <v>2</v>
      </c>
      <c r="F3368" s="2" t="n">
        <v>3</v>
      </c>
      <c r="G3368" s="4" t="n">
        <v>3</v>
      </c>
      <c r="H3368" s="13" t="n"/>
      <c r="I3368" s="15" t="n"/>
      <c r="J3368" s="19" t="n">
        <v>3</v>
      </c>
      <c r="K3368" s="2" t="inlineStr">
        <is>
          <t>marker_796_369003.png</t>
        </is>
      </c>
      <c r="L3368" s="11">
        <f>HYPERLINK("3\1\" &amp; K3368, "Ver Imagen")</f>
        <v/>
      </c>
      <c r="M3368" t="inlineStr">
        <is>
          <t>Moda</t>
        </is>
      </c>
    </row>
    <row r="3369">
      <c r="A3369" t="n">
        <v>3369</v>
      </c>
      <c r="B3369" t="inlineStr">
        <is>
          <t>A-497__721</t>
        </is>
      </c>
      <c r="C3369" s="1" t="n">
        <v>37.1927728317</v>
      </c>
      <c r="D3369" s="1" t="n">
        <v>-6.97747298689</v>
      </c>
      <c r="E3369" s="3" t="n">
        <v>2</v>
      </c>
      <c r="F3369" s="2" t="n">
        <v>3</v>
      </c>
      <c r="G3369" s="4" t="n">
        <v>3</v>
      </c>
      <c r="H3369" s="13" t="n"/>
      <c r="I3369" s="15" t="n"/>
      <c r="J3369" s="19" t="n">
        <v>3</v>
      </c>
      <c r="K3369" s="2" t="inlineStr">
        <is>
          <t>marker_166_369052.png</t>
        </is>
      </c>
      <c r="L3369" s="11">
        <f>HYPERLINK("3\1\" &amp; K3369, "Ver Imagen")</f>
        <v/>
      </c>
      <c r="M3369" t="inlineStr">
        <is>
          <t>Moda</t>
        </is>
      </c>
    </row>
    <row r="3370">
      <c r="A3370" t="n">
        <v>3370</v>
      </c>
      <c r="B3370" t="inlineStr">
        <is>
          <t>A-497__719</t>
        </is>
      </c>
      <c r="C3370" s="1" t="n">
        <v>37.1931651855</v>
      </c>
      <c r="D3370" s="1" t="n">
        <v>-6.97747874557</v>
      </c>
      <c r="E3370" s="3" t="n">
        <v>3</v>
      </c>
      <c r="F3370" s="2" t="n">
        <v>3</v>
      </c>
      <c r="G3370" s="4" t="n">
        <v>2</v>
      </c>
      <c r="H3370" s="13" t="n"/>
      <c r="I3370" s="15" t="n"/>
      <c r="J3370" s="19" t="n">
        <v>3</v>
      </c>
      <c r="K3370" s="2" t="inlineStr">
        <is>
          <t>marker_281_369070.png</t>
        </is>
      </c>
      <c r="L3370" s="11">
        <f>HYPERLINK("3\1\" &amp; K3370, "Ver Imagen")</f>
        <v/>
      </c>
      <c r="M3370" t="inlineStr">
        <is>
          <t>Moda</t>
        </is>
      </c>
    </row>
    <row r="3371">
      <c r="A3371" t="n">
        <v>3371</v>
      </c>
      <c r="B3371" t="inlineStr">
        <is>
          <t>A-497__715</t>
        </is>
      </c>
      <c r="C3371" s="1" t="n">
        <v>37.1939919735</v>
      </c>
      <c r="D3371" s="1" t="n">
        <v>-6.97757998917</v>
      </c>
      <c r="E3371" s="3" t="n">
        <v>3</v>
      </c>
      <c r="F3371" s="2" t="n">
        <v>3</v>
      </c>
      <c r="G3371" s="4" t="n">
        <v>4</v>
      </c>
      <c r="H3371" s="13" t="n"/>
      <c r="I3371" s="15" t="n"/>
      <c r="J3371" s="19" t="n">
        <v>3</v>
      </c>
      <c r="K3371" s="2" t="inlineStr">
        <is>
          <t>marker_740_369113.png</t>
        </is>
      </c>
      <c r="L3371" s="11">
        <f>HYPERLINK("3\1\" &amp; K3371, "Ver Imagen")</f>
        <v/>
      </c>
      <c r="M3371" t="inlineStr">
        <is>
          <t>Moda</t>
        </is>
      </c>
    </row>
    <row r="3372">
      <c r="A3372" t="n">
        <v>3372</v>
      </c>
      <c r="B3372" t="inlineStr">
        <is>
          <t>A-497_2C__192</t>
        </is>
      </c>
      <c r="C3372" s="1" t="n">
        <v>37.2646079295</v>
      </c>
      <c r="D3372" s="1" t="n">
        <v>-7.00112150581</v>
      </c>
      <c r="E3372" s="3" t="n">
        <v>4</v>
      </c>
      <c r="F3372" s="2" t="n">
        <v>3</v>
      </c>
      <c r="G3372" s="4" t="n">
        <v>3</v>
      </c>
      <c r="H3372" s="13" t="n"/>
      <c r="I3372" s="15" t="n"/>
      <c r="J3372" s="19" t="n">
        <v>3</v>
      </c>
      <c r="K3372" s="2" t="inlineStr">
        <is>
          <t>marker_893_656445.png</t>
        </is>
      </c>
      <c r="L3372" s="11">
        <f>HYPERLINK("3\1\" &amp; K3372, "Ver Imagen")</f>
        <v/>
      </c>
      <c r="M3372" t="inlineStr">
        <is>
          <t>Moda</t>
        </is>
      </c>
    </row>
    <row r="3373">
      <c r="A3373" t="n">
        <v>3373</v>
      </c>
      <c r="B3373" t="inlineStr">
        <is>
          <t>A-497_2C__193</t>
        </is>
      </c>
      <c r="C3373" s="1" t="n">
        <v>37.2645588037</v>
      </c>
      <c r="D3373" s="1" t="n">
        <v>-7.00139377519</v>
      </c>
      <c r="E3373" s="3" t="n">
        <v>3</v>
      </c>
      <c r="F3373" s="2" t="n">
        <v>3</v>
      </c>
      <c r="G3373" s="4" t="n">
        <v>2</v>
      </c>
      <c r="H3373" s="13" t="n"/>
      <c r="I3373" s="15" t="n"/>
      <c r="J3373" s="19" t="n">
        <v>3</v>
      </c>
      <c r="K3373" s="2" t="inlineStr">
        <is>
          <t>marker_837_656454.png</t>
        </is>
      </c>
      <c r="L3373" s="11">
        <f>HYPERLINK("3\1\" &amp; K3373, "Ver Imagen")</f>
        <v/>
      </c>
      <c r="M3373" t="inlineStr">
        <is>
          <t>Moda</t>
        </is>
      </c>
    </row>
    <row r="3374">
      <c r="A3374" t="n">
        <v>3374</v>
      </c>
      <c r="B3374" t="inlineStr">
        <is>
          <t>A-497__699</t>
        </is>
      </c>
      <c r="C3374" s="1" t="n">
        <v>37.1969503753</v>
      </c>
      <c r="D3374" s="1" t="n">
        <v>-6.97917792058</v>
      </c>
      <c r="E3374" s="3" t="n">
        <v>3</v>
      </c>
      <c r="F3374" s="2" t="n">
        <v>3</v>
      </c>
      <c r="G3374" s="4" t="n">
        <v>2</v>
      </c>
      <c r="H3374" s="13" t="n"/>
      <c r="I3374" s="15" t="n"/>
      <c r="J3374" s="19" t="n">
        <v>3</v>
      </c>
      <c r="K3374" s="2" t="inlineStr">
        <is>
          <t>marker_891_370385.png</t>
        </is>
      </c>
      <c r="L3374" s="11">
        <f>HYPERLINK("3\1\" &amp; K3374, "Ver Imagen")</f>
        <v/>
      </c>
      <c r="M3374" t="inlineStr">
        <is>
          <t>Moda</t>
        </is>
      </c>
    </row>
    <row r="3375">
      <c r="A3375" t="n">
        <v>3375</v>
      </c>
      <c r="B3375" t="inlineStr">
        <is>
          <t>A-497_2C__199</t>
        </is>
      </c>
      <c r="C3375" s="1" t="n">
        <v>37.264279895</v>
      </c>
      <c r="D3375" s="1" t="n">
        <v>-7.00294498895</v>
      </c>
      <c r="E3375" s="3" t="n">
        <v>2</v>
      </c>
      <c r="F3375" s="2" t="n">
        <v>3</v>
      </c>
      <c r="G3375" s="4" t="n">
        <v>3</v>
      </c>
      <c r="H3375" s="13" t="n"/>
      <c r="I3375" s="15" t="n"/>
      <c r="J3375" s="19" t="n">
        <v>3</v>
      </c>
      <c r="K3375" s="2" t="inlineStr">
        <is>
          <t>marker_269_656515.png</t>
        </is>
      </c>
      <c r="L3375" s="11">
        <f>HYPERLINK("3\1\" &amp; K3375, "Ver Imagen")</f>
        <v/>
      </c>
      <c r="M3375" t="inlineStr">
        <is>
          <t>Moda</t>
        </is>
      </c>
    </row>
    <row r="3376">
      <c r="A3376" t="n">
        <v>3376</v>
      </c>
      <c r="B3376" t="inlineStr">
        <is>
          <t>A-497_2C__200</t>
        </is>
      </c>
      <c r="C3376" s="1" t="n">
        <v>37.2642430853</v>
      </c>
      <c r="D3376" s="1" t="n">
        <v>-7.00315285925</v>
      </c>
      <c r="E3376" s="3" t="n">
        <v>2</v>
      </c>
      <c r="F3376" s="2" t="n">
        <v>3</v>
      </c>
      <c r="G3376" s="4" t="n">
        <v>3</v>
      </c>
      <c r="H3376" s="13" t="n"/>
      <c r="I3376" s="15" t="n"/>
      <c r="J3376" s="19" t="n">
        <v>3</v>
      </c>
      <c r="K3376" s="2" t="inlineStr">
        <is>
          <t>marker_258_656525.png</t>
        </is>
      </c>
      <c r="L3376" s="11">
        <f>HYPERLINK("3\1\" &amp; K3376, "Ver Imagen")</f>
        <v/>
      </c>
      <c r="M3376" t="inlineStr">
        <is>
          <t>Moda</t>
        </is>
      </c>
    </row>
    <row r="3377">
      <c r="A3377" t="n">
        <v>3377</v>
      </c>
      <c r="B3377" t="inlineStr">
        <is>
          <t>A-497_2C__201</t>
        </is>
      </c>
      <c r="C3377" s="1" t="n">
        <v>37.2641988666</v>
      </c>
      <c r="D3377" s="1" t="n">
        <v>-7.00340381306</v>
      </c>
      <c r="E3377" s="3" t="n">
        <v>2</v>
      </c>
      <c r="F3377" s="2" t="n">
        <v>3</v>
      </c>
      <c r="G3377" s="4" t="n">
        <v>3</v>
      </c>
      <c r="H3377" s="13" t="n"/>
      <c r="I3377" s="15" t="n"/>
      <c r="J3377" s="19" t="n">
        <v>3</v>
      </c>
      <c r="K3377" s="2" t="inlineStr">
        <is>
          <t>marker_938_656534.png</t>
        </is>
      </c>
      <c r="L3377" s="11">
        <f>HYPERLINK("3\1\" &amp; K3377, "Ver Imagen")</f>
        <v/>
      </c>
      <c r="M3377" t="inlineStr">
        <is>
          <t>Moda</t>
        </is>
      </c>
    </row>
    <row r="3378">
      <c r="A3378" t="n">
        <v>3378</v>
      </c>
      <c r="B3378" t="inlineStr">
        <is>
          <t>A-497_2C__202</t>
        </is>
      </c>
      <c r="C3378" s="1" t="n">
        <v>37.2641505599</v>
      </c>
      <c r="D3378" s="1" t="n">
        <v>-7.00367928708</v>
      </c>
      <c r="E3378" s="3" t="n">
        <v>2</v>
      </c>
      <c r="F3378" s="2" t="n">
        <v>3</v>
      </c>
      <c r="G3378" s="4" t="n">
        <v>3</v>
      </c>
      <c r="H3378" s="13" t="n"/>
      <c r="I3378" s="15" t="n"/>
      <c r="J3378" s="19" t="n">
        <v>3</v>
      </c>
      <c r="K3378" s="2" t="inlineStr">
        <is>
          <t>marker_965_656550.png</t>
        </is>
      </c>
      <c r="L3378" s="11">
        <f>HYPERLINK("3\1\" &amp; K3378, "Ver Imagen")</f>
        <v/>
      </c>
      <c r="M3378" t="inlineStr">
        <is>
          <t>Moda</t>
        </is>
      </c>
    </row>
    <row r="3379">
      <c r="A3379" t="n">
        <v>3379</v>
      </c>
      <c r="B3379" t="inlineStr">
        <is>
          <t>A-497_2C__203</t>
        </is>
      </c>
      <c r="C3379" s="1" t="n">
        <v>37.2641161655</v>
      </c>
      <c r="D3379" s="1" t="n">
        <v>-7.0038748008</v>
      </c>
      <c r="E3379" s="3" t="n">
        <v>2</v>
      </c>
      <c r="F3379" s="2" t="n">
        <v>3</v>
      </c>
      <c r="G3379" s="4" t="n">
        <v>3</v>
      </c>
      <c r="H3379" s="13" t="n"/>
      <c r="I3379" s="15" t="n"/>
      <c r="J3379" s="19" t="n">
        <v>3</v>
      </c>
      <c r="K3379" s="2" t="inlineStr">
        <is>
          <t>marker_198_656579.png</t>
        </is>
      </c>
      <c r="L3379" s="11">
        <f>HYPERLINK("3\1\" &amp; K3379, "Ver Imagen")</f>
        <v/>
      </c>
      <c r="M3379" t="inlineStr">
        <is>
          <t>Moda</t>
        </is>
      </c>
    </row>
    <row r="3380">
      <c r="A3380" t="n">
        <v>3380</v>
      </c>
      <c r="B3380" t="inlineStr">
        <is>
          <t>A-497_2C__204</t>
        </is>
      </c>
      <c r="C3380" s="1" t="n">
        <v>37.2640725687</v>
      </c>
      <c r="D3380" s="1" t="n">
        <v>-7.00411992732</v>
      </c>
      <c r="E3380" s="3" t="n">
        <v>2</v>
      </c>
      <c r="F3380" s="2" t="n">
        <v>3</v>
      </c>
      <c r="G3380" s="4" t="n">
        <v>3</v>
      </c>
      <c r="H3380" s="13" t="n"/>
      <c r="I3380" s="15" t="n"/>
      <c r="J3380" s="19" t="n">
        <v>3</v>
      </c>
      <c r="K3380" s="2" t="inlineStr">
        <is>
          <t>marker_853_656589.png</t>
        </is>
      </c>
      <c r="L3380" s="11">
        <f>HYPERLINK("3\1\" &amp; K3380, "Ver Imagen")</f>
        <v/>
      </c>
      <c r="M3380" t="inlineStr">
        <is>
          <t>Moda</t>
        </is>
      </c>
    </row>
    <row r="3381">
      <c r="A3381" t="n">
        <v>3381</v>
      </c>
      <c r="B3381" t="inlineStr">
        <is>
          <t>A-497_2C__205</t>
        </is>
      </c>
      <c r="C3381" s="1" t="n">
        <v>37.2640323783</v>
      </c>
      <c r="D3381" s="1" t="n">
        <v>-7.00434609335</v>
      </c>
      <c r="E3381" s="3" t="n">
        <v>4</v>
      </c>
      <c r="F3381" s="2" t="n">
        <v>3</v>
      </c>
      <c r="G3381" s="4" t="n">
        <v>3</v>
      </c>
      <c r="H3381" s="13" t="n"/>
      <c r="I3381" s="15" t="n"/>
      <c r="J3381" s="19" t="n">
        <v>3</v>
      </c>
      <c r="K3381" s="2" t="inlineStr">
        <is>
          <t>marker_652_656600.png</t>
        </is>
      </c>
      <c r="L3381" s="11">
        <f>HYPERLINK("3\1\" &amp; K3381, "Ver Imagen")</f>
        <v/>
      </c>
      <c r="M3381" t="inlineStr">
        <is>
          <t>Moda</t>
        </is>
      </c>
    </row>
    <row r="3382">
      <c r="A3382" t="n">
        <v>3382</v>
      </c>
      <c r="B3382" t="inlineStr">
        <is>
          <t>A-497_2C__207</t>
        </is>
      </c>
      <c r="C3382" s="1" t="n">
        <v>37.2639406302</v>
      </c>
      <c r="D3382" s="1" t="n">
        <v>-7.00486692448</v>
      </c>
      <c r="E3382" s="3" t="n">
        <v>2</v>
      </c>
      <c r="F3382" s="2" t="n">
        <v>3</v>
      </c>
      <c r="G3382" s="4" t="n">
        <v>3</v>
      </c>
      <c r="H3382" s="13" t="n"/>
      <c r="I3382" s="15" t="n"/>
      <c r="J3382" s="19" t="n">
        <v>3</v>
      </c>
      <c r="K3382" s="2" t="inlineStr">
        <is>
          <t>marker_393_656619.png</t>
        </is>
      </c>
      <c r="L3382" s="11">
        <f>HYPERLINK("3\1\" &amp; K3382, "Ver Imagen")</f>
        <v/>
      </c>
      <c r="M3382" t="inlineStr">
        <is>
          <t>Moda</t>
        </is>
      </c>
    </row>
    <row r="3383">
      <c r="A3383" t="n">
        <v>3383</v>
      </c>
      <c r="B3383" t="inlineStr">
        <is>
          <t>A-497_2C__208</t>
        </is>
      </c>
      <c r="C3383" s="1" t="n">
        <v>37.2639008486</v>
      </c>
      <c r="D3383" s="1" t="n">
        <v>-7.00509160783</v>
      </c>
      <c r="E3383" s="3" t="n">
        <v>2</v>
      </c>
      <c r="F3383" s="2" t="n">
        <v>3</v>
      </c>
      <c r="G3383" s="4" t="n">
        <v>3</v>
      </c>
      <c r="H3383" s="13" t="n"/>
      <c r="I3383" s="15" t="n"/>
      <c r="J3383" s="19" t="n">
        <v>3</v>
      </c>
      <c r="K3383" s="2" t="inlineStr">
        <is>
          <t>marker_297_656630.png</t>
        </is>
      </c>
      <c r="L3383" s="11">
        <f>HYPERLINK("3\1\" &amp; K3383, "Ver Imagen")</f>
        <v/>
      </c>
      <c r="M3383" t="inlineStr">
        <is>
          <t>Moda</t>
        </is>
      </c>
    </row>
    <row r="3384">
      <c r="A3384" t="n">
        <v>3384</v>
      </c>
      <c r="B3384" t="inlineStr">
        <is>
          <t>A-497_2C__209</t>
        </is>
      </c>
      <c r="C3384" s="1" t="n">
        <v>37.2638558089</v>
      </c>
      <c r="D3384" s="1" t="n">
        <v>-7.00534505515</v>
      </c>
      <c r="E3384" s="3" t="n">
        <v>2</v>
      </c>
      <c r="F3384" s="2" t="n">
        <v>3</v>
      </c>
      <c r="G3384" s="4" t="n">
        <v>3</v>
      </c>
      <c r="H3384" s="13" t="n"/>
      <c r="I3384" s="15" t="n"/>
      <c r="J3384" s="19" t="n">
        <v>3</v>
      </c>
      <c r="K3384" s="2" t="inlineStr">
        <is>
          <t>marker_228_656639.png</t>
        </is>
      </c>
      <c r="L3384" s="11">
        <f>HYPERLINK("3\1\" &amp; K3384, "Ver Imagen")</f>
        <v/>
      </c>
      <c r="M3384" t="inlineStr">
        <is>
          <t>Moda</t>
        </is>
      </c>
    </row>
    <row r="3385">
      <c r="A3385" t="n">
        <v>3385</v>
      </c>
      <c r="B3385" t="inlineStr">
        <is>
          <t>A-497_2C__210</t>
        </is>
      </c>
      <c r="C3385" s="1" t="n">
        <v>37.263809695</v>
      </c>
      <c r="D3385" s="1" t="n">
        <v>-7.00560533405</v>
      </c>
      <c r="E3385" s="3" t="n">
        <v>2</v>
      </c>
      <c r="F3385" s="2" t="n">
        <v>3</v>
      </c>
      <c r="G3385" s="4" t="n">
        <v>3</v>
      </c>
      <c r="H3385" s="13" t="n"/>
      <c r="I3385" s="15" t="n"/>
      <c r="J3385" s="19" t="n">
        <v>3</v>
      </c>
      <c r="K3385" s="2" t="inlineStr">
        <is>
          <t>marker_143_656652.png</t>
        </is>
      </c>
      <c r="L3385" s="11">
        <f>HYPERLINK("3\1\" &amp; K3385, "Ver Imagen")</f>
        <v/>
      </c>
      <c r="M3385" t="inlineStr">
        <is>
          <t>Moda</t>
        </is>
      </c>
    </row>
    <row r="3386">
      <c r="A3386" t="n">
        <v>3386</v>
      </c>
      <c r="B3386" t="inlineStr">
        <is>
          <t>A-497_2C__211</t>
        </is>
      </c>
      <c r="C3386" s="1" t="n">
        <v>37.2637690314</v>
      </c>
      <c r="D3386" s="1" t="n">
        <v>-7.00583402074</v>
      </c>
      <c r="E3386" s="3" t="n">
        <v>2</v>
      </c>
      <c r="F3386" s="2" t="n">
        <v>3</v>
      </c>
      <c r="G3386" s="4" t="n">
        <v>3</v>
      </c>
      <c r="H3386" s="13" t="n"/>
      <c r="I3386" s="15" t="n"/>
      <c r="J3386" s="19" t="n">
        <v>3</v>
      </c>
      <c r="K3386" s="2" t="inlineStr">
        <is>
          <t>marker_305_656664.png</t>
        </is>
      </c>
      <c r="L3386" s="11">
        <f>HYPERLINK("3\1\" &amp; K3386, "Ver Imagen")</f>
        <v/>
      </c>
      <c r="M3386" t="inlineStr">
        <is>
          <t>Moda</t>
        </is>
      </c>
    </row>
    <row r="3387">
      <c r="A3387" t="n">
        <v>3387</v>
      </c>
      <c r="B3387" t="inlineStr">
        <is>
          <t>A-497_2C__212</t>
        </is>
      </c>
      <c r="C3387" s="1" t="n">
        <v>37.2637146263</v>
      </c>
      <c r="D3387" s="1" t="n">
        <v>-7.00613698875</v>
      </c>
      <c r="E3387" s="3" t="n">
        <v>2</v>
      </c>
      <c r="F3387" s="2" t="n">
        <v>3</v>
      </c>
      <c r="G3387" s="4" t="n">
        <v>3</v>
      </c>
      <c r="H3387" s="13" t="n"/>
      <c r="I3387" s="15" t="n"/>
      <c r="J3387" s="19" t="n">
        <v>3</v>
      </c>
      <c r="K3387" s="2" t="inlineStr">
        <is>
          <t>marker_152_656672.png</t>
        </is>
      </c>
      <c r="L3387" s="11">
        <f>HYPERLINK("3\1\" &amp; K3387, "Ver Imagen")</f>
        <v/>
      </c>
      <c r="M3387" t="inlineStr">
        <is>
          <t>Moda</t>
        </is>
      </c>
    </row>
    <row r="3388">
      <c r="A3388" t="n">
        <v>3388</v>
      </c>
      <c r="B3388" t="inlineStr">
        <is>
          <t>A-497_2C__213</t>
        </is>
      </c>
      <c r="C3388" s="1" t="n">
        <v>37.2636764289</v>
      </c>
      <c r="D3388" s="1" t="n">
        <v>-7.00634926096</v>
      </c>
      <c r="E3388" s="3" t="n">
        <v>2</v>
      </c>
      <c r="F3388" s="2" t="n">
        <v>3</v>
      </c>
      <c r="G3388" s="4" t="n">
        <v>3</v>
      </c>
      <c r="H3388" s="13" t="n"/>
      <c r="I3388" s="15" t="n"/>
      <c r="J3388" s="19" t="n">
        <v>3</v>
      </c>
      <c r="K3388" s="2" t="inlineStr">
        <is>
          <t>marker_950_656683.png</t>
        </is>
      </c>
      <c r="L3388" s="11">
        <f>HYPERLINK("3\1\" &amp; K3388, "Ver Imagen")</f>
        <v/>
      </c>
      <c r="M3388" t="inlineStr">
        <is>
          <t>Moda</t>
        </is>
      </c>
    </row>
    <row r="3389">
      <c r="A3389" t="n">
        <v>3389</v>
      </c>
      <c r="B3389" t="inlineStr">
        <is>
          <t>A-497_2C__214</t>
        </is>
      </c>
      <c r="C3389" s="1" t="n">
        <v>37.2636336767</v>
      </c>
      <c r="D3389" s="1" t="n">
        <v>-7.00658579854</v>
      </c>
      <c r="E3389" s="3" t="n">
        <v>2</v>
      </c>
      <c r="F3389" s="2" t="n">
        <v>3</v>
      </c>
      <c r="G3389" s="4" t="n">
        <v>3</v>
      </c>
      <c r="H3389" s="13" t="n"/>
      <c r="I3389" s="15" t="n"/>
      <c r="J3389" s="19" t="n">
        <v>3</v>
      </c>
      <c r="K3389" s="2" t="inlineStr">
        <is>
          <t>marker_519_656692.png</t>
        </is>
      </c>
      <c r="L3389" s="11">
        <f>HYPERLINK("3\1\" &amp; K3389, "Ver Imagen")</f>
        <v/>
      </c>
      <c r="M3389" t="inlineStr">
        <is>
          <t>Moda</t>
        </is>
      </c>
    </row>
    <row r="3390">
      <c r="A3390" t="n">
        <v>3390</v>
      </c>
      <c r="B3390" t="inlineStr">
        <is>
          <t>A-497__697</t>
        </is>
      </c>
      <c r="C3390" s="1" t="n">
        <v>37.1972644501</v>
      </c>
      <c r="D3390" s="1" t="n">
        <v>-6.97949745795</v>
      </c>
      <c r="E3390" s="3" t="n">
        <v>3</v>
      </c>
      <c r="F3390" s="2" t="n">
        <v>3</v>
      </c>
      <c r="G3390" s="4" t="n">
        <v>4</v>
      </c>
      <c r="H3390" s="13" t="n"/>
      <c r="I3390" s="15" t="n"/>
      <c r="J3390" s="19" t="n">
        <v>3</v>
      </c>
      <c r="K3390" s="2" t="inlineStr">
        <is>
          <t>marker_252_370406.png</t>
        </is>
      </c>
      <c r="L3390" s="11">
        <f>HYPERLINK("3\1\" &amp; K3390, "Ver Imagen")</f>
        <v/>
      </c>
      <c r="M3390" t="inlineStr">
        <is>
          <t>Moda</t>
        </is>
      </c>
    </row>
    <row r="3391">
      <c r="A3391" t="n">
        <v>3391</v>
      </c>
      <c r="B3391" t="inlineStr">
        <is>
          <t>A-497__696</t>
        </is>
      </c>
      <c r="C3391" s="1" t="n">
        <v>37.1974331185</v>
      </c>
      <c r="D3391" s="1" t="n">
        <v>-6.97968439606</v>
      </c>
      <c r="E3391" s="3" t="n">
        <v>2</v>
      </c>
      <c r="F3391" s="2" t="n">
        <v>3</v>
      </c>
      <c r="G3391" s="4" t="n">
        <v>3</v>
      </c>
      <c r="H3391" s="13" t="n"/>
      <c r="I3391" s="15" t="n"/>
      <c r="J3391" s="19" t="n">
        <v>3</v>
      </c>
      <c r="K3391" s="2" t="inlineStr">
        <is>
          <t>marker_473_370415.png</t>
        </is>
      </c>
      <c r="L3391" s="11">
        <f>HYPERLINK("3\1\" &amp; K3391, "Ver Imagen")</f>
        <v/>
      </c>
      <c r="M3391" t="inlineStr">
        <is>
          <t>Moda</t>
        </is>
      </c>
    </row>
    <row r="3392">
      <c r="A3392" t="n">
        <v>3392</v>
      </c>
      <c r="B3392" t="inlineStr">
        <is>
          <t>A-497__695</t>
        </is>
      </c>
      <c r="C3392" s="1" t="n">
        <v>37.1975616677</v>
      </c>
      <c r="D3392" s="1" t="n">
        <v>-6.97983518793</v>
      </c>
      <c r="E3392" s="3" t="n">
        <v>2</v>
      </c>
      <c r="F3392" s="2" t="n">
        <v>3</v>
      </c>
      <c r="G3392" s="4" t="n">
        <v>3</v>
      </c>
      <c r="H3392" s="13" t="n"/>
      <c r="I3392" s="15" t="n"/>
      <c r="J3392" s="19" t="n">
        <v>3</v>
      </c>
      <c r="K3392" s="2" t="inlineStr">
        <is>
          <t>marker_548_370430.png</t>
        </is>
      </c>
      <c r="L3392" s="11">
        <f>HYPERLINK("3\1\" &amp; K3392, "Ver Imagen")</f>
        <v/>
      </c>
      <c r="M3392" t="inlineStr">
        <is>
          <t>Moda</t>
        </is>
      </c>
    </row>
    <row r="3393">
      <c r="A3393" t="n">
        <v>3393</v>
      </c>
      <c r="B3393" t="inlineStr">
        <is>
          <t>A-497__691</t>
        </is>
      </c>
      <c r="C3393" s="1" t="n">
        <v>37.1980824893</v>
      </c>
      <c r="D3393" s="1" t="n">
        <v>-6.98055069672</v>
      </c>
      <c r="E3393" s="3" t="n">
        <v>2</v>
      </c>
      <c r="F3393" s="2" t="n">
        <v>3</v>
      </c>
      <c r="G3393" s="4" t="n">
        <v>3</v>
      </c>
      <c r="H3393" s="13" t="n"/>
      <c r="I3393" s="15" t="n"/>
      <c r="J3393" s="19" t="n">
        <v>3</v>
      </c>
      <c r="K3393" s="2" t="inlineStr">
        <is>
          <t>marker_959_370465.png</t>
        </is>
      </c>
      <c r="L3393" s="11">
        <f>HYPERLINK("3\1\" &amp; K3393, "Ver Imagen")</f>
        <v/>
      </c>
      <c r="M3393" t="inlineStr">
        <is>
          <t>Moda</t>
        </is>
      </c>
    </row>
    <row r="3394">
      <c r="A3394" t="n">
        <v>3394</v>
      </c>
      <c r="B3394" t="inlineStr">
        <is>
          <t>A-497__685</t>
        </is>
      </c>
      <c r="C3394" s="1" t="n">
        <v>37.1987733923</v>
      </c>
      <c r="D3394" s="1" t="n">
        <v>-6.98184504528</v>
      </c>
      <c r="E3394" s="3" t="n">
        <v>2</v>
      </c>
      <c r="F3394" s="2" t="n">
        <v>3</v>
      </c>
      <c r="G3394" s="4" t="n">
        <v>3</v>
      </c>
      <c r="H3394" s="13" t="n"/>
      <c r="I3394" s="15" t="n"/>
      <c r="J3394" s="19" t="n">
        <v>3</v>
      </c>
      <c r="K3394" s="2" t="inlineStr">
        <is>
          <t>marker_564_370521.png</t>
        </is>
      </c>
      <c r="L3394" s="11">
        <f>HYPERLINK("3\1\" &amp; K3394, "Ver Imagen")</f>
        <v/>
      </c>
      <c r="M3394" t="inlineStr">
        <is>
          <t>Moda</t>
        </is>
      </c>
    </row>
    <row r="3395">
      <c r="A3395" t="n">
        <v>3395</v>
      </c>
      <c r="B3395" t="inlineStr">
        <is>
          <t>A-497__684</t>
        </is>
      </c>
      <c r="C3395" s="1" t="n">
        <v>37.1988582967</v>
      </c>
      <c r="D3395" s="1" t="n">
        <v>-6.98204425669</v>
      </c>
      <c r="E3395" s="3" t="n">
        <v>2</v>
      </c>
      <c r="F3395" s="2" t="n">
        <v>3</v>
      </c>
      <c r="G3395" s="4" t="n">
        <v>3</v>
      </c>
      <c r="H3395" s="13" t="n"/>
      <c r="I3395" s="15" t="n"/>
      <c r="J3395" s="19" t="n">
        <v>3</v>
      </c>
      <c r="K3395" s="2" t="inlineStr">
        <is>
          <t>marker_873_370531.png</t>
        </is>
      </c>
      <c r="L3395" s="11">
        <f>HYPERLINK("3\1\" &amp; K3395, "Ver Imagen")</f>
        <v/>
      </c>
      <c r="M3395" t="inlineStr">
        <is>
          <t>Moda</t>
        </is>
      </c>
    </row>
    <row r="3396">
      <c r="A3396" t="n">
        <v>3396</v>
      </c>
      <c r="B3396" t="inlineStr">
        <is>
          <t>A-497__683</t>
        </is>
      </c>
      <c r="C3396" s="1" t="n">
        <v>37.1989447827</v>
      </c>
      <c r="D3396" s="1" t="n">
        <v>-6.98225808402</v>
      </c>
      <c r="E3396" s="3" t="n">
        <v>2</v>
      </c>
      <c r="F3396" s="2" t="n">
        <v>3</v>
      </c>
      <c r="G3396" s="4" t="n">
        <v>3</v>
      </c>
      <c r="H3396" s="13" t="n"/>
      <c r="I3396" s="15" t="n"/>
      <c r="J3396" s="19" t="n">
        <v>3</v>
      </c>
      <c r="K3396" s="2" t="inlineStr">
        <is>
          <t>marker_680_370541.png</t>
        </is>
      </c>
      <c r="L3396" s="11">
        <f>HYPERLINK("3\1\" &amp; K3396, "Ver Imagen")</f>
        <v/>
      </c>
      <c r="M3396" t="inlineStr">
        <is>
          <t>Moda</t>
        </is>
      </c>
    </row>
    <row r="3397">
      <c r="A3397" t="n">
        <v>3397</v>
      </c>
      <c r="B3397" t="inlineStr">
        <is>
          <t>A-497_2C__222</t>
        </is>
      </c>
      <c r="C3397" s="1" t="n">
        <v>37.2631275277</v>
      </c>
      <c r="D3397" s="1" t="n">
        <v>-7.00849625261</v>
      </c>
      <c r="E3397" s="3" t="n">
        <v>2</v>
      </c>
      <c r="F3397" s="2" t="n">
        <v>3</v>
      </c>
      <c r="G3397" s="4" t="n">
        <v>3</v>
      </c>
      <c r="H3397" s="13" t="n"/>
      <c r="I3397" s="15" t="n"/>
      <c r="J3397" s="19" t="n">
        <v>3</v>
      </c>
      <c r="K3397" s="2" t="inlineStr">
        <is>
          <t>marker_145_656784.png</t>
        </is>
      </c>
      <c r="L3397" s="11">
        <f>HYPERLINK("3\1\" &amp; K3397, "Ver Imagen")</f>
        <v/>
      </c>
      <c r="M3397" t="inlineStr">
        <is>
          <t>Moda</t>
        </is>
      </c>
    </row>
    <row r="3398">
      <c r="A3398" t="n">
        <v>3398</v>
      </c>
      <c r="B3398" t="inlineStr">
        <is>
          <t>A-497__678</t>
        </is>
      </c>
      <c r="C3398" s="1" t="n">
        <v>37.199352613</v>
      </c>
      <c r="D3398" s="1" t="n">
        <v>-6.9834346155</v>
      </c>
      <c r="E3398" s="3" t="n">
        <v>2</v>
      </c>
      <c r="F3398" s="2" t="n">
        <v>3</v>
      </c>
      <c r="G3398" s="4" t="n">
        <v>3</v>
      </c>
      <c r="H3398" s="13" t="n"/>
      <c r="I3398" s="15" t="n"/>
      <c r="J3398" s="19" t="n">
        <v>3</v>
      </c>
      <c r="K3398" s="2" t="inlineStr">
        <is>
          <t>marker_452_370591.png</t>
        </is>
      </c>
      <c r="L3398" s="11">
        <f>HYPERLINK("3\1\" &amp; K3398, "Ver Imagen")</f>
        <v/>
      </c>
      <c r="M3398" t="inlineStr">
        <is>
          <t>Moda</t>
        </is>
      </c>
    </row>
    <row r="3399">
      <c r="A3399" t="n">
        <v>3399</v>
      </c>
      <c r="B3399" t="inlineStr">
        <is>
          <t>A-497__677</t>
        </is>
      </c>
      <c r="C3399" s="1" t="n">
        <v>37.1994306235</v>
      </c>
      <c r="D3399" s="1" t="n">
        <v>-6.98369139035</v>
      </c>
      <c r="E3399" s="3" t="n">
        <v>2</v>
      </c>
      <c r="F3399" s="2" t="n">
        <v>3</v>
      </c>
      <c r="G3399" s="4" t="n">
        <v>3</v>
      </c>
      <c r="H3399" s="13" t="n"/>
      <c r="I3399" s="15" t="n"/>
      <c r="J3399" s="19" t="n">
        <v>3</v>
      </c>
      <c r="K3399" s="2" t="inlineStr">
        <is>
          <t>marker_619_370607.png</t>
        </is>
      </c>
      <c r="L3399" s="11">
        <f>HYPERLINK("3\1\" &amp; K3399, "Ver Imagen")</f>
        <v/>
      </c>
      <c r="M3399" t="inlineStr">
        <is>
          <t>Moda</t>
        </is>
      </c>
    </row>
    <row r="3400">
      <c r="A3400" t="n">
        <v>3400</v>
      </c>
      <c r="B3400" t="inlineStr">
        <is>
          <t>A-497__676</t>
        </is>
      </c>
      <c r="C3400" s="1" t="n">
        <v>37.1994904913</v>
      </c>
      <c r="D3400" s="1" t="n">
        <v>-6.98389580977</v>
      </c>
      <c r="E3400" s="3" t="n">
        <v>2</v>
      </c>
      <c r="F3400" s="2" t="n">
        <v>3</v>
      </c>
      <c r="G3400" s="4" t="n">
        <v>3</v>
      </c>
      <c r="H3400" s="13" t="n"/>
      <c r="I3400" s="15" t="n"/>
      <c r="J3400" s="19" t="n">
        <v>3</v>
      </c>
      <c r="K3400" s="2" t="inlineStr">
        <is>
          <t>marker_932_370615.png</t>
        </is>
      </c>
      <c r="L3400" s="11">
        <f>HYPERLINK("3\1\" &amp; K3400, "Ver Imagen")</f>
        <v/>
      </c>
      <c r="M3400" t="inlineStr">
        <is>
          <t>Moda</t>
        </is>
      </c>
    </row>
    <row r="3401">
      <c r="A3401" t="n">
        <v>3401</v>
      </c>
      <c r="B3401" t="inlineStr">
        <is>
          <t>A-497_2C__236</t>
        </is>
      </c>
      <c r="C3401" s="1" t="n">
        <v>37.2611739149</v>
      </c>
      <c r="D3401" s="1" t="n">
        <v>-7.01095771569</v>
      </c>
      <c r="E3401" s="3" t="n">
        <v>2</v>
      </c>
      <c r="F3401" s="2" t="n">
        <v>3</v>
      </c>
      <c r="G3401" s="4" t="n">
        <v>3</v>
      </c>
      <c r="H3401" s="13" t="n"/>
      <c r="I3401" s="15" t="n"/>
      <c r="J3401" s="19" t="n">
        <v>3</v>
      </c>
      <c r="K3401" s="2" t="inlineStr">
        <is>
          <t>marker_644_656934.png</t>
        </is>
      </c>
      <c r="L3401" s="11">
        <f>HYPERLINK("3\1\" &amp; K3401, "Ver Imagen")</f>
        <v/>
      </c>
      <c r="M3401" t="inlineStr">
        <is>
          <t>Moda</t>
        </is>
      </c>
    </row>
    <row r="3402">
      <c r="A3402" t="n">
        <v>3402</v>
      </c>
      <c r="B3402" t="inlineStr">
        <is>
          <t>A-497__668</t>
        </is>
      </c>
      <c r="C3402" s="1" t="n">
        <v>37.2000074753</v>
      </c>
      <c r="D3402" s="1" t="n">
        <v>-6.98587057615</v>
      </c>
      <c r="E3402" s="3" t="n">
        <v>3</v>
      </c>
      <c r="F3402" s="2" t="n">
        <v>3</v>
      </c>
      <c r="G3402" s="4" t="n">
        <v>4</v>
      </c>
      <c r="H3402" s="13" t="n"/>
      <c r="I3402" s="15" t="n"/>
      <c r="J3402" s="19" t="n">
        <v>3</v>
      </c>
      <c r="K3402" s="2" t="inlineStr">
        <is>
          <t>marker_117_371043.png</t>
        </is>
      </c>
      <c r="L3402" s="11">
        <f>HYPERLINK("3\1\" &amp; K3402, "Ver Imagen")</f>
        <v/>
      </c>
      <c r="M3402" t="inlineStr">
        <is>
          <t>Moda</t>
        </is>
      </c>
    </row>
    <row r="3403">
      <c r="A3403" t="n">
        <v>3403</v>
      </c>
      <c r="B3403" t="inlineStr">
        <is>
          <t>A-497_2C__241</t>
        </is>
      </c>
      <c r="C3403" s="1" t="n">
        <v>37.2602637769</v>
      </c>
      <c r="D3403" s="1" t="n">
        <v>-7.01154047135</v>
      </c>
      <c r="E3403" s="3" t="n">
        <v>3</v>
      </c>
      <c r="F3403" s="2" t="n">
        <v>3</v>
      </c>
      <c r="G3403" s="4" t="n">
        <v>2</v>
      </c>
      <c r="H3403" s="13" t="n"/>
      <c r="I3403" s="15" t="n"/>
      <c r="J3403" s="19" t="n">
        <v>3</v>
      </c>
      <c r="K3403" s="2" t="inlineStr">
        <is>
          <t>marker_345_657035.png</t>
        </is>
      </c>
      <c r="L3403" s="11">
        <f>HYPERLINK("3\1\" &amp; K3403, "Ver Imagen")</f>
        <v/>
      </c>
      <c r="M3403" t="inlineStr">
        <is>
          <t>Moda</t>
        </is>
      </c>
    </row>
    <row r="3404">
      <c r="A3404" t="n">
        <v>3404</v>
      </c>
      <c r="B3404" t="inlineStr">
        <is>
          <t>A-497__665</t>
        </is>
      </c>
      <c r="C3404" s="1" t="n">
        <v>37.2001916113</v>
      </c>
      <c r="D3404" s="1" t="n">
        <v>-6.98662356722</v>
      </c>
      <c r="E3404" s="3" t="n">
        <v>2</v>
      </c>
      <c r="F3404" s="2" t="n">
        <v>3</v>
      </c>
      <c r="G3404" s="4" t="n">
        <v>3</v>
      </c>
      <c r="H3404" s="13" t="n"/>
      <c r="I3404" s="15" t="n"/>
      <c r="J3404" s="19" t="n">
        <v>3</v>
      </c>
      <c r="K3404" s="2" t="inlineStr">
        <is>
          <t>marker_861_371069.png</t>
        </is>
      </c>
      <c r="L3404" s="11">
        <f>HYPERLINK("3\1\" &amp; K3404, "Ver Imagen")</f>
        <v/>
      </c>
      <c r="M3404" t="inlineStr">
        <is>
          <t>Moda</t>
        </is>
      </c>
    </row>
    <row r="3405">
      <c r="A3405" t="n">
        <v>3405</v>
      </c>
      <c r="B3405" t="inlineStr">
        <is>
          <t>A-497_2C__243</t>
        </is>
      </c>
      <c r="C3405" s="1" t="n">
        <v>37.259881105</v>
      </c>
      <c r="D3405" s="1" t="n">
        <v>-7.01178334893</v>
      </c>
      <c r="E3405" s="3" t="n">
        <v>2</v>
      </c>
      <c r="F3405" s="2" t="n">
        <v>3</v>
      </c>
      <c r="G3405" s="4" t="n">
        <v>3</v>
      </c>
      <c r="H3405" s="13" t="n"/>
      <c r="I3405" s="15" t="n"/>
      <c r="J3405" s="19" t="n">
        <v>3</v>
      </c>
      <c r="K3405" s="2" t="inlineStr">
        <is>
          <t>marker_316_657051.png</t>
        </is>
      </c>
      <c r="L3405" s="11">
        <f>HYPERLINK("3\1\" &amp; K3405, "Ver Imagen")</f>
        <v/>
      </c>
      <c r="M3405" t="inlineStr">
        <is>
          <t>Moda</t>
        </is>
      </c>
    </row>
    <row r="3406">
      <c r="A3406" t="n">
        <v>3406</v>
      </c>
      <c r="B3406" t="inlineStr">
        <is>
          <t>A-497__663</t>
        </is>
      </c>
      <c r="C3406" s="1" t="n">
        <v>37.2002859192</v>
      </c>
      <c r="D3406" s="1" t="n">
        <v>-6.98701261832</v>
      </c>
      <c r="E3406" s="3" t="n">
        <v>2</v>
      </c>
      <c r="F3406" s="2" t="n">
        <v>3</v>
      </c>
      <c r="G3406" s="4" t="n">
        <v>3</v>
      </c>
      <c r="H3406" s="13" t="n"/>
      <c r="I3406" s="15" t="n"/>
      <c r="J3406" s="19" t="n">
        <v>3</v>
      </c>
      <c r="K3406" s="2" t="inlineStr">
        <is>
          <t>marker_946_371124.png</t>
        </is>
      </c>
      <c r="L3406" s="11">
        <f>HYPERLINK("3\1\" &amp; K3406, "Ver Imagen")</f>
        <v/>
      </c>
      <c r="M3406" t="inlineStr">
        <is>
          <t>Moda</t>
        </is>
      </c>
    </row>
    <row r="3407">
      <c r="A3407" t="n">
        <v>3407</v>
      </c>
      <c r="B3407" t="inlineStr">
        <is>
          <t>A-497__661</t>
        </is>
      </c>
      <c r="C3407" s="1" t="n">
        <v>37.2004023435</v>
      </c>
      <c r="D3407" s="1" t="n">
        <v>-6.98750876485</v>
      </c>
      <c r="E3407" s="3" t="n">
        <v>2</v>
      </c>
      <c r="F3407" s="2" t="n">
        <v>3</v>
      </c>
      <c r="G3407" s="4" t="n">
        <v>3</v>
      </c>
      <c r="H3407" s="13" t="n"/>
      <c r="I3407" s="15" t="n"/>
      <c r="J3407" s="19" t="n">
        <v>3</v>
      </c>
      <c r="K3407" s="2" t="inlineStr">
        <is>
          <t>marker_511_371141.png</t>
        </is>
      </c>
      <c r="L3407" s="11">
        <f>HYPERLINK("3\1\" &amp; K3407, "Ver Imagen")</f>
        <v/>
      </c>
      <c r="M3407" t="inlineStr">
        <is>
          <t>Moda</t>
        </is>
      </c>
    </row>
    <row r="3408">
      <c r="A3408" t="n">
        <v>3408</v>
      </c>
      <c r="B3408" t="inlineStr">
        <is>
          <t>A-497__660</t>
        </is>
      </c>
      <c r="C3408" s="1" t="n">
        <v>37.2004639199</v>
      </c>
      <c r="D3408" s="1" t="n">
        <v>-6.98777691841</v>
      </c>
      <c r="E3408" s="3" t="n">
        <v>2</v>
      </c>
      <c r="F3408" s="2" t="n">
        <v>3</v>
      </c>
      <c r="G3408" s="4" t="n">
        <v>3</v>
      </c>
      <c r="H3408" s="13" t="n"/>
      <c r="I3408" s="15" t="n"/>
      <c r="J3408" s="19" t="n">
        <v>3</v>
      </c>
      <c r="K3408" s="2" t="inlineStr">
        <is>
          <t>marker_172_371149.png</t>
        </is>
      </c>
      <c r="L3408" s="11">
        <f>HYPERLINK("3\1\" &amp; K3408, "Ver Imagen")</f>
        <v/>
      </c>
      <c r="M3408" t="inlineStr">
        <is>
          <t>Moda</t>
        </is>
      </c>
    </row>
    <row r="3409">
      <c r="A3409" t="n">
        <v>3409</v>
      </c>
      <c r="B3409" t="inlineStr">
        <is>
          <t>A-497__658</t>
        </is>
      </c>
      <c r="C3409" s="1" t="n">
        <v>37.2005873859</v>
      </c>
      <c r="D3409" s="1" t="n">
        <v>-6.98832301619</v>
      </c>
      <c r="E3409" s="3" t="n">
        <v>2</v>
      </c>
      <c r="F3409" s="2" t="n">
        <v>3</v>
      </c>
      <c r="G3409" s="4" t="n">
        <v>3</v>
      </c>
      <c r="H3409" s="13" t="n"/>
      <c r="I3409" s="15" t="n"/>
      <c r="J3409" s="19" t="n">
        <v>3</v>
      </c>
      <c r="K3409" s="2" t="inlineStr">
        <is>
          <t>marker_541_371165.png</t>
        </is>
      </c>
      <c r="L3409" s="11">
        <f>HYPERLINK("3\1\" &amp; K3409, "Ver Imagen")</f>
        <v/>
      </c>
      <c r="M3409" t="inlineStr">
        <is>
          <t>Moda</t>
        </is>
      </c>
    </row>
    <row r="3410">
      <c r="A3410" t="n">
        <v>3410</v>
      </c>
      <c r="B3410" t="inlineStr">
        <is>
          <t>A-497__654</t>
        </is>
      </c>
      <c r="C3410" s="1" t="n">
        <v>37.2007920389</v>
      </c>
      <c r="D3410" s="1" t="n">
        <v>-6.98923230331</v>
      </c>
      <c r="E3410" s="3" t="n">
        <v>2</v>
      </c>
      <c r="F3410" s="2" t="n">
        <v>3</v>
      </c>
      <c r="G3410" s="4" t="n">
        <v>3</v>
      </c>
      <c r="H3410" s="13" t="n"/>
      <c r="I3410" s="15" t="n"/>
      <c r="J3410" s="19" t="n">
        <v>3</v>
      </c>
      <c r="K3410" s="2" t="inlineStr">
        <is>
          <t>marker_571_371201.png</t>
        </is>
      </c>
      <c r="L3410" s="11">
        <f>HYPERLINK("3\1\" &amp; K3410, "Ver Imagen")</f>
        <v/>
      </c>
      <c r="M3410" t="inlineStr">
        <is>
          <t>Moda</t>
        </is>
      </c>
    </row>
    <row r="3411">
      <c r="A3411" t="n">
        <v>3411</v>
      </c>
      <c r="B3411" t="inlineStr">
        <is>
          <t>A-497__653</t>
        </is>
      </c>
      <c r="C3411" s="1" t="n">
        <v>37.2008457167</v>
      </c>
      <c r="D3411" s="1" t="n">
        <v>-6.98946053686</v>
      </c>
      <c r="E3411" s="3" t="n">
        <v>2</v>
      </c>
      <c r="F3411" s="2" t="n">
        <v>3</v>
      </c>
      <c r="G3411" s="4" t="n">
        <v>3</v>
      </c>
      <c r="H3411" s="13" t="n"/>
      <c r="I3411" s="15" t="n"/>
      <c r="J3411" s="19" t="n">
        <v>3</v>
      </c>
      <c r="K3411" s="2" t="inlineStr">
        <is>
          <t>marker_726_371209.png</t>
        </is>
      </c>
      <c r="L3411" s="11">
        <f>HYPERLINK("3\1\" &amp; K3411, "Ver Imagen")</f>
        <v/>
      </c>
      <c r="M3411" t="inlineStr">
        <is>
          <t>Moda</t>
        </is>
      </c>
    </row>
    <row r="3412">
      <c r="A3412" t="n">
        <v>3412</v>
      </c>
      <c r="B3412" t="inlineStr">
        <is>
          <t>A-497_2C__251</t>
        </is>
      </c>
      <c r="C3412" s="1" t="n">
        <v>37.2584249852</v>
      </c>
      <c r="D3412" s="1" t="n">
        <v>-7.01270972468</v>
      </c>
      <c r="E3412" s="3" t="n">
        <v>2</v>
      </c>
      <c r="F3412" s="2" t="n">
        <v>3</v>
      </c>
      <c r="G3412" s="4" t="n">
        <v>3</v>
      </c>
      <c r="H3412" s="13" t="n"/>
      <c r="I3412" s="15" t="n"/>
      <c r="J3412" s="19" t="n">
        <v>3</v>
      </c>
      <c r="K3412" s="2" t="inlineStr">
        <is>
          <t>marker_913_319411.png</t>
        </is>
      </c>
      <c r="L3412" s="11">
        <f>HYPERLINK("3\1\" &amp; K3412, "Ver Imagen")</f>
        <v/>
      </c>
      <c r="M3412" t="inlineStr">
        <is>
          <t>Moda</t>
        </is>
      </c>
    </row>
    <row r="3413">
      <c r="A3413" t="n">
        <v>3413</v>
      </c>
      <c r="B3413" t="inlineStr">
        <is>
          <t>A-497_2C__252</t>
        </is>
      </c>
      <c r="C3413" s="1" t="n">
        <v>37.2582445174</v>
      </c>
      <c r="D3413" s="1" t="n">
        <v>-7.01282533492</v>
      </c>
      <c r="E3413" s="3" t="n">
        <v>2</v>
      </c>
      <c r="F3413" s="2" t="n">
        <v>3</v>
      </c>
      <c r="G3413" s="4" t="n">
        <v>3</v>
      </c>
      <c r="H3413" s="13" t="n"/>
      <c r="I3413" s="15" t="n"/>
      <c r="J3413" s="19" t="n">
        <v>3</v>
      </c>
      <c r="K3413" s="2" t="inlineStr">
        <is>
          <t>marker_456_319423.png</t>
        </is>
      </c>
      <c r="L3413" s="11">
        <f>HYPERLINK("3\1\" &amp; K3413, "Ver Imagen")</f>
        <v/>
      </c>
      <c r="M3413" t="inlineStr">
        <is>
          <t>Moda</t>
        </is>
      </c>
    </row>
    <row r="3414">
      <c r="A3414" t="n">
        <v>3414</v>
      </c>
      <c r="B3414" t="inlineStr">
        <is>
          <t>A-497__649</t>
        </is>
      </c>
      <c r="C3414" s="1" t="n">
        <v>37.2010702046</v>
      </c>
      <c r="D3414" s="1" t="n">
        <v>-6.99049974382</v>
      </c>
      <c r="E3414" s="3" t="n">
        <v>2</v>
      </c>
      <c r="F3414" s="2" t="n">
        <v>3</v>
      </c>
      <c r="G3414" s="4" t="n">
        <v>3</v>
      </c>
      <c r="H3414" s="13" t="n"/>
      <c r="I3414" s="15" t="n"/>
      <c r="J3414" s="19" t="n">
        <v>3</v>
      </c>
      <c r="K3414" s="2" t="inlineStr">
        <is>
          <t>marker_203_371245.png</t>
        </is>
      </c>
      <c r="L3414" s="11">
        <f>HYPERLINK("3\1\" &amp; K3414, "Ver Imagen")</f>
        <v/>
      </c>
      <c r="M3414" t="inlineStr">
        <is>
          <t>Moda</t>
        </is>
      </c>
    </row>
    <row r="3415">
      <c r="A3415" t="n">
        <v>3415</v>
      </c>
      <c r="B3415" t="inlineStr">
        <is>
          <t>A-497__648</t>
        </is>
      </c>
      <c r="C3415" s="1" t="n">
        <v>37.2011175202</v>
      </c>
      <c r="D3415" s="1" t="n">
        <v>-6.99072926173</v>
      </c>
      <c r="E3415" s="3" t="n">
        <v>2</v>
      </c>
      <c r="F3415" s="2" t="n">
        <v>3</v>
      </c>
      <c r="G3415" s="4" t="n">
        <v>3</v>
      </c>
      <c r="H3415" s="13" t="n"/>
      <c r="I3415" s="15" t="n"/>
      <c r="J3415" s="19" t="n">
        <v>3</v>
      </c>
      <c r="K3415" s="2" t="inlineStr">
        <is>
          <t>marker_805_371254.png</t>
        </is>
      </c>
      <c r="L3415" s="11">
        <f>HYPERLINK("3\1\" &amp; K3415, "Ver Imagen")</f>
        <v/>
      </c>
      <c r="M3415" t="inlineStr">
        <is>
          <t>Moda</t>
        </is>
      </c>
    </row>
    <row r="3416">
      <c r="A3416" t="n">
        <v>3416</v>
      </c>
      <c r="B3416" t="inlineStr">
        <is>
          <t>A-497__647</t>
        </is>
      </c>
      <c r="C3416" s="1" t="n">
        <v>37.201160829</v>
      </c>
      <c r="D3416" s="1" t="n">
        <v>-6.99094161718</v>
      </c>
      <c r="E3416" s="3" t="n">
        <v>2</v>
      </c>
      <c r="F3416" s="2" t="n">
        <v>3</v>
      </c>
      <c r="G3416" s="4" t="n">
        <v>3</v>
      </c>
      <c r="H3416" s="13" t="n"/>
      <c r="I3416" s="15" t="n"/>
      <c r="J3416" s="19" t="n">
        <v>3</v>
      </c>
      <c r="K3416" s="2" t="inlineStr">
        <is>
          <t>marker_934_371262.png</t>
        </is>
      </c>
      <c r="L3416" s="11">
        <f>HYPERLINK("3\1\" &amp; K3416, "Ver Imagen")</f>
        <v/>
      </c>
      <c r="M3416" t="inlineStr">
        <is>
          <t>Moda</t>
        </is>
      </c>
    </row>
    <row r="3417">
      <c r="A3417" t="n">
        <v>3417</v>
      </c>
      <c r="B3417" t="inlineStr">
        <is>
          <t>A-497__646</t>
        </is>
      </c>
      <c r="C3417" s="1" t="n">
        <v>37.2012229726</v>
      </c>
      <c r="D3417" s="1" t="n">
        <v>-6.99125033548</v>
      </c>
      <c r="E3417" s="3" t="n">
        <v>2</v>
      </c>
      <c r="F3417" s="2" t="n">
        <v>3</v>
      </c>
      <c r="G3417" s="4" t="n">
        <v>3</v>
      </c>
      <c r="H3417" s="13" t="n"/>
      <c r="I3417" s="15" t="n"/>
      <c r="J3417" s="19" t="n">
        <v>3</v>
      </c>
      <c r="K3417" s="2" t="inlineStr">
        <is>
          <t>marker_716_371270.png</t>
        </is>
      </c>
      <c r="L3417" s="11">
        <f>HYPERLINK("3\1\" &amp; K3417, "Ver Imagen")</f>
        <v/>
      </c>
      <c r="M3417" t="inlineStr">
        <is>
          <t>Moda</t>
        </is>
      </c>
    </row>
    <row r="3418">
      <c r="A3418" t="n">
        <v>3418</v>
      </c>
      <c r="B3418" t="inlineStr">
        <is>
          <t>A-497__645</t>
        </is>
      </c>
      <c r="C3418" s="1" t="n">
        <v>37.2012649081</v>
      </c>
      <c r="D3418" s="1" t="n">
        <v>-6.99146096536</v>
      </c>
      <c r="E3418" s="3" t="n">
        <v>2</v>
      </c>
      <c r="F3418" s="2" t="n">
        <v>3</v>
      </c>
      <c r="G3418" s="4" t="n">
        <v>3</v>
      </c>
      <c r="H3418" s="13" t="n"/>
      <c r="I3418" s="15" t="n"/>
      <c r="J3418" s="19" t="n">
        <v>3</v>
      </c>
      <c r="K3418" s="2" t="inlineStr">
        <is>
          <t>marker_586_371281.png</t>
        </is>
      </c>
      <c r="L3418" s="11">
        <f>HYPERLINK("3\1\" &amp; K3418, "Ver Imagen")</f>
        <v/>
      </c>
      <c r="M3418" t="inlineStr">
        <is>
          <t>Moda</t>
        </is>
      </c>
    </row>
    <row r="3419">
      <c r="A3419" t="n">
        <v>3419</v>
      </c>
      <c r="B3419" t="inlineStr">
        <is>
          <t>A-497__644</t>
        </is>
      </c>
      <c r="C3419" s="1" t="n">
        <v>37.2013088232</v>
      </c>
      <c r="D3419" s="1" t="n">
        <v>-6.99168346636</v>
      </c>
      <c r="E3419" s="3" t="n">
        <v>2</v>
      </c>
      <c r="F3419" s="2" t="n">
        <v>3</v>
      </c>
      <c r="G3419" s="4" t="n">
        <v>3</v>
      </c>
      <c r="H3419" s="13" t="n"/>
      <c r="I3419" s="15" t="n"/>
      <c r="J3419" s="19" t="n">
        <v>3</v>
      </c>
      <c r="K3419" s="2" t="inlineStr">
        <is>
          <t>marker_636_371290.png</t>
        </is>
      </c>
      <c r="L3419" s="11">
        <f>HYPERLINK("3\1\" &amp; K3419, "Ver Imagen")</f>
        <v/>
      </c>
      <c r="M3419" t="inlineStr">
        <is>
          <t>Moda</t>
        </is>
      </c>
    </row>
    <row r="3420">
      <c r="A3420" t="n">
        <v>3420</v>
      </c>
      <c r="B3420" t="inlineStr">
        <is>
          <t>A-497_2C__256</t>
        </is>
      </c>
      <c r="C3420" s="1" t="n">
        <v>37.2575203134</v>
      </c>
      <c r="D3420" s="1" t="n">
        <v>-7.01328063883</v>
      </c>
      <c r="E3420" s="3" t="n">
        <v>2</v>
      </c>
      <c r="F3420" s="2" t="n">
        <v>3</v>
      </c>
      <c r="G3420" s="4" t="n">
        <v>3</v>
      </c>
      <c r="H3420" s="13" t="n"/>
      <c r="I3420" s="15" t="n"/>
      <c r="J3420" s="19" t="n">
        <v>3</v>
      </c>
      <c r="K3420" s="2" t="inlineStr">
        <is>
          <t>marker_407_319554.png</t>
        </is>
      </c>
      <c r="L3420" s="11">
        <f>HYPERLINK("3\1\" &amp; K3420, "Ver Imagen")</f>
        <v/>
      </c>
      <c r="M3420" t="inlineStr">
        <is>
          <t>Moda</t>
        </is>
      </c>
    </row>
    <row r="3421">
      <c r="A3421" t="n">
        <v>3421</v>
      </c>
      <c r="B3421" t="inlineStr">
        <is>
          <t>A-497_2C__257</t>
        </is>
      </c>
      <c r="C3421" s="1" t="n">
        <v>37.25731554</v>
      </c>
      <c r="D3421" s="1" t="n">
        <v>-7.01341151723</v>
      </c>
      <c r="E3421" s="3" t="n">
        <v>2</v>
      </c>
      <c r="F3421" s="2" t="n">
        <v>3</v>
      </c>
      <c r="G3421" s="4" t="n">
        <v>3</v>
      </c>
      <c r="H3421" s="13" t="n"/>
      <c r="I3421" s="15" t="n"/>
      <c r="J3421" s="19" t="n">
        <v>3</v>
      </c>
      <c r="K3421" s="2" t="inlineStr">
        <is>
          <t>marker_341_319563.png</t>
        </is>
      </c>
      <c r="L3421" s="11">
        <f>HYPERLINK("3\1\" &amp; K3421, "Ver Imagen")</f>
        <v/>
      </c>
      <c r="M3421" t="inlineStr">
        <is>
          <t>Moda</t>
        </is>
      </c>
    </row>
    <row r="3422">
      <c r="A3422" t="n">
        <v>3422</v>
      </c>
      <c r="B3422" t="inlineStr">
        <is>
          <t>A-497_2C__258</t>
        </is>
      </c>
      <c r="C3422" s="1" t="n">
        <v>37.2571556124</v>
      </c>
      <c r="D3422" s="1" t="n">
        <v>-7.01351409695</v>
      </c>
      <c r="E3422" s="3" t="n">
        <v>2</v>
      </c>
      <c r="F3422" s="2" t="n">
        <v>3</v>
      </c>
      <c r="G3422" s="4" t="n">
        <v>3</v>
      </c>
      <c r="H3422" s="13" t="n"/>
      <c r="I3422" s="15" t="n"/>
      <c r="J3422" s="19" t="n">
        <v>3</v>
      </c>
      <c r="K3422" s="2" t="inlineStr">
        <is>
          <t>marker_128_319571.png</t>
        </is>
      </c>
      <c r="L3422" s="11">
        <f>HYPERLINK("3\1\" &amp; K3422, "Ver Imagen")</f>
        <v/>
      </c>
      <c r="M3422" t="inlineStr">
        <is>
          <t>Moda</t>
        </is>
      </c>
    </row>
    <row r="3423">
      <c r="A3423" t="n">
        <v>3423</v>
      </c>
      <c r="B3423" t="inlineStr">
        <is>
          <t>A-497_2C__259</t>
        </is>
      </c>
      <c r="C3423" s="1" t="n">
        <v>37.2569857317</v>
      </c>
      <c r="D3423" s="1" t="n">
        <v>-7.01362252851</v>
      </c>
      <c r="E3423" s="3" t="n">
        <v>2</v>
      </c>
      <c r="F3423" s="2" t="n">
        <v>3</v>
      </c>
      <c r="G3423" s="4" t="n">
        <v>3</v>
      </c>
      <c r="H3423" s="13" t="n"/>
      <c r="I3423" s="15" t="n"/>
      <c r="J3423" s="19" t="n">
        <v>3</v>
      </c>
      <c r="K3423" s="2" t="inlineStr">
        <is>
          <t>marker_140_319581.png</t>
        </is>
      </c>
      <c r="L3423" s="11">
        <f>HYPERLINK("3\1\" &amp; K3423, "Ver Imagen")</f>
        <v/>
      </c>
      <c r="M3423" t="inlineStr">
        <is>
          <t>Moda</t>
        </is>
      </c>
    </row>
    <row r="3424">
      <c r="A3424" t="n">
        <v>3424</v>
      </c>
      <c r="B3424" t="inlineStr">
        <is>
          <t>A-497__641</t>
        </is>
      </c>
      <c r="C3424" s="1" t="n">
        <v>37.2014432069</v>
      </c>
      <c r="D3424" s="1" t="n">
        <v>-6.9924021703</v>
      </c>
      <c r="E3424" s="3" t="n">
        <v>2</v>
      </c>
      <c r="F3424" s="2" t="n">
        <v>3</v>
      </c>
      <c r="G3424" s="4" t="n">
        <v>3</v>
      </c>
      <c r="H3424" s="13" t="n"/>
      <c r="I3424" s="15" t="n"/>
      <c r="J3424" s="19" t="n">
        <v>3</v>
      </c>
      <c r="K3424" s="2" t="inlineStr">
        <is>
          <t>marker_253_371320.png</t>
        </is>
      </c>
      <c r="L3424" s="11">
        <f>HYPERLINK("3\1\" &amp; K3424, "Ver Imagen")</f>
        <v/>
      </c>
      <c r="M3424" t="inlineStr">
        <is>
          <t>Moda</t>
        </is>
      </c>
    </row>
    <row r="3425">
      <c r="A3425" t="n">
        <v>3425</v>
      </c>
      <c r="B3425" t="inlineStr">
        <is>
          <t>A-497__636</t>
        </is>
      </c>
      <c r="C3425" s="1" t="n">
        <v>37.2016726638</v>
      </c>
      <c r="D3425" s="1" t="n">
        <v>-6.99363482599</v>
      </c>
      <c r="E3425" s="3" t="n">
        <v>2</v>
      </c>
      <c r="F3425" s="2" t="n">
        <v>3</v>
      </c>
      <c r="G3425" s="4" t="n">
        <v>3</v>
      </c>
      <c r="H3425" s="13" t="n"/>
      <c r="I3425" s="15" t="n"/>
      <c r="J3425" s="19" t="n">
        <v>3</v>
      </c>
      <c r="K3425" s="2" t="inlineStr">
        <is>
          <t>marker_943_371371.png</t>
        </is>
      </c>
      <c r="L3425" s="11">
        <f>HYPERLINK("3\1\" &amp; K3425, "Ver Imagen")</f>
        <v/>
      </c>
      <c r="M3425" t="inlineStr">
        <is>
          <t>Moda</t>
        </is>
      </c>
    </row>
    <row r="3426">
      <c r="A3426" t="n">
        <v>3426</v>
      </c>
      <c r="B3426" t="inlineStr">
        <is>
          <t>A-497__635</t>
        </is>
      </c>
      <c r="C3426" s="1" t="n">
        <v>37.2017193983</v>
      </c>
      <c r="D3426" s="1" t="n">
        <v>-6.9938823503</v>
      </c>
      <c r="E3426" s="3" t="n">
        <v>2</v>
      </c>
      <c r="F3426" s="2" t="n">
        <v>3</v>
      </c>
      <c r="G3426" s="4" t="n">
        <v>3</v>
      </c>
      <c r="H3426" s="13" t="n"/>
      <c r="I3426" s="15" t="n"/>
      <c r="J3426" s="19" t="n">
        <v>3</v>
      </c>
      <c r="K3426" s="2" t="inlineStr">
        <is>
          <t>marker_895_371380.png</t>
        </is>
      </c>
      <c r="L3426" s="11">
        <f>HYPERLINK("3\1\" &amp; K3426, "Ver Imagen")</f>
        <v/>
      </c>
      <c r="M3426" t="inlineStr">
        <is>
          <t>Moda</t>
        </is>
      </c>
    </row>
    <row r="3427">
      <c r="A3427" t="n">
        <v>3427</v>
      </c>
      <c r="B3427" t="inlineStr">
        <is>
          <t>A-497__634</t>
        </is>
      </c>
      <c r="C3427" s="1" t="n">
        <v>37.2017712273</v>
      </c>
      <c r="D3427" s="1" t="n">
        <v>-6.99416307202</v>
      </c>
      <c r="E3427" s="3" t="n">
        <v>2</v>
      </c>
      <c r="F3427" s="2" t="n">
        <v>3</v>
      </c>
      <c r="G3427" s="4" t="n">
        <v>3</v>
      </c>
      <c r="H3427" s="13" t="n"/>
      <c r="I3427" s="15" t="n"/>
      <c r="J3427" s="19" t="n">
        <v>3</v>
      </c>
      <c r="K3427" s="2" t="inlineStr">
        <is>
          <t>marker_284_371394.png</t>
        </is>
      </c>
      <c r="L3427" s="11">
        <f>HYPERLINK("3\1\" &amp; K3427, "Ver Imagen")</f>
        <v/>
      </c>
      <c r="M3427" t="inlineStr">
        <is>
          <t>Moda</t>
        </is>
      </c>
    </row>
    <row r="3428">
      <c r="A3428" t="n">
        <v>3428</v>
      </c>
      <c r="B3428" t="inlineStr">
        <is>
          <t>A-497__633</t>
        </is>
      </c>
      <c r="C3428" s="1" t="n">
        <v>37.2018103738</v>
      </c>
      <c r="D3428" s="1" t="n">
        <v>-6.99438191523</v>
      </c>
      <c r="E3428" s="3" t="n">
        <v>2</v>
      </c>
      <c r="F3428" s="2" t="n">
        <v>3</v>
      </c>
      <c r="G3428" s="4" t="n">
        <v>3</v>
      </c>
      <c r="H3428" s="13" t="n"/>
      <c r="I3428" s="15" t="n"/>
      <c r="J3428" s="19" t="n">
        <v>3</v>
      </c>
      <c r="K3428" s="2" t="inlineStr">
        <is>
          <t>marker_575_371404.png</t>
        </is>
      </c>
      <c r="L3428" s="11">
        <f>HYPERLINK("3\1\" &amp; K3428, "Ver Imagen")</f>
        <v/>
      </c>
      <c r="M3428" t="inlineStr">
        <is>
          <t>Moda</t>
        </is>
      </c>
    </row>
    <row r="3429">
      <c r="A3429" t="n">
        <v>3429</v>
      </c>
      <c r="B3429" t="inlineStr">
        <is>
          <t>A-497__631</t>
        </is>
      </c>
      <c r="C3429" s="1" t="n">
        <v>37.2019006981</v>
      </c>
      <c r="D3429" s="1" t="n">
        <v>-6.99489995768</v>
      </c>
      <c r="E3429" s="3" t="n">
        <v>2</v>
      </c>
      <c r="F3429" s="2" t="n">
        <v>3</v>
      </c>
      <c r="G3429" s="4" t="n">
        <v>3</v>
      </c>
      <c r="H3429" s="13" t="n"/>
      <c r="I3429" s="15" t="n"/>
      <c r="J3429" s="19" t="n">
        <v>3</v>
      </c>
      <c r="K3429" s="2" t="inlineStr">
        <is>
          <t>marker_713_371424.png</t>
        </is>
      </c>
      <c r="L3429" s="11">
        <f>HYPERLINK("3\1\" &amp; K3429, "Ver Imagen")</f>
        <v/>
      </c>
      <c r="M3429" t="inlineStr">
        <is>
          <t>Moda</t>
        </is>
      </c>
    </row>
    <row r="3430">
      <c r="A3430" t="n">
        <v>3430</v>
      </c>
      <c r="B3430" t="inlineStr">
        <is>
          <t>A-497__630</t>
        </is>
      </c>
      <c r="C3430" s="1" t="n">
        <v>37.2019370359</v>
      </c>
      <c r="D3430" s="1" t="n">
        <v>-6.99511350753</v>
      </c>
      <c r="E3430" s="3" t="n">
        <v>2</v>
      </c>
      <c r="F3430" s="2" t="n">
        <v>3</v>
      </c>
      <c r="G3430" s="4" t="n">
        <v>3</v>
      </c>
      <c r="H3430" s="13" t="n"/>
      <c r="I3430" s="15" t="n"/>
      <c r="J3430" s="19" t="n">
        <v>3</v>
      </c>
      <c r="K3430" s="2" t="inlineStr">
        <is>
          <t>marker_925_371433.png</t>
        </is>
      </c>
      <c r="L3430" s="11">
        <f>HYPERLINK("3\1\" &amp; K3430, "Ver Imagen")</f>
        <v/>
      </c>
      <c r="M3430" t="inlineStr">
        <is>
          <t>Moda</t>
        </is>
      </c>
    </row>
    <row r="3431">
      <c r="A3431" t="n">
        <v>3431</v>
      </c>
      <c r="B3431" t="inlineStr">
        <is>
          <t>A-497__629</t>
        </is>
      </c>
      <c r="C3431" s="1" t="n">
        <v>37.201981382</v>
      </c>
      <c r="D3431" s="1" t="n">
        <v>-6.9953786832</v>
      </c>
      <c r="E3431" s="3" t="n">
        <v>2</v>
      </c>
      <c r="F3431" s="2" t="n">
        <v>3</v>
      </c>
      <c r="G3431" s="4" t="n">
        <v>3</v>
      </c>
      <c r="H3431" s="13" t="n"/>
      <c r="I3431" s="15" t="n"/>
      <c r="J3431" s="19" t="n">
        <v>3</v>
      </c>
      <c r="K3431" s="2" t="inlineStr">
        <is>
          <t>marker_976_371441.png</t>
        </is>
      </c>
      <c r="L3431" s="11">
        <f>HYPERLINK("3\1\" &amp; K3431, "Ver Imagen")</f>
        <v/>
      </c>
      <c r="M3431" t="inlineStr">
        <is>
          <t>Moda</t>
        </is>
      </c>
    </row>
    <row r="3432">
      <c r="A3432" t="n">
        <v>3432</v>
      </c>
      <c r="B3432" t="inlineStr">
        <is>
          <t>A-497__626</t>
        </is>
      </c>
      <c r="C3432" s="1" t="n">
        <v>37.2021143255</v>
      </c>
      <c r="D3432" s="1" t="n">
        <v>-6.99619891623</v>
      </c>
      <c r="E3432" s="3" t="n">
        <v>2</v>
      </c>
      <c r="F3432" s="2" t="n">
        <v>3</v>
      </c>
      <c r="G3432" s="4" t="n">
        <v>3</v>
      </c>
      <c r="H3432" s="13" t="n"/>
      <c r="I3432" s="15" t="n"/>
      <c r="J3432" s="19" t="n">
        <v>3</v>
      </c>
      <c r="K3432" s="2" t="inlineStr">
        <is>
          <t>marker_274_371467.png</t>
        </is>
      </c>
      <c r="L3432" s="11">
        <f>HYPERLINK("3\1\" &amp; K3432, "Ver Imagen")</f>
        <v/>
      </c>
      <c r="M3432" t="inlineStr">
        <is>
          <t>Moda</t>
        </is>
      </c>
    </row>
    <row r="3433">
      <c r="A3433" t="n">
        <v>3433</v>
      </c>
      <c r="B3433" t="inlineStr">
        <is>
          <t>A-497__617</t>
        </is>
      </c>
      <c r="C3433" s="1" t="n">
        <v>37.202441104</v>
      </c>
      <c r="D3433" s="1" t="n">
        <v>-6.99839424501</v>
      </c>
      <c r="E3433" s="3" t="n">
        <v>4</v>
      </c>
      <c r="F3433" s="2" t="n">
        <v>3</v>
      </c>
      <c r="G3433" s="4" t="n">
        <v>3</v>
      </c>
      <c r="H3433" s="13" t="n"/>
      <c r="I3433" s="15" t="n"/>
      <c r="J3433" s="19" t="n">
        <v>3</v>
      </c>
      <c r="K3433" s="2" t="inlineStr">
        <is>
          <t>marker_894_371555.png</t>
        </is>
      </c>
      <c r="L3433" s="11">
        <f>HYPERLINK("3\1\" &amp; K3433, "Ver Imagen")</f>
        <v/>
      </c>
      <c r="M3433" t="inlineStr">
        <is>
          <t>Moda</t>
        </is>
      </c>
    </row>
    <row r="3434">
      <c r="A3434" t="n">
        <v>3434</v>
      </c>
      <c r="B3434" t="inlineStr">
        <is>
          <t>A-497__615</t>
        </is>
      </c>
      <c r="C3434" s="1" t="n">
        <v>37.2025121988</v>
      </c>
      <c r="D3434" s="1" t="n">
        <v>-6.99888957176</v>
      </c>
      <c r="E3434" s="3" t="n">
        <v>3</v>
      </c>
      <c r="F3434" s="2" t="n">
        <v>3</v>
      </c>
      <c r="G3434" s="4" t="n">
        <v>4</v>
      </c>
      <c r="H3434" s="13" t="n"/>
      <c r="I3434" s="15" t="n"/>
      <c r="J3434" s="19" t="n">
        <v>3</v>
      </c>
      <c r="K3434" s="2" t="inlineStr">
        <is>
          <t>marker_391_371576.png</t>
        </is>
      </c>
      <c r="L3434" s="11">
        <f>HYPERLINK("3\1\" &amp; K3434, "Ver Imagen")</f>
        <v/>
      </c>
      <c r="M3434" t="inlineStr">
        <is>
          <t>Moda</t>
        </is>
      </c>
    </row>
    <row r="3435">
      <c r="A3435" t="n">
        <v>3435</v>
      </c>
      <c r="B3435" t="inlineStr">
        <is>
          <t>A-497__613</t>
        </is>
      </c>
      <c r="C3435" s="1" t="n">
        <v>37.2025810938</v>
      </c>
      <c r="D3435" s="1" t="n">
        <v>-6.99940693255</v>
      </c>
      <c r="E3435" s="3" t="n">
        <v>4</v>
      </c>
      <c r="F3435" s="2" t="n">
        <v>3</v>
      </c>
      <c r="G3435" s="4" t="n">
        <v>3</v>
      </c>
      <c r="H3435" s="13" t="n"/>
      <c r="I3435" s="15" t="n"/>
      <c r="J3435" s="19" t="n">
        <v>3</v>
      </c>
      <c r="K3435" s="2" t="inlineStr">
        <is>
          <t>marker_632_371593.png</t>
        </is>
      </c>
      <c r="L3435" s="11">
        <f>HYPERLINK("3\1\" &amp; K3435, "Ver Imagen")</f>
        <v/>
      </c>
      <c r="M3435" t="inlineStr">
        <is>
          <t>Moda</t>
        </is>
      </c>
    </row>
    <row r="3436">
      <c r="A3436" t="n">
        <v>3436</v>
      </c>
      <c r="B3436" t="inlineStr">
        <is>
          <t>A-497__611</t>
        </is>
      </c>
      <c r="C3436" s="1" t="n">
        <v>37.2026475795</v>
      </c>
      <c r="D3436" s="1" t="n">
        <v>-6.99989528486</v>
      </c>
      <c r="E3436" s="3" t="n">
        <v>3</v>
      </c>
      <c r="F3436" s="2" t="n">
        <v>3</v>
      </c>
      <c r="G3436" s="4" t="n">
        <v>2</v>
      </c>
      <c r="H3436" s="13" t="n"/>
      <c r="I3436" s="15" t="n"/>
      <c r="J3436" s="19" t="n">
        <v>3</v>
      </c>
      <c r="K3436" s="2" t="inlineStr">
        <is>
          <t>marker_594_371611.png</t>
        </is>
      </c>
      <c r="L3436" s="11">
        <f>HYPERLINK("3\1\" &amp; K3436, "Ver Imagen")</f>
        <v/>
      </c>
      <c r="M3436" t="inlineStr">
        <is>
          <t>Moda</t>
        </is>
      </c>
    </row>
    <row r="3437">
      <c r="A3437" t="n">
        <v>3437</v>
      </c>
      <c r="B3437" t="inlineStr">
        <is>
          <t>A-497__610</t>
        </is>
      </c>
      <c r="C3437" s="1" t="n">
        <v>37.2026757577</v>
      </c>
      <c r="D3437" s="1" t="n">
        <v>-7.00011487016</v>
      </c>
      <c r="E3437" s="3" t="n">
        <v>3</v>
      </c>
      <c r="F3437" s="2" t="n">
        <v>3</v>
      </c>
      <c r="G3437" s="4" t="n">
        <v>2</v>
      </c>
      <c r="H3437" s="13" t="n"/>
      <c r="I3437" s="15" t="n"/>
      <c r="J3437" s="19" t="n">
        <v>3</v>
      </c>
      <c r="K3437" s="2" t="inlineStr">
        <is>
          <t>marker_638_371619.png</t>
        </is>
      </c>
      <c r="L3437" s="11">
        <f>HYPERLINK("3\1\" &amp; K3437, "Ver Imagen")</f>
        <v/>
      </c>
      <c r="M3437" t="inlineStr">
        <is>
          <t>Moda</t>
        </is>
      </c>
    </row>
    <row r="3438">
      <c r="A3438" t="n">
        <v>3438</v>
      </c>
      <c r="B3438" t="inlineStr">
        <is>
          <t>A-497__608</t>
        </is>
      </c>
      <c r="C3438" s="1" t="n">
        <v>37.2027343047</v>
      </c>
      <c r="D3438" s="1" t="n">
        <v>-7.00059921259</v>
      </c>
      <c r="E3438" s="3" t="n">
        <v>4</v>
      </c>
      <c r="F3438" s="2" t="n">
        <v>3</v>
      </c>
      <c r="G3438" s="4" t="n">
        <v>3</v>
      </c>
      <c r="H3438" s="13" t="n"/>
      <c r="I3438" s="15" t="n"/>
      <c r="J3438" s="19" t="n">
        <v>3</v>
      </c>
      <c r="K3438" s="2" t="inlineStr">
        <is>
          <t>marker_223_371639.png</t>
        </is>
      </c>
      <c r="L3438" s="11">
        <f>HYPERLINK("3\1\" &amp; K3438, "Ver Imagen")</f>
        <v/>
      </c>
      <c r="M3438" t="inlineStr">
        <is>
          <t>Moda</t>
        </is>
      </c>
    </row>
    <row r="3439">
      <c r="A3439" t="n">
        <v>3439</v>
      </c>
      <c r="B3439" t="inlineStr">
        <is>
          <t>A-497__606</t>
        </is>
      </c>
      <c r="C3439" s="1" t="n">
        <v>37.2027949305</v>
      </c>
      <c r="D3439" s="1" t="n">
        <v>-7.00112881373</v>
      </c>
      <c r="E3439" s="3" t="n">
        <v>4</v>
      </c>
      <c r="F3439" s="2" t="n">
        <v>3</v>
      </c>
      <c r="G3439" s="4" t="n">
        <v>3</v>
      </c>
      <c r="H3439" s="13" t="n"/>
      <c r="I3439" s="15" t="n"/>
      <c r="J3439" s="19" t="n">
        <v>3</v>
      </c>
      <c r="K3439" s="2" t="inlineStr">
        <is>
          <t>marker_394_371659.png</t>
        </is>
      </c>
      <c r="L3439" s="11">
        <f>HYPERLINK("3\1\" &amp; K3439, "Ver Imagen")</f>
        <v/>
      </c>
      <c r="M3439" t="inlineStr">
        <is>
          <t>Moda</t>
        </is>
      </c>
    </row>
    <row r="3440">
      <c r="A3440" t="n">
        <v>3440</v>
      </c>
      <c r="B3440" t="inlineStr">
        <is>
          <t>A-497__605</t>
        </is>
      </c>
      <c r="C3440" s="1" t="n">
        <v>37.2028225075</v>
      </c>
      <c r="D3440" s="1" t="n">
        <v>-7.00136085946</v>
      </c>
      <c r="E3440" s="3" t="n">
        <v>3</v>
      </c>
      <c r="F3440" s="2" t="n">
        <v>3</v>
      </c>
      <c r="G3440" s="4" t="n">
        <v>2</v>
      </c>
      <c r="H3440" s="13" t="n"/>
      <c r="I3440" s="15" t="n"/>
      <c r="J3440" s="19" t="n">
        <v>3</v>
      </c>
      <c r="K3440" s="2" t="inlineStr">
        <is>
          <t>marker_352_371669.png</t>
        </is>
      </c>
      <c r="L3440" s="11">
        <f>HYPERLINK("3\1\" &amp; K3440, "Ver Imagen")</f>
        <v/>
      </c>
      <c r="M3440" t="inlineStr">
        <is>
          <t>Moda</t>
        </is>
      </c>
    </row>
    <row r="3441">
      <c r="A3441" t="n">
        <v>3441</v>
      </c>
      <c r="B3441" t="inlineStr">
        <is>
          <t>A-497__597</t>
        </is>
      </c>
      <c r="C3441" s="1" t="n">
        <v>37.2030421097</v>
      </c>
      <c r="D3441" s="1" t="n">
        <v>-7.00333919732</v>
      </c>
      <c r="E3441" s="3" t="n">
        <v>3</v>
      </c>
      <c r="F3441" s="2" t="n">
        <v>3</v>
      </c>
      <c r="G3441" s="4" t="n">
        <v>4</v>
      </c>
      <c r="H3441" s="13" t="n"/>
      <c r="I3441" s="15" t="n"/>
      <c r="J3441" s="19" t="n">
        <v>3</v>
      </c>
      <c r="K3441" s="2" t="inlineStr">
        <is>
          <t>marker_550_371739.png</t>
        </is>
      </c>
      <c r="L3441" s="11">
        <f>HYPERLINK("3\1\" &amp; K3441, "Ver Imagen")</f>
        <v/>
      </c>
      <c r="M3441" t="inlineStr">
        <is>
          <t>Moda</t>
        </is>
      </c>
    </row>
    <row r="3442">
      <c r="A3442" t="n">
        <v>3442</v>
      </c>
      <c r="B3442" t="inlineStr">
        <is>
          <t>A-497_2C__262</t>
        </is>
      </c>
      <c r="C3442" s="1" t="n">
        <v>37.2564361318</v>
      </c>
      <c r="D3442" s="1" t="n">
        <v>-7.01397232186</v>
      </c>
      <c r="E3442" s="3" t="n">
        <v>2</v>
      </c>
      <c r="F3442" s="2" t="n">
        <v>3</v>
      </c>
      <c r="G3442" s="4" t="n">
        <v>3</v>
      </c>
      <c r="H3442" s="13" t="n"/>
      <c r="I3442" s="15" t="n"/>
      <c r="J3442" s="19" t="n">
        <v>3</v>
      </c>
      <c r="K3442" s="2" t="inlineStr">
        <is>
          <t>marker_949_319611.png</t>
        </is>
      </c>
      <c r="L3442" s="11">
        <f>HYPERLINK("3\1\" &amp; K3442, "Ver Imagen")</f>
        <v/>
      </c>
      <c r="M3442" t="inlineStr">
        <is>
          <t>Moda</t>
        </is>
      </c>
    </row>
    <row r="3443">
      <c r="A3443" t="n">
        <v>3443</v>
      </c>
      <c r="B3443" t="inlineStr">
        <is>
          <t>A-497__592</t>
        </is>
      </c>
      <c r="C3443" s="1" t="n">
        <v>37.203195514</v>
      </c>
      <c r="D3443" s="1" t="n">
        <v>-7.00464420072</v>
      </c>
      <c r="E3443" s="3" t="n">
        <v>4</v>
      </c>
      <c r="F3443" s="2" t="n">
        <v>3</v>
      </c>
      <c r="G3443" s="4" t="n">
        <v>3</v>
      </c>
      <c r="H3443" s="13" t="n"/>
      <c r="I3443" s="15" t="n"/>
      <c r="J3443" s="19" t="n">
        <v>3</v>
      </c>
      <c r="K3443" s="2" t="inlineStr">
        <is>
          <t>marker_996_371803.png</t>
        </is>
      </c>
      <c r="L3443" s="11">
        <f>HYPERLINK("3\1\" &amp; K3443, "Ver Imagen")</f>
        <v/>
      </c>
      <c r="M3443" t="inlineStr">
        <is>
          <t>Moda</t>
        </is>
      </c>
    </row>
    <row r="3444">
      <c r="A3444" t="n">
        <v>3444</v>
      </c>
      <c r="B3444" t="inlineStr">
        <is>
          <t>A-497__591</t>
        </is>
      </c>
      <c r="C3444" s="1" t="n">
        <v>37.2032262082</v>
      </c>
      <c r="D3444" s="1" t="n">
        <v>-7.00488951098</v>
      </c>
      <c r="E3444" s="3" t="n">
        <v>2</v>
      </c>
      <c r="F3444" s="2" t="n">
        <v>3</v>
      </c>
      <c r="G3444" s="4" t="n">
        <v>3</v>
      </c>
      <c r="H3444" s="13" t="n"/>
      <c r="I3444" s="15" t="n"/>
      <c r="J3444" s="19" t="n">
        <v>3</v>
      </c>
      <c r="K3444" s="2" t="inlineStr">
        <is>
          <t>marker_587_371812.png</t>
        </is>
      </c>
      <c r="L3444" s="11">
        <f>HYPERLINK("3\1\" &amp; K3444, "Ver Imagen")</f>
        <v/>
      </c>
      <c r="M3444" t="inlineStr">
        <is>
          <t>Moda</t>
        </is>
      </c>
    </row>
    <row r="3445">
      <c r="A3445" t="n">
        <v>3445</v>
      </c>
      <c r="B3445" t="inlineStr">
        <is>
          <t>A-497__590</t>
        </is>
      </c>
      <c r="C3445" s="1" t="n">
        <v>37.2032585077</v>
      </c>
      <c r="D3445" s="1" t="n">
        <v>-7.00514566664</v>
      </c>
      <c r="E3445" s="3" t="n">
        <v>2</v>
      </c>
      <c r="F3445" s="2" t="n">
        <v>3</v>
      </c>
      <c r="G3445" s="4" t="n">
        <v>3</v>
      </c>
      <c r="H3445" s="13" t="n"/>
      <c r="I3445" s="15" t="n"/>
      <c r="J3445" s="19" t="n">
        <v>3</v>
      </c>
      <c r="K3445" s="2" t="inlineStr">
        <is>
          <t>marker_106_371820.png</t>
        </is>
      </c>
      <c r="L3445" s="11">
        <f>HYPERLINK("3\1\" &amp; K3445, "Ver Imagen")</f>
        <v/>
      </c>
      <c r="M3445" t="inlineStr">
        <is>
          <t>Moda</t>
        </is>
      </c>
    </row>
    <row r="3446">
      <c r="A3446" t="n">
        <v>3446</v>
      </c>
      <c r="B3446" t="inlineStr">
        <is>
          <t>A-497__589</t>
        </is>
      </c>
      <c r="C3446" s="1" t="n">
        <v>37.2032929949</v>
      </c>
      <c r="D3446" s="1" t="n">
        <v>-7.00541756383</v>
      </c>
      <c r="E3446" s="3" t="n">
        <v>2</v>
      </c>
      <c r="F3446" s="2" t="n">
        <v>3</v>
      </c>
      <c r="G3446" s="4" t="n">
        <v>3</v>
      </c>
      <c r="H3446" s="13" t="n"/>
      <c r="I3446" s="15" t="n"/>
      <c r="J3446" s="19" t="n">
        <v>3</v>
      </c>
      <c r="K3446" s="2" t="inlineStr">
        <is>
          <t>marker_593_371834.png</t>
        </is>
      </c>
      <c r="L3446" s="11">
        <f>HYPERLINK("3\1\" &amp; K3446, "Ver Imagen")</f>
        <v/>
      </c>
      <c r="M3446" t="inlineStr">
        <is>
          <t>Moda</t>
        </is>
      </c>
    </row>
    <row r="3447">
      <c r="A3447" t="n">
        <v>3447</v>
      </c>
      <c r="B3447" t="inlineStr">
        <is>
          <t>A-497_2C__268</t>
        </is>
      </c>
      <c r="C3447" s="1" t="n">
        <v>37.2553528605</v>
      </c>
      <c r="D3447" s="1" t="n">
        <v>-7.01466613659</v>
      </c>
      <c r="E3447" s="3" t="n">
        <v>2</v>
      </c>
      <c r="F3447" s="2" t="n">
        <v>3</v>
      </c>
      <c r="G3447" s="4" t="n">
        <v>3</v>
      </c>
      <c r="H3447" s="13" t="n"/>
      <c r="I3447" s="15" t="n"/>
      <c r="J3447" s="19" t="n">
        <v>3</v>
      </c>
      <c r="K3447" s="2" t="inlineStr">
        <is>
          <t>marker_309_319717.png</t>
        </is>
      </c>
      <c r="L3447" s="11">
        <f>HYPERLINK("3\1\" &amp; K3447, "Ver Imagen")</f>
        <v/>
      </c>
      <c r="M3447" t="inlineStr">
        <is>
          <t>Moda</t>
        </is>
      </c>
    </row>
    <row r="3448">
      <c r="A3448" t="n">
        <v>3448</v>
      </c>
      <c r="B3448" t="inlineStr">
        <is>
          <t>A-497__588</t>
        </is>
      </c>
      <c r="C3448" s="1" t="n">
        <v>37.2033179637</v>
      </c>
      <c r="D3448" s="1" t="n">
        <v>-7.00561291906</v>
      </c>
      <c r="E3448" s="3" t="n">
        <v>2</v>
      </c>
      <c r="F3448" s="2" t="n">
        <v>3</v>
      </c>
      <c r="G3448" s="4" t="n">
        <v>3</v>
      </c>
      <c r="H3448" s="13" t="n"/>
      <c r="I3448" s="15" t="n"/>
      <c r="J3448" s="19" t="n">
        <v>3</v>
      </c>
      <c r="K3448" s="2" t="inlineStr">
        <is>
          <t>marker_589_371852.png</t>
        </is>
      </c>
      <c r="L3448" s="11">
        <f>HYPERLINK("3\1\" &amp; K3448, "Ver Imagen")</f>
        <v/>
      </c>
      <c r="M3448" t="inlineStr">
        <is>
          <t>Moda</t>
        </is>
      </c>
    </row>
    <row r="3449">
      <c r="A3449" t="n">
        <v>3449</v>
      </c>
      <c r="B3449" t="inlineStr">
        <is>
          <t>A-497_2C__274</t>
        </is>
      </c>
      <c r="C3449" s="1" t="n">
        <v>37.2542652305</v>
      </c>
      <c r="D3449" s="1" t="n">
        <v>-7.0153632224</v>
      </c>
      <c r="E3449" s="3" t="n">
        <v>3</v>
      </c>
      <c r="F3449" s="2" t="n">
        <v>3</v>
      </c>
      <c r="G3449" s="4" t="n">
        <v>4</v>
      </c>
      <c r="H3449" s="13" t="n"/>
      <c r="I3449" s="15" t="n"/>
      <c r="J3449" s="19" t="n">
        <v>3</v>
      </c>
      <c r="K3449" s="2" t="inlineStr">
        <is>
          <t>marker_629_319806.png</t>
        </is>
      </c>
      <c r="L3449" s="11">
        <f>HYPERLINK("3\1\" &amp; K3449, "Ver Imagen")</f>
        <v/>
      </c>
      <c r="M3449" t="inlineStr">
        <is>
          <t>Moda</t>
        </is>
      </c>
    </row>
    <row r="3450">
      <c r="A3450" t="n">
        <v>3450</v>
      </c>
      <c r="B3450" t="inlineStr">
        <is>
          <t>A-497_2C__275</t>
        </is>
      </c>
      <c r="C3450" s="1" t="n">
        <v>37.2540835206</v>
      </c>
      <c r="D3450" s="1" t="n">
        <v>-7.01547948904</v>
      </c>
      <c r="E3450" s="3" t="n">
        <v>3</v>
      </c>
      <c r="F3450" s="2" t="n">
        <v>3</v>
      </c>
      <c r="G3450" s="4" t="n">
        <v>4</v>
      </c>
      <c r="H3450" s="13" t="n"/>
      <c r="I3450" s="15" t="n"/>
      <c r="J3450" s="19" t="n">
        <v>3</v>
      </c>
      <c r="K3450" s="2" t="inlineStr">
        <is>
          <t>marker_297_319816.png</t>
        </is>
      </c>
      <c r="L3450" s="11">
        <f>HYPERLINK("3\1\" &amp; K3450, "Ver Imagen")</f>
        <v/>
      </c>
      <c r="M3450" t="inlineStr">
        <is>
          <t>Moda</t>
        </is>
      </c>
    </row>
    <row r="3451">
      <c r="A3451" t="n">
        <v>3451</v>
      </c>
      <c r="B3451" t="inlineStr">
        <is>
          <t>A-497_2C__276</t>
        </is>
      </c>
      <c r="C3451" s="1" t="n">
        <v>37.2539031166</v>
      </c>
      <c r="D3451" s="1" t="n">
        <v>-7.01559569925</v>
      </c>
      <c r="E3451" s="3" t="n">
        <v>3</v>
      </c>
      <c r="F3451" s="2" t="n">
        <v>3</v>
      </c>
      <c r="G3451" s="4" t="n">
        <v>4</v>
      </c>
      <c r="H3451" s="13" t="n"/>
      <c r="I3451" s="15" t="n"/>
      <c r="J3451" s="19" t="n">
        <v>3</v>
      </c>
      <c r="K3451" s="2" t="inlineStr">
        <is>
          <t>marker_798_319827.png</t>
        </is>
      </c>
      <c r="L3451" s="11">
        <f>HYPERLINK("3\1\" &amp; K3451, "Ver Imagen")</f>
        <v/>
      </c>
      <c r="M3451" t="inlineStr">
        <is>
          <t>Moda</t>
        </is>
      </c>
    </row>
    <row r="3452">
      <c r="A3452" t="n">
        <v>3452</v>
      </c>
      <c r="B3452" t="inlineStr">
        <is>
          <t>A-497__583</t>
        </is>
      </c>
      <c r="C3452" s="1" t="n">
        <v>37.2034861207</v>
      </c>
      <c r="D3452" s="1" t="n">
        <v>-7.00688639198</v>
      </c>
      <c r="E3452" s="3" t="n">
        <v>4</v>
      </c>
      <c r="F3452" s="2" t="n">
        <v>3</v>
      </c>
      <c r="G3452" s="4" t="n">
        <v>3</v>
      </c>
      <c r="H3452" s="13" t="n"/>
      <c r="I3452" s="15" t="n"/>
      <c r="J3452" s="19" t="n">
        <v>3</v>
      </c>
      <c r="K3452" s="2" t="inlineStr">
        <is>
          <t>marker_392_371897.png</t>
        </is>
      </c>
      <c r="L3452" s="11">
        <f>HYPERLINK("3\1\" &amp; K3452, "Ver Imagen")</f>
        <v/>
      </c>
      <c r="M3452" t="inlineStr">
        <is>
          <t>Moda</t>
        </is>
      </c>
    </row>
    <row r="3453">
      <c r="A3453" t="n">
        <v>3453</v>
      </c>
      <c r="B3453" t="inlineStr">
        <is>
          <t>A-497__581</t>
        </is>
      </c>
      <c r="C3453" s="1" t="n">
        <v>37.203555824</v>
      </c>
      <c r="D3453" s="1" t="n">
        <v>-7.00738339896</v>
      </c>
      <c r="E3453" s="3" t="n">
        <v>2</v>
      </c>
      <c r="F3453" s="2" t="n">
        <v>3</v>
      </c>
      <c r="G3453" s="4" t="n">
        <v>3</v>
      </c>
      <c r="H3453" s="13" t="n"/>
      <c r="I3453" s="15" t="n"/>
      <c r="J3453" s="19" t="n">
        <v>3</v>
      </c>
      <c r="K3453" s="2" t="inlineStr">
        <is>
          <t>marker_517_371917.png</t>
        </is>
      </c>
      <c r="L3453" s="11">
        <f>HYPERLINK("3\1\" &amp; K3453, "Ver Imagen")</f>
        <v/>
      </c>
      <c r="M3453" t="inlineStr">
        <is>
          <t>Moda</t>
        </is>
      </c>
    </row>
    <row r="3454">
      <c r="A3454" t="n">
        <v>3454</v>
      </c>
      <c r="B3454" t="inlineStr">
        <is>
          <t>A-497__579</t>
        </is>
      </c>
      <c r="C3454" s="1" t="n">
        <v>37.2036322248</v>
      </c>
      <c r="D3454" s="1" t="n">
        <v>-7.00789628389</v>
      </c>
      <c r="E3454" s="3" t="n">
        <v>2</v>
      </c>
      <c r="F3454" s="2" t="n">
        <v>3</v>
      </c>
      <c r="G3454" s="4" t="n">
        <v>3</v>
      </c>
      <c r="H3454" s="13" t="n"/>
      <c r="I3454" s="15" t="n"/>
      <c r="J3454" s="19" t="n">
        <v>3</v>
      </c>
      <c r="K3454" s="2" t="inlineStr">
        <is>
          <t>marker_421_371935.png</t>
        </is>
      </c>
      <c r="L3454" s="11">
        <f>HYPERLINK("3\1\" &amp; K3454, "Ver Imagen")</f>
        <v/>
      </c>
      <c r="M3454" t="inlineStr">
        <is>
          <t>Moda</t>
        </is>
      </c>
    </row>
    <row r="3455">
      <c r="A3455" t="n">
        <v>3455</v>
      </c>
      <c r="B3455" t="inlineStr">
        <is>
          <t>A-497__569</t>
        </is>
      </c>
      <c r="C3455" s="1" t="n">
        <v>37.2040131056</v>
      </c>
      <c r="D3455" s="1" t="n">
        <v>-7.01033268482</v>
      </c>
      <c r="E3455" s="3" t="n">
        <v>3</v>
      </c>
      <c r="F3455" s="2" t="n">
        <v>3</v>
      </c>
      <c r="G3455" s="4" t="n">
        <v>4</v>
      </c>
      <c r="H3455" s="13" t="n"/>
      <c r="I3455" s="15" t="n"/>
      <c r="J3455" s="19" t="n">
        <v>3</v>
      </c>
      <c r="K3455" s="2" t="inlineStr">
        <is>
          <t>marker_637_372050.png</t>
        </is>
      </c>
      <c r="L3455" s="11">
        <f>HYPERLINK("3\1\" &amp; K3455, "Ver Imagen")</f>
        <v/>
      </c>
      <c r="M3455" t="inlineStr">
        <is>
          <t>Moda</t>
        </is>
      </c>
    </row>
    <row r="3456">
      <c r="A3456" t="n">
        <v>3456</v>
      </c>
      <c r="B3456" t="inlineStr">
        <is>
          <t>A-497_2C__307</t>
        </is>
      </c>
      <c r="C3456" s="1" t="n">
        <v>37.2481128458</v>
      </c>
      <c r="D3456" s="1" t="n">
        <v>-7.01837397856</v>
      </c>
      <c r="E3456" s="3" t="n">
        <v>4</v>
      </c>
      <c r="F3456" s="2" t="n">
        <v>3</v>
      </c>
      <c r="G3456" s="4" t="n">
        <v>3</v>
      </c>
      <c r="H3456" s="13" t="n"/>
      <c r="I3456" s="15" t="n"/>
      <c r="J3456" s="19" t="n">
        <v>3</v>
      </c>
      <c r="K3456" s="2" t="inlineStr">
        <is>
          <t>marker_959_361801.png</t>
        </is>
      </c>
      <c r="L3456" s="11">
        <f>HYPERLINK("3\1\" &amp; K3456, "Ver Imagen")</f>
        <v/>
      </c>
      <c r="M3456" t="inlineStr">
        <is>
          <t>Moda</t>
        </is>
      </c>
    </row>
    <row r="3457">
      <c r="A3457" t="n">
        <v>3457</v>
      </c>
      <c r="B3457" t="inlineStr">
        <is>
          <t>A-497_2C__308</t>
        </is>
      </c>
      <c r="C3457" s="1" t="n">
        <v>37.2479116347</v>
      </c>
      <c r="D3457" s="1" t="n">
        <v>-7.01838135045</v>
      </c>
      <c r="E3457" s="3" t="n">
        <v>3</v>
      </c>
      <c r="F3457" s="2" t="n">
        <v>3</v>
      </c>
      <c r="G3457" s="4" t="n">
        <v>2</v>
      </c>
      <c r="H3457" s="13" t="n"/>
      <c r="I3457" s="15" t="n"/>
      <c r="J3457" s="19" t="n">
        <v>3</v>
      </c>
      <c r="K3457" s="2" t="inlineStr">
        <is>
          <t>marker_469_361811.png</t>
        </is>
      </c>
      <c r="L3457" s="11">
        <f>HYPERLINK("3\1\" &amp; K3457, "Ver Imagen")</f>
        <v/>
      </c>
      <c r="M3457" t="inlineStr">
        <is>
          <t>Moda</t>
        </is>
      </c>
    </row>
    <row r="3458">
      <c r="A3458" t="n">
        <v>3458</v>
      </c>
      <c r="B3458" t="inlineStr">
        <is>
          <t>A-497__558</t>
        </is>
      </c>
      <c r="C3458" s="1" t="n">
        <v>37.2044973156</v>
      </c>
      <c r="D3458" s="1" t="n">
        <v>-7.0130844794</v>
      </c>
      <c r="E3458" s="3" t="n">
        <v>4</v>
      </c>
      <c r="F3458" s="2" t="n">
        <v>3</v>
      </c>
      <c r="G3458" s="4" t="n">
        <v>3</v>
      </c>
      <c r="H3458" s="13" t="n"/>
      <c r="I3458" s="15" t="n"/>
      <c r="J3458" s="19" t="n">
        <v>3</v>
      </c>
      <c r="K3458" s="2" t="inlineStr">
        <is>
          <t>marker_859_372163.png</t>
        </is>
      </c>
      <c r="L3458" s="11">
        <f>HYPERLINK("3\1\" &amp; K3458, "Ver Imagen")</f>
        <v/>
      </c>
      <c r="M3458" t="inlineStr">
        <is>
          <t>Moda</t>
        </is>
      </c>
    </row>
    <row r="3459">
      <c r="A3459" t="n">
        <v>3459</v>
      </c>
      <c r="B3459" t="inlineStr">
        <is>
          <t>A-497__557</t>
        </is>
      </c>
      <c r="C3459" s="1" t="n">
        <v>37.2045454285</v>
      </c>
      <c r="D3459" s="1" t="n">
        <v>-7.01334031002</v>
      </c>
      <c r="E3459" s="3" t="n">
        <v>4</v>
      </c>
      <c r="F3459" s="2" t="n">
        <v>3</v>
      </c>
      <c r="G3459" s="4" t="n">
        <v>3</v>
      </c>
      <c r="H3459" s="13" t="n"/>
      <c r="I3459" s="15" t="n"/>
      <c r="J3459" s="19" t="n">
        <v>3</v>
      </c>
      <c r="K3459" s="2" t="inlineStr">
        <is>
          <t>marker_177_372173.png</t>
        </is>
      </c>
      <c r="L3459" s="11">
        <f>HYPERLINK("3\1\" &amp; K3459, "Ver Imagen")</f>
        <v/>
      </c>
      <c r="M3459" t="inlineStr">
        <is>
          <t>Moda</t>
        </is>
      </c>
    </row>
    <row r="3460">
      <c r="A3460" t="n">
        <v>3460</v>
      </c>
      <c r="B3460" t="inlineStr">
        <is>
          <t>A-497_2C__325</t>
        </is>
      </c>
      <c r="C3460" s="1" t="n">
        <v>37.2444458706</v>
      </c>
      <c r="D3460" s="1" t="n">
        <v>-7.01850625607</v>
      </c>
      <c r="E3460" s="3" t="n">
        <v>2</v>
      </c>
      <c r="F3460" s="2" t="n">
        <v>3</v>
      </c>
      <c r="G3460" s="4" t="n">
        <v>3</v>
      </c>
      <c r="H3460" s="13" t="n"/>
      <c r="I3460" s="15" t="n"/>
      <c r="J3460" s="19" t="n">
        <v>3</v>
      </c>
      <c r="K3460" s="2" t="inlineStr">
        <is>
          <t>marker_938_361974.png</t>
        </is>
      </c>
      <c r="L3460" s="11">
        <f>HYPERLINK("3\1\" &amp; K3460, "Ver Imagen")</f>
        <v/>
      </c>
      <c r="M3460" t="inlineStr">
        <is>
          <t>Moda</t>
        </is>
      </c>
    </row>
    <row r="3461">
      <c r="A3461" t="n">
        <v>3461</v>
      </c>
      <c r="B3461" t="inlineStr">
        <is>
          <t>A-497_2C__326</t>
        </is>
      </c>
      <c r="C3461" s="1" t="n">
        <v>37.2442451958</v>
      </c>
      <c r="D3461" s="1" t="n">
        <v>-7.01851494079</v>
      </c>
      <c r="E3461" s="3" t="n">
        <v>2</v>
      </c>
      <c r="F3461" s="2" t="n">
        <v>3</v>
      </c>
      <c r="G3461" s="4" t="n">
        <v>3</v>
      </c>
      <c r="H3461" s="13" t="n"/>
      <c r="I3461" s="15" t="n"/>
      <c r="J3461" s="19" t="n">
        <v>3</v>
      </c>
      <c r="K3461" s="2" t="inlineStr">
        <is>
          <t>marker_698_361983.png</t>
        </is>
      </c>
      <c r="L3461" s="11">
        <f>HYPERLINK("3\1\" &amp; K3461, "Ver Imagen")</f>
        <v/>
      </c>
      <c r="M3461" t="inlineStr">
        <is>
          <t>Moda</t>
        </is>
      </c>
    </row>
    <row r="3462">
      <c r="A3462" t="n">
        <v>3462</v>
      </c>
      <c r="B3462" t="inlineStr">
        <is>
          <t>A-497_2C__333</t>
        </is>
      </c>
      <c r="C3462" s="1" t="n">
        <v>37.2428355979</v>
      </c>
      <c r="D3462" s="1" t="n">
        <v>-7.01857194289</v>
      </c>
      <c r="E3462" s="3" t="n">
        <v>3</v>
      </c>
      <c r="F3462" s="2" t="n">
        <v>3</v>
      </c>
      <c r="G3462" s="4" t="n">
        <v>4</v>
      </c>
      <c r="H3462" s="13" t="n"/>
      <c r="I3462" s="15" t="n"/>
      <c r="J3462" s="19" t="n">
        <v>3</v>
      </c>
      <c r="K3462" s="2" t="inlineStr">
        <is>
          <t>marker_420_362047.png</t>
        </is>
      </c>
      <c r="L3462" s="11">
        <f>HYPERLINK("3\1\" &amp; K3462, "Ver Imagen")</f>
        <v/>
      </c>
      <c r="M3462" t="inlineStr">
        <is>
          <t>Moda</t>
        </is>
      </c>
    </row>
    <row r="3463">
      <c r="A3463" t="n">
        <v>3463</v>
      </c>
      <c r="B3463" t="inlineStr">
        <is>
          <t>A-497__538</t>
        </is>
      </c>
      <c r="C3463" s="1" t="n">
        <v>37.2055589837</v>
      </c>
      <c r="D3463" s="1" t="n">
        <v>-7.01797651647</v>
      </c>
      <c r="E3463" s="3" t="n">
        <v>3</v>
      </c>
      <c r="F3463" s="2" t="n">
        <v>3</v>
      </c>
      <c r="G3463" s="4" t="n">
        <v>4</v>
      </c>
      <c r="H3463" s="13" t="n"/>
      <c r="I3463" s="15" t="n"/>
      <c r="J3463" s="19" t="n">
        <v>3</v>
      </c>
      <c r="K3463" s="2" t="inlineStr">
        <is>
          <t>marker_682_372395.png</t>
        </is>
      </c>
      <c r="L3463" s="11">
        <f>HYPERLINK("3\1\" &amp; K3463, "Ver Imagen")</f>
        <v/>
      </c>
      <c r="M3463" t="inlineStr">
        <is>
          <t>Moda</t>
        </is>
      </c>
    </row>
    <row r="3464">
      <c r="A3464" t="n">
        <v>3464</v>
      </c>
      <c r="B3464" t="inlineStr">
        <is>
          <t>A-497__537</t>
        </is>
      </c>
      <c r="C3464" s="1" t="n">
        <v>37.2056300933</v>
      </c>
      <c r="D3464" s="1" t="n">
        <v>-7.01821194024</v>
      </c>
      <c r="E3464" s="3" t="n">
        <v>3</v>
      </c>
      <c r="F3464" s="2" t="n">
        <v>3</v>
      </c>
      <c r="G3464" s="4" t="n">
        <v>4</v>
      </c>
      <c r="H3464" s="13" t="n"/>
      <c r="I3464" s="15" t="n"/>
      <c r="J3464" s="19" t="n">
        <v>3</v>
      </c>
      <c r="K3464" s="2" t="inlineStr">
        <is>
          <t>marker_692_372404.png</t>
        </is>
      </c>
      <c r="L3464" s="11">
        <f>HYPERLINK("3\1\" &amp; K3464, "Ver Imagen")</f>
        <v/>
      </c>
      <c r="M3464" t="inlineStr">
        <is>
          <t>Moda</t>
        </is>
      </c>
    </row>
    <row r="3465">
      <c r="A3465" t="n">
        <v>3465</v>
      </c>
      <c r="B3465" t="inlineStr">
        <is>
          <t>A-497_2C__345</t>
        </is>
      </c>
      <c r="C3465" s="1" t="n">
        <v>37.2404230336</v>
      </c>
      <c r="D3465" s="1" t="n">
        <v>-7.01865992766</v>
      </c>
      <c r="E3465" s="3" t="n">
        <v>4</v>
      </c>
      <c r="F3465" s="2" t="n">
        <v>3</v>
      </c>
      <c r="G3465" s="4" t="n">
        <v>3</v>
      </c>
      <c r="H3465" s="13" t="n"/>
      <c r="I3465" s="15" t="n"/>
      <c r="J3465" s="19" t="n">
        <v>3</v>
      </c>
      <c r="K3465" s="2" t="inlineStr">
        <is>
          <t>marker_593_362174.png</t>
        </is>
      </c>
      <c r="L3465" s="11">
        <f>HYPERLINK("3\1\" &amp; K3465, "Ver Imagen")</f>
        <v/>
      </c>
      <c r="M3465" t="inlineStr">
        <is>
          <t>Moda</t>
        </is>
      </c>
    </row>
    <row r="3466">
      <c r="A3466" t="n">
        <v>3466</v>
      </c>
      <c r="B3466" t="inlineStr">
        <is>
          <t>A-497__533</t>
        </is>
      </c>
      <c r="C3466" s="1" t="n">
        <v>37.2059725628</v>
      </c>
      <c r="D3466" s="1" t="n">
        <v>-7.01918933</v>
      </c>
      <c r="E3466" s="3" t="n">
        <v>4</v>
      </c>
      <c r="F3466" s="2" t="n">
        <v>3</v>
      </c>
      <c r="G3466" s="4" t="n">
        <v>3</v>
      </c>
      <c r="H3466" s="13" t="n"/>
      <c r="I3466" s="15" t="n"/>
      <c r="J3466" s="19" t="n">
        <v>3</v>
      </c>
      <c r="K3466" s="2" t="inlineStr">
        <is>
          <t>marker_922_372467.png</t>
        </is>
      </c>
      <c r="L3466" s="11">
        <f>HYPERLINK("3\1\" &amp; K3466, "Ver Imagen")</f>
        <v/>
      </c>
      <c r="M3466" t="inlineStr">
        <is>
          <t>Moda</t>
        </is>
      </c>
    </row>
    <row r="3467">
      <c r="A3467" t="n">
        <v>3467</v>
      </c>
      <c r="B3467" t="inlineStr">
        <is>
          <t>A-497_2C__347</t>
        </is>
      </c>
      <c r="C3467" s="1" t="n">
        <v>37.2400233649</v>
      </c>
      <c r="D3467" s="1" t="n">
        <v>-7.0186756585</v>
      </c>
      <c r="E3467" s="3" t="n">
        <v>4</v>
      </c>
      <c r="F3467" s="2" t="n">
        <v>3</v>
      </c>
      <c r="G3467" s="4" t="n">
        <v>3</v>
      </c>
      <c r="H3467" s="13" t="n"/>
      <c r="I3467" s="15" t="n"/>
      <c r="J3467" s="19" t="n">
        <v>3</v>
      </c>
      <c r="K3467" s="2" t="inlineStr">
        <is>
          <t>marker_245_362193.png</t>
        </is>
      </c>
      <c r="L3467" s="11">
        <f>HYPERLINK("3\1\" &amp; K3467, "Ver Imagen")</f>
        <v/>
      </c>
      <c r="M3467" t="inlineStr">
        <is>
          <t>Moda</t>
        </is>
      </c>
    </row>
    <row r="3468">
      <c r="A3468" t="n">
        <v>3468</v>
      </c>
      <c r="B3468" t="inlineStr">
        <is>
          <t>A-497_2C__349</t>
        </is>
      </c>
      <c r="C3468" s="1" t="n">
        <v>37.2396224454</v>
      </c>
      <c r="D3468" s="1" t="n">
        <v>-7.01869192682</v>
      </c>
      <c r="E3468" s="3" t="n">
        <v>2</v>
      </c>
      <c r="F3468" s="2" t="n">
        <v>3</v>
      </c>
      <c r="G3468" s="4" t="n">
        <v>3</v>
      </c>
      <c r="H3468" s="13" t="n"/>
      <c r="I3468" s="15" t="n"/>
      <c r="J3468" s="19" t="n">
        <v>3</v>
      </c>
      <c r="K3468" s="2" t="inlineStr">
        <is>
          <t>marker_924_362221.png</t>
        </is>
      </c>
      <c r="L3468" s="11">
        <f>HYPERLINK("3\1\" &amp; K3468, "Ver Imagen")</f>
        <v/>
      </c>
      <c r="M3468" t="inlineStr">
        <is>
          <t>Moda</t>
        </is>
      </c>
    </row>
    <row r="3469">
      <c r="A3469" t="n">
        <v>3469</v>
      </c>
      <c r="B3469" t="inlineStr">
        <is>
          <t>A-497_2C__352</t>
        </is>
      </c>
      <c r="C3469" s="1" t="n">
        <v>37.2390071094</v>
      </c>
      <c r="D3469" s="1" t="n">
        <v>-7.01871882133</v>
      </c>
      <c r="E3469" s="3" t="n">
        <v>2</v>
      </c>
      <c r="F3469" s="2" t="n">
        <v>3</v>
      </c>
      <c r="G3469" s="4" t="n">
        <v>3</v>
      </c>
      <c r="H3469" s="13" t="n"/>
      <c r="I3469" s="15" t="n"/>
      <c r="J3469" s="19" t="n">
        <v>3</v>
      </c>
      <c r="K3469" s="2" t="inlineStr">
        <is>
          <t>marker_857_362249.png</t>
        </is>
      </c>
      <c r="L3469" s="11">
        <f>HYPERLINK("3\1\" &amp; K3469, "Ver Imagen")</f>
        <v/>
      </c>
      <c r="M3469" t="inlineStr">
        <is>
          <t>Moda</t>
        </is>
      </c>
    </row>
    <row r="3470">
      <c r="A3470" t="n">
        <v>3470</v>
      </c>
      <c r="B3470" t="inlineStr">
        <is>
          <t>A-497_2C__354</t>
        </is>
      </c>
      <c r="C3470" s="1" t="n">
        <v>37.2386290022</v>
      </c>
      <c r="D3470" s="1" t="n">
        <v>-7.01873493452</v>
      </c>
      <c r="E3470" s="3" t="n">
        <v>4</v>
      </c>
      <c r="F3470" s="2" t="n">
        <v>3</v>
      </c>
      <c r="G3470" s="4" t="n">
        <v>3</v>
      </c>
      <c r="H3470" s="13" t="n"/>
      <c r="I3470" s="15" t="n"/>
      <c r="J3470" s="19" t="n">
        <v>3</v>
      </c>
      <c r="K3470" s="2" t="inlineStr">
        <is>
          <t>marker_367_362269.png</t>
        </is>
      </c>
      <c r="L3470" s="11">
        <f>HYPERLINK("3\1\" &amp; K3470, "Ver Imagen")</f>
        <v/>
      </c>
      <c r="M3470" t="inlineStr">
        <is>
          <t>Moda</t>
        </is>
      </c>
    </row>
    <row r="3471">
      <c r="A3471" t="n">
        <v>3471</v>
      </c>
      <c r="B3471" t="inlineStr">
        <is>
          <t>A-497__524</t>
        </is>
      </c>
      <c r="C3471" s="1" t="n">
        <v>37.2069184117</v>
      </c>
      <c r="D3471" s="1" t="n">
        <v>-7.02101268889</v>
      </c>
      <c r="E3471" s="3" t="n">
        <v>4</v>
      </c>
      <c r="F3471" s="2" t="n">
        <v>3</v>
      </c>
      <c r="G3471" s="4" t="n">
        <v>3</v>
      </c>
      <c r="H3471" s="13" t="n"/>
      <c r="I3471" s="15" t="n"/>
      <c r="J3471" s="19" t="n">
        <v>3</v>
      </c>
      <c r="K3471" s="2" t="inlineStr">
        <is>
          <t>marker_610_372559.png</t>
        </is>
      </c>
      <c r="L3471" s="11">
        <f>HYPERLINK("3\1\" &amp; K3471, "Ver Imagen")</f>
        <v/>
      </c>
      <c r="M3471" t="inlineStr">
        <is>
          <t>Moda</t>
        </is>
      </c>
    </row>
    <row r="3472">
      <c r="A3472" t="n">
        <v>3472</v>
      </c>
      <c r="B3472" t="inlineStr">
        <is>
          <t>A-497_2C__369</t>
        </is>
      </c>
      <c r="C3472" s="1" t="n">
        <v>37.2355597937</v>
      </c>
      <c r="D3472" s="1" t="n">
        <v>-7.01842451789</v>
      </c>
      <c r="E3472" s="3" t="n">
        <v>4</v>
      </c>
      <c r="F3472" s="2" t="n">
        <v>3</v>
      </c>
      <c r="G3472" s="4" t="n">
        <v>3</v>
      </c>
      <c r="H3472" s="13" t="n"/>
      <c r="I3472" s="15" t="n"/>
      <c r="J3472" s="19" t="n">
        <v>3</v>
      </c>
      <c r="K3472" s="2" t="inlineStr">
        <is>
          <t>marker_969_362457.png</t>
        </is>
      </c>
      <c r="L3472" s="11">
        <f>HYPERLINK("3\1\" &amp; K3472, "Ver Imagen")</f>
        <v/>
      </c>
      <c r="M3472" t="inlineStr">
        <is>
          <t>Moda</t>
        </is>
      </c>
    </row>
    <row r="3473">
      <c r="A3473" t="n">
        <v>3473</v>
      </c>
      <c r="B3473" t="inlineStr">
        <is>
          <t>A-497__510</t>
        </is>
      </c>
      <c r="C3473" s="1" t="n">
        <v>37.2091932696</v>
      </c>
      <c r="D3473" s="1" t="n">
        <v>-7.02313144298</v>
      </c>
      <c r="E3473" s="3" t="n">
        <v>4</v>
      </c>
      <c r="F3473" s="2" t="n">
        <v>3</v>
      </c>
      <c r="G3473" s="4" t="n">
        <v>3</v>
      </c>
      <c r="H3473" s="13" t="n"/>
      <c r="I3473" s="15" t="n"/>
      <c r="J3473" s="19" t="n">
        <v>3</v>
      </c>
      <c r="K3473" s="2" t="inlineStr">
        <is>
          <t>marker_592_372691.png</t>
        </is>
      </c>
      <c r="L3473" s="11">
        <f>HYPERLINK("3\1\" &amp; K3473, "Ver Imagen")</f>
        <v/>
      </c>
      <c r="M3473" t="inlineStr">
        <is>
          <t>Moda</t>
        </is>
      </c>
    </row>
    <row r="3474">
      <c r="A3474" t="n">
        <v>3474</v>
      </c>
      <c r="B3474" t="inlineStr">
        <is>
          <t>A-497__503</t>
        </is>
      </c>
      <c r="C3474" s="1" t="n">
        <v>37.2105315416</v>
      </c>
      <c r="D3474" s="1" t="n">
        <v>-7.02368140881</v>
      </c>
      <c r="E3474" s="3" t="n">
        <v>2</v>
      </c>
      <c r="F3474" s="2" t="n">
        <v>3</v>
      </c>
      <c r="G3474" s="4" t="n">
        <v>3</v>
      </c>
      <c r="H3474" s="13" t="n"/>
      <c r="I3474" s="15" t="n"/>
      <c r="J3474" s="19" t="n">
        <v>3</v>
      </c>
      <c r="K3474" s="2" t="inlineStr">
        <is>
          <t>marker_204_376052.png</t>
        </is>
      </c>
      <c r="L3474" s="11">
        <f>HYPERLINK("3\1\" &amp; K3474, "Ver Imagen")</f>
        <v/>
      </c>
      <c r="M3474" t="inlineStr">
        <is>
          <t>Moda</t>
        </is>
      </c>
    </row>
    <row r="3475">
      <c r="A3475" t="n">
        <v>3475</v>
      </c>
      <c r="B3475" t="inlineStr">
        <is>
          <t>A-497_2C__397</t>
        </is>
      </c>
      <c r="C3475" s="1" t="n">
        <v>37.2302865297</v>
      </c>
      <c r="D3475" s="1" t="n">
        <v>-7.02024738575</v>
      </c>
      <c r="E3475" s="3" t="n">
        <v>4</v>
      </c>
      <c r="F3475" s="2" t="n">
        <v>3</v>
      </c>
      <c r="G3475" s="4" t="n">
        <v>3</v>
      </c>
      <c r="H3475" s="13" t="n"/>
      <c r="I3475" s="15" t="n"/>
      <c r="J3475" s="19" t="n">
        <v>3</v>
      </c>
      <c r="K3475" s="2" t="inlineStr">
        <is>
          <t>marker_231_362876.png</t>
        </is>
      </c>
      <c r="L3475" s="11">
        <f>HYPERLINK("3\1\" &amp; K3475, "Ver Imagen")</f>
        <v/>
      </c>
      <c r="M3475" t="inlineStr">
        <is>
          <t>Moda</t>
        </is>
      </c>
    </row>
    <row r="3476">
      <c r="A3476" t="n">
        <v>3476</v>
      </c>
      <c r="B3476" t="inlineStr">
        <is>
          <t>A-497_2C__399</t>
        </is>
      </c>
      <c r="C3476" s="1" t="n">
        <v>37.2299644525</v>
      </c>
      <c r="D3476" s="1" t="n">
        <v>-7.02049477745</v>
      </c>
      <c r="E3476" s="3" t="n">
        <v>2</v>
      </c>
      <c r="F3476" s="2" t="n">
        <v>3</v>
      </c>
      <c r="G3476" s="4" t="n">
        <v>3</v>
      </c>
      <c r="H3476" s="13" t="n"/>
      <c r="I3476" s="15" t="n"/>
      <c r="J3476" s="19" t="n">
        <v>3</v>
      </c>
      <c r="K3476" s="2" t="inlineStr">
        <is>
          <t>marker_948_362897.png</t>
        </is>
      </c>
      <c r="L3476" s="11">
        <f>HYPERLINK("3\1\" &amp; K3476, "Ver Imagen")</f>
        <v/>
      </c>
      <c r="M3476" t="inlineStr">
        <is>
          <t>Moda</t>
        </is>
      </c>
    </row>
    <row r="3477">
      <c r="A3477" t="n">
        <v>3477</v>
      </c>
      <c r="B3477" t="inlineStr">
        <is>
          <t>A-497_2C__400</t>
        </is>
      </c>
      <c r="C3477" s="1" t="n">
        <v>37.2297664202</v>
      </c>
      <c r="D3477" s="1" t="n">
        <v>-7.0206453873</v>
      </c>
      <c r="E3477" s="3" t="n">
        <v>4</v>
      </c>
      <c r="F3477" s="2" t="n">
        <v>3</v>
      </c>
      <c r="G3477" s="4" t="n">
        <v>3</v>
      </c>
      <c r="H3477" s="13" t="n"/>
      <c r="I3477" s="15" t="n"/>
      <c r="J3477" s="19" t="n">
        <v>3</v>
      </c>
      <c r="K3477" s="2" t="inlineStr">
        <is>
          <t>marker_854_362906.png</t>
        </is>
      </c>
      <c r="L3477" s="11">
        <f>HYPERLINK("3\1\" &amp; K3477, "Ver Imagen")</f>
        <v/>
      </c>
      <c r="M3477" t="inlineStr">
        <is>
          <t>Moda</t>
        </is>
      </c>
    </row>
    <row r="3478">
      <c r="A3478" t="n">
        <v>3478</v>
      </c>
      <c r="B3478" t="inlineStr">
        <is>
          <t>A-497_2C__401</t>
        </is>
      </c>
      <c r="C3478" s="1" t="n">
        <v>37.2295929697</v>
      </c>
      <c r="D3478" s="1" t="n">
        <v>-7.02077606714</v>
      </c>
      <c r="E3478" s="3" t="n">
        <v>4</v>
      </c>
      <c r="F3478" s="2" t="n">
        <v>3</v>
      </c>
      <c r="G3478" s="4" t="n">
        <v>3</v>
      </c>
      <c r="H3478" s="13" t="n"/>
      <c r="I3478" s="15" t="n"/>
      <c r="J3478" s="19" t="n">
        <v>3</v>
      </c>
      <c r="K3478" s="2" t="inlineStr">
        <is>
          <t>marker_300_362915.png</t>
        </is>
      </c>
      <c r="L3478" s="11">
        <f>HYPERLINK("3\1\" &amp; K3478, "Ver Imagen")</f>
        <v/>
      </c>
      <c r="M3478" t="inlineStr">
        <is>
          <t>Moda</t>
        </is>
      </c>
    </row>
    <row r="3479">
      <c r="A3479" t="n">
        <v>3479</v>
      </c>
      <c r="B3479" t="inlineStr">
        <is>
          <t>A-497_2C__402</t>
        </is>
      </c>
      <c r="C3479" s="1" t="n">
        <v>37.2294673064</v>
      </c>
      <c r="D3479" s="1" t="n">
        <v>-7.02087041269</v>
      </c>
      <c r="E3479" s="3" t="n">
        <v>4</v>
      </c>
      <c r="F3479" s="2" t="n">
        <v>3</v>
      </c>
      <c r="G3479" s="4" t="n">
        <v>3</v>
      </c>
      <c r="H3479" s="13" t="n"/>
      <c r="I3479" s="15" t="n"/>
      <c r="J3479" s="19" t="n">
        <v>3</v>
      </c>
      <c r="K3479" s="2" t="inlineStr">
        <is>
          <t>marker_618_362925.png</t>
        </is>
      </c>
      <c r="L3479" s="11">
        <f>HYPERLINK("3\1\" &amp; K3479, "Ver Imagen")</f>
        <v/>
      </c>
      <c r="M3479" t="inlineStr">
        <is>
          <t>Moda</t>
        </is>
      </c>
    </row>
    <row r="3480">
      <c r="A3480" t="n">
        <v>3480</v>
      </c>
      <c r="B3480" t="inlineStr">
        <is>
          <t>A-497_2C__403</t>
        </is>
      </c>
      <c r="C3480" s="1" t="n">
        <v>37.2292680647</v>
      </c>
      <c r="D3480" s="1" t="n">
        <v>-7.02101984004</v>
      </c>
      <c r="E3480" s="3" t="n">
        <v>4</v>
      </c>
      <c r="F3480" s="2" t="n">
        <v>3</v>
      </c>
      <c r="G3480" s="4" t="n">
        <v>3</v>
      </c>
      <c r="H3480" s="13" t="n"/>
      <c r="I3480" s="15" t="n"/>
      <c r="J3480" s="19" t="n">
        <v>3</v>
      </c>
      <c r="K3480" s="2" t="inlineStr">
        <is>
          <t>marker_711_362935.png</t>
        </is>
      </c>
      <c r="L3480" s="11">
        <f>HYPERLINK("3\1\" &amp; K3480, "Ver Imagen")</f>
        <v/>
      </c>
      <c r="M3480" t="inlineStr">
        <is>
          <t>Moda</t>
        </is>
      </c>
    </row>
    <row r="3481">
      <c r="A3481" t="n">
        <v>3481</v>
      </c>
      <c r="B3481" t="inlineStr">
        <is>
          <t>A-497_2C__416</t>
        </is>
      </c>
      <c r="C3481" s="1" t="n">
        <v>37.227038376</v>
      </c>
      <c r="D3481" s="1" t="n">
        <v>-7.02269010246</v>
      </c>
      <c r="E3481" s="3" t="n">
        <v>3</v>
      </c>
      <c r="F3481" s="2" t="n">
        <v>3</v>
      </c>
      <c r="G3481" s="4" t="n">
        <v>2</v>
      </c>
      <c r="H3481" s="13" t="n"/>
      <c r="I3481" s="15" t="n"/>
      <c r="J3481" s="19" t="n">
        <v>3</v>
      </c>
      <c r="K3481" s="2" t="inlineStr">
        <is>
          <t>marker_777_363074.png</t>
        </is>
      </c>
      <c r="L3481" s="11">
        <f>HYPERLINK("3\1\" &amp; K3481, "Ver Imagen")</f>
        <v/>
      </c>
      <c r="M3481" t="inlineStr">
        <is>
          <t>Moda</t>
        </is>
      </c>
    </row>
    <row r="3482">
      <c r="A3482" t="n">
        <v>3482</v>
      </c>
      <c r="B3482" t="inlineStr">
        <is>
          <t>A-497_2C__418</t>
        </is>
      </c>
      <c r="C3482" s="1" t="n">
        <v>37.2266550445</v>
      </c>
      <c r="D3482" s="1" t="n">
        <v>-7.0229163502</v>
      </c>
      <c r="E3482" s="3" t="n">
        <v>3</v>
      </c>
      <c r="F3482" s="2" t="n">
        <v>3</v>
      </c>
      <c r="G3482" s="4" t="n">
        <v>2</v>
      </c>
      <c r="H3482" s="13" t="n"/>
      <c r="I3482" s="15" t="n"/>
      <c r="J3482" s="19" t="n">
        <v>3</v>
      </c>
      <c r="K3482" s="2" t="inlineStr">
        <is>
          <t>marker_693_363094.png</t>
        </is>
      </c>
      <c r="L3482" s="11">
        <f>HYPERLINK("3\1\" &amp; K3482, "Ver Imagen")</f>
        <v/>
      </c>
      <c r="M3482" t="inlineStr">
        <is>
          <t>Moda</t>
        </is>
      </c>
    </row>
    <row r="3483">
      <c r="A3483" t="n">
        <v>3483</v>
      </c>
      <c r="B3483" t="inlineStr">
        <is>
          <t>A-497__480</t>
        </is>
      </c>
      <c r="C3483" s="1" t="n">
        <v>37.2151684347</v>
      </c>
      <c r="D3483" s="1" t="n">
        <v>-7.02338021865</v>
      </c>
      <c r="E3483" s="3" t="n">
        <v>2</v>
      </c>
      <c r="F3483" s="2" t="n">
        <v>3</v>
      </c>
      <c r="G3483" s="4" t="n">
        <v>3</v>
      </c>
      <c r="H3483" s="13" t="n"/>
      <c r="I3483" s="15" t="n"/>
      <c r="J3483" s="19" t="n">
        <v>3</v>
      </c>
      <c r="K3483" s="2" t="inlineStr">
        <is>
          <t>marker_125_376309.png</t>
        </is>
      </c>
      <c r="L3483" s="11">
        <f>HYPERLINK("3\1\" &amp; K3483, "Ver Imagen")</f>
        <v/>
      </c>
      <c r="M3483" t="inlineStr">
        <is>
          <t>Moda</t>
        </is>
      </c>
    </row>
    <row r="3484">
      <c r="A3484" t="n">
        <v>3484</v>
      </c>
      <c r="B3484" t="inlineStr">
        <is>
          <t>A-497__474</t>
        </is>
      </c>
      <c r="C3484" s="1" t="n">
        <v>37.2163913315</v>
      </c>
      <c r="D3484" s="1" t="n">
        <v>-7.02315989239</v>
      </c>
      <c r="E3484" s="3" t="n">
        <v>3</v>
      </c>
      <c r="F3484" s="2" t="n">
        <v>3</v>
      </c>
      <c r="G3484" s="4" t="n">
        <v>2</v>
      </c>
      <c r="H3484" s="13" t="n"/>
      <c r="I3484" s="15" t="n"/>
      <c r="J3484" s="19" t="n">
        <v>3</v>
      </c>
      <c r="K3484" s="2" t="inlineStr">
        <is>
          <t>marker_364_376383.png</t>
        </is>
      </c>
      <c r="L3484" s="11">
        <f>HYPERLINK("3\1\" &amp; K3484, "Ver Imagen")</f>
        <v/>
      </c>
      <c r="M3484" t="inlineStr">
        <is>
          <t>Moda</t>
        </is>
      </c>
    </row>
    <row r="3485">
      <c r="A3485" t="n">
        <v>3485</v>
      </c>
      <c r="B3485" t="inlineStr">
        <is>
          <t>A-497__472</t>
        </is>
      </c>
      <c r="C3485" s="1" t="n">
        <v>37.2168029492</v>
      </c>
      <c r="D3485" s="1" t="n">
        <v>-7.023084971</v>
      </c>
      <c r="E3485" s="3" t="n">
        <v>2</v>
      </c>
      <c r="F3485" s="2" t="n">
        <v>3</v>
      </c>
      <c r="G3485" s="4" t="n">
        <v>3</v>
      </c>
      <c r="H3485" s="13" t="n"/>
      <c r="I3485" s="15" t="n"/>
      <c r="J3485" s="19" t="n">
        <v>3</v>
      </c>
      <c r="K3485" s="2" t="inlineStr">
        <is>
          <t>marker_263_376404.png</t>
        </is>
      </c>
      <c r="L3485" s="11">
        <f>HYPERLINK("3\1\" &amp; K3485, "Ver Imagen")</f>
        <v/>
      </c>
      <c r="M3485" t="inlineStr">
        <is>
          <t>Moda</t>
        </is>
      </c>
    </row>
    <row r="3486">
      <c r="A3486" t="n">
        <v>3486</v>
      </c>
      <c r="B3486" t="inlineStr">
        <is>
          <t>A-497__470</t>
        </is>
      </c>
      <c r="C3486" s="1" t="n">
        <v>37.2171875591</v>
      </c>
      <c r="D3486" s="1" t="n">
        <v>-7.02301678805</v>
      </c>
      <c r="E3486" s="3" t="n">
        <v>2</v>
      </c>
      <c r="F3486" s="2" t="n">
        <v>3</v>
      </c>
      <c r="G3486" s="4" t="n">
        <v>3</v>
      </c>
      <c r="H3486" s="13" t="n"/>
      <c r="I3486" s="15" t="n"/>
      <c r="J3486" s="19" t="n">
        <v>3</v>
      </c>
      <c r="K3486" s="2" t="inlineStr">
        <is>
          <t>marker_776_376472.png</t>
        </is>
      </c>
      <c r="L3486" s="11">
        <f>HYPERLINK("3\1\" &amp; K3486, "Ver Imagen")</f>
        <v/>
      </c>
      <c r="M3486" t="inlineStr">
        <is>
          <t>Moda</t>
        </is>
      </c>
    </row>
    <row r="3487">
      <c r="A3487" t="n">
        <v>3487</v>
      </c>
      <c r="B3487" t="inlineStr">
        <is>
          <t>A-497__469</t>
        </is>
      </c>
      <c r="C3487" s="1" t="n">
        <v>37.2173580271</v>
      </c>
      <c r="D3487" s="1" t="n">
        <v>-7.02298729775</v>
      </c>
      <c r="E3487" s="3" t="n">
        <v>3</v>
      </c>
      <c r="F3487" s="2" t="n">
        <v>3</v>
      </c>
      <c r="G3487" s="4" t="n">
        <v>2</v>
      </c>
      <c r="H3487" s="13" t="n"/>
      <c r="I3487" s="15" t="n"/>
      <c r="J3487" s="19" t="n">
        <v>3</v>
      </c>
      <c r="K3487" s="2" t="inlineStr">
        <is>
          <t>marker_646_376480.png</t>
        </is>
      </c>
      <c r="L3487" s="11">
        <f>HYPERLINK("3\1\" &amp; K3487, "Ver Imagen")</f>
        <v/>
      </c>
      <c r="M3487" t="inlineStr">
        <is>
          <t>Moda</t>
        </is>
      </c>
    </row>
    <row r="3488">
      <c r="A3488" t="n">
        <v>3488</v>
      </c>
      <c r="B3488" t="inlineStr">
        <is>
          <t>A-497__468</t>
        </is>
      </c>
      <c r="C3488" s="1" t="n">
        <v>37.2175455213</v>
      </c>
      <c r="D3488" s="1" t="n">
        <v>-7.02295537561</v>
      </c>
      <c r="E3488" s="3" t="n">
        <v>4</v>
      </c>
      <c r="F3488" s="2" t="n">
        <v>3</v>
      </c>
      <c r="G3488" s="4" t="n">
        <v>3</v>
      </c>
      <c r="H3488" s="13" t="n"/>
      <c r="I3488" s="15" t="n"/>
      <c r="J3488" s="19" t="n">
        <v>3</v>
      </c>
      <c r="K3488" s="2" t="inlineStr">
        <is>
          <t>marker_109_376489.png</t>
        </is>
      </c>
      <c r="L3488" s="11">
        <f>HYPERLINK("3\1\" &amp; K3488, "Ver Imagen")</f>
        <v/>
      </c>
      <c r="M3488" t="inlineStr">
        <is>
          <t>Moda</t>
        </is>
      </c>
    </row>
    <row r="3489">
      <c r="A3489" t="n">
        <v>3489</v>
      </c>
      <c r="B3489" t="inlineStr">
        <is>
          <t>A-497_2C__435</t>
        </is>
      </c>
      <c r="C3489" s="1" t="n">
        <v>37.2232369122</v>
      </c>
      <c r="D3489" s="1" t="n">
        <v>-7.02327046562</v>
      </c>
      <c r="E3489" s="3" t="n">
        <v>2</v>
      </c>
      <c r="F3489" s="2" t="n">
        <v>3</v>
      </c>
      <c r="G3489" s="4" t="n">
        <v>3</v>
      </c>
      <c r="H3489" s="13" t="n"/>
      <c r="I3489" s="15" t="n"/>
      <c r="J3489" s="19" t="n">
        <v>3</v>
      </c>
      <c r="K3489" s="2" t="inlineStr">
        <is>
          <t>marker_612_363258.png</t>
        </is>
      </c>
      <c r="L3489" s="11">
        <f>HYPERLINK("3\1\" &amp; K3489, "Ver Imagen")</f>
        <v/>
      </c>
      <c r="M3489" t="inlineStr">
        <is>
          <t>Moda</t>
        </is>
      </c>
    </row>
    <row r="3490">
      <c r="A3490" t="n">
        <v>3490</v>
      </c>
      <c r="B3490" t="inlineStr">
        <is>
          <t>A-497_2C__439</t>
        </is>
      </c>
      <c r="C3490" s="1" t="n">
        <v>37.2224793118</v>
      </c>
      <c r="D3490" s="1" t="n">
        <v>-7.0231970096</v>
      </c>
      <c r="E3490" s="3" t="n">
        <v>2</v>
      </c>
      <c r="F3490" s="2" t="n">
        <v>3</v>
      </c>
      <c r="G3490" s="4" t="n">
        <v>3</v>
      </c>
      <c r="H3490" s="13" t="n"/>
      <c r="I3490" s="15" t="n"/>
      <c r="J3490" s="19" t="n">
        <v>3</v>
      </c>
      <c r="K3490" s="2" t="inlineStr">
        <is>
          <t>marker_784_363299.png</t>
        </is>
      </c>
      <c r="L3490" s="11">
        <f>HYPERLINK("3\1\" &amp; K3490, "Ver Imagen")</f>
        <v/>
      </c>
      <c r="M3490" t="inlineStr">
        <is>
          <t>Moda</t>
        </is>
      </c>
    </row>
    <row r="3491">
      <c r="A3491" t="n">
        <v>3491</v>
      </c>
      <c r="B3491" t="inlineStr">
        <is>
          <t>A-497_2C__449</t>
        </is>
      </c>
      <c r="C3491" s="1" t="n">
        <v>37.2204825203</v>
      </c>
      <c r="D3491" s="1" t="n">
        <v>-7.02300638825</v>
      </c>
      <c r="E3491" s="3" t="n">
        <v>3</v>
      </c>
      <c r="F3491" s="2" t="n">
        <v>3</v>
      </c>
      <c r="G3491" s="4" t="n">
        <v>4</v>
      </c>
      <c r="H3491" s="13" t="n"/>
      <c r="I3491" s="15" t="n"/>
      <c r="J3491" s="19" t="n">
        <v>3</v>
      </c>
      <c r="K3491" s="2" t="inlineStr">
        <is>
          <t>marker_948_363409.png</t>
        </is>
      </c>
      <c r="L3491" s="11">
        <f>HYPERLINK("3\1\" &amp; K3491, "Ver Imagen")</f>
        <v/>
      </c>
      <c r="M3491" t="inlineStr">
        <is>
          <t>Moda</t>
        </is>
      </c>
    </row>
    <row r="3492">
      <c r="A3492" t="n">
        <v>3492</v>
      </c>
      <c r="B3492" t="inlineStr">
        <is>
          <t>A-497_2C__451</t>
        </is>
      </c>
      <c r="C3492" s="1" t="n">
        <v>37.2200560991</v>
      </c>
      <c r="D3492" s="1" t="n">
        <v>-7.02297047112</v>
      </c>
      <c r="E3492" s="3" t="n">
        <v>4</v>
      </c>
      <c r="F3492" s="2" t="n">
        <v>3</v>
      </c>
      <c r="G3492" s="4" t="n">
        <v>3</v>
      </c>
      <c r="H3492" s="13" t="n"/>
      <c r="I3492" s="15" t="n"/>
      <c r="J3492" s="19" t="n">
        <v>3</v>
      </c>
      <c r="K3492" s="2" t="inlineStr">
        <is>
          <t>marker_682_363428.png</t>
        </is>
      </c>
      <c r="L3492" s="11">
        <f>HYPERLINK("3\1\" &amp; K3492, "Ver Imagen")</f>
        <v/>
      </c>
      <c r="M3492" t="inlineStr">
        <is>
          <t>Moda</t>
        </is>
      </c>
    </row>
    <row r="3493">
      <c r="A3493" t="n">
        <v>3493</v>
      </c>
      <c r="B3493" t="inlineStr">
        <is>
          <t>A-497_2C__452</t>
        </is>
      </c>
      <c r="C3493" s="1" t="n">
        <v>37.219847288</v>
      </c>
      <c r="D3493" s="1" t="n">
        <v>-7.02295762341</v>
      </c>
      <c r="E3493" s="3" t="n">
        <v>4</v>
      </c>
      <c r="F3493" s="2" t="n">
        <v>3</v>
      </c>
      <c r="G3493" s="4" t="n">
        <v>3</v>
      </c>
      <c r="H3493" s="13" t="n"/>
      <c r="I3493" s="15" t="n"/>
      <c r="J3493" s="19" t="n">
        <v>3</v>
      </c>
      <c r="K3493" s="2" t="inlineStr">
        <is>
          <t>marker_409_363437.png</t>
        </is>
      </c>
      <c r="L3493" s="11">
        <f>HYPERLINK("3\1\" &amp; K3493, "Ver Imagen")</f>
        <v/>
      </c>
      <c r="M3493" t="inlineStr">
        <is>
          <t>Moda</t>
        </is>
      </c>
    </row>
    <row r="3494">
      <c r="A3494" t="n">
        <v>3494</v>
      </c>
      <c r="B3494" t="inlineStr">
        <is>
          <t>A-497_2C__453</t>
        </is>
      </c>
      <c r="C3494" s="1" t="n">
        <v>37.2196459475</v>
      </c>
      <c r="D3494" s="1" t="n">
        <v>-7.02295048981</v>
      </c>
      <c r="E3494" s="3" t="n">
        <v>4</v>
      </c>
      <c r="F3494" s="2" t="n">
        <v>3</v>
      </c>
      <c r="G3494" s="4" t="n">
        <v>3</v>
      </c>
      <c r="H3494" s="13" t="n"/>
      <c r="I3494" s="15" t="n"/>
      <c r="J3494" s="19" t="n">
        <v>3</v>
      </c>
      <c r="K3494" s="2" t="inlineStr">
        <is>
          <t>marker_336_363446.png</t>
        </is>
      </c>
      <c r="L3494" s="11">
        <f>HYPERLINK("3\1\" &amp; K3494, "Ver Imagen")</f>
        <v/>
      </c>
      <c r="M3494" t="inlineStr">
        <is>
          <t>Moda</t>
        </is>
      </c>
    </row>
    <row r="3495">
      <c r="A3495" t="n">
        <v>3495</v>
      </c>
      <c r="B3495" t="inlineStr">
        <is>
          <t>A-497_2C__457</t>
        </is>
      </c>
      <c r="C3495" s="1" t="n">
        <v>37.2188301612</v>
      </c>
      <c r="D3495" s="1" t="n">
        <v>-7.0229743139</v>
      </c>
      <c r="E3495" s="3" t="n">
        <v>2</v>
      </c>
      <c r="F3495" s="2" t="n">
        <v>3</v>
      </c>
      <c r="G3495" s="4" t="n">
        <v>3</v>
      </c>
      <c r="H3495" s="13" t="n"/>
      <c r="I3495" s="15" t="n"/>
      <c r="J3495" s="19" t="n">
        <v>3</v>
      </c>
      <c r="K3495" s="2" t="inlineStr">
        <is>
          <t>marker_522_363487.png</t>
        </is>
      </c>
      <c r="L3495" s="11">
        <f>HYPERLINK("3\1\" &amp; K3495, "Ver Imagen")</f>
        <v/>
      </c>
      <c r="M3495" t="inlineStr">
        <is>
          <t>Moda</t>
        </is>
      </c>
    </row>
    <row r="3496">
      <c r="A3496" t="n">
        <v>3496</v>
      </c>
      <c r="B3496" t="inlineStr">
        <is>
          <t>A-497_2C__475</t>
        </is>
      </c>
      <c r="C3496" s="1" t="n">
        <v>37.2152265516</v>
      </c>
      <c r="D3496" s="1" t="n">
        <v>-7.02354554443</v>
      </c>
      <c r="E3496" s="3" t="n">
        <v>4</v>
      </c>
      <c r="F3496" s="2" t="n">
        <v>3</v>
      </c>
      <c r="G3496" s="4" t="n">
        <v>3</v>
      </c>
      <c r="H3496" s="13" t="n"/>
      <c r="I3496" s="15" t="n"/>
      <c r="J3496" s="19" t="n">
        <v>3</v>
      </c>
      <c r="K3496" s="2" t="inlineStr">
        <is>
          <t>marker_414_363701.png</t>
        </is>
      </c>
      <c r="L3496" s="11">
        <f>HYPERLINK("3\1\" &amp; K3496, "Ver Imagen")</f>
        <v/>
      </c>
      <c r="M3496" t="inlineStr">
        <is>
          <t>Moda</t>
        </is>
      </c>
    </row>
    <row r="3497">
      <c r="A3497" t="n">
        <v>3497</v>
      </c>
      <c r="B3497" t="inlineStr">
        <is>
          <t>A-497_2C__479</t>
        </is>
      </c>
      <c r="C3497" s="1" t="n">
        <v>37.21438888</v>
      </c>
      <c r="D3497" s="1" t="n">
        <v>-7.02369792884</v>
      </c>
      <c r="E3497" s="3" t="n">
        <v>4</v>
      </c>
      <c r="F3497" s="2" t="n">
        <v>3</v>
      </c>
      <c r="G3497" s="4" t="n">
        <v>3</v>
      </c>
      <c r="H3497" s="13" t="n"/>
      <c r="I3497" s="15" t="n"/>
      <c r="J3497" s="19" t="n">
        <v>3</v>
      </c>
      <c r="K3497" s="2" t="inlineStr">
        <is>
          <t>marker_695_363746.png</t>
        </is>
      </c>
      <c r="L3497" s="11">
        <f>HYPERLINK("3\1\" &amp; K3497, "Ver Imagen")</f>
        <v/>
      </c>
      <c r="M3497" t="inlineStr">
        <is>
          <t>Moda</t>
        </is>
      </c>
    </row>
    <row r="3498">
      <c r="A3498" t="n">
        <v>3498</v>
      </c>
      <c r="B3498" t="inlineStr">
        <is>
          <t>A-497_2C__488</t>
        </is>
      </c>
      <c r="C3498" s="1" t="n">
        <v>37.2126198364</v>
      </c>
      <c r="D3498" s="1" t="n">
        <v>-7.02399515171</v>
      </c>
      <c r="E3498" s="3" t="n">
        <v>4</v>
      </c>
      <c r="F3498" s="2" t="n">
        <v>3</v>
      </c>
      <c r="G3498" s="4" t="n">
        <v>3</v>
      </c>
      <c r="H3498" s="13" t="n"/>
      <c r="I3498" s="15" t="n"/>
      <c r="J3498" s="19" t="n">
        <v>3</v>
      </c>
      <c r="K3498" s="2" t="inlineStr">
        <is>
          <t>marker_683_363855.png</t>
        </is>
      </c>
      <c r="L3498" s="11">
        <f>HYPERLINK("3\1\" &amp; K3498, "Ver Imagen")</f>
        <v/>
      </c>
      <c r="M3498" t="inlineStr">
        <is>
          <t>Moda</t>
        </is>
      </c>
    </row>
    <row r="3499">
      <c r="A3499" t="n">
        <v>3499</v>
      </c>
      <c r="B3499" t="inlineStr">
        <is>
          <t>A-497_2C__492</t>
        </is>
      </c>
      <c r="C3499" s="1" t="n">
        <v>37.21175571</v>
      </c>
      <c r="D3499" s="1" t="n">
        <v>-7.02404934996</v>
      </c>
      <c r="E3499" s="3" t="n">
        <v>4</v>
      </c>
      <c r="F3499" s="2" t="n">
        <v>3</v>
      </c>
      <c r="G3499" s="4" t="n">
        <v>3</v>
      </c>
      <c r="H3499" s="13" t="n"/>
      <c r="I3499" s="15" t="n"/>
      <c r="J3499" s="19" t="n">
        <v>3</v>
      </c>
      <c r="K3499" s="2" t="inlineStr">
        <is>
          <t>marker_894_363915.png</t>
        </is>
      </c>
      <c r="L3499" s="11">
        <f>HYPERLINK("3\1\" &amp; K3499, "Ver Imagen")</f>
        <v/>
      </c>
      <c r="M3499" t="inlineStr">
        <is>
          <t>Moda</t>
        </is>
      </c>
    </row>
    <row r="3500">
      <c r="A3500" t="n">
        <v>3500</v>
      </c>
      <c r="B3500" t="inlineStr">
        <is>
          <t>A-497_2C__494</t>
        </is>
      </c>
      <c r="C3500" s="1" t="n">
        <v>37.2113713714</v>
      </c>
      <c r="D3500" s="1" t="n">
        <v>-7.02402966503</v>
      </c>
      <c r="E3500" s="3" t="n">
        <v>4</v>
      </c>
      <c r="F3500" s="2" t="n">
        <v>3</v>
      </c>
      <c r="G3500" s="4" t="n">
        <v>3</v>
      </c>
      <c r="H3500" s="13" t="n"/>
      <c r="I3500" s="15" t="n"/>
      <c r="J3500" s="19" t="n">
        <v>3</v>
      </c>
      <c r="K3500" s="2" t="inlineStr">
        <is>
          <t>marker_207_363942.png</t>
        </is>
      </c>
      <c r="L3500" s="11">
        <f>HYPERLINK("3\1\" &amp; K3500, "Ver Imagen")</f>
        <v/>
      </c>
      <c r="M3500" t="inlineStr">
        <is>
          <t>Moda</t>
        </is>
      </c>
    </row>
    <row r="3501">
      <c r="A3501" t="n">
        <v>3501</v>
      </c>
      <c r="B3501" t="inlineStr">
        <is>
          <t>A-497_2C__495</t>
        </is>
      </c>
      <c r="C3501" s="1" t="n">
        <v>37.2111775098</v>
      </c>
      <c r="D3501" s="1" t="n">
        <v>-7.02400987202</v>
      </c>
      <c r="E3501" s="3" t="n">
        <v>4</v>
      </c>
      <c r="F3501" s="2" t="n">
        <v>3</v>
      </c>
      <c r="G3501" s="4" t="n">
        <v>3</v>
      </c>
      <c r="H3501" s="13" t="n"/>
      <c r="I3501" s="15" t="n"/>
      <c r="J3501" s="19" t="n">
        <v>3</v>
      </c>
      <c r="K3501" s="2" t="inlineStr">
        <is>
          <t>marker_503_363956.png</t>
        </is>
      </c>
      <c r="L3501" s="11">
        <f>HYPERLINK("3\1\" &amp; K3501, "Ver Imagen")</f>
        <v/>
      </c>
      <c r="M3501" t="inlineStr">
        <is>
          <t>Moda</t>
        </is>
      </c>
    </row>
    <row r="3502">
      <c r="A3502" t="n">
        <v>3502</v>
      </c>
      <c r="B3502" t="inlineStr">
        <is>
          <t>A-497_2C__496</t>
        </is>
      </c>
      <c r="C3502" s="1" t="n">
        <v>37.2109886192</v>
      </c>
      <c r="D3502" s="1" t="n">
        <v>-7.02398335252</v>
      </c>
      <c r="E3502" s="3" t="n">
        <v>4</v>
      </c>
      <c r="F3502" s="2" t="n">
        <v>3</v>
      </c>
      <c r="G3502" s="4" t="n">
        <v>3</v>
      </c>
      <c r="H3502" s="13" t="n"/>
      <c r="I3502" s="15" t="n"/>
      <c r="J3502" s="19" t="n">
        <v>3</v>
      </c>
      <c r="K3502" s="2" t="inlineStr">
        <is>
          <t>marker_898_363967.png</t>
        </is>
      </c>
      <c r="L3502" s="11">
        <f>HYPERLINK("3\1\" &amp; K3502, "Ver Imagen")</f>
        <v/>
      </c>
      <c r="M3502" t="inlineStr">
        <is>
          <t>Moda</t>
        </is>
      </c>
    </row>
    <row r="3503">
      <c r="A3503" t="n">
        <v>3503</v>
      </c>
      <c r="B3503" t="inlineStr">
        <is>
          <t>A-497_2C__497</t>
        </is>
      </c>
      <c r="C3503" s="1" t="n">
        <v>37.2108011125</v>
      </c>
      <c r="D3503" s="1" t="n">
        <v>-7.02394907332</v>
      </c>
      <c r="E3503" s="3" t="n">
        <v>4</v>
      </c>
      <c r="F3503" s="2" t="n">
        <v>3</v>
      </c>
      <c r="G3503" s="4" t="n">
        <v>3</v>
      </c>
      <c r="H3503" s="13" t="n"/>
      <c r="I3503" s="15" t="n"/>
      <c r="J3503" s="19" t="n">
        <v>3</v>
      </c>
      <c r="K3503" s="2" t="inlineStr">
        <is>
          <t>marker_745_364032.png</t>
        </is>
      </c>
      <c r="L3503" s="11">
        <f>HYPERLINK("3\1\" &amp; K3503, "Ver Imagen")</f>
        <v/>
      </c>
      <c r="M3503" t="inlineStr">
        <is>
          <t>Moda</t>
        </is>
      </c>
    </row>
    <row r="3504">
      <c r="A3504" t="n">
        <v>3504</v>
      </c>
      <c r="B3504" t="inlineStr">
        <is>
          <t>A-497_2C__498</t>
        </is>
      </c>
      <c r="C3504" s="1" t="n">
        <v>37.2105815322</v>
      </c>
      <c r="D3504" s="1" t="n">
        <v>-7.02389888229</v>
      </c>
      <c r="E3504" s="3" t="n">
        <v>2</v>
      </c>
      <c r="F3504" s="2" t="n">
        <v>3</v>
      </c>
      <c r="G3504" s="4" t="n">
        <v>3</v>
      </c>
      <c r="H3504" s="13" t="n"/>
      <c r="I3504" s="15" t="n"/>
      <c r="J3504" s="19" t="n">
        <v>3</v>
      </c>
      <c r="K3504" s="2" t="inlineStr">
        <is>
          <t>marker_717_364041.png</t>
        </is>
      </c>
      <c r="L3504" s="11">
        <f>HYPERLINK("3\1\" &amp; K3504, "Ver Imagen")</f>
        <v/>
      </c>
      <c r="M3504" t="inlineStr">
        <is>
          <t>Moda</t>
        </is>
      </c>
    </row>
    <row r="3505">
      <c r="A3505" t="n">
        <v>3505</v>
      </c>
      <c r="B3505" t="inlineStr">
        <is>
          <t>A-497_2C__503</t>
        </is>
      </c>
      <c r="C3505" s="1" t="n">
        <v>37.2095945912</v>
      </c>
      <c r="D3505" s="1" t="n">
        <v>-7.02355479878</v>
      </c>
      <c r="E3505" s="3" t="n">
        <v>4</v>
      </c>
      <c r="F3505" s="2" t="n">
        <v>3</v>
      </c>
      <c r="G3505" s="4" t="n">
        <v>3</v>
      </c>
      <c r="H3505" s="13" t="n"/>
      <c r="I3505" s="15" t="n"/>
      <c r="J3505" s="19" t="n">
        <v>3</v>
      </c>
      <c r="K3505" s="2" t="inlineStr">
        <is>
          <t>marker_175_364091.png</t>
        </is>
      </c>
      <c r="L3505" s="11">
        <f>HYPERLINK("3\1\" &amp; K3505, "Ver Imagen")</f>
        <v/>
      </c>
      <c r="M3505" t="inlineStr">
        <is>
          <t>Moda</t>
        </is>
      </c>
    </row>
    <row r="3506">
      <c r="A3506" t="n">
        <v>3506</v>
      </c>
      <c r="B3506" t="inlineStr">
        <is>
          <t>A-497_2C__510</t>
        </is>
      </c>
      <c r="C3506" s="1" t="n">
        <v>37.2083208634</v>
      </c>
      <c r="D3506" s="1" t="n">
        <v>-7.02277428814</v>
      </c>
      <c r="E3506" s="3" t="n">
        <v>3</v>
      </c>
      <c r="F3506" s="2" t="n">
        <v>3</v>
      </c>
      <c r="G3506" s="4" t="n">
        <v>2</v>
      </c>
      <c r="H3506" s="13" t="n"/>
      <c r="I3506" s="15" t="n"/>
      <c r="J3506" s="19" t="n">
        <v>3</v>
      </c>
      <c r="K3506" s="2" t="inlineStr">
        <is>
          <t>marker_670_364159.png</t>
        </is>
      </c>
      <c r="L3506" s="11">
        <f>HYPERLINK("3\1\" &amp; K3506, "Ver Imagen")</f>
        <v/>
      </c>
      <c r="M3506" t="inlineStr">
        <is>
          <t>Moda</t>
        </is>
      </c>
    </row>
    <row r="3507">
      <c r="A3507" t="n">
        <v>3507</v>
      </c>
      <c r="B3507" t="inlineStr">
        <is>
          <t>A-497_2C__512</t>
        </is>
      </c>
      <c r="C3507" s="1" t="n">
        <v>37.2079938859</v>
      </c>
      <c r="D3507" s="1" t="n">
        <v>-7.02249790509</v>
      </c>
      <c r="E3507" s="3" t="n">
        <v>2</v>
      </c>
      <c r="F3507" s="2" t="n">
        <v>3</v>
      </c>
      <c r="G3507" s="4" t="n">
        <v>3</v>
      </c>
      <c r="H3507" s="13" t="n"/>
      <c r="I3507" s="15" t="n"/>
      <c r="J3507" s="19" t="n">
        <v>3</v>
      </c>
      <c r="K3507" s="2" t="inlineStr">
        <is>
          <t>marker_507_364178.png</t>
        </is>
      </c>
      <c r="L3507" s="11">
        <f>HYPERLINK("3\1\" &amp; K3507, "Ver Imagen")</f>
        <v/>
      </c>
      <c r="M3507" t="inlineStr">
        <is>
          <t>Moda</t>
        </is>
      </c>
    </row>
    <row r="3508">
      <c r="A3508" t="n">
        <v>3508</v>
      </c>
      <c r="B3508" t="inlineStr">
        <is>
          <t>A-497_2C__513</t>
        </is>
      </c>
      <c r="C3508" s="1" t="n">
        <v>37.2078393048</v>
      </c>
      <c r="D3508" s="1" t="n">
        <v>-7.02235454407</v>
      </c>
      <c r="E3508" s="3" t="n">
        <v>2</v>
      </c>
      <c r="F3508" s="2" t="n">
        <v>3</v>
      </c>
      <c r="G3508" s="4" t="n">
        <v>3</v>
      </c>
      <c r="H3508" s="13" t="n"/>
      <c r="I3508" s="15" t="n"/>
      <c r="J3508" s="19" t="n">
        <v>3</v>
      </c>
      <c r="K3508" s="2" t="inlineStr">
        <is>
          <t>marker_737_364188.png</t>
        </is>
      </c>
      <c r="L3508" s="11">
        <f>HYPERLINK("3\1\" &amp; K3508, "Ver Imagen")</f>
        <v/>
      </c>
      <c r="M3508" t="inlineStr">
        <is>
          <t>Moda</t>
        </is>
      </c>
    </row>
    <row r="3509">
      <c r="A3509" t="n">
        <v>3509</v>
      </c>
      <c r="B3509" t="inlineStr">
        <is>
          <t>A-497_2C__514</t>
        </is>
      </c>
      <c r="C3509" s="1" t="n">
        <v>37.2076505005</v>
      </c>
      <c r="D3509" s="1" t="n">
        <v>-7.022166977</v>
      </c>
      <c r="E3509" s="3" t="n">
        <v>2</v>
      </c>
      <c r="F3509" s="2" t="n">
        <v>3</v>
      </c>
      <c r="G3509" s="4" t="n">
        <v>3</v>
      </c>
      <c r="H3509" s="13" t="n"/>
      <c r="I3509" s="15" t="n"/>
      <c r="J3509" s="19" t="n">
        <v>3</v>
      </c>
      <c r="K3509" s="2" t="inlineStr">
        <is>
          <t>marker_489_364198.png</t>
        </is>
      </c>
      <c r="L3509" s="11">
        <f>HYPERLINK("3\1\" &amp; K3509, "Ver Imagen")</f>
        <v/>
      </c>
      <c r="M3509" t="inlineStr">
        <is>
          <t>Moda</t>
        </is>
      </c>
    </row>
    <row r="3510">
      <c r="A3510" t="n">
        <v>3510</v>
      </c>
      <c r="B3510" t="inlineStr">
        <is>
          <t>A-497_2C__515</t>
        </is>
      </c>
      <c r="C3510" s="1" t="n">
        <v>37.2075236113</v>
      </c>
      <c r="D3510" s="1" t="n">
        <v>-7.02203312077</v>
      </c>
      <c r="E3510" s="3" t="n">
        <v>2</v>
      </c>
      <c r="F3510" s="2" t="n">
        <v>3</v>
      </c>
      <c r="G3510" s="4" t="n">
        <v>3</v>
      </c>
      <c r="H3510" s="13" t="n"/>
      <c r="I3510" s="15" t="n"/>
      <c r="J3510" s="19" t="n">
        <v>3</v>
      </c>
      <c r="K3510" s="2" t="inlineStr">
        <is>
          <t>marker_277_364207.png</t>
        </is>
      </c>
      <c r="L3510" s="11">
        <f>HYPERLINK("3\1\" &amp; K3510, "Ver Imagen")</f>
        <v/>
      </c>
      <c r="M3510" t="inlineStr">
        <is>
          <t>Moda</t>
        </is>
      </c>
    </row>
    <row r="3511">
      <c r="A3511" t="n">
        <v>3511</v>
      </c>
      <c r="B3511" t="inlineStr">
        <is>
          <t>A-497_2C__516</t>
        </is>
      </c>
      <c r="C3511" s="1" t="n">
        <v>37.2073648791</v>
      </c>
      <c r="D3511" s="1" t="n">
        <v>-7.0218572606</v>
      </c>
      <c r="E3511" s="3" t="n">
        <v>2</v>
      </c>
      <c r="F3511" s="2" t="n">
        <v>3</v>
      </c>
      <c r="G3511" s="4" t="n">
        <v>3</v>
      </c>
      <c r="H3511" s="13" t="n"/>
      <c r="I3511" s="15" t="n"/>
      <c r="J3511" s="19" t="n">
        <v>3</v>
      </c>
      <c r="K3511" s="2" t="inlineStr">
        <is>
          <t>marker_529_364218.png</t>
        </is>
      </c>
      <c r="L3511" s="11">
        <f>HYPERLINK("3\1\" &amp; K3511, "Ver Imagen")</f>
        <v/>
      </c>
      <c r="M3511" t="inlineStr">
        <is>
          <t>Moda</t>
        </is>
      </c>
    </row>
    <row r="3512">
      <c r="A3512" t="n">
        <v>3512</v>
      </c>
      <c r="B3512" t="inlineStr">
        <is>
          <t>A-497_2C__517</t>
        </is>
      </c>
      <c r="C3512" s="1" t="n">
        <v>37.20721844</v>
      </c>
      <c r="D3512" s="1" t="n">
        <v>-7.02168662116</v>
      </c>
      <c r="E3512" s="3" t="n">
        <v>2</v>
      </c>
      <c r="F3512" s="2" t="n">
        <v>3</v>
      </c>
      <c r="G3512" s="4" t="n">
        <v>3</v>
      </c>
      <c r="H3512" s="13" t="n"/>
      <c r="I3512" s="15" t="n"/>
      <c r="J3512" s="19" t="n">
        <v>3</v>
      </c>
      <c r="K3512" s="2" t="inlineStr">
        <is>
          <t>marker_435_364234.png</t>
        </is>
      </c>
      <c r="L3512" s="11">
        <f>HYPERLINK("3\1\" &amp; K3512, "Ver Imagen")</f>
        <v/>
      </c>
      <c r="M3512" t="inlineStr">
        <is>
          <t>Moda</t>
        </is>
      </c>
    </row>
    <row r="3513">
      <c r="A3513" t="n">
        <v>3513</v>
      </c>
      <c r="B3513" t="inlineStr">
        <is>
          <t>A-497_2C__518</t>
        </is>
      </c>
      <c r="C3513" s="1" t="n">
        <v>37.2070760786</v>
      </c>
      <c r="D3513" s="1" t="n">
        <v>-7.02151193781</v>
      </c>
      <c r="E3513" s="3" t="n">
        <v>3</v>
      </c>
      <c r="F3513" s="2" t="n">
        <v>3</v>
      </c>
      <c r="G3513" s="4" t="n">
        <v>4</v>
      </c>
      <c r="H3513" s="13" t="n"/>
      <c r="I3513" s="15" t="n"/>
      <c r="J3513" s="19" t="n">
        <v>3</v>
      </c>
      <c r="K3513" s="2" t="inlineStr">
        <is>
          <t>marker_648_364244.png</t>
        </is>
      </c>
      <c r="L3513" s="11">
        <f>HYPERLINK("3\1\" &amp; K3513, "Ver Imagen")</f>
        <v/>
      </c>
      <c r="M3513" t="inlineStr">
        <is>
          <t>Moda</t>
        </is>
      </c>
    </row>
    <row r="3514">
      <c r="A3514" t="n">
        <v>3514</v>
      </c>
      <c r="B3514" t="inlineStr">
        <is>
          <t>A-497_2C__519</t>
        </is>
      </c>
      <c r="C3514" s="1" t="n">
        <v>37.2069122072</v>
      </c>
      <c r="D3514" s="1" t="n">
        <v>-7.02129621282</v>
      </c>
      <c r="E3514" s="3" t="n">
        <v>2</v>
      </c>
      <c r="F3514" s="2" t="n">
        <v>3</v>
      </c>
      <c r="G3514" s="4" t="n">
        <v>3</v>
      </c>
      <c r="H3514" s="13" t="n"/>
      <c r="I3514" s="15" t="n"/>
      <c r="J3514" s="19" t="n">
        <v>3</v>
      </c>
      <c r="K3514" s="2" t="inlineStr">
        <is>
          <t>marker_372_364265.png</t>
        </is>
      </c>
      <c r="L3514" s="11">
        <f>HYPERLINK("3\1\" &amp; K3514, "Ver Imagen")</f>
        <v/>
      </c>
      <c r="M3514" t="inlineStr">
        <is>
          <t>Moda</t>
        </is>
      </c>
    </row>
    <row r="3515">
      <c r="A3515" t="n">
        <v>3515</v>
      </c>
      <c r="B3515" t="inlineStr">
        <is>
          <t>A-497_2C__551</t>
        </is>
      </c>
      <c r="C3515" s="1" t="n">
        <v>37.2045348036</v>
      </c>
      <c r="D3515" s="1" t="n">
        <v>-7.01405294458</v>
      </c>
      <c r="E3515" s="3" t="n">
        <v>2</v>
      </c>
      <c r="F3515" s="2" t="n">
        <v>3</v>
      </c>
      <c r="G3515" s="4" t="n">
        <v>3</v>
      </c>
      <c r="H3515" s="13" t="n"/>
      <c r="I3515" s="15" t="n"/>
      <c r="J3515" s="19" t="n">
        <v>3</v>
      </c>
      <c r="K3515" s="2" t="inlineStr">
        <is>
          <t>marker_253_364693.png</t>
        </is>
      </c>
      <c r="L3515" s="11">
        <f>HYPERLINK("3\1\" &amp; K3515, "Ver Imagen")</f>
        <v/>
      </c>
      <c r="M3515" t="inlineStr">
        <is>
          <t>Moda</t>
        </is>
      </c>
    </row>
    <row r="3516">
      <c r="A3516" t="n">
        <v>3516</v>
      </c>
      <c r="B3516" t="inlineStr">
        <is>
          <t>A-497_2C__576</t>
        </is>
      </c>
      <c r="C3516" s="1" t="n">
        <v>37.2034803561</v>
      </c>
      <c r="D3516" s="1" t="n">
        <v>-7.00785064269</v>
      </c>
      <c r="E3516" s="3" t="n">
        <v>2</v>
      </c>
      <c r="F3516" s="2" t="n">
        <v>3</v>
      </c>
      <c r="G3516" s="4" t="n">
        <v>3</v>
      </c>
      <c r="H3516" s="13" t="n"/>
      <c r="I3516" s="15" t="n"/>
      <c r="J3516" s="19" t="n">
        <v>3</v>
      </c>
      <c r="K3516" s="2" t="inlineStr">
        <is>
          <t>marker_423_366538.png</t>
        </is>
      </c>
      <c r="L3516" s="11">
        <f>HYPERLINK("3\1\" &amp; K3516, "Ver Imagen")</f>
        <v/>
      </c>
      <c r="M3516" t="inlineStr">
        <is>
          <t>Moda</t>
        </is>
      </c>
    </row>
    <row r="3517">
      <c r="A3517" t="n">
        <v>3517</v>
      </c>
      <c r="B3517" t="inlineStr">
        <is>
          <t>A-497_2C__592</t>
        </is>
      </c>
      <c r="C3517" s="1" t="n">
        <v>37.2029545525</v>
      </c>
      <c r="D3517" s="1" t="n">
        <v>-7.00386111523</v>
      </c>
      <c r="E3517" s="3" t="n">
        <v>3</v>
      </c>
      <c r="F3517" s="2" t="n">
        <v>3</v>
      </c>
      <c r="G3517" s="4" t="n">
        <v>4</v>
      </c>
      <c r="H3517" s="13" t="n"/>
      <c r="I3517" s="15" t="n"/>
      <c r="J3517" s="19" t="n">
        <v>3</v>
      </c>
      <c r="K3517" s="2" t="inlineStr">
        <is>
          <t>marker_380_366689.png</t>
        </is>
      </c>
      <c r="L3517" s="11">
        <f>HYPERLINK("3\1\" &amp; K3517, "Ver Imagen")</f>
        <v/>
      </c>
      <c r="M3517" t="inlineStr">
        <is>
          <t>Moda</t>
        </is>
      </c>
    </row>
    <row r="3518">
      <c r="A3518" t="n">
        <v>3518</v>
      </c>
      <c r="B3518" t="inlineStr">
        <is>
          <t>A-497_2C__615</t>
        </is>
      </c>
      <c r="C3518" s="1" t="n">
        <v>37.2022431792</v>
      </c>
      <c r="D3518" s="1" t="n">
        <v>-6.99807825992</v>
      </c>
      <c r="E3518" s="3" t="n">
        <v>2</v>
      </c>
      <c r="F3518" s="2" t="n">
        <v>3</v>
      </c>
      <c r="G3518" s="4" t="n">
        <v>3</v>
      </c>
      <c r="H3518" s="13" t="n"/>
      <c r="I3518" s="15" t="n"/>
      <c r="J3518" s="19" t="n">
        <v>3</v>
      </c>
      <c r="K3518" s="2" t="inlineStr">
        <is>
          <t>marker_677_366919.png</t>
        </is>
      </c>
      <c r="L3518" s="11">
        <f>HYPERLINK("3\1\" &amp; K3518, "Ver Imagen")</f>
        <v/>
      </c>
      <c r="M3518" t="inlineStr">
        <is>
          <t>Moda</t>
        </is>
      </c>
    </row>
    <row r="3519">
      <c r="A3519" t="n">
        <v>3519</v>
      </c>
      <c r="B3519" t="inlineStr">
        <is>
          <t>A-497_2C__649</t>
        </is>
      </c>
      <c r="C3519" s="1" t="n">
        <v>37.2007309643</v>
      </c>
      <c r="D3519" s="1" t="n">
        <v>-6.98964097547</v>
      </c>
      <c r="E3519" s="3" t="n">
        <v>2</v>
      </c>
      <c r="F3519" s="2" t="n">
        <v>3</v>
      </c>
      <c r="G3519" s="4" t="n">
        <v>3</v>
      </c>
      <c r="H3519" s="13" t="n"/>
      <c r="I3519" s="15" t="n"/>
      <c r="J3519" s="19" t="n">
        <v>3</v>
      </c>
      <c r="K3519" s="2" t="inlineStr">
        <is>
          <t>marker_122_367270.png</t>
        </is>
      </c>
      <c r="L3519" s="11">
        <f>HYPERLINK("3\1\" &amp; K3519, "Ver Imagen")</f>
        <v/>
      </c>
      <c r="M3519" t="inlineStr">
        <is>
          <t>Moda</t>
        </is>
      </c>
    </row>
    <row r="3520">
      <c r="A3520" t="n">
        <v>3520</v>
      </c>
      <c r="B3520" t="inlineStr">
        <is>
          <t>A-497__433</t>
        </is>
      </c>
      <c r="C3520" s="1" t="n">
        <v>37.2246362599</v>
      </c>
      <c r="D3520" s="1" t="n">
        <v>-7.02320676438</v>
      </c>
      <c r="E3520" s="3" t="n">
        <v>2</v>
      </c>
      <c r="F3520" s="2" t="n">
        <v>3</v>
      </c>
      <c r="G3520" s="4" t="n">
        <v>3</v>
      </c>
      <c r="H3520" s="13" t="n"/>
      <c r="I3520" s="15" t="n"/>
      <c r="J3520" s="19" t="n">
        <v>3</v>
      </c>
      <c r="K3520" s="2" t="inlineStr">
        <is>
          <t>marker_312_376870.png</t>
        </is>
      </c>
      <c r="L3520" s="11">
        <f>HYPERLINK("3\1\" &amp; K3520, "Ver Imagen")</f>
        <v/>
      </c>
      <c r="M3520" t="inlineStr">
        <is>
          <t>Moda</t>
        </is>
      </c>
    </row>
    <row r="3521">
      <c r="A3521" t="n">
        <v>3521</v>
      </c>
      <c r="B3521" t="inlineStr">
        <is>
          <t>A-497__414</t>
        </is>
      </c>
      <c r="C3521" s="1" t="n">
        <v>37.2281970838</v>
      </c>
      <c r="D3521" s="1" t="n">
        <v>-7.02162910121</v>
      </c>
      <c r="E3521" s="3" t="n">
        <v>3</v>
      </c>
      <c r="F3521" s="2" t="n">
        <v>3</v>
      </c>
      <c r="G3521" s="4" t="n">
        <v>2</v>
      </c>
      <c r="H3521" s="13" t="n"/>
      <c r="I3521" s="15" t="n"/>
      <c r="J3521" s="19" t="n">
        <v>3</v>
      </c>
      <c r="K3521" s="2" t="inlineStr">
        <is>
          <t>marker_115_377066.png</t>
        </is>
      </c>
      <c r="L3521" s="11">
        <f>HYPERLINK("3\1\" &amp; K3521, "Ver Imagen")</f>
        <v/>
      </c>
      <c r="M3521" t="inlineStr">
        <is>
          <t>Moda</t>
        </is>
      </c>
    </row>
    <row r="3522">
      <c r="A3522" t="n">
        <v>3522</v>
      </c>
      <c r="B3522" t="inlineStr">
        <is>
          <t>A-497__394</t>
        </is>
      </c>
      <c r="C3522" s="1" t="n">
        <v>37.2316315596</v>
      </c>
      <c r="D3522" s="1" t="n">
        <v>-7.01900766005</v>
      </c>
      <c r="E3522" s="3" t="n">
        <v>3</v>
      </c>
      <c r="F3522" s="2" t="n">
        <v>3</v>
      </c>
      <c r="G3522" s="4" t="n">
        <v>4</v>
      </c>
      <c r="H3522" s="13" t="n"/>
      <c r="I3522" s="15" t="n"/>
      <c r="J3522" s="19" t="n">
        <v>3</v>
      </c>
      <c r="K3522" s="2" t="inlineStr">
        <is>
          <t>marker_760_377246.png</t>
        </is>
      </c>
      <c r="L3522" s="11">
        <f>HYPERLINK("3\1\" &amp; K3522, "Ver Imagen")</f>
        <v/>
      </c>
      <c r="M3522" t="inlineStr">
        <is>
          <t>Moda</t>
        </is>
      </c>
    </row>
    <row r="3523">
      <c r="A3523" t="n">
        <v>3523</v>
      </c>
      <c r="B3523" t="inlineStr">
        <is>
          <t>A-497__380</t>
        </is>
      </c>
      <c r="C3523" s="1" t="n">
        <v>37.2342919759</v>
      </c>
      <c r="D3523" s="1" t="n">
        <v>-7.0179998725</v>
      </c>
      <c r="E3523" s="3" t="n">
        <v>2</v>
      </c>
      <c r="F3523" s="2" t="n">
        <v>3</v>
      </c>
      <c r="G3523" s="4" t="n">
        <v>3</v>
      </c>
      <c r="H3523" s="13" t="n"/>
      <c r="I3523" s="15" t="n"/>
      <c r="J3523" s="19" t="n">
        <v>3</v>
      </c>
      <c r="K3523" s="2" t="inlineStr">
        <is>
          <t>marker_920_377370.png</t>
        </is>
      </c>
      <c r="L3523" s="11">
        <f>HYPERLINK("3\1\" &amp; K3523, "Ver Imagen")</f>
        <v/>
      </c>
      <c r="M3523" t="inlineStr">
        <is>
          <t>Moda</t>
        </is>
      </c>
    </row>
    <row r="3524">
      <c r="A3524" t="n">
        <v>3524</v>
      </c>
      <c r="B3524" t="inlineStr">
        <is>
          <t>A-497__374</t>
        </is>
      </c>
      <c r="C3524" s="1" t="n">
        <v>37.2355149564</v>
      </c>
      <c r="D3524" s="1" t="n">
        <v>-7.018239925</v>
      </c>
      <c r="E3524" s="3" t="n">
        <v>2</v>
      </c>
      <c r="F3524" s="2" t="n">
        <v>3</v>
      </c>
      <c r="G3524" s="4" t="n">
        <v>3</v>
      </c>
      <c r="H3524" s="13" t="n"/>
      <c r="I3524" s="15" t="n"/>
      <c r="J3524" s="19" t="n">
        <v>3</v>
      </c>
      <c r="K3524" s="2" t="inlineStr">
        <is>
          <t>marker_289_377421.png</t>
        </is>
      </c>
      <c r="L3524" s="11">
        <f>HYPERLINK("3\1\" &amp; K3524, "Ver Imagen")</f>
        <v/>
      </c>
      <c r="M3524" t="inlineStr">
        <is>
          <t>Moda</t>
        </is>
      </c>
    </row>
    <row r="3525">
      <c r="A3525" t="n">
        <v>3525</v>
      </c>
      <c r="B3525" t="inlineStr">
        <is>
          <t>A-497__348</t>
        </is>
      </c>
      <c r="C3525" s="1" t="n">
        <v>37.2407790967</v>
      </c>
      <c r="D3525" s="1" t="n">
        <v>-7.01845298153</v>
      </c>
      <c r="E3525" s="3" t="n">
        <v>4</v>
      </c>
      <c r="F3525" s="2" t="n">
        <v>3</v>
      </c>
      <c r="G3525" s="4" t="n">
        <v>3</v>
      </c>
      <c r="H3525" s="13" t="n"/>
      <c r="I3525" s="15" t="n"/>
      <c r="J3525" s="19" t="n">
        <v>3</v>
      </c>
      <c r="K3525" s="2" t="inlineStr">
        <is>
          <t>marker_577_377681.png</t>
        </is>
      </c>
      <c r="L3525" s="11">
        <f>HYPERLINK("3\1\" &amp; K3525, "Ver Imagen")</f>
        <v/>
      </c>
      <c r="M3525" t="inlineStr">
        <is>
          <t>Moda</t>
        </is>
      </c>
    </row>
    <row r="3526">
      <c r="A3526" t="n">
        <v>3526</v>
      </c>
      <c r="B3526" t="inlineStr">
        <is>
          <t>A-497__347</t>
        </is>
      </c>
      <c r="C3526" s="1" t="n">
        <v>37.2409502916</v>
      </c>
      <c r="D3526" s="1" t="n">
        <v>-7.01844785691</v>
      </c>
      <c r="E3526" s="3" t="n">
        <v>4</v>
      </c>
      <c r="F3526" s="2" t="n">
        <v>3</v>
      </c>
      <c r="G3526" s="4" t="n">
        <v>3</v>
      </c>
      <c r="H3526" s="13" t="n"/>
      <c r="I3526" s="15" t="n"/>
      <c r="J3526" s="19" t="n">
        <v>3</v>
      </c>
      <c r="K3526" s="2" t="inlineStr">
        <is>
          <t>marker_268_377697.png</t>
        </is>
      </c>
      <c r="L3526" s="11">
        <f>HYPERLINK("3\1\" &amp; K3526, "Ver Imagen")</f>
        <v/>
      </c>
      <c r="M3526" t="inlineStr">
        <is>
          <t>Moda</t>
        </is>
      </c>
    </row>
    <row r="3527">
      <c r="A3527" t="n">
        <v>3527</v>
      </c>
      <c r="B3527" t="inlineStr">
        <is>
          <t>A-497__346</t>
        </is>
      </c>
      <c r="C3527" s="1" t="n">
        <v>37.2411383135</v>
      </c>
      <c r="D3527" s="1" t="n">
        <v>-7.01844199959</v>
      </c>
      <c r="E3527" s="3" t="n">
        <v>4</v>
      </c>
      <c r="F3527" s="2" t="n">
        <v>3</v>
      </c>
      <c r="G3527" s="4" t="n">
        <v>3</v>
      </c>
      <c r="H3527" s="13" t="n"/>
      <c r="I3527" s="15" t="n"/>
      <c r="J3527" s="19" t="n">
        <v>3</v>
      </c>
      <c r="K3527" s="2" t="inlineStr">
        <is>
          <t>marker_730_377707.png</t>
        </is>
      </c>
      <c r="L3527" s="11">
        <f>HYPERLINK("3\1\" &amp; K3527, "Ver Imagen")</f>
        <v/>
      </c>
      <c r="M3527" t="inlineStr">
        <is>
          <t>Moda</t>
        </is>
      </c>
    </row>
    <row r="3528">
      <c r="A3528" t="n">
        <v>3528</v>
      </c>
      <c r="B3528" t="inlineStr">
        <is>
          <t>A-497__344</t>
        </is>
      </c>
      <c r="C3528" s="1" t="n">
        <v>37.2415425096</v>
      </c>
      <c r="D3528" s="1" t="n">
        <v>-7.01842816451</v>
      </c>
      <c r="E3528" s="3" t="n">
        <v>4</v>
      </c>
      <c r="F3528" s="2" t="n">
        <v>3</v>
      </c>
      <c r="G3528" s="4" t="n">
        <v>3</v>
      </c>
      <c r="H3528" s="13" t="n"/>
      <c r="I3528" s="15" t="n"/>
      <c r="J3528" s="19" t="n">
        <v>3</v>
      </c>
      <c r="K3528" s="2" t="inlineStr">
        <is>
          <t>marker_969_377729.png</t>
        </is>
      </c>
      <c r="L3528" s="11">
        <f>HYPERLINK("3\1\" &amp; K3528, "Ver Imagen")</f>
        <v/>
      </c>
      <c r="M3528" t="inlineStr">
        <is>
          <t>Moda</t>
        </is>
      </c>
    </row>
    <row r="3529">
      <c r="A3529" t="n">
        <v>3529</v>
      </c>
      <c r="B3529" t="inlineStr">
        <is>
          <t>A-497__341</t>
        </is>
      </c>
      <c r="C3529" s="1" t="n">
        <v>37.2421538006</v>
      </c>
      <c r="D3529" s="1" t="n">
        <v>-7.01840476156</v>
      </c>
      <c r="E3529" s="3" t="n">
        <v>4</v>
      </c>
      <c r="F3529" s="2" t="n">
        <v>3</v>
      </c>
      <c r="G3529" s="4" t="n">
        <v>3</v>
      </c>
      <c r="H3529" s="13" t="n"/>
      <c r="I3529" s="15" t="n"/>
      <c r="J3529" s="19" t="n">
        <v>3</v>
      </c>
      <c r="K3529" s="2" t="inlineStr">
        <is>
          <t>marker_518_377759.png</t>
        </is>
      </c>
      <c r="L3529" s="11">
        <f>HYPERLINK("3\1\" &amp; K3529, "Ver Imagen")</f>
        <v/>
      </c>
      <c r="M3529" t="inlineStr">
        <is>
          <t>Moda</t>
        </is>
      </c>
    </row>
    <row r="3530">
      <c r="A3530" t="n">
        <v>3530</v>
      </c>
      <c r="B3530" t="inlineStr">
        <is>
          <t>A-497__340</t>
        </is>
      </c>
      <c r="C3530" s="1" t="n">
        <v>37.2423479788</v>
      </c>
      <c r="D3530" s="1" t="n">
        <v>-7.01839697982</v>
      </c>
      <c r="E3530" s="3" t="n">
        <v>3</v>
      </c>
      <c r="F3530" s="2" t="n">
        <v>3</v>
      </c>
      <c r="G3530" s="4" t="n">
        <v>2</v>
      </c>
      <c r="H3530" s="13" t="n"/>
      <c r="I3530" s="15" t="n"/>
      <c r="J3530" s="19" t="n">
        <v>3</v>
      </c>
      <c r="K3530" s="2" t="inlineStr">
        <is>
          <t>marker_527_377772.png</t>
        </is>
      </c>
      <c r="L3530" s="11">
        <f>HYPERLINK("3\1\" &amp; K3530, "Ver Imagen")</f>
        <v/>
      </c>
      <c r="M3530" t="inlineStr">
        <is>
          <t>Moda</t>
        </is>
      </c>
    </row>
    <row r="3531">
      <c r="A3531" t="n">
        <v>3531</v>
      </c>
      <c r="B3531" t="inlineStr">
        <is>
          <t>A-497__339</t>
        </is>
      </c>
      <c r="C3531" s="1" t="n">
        <v>37.2425509784</v>
      </c>
      <c r="D3531" s="1" t="n">
        <v>-7.01838891157</v>
      </c>
      <c r="E3531" s="3" t="n">
        <v>3</v>
      </c>
      <c r="F3531" s="2" t="n">
        <v>3</v>
      </c>
      <c r="G3531" s="4" t="n">
        <v>4</v>
      </c>
      <c r="H3531" s="13" t="n"/>
      <c r="I3531" s="15" t="n"/>
      <c r="J3531" s="19" t="n">
        <v>3</v>
      </c>
      <c r="K3531" s="2" t="inlineStr">
        <is>
          <t>marker_949_377780.png</t>
        </is>
      </c>
      <c r="L3531" s="11">
        <f>HYPERLINK("3\1\" &amp; K3531, "Ver Imagen")</f>
        <v/>
      </c>
      <c r="M3531" t="inlineStr">
        <is>
          <t>Moda</t>
        </is>
      </c>
    </row>
    <row r="3532">
      <c r="A3532" t="n">
        <v>3532</v>
      </c>
      <c r="B3532" t="inlineStr">
        <is>
          <t>A-497__333</t>
        </is>
      </c>
      <c r="C3532" s="1" t="n">
        <v>37.2437762778</v>
      </c>
      <c r="D3532" s="1" t="n">
        <v>-7.01833798305</v>
      </c>
      <c r="E3532" s="3" t="n">
        <v>3</v>
      </c>
      <c r="F3532" s="2" t="n">
        <v>3</v>
      </c>
      <c r="G3532" s="4" t="n">
        <v>4</v>
      </c>
      <c r="H3532" s="13" t="n"/>
      <c r="I3532" s="15" t="n"/>
      <c r="J3532" s="19" t="n">
        <v>3</v>
      </c>
      <c r="K3532" s="2" t="inlineStr">
        <is>
          <t>marker_978_377843.png</t>
        </is>
      </c>
      <c r="L3532" s="11">
        <f>HYPERLINK("3\1\" &amp; K3532, "Ver Imagen")</f>
        <v/>
      </c>
      <c r="M3532" t="inlineStr">
        <is>
          <t>Moda</t>
        </is>
      </c>
    </row>
    <row r="3533">
      <c r="A3533" t="n">
        <v>3533</v>
      </c>
      <c r="B3533" t="inlineStr">
        <is>
          <t>A-497__332</t>
        </is>
      </c>
      <c r="C3533" s="1" t="n">
        <v>37.2439521647</v>
      </c>
      <c r="D3533" s="1" t="n">
        <v>-7.01833270172</v>
      </c>
      <c r="E3533" s="3" t="n">
        <v>3</v>
      </c>
      <c r="F3533" s="2" t="n">
        <v>3</v>
      </c>
      <c r="G3533" s="4" t="n">
        <v>4</v>
      </c>
      <c r="H3533" s="13" t="n"/>
      <c r="I3533" s="15" t="n"/>
      <c r="J3533" s="19" t="n">
        <v>3</v>
      </c>
      <c r="K3533" s="2" t="inlineStr">
        <is>
          <t>marker_833_377853.png</t>
        </is>
      </c>
      <c r="L3533" s="11">
        <f>HYPERLINK("3\1\" &amp; K3533, "Ver Imagen")</f>
        <v/>
      </c>
      <c r="M3533" t="inlineStr">
        <is>
          <t>Moda</t>
        </is>
      </c>
    </row>
    <row r="3534">
      <c r="A3534" t="n">
        <v>3534</v>
      </c>
      <c r="B3534" t="inlineStr">
        <is>
          <t>A-497__330</t>
        </is>
      </c>
      <c r="C3534" s="1" t="n">
        <v>37.2444029443</v>
      </c>
      <c r="D3534" s="1" t="n">
        <v>-7.01832065398</v>
      </c>
      <c r="E3534" s="3" t="n">
        <v>4</v>
      </c>
      <c r="F3534" s="2" t="n">
        <v>3</v>
      </c>
      <c r="G3534" s="4" t="n">
        <v>3</v>
      </c>
      <c r="H3534" s="13" t="n"/>
      <c r="I3534" s="15" t="n"/>
      <c r="J3534" s="19" t="n">
        <v>3</v>
      </c>
      <c r="K3534" s="2" t="inlineStr">
        <is>
          <t>marker_973_377871.png</t>
        </is>
      </c>
      <c r="L3534" s="11">
        <f>HYPERLINK("3\1\" &amp; K3534, "Ver Imagen")</f>
        <v/>
      </c>
      <c r="M3534" t="inlineStr">
        <is>
          <t>Moda</t>
        </is>
      </c>
    </row>
    <row r="3535">
      <c r="A3535" t="n">
        <v>3535</v>
      </c>
      <c r="B3535" t="inlineStr">
        <is>
          <t>A-497__327</t>
        </is>
      </c>
      <c r="C3535" s="1" t="n">
        <v>37.2449805113</v>
      </c>
      <c r="D3535" s="1" t="n">
        <v>-7.0182996025</v>
      </c>
      <c r="E3535" s="3" t="n">
        <v>3</v>
      </c>
      <c r="F3535" s="2" t="n">
        <v>3</v>
      </c>
      <c r="G3535" s="4" t="n">
        <v>4</v>
      </c>
      <c r="H3535" s="13" t="n"/>
      <c r="I3535" s="15" t="n"/>
      <c r="J3535" s="19" t="n">
        <v>3</v>
      </c>
      <c r="K3535" s="2" t="inlineStr">
        <is>
          <t>marker_783_377899.png</t>
        </is>
      </c>
      <c r="L3535" s="11">
        <f>HYPERLINK("3\1\" &amp; K3535, "Ver Imagen")</f>
        <v/>
      </c>
      <c r="M3535" t="inlineStr">
        <is>
          <t>Moda</t>
        </is>
      </c>
    </row>
    <row r="3536">
      <c r="A3536" t="n">
        <v>3536</v>
      </c>
      <c r="B3536" t="inlineStr">
        <is>
          <t>A-497__324</t>
        </is>
      </c>
      <c r="C3536" s="1" t="n">
        <v>37.2456088832</v>
      </c>
      <c r="D3536" s="1" t="n">
        <v>-7.01827357564</v>
      </c>
      <c r="E3536" s="3" t="n">
        <v>4</v>
      </c>
      <c r="F3536" s="2" t="n">
        <v>3</v>
      </c>
      <c r="G3536" s="4" t="n">
        <v>3</v>
      </c>
      <c r="H3536" s="13" t="n"/>
      <c r="I3536" s="15" t="n"/>
      <c r="J3536" s="19" t="n">
        <v>3</v>
      </c>
      <c r="K3536" s="2" t="inlineStr">
        <is>
          <t>marker_651_377924.png</t>
        </is>
      </c>
      <c r="L3536" s="11">
        <f>HYPERLINK("3\1\" &amp; K3536, "Ver Imagen")</f>
        <v/>
      </c>
      <c r="M3536" t="inlineStr">
        <is>
          <t>Moda</t>
        </is>
      </c>
    </row>
    <row r="3537">
      <c r="A3537" t="n">
        <v>3537</v>
      </c>
      <c r="B3537" t="inlineStr">
        <is>
          <t>A-497__319</t>
        </is>
      </c>
      <c r="C3537" s="1" t="n">
        <v>37.2466347366</v>
      </c>
      <c r="D3537" s="1" t="n">
        <v>-7.01823977314</v>
      </c>
      <c r="E3537" s="3" t="n">
        <v>3</v>
      </c>
      <c r="F3537" s="2" t="n">
        <v>3</v>
      </c>
      <c r="G3537" s="4" t="n">
        <v>4</v>
      </c>
      <c r="H3537" s="13" t="n"/>
      <c r="I3537" s="15" t="n"/>
      <c r="J3537" s="19" t="n">
        <v>3</v>
      </c>
      <c r="K3537" s="2" t="inlineStr">
        <is>
          <t>marker_434_377976.png</t>
        </is>
      </c>
      <c r="L3537" s="11">
        <f>HYPERLINK("3\1\" &amp; K3537, "Ver Imagen")</f>
        <v/>
      </c>
      <c r="M3537" t="inlineStr">
        <is>
          <t>Moda</t>
        </is>
      </c>
    </row>
    <row r="3538">
      <c r="A3538" t="n">
        <v>3538</v>
      </c>
      <c r="B3538" t="inlineStr">
        <is>
          <t>A-497__272</t>
        </is>
      </c>
      <c r="C3538" s="1" t="n">
        <v>37.2554320506</v>
      </c>
      <c r="D3538" s="1" t="n">
        <v>-7.01441960516</v>
      </c>
      <c r="E3538" s="3" t="n">
        <v>4</v>
      </c>
      <c r="F3538" s="2" t="n">
        <v>3</v>
      </c>
      <c r="G3538" s="4" t="n">
        <v>3</v>
      </c>
      <c r="H3538" s="13" t="n"/>
      <c r="I3538" s="15" t="n"/>
      <c r="J3538" s="19" t="n">
        <v>3</v>
      </c>
      <c r="K3538" s="2" t="inlineStr">
        <is>
          <t>marker_820_378558.png</t>
        </is>
      </c>
      <c r="L3538" s="11">
        <f>HYPERLINK("3\1\" &amp; K3538, "Ver Imagen")</f>
        <v/>
      </c>
      <c r="M3538" t="inlineStr">
        <is>
          <t>Moda</t>
        </is>
      </c>
    </row>
    <row r="3539">
      <c r="A3539" t="n">
        <v>3539</v>
      </c>
      <c r="B3539" t="inlineStr">
        <is>
          <t>A-497__271</t>
        </is>
      </c>
      <c r="C3539" s="1" t="n">
        <v>37.2556501878</v>
      </c>
      <c r="D3539" s="1" t="n">
        <v>-7.01428294916</v>
      </c>
      <c r="E3539" s="3" t="n">
        <v>3</v>
      </c>
      <c r="F3539" s="2" t="n">
        <v>3</v>
      </c>
      <c r="G3539" s="4" t="n">
        <v>4</v>
      </c>
      <c r="H3539" s="13" t="n"/>
      <c r="I3539" s="15" t="n"/>
      <c r="J3539" s="19" t="n">
        <v>3</v>
      </c>
      <c r="K3539" s="2" t="inlineStr">
        <is>
          <t>marker_389_378572.png</t>
        </is>
      </c>
      <c r="L3539" s="11">
        <f>HYPERLINK("3\1\" &amp; K3539, "Ver Imagen")</f>
        <v/>
      </c>
      <c r="M3539" t="inlineStr">
        <is>
          <t>Moda</t>
        </is>
      </c>
    </row>
    <row r="3540">
      <c r="A3540" t="n">
        <v>3540</v>
      </c>
      <c r="B3540" t="inlineStr">
        <is>
          <t>A-497__266</t>
        </is>
      </c>
      <c r="C3540" s="1" t="n">
        <v>37.2565079664</v>
      </c>
      <c r="D3540" s="1" t="n">
        <v>-7.01373410536</v>
      </c>
      <c r="E3540" s="3" t="n">
        <v>2</v>
      </c>
      <c r="F3540" s="2" t="n">
        <v>3</v>
      </c>
      <c r="G3540" s="4" t="n">
        <v>3</v>
      </c>
      <c r="H3540" s="13" t="n"/>
      <c r="I3540" s="15" t="n"/>
      <c r="J3540" s="19" t="n">
        <v>3</v>
      </c>
      <c r="K3540" s="2" t="inlineStr">
        <is>
          <t>marker_923_378621.png</t>
        </is>
      </c>
      <c r="L3540" s="11">
        <f>HYPERLINK("3\1\" &amp; K3540, "Ver Imagen")</f>
        <v/>
      </c>
      <c r="M3540" t="inlineStr">
        <is>
          <t>Moda</t>
        </is>
      </c>
    </row>
    <row r="3541">
      <c r="A3541" t="n">
        <v>3541</v>
      </c>
      <c r="B3541" t="inlineStr">
        <is>
          <t>A-497__265</t>
        </is>
      </c>
      <c r="C3541" s="1" t="n">
        <v>37.2566965295</v>
      </c>
      <c r="D3541" s="1" t="n">
        <v>-7.01361340926</v>
      </c>
      <c r="E3541" s="3" t="n">
        <v>2</v>
      </c>
      <c r="F3541" s="2" t="n">
        <v>3</v>
      </c>
      <c r="G3541" s="4" t="n">
        <v>3</v>
      </c>
      <c r="H3541" s="13" t="n"/>
      <c r="I3541" s="15" t="n"/>
      <c r="J3541" s="19" t="n">
        <v>3</v>
      </c>
      <c r="K3541" s="2" t="inlineStr">
        <is>
          <t>marker_212_378631.png</t>
        </is>
      </c>
      <c r="L3541" s="11">
        <f>HYPERLINK("3\1\" &amp; K3541, "Ver Imagen")</f>
        <v/>
      </c>
      <c r="M3541" t="inlineStr">
        <is>
          <t>Moda</t>
        </is>
      </c>
    </row>
    <row r="3542">
      <c r="A3542" t="n">
        <v>3542</v>
      </c>
      <c r="B3542" t="inlineStr">
        <is>
          <t>A-497__264</t>
        </is>
      </c>
      <c r="C3542" s="1" t="n">
        <v>37.256876784</v>
      </c>
      <c r="D3542" s="1" t="n">
        <v>-7.01349827739</v>
      </c>
      <c r="E3542" s="3" t="n">
        <v>2</v>
      </c>
      <c r="F3542" s="2" t="n">
        <v>3</v>
      </c>
      <c r="G3542" s="4" t="n">
        <v>3</v>
      </c>
      <c r="H3542" s="13" t="n"/>
      <c r="I3542" s="15" t="n"/>
      <c r="J3542" s="19" t="n">
        <v>3</v>
      </c>
      <c r="K3542" s="2" t="inlineStr">
        <is>
          <t>marker_224_378639.png</t>
        </is>
      </c>
      <c r="L3542" s="11">
        <f>HYPERLINK("3\1\" &amp; K3542, "Ver Imagen")</f>
        <v/>
      </c>
      <c r="M3542" t="inlineStr">
        <is>
          <t>Moda</t>
        </is>
      </c>
    </row>
    <row r="3543">
      <c r="A3543" t="n">
        <v>3543</v>
      </c>
      <c r="B3543" t="inlineStr">
        <is>
          <t>A-497__258</t>
        </is>
      </c>
      <c r="C3543" s="1" t="n">
        <v>37.2579538053</v>
      </c>
      <c r="D3543" s="1" t="n">
        <v>-7.01281196054</v>
      </c>
      <c r="E3543" s="3" t="n">
        <v>2</v>
      </c>
      <c r="F3543" s="2" t="n">
        <v>3</v>
      </c>
      <c r="G3543" s="4" t="n">
        <v>3</v>
      </c>
      <c r="H3543" s="13" t="n"/>
      <c r="I3543" s="15" t="n"/>
      <c r="J3543" s="19" t="n">
        <v>3</v>
      </c>
      <c r="K3543" s="2" t="inlineStr">
        <is>
          <t>marker_802_378700.png</t>
        </is>
      </c>
      <c r="L3543" s="11">
        <f>HYPERLINK("3\1\" &amp; K3543, "Ver Imagen")</f>
        <v/>
      </c>
      <c r="M3543" t="inlineStr">
        <is>
          <t>Moda</t>
        </is>
      </c>
    </row>
    <row r="3544">
      <c r="A3544" t="n">
        <v>3544</v>
      </c>
      <c r="B3544" t="inlineStr">
        <is>
          <t>A-497__257</t>
        </is>
      </c>
      <c r="C3544" s="1" t="n">
        <v>37.2581365474</v>
      </c>
      <c r="D3544" s="1" t="n">
        <v>-7.0126954148</v>
      </c>
      <c r="E3544" s="3" t="n">
        <v>2</v>
      </c>
      <c r="F3544" s="2" t="n">
        <v>3</v>
      </c>
      <c r="G3544" s="4" t="n">
        <v>3</v>
      </c>
      <c r="H3544" s="13" t="n"/>
      <c r="I3544" s="15" t="n"/>
      <c r="J3544" s="19" t="n">
        <v>3</v>
      </c>
      <c r="K3544" s="2" t="inlineStr">
        <is>
          <t>marker_229_378710.png</t>
        </is>
      </c>
      <c r="L3544" s="11">
        <f>HYPERLINK("3\1\" &amp; K3544, "Ver Imagen")</f>
        <v/>
      </c>
      <c r="M3544" t="inlineStr">
        <is>
          <t>Moda</t>
        </is>
      </c>
    </row>
    <row r="3545">
      <c r="A3545" t="n">
        <v>3545</v>
      </c>
      <c r="B3545" t="inlineStr">
        <is>
          <t>A-497__256</t>
        </is>
      </c>
      <c r="C3545" s="1" t="n">
        <v>37.2583715356</v>
      </c>
      <c r="D3545" s="1" t="n">
        <v>-7.01254605949</v>
      </c>
      <c r="E3545" s="3" t="n">
        <v>2</v>
      </c>
      <c r="F3545" s="2" t="n">
        <v>3</v>
      </c>
      <c r="G3545" s="4" t="n">
        <v>3</v>
      </c>
      <c r="H3545" s="13" t="n"/>
      <c r="I3545" s="15" t="n"/>
      <c r="J3545" s="19" t="n">
        <v>3</v>
      </c>
      <c r="K3545" s="2" t="inlineStr">
        <is>
          <t>marker_470_378722.png</t>
        </is>
      </c>
      <c r="L3545" s="11">
        <f>HYPERLINK("3\1\" &amp; K3545, "Ver Imagen")</f>
        <v/>
      </c>
      <c r="M3545" t="inlineStr">
        <is>
          <t>Moda</t>
        </is>
      </c>
    </row>
    <row r="3546">
      <c r="A3546" t="n">
        <v>3546</v>
      </c>
      <c r="B3546" t="inlineStr">
        <is>
          <t>A-497__253</t>
        </is>
      </c>
      <c r="C3546" s="1" t="n">
        <v>37.2588638125</v>
      </c>
      <c r="D3546" s="1" t="n">
        <v>-7.01223377738</v>
      </c>
      <c r="E3546" s="3" t="n">
        <v>2</v>
      </c>
      <c r="F3546" s="2" t="n">
        <v>3</v>
      </c>
      <c r="G3546" s="4" t="n">
        <v>3</v>
      </c>
      <c r="H3546" s="13" t="n"/>
      <c r="I3546" s="15" t="n"/>
      <c r="J3546" s="19" t="n">
        <v>3</v>
      </c>
      <c r="K3546" s="2" t="inlineStr">
        <is>
          <t>marker_843_378753.png</t>
        </is>
      </c>
      <c r="L3546" s="11">
        <f>HYPERLINK("3\1\" &amp; K3546, "Ver Imagen")</f>
        <v/>
      </c>
      <c r="M3546" t="inlineStr">
        <is>
          <t>Moda</t>
        </is>
      </c>
    </row>
    <row r="3547">
      <c r="A3547" t="n">
        <v>3547</v>
      </c>
      <c r="B3547" t="inlineStr">
        <is>
          <t>A-497__248</t>
        </is>
      </c>
      <c r="C3547" s="1" t="n">
        <v>37.2598006206</v>
      </c>
      <c r="D3547" s="1" t="n">
        <v>-7.01163248151</v>
      </c>
      <c r="E3547" s="3" t="n">
        <v>4</v>
      </c>
      <c r="F3547" s="2" t="n">
        <v>3</v>
      </c>
      <c r="G3547" s="4" t="n">
        <v>3</v>
      </c>
      <c r="H3547" s="13" t="n"/>
      <c r="I3547" s="15" t="n"/>
      <c r="J3547" s="19" t="n">
        <v>3</v>
      </c>
      <c r="K3547" s="2" t="inlineStr">
        <is>
          <t>marker_434_378803.png</t>
        </is>
      </c>
      <c r="L3547" s="11">
        <f>HYPERLINK("3\1\" &amp; K3547, "Ver Imagen")</f>
        <v/>
      </c>
      <c r="M3547" t="inlineStr">
        <is>
          <t>Moda</t>
        </is>
      </c>
    </row>
    <row r="3548">
      <c r="A3548" t="n">
        <v>3548</v>
      </c>
      <c r="B3548" t="inlineStr">
        <is>
          <t>A-497__231</t>
        </is>
      </c>
      <c r="C3548" s="1" t="n">
        <v>37.2625635097</v>
      </c>
      <c r="D3548" s="1" t="n">
        <v>-7.00929482683</v>
      </c>
      <c r="E3548" s="3" t="n">
        <v>2</v>
      </c>
      <c r="F3548" s="2" t="n">
        <v>3</v>
      </c>
      <c r="G3548" s="4" t="n">
        <v>3</v>
      </c>
      <c r="H3548" s="13" t="n"/>
      <c r="I3548" s="15" t="n"/>
      <c r="J3548" s="19" t="n">
        <v>3</v>
      </c>
      <c r="K3548" s="2" t="inlineStr">
        <is>
          <t>marker_359_379028.png</t>
        </is>
      </c>
      <c r="L3548" s="11">
        <f>HYPERLINK("3\1\" &amp; K3548, "Ver Imagen")</f>
        <v/>
      </c>
      <c r="M3548" t="inlineStr">
        <is>
          <t>Moda</t>
        </is>
      </c>
    </row>
    <row r="3549">
      <c r="A3549" t="n">
        <v>3549</v>
      </c>
      <c r="B3549" t="inlineStr">
        <is>
          <t>A-497__228</t>
        </is>
      </c>
      <c r="C3549" s="1" t="n">
        <v>37.2629101694</v>
      </c>
      <c r="D3549" s="1" t="n">
        <v>-7.00866669747</v>
      </c>
      <c r="E3549" s="3" t="n">
        <v>2</v>
      </c>
      <c r="F3549" s="2" t="n">
        <v>3</v>
      </c>
      <c r="G3549" s="4" t="n">
        <v>3</v>
      </c>
      <c r="H3549" s="13" t="n"/>
      <c r="I3549" s="15" t="n"/>
      <c r="J3549" s="19" t="n">
        <v>3</v>
      </c>
      <c r="K3549" s="2" t="inlineStr">
        <is>
          <t>marker_339_379061.png</t>
        </is>
      </c>
      <c r="L3549" s="11">
        <f>HYPERLINK("3\1\" &amp; K3549, "Ver Imagen")</f>
        <v/>
      </c>
      <c r="M3549" t="inlineStr">
        <is>
          <t>Moda</t>
        </is>
      </c>
    </row>
    <row r="3550">
      <c r="A3550" t="n">
        <v>3550</v>
      </c>
      <c r="B3550" t="inlineStr">
        <is>
          <t>A-497__222</t>
        </is>
      </c>
      <c r="C3550" s="1" t="n">
        <v>37.2633951571</v>
      </c>
      <c r="D3550" s="1" t="n">
        <v>-7.00720957755</v>
      </c>
      <c r="E3550" s="3" t="n">
        <v>3</v>
      </c>
      <c r="F3550" s="2" t="n">
        <v>3</v>
      </c>
      <c r="G3550" s="4" t="n">
        <v>4</v>
      </c>
      <c r="H3550" s="13" t="n"/>
      <c r="I3550" s="15" t="n"/>
      <c r="J3550" s="19" t="n">
        <v>3</v>
      </c>
      <c r="K3550" s="2" t="inlineStr">
        <is>
          <t>marker_163_379123.png</t>
        </is>
      </c>
      <c r="L3550" s="11">
        <f>HYPERLINK("3\1\" &amp; K3550, "Ver Imagen")</f>
        <v/>
      </c>
      <c r="M3550" t="inlineStr">
        <is>
          <t>Moda</t>
        </is>
      </c>
    </row>
    <row r="3551">
      <c r="A3551" t="n">
        <v>3551</v>
      </c>
      <c r="B3551" t="inlineStr">
        <is>
          <t>A-497__219</t>
        </is>
      </c>
      <c r="C3551" s="1" t="n">
        <v>37.2635282623</v>
      </c>
      <c r="D3551" s="1" t="n">
        <v>-7.00651933812</v>
      </c>
      <c r="E3551" s="3" t="n">
        <v>4</v>
      </c>
      <c r="F3551" s="2" t="n">
        <v>3</v>
      </c>
      <c r="G3551" s="4" t="n">
        <v>3</v>
      </c>
      <c r="H3551" s="13" t="n"/>
      <c r="I3551" s="15" t="n"/>
      <c r="J3551" s="19" t="n">
        <v>3</v>
      </c>
      <c r="K3551" s="2" t="inlineStr">
        <is>
          <t>marker_843_379155.png</t>
        </is>
      </c>
      <c r="L3551" s="11">
        <f>HYPERLINK("3\1\" &amp; K3551, "Ver Imagen")</f>
        <v/>
      </c>
      <c r="M3551" t="inlineStr">
        <is>
          <t>Moda</t>
        </is>
      </c>
    </row>
    <row r="3552">
      <c r="A3552" t="n">
        <v>3552</v>
      </c>
      <c r="B3552" t="inlineStr">
        <is>
          <t>A-497__140</t>
        </is>
      </c>
      <c r="C3552" s="1" t="n">
        <v>37.2700204404</v>
      </c>
      <c r="D3552" s="1" t="n">
        <v>-6.98945763916</v>
      </c>
      <c r="E3552" s="3" t="n">
        <v>4</v>
      </c>
      <c r="F3552" s="2" t="n">
        <v>3</v>
      </c>
      <c r="G3552" s="4" t="n">
        <v>3</v>
      </c>
      <c r="H3552" s="13" t="n"/>
      <c r="I3552" s="15" t="n"/>
      <c r="J3552" s="19" t="n">
        <v>3</v>
      </c>
      <c r="K3552" s="2" t="inlineStr">
        <is>
          <t>marker_542_380441.png</t>
        </is>
      </c>
      <c r="L3552" s="11">
        <f>HYPERLINK("3\1\" &amp; K3552, "Ver Imagen")</f>
        <v/>
      </c>
      <c r="M3552" t="inlineStr">
        <is>
          <t>Moda</t>
        </is>
      </c>
    </row>
    <row r="3553">
      <c r="A3553" t="n">
        <v>3553</v>
      </c>
      <c r="B3553" t="inlineStr">
        <is>
          <t>A-497__132</t>
        </is>
      </c>
      <c r="C3553" s="1" t="n">
        <v>37.2712789194</v>
      </c>
      <c r="D3553" s="1" t="n">
        <v>-6.98826148916</v>
      </c>
      <c r="E3553" s="3" t="n">
        <v>2</v>
      </c>
      <c r="F3553" s="2" t="n">
        <v>3</v>
      </c>
      <c r="G3553" s="4" t="n">
        <v>3</v>
      </c>
      <c r="H3553" s="13" t="n"/>
      <c r="I3553" s="15" t="n"/>
      <c r="J3553" s="19" t="n">
        <v>3</v>
      </c>
      <c r="K3553" s="2" t="inlineStr">
        <is>
          <t>marker_745_380513.png</t>
        </is>
      </c>
      <c r="L3553" s="11">
        <f>HYPERLINK("3\1\" &amp; K3553, "Ver Imagen")</f>
        <v/>
      </c>
      <c r="M3553" t="inlineStr">
        <is>
          <t>Moda</t>
        </is>
      </c>
    </row>
    <row r="3554">
      <c r="A3554" t="n">
        <v>3554</v>
      </c>
      <c r="B3554" t="inlineStr">
        <is>
          <t>A-497__131</t>
        </is>
      </c>
      <c r="C3554" s="1" t="n">
        <v>37.2713860742</v>
      </c>
      <c r="D3554" s="1" t="n">
        <v>-6.98805892199</v>
      </c>
      <c r="E3554" s="3" t="n">
        <v>2</v>
      </c>
      <c r="F3554" s="2" t="n">
        <v>3</v>
      </c>
      <c r="G3554" s="4" t="n">
        <v>3</v>
      </c>
      <c r="H3554" s="13" t="n"/>
      <c r="I3554" s="15" t="n"/>
      <c r="J3554" s="19" t="n">
        <v>3</v>
      </c>
      <c r="K3554" s="2" t="inlineStr">
        <is>
          <t>marker_318_380523.png</t>
        </is>
      </c>
      <c r="L3554" s="11">
        <f>HYPERLINK("3\1\" &amp; K3554, "Ver Imagen")</f>
        <v/>
      </c>
      <c r="M3554" t="inlineStr">
        <is>
          <t>Moda</t>
        </is>
      </c>
    </row>
    <row r="3555">
      <c r="A3555" t="n">
        <v>3555</v>
      </c>
      <c r="B3555" t="inlineStr">
        <is>
          <t>A-497__130</t>
        </is>
      </c>
      <c r="C3555" s="1" t="n">
        <v>37.2714837956</v>
      </c>
      <c r="D3555" s="1" t="n">
        <v>-6.98783734685</v>
      </c>
      <c r="E3555" s="3" t="n">
        <v>2</v>
      </c>
      <c r="F3555" s="2" t="n">
        <v>3</v>
      </c>
      <c r="G3555" s="4" t="n">
        <v>3</v>
      </c>
      <c r="H3555" s="13" t="n"/>
      <c r="I3555" s="15" t="n"/>
      <c r="J3555" s="19" t="n">
        <v>3</v>
      </c>
      <c r="K3555" s="2" t="inlineStr">
        <is>
          <t>marker_687_380532.png</t>
        </is>
      </c>
      <c r="L3555" s="11">
        <f>HYPERLINK("3\1\" &amp; K3555, "Ver Imagen")</f>
        <v/>
      </c>
      <c r="M3555" t="inlineStr">
        <is>
          <t>Moda</t>
        </is>
      </c>
    </row>
    <row r="3556">
      <c r="A3556" t="n">
        <v>3556</v>
      </c>
      <c r="B3556" t="inlineStr">
        <is>
          <t>A-497__129</t>
        </is>
      </c>
      <c r="C3556" s="1" t="n">
        <v>37.271571352</v>
      </c>
      <c r="D3556" s="1" t="n">
        <v>-6.98758829814</v>
      </c>
      <c r="E3556" s="3" t="n">
        <v>2</v>
      </c>
      <c r="F3556" s="2" t="n">
        <v>3</v>
      </c>
      <c r="G3556" s="4" t="n">
        <v>3</v>
      </c>
      <c r="H3556" s="13" t="n"/>
      <c r="I3556" s="15" t="n"/>
      <c r="J3556" s="19" t="n">
        <v>3</v>
      </c>
      <c r="K3556" s="2" t="inlineStr">
        <is>
          <t>marker_902_380540.png</t>
        </is>
      </c>
      <c r="L3556" s="11">
        <f>HYPERLINK("3\1\" &amp; K3556, "Ver Imagen")</f>
        <v/>
      </c>
      <c r="M3556" t="inlineStr">
        <is>
          <t>Moda</t>
        </is>
      </c>
    </row>
    <row r="3557">
      <c r="A3557" t="n">
        <v>3557</v>
      </c>
      <c r="B3557" t="inlineStr">
        <is>
          <t>A-497__128</t>
        </is>
      </c>
      <c r="C3557" s="1" t="n">
        <v>37.2716364748</v>
      </c>
      <c r="D3557" s="1" t="n">
        <v>-6.98734644449</v>
      </c>
      <c r="E3557" s="3" t="n">
        <v>2</v>
      </c>
      <c r="F3557" s="2" t="n">
        <v>3</v>
      </c>
      <c r="G3557" s="4" t="n">
        <v>3</v>
      </c>
      <c r="H3557" s="13" t="n"/>
      <c r="I3557" s="15" t="n"/>
      <c r="J3557" s="19" t="n">
        <v>3</v>
      </c>
      <c r="K3557" s="2" t="inlineStr">
        <is>
          <t>marker_985_380550.png</t>
        </is>
      </c>
      <c r="L3557" s="11">
        <f>HYPERLINK("3\1\" &amp; K3557, "Ver Imagen")</f>
        <v/>
      </c>
      <c r="M3557" t="inlineStr">
        <is>
          <t>Moda</t>
        </is>
      </c>
    </row>
    <row r="3558">
      <c r="A3558" t="n">
        <v>3558</v>
      </c>
      <c r="B3558" t="inlineStr">
        <is>
          <t>A-497__125</t>
        </is>
      </c>
      <c r="C3558" s="1" t="n">
        <v>37.2717339255</v>
      </c>
      <c r="D3558" s="1" t="n">
        <v>-6.98657461497</v>
      </c>
      <c r="E3558" s="3" t="n">
        <v>2</v>
      </c>
      <c r="F3558" s="2" t="n">
        <v>3</v>
      </c>
      <c r="G3558" s="4" t="n">
        <v>3</v>
      </c>
      <c r="H3558" s="13" t="n"/>
      <c r="I3558" s="15" t="n"/>
      <c r="J3558" s="19" t="n">
        <v>3</v>
      </c>
      <c r="K3558" s="2" t="inlineStr">
        <is>
          <t>marker_896_380580.png</t>
        </is>
      </c>
      <c r="L3558" s="11">
        <f>HYPERLINK("3\1\" &amp; K3558, "Ver Imagen")</f>
        <v/>
      </c>
      <c r="M3558" t="inlineStr">
        <is>
          <t>Moda</t>
        </is>
      </c>
    </row>
    <row r="3559">
      <c r="A3559" t="n">
        <v>3559</v>
      </c>
      <c r="B3559" t="inlineStr">
        <is>
          <t>A-497__124</t>
        </is>
      </c>
      <c r="C3559" s="1" t="n">
        <v>37.2717361411</v>
      </c>
      <c r="D3559" s="1" t="n">
        <v>-6.9863682066</v>
      </c>
      <c r="E3559" s="3" t="n">
        <v>2</v>
      </c>
      <c r="F3559" s="2" t="n">
        <v>3</v>
      </c>
      <c r="G3559" s="4" t="n">
        <v>3</v>
      </c>
      <c r="H3559" s="13" t="n"/>
      <c r="I3559" s="15" t="n"/>
      <c r="J3559" s="19" t="n">
        <v>3</v>
      </c>
      <c r="K3559" s="2" t="inlineStr">
        <is>
          <t>marker_798_380589.png</t>
        </is>
      </c>
      <c r="L3559" s="11">
        <f>HYPERLINK("3\1\" &amp; K3559, "Ver Imagen")</f>
        <v/>
      </c>
      <c r="M3559" t="inlineStr">
        <is>
          <t>Moda</t>
        </is>
      </c>
    </row>
    <row r="3560">
      <c r="A3560" t="n">
        <v>3560</v>
      </c>
      <c r="B3560" t="inlineStr">
        <is>
          <t>A-497__123</t>
        </is>
      </c>
      <c r="C3560" s="1" t="n">
        <v>37.27172528</v>
      </c>
      <c r="D3560" s="1" t="n">
        <v>-6.98608784304</v>
      </c>
      <c r="E3560" s="3" t="n">
        <v>2</v>
      </c>
      <c r="F3560" s="2" t="n">
        <v>3</v>
      </c>
      <c r="G3560" s="4" t="n">
        <v>3</v>
      </c>
      <c r="H3560" s="13" t="n"/>
      <c r="I3560" s="15" t="n"/>
      <c r="J3560" s="19" t="n">
        <v>3</v>
      </c>
      <c r="K3560" s="2" t="inlineStr">
        <is>
          <t>marker_744_380599.png</t>
        </is>
      </c>
      <c r="L3560" s="11">
        <f>HYPERLINK("3\1\" &amp; K3560, "Ver Imagen")</f>
        <v/>
      </c>
      <c r="M3560" t="inlineStr">
        <is>
          <t>Moda</t>
        </is>
      </c>
    </row>
    <row r="3561">
      <c r="A3561" t="n">
        <v>3561</v>
      </c>
      <c r="B3561" t="inlineStr">
        <is>
          <t>A-497__122</t>
        </is>
      </c>
      <c r="C3561" s="1" t="n">
        <v>37.271706189</v>
      </c>
      <c r="D3561" s="1" t="n">
        <v>-6.98586603763</v>
      </c>
      <c r="E3561" s="3" t="n">
        <v>2</v>
      </c>
      <c r="F3561" s="2" t="n">
        <v>3</v>
      </c>
      <c r="G3561" s="4" t="n">
        <v>3</v>
      </c>
      <c r="H3561" s="13" t="n"/>
      <c r="I3561" s="15" t="n"/>
      <c r="J3561" s="19" t="n">
        <v>3</v>
      </c>
      <c r="K3561" s="2" t="inlineStr">
        <is>
          <t>marker_768_380607.png</t>
        </is>
      </c>
      <c r="L3561" s="11">
        <f>HYPERLINK("3\1\" &amp; K3561, "Ver Imagen")</f>
        <v/>
      </c>
      <c r="M3561" t="inlineStr">
        <is>
          <t>Moda</t>
        </is>
      </c>
    </row>
    <row r="3562">
      <c r="A3562" t="n">
        <v>3562</v>
      </c>
      <c r="B3562" t="inlineStr">
        <is>
          <t>A-497__119</t>
        </is>
      </c>
      <c r="C3562" s="1" t="n">
        <v>37.2715914629</v>
      </c>
      <c r="D3562" s="1" t="n">
        <v>-6.98514600846</v>
      </c>
      <c r="E3562" s="3" t="n">
        <v>2</v>
      </c>
      <c r="F3562" s="2" t="n">
        <v>3</v>
      </c>
      <c r="G3562" s="4" t="n">
        <v>3</v>
      </c>
      <c r="H3562" s="13" t="n"/>
      <c r="I3562" s="15" t="n"/>
      <c r="J3562" s="19" t="n">
        <v>3</v>
      </c>
      <c r="K3562" s="2" t="inlineStr">
        <is>
          <t>marker_173_380634.png</t>
        </is>
      </c>
      <c r="L3562" s="11">
        <f>HYPERLINK("3\1\" &amp; K3562, "Ver Imagen")</f>
        <v/>
      </c>
      <c r="M3562" t="inlineStr">
        <is>
          <t>Moda</t>
        </is>
      </c>
    </row>
    <row r="3563">
      <c r="A3563" t="n">
        <v>3563</v>
      </c>
      <c r="B3563" t="inlineStr">
        <is>
          <t>A-497__118</t>
        </is>
      </c>
      <c r="C3563" s="1" t="n">
        <v>37.2715356004</v>
      </c>
      <c r="D3563" s="1" t="n">
        <v>-6.98489448133</v>
      </c>
      <c r="E3563" s="3" t="n">
        <v>2</v>
      </c>
      <c r="F3563" s="2" t="n">
        <v>3</v>
      </c>
      <c r="G3563" s="4" t="n">
        <v>3</v>
      </c>
      <c r="H3563" s="13" t="n"/>
      <c r="I3563" s="15" t="n"/>
      <c r="J3563" s="19" t="n">
        <v>3</v>
      </c>
      <c r="K3563" s="2" t="inlineStr">
        <is>
          <t>marker_322_380642.png</t>
        </is>
      </c>
      <c r="L3563" s="11">
        <f>HYPERLINK("3\1\" &amp; K3563, "Ver Imagen")</f>
        <v/>
      </c>
      <c r="M3563" t="inlineStr">
        <is>
          <t>Moda</t>
        </is>
      </c>
    </row>
    <row r="3564">
      <c r="A3564" t="n">
        <v>3564</v>
      </c>
      <c r="B3564" t="inlineStr">
        <is>
          <t>A-497__116</t>
        </is>
      </c>
      <c r="C3564" s="1" t="n">
        <v>37.2714101572</v>
      </c>
      <c r="D3564" s="1" t="n">
        <v>-6.98439656478</v>
      </c>
      <c r="E3564" s="3" t="n">
        <v>2</v>
      </c>
      <c r="F3564" s="2" t="n">
        <v>3</v>
      </c>
      <c r="G3564" s="4" t="n">
        <v>3</v>
      </c>
      <c r="H3564" s="13" t="n"/>
      <c r="I3564" s="15" t="n"/>
      <c r="J3564" s="19" t="n">
        <v>3</v>
      </c>
      <c r="K3564" s="2" t="inlineStr">
        <is>
          <t>marker_329_380659.png</t>
        </is>
      </c>
      <c r="L3564" s="11">
        <f>HYPERLINK("3\1\" &amp; K3564, "Ver Imagen")</f>
        <v/>
      </c>
      <c r="M3564" t="inlineStr">
        <is>
          <t>Moda</t>
        </is>
      </c>
    </row>
    <row r="3565">
      <c r="A3565" t="n">
        <v>3565</v>
      </c>
      <c r="B3565" t="inlineStr">
        <is>
          <t>A-490__2</t>
        </is>
      </c>
      <c r="C3565" s="1" t="n">
        <v>37.447329644</v>
      </c>
      <c r="D3565" s="1" t="n">
        <v>-7.12684714525</v>
      </c>
      <c r="E3565" s="3" t="n">
        <v>4</v>
      </c>
      <c r="F3565" s="2" t="n">
        <v>4</v>
      </c>
      <c r="G3565" s="4" t="n">
        <v>4</v>
      </c>
      <c r="H3565" s="13" t="n"/>
      <c r="I3565" s="15" t="n"/>
      <c r="J3565" s="19" t="n">
        <v>4</v>
      </c>
      <c r="K3565" s="2" t="inlineStr">
        <is>
          <t>marker_920_817123.png</t>
        </is>
      </c>
      <c r="L3565" s="11">
        <f>HYPERLINK("4\0\" &amp; K3565, "Ver Imagen")</f>
        <v/>
      </c>
      <c r="M3565" t="inlineStr">
        <is>
          <t>Moda</t>
        </is>
      </c>
    </row>
    <row r="3566">
      <c r="A3566" t="n">
        <v>3566</v>
      </c>
      <c r="B3566" t="inlineStr">
        <is>
          <t>A-490__4</t>
        </is>
      </c>
      <c r="C3566" s="1" t="n">
        <v>37.447221136</v>
      </c>
      <c r="D3566" s="1" t="n">
        <v>-7.12720990345</v>
      </c>
      <c r="E3566" s="3" t="n">
        <v>4</v>
      </c>
      <c r="F3566" s="2" t="n">
        <v>4</v>
      </c>
      <c r="G3566" s="4" t="n">
        <v>4</v>
      </c>
      <c r="H3566" s="13" t="n"/>
      <c r="I3566" s="15" t="n"/>
      <c r="J3566" s="19" t="n">
        <v>4</v>
      </c>
      <c r="K3566" s="2" t="inlineStr">
        <is>
          <t>marker_658_724702.png</t>
        </is>
      </c>
      <c r="L3566" s="11">
        <f>HYPERLINK("4\0\" &amp; K3566, "Ver Imagen")</f>
        <v/>
      </c>
      <c r="M3566" t="inlineStr">
        <is>
          <t>Moda</t>
        </is>
      </c>
    </row>
    <row r="3567">
      <c r="A3567" t="n">
        <v>3567</v>
      </c>
      <c r="B3567" t="inlineStr">
        <is>
          <t>A-490__252</t>
        </is>
      </c>
      <c r="C3567" s="1" t="n">
        <v>37.4660566109</v>
      </c>
      <c r="D3567" s="1" t="n">
        <v>-7.18227954579</v>
      </c>
      <c r="E3567" s="3" t="n">
        <v>4</v>
      </c>
      <c r="F3567" s="2" t="n">
        <v>4</v>
      </c>
      <c r="G3567" s="4" t="n">
        <v>4</v>
      </c>
      <c r="H3567" s="13" t="n"/>
      <c r="I3567" s="15" t="n"/>
      <c r="J3567" s="19" t="n">
        <v>4</v>
      </c>
      <c r="K3567" s="2" t="inlineStr">
        <is>
          <t>marker_384_749543.png</t>
        </is>
      </c>
      <c r="L3567" s="11">
        <f>HYPERLINK("4\0\" &amp; K3567, "Ver Imagen")</f>
        <v/>
      </c>
      <c r="M3567" t="inlineStr">
        <is>
          <t>Moda</t>
        </is>
      </c>
    </row>
    <row r="3568">
      <c r="A3568" t="n">
        <v>3568</v>
      </c>
      <c r="B3568" t="inlineStr">
        <is>
          <t>A-490__225</t>
        </is>
      </c>
      <c r="C3568" s="1" t="n">
        <v>37.4629217014</v>
      </c>
      <c r="D3568" s="1" t="n">
        <v>-7.17663635809</v>
      </c>
      <c r="E3568" s="3" t="n">
        <v>4</v>
      </c>
      <c r="F3568" s="2" t="n">
        <v>4</v>
      </c>
      <c r="G3568" s="4" t="n">
        <v>4</v>
      </c>
      <c r="H3568" s="13" t="n"/>
      <c r="I3568" s="15" t="n"/>
      <c r="J3568" s="19" t="n">
        <v>4</v>
      </c>
      <c r="K3568" s="2" t="inlineStr">
        <is>
          <t>marker_507_743712.png</t>
        </is>
      </c>
      <c r="L3568" s="11">
        <f>HYPERLINK("4\0\" &amp; K3568, "Ver Imagen")</f>
        <v/>
      </c>
      <c r="M3568" t="inlineStr">
        <is>
          <t>Moda</t>
        </is>
      </c>
    </row>
    <row r="3569">
      <c r="A3569" t="n">
        <v>3569</v>
      </c>
      <c r="B3569" t="inlineStr">
        <is>
          <t>A-492__13</t>
        </is>
      </c>
      <c r="C3569" s="1" t="n">
        <v>37.273962745</v>
      </c>
      <c r="D3569" s="1" t="n">
        <v>-6.99130941286</v>
      </c>
      <c r="E3569" s="3" t="n">
        <v>4</v>
      </c>
      <c r="F3569" s="2" t="n">
        <v>4</v>
      </c>
      <c r="G3569" s="4" t="n">
        <v>4</v>
      </c>
      <c r="H3569" s="13" t="n"/>
      <c r="I3569" s="15" t="n"/>
      <c r="J3569" s="19" t="n">
        <v>4</v>
      </c>
      <c r="K3569" s="2" t="inlineStr">
        <is>
          <t>marker_469_821934.png</t>
        </is>
      </c>
      <c r="L3569" s="11">
        <f>HYPERLINK("4\0\" &amp; K3569, "Ver Imagen")</f>
        <v/>
      </c>
      <c r="M3569" t="inlineStr">
        <is>
          <t>Moda</t>
        </is>
      </c>
    </row>
    <row r="3570">
      <c r="A3570" t="n">
        <v>3570</v>
      </c>
      <c r="B3570" t="inlineStr">
        <is>
          <t>A-492__23</t>
        </is>
      </c>
      <c r="C3570" s="1" t="n">
        <v>37.2758245773</v>
      </c>
      <c r="D3570" s="1" t="n">
        <v>-6.99101125825</v>
      </c>
      <c r="E3570" s="3" t="n">
        <v>4</v>
      </c>
      <c r="F3570" s="2" t="n">
        <v>4</v>
      </c>
      <c r="G3570" s="4" t="n">
        <v>4</v>
      </c>
      <c r="H3570" s="13" t="n"/>
      <c r="I3570" s="15" t="n"/>
      <c r="J3570" s="19" t="n">
        <v>4</v>
      </c>
      <c r="K3570" s="2" t="inlineStr">
        <is>
          <t>marker_251_822063.png</t>
        </is>
      </c>
      <c r="L3570" s="11">
        <f>HYPERLINK("4\0\" &amp; K3570, "Ver Imagen")</f>
        <v/>
      </c>
      <c r="M3570" t="inlineStr">
        <is>
          <t>Moda</t>
        </is>
      </c>
    </row>
    <row r="3571">
      <c r="A3571" t="n">
        <v>3571</v>
      </c>
      <c r="B3571" t="inlineStr">
        <is>
          <t>A-492__33</t>
        </is>
      </c>
      <c r="C3571" s="1" t="n">
        <v>37.2774247351</v>
      </c>
      <c r="D3571" s="1" t="n">
        <v>-6.99212913578</v>
      </c>
      <c r="E3571" s="3" t="n">
        <v>4</v>
      </c>
      <c r="F3571" s="2" t="n">
        <v>4</v>
      </c>
      <c r="G3571" s="4" t="n">
        <v>4</v>
      </c>
      <c r="H3571" s="13" t="n"/>
      <c r="I3571" s="15" t="n"/>
      <c r="J3571" s="19" t="n">
        <v>4</v>
      </c>
      <c r="K3571" s="2" t="inlineStr">
        <is>
          <t>marker_529_822628.png</t>
        </is>
      </c>
      <c r="L3571" s="11">
        <f>HYPERLINK("4\0\" &amp; K3571, "Ver Imagen")</f>
        <v/>
      </c>
      <c r="M3571" t="inlineStr">
        <is>
          <t>Moda</t>
        </is>
      </c>
    </row>
    <row r="3572">
      <c r="A3572" t="n">
        <v>3572</v>
      </c>
      <c r="B3572" t="inlineStr">
        <is>
          <t>A-492__63</t>
        </is>
      </c>
      <c r="C3572" s="1" t="n">
        <v>37.2799404802</v>
      </c>
      <c r="D3572" s="1" t="n">
        <v>-6.99878097358</v>
      </c>
      <c r="E3572" s="3" t="n">
        <v>4</v>
      </c>
      <c r="F3572" s="2" t="n">
        <v>4</v>
      </c>
      <c r="G3572" s="4" t="n">
        <v>4</v>
      </c>
      <c r="H3572" s="13" t="n"/>
      <c r="I3572" s="15" t="n"/>
      <c r="J3572" s="19" t="n">
        <v>4</v>
      </c>
      <c r="K3572" s="2" t="inlineStr">
        <is>
          <t>marker_451_823179.png</t>
        </is>
      </c>
      <c r="L3572" s="11">
        <f>HYPERLINK("4\0\" &amp; K3572, "Ver Imagen")</f>
        <v/>
      </c>
      <c r="M3572" t="inlineStr">
        <is>
          <t>Moda</t>
        </is>
      </c>
    </row>
    <row r="3573">
      <c r="A3573" t="n">
        <v>3573</v>
      </c>
      <c r="B3573" t="inlineStr">
        <is>
          <t>A-492__67</t>
        </is>
      </c>
      <c r="C3573" s="1" t="n">
        <v>37.2801466689</v>
      </c>
      <c r="D3573" s="1" t="n">
        <v>-6.99972036462</v>
      </c>
      <c r="E3573" s="3" t="n">
        <v>4</v>
      </c>
      <c r="F3573" s="2" t="n">
        <v>4</v>
      </c>
      <c r="G3573" s="4" t="n">
        <v>4</v>
      </c>
      <c r="H3573" s="13" t="n"/>
      <c r="I3573" s="15" t="n"/>
      <c r="J3573" s="19" t="n">
        <v>4</v>
      </c>
      <c r="K3573" s="2" t="inlineStr">
        <is>
          <t>marker_468_823246.png</t>
        </is>
      </c>
      <c r="L3573" s="11">
        <f>HYPERLINK("4\0\" &amp; K3573, "Ver Imagen")</f>
        <v/>
      </c>
      <c r="M3573" t="inlineStr">
        <is>
          <t>Moda</t>
        </is>
      </c>
    </row>
    <row r="3574">
      <c r="A3574" t="n">
        <v>3574</v>
      </c>
      <c r="B3574" t="inlineStr">
        <is>
          <t>A-492__71</t>
        </is>
      </c>
      <c r="C3574" s="1" t="n">
        <v>37.2805802453</v>
      </c>
      <c r="D3574" s="1" t="n">
        <v>-7.00036742402</v>
      </c>
      <c r="E3574" s="3" t="n">
        <v>4</v>
      </c>
      <c r="F3574" s="2" t="n">
        <v>4</v>
      </c>
      <c r="G3574" s="4" t="n">
        <v>4</v>
      </c>
      <c r="H3574" s="13" t="n"/>
      <c r="I3574" s="15" t="n"/>
      <c r="J3574" s="19" t="n">
        <v>4</v>
      </c>
      <c r="K3574" s="2" t="inlineStr">
        <is>
          <t>marker_213_823310.png</t>
        </is>
      </c>
      <c r="L3574" s="11">
        <f>HYPERLINK("4\0\" &amp; K3574, "Ver Imagen")</f>
        <v/>
      </c>
      <c r="M3574" t="inlineStr">
        <is>
          <t>Moda</t>
        </is>
      </c>
    </row>
    <row r="3575">
      <c r="A3575" t="n">
        <v>3575</v>
      </c>
      <c r="B3575" t="inlineStr">
        <is>
          <t>A-495R__69</t>
        </is>
      </c>
      <c r="C3575" s="1" t="n">
        <v>37.457922639</v>
      </c>
      <c r="D3575" s="1" t="n">
        <v>-7.11425485116</v>
      </c>
      <c r="E3575" s="3" t="n">
        <v>4</v>
      </c>
      <c r="F3575" s="2" t="n">
        <v>4</v>
      </c>
      <c r="G3575" s="4" t="n">
        <v>4</v>
      </c>
      <c r="H3575" s="13" t="n"/>
      <c r="I3575" s="15" t="n"/>
      <c r="J3575" s="19" t="n">
        <v>4</v>
      </c>
      <c r="K3575" s="2" t="inlineStr">
        <is>
          <t>marker_667_935244.png</t>
        </is>
      </c>
      <c r="L3575" s="11">
        <f>HYPERLINK("4\0\" &amp; K3575, "Ver Imagen")</f>
        <v/>
      </c>
      <c r="M3575" t="inlineStr">
        <is>
          <t>Moda</t>
        </is>
      </c>
    </row>
    <row r="3576">
      <c r="A3576" t="n">
        <v>3576</v>
      </c>
      <c r="B3576" t="inlineStr">
        <is>
          <t>A-495R__63</t>
        </is>
      </c>
      <c r="C3576" s="1" t="n">
        <v>37.4567477625</v>
      </c>
      <c r="D3576" s="1" t="n">
        <v>-7.11381648884</v>
      </c>
      <c r="E3576" s="3" t="n">
        <v>4</v>
      </c>
      <c r="F3576" s="2" t="n">
        <v>4</v>
      </c>
      <c r="G3576" s="4" t="n">
        <v>4</v>
      </c>
      <c r="H3576" s="13" t="n"/>
      <c r="I3576" s="15" t="n"/>
      <c r="J3576" s="19" t="n">
        <v>4</v>
      </c>
      <c r="K3576" s="2" t="inlineStr">
        <is>
          <t>marker_608_935407.png</t>
        </is>
      </c>
      <c r="L3576" s="11">
        <f>HYPERLINK("4\0\" &amp; K3576, "Ver Imagen")</f>
        <v/>
      </c>
      <c r="M3576" t="inlineStr">
        <is>
          <t>Moda</t>
        </is>
      </c>
    </row>
    <row r="3577">
      <c r="A3577" t="n">
        <v>3577</v>
      </c>
      <c r="B3577" t="inlineStr">
        <is>
          <t>A-495R__62</t>
        </is>
      </c>
      <c r="C3577" s="1" t="n">
        <v>37.4565344423</v>
      </c>
      <c r="D3577" s="1" t="n">
        <v>-7.1137378207</v>
      </c>
      <c r="E3577" s="3" t="n">
        <v>4</v>
      </c>
      <c r="F3577" s="2" t="n">
        <v>4</v>
      </c>
      <c r="G3577" s="4" t="n">
        <v>4</v>
      </c>
      <c r="H3577" s="13" t="n"/>
      <c r="I3577" s="15" t="n"/>
      <c r="J3577" s="19" t="n">
        <v>4</v>
      </c>
      <c r="K3577" s="2" t="inlineStr">
        <is>
          <t>marker_100_935419.png</t>
        </is>
      </c>
      <c r="L3577" s="11">
        <f>HYPERLINK("4\0\" &amp; K3577, "Ver Imagen")</f>
        <v/>
      </c>
      <c r="M3577" t="inlineStr">
        <is>
          <t>Moda</t>
        </is>
      </c>
    </row>
    <row r="3578">
      <c r="A3578" t="n">
        <v>3578</v>
      </c>
      <c r="B3578" t="inlineStr">
        <is>
          <t>A-495R__52</t>
        </is>
      </c>
      <c r="C3578" s="1" t="n">
        <v>37.4546318531</v>
      </c>
      <c r="D3578" s="1" t="n">
        <v>-7.11294978586</v>
      </c>
      <c r="E3578" s="3" t="n">
        <v>4</v>
      </c>
      <c r="F3578" s="2" t="n">
        <v>4</v>
      </c>
      <c r="G3578" s="4" t="n">
        <v>4</v>
      </c>
      <c r="H3578" s="13" t="n"/>
      <c r="I3578" s="15" t="n"/>
      <c r="J3578" s="19" t="n">
        <v>4</v>
      </c>
      <c r="K3578" s="2" t="inlineStr">
        <is>
          <t>marker_323_935642.png</t>
        </is>
      </c>
      <c r="L3578" s="11">
        <f>HYPERLINK("4\0\" &amp; K3578, "Ver Imagen")</f>
        <v/>
      </c>
      <c r="M3578" t="inlineStr">
        <is>
          <t>Moda</t>
        </is>
      </c>
    </row>
    <row r="3579">
      <c r="A3579" t="n">
        <v>3579</v>
      </c>
      <c r="B3579" t="inlineStr">
        <is>
          <t>A-495R__41</t>
        </is>
      </c>
      <c r="C3579" s="1" t="n">
        <v>37.4525869958</v>
      </c>
      <c r="D3579" s="1" t="n">
        <v>-7.11184100213</v>
      </c>
      <c r="E3579" s="3" t="n">
        <v>4</v>
      </c>
      <c r="F3579" s="2" t="n">
        <v>4</v>
      </c>
      <c r="G3579" s="4" t="n">
        <v>4</v>
      </c>
      <c r="H3579" s="13" t="n"/>
      <c r="I3579" s="15" t="n"/>
      <c r="J3579" s="19" t="n">
        <v>4</v>
      </c>
      <c r="K3579" s="2" t="inlineStr">
        <is>
          <t>marker_794_936512.png</t>
        </is>
      </c>
      <c r="L3579" s="11">
        <f>HYPERLINK("4\0\" &amp; K3579, "Ver Imagen")</f>
        <v/>
      </c>
      <c r="M3579" t="inlineStr">
        <is>
          <t>Moda</t>
        </is>
      </c>
    </row>
    <row r="3580">
      <c r="A3580" t="n">
        <v>3580</v>
      </c>
      <c r="B3580" t="inlineStr">
        <is>
          <t>A-495R__36</t>
        </is>
      </c>
      <c r="C3580" s="1" t="n">
        <v>37.4516352442</v>
      </c>
      <c r="D3580" s="1" t="n">
        <v>-7.11130771493</v>
      </c>
      <c r="E3580" s="3" t="n">
        <v>4</v>
      </c>
      <c r="F3580" s="2" t="n">
        <v>4</v>
      </c>
      <c r="G3580" s="4" t="n">
        <v>4</v>
      </c>
      <c r="H3580" s="13" t="n"/>
      <c r="I3580" s="15" t="n"/>
      <c r="J3580" s="19" t="n">
        <v>4</v>
      </c>
      <c r="K3580" s="2" t="inlineStr">
        <is>
          <t>marker_384_936563.png</t>
        </is>
      </c>
      <c r="L3580" s="11">
        <f>HYPERLINK("4\0\" &amp; K3580, "Ver Imagen")</f>
        <v/>
      </c>
      <c r="M3580" t="inlineStr">
        <is>
          <t>Moda</t>
        </is>
      </c>
    </row>
    <row r="3581">
      <c r="A3581" t="n">
        <v>3581</v>
      </c>
      <c r="B3581" t="inlineStr">
        <is>
          <t>A-495R__32</t>
        </is>
      </c>
      <c r="C3581" s="1" t="n">
        <v>37.4509651124</v>
      </c>
      <c r="D3581" s="1" t="n">
        <v>-7.1107934761</v>
      </c>
      <c r="E3581" s="3" t="n">
        <v>4</v>
      </c>
      <c r="F3581" s="2" t="n">
        <v>4</v>
      </c>
      <c r="G3581" s="4" t="n">
        <v>4</v>
      </c>
      <c r="H3581" s="13" t="n"/>
      <c r="I3581" s="15" t="n"/>
      <c r="J3581" s="19" t="n">
        <v>4</v>
      </c>
      <c r="K3581" s="2" t="inlineStr">
        <is>
          <t>marker_239_936601.png</t>
        </is>
      </c>
      <c r="L3581" s="11">
        <f>HYPERLINK("4\0\" &amp; K3581, "Ver Imagen")</f>
        <v/>
      </c>
      <c r="M3581" t="inlineStr">
        <is>
          <t>Moda</t>
        </is>
      </c>
    </row>
    <row r="3582">
      <c r="A3582" t="n">
        <v>3582</v>
      </c>
      <c r="B3582" t="inlineStr">
        <is>
          <t>A-495R__23</t>
        </is>
      </c>
      <c r="C3582" s="1" t="n">
        <v>37.4492738591</v>
      </c>
      <c r="D3582" s="1" t="n">
        <v>-7.11002779125</v>
      </c>
      <c r="E3582" s="3" t="n">
        <v>4</v>
      </c>
      <c r="F3582" s="2" t="n">
        <v>4</v>
      </c>
      <c r="G3582" s="4" t="n">
        <v>4</v>
      </c>
      <c r="H3582" s="13" t="n"/>
      <c r="I3582" s="15" t="n"/>
      <c r="J3582" s="19" t="n">
        <v>4</v>
      </c>
      <c r="K3582" s="2" t="inlineStr">
        <is>
          <t>marker_829_936698.png</t>
        </is>
      </c>
      <c r="L3582" s="11">
        <f>HYPERLINK("4\0\" &amp; K3582, "Ver Imagen")</f>
        <v/>
      </c>
      <c r="M3582" t="inlineStr">
        <is>
          <t>Moda</t>
        </is>
      </c>
    </row>
    <row r="3583">
      <c r="A3583" t="n">
        <v>3583</v>
      </c>
      <c r="B3583" t="inlineStr">
        <is>
          <t>A-5050__24</t>
        </is>
      </c>
      <c r="C3583" s="1" t="n">
        <v>37.2072569677</v>
      </c>
      <c r="D3583" s="1" t="n">
        <v>-7.02191093123</v>
      </c>
      <c r="E3583" s="3" t="n">
        <v>4</v>
      </c>
      <c r="F3583" s="2" t="n">
        <v>4</v>
      </c>
      <c r="G3583" s="4" t="n">
        <v>4</v>
      </c>
      <c r="H3583" s="13" t="n"/>
      <c r="I3583" s="15" t="n"/>
      <c r="J3583" s="19" t="n">
        <v>4</v>
      </c>
      <c r="K3583" s="2" t="inlineStr">
        <is>
          <t>marker_338_949421.png</t>
        </is>
      </c>
      <c r="L3583" s="11">
        <f>HYPERLINK("4\0\" &amp; K3583, "Ver Imagen")</f>
        <v/>
      </c>
      <c r="M3583" t="inlineStr">
        <is>
          <t>Moda</t>
        </is>
      </c>
    </row>
    <row r="3584">
      <c r="A3584" t="n">
        <v>3584</v>
      </c>
      <c r="B3584" t="inlineStr">
        <is>
          <t>A-5053__328</t>
        </is>
      </c>
      <c r="C3584" s="1" t="n">
        <v>37.2794772709</v>
      </c>
      <c r="D3584" s="1" t="n">
        <v>-7.14501996021</v>
      </c>
      <c r="E3584" s="3" t="n">
        <v>4</v>
      </c>
      <c r="F3584" s="2" t="n">
        <v>4</v>
      </c>
      <c r="G3584" s="4" t="n">
        <v>4</v>
      </c>
      <c r="H3584" s="13" t="n"/>
      <c r="I3584" s="15" t="n"/>
      <c r="J3584" s="19" t="n">
        <v>4</v>
      </c>
      <c r="K3584" s="2" t="inlineStr">
        <is>
          <t>marker_709_964486.png</t>
        </is>
      </c>
      <c r="L3584" s="11">
        <f>HYPERLINK("4\0\" &amp; K3584, "Ver Imagen")</f>
        <v/>
      </c>
      <c r="M3584" t="inlineStr">
        <is>
          <t>Moda</t>
        </is>
      </c>
    </row>
    <row r="3585">
      <c r="A3585" t="n">
        <v>3585</v>
      </c>
      <c r="B3585" t="inlineStr">
        <is>
          <t>A-5053__324</t>
        </is>
      </c>
      <c r="C3585" s="1" t="n">
        <v>37.2788119643</v>
      </c>
      <c r="D3585" s="1" t="n">
        <v>-7.14446947696</v>
      </c>
      <c r="E3585" s="3" t="n">
        <v>4</v>
      </c>
      <c r="F3585" s="2" t="n">
        <v>4</v>
      </c>
      <c r="G3585" s="4" t="n">
        <v>4</v>
      </c>
      <c r="H3585" s="13" t="n"/>
      <c r="I3585" s="15" t="n"/>
      <c r="J3585" s="19" t="n">
        <v>4</v>
      </c>
      <c r="K3585" s="2" t="inlineStr">
        <is>
          <t>marker_360_964533.png</t>
        </is>
      </c>
      <c r="L3585" s="11">
        <f>HYPERLINK("4\0\" &amp; K3585, "Ver Imagen")</f>
        <v/>
      </c>
      <c r="M3585" t="inlineStr">
        <is>
          <t>Moda</t>
        </is>
      </c>
    </row>
    <row r="3586">
      <c r="A3586" t="n">
        <v>3586</v>
      </c>
      <c r="B3586" t="inlineStr">
        <is>
          <t>A-5053__261</t>
        </is>
      </c>
      <c r="C3586" s="1" t="n">
        <v>37.2684362226</v>
      </c>
      <c r="D3586" s="1" t="n">
        <v>-7.13646381225</v>
      </c>
      <c r="E3586" s="3" t="n">
        <v>4</v>
      </c>
      <c r="F3586" s="2" t="n">
        <v>4</v>
      </c>
      <c r="G3586" s="4" t="n">
        <v>4</v>
      </c>
      <c r="H3586" s="13" t="n"/>
      <c r="I3586" s="15" t="n"/>
      <c r="J3586" s="19" t="n">
        <v>4</v>
      </c>
      <c r="K3586" s="2" t="inlineStr">
        <is>
          <t>marker_409_965246.png</t>
        </is>
      </c>
      <c r="L3586" s="11">
        <f>HYPERLINK("4\0\" &amp; K3586, "Ver Imagen")</f>
        <v/>
      </c>
      <c r="M3586" t="inlineStr">
        <is>
          <t>Moda</t>
        </is>
      </c>
    </row>
    <row r="3587">
      <c r="A3587" t="n">
        <v>3587</v>
      </c>
      <c r="B3587" t="inlineStr">
        <is>
          <t>A-5053__257</t>
        </is>
      </c>
      <c r="C3587" s="1" t="n">
        <v>37.2682073279</v>
      </c>
      <c r="D3587" s="1" t="n">
        <v>-7.13548693532</v>
      </c>
      <c r="E3587" s="3" t="n">
        <v>4</v>
      </c>
      <c r="F3587" s="2" t="n">
        <v>4</v>
      </c>
      <c r="G3587" s="4" t="n">
        <v>4</v>
      </c>
      <c r="H3587" s="13" t="n"/>
      <c r="I3587" s="15" t="n"/>
      <c r="J3587" s="19" t="n">
        <v>4</v>
      </c>
      <c r="K3587" s="2" t="inlineStr">
        <is>
          <t>marker_256_965287.png</t>
        </is>
      </c>
      <c r="L3587" s="11">
        <f>HYPERLINK("4\0\" &amp; K3587, "Ver Imagen")</f>
        <v/>
      </c>
      <c r="M3587" t="inlineStr">
        <is>
          <t>Moda</t>
        </is>
      </c>
    </row>
    <row r="3588">
      <c r="A3588" t="n">
        <v>3588</v>
      </c>
      <c r="B3588" t="inlineStr">
        <is>
          <t>A-5053__235</t>
        </is>
      </c>
      <c r="C3588" s="1" t="n">
        <v>37.2648393532</v>
      </c>
      <c r="D3588" s="1" t="n">
        <v>-7.13211782999</v>
      </c>
      <c r="E3588" s="3" t="n">
        <v>4</v>
      </c>
      <c r="F3588" s="2" t="n">
        <v>4</v>
      </c>
      <c r="G3588" s="4" t="n">
        <v>4</v>
      </c>
      <c r="H3588" s="13" t="n"/>
      <c r="I3588" s="15" t="n"/>
      <c r="J3588" s="19" t="n">
        <v>4</v>
      </c>
      <c r="K3588" s="2" t="inlineStr">
        <is>
          <t>marker_264_965545.png</t>
        </is>
      </c>
      <c r="L3588" s="11">
        <f>HYPERLINK("4\0\" &amp; K3588, "Ver Imagen")</f>
        <v/>
      </c>
      <c r="M3588" t="inlineStr">
        <is>
          <t>Moda</t>
        </is>
      </c>
    </row>
    <row r="3589">
      <c r="A3589" t="n">
        <v>3589</v>
      </c>
      <c r="B3589" t="inlineStr">
        <is>
          <t>A-5058__287</t>
        </is>
      </c>
      <c r="C3589" s="1" t="n">
        <v>37.2448170308</v>
      </c>
      <c r="D3589" s="1" t="n">
        <v>-7.09158589456</v>
      </c>
      <c r="E3589" s="3" t="n">
        <v>4</v>
      </c>
      <c r="F3589" s="2" t="n">
        <v>4</v>
      </c>
      <c r="G3589" s="4" t="n">
        <v>4</v>
      </c>
      <c r="H3589" s="13" t="n"/>
      <c r="I3589" s="15" t="n"/>
      <c r="J3589" s="19" t="n">
        <v>4</v>
      </c>
      <c r="K3589" s="2" t="inlineStr">
        <is>
          <t>marker_551_384116.png</t>
        </is>
      </c>
      <c r="L3589" s="11">
        <f>HYPERLINK("4\0\" &amp; K3589, "Ver Imagen")</f>
        <v/>
      </c>
      <c r="M3589" t="inlineStr">
        <is>
          <t>Moda</t>
        </is>
      </c>
    </row>
    <row r="3590">
      <c r="A3590" t="n">
        <v>3590</v>
      </c>
      <c r="B3590" t="inlineStr">
        <is>
          <t>A-5058__289</t>
        </is>
      </c>
      <c r="C3590" s="1" t="n">
        <v>37.2450282207</v>
      </c>
      <c r="D3590" s="1" t="n">
        <v>-7.09204151454</v>
      </c>
      <c r="E3590" s="3" t="n">
        <v>4</v>
      </c>
      <c r="F3590" s="2" t="n">
        <v>4</v>
      </c>
      <c r="G3590" s="4" t="n">
        <v>4</v>
      </c>
      <c r="H3590" s="13" t="n"/>
      <c r="I3590" s="15" t="n"/>
      <c r="J3590" s="19" t="n">
        <v>4</v>
      </c>
      <c r="K3590" s="2" t="inlineStr">
        <is>
          <t>marker_650_384135.png</t>
        </is>
      </c>
      <c r="L3590" s="11">
        <f>HYPERLINK("4\0\" &amp; K3590, "Ver Imagen")</f>
        <v/>
      </c>
      <c r="M3590" t="inlineStr">
        <is>
          <t>Moda</t>
        </is>
      </c>
    </row>
    <row r="3591">
      <c r="A3591" t="n">
        <v>3591</v>
      </c>
      <c r="B3591" t="inlineStr">
        <is>
          <t>A-5058__294</t>
        </is>
      </c>
      <c r="C3591" s="1" t="n">
        <v>37.2453484423</v>
      </c>
      <c r="D3591" s="1" t="n">
        <v>-7.09319484727</v>
      </c>
      <c r="E3591" s="3" t="n">
        <v>4</v>
      </c>
      <c r="F3591" s="2" t="n">
        <v>4</v>
      </c>
      <c r="G3591" s="4" t="n">
        <v>4</v>
      </c>
      <c r="H3591" s="13" t="n"/>
      <c r="I3591" s="15" t="n"/>
      <c r="J3591" s="19" t="n">
        <v>4</v>
      </c>
      <c r="K3591" s="2" t="inlineStr">
        <is>
          <t>marker_215_384197.png</t>
        </is>
      </c>
      <c r="L3591" s="11">
        <f>HYPERLINK("4\0\" &amp; K3591, "Ver Imagen")</f>
        <v/>
      </c>
      <c r="M3591" t="inlineStr">
        <is>
          <t>Moda</t>
        </is>
      </c>
    </row>
    <row r="3592">
      <c r="A3592" t="n">
        <v>3592</v>
      </c>
      <c r="B3592" t="inlineStr">
        <is>
          <t>A-5058__295</t>
        </is>
      </c>
      <c r="C3592" s="1" t="n">
        <v>37.2453826881</v>
      </c>
      <c r="D3592" s="1" t="n">
        <v>-7.09347062485</v>
      </c>
      <c r="E3592" s="3" t="n">
        <v>4</v>
      </c>
      <c r="F3592" s="2" t="n">
        <v>4</v>
      </c>
      <c r="G3592" s="4" t="n">
        <v>4</v>
      </c>
      <c r="H3592" s="13" t="n"/>
      <c r="I3592" s="15" t="n"/>
      <c r="J3592" s="19" t="n">
        <v>4</v>
      </c>
      <c r="K3592" s="2" t="inlineStr">
        <is>
          <t>marker_492_384205.png</t>
        </is>
      </c>
      <c r="L3592" s="11">
        <f>HYPERLINK("4\0\" &amp; K3592, "Ver Imagen")</f>
        <v/>
      </c>
      <c r="M3592" t="inlineStr">
        <is>
          <t>Moda</t>
        </is>
      </c>
    </row>
    <row r="3593">
      <c r="A3593" t="n">
        <v>3593</v>
      </c>
      <c r="B3593" t="inlineStr">
        <is>
          <t>A-5058__448</t>
        </is>
      </c>
      <c r="C3593" s="1" t="n">
        <v>37.2589388359</v>
      </c>
      <c r="D3593" s="1" t="n">
        <v>-7.12407741064</v>
      </c>
      <c r="E3593" s="3" t="n">
        <v>4</v>
      </c>
      <c r="F3593" s="2" t="n">
        <v>4</v>
      </c>
      <c r="G3593" s="4" t="n">
        <v>4</v>
      </c>
      <c r="H3593" s="13" t="n"/>
      <c r="I3593" s="15" t="n"/>
      <c r="J3593" s="19" t="n">
        <v>4</v>
      </c>
      <c r="K3593" s="2" t="inlineStr">
        <is>
          <t>marker_768_389056.png</t>
        </is>
      </c>
      <c r="L3593" s="11">
        <f>HYPERLINK("4\0\" &amp; K3593, "Ver Imagen")</f>
        <v/>
      </c>
      <c r="M3593" t="inlineStr">
        <is>
          <t>Moda</t>
        </is>
      </c>
    </row>
    <row r="3594">
      <c r="A3594" t="n">
        <v>3594</v>
      </c>
      <c r="B3594" t="inlineStr">
        <is>
          <t>A-495_1__159</t>
        </is>
      </c>
      <c r="C3594" s="1" t="n">
        <v>37.4782194652</v>
      </c>
      <c r="D3594" s="1" t="n">
        <v>-7.12753317984</v>
      </c>
      <c r="E3594" s="3" t="n">
        <v>4</v>
      </c>
      <c r="F3594" s="2" t="n">
        <v>4</v>
      </c>
      <c r="G3594" s="4" t="n">
        <v>4</v>
      </c>
      <c r="H3594" s="13" t="n"/>
      <c r="I3594" s="15" t="n"/>
      <c r="J3594" s="19" t="n">
        <v>4</v>
      </c>
      <c r="K3594" s="2" t="inlineStr">
        <is>
          <t>marker_832_384103.png</t>
        </is>
      </c>
      <c r="L3594" s="11">
        <f>HYPERLINK("4\0\" &amp; K3594, "Ver Imagen")</f>
        <v/>
      </c>
      <c r="M3594" t="inlineStr">
        <is>
          <t>Moda</t>
        </is>
      </c>
    </row>
    <row r="3595">
      <c r="A3595" t="n">
        <v>3595</v>
      </c>
      <c r="B3595" t="inlineStr">
        <is>
          <t>A-495_1__128</t>
        </is>
      </c>
      <c r="C3595" s="1" t="n">
        <v>37.4725468378</v>
      </c>
      <c r="D3595" s="1" t="n">
        <v>-7.12640045403</v>
      </c>
      <c r="E3595" s="3" t="n">
        <v>4</v>
      </c>
      <c r="F3595" s="2" t="n">
        <v>4</v>
      </c>
      <c r="G3595" s="4" t="n">
        <v>4</v>
      </c>
      <c r="H3595" s="13" t="n"/>
      <c r="I3595" s="15" t="n"/>
      <c r="J3595" s="19" t="n">
        <v>4</v>
      </c>
      <c r="K3595" s="2" t="inlineStr">
        <is>
          <t>marker_276_384493.png</t>
        </is>
      </c>
      <c r="L3595" s="11">
        <f>HYPERLINK("4\0\" &amp; K3595, "Ver Imagen")</f>
        <v/>
      </c>
      <c r="M3595" t="inlineStr">
        <is>
          <t>Moda</t>
        </is>
      </c>
    </row>
    <row r="3596">
      <c r="A3596" t="n">
        <v>3596</v>
      </c>
      <c r="B3596" t="inlineStr">
        <is>
          <t>A-495_1__104</t>
        </is>
      </c>
      <c r="C3596" s="1" t="n">
        <v>37.4683074051</v>
      </c>
      <c r="D3596" s="1" t="n">
        <v>-7.12348801904</v>
      </c>
      <c r="E3596" s="3" t="n">
        <v>4</v>
      </c>
      <c r="F3596" s="2" t="n">
        <v>4</v>
      </c>
      <c r="G3596" s="4" t="n">
        <v>4</v>
      </c>
      <c r="H3596" s="13" t="n"/>
      <c r="I3596" s="15" t="n"/>
      <c r="J3596" s="19" t="n">
        <v>4</v>
      </c>
      <c r="K3596" s="2" t="inlineStr">
        <is>
          <t>marker_757_384959.png</t>
        </is>
      </c>
      <c r="L3596" s="11">
        <f>HYPERLINK("4\0\" &amp; K3596, "Ver Imagen")</f>
        <v/>
      </c>
      <c r="M3596" t="inlineStr">
        <is>
          <t>Moda</t>
        </is>
      </c>
    </row>
    <row r="3597">
      <c r="A3597" t="n">
        <v>3597</v>
      </c>
      <c r="B3597" t="inlineStr">
        <is>
          <t>A-499__70</t>
        </is>
      </c>
      <c r="C3597" s="1" t="n">
        <v>37.495447051</v>
      </c>
      <c r="D3597" s="1" t="n">
        <v>-7.27025930428</v>
      </c>
      <c r="E3597" s="3" t="n">
        <v>4</v>
      </c>
      <c r="F3597" s="2" t="n">
        <v>4</v>
      </c>
      <c r="G3597" s="4" t="n">
        <v>4</v>
      </c>
      <c r="H3597" s="13" t="n"/>
      <c r="I3597" s="15" t="n"/>
      <c r="J3597" s="19" t="n">
        <v>4</v>
      </c>
      <c r="K3597" s="2" t="inlineStr">
        <is>
          <t>marker_540_535178.png</t>
        </is>
      </c>
      <c r="L3597" s="11">
        <f>HYPERLINK("4\0\" &amp; K3597, "Ver Imagen")</f>
        <v/>
      </c>
      <c r="M3597" t="inlineStr">
        <is>
          <t>Moda</t>
        </is>
      </c>
    </row>
    <row r="3598">
      <c r="A3598" t="n">
        <v>3598</v>
      </c>
      <c r="B3598" t="inlineStr">
        <is>
          <t>A-499__75</t>
        </is>
      </c>
      <c r="C3598" s="1" t="n">
        <v>37.4954274256</v>
      </c>
      <c r="D3598" s="1" t="n">
        <v>-7.26895732536</v>
      </c>
      <c r="E3598" s="3" t="n">
        <v>4</v>
      </c>
      <c r="F3598" s="2" t="n">
        <v>4</v>
      </c>
      <c r="G3598" s="4" t="n">
        <v>4</v>
      </c>
      <c r="H3598" s="13" t="n"/>
      <c r="I3598" s="15" t="n"/>
      <c r="J3598" s="19" t="n">
        <v>4</v>
      </c>
      <c r="K3598" s="2" t="inlineStr">
        <is>
          <t>marker_906_789143.png</t>
        </is>
      </c>
      <c r="L3598" s="11">
        <f>HYPERLINK("4\0\" &amp; K3598, "Ver Imagen")</f>
        <v/>
      </c>
      <c r="M3598" t="inlineStr">
        <is>
          <t>Moda</t>
        </is>
      </c>
    </row>
    <row r="3599">
      <c r="A3599" t="n">
        <v>3599</v>
      </c>
      <c r="B3599" t="inlineStr">
        <is>
          <t>A-497__834</t>
        </is>
      </c>
      <c r="C3599" s="1" t="n">
        <v>37.1988149762</v>
      </c>
      <c r="D3599" s="1" t="n">
        <v>-6.98236193708</v>
      </c>
      <c r="E3599" s="3" t="n">
        <v>4</v>
      </c>
      <c r="F3599" s="2" t="n">
        <v>4</v>
      </c>
      <c r="G3599" s="4" t="n">
        <v>4</v>
      </c>
      <c r="H3599" s="13" t="n"/>
      <c r="I3599" s="15" t="n"/>
      <c r="J3599" s="19" t="n">
        <v>4</v>
      </c>
      <c r="K3599" s="2" t="inlineStr">
        <is>
          <t>marker_584_367606.png</t>
        </is>
      </c>
      <c r="L3599" s="11">
        <f>HYPERLINK("4\0\" &amp; K3599, "Ver Imagen")</f>
        <v/>
      </c>
      <c r="M3599" t="inlineStr">
        <is>
          <t>Moda</t>
        </is>
      </c>
    </row>
    <row r="3600">
      <c r="A3600" t="n">
        <v>3600</v>
      </c>
      <c r="B3600" t="inlineStr">
        <is>
          <t>A-497__770</t>
        </is>
      </c>
      <c r="C3600" s="1" t="n">
        <v>37.1876023696</v>
      </c>
      <c r="D3600" s="1" t="n">
        <v>-6.97910448656</v>
      </c>
      <c r="E3600" s="3" t="n">
        <v>4</v>
      </c>
      <c r="F3600" s="2" t="n">
        <v>4</v>
      </c>
      <c r="G3600" s="4" t="n">
        <v>4</v>
      </c>
      <c r="H3600" s="13" t="n"/>
      <c r="I3600" s="15" t="n"/>
      <c r="J3600" s="19" t="n">
        <v>4</v>
      </c>
      <c r="K3600" s="2" t="inlineStr">
        <is>
          <t>marker_583_368305.png</t>
        </is>
      </c>
      <c r="L3600" s="11">
        <f>HYPERLINK("4\0\" &amp; K3600, "Ver Imagen")</f>
        <v/>
      </c>
      <c r="M3600" t="inlineStr">
        <is>
          <t>Moda</t>
        </is>
      </c>
    </row>
    <row r="3601">
      <c r="A3601" t="n">
        <v>3601</v>
      </c>
      <c r="B3601" t="inlineStr">
        <is>
          <t>A-497__757</t>
        </is>
      </c>
      <c r="C3601" s="1" t="n">
        <v>37.1859783337</v>
      </c>
      <c r="D3601" s="1" t="n">
        <v>-6.97982040685</v>
      </c>
      <c r="E3601" s="3" t="n">
        <v>4</v>
      </c>
      <c r="F3601" s="2" t="n">
        <v>4</v>
      </c>
      <c r="G3601" s="4" t="n">
        <v>4</v>
      </c>
      <c r="H3601" s="13" t="n"/>
      <c r="I3601" s="15" t="n"/>
      <c r="J3601" s="19" t="n">
        <v>4</v>
      </c>
      <c r="K3601" s="2" t="inlineStr">
        <is>
          <t>marker_400_368602.png</t>
        </is>
      </c>
      <c r="L3601" s="11">
        <f>HYPERLINK("4\0\" &amp; K3601, "Ver Imagen")</f>
        <v/>
      </c>
      <c r="M3601" t="inlineStr">
        <is>
          <t>Moda</t>
        </is>
      </c>
    </row>
    <row r="3602">
      <c r="A3602" t="n">
        <v>3602</v>
      </c>
      <c r="B3602" t="inlineStr">
        <is>
          <t>A-497__756</t>
        </is>
      </c>
      <c r="C3602" s="1" t="n">
        <v>37.1861620631</v>
      </c>
      <c r="D3602" s="1" t="n">
        <v>-6.97973852747</v>
      </c>
      <c r="E3602" s="3" t="n">
        <v>4</v>
      </c>
      <c r="F3602" s="2" t="n">
        <v>4</v>
      </c>
      <c r="G3602" s="4" t="n">
        <v>4</v>
      </c>
      <c r="H3602" s="13" t="n"/>
      <c r="I3602" s="15" t="n"/>
      <c r="J3602" s="19" t="n">
        <v>4</v>
      </c>
      <c r="K3602" s="2" t="inlineStr">
        <is>
          <t>marker_556_368614.png</t>
        </is>
      </c>
      <c r="L3602" s="11">
        <f>HYPERLINK("4\0\" &amp; K3602, "Ver Imagen")</f>
        <v/>
      </c>
      <c r="M3602" t="inlineStr">
        <is>
          <t>Moda</t>
        </is>
      </c>
    </row>
    <row r="3603">
      <c r="A3603" t="n">
        <v>3603</v>
      </c>
      <c r="B3603" t="inlineStr">
        <is>
          <t>A-497__675</t>
        </is>
      </c>
      <c r="C3603" s="1" t="n">
        <v>37.1995658232</v>
      </c>
      <c r="D3603" s="1" t="n">
        <v>-6.98416312692</v>
      </c>
      <c r="E3603" s="3" t="n">
        <v>4</v>
      </c>
      <c r="F3603" s="2" t="n">
        <v>4</v>
      </c>
      <c r="G3603" s="4" t="n">
        <v>4</v>
      </c>
      <c r="H3603" s="13" t="n"/>
      <c r="I3603" s="15" t="n"/>
      <c r="J3603" s="19" t="n">
        <v>4</v>
      </c>
      <c r="K3603" s="2" t="inlineStr">
        <is>
          <t>marker_820_370730.png</t>
        </is>
      </c>
      <c r="L3603" s="11">
        <f>HYPERLINK("4\0\" &amp; K3603, "Ver Imagen")</f>
        <v/>
      </c>
      <c r="M3603" t="inlineStr">
        <is>
          <t>Moda</t>
        </is>
      </c>
    </row>
    <row r="3604">
      <c r="A3604" t="n">
        <v>3604</v>
      </c>
      <c r="B3604" t="inlineStr">
        <is>
          <t>A-497__604</t>
        </is>
      </c>
      <c r="C3604" s="1" t="n">
        <v>37.2028552088</v>
      </c>
      <c r="D3604" s="1" t="n">
        <v>-7.00162537277</v>
      </c>
      <c r="E3604" s="3" t="n">
        <v>4</v>
      </c>
      <c r="F3604" s="2" t="n">
        <v>4</v>
      </c>
      <c r="G3604" s="4" t="n">
        <v>4</v>
      </c>
      <c r="H3604" s="13" t="n"/>
      <c r="I3604" s="15" t="n"/>
      <c r="J3604" s="19" t="n">
        <v>4</v>
      </c>
      <c r="K3604" s="2" t="inlineStr">
        <is>
          <t>marker_994_371678.png</t>
        </is>
      </c>
      <c r="L3604" s="11">
        <f>HYPERLINK("4\0\" &amp; K3604, "Ver Imagen")</f>
        <v/>
      </c>
      <c r="M3604" t="inlineStr">
        <is>
          <t>Moda</t>
        </is>
      </c>
    </row>
    <row r="3605">
      <c r="A3605" t="n">
        <v>3605</v>
      </c>
      <c r="B3605" t="inlineStr">
        <is>
          <t>A-497_2C__283</t>
        </is>
      </c>
      <c r="C3605" s="1" t="n">
        <v>37.252677315</v>
      </c>
      <c r="D3605" s="1" t="n">
        <v>-7.01638212154</v>
      </c>
      <c r="E3605" s="3" t="n">
        <v>4</v>
      </c>
      <c r="F3605" s="2" t="n">
        <v>4</v>
      </c>
      <c r="G3605" s="4" t="n">
        <v>4</v>
      </c>
      <c r="H3605" s="13" t="n"/>
      <c r="I3605" s="15" t="n"/>
      <c r="J3605" s="19" t="n">
        <v>4</v>
      </c>
      <c r="K3605" s="2" t="inlineStr">
        <is>
          <t>marker_122_319917.png</t>
        </is>
      </c>
      <c r="L3605" s="11">
        <f>HYPERLINK("4\0\" &amp; K3605, "Ver Imagen")</f>
        <v/>
      </c>
      <c r="M3605" t="inlineStr">
        <is>
          <t>Moda</t>
        </is>
      </c>
    </row>
    <row r="3606">
      <c r="A3606" t="n">
        <v>3606</v>
      </c>
      <c r="B3606" t="inlineStr">
        <is>
          <t>A-497_2C__309</t>
        </is>
      </c>
      <c r="C3606" s="1" t="n">
        <v>37.2476981663</v>
      </c>
      <c r="D3606" s="1" t="n">
        <v>-7.01838923454</v>
      </c>
      <c r="E3606" s="3" t="n">
        <v>4</v>
      </c>
      <c r="F3606" s="2" t="n">
        <v>4</v>
      </c>
      <c r="G3606" s="4" t="n">
        <v>4</v>
      </c>
      <c r="H3606" s="13" t="n"/>
      <c r="I3606" s="15" t="n"/>
      <c r="J3606" s="19" t="n">
        <v>4</v>
      </c>
      <c r="K3606" s="2" t="inlineStr">
        <is>
          <t>marker_367_361819.png</t>
        </is>
      </c>
      <c r="L3606" s="11">
        <f>HYPERLINK("4\0\" &amp; K3606, "Ver Imagen")</f>
        <v/>
      </c>
      <c r="M3606" t="inlineStr">
        <is>
          <t>Moda</t>
        </is>
      </c>
    </row>
    <row r="3607">
      <c r="A3607" t="n">
        <v>3607</v>
      </c>
      <c r="B3607" t="inlineStr">
        <is>
          <t>A-497_2C__389</t>
        </is>
      </c>
      <c r="C3607" s="1" t="n">
        <v>37.2317323555</v>
      </c>
      <c r="D3607" s="1" t="n">
        <v>-7.01914393715</v>
      </c>
      <c r="E3607" s="3" t="n">
        <v>4</v>
      </c>
      <c r="F3607" s="2" t="n">
        <v>4</v>
      </c>
      <c r="G3607" s="4" t="n">
        <v>4</v>
      </c>
      <c r="H3607" s="13" t="n"/>
      <c r="I3607" s="15" t="n"/>
      <c r="J3607" s="19" t="n">
        <v>4</v>
      </c>
      <c r="K3607" s="2" t="inlineStr">
        <is>
          <t>marker_898_362799.png</t>
        </is>
      </c>
      <c r="L3607" s="11">
        <f>HYPERLINK("4\0\" &amp; K3607, "Ver Imagen")</f>
        <v/>
      </c>
      <c r="M3607" t="inlineStr">
        <is>
          <t>Moda</t>
        </is>
      </c>
    </row>
    <row r="3608">
      <c r="A3608" t="n">
        <v>3608</v>
      </c>
      <c r="B3608" t="inlineStr">
        <is>
          <t>A-497_2C__539</t>
        </is>
      </c>
      <c r="C3608" s="1" t="n">
        <v>37.2051010206</v>
      </c>
      <c r="D3608" s="1" t="n">
        <v>-7.01680024119</v>
      </c>
      <c r="E3608" s="3" t="n">
        <v>4</v>
      </c>
      <c r="F3608" s="2" t="n">
        <v>4</v>
      </c>
      <c r="G3608" s="4" t="n">
        <v>4</v>
      </c>
      <c r="H3608" s="13" t="n"/>
      <c r="I3608" s="15" t="n"/>
      <c r="J3608" s="19" t="n">
        <v>4</v>
      </c>
      <c r="K3608" s="2" t="inlineStr">
        <is>
          <t>marker_333_364531.png</t>
        </is>
      </c>
      <c r="L3608" s="11">
        <f>HYPERLINK("4\0\" &amp; K3608, "Ver Imagen")</f>
        <v/>
      </c>
      <c r="M3608" t="inlineStr">
        <is>
          <t>Moda</t>
        </is>
      </c>
    </row>
    <row r="3609">
      <c r="A3609" t="n">
        <v>3609</v>
      </c>
      <c r="B3609" t="inlineStr">
        <is>
          <t>A-497__292</t>
        </is>
      </c>
      <c r="C3609" s="1" t="n">
        <v>37.2518188091</v>
      </c>
      <c r="D3609" s="1" t="n">
        <v>-7.01671723351</v>
      </c>
      <c r="E3609" s="3" t="n">
        <v>4</v>
      </c>
      <c r="F3609" s="2" t="n">
        <v>4</v>
      </c>
      <c r="G3609" s="4" t="n">
        <v>4</v>
      </c>
      <c r="H3609" s="13" t="n"/>
      <c r="I3609" s="15" t="n"/>
      <c r="J3609" s="19" t="n">
        <v>4</v>
      </c>
      <c r="K3609" s="2" t="inlineStr">
        <is>
          <t>marker_778_378331.png</t>
        </is>
      </c>
      <c r="L3609" s="11">
        <f>HYPERLINK("4\0\" &amp; K3609, "Ver Imagen")</f>
        <v/>
      </c>
      <c r="M3609" t="inlineStr">
        <is>
          <t>Moda</t>
        </is>
      </c>
    </row>
    <row r="3610">
      <c r="A3610" t="n">
        <v>3610</v>
      </c>
      <c r="B3610" t="inlineStr">
        <is>
          <t>A-497__223</t>
        </is>
      </c>
      <c r="C3610" s="1" t="n">
        <v>37.2633407578</v>
      </c>
      <c r="D3610" s="1" t="n">
        <v>-7.00745223531</v>
      </c>
      <c r="E3610" s="3" t="n">
        <v>4</v>
      </c>
      <c r="F3610" s="2" t="n">
        <v>4</v>
      </c>
      <c r="G3610" s="4" t="n">
        <v>4</v>
      </c>
      <c r="H3610" s="13" t="n"/>
      <c r="I3610" s="15" t="n"/>
      <c r="J3610" s="19" t="n">
        <v>4</v>
      </c>
      <c r="K3610" s="2" t="inlineStr">
        <is>
          <t>marker_976_379110.png</t>
        </is>
      </c>
      <c r="L3610" s="11">
        <f>HYPERLINK("4\0\" &amp; K3610, "Ver Imagen")</f>
        <v/>
      </c>
      <c r="M3610" t="inlineStr">
        <is>
          <t>Moda</t>
        </is>
      </c>
    </row>
    <row r="3611">
      <c r="A3611" t="n">
        <v>3611</v>
      </c>
      <c r="B3611" t="inlineStr">
        <is>
          <t>A-497__113</t>
        </is>
      </c>
      <c r="C3611" s="1" t="n">
        <v>37.2712180556</v>
      </c>
      <c r="D3611" s="1" t="n">
        <v>-6.98370896043</v>
      </c>
      <c r="E3611" s="3" t="n">
        <v>4</v>
      </c>
      <c r="F3611" s="2" t="n">
        <v>4</v>
      </c>
      <c r="G3611" s="4" t="n">
        <v>4</v>
      </c>
      <c r="H3611" s="13" t="n"/>
      <c r="I3611" s="15" t="n"/>
      <c r="J3611" s="19" t="n">
        <v>4</v>
      </c>
      <c r="K3611" s="2" t="inlineStr">
        <is>
          <t>marker_451_380688.png</t>
        </is>
      </c>
      <c r="L3611" s="11">
        <f>HYPERLINK("4\0\" &amp; K3611, "Ver Imagen")</f>
        <v/>
      </c>
      <c r="M3611" t="inlineStr">
        <is>
          <t>Moda</t>
        </is>
      </c>
    </row>
    <row r="3612">
      <c r="A3612" t="n">
        <v>3612</v>
      </c>
      <c r="B3612" t="inlineStr">
        <is>
          <t>A-497__112</t>
        </is>
      </c>
      <c r="C3612" s="1" t="n">
        <v>37.2711403845</v>
      </c>
      <c r="D3612" s="1" t="n">
        <v>-6.98344320924</v>
      </c>
      <c r="E3612" s="3" t="n">
        <v>4</v>
      </c>
      <c r="F3612" s="2" t="n">
        <v>4</v>
      </c>
      <c r="G3612" s="4" t="n">
        <v>4</v>
      </c>
      <c r="H3612" s="13" t="n"/>
      <c r="I3612" s="15" t="n"/>
      <c r="J3612" s="19" t="n">
        <v>4</v>
      </c>
      <c r="K3612" s="2" t="inlineStr">
        <is>
          <t>marker_549_380706.png</t>
        </is>
      </c>
      <c r="L3612" s="11">
        <f>HYPERLINK("4\0\" &amp; K3612, "Ver Imagen")</f>
        <v/>
      </c>
      <c r="M3612" t="inlineStr">
        <is>
          <t>Moda</t>
        </is>
      </c>
    </row>
    <row r="3613">
      <c r="A3613" t="n">
        <v>3613</v>
      </c>
      <c r="B3613" t="inlineStr">
        <is>
          <t>A-497__110</t>
        </is>
      </c>
      <c r="C3613" s="1" t="n">
        <v>37.271006868</v>
      </c>
      <c r="D3613" s="1" t="n">
        <v>-6.9829789587</v>
      </c>
      <c r="E3613" s="3" t="n">
        <v>4</v>
      </c>
      <c r="F3613" s="2" t="n">
        <v>4</v>
      </c>
      <c r="G3613" s="4" t="n">
        <v>4</v>
      </c>
      <c r="H3613" s="13" t="n"/>
      <c r="I3613" s="15" t="n"/>
      <c r="J3613" s="19" t="n">
        <v>4</v>
      </c>
      <c r="K3613" s="2" t="inlineStr">
        <is>
          <t>marker_350_380724.png</t>
        </is>
      </c>
      <c r="L3613" s="11">
        <f>HYPERLINK("4\0\" &amp; K3613, "Ver Imagen")</f>
        <v/>
      </c>
      <c r="M3613" t="inlineStr">
        <is>
          <t>Moda</t>
        </is>
      </c>
    </row>
    <row r="3614">
      <c r="A3614" t="n">
        <v>3614</v>
      </c>
      <c r="B3614" t="inlineStr">
        <is>
          <t>A-497__97</t>
        </is>
      </c>
      <c r="C3614" s="1" t="n">
        <v>37.2701188818</v>
      </c>
      <c r="D3614" s="1" t="n">
        <v>-6.97987968149</v>
      </c>
      <c r="E3614" s="3" t="n">
        <v>4</v>
      </c>
      <c r="F3614" s="2" t="n">
        <v>4</v>
      </c>
      <c r="G3614" s="4" t="n">
        <v>4</v>
      </c>
      <c r="H3614" s="13" t="n"/>
      <c r="I3614" s="15" t="n"/>
      <c r="J3614" s="19" t="n">
        <v>4</v>
      </c>
      <c r="K3614" s="2" t="inlineStr">
        <is>
          <t>marker_114_380866.png</t>
        </is>
      </c>
      <c r="L3614" s="11">
        <f>HYPERLINK("4\0\" &amp; K3614, "Ver Imagen")</f>
        <v/>
      </c>
      <c r="M3614" t="inlineStr">
        <is>
          <t>Moda</t>
        </is>
      </c>
    </row>
    <row r="3615">
      <c r="A3615" t="n">
        <v>3615</v>
      </c>
      <c r="B3615" t="inlineStr">
        <is>
          <t>A-497__92</t>
        </is>
      </c>
      <c r="C3615" s="1" t="n">
        <v>37.269757612</v>
      </c>
      <c r="D3615" s="1" t="n">
        <v>-6.97861932231</v>
      </c>
      <c r="E3615" s="3" t="n">
        <v>4</v>
      </c>
      <c r="F3615" s="2" t="n">
        <v>4</v>
      </c>
      <c r="G3615" s="4" t="n">
        <v>4</v>
      </c>
      <c r="H3615" s="13" t="n"/>
      <c r="I3615" s="15" t="n"/>
      <c r="J3615" s="19" t="n">
        <v>4</v>
      </c>
      <c r="K3615" s="2" t="inlineStr">
        <is>
          <t>marker_117_380920.png</t>
        </is>
      </c>
      <c r="L3615" s="11">
        <f>HYPERLINK("4\0\" &amp; K3615, "Ver Imagen")</f>
        <v/>
      </c>
      <c r="M3615" t="inlineStr">
        <is>
          <t>Moda</t>
        </is>
      </c>
    </row>
    <row r="3616">
      <c r="A3616" t="n">
        <v>3616</v>
      </c>
      <c r="B3616" t="inlineStr">
        <is>
          <t>A-5052__2</t>
        </is>
      </c>
      <c r="C3616" s="1" t="n">
        <v>37.2186166692</v>
      </c>
      <c r="D3616" s="1" t="n">
        <v>-7.12543685262</v>
      </c>
      <c r="E3616" s="3" t="n">
        <v>3</v>
      </c>
      <c r="F3616" s="2" t="n">
        <v>4</v>
      </c>
      <c r="G3616" s="4" t="n">
        <v>4</v>
      </c>
      <c r="H3616" s="13" t="n"/>
      <c r="I3616" s="15" t="n"/>
      <c r="J3616" s="19" t="n">
        <v>4</v>
      </c>
      <c r="K3616" s="2" t="inlineStr">
        <is>
          <t>marker_116_949875.png</t>
        </is>
      </c>
      <c r="L3616" s="11">
        <f>HYPERLINK("4\1\" &amp; K3616, "Ver Imagen")</f>
        <v/>
      </c>
      <c r="M3616" t="inlineStr">
        <is>
          <t>Moda</t>
        </is>
      </c>
    </row>
    <row r="3617">
      <c r="A3617" t="n">
        <v>3617</v>
      </c>
      <c r="B3617" t="inlineStr">
        <is>
          <t>A-5052__285</t>
        </is>
      </c>
      <c r="C3617" s="1" t="n">
        <v>37.2111367101</v>
      </c>
      <c r="D3617" s="1" t="n">
        <v>-7.05531387567</v>
      </c>
      <c r="E3617" s="3" t="n">
        <v>3</v>
      </c>
      <c r="F3617" s="2" t="n">
        <v>4</v>
      </c>
      <c r="G3617" s="4" t="n">
        <v>4</v>
      </c>
      <c r="H3617" s="13" t="n"/>
      <c r="I3617" s="15" t="n"/>
      <c r="J3617" s="19" t="n">
        <v>4</v>
      </c>
      <c r="K3617" s="2" t="inlineStr">
        <is>
          <t>marker_581_960583.png</t>
        </is>
      </c>
      <c r="L3617" s="11">
        <f>HYPERLINK("4\1\" &amp; K3617, "Ver Imagen")</f>
        <v/>
      </c>
      <c r="M3617" t="inlineStr">
        <is>
          <t>Moda</t>
        </is>
      </c>
    </row>
    <row r="3618">
      <c r="A3618" t="n">
        <v>3618</v>
      </c>
      <c r="B3618" t="inlineStr">
        <is>
          <t>A-5052__298</t>
        </is>
      </c>
      <c r="C3618" s="1" t="n">
        <v>37.2108006529</v>
      </c>
      <c r="D3618" s="1" t="n">
        <v>-7.05205756681</v>
      </c>
      <c r="E3618" s="3" t="n">
        <v>3</v>
      </c>
      <c r="F3618" s="2" t="n">
        <v>4</v>
      </c>
      <c r="G3618" s="4" t="n">
        <v>4</v>
      </c>
      <c r="H3618" s="13" t="n"/>
      <c r="I3618" s="15" t="n"/>
      <c r="J3618" s="19" t="n">
        <v>4</v>
      </c>
      <c r="K3618" s="2" t="inlineStr">
        <is>
          <t>marker_832_960887.png</t>
        </is>
      </c>
      <c r="L3618" s="11">
        <f>HYPERLINK("4\1\" &amp; K3618, "Ver Imagen")</f>
        <v/>
      </c>
      <c r="M3618" t="inlineStr">
        <is>
          <t>Moda</t>
        </is>
      </c>
    </row>
    <row r="3619">
      <c r="A3619" t="n">
        <v>3619</v>
      </c>
      <c r="B3619" t="inlineStr">
        <is>
          <t>A-5052__404</t>
        </is>
      </c>
      <c r="C3619" s="1" t="n">
        <v>37.2043791243</v>
      </c>
      <c r="D3619" s="1" t="n">
        <v>-7.02754230021</v>
      </c>
      <c r="E3619" s="3" t="n">
        <v>3</v>
      </c>
      <c r="F3619" s="2" t="n">
        <v>4</v>
      </c>
      <c r="G3619" s="4" t="n">
        <v>4</v>
      </c>
      <c r="H3619" s="13" t="n"/>
      <c r="I3619" s="15" t="n"/>
      <c r="J3619" s="19" t="n">
        <v>4</v>
      </c>
      <c r="K3619" s="2" t="inlineStr">
        <is>
          <t>marker_481_962710.png</t>
        </is>
      </c>
      <c r="L3619" s="11">
        <f>HYPERLINK("4\1\" &amp; K3619, "Ver Imagen")</f>
        <v/>
      </c>
      <c r="M3619" t="inlineStr">
        <is>
          <t>Moda</t>
        </is>
      </c>
    </row>
    <row r="3620">
      <c r="A3620" t="n">
        <v>3620</v>
      </c>
      <c r="B3620" t="inlineStr">
        <is>
          <t>A-5053__321</t>
        </is>
      </c>
      <c r="C3620" s="1" t="n">
        <v>37.2782469886</v>
      </c>
      <c r="D3620" s="1" t="n">
        <v>-7.14404515523</v>
      </c>
      <c r="E3620" s="3" t="n">
        <v>4</v>
      </c>
      <c r="F3620" s="2" t="n">
        <v>4</v>
      </c>
      <c r="G3620" s="4" t="n">
        <v>3</v>
      </c>
      <c r="H3620" s="13" t="n"/>
      <c r="I3620" s="15" t="n"/>
      <c r="J3620" s="19" t="n">
        <v>4</v>
      </c>
      <c r="K3620" s="2" t="inlineStr">
        <is>
          <t>marker_996_964564.png</t>
        </is>
      </c>
      <c r="L3620" s="11">
        <f>HYPERLINK("4\1\" &amp; K3620, "Ver Imagen")</f>
        <v/>
      </c>
      <c r="M3620" t="inlineStr">
        <is>
          <t>Moda</t>
        </is>
      </c>
    </row>
    <row r="3621">
      <c r="A3621" t="n">
        <v>3621</v>
      </c>
      <c r="B3621" t="inlineStr">
        <is>
          <t>A-5053__319</t>
        </is>
      </c>
      <c r="C3621" s="1" t="n">
        <v>37.2779222981</v>
      </c>
      <c r="D3621" s="1" t="n">
        <v>-7.14378532086</v>
      </c>
      <c r="E3621" s="3" t="n">
        <v>3</v>
      </c>
      <c r="F3621" s="2" t="n">
        <v>4</v>
      </c>
      <c r="G3621" s="4" t="n">
        <v>4</v>
      </c>
      <c r="H3621" s="13" t="n"/>
      <c r="I3621" s="15" t="n"/>
      <c r="J3621" s="19" t="n">
        <v>4</v>
      </c>
      <c r="K3621" s="2" t="inlineStr">
        <is>
          <t>marker_110_964583.png</t>
        </is>
      </c>
      <c r="L3621" s="11">
        <f>HYPERLINK("4\1\" &amp; K3621, "Ver Imagen")</f>
        <v/>
      </c>
      <c r="M3621" t="inlineStr">
        <is>
          <t>Moda</t>
        </is>
      </c>
    </row>
    <row r="3622">
      <c r="A3622" t="n">
        <v>3622</v>
      </c>
      <c r="B3622" t="inlineStr">
        <is>
          <t>A-5053__296</t>
        </is>
      </c>
      <c r="C3622" s="1" t="n">
        <v>37.2735207844</v>
      </c>
      <c r="D3622" s="1" t="n">
        <v>-7.14201963082</v>
      </c>
      <c r="E3622" s="3" t="n">
        <v>4</v>
      </c>
      <c r="F3622" s="2" t="n">
        <v>4</v>
      </c>
      <c r="G3622" s="4" t="n">
        <v>3</v>
      </c>
      <c r="H3622" s="13" t="n"/>
      <c r="I3622" s="15" t="n"/>
      <c r="J3622" s="19" t="n">
        <v>4</v>
      </c>
      <c r="K3622" s="2" t="inlineStr">
        <is>
          <t>marker_470_964901.png</t>
        </is>
      </c>
      <c r="L3622" s="11">
        <f>HYPERLINK("4\1\" &amp; K3622, "Ver Imagen")</f>
        <v/>
      </c>
      <c r="M3622" t="inlineStr">
        <is>
          <t>Moda</t>
        </is>
      </c>
    </row>
    <row r="3623">
      <c r="A3623" t="n">
        <v>3623</v>
      </c>
      <c r="B3623" t="inlineStr">
        <is>
          <t>A-5053__273</t>
        </is>
      </c>
      <c r="C3623" s="1" t="n">
        <v>37.2694579381</v>
      </c>
      <c r="D3623" s="1" t="n">
        <v>-7.13911819895</v>
      </c>
      <c r="E3623" s="3" t="n">
        <v>3</v>
      </c>
      <c r="F3623" s="2" t="n">
        <v>4</v>
      </c>
      <c r="G3623" s="4" t="n">
        <v>4</v>
      </c>
      <c r="H3623" s="13" t="n"/>
      <c r="I3623" s="15" t="n"/>
      <c r="J3623" s="19" t="n">
        <v>4</v>
      </c>
      <c r="K3623" s="2" t="inlineStr">
        <is>
          <t>marker_492_965122.png</t>
        </is>
      </c>
      <c r="L3623" s="11">
        <f>HYPERLINK("4\1\" &amp; K3623, "Ver Imagen")</f>
        <v/>
      </c>
      <c r="M3623" t="inlineStr">
        <is>
          <t>Moda</t>
        </is>
      </c>
    </row>
    <row r="3624">
      <c r="A3624" t="n">
        <v>3624</v>
      </c>
      <c r="B3624" t="inlineStr">
        <is>
          <t>A-5053__269</t>
        </is>
      </c>
      <c r="C3624" s="1" t="n">
        <v>37.2689908164</v>
      </c>
      <c r="D3624" s="1" t="n">
        <v>-7.13840834803</v>
      </c>
      <c r="E3624" s="3" t="n">
        <v>4</v>
      </c>
      <c r="F3624" s="2" t="n">
        <v>4</v>
      </c>
      <c r="G3624" s="4" t="n">
        <v>3</v>
      </c>
      <c r="H3624" s="13" t="n"/>
      <c r="I3624" s="15" t="n"/>
      <c r="J3624" s="19" t="n">
        <v>4</v>
      </c>
      <c r="K3624" s="2" t="inlineStr">
        <is>
          <t>marker_647_965155.png</t>
        </is>
      </c>
      <c r="L3624" s="11">
        <f>HYPERLINK("4\1\" &amp; K3624, "Ver Imagen")</f>
        <v/>
      </c>
      <c r="M3624" t="inlineStr">
        <is>
          <t>Moda</t>
        </is>
      </c>
    </row>
    <row r="3625">
      <c r="A3625" t="n">
        <v>3625</v>
      </c>
      <c r="B3625" t="inlineStr">
        <is>
          <t>A-5053__217</t>
        </is>
      </c>
      <c r="C3625" s="1" t="n">
        <v>37.2615756017</v>
      </c>
      <c r="D3625" s="1" t="n">
        <v>-7.13005852732</v>
      </c>
      <c r="E3625" s="3" t="n">
        <v>4</v>
      </c>
      <c r="F3625" s="2" t="n">
        <v>4</v>
      </c>
      <c r="G3625" s="4" t="n">
        <v>3</v>
      </c>
      <c r="H3625" s="13" t="n"/>
      <c r="I3625" s="15" t="n"/>
      <c r="J3625" s="19" t="n">
        <v>4</v>
      </c>
      <c r="K3625" s="2" t="inlineStr">
        <is>
          <t>marker_357_965717.png</t>
        </is>
      </c>
      <c r="L3625" s="11">
        <f>HYPERLINK("4\1\" &amp; K3625, "Ver Imagen")</f>
        <v/>
      </c>
      <c r="M3625" t="inlineStr">
        <is>
          <t>Moda</t>
        </is>
      </c>
    </row>
    <row r="3626">
      <c r="A3626" t="n">
        <v>3626</v>
      </c>
      <c r="B3626" t="inlineStr">
        <is>
          <t>A-5053__26</t>
        </is>
      </c>
      <c r="C3626" s="1" t="n">
        <v>37.2239659841</v>
      </c>
      <c r="D3626" s="1" t="n">
        <v>-7.12527181822</v>
      </c>
      <c r="E3626" s="3" t="n">
        <v>4</v>
      </c>
      <c r="F3626" s="2" t="n">
        <v>4</v>
      </c>
      <c r="G3626" s="4" t="n">
        <v>3</v>
      </c>
      <c r="H3626" s="13" t="n"/>
      <c r="I3626" s="15" t="n"/>
      <c r="J3626" s="19" t="n">
        <v>4</v>
      </c>
      <c r="K3626" s="2" t="inlineStr">
        <is>
          <t>marker_508_022405.png</t>
        </is>
      </c>
      <c r="L3626" s="11">
        <f>HYPERLINK("4\1\" &amp; K3626, "Ver Imagen")</f>
        <v/>
      </c>
      <c r="M3626" t="inlineStr">
        <is>
          <t>Moda</t>
        </is>
      </c>
    </row>
    <row r="3627">
      <c r="A3627" t="n">
        <v>3627</v>
      </c>
      <c r="B3627" t="inlineStr">
        <is>
          <t>A-499__71</t>
        </is>
      </c>
      <c r="C3627" s="1" t="n">
        <v>37.4954714666</v>
      </c>
      <c r="D3627" s="1" t="n">
        <v>-7.27002868798</v>
      </c>
      <c r="E3627" s="3" t="n">
        <v>3</v>
      </c>
      <c r="F3627" s="2" t="n">
        <v>4</v>
      </c>
      <c r="G3627" s="4" t="n">
        <v>4</v>
      </c>
      <c r="H3627" s="13" t="n"/>
      <c r="I3627" s="15" t="n"/>
      <c r="J3627" s="19" t="n">
        <v>4</v>
      </c>
      <c r="K3627" s="2" t="inlineStr">
        <is>
          <t>marker_758_535187.png</t>
        </is>
      </c>
      <c r="L3627" s="11">
        <f>HYPERLINK("4\1\" &amp; K3627, "Ver Imagen")</f>
        <v/>
      </c>
      <c r="M3627" t="inlineStr">
        <is>
          <t>Moda</t>
        </is>
      </c>
    </row>
    <row r="3628">
      <c r="A3628" t="n">
        <v>3628</v>
      </c>
      <c r="B3628" t="inlineStr">
        <is>
          <t>A-497_2C__152</t>
        </is>
      </c>
      <c r="C3628" s="1" t="n">
        <v>37.2671720942</v>
      </c>
      <c r="D3628" s="1" t="n">
        <v>-6.99173229313</v>
      </c>
      <c r="E3628" s="3" t="n">
        <v>4</v>
      </c>
      <c r="F3628" s="2" t="n">
        <v>4</v>
      </c>
      <c r="G3628" s="4" t="n">
        <v>3</v>
      </c>
      <c r="H3628" s="13" t="n"/>
      <c r="I3628" s="15" t="n"/>
      <c r="J3628" s="19" t="n">
        <v>4</v>
      </c>
      <c r="K3628" s="2" t="inlineStr">
        <is>
          <t>marker_383_656021.png</t>
        </is>
      </c>
      <c r="L3628" s="11">
        <f>HYPERLINK("4\1\" &amp; K3628, "Ver Imagen")</f>
        <v/>
      </c>
      <c r="M3628" t="inlineStr">
        <is>
          <t>Moda</t>
        </is>
      </c>
    </row>
    <row r="3629">
      <c r="A3629" t="n">
        <v>3629</v>
      </c>
      <c r="B3629" t="inlineStr">
        <is>
          <t>A-497_2C__311</t>
        </is>
      </c>
      <c r="C3629" s="1" t="n">
        <v>37.2472740256</v>
      </c>
      <c r="D3629" s="1" t="n">
        <v>-7.01840555103</v>
      </c>
      <c r="E3629" s="3" t="n">
        <v>4</v>
      </c>
      <c r="F3629" s="2" t="n">
        <v>4</v>
      </c>
      <c r="G3629" s="4" t="n">
        <v>3</v>
      </c>
      <c r="H3629" s="13" t="n"/>
      <c r="I3629" s="15" t="n"/>
      <c r="J3629" s="19" t="n">
        <v>4</v>
      </c>
      <c r="K3629" s="2" t="inlineStr">
        <is>
          <t>marker_708_361842.png</t>
        </is>
      </c>
      <c r="L3629" s="11">
        <f>HYPERLINK("4\1\" &amp; K3629, "Ver Imagen")</f>
        <v/>
      </c>
      <c r="M3629" t="inlineStr">
        <is>
          <t>Moda</t>
        </is>
      </c>
    </row>
    <row r="3630">
      <c r="A3630" t="n">
        <v>3630</v>
      </c>
      <c r="B3630" t="inlineStr">
        <is>
          <t>A-497_2C__559</t>
        </is>
      </c>
      <c r="C3630" s="1" t="n">
        <v>37.2041660832</v>
      </c>
      <c r="D3630" s="1" t="n">
        <v>-7.01206556294</v>
      </c>
      <c r="E3630" s="3" t="n">
        <v>3</v>
      </c>
      <c r="F3630" s="2" t="n">
        <v>4</v>
      </c>
      <c r="G3630" s="4" t="n">
        <v>4</v>
      </c>
      <c r="H3630" s="13" t="n"/>
      <c r="I3630" s="15" t="n"/>
      <c r="J3630" s="19" t="n">
        <v>4</v>
      </c>
      <c r="K3630" s="2" t="inlineStr">
        <is>
          <t>marker_785_366367.png</t>
        </is>
      </c>
      <c r="L3630" s="11">
        <f>HYPERLINK("4\1\" &amp; K3630, "Ver Imagen")</f>
        <v/>
      </c>
      <c r="M3630" t="inlineStr">
        <is>
          <t>Moda</t>
        </is>
      </c>
    </row>
    <row r="3631">
      <c r="A3631" t="n">
        <v>3631</v>
      </c>
      <c r="B3631" t="inlineStr">
        <is>
          <t>A-490__23</t>
        </is>
      </c>
      <c r="C3631" s="1" t="n">
        <v>37.4466132952</v>
      </c>
      <c r="D3631" s="1" t="n">
        <v>-7.13201701077</v>
      </c>
      <c r="E3631" s="3" t="n">
        <v>3</v>
      </c>
      <c r="F3631" s="2" t="n">
        <v>4</v>
      </c>
      <c r="G3631" s="4" t="n">
        <v>4</v>
      </c>
      <c r="H3631" s="13" t="n"/>
      <c r="I3631" s="15" t="n"/>
      <c r="J3631" s="19" t="n">
        <v>4</v>
      </c>
      <c r="K3631" s="2" t="inlineStr">
        <is>
          <t>marker_137_730734.png</t>
        </is>
      </c>
      <c r="L3631" s="11">
        <f>HYPERLINK("4\1\" &amp; K3631, "Ver Imagen")</f>
        <v/>
      </c>
      <c r="M3631" t="inlineStr">
        <is>
          <t>Moda</t>
        </is>
      </c>
    </row>
    <row r="3632">
      <c r="A3632" t="n">
        <v>3632</v>
      </c>
      <c r="B3632" t="inlineStr">
        <is>
          <t>A-490__3</t>
        </is>
      </c>
      <c r="C3632" s="1" t="n">
        <v>37.4472647652</v>
      </c>
      <c r="D3632" s="1" t="n">
        <v>-7.1269836869</v>
      </c>
      <c r="E3632" s="3" t="n">
        <v>4</v>
      </c>
      <c r="F3632" s="2" t="n">
        <v>5</v>
      </c>
      <c r="G3632" s="4" t="n">
        <v>4</v>
      </c>
      <c r="H3632" s="13" t="n"/>
      <c r="I3632" s="15" t="n"/>
      <c r="J3632" s="19" t="n">
        <v>4</v>
      </c>
      <c r="K3632" s="2" t="inlineStr">
        <is>
          <t>marker_163_817296.png</t>
        </is>
      </c>
      <c r="L3632" s="11">
        <f>HYPERLINK("4\1\" &amp; K3632, "Ver Imagen")</f>
        <v/>
      </c>
      <c r="M3632" t="inlineStr">
        <is>
          <t>Moda</t>
        </is>
      </c>
    </row>
    <row r="3633">
      <c r="A3633" t="n">
        <v>3633</v>
      </c>
      <c r="B3633" t="inlineStr">
        <is>
          <t>A-490__5</t>
        </is>
      </c>
      <c r="C3633" s="1" t="n">
        <v>37.4471879349</v>
      </c>
      <c r="D3633" s="1" t="n">
        <v>-7.1274658401</v>
      </c>
      <c r="E3633" s="3" t="n">
        <v>4</v>
      </c>
      <c r="F3633" s="2" t="n">
        <v>5</v>
      </c>
      <c r="G3633" s="4" t="n">
        <v>4</v>
      </c>
      <c r="H3633" s="13" t="n"/>
      <c r="I3633" s="15" t="n"/>
      <c r="J3633" s="19" t="n">
        <v>4</v>
      </c>
      <c r="K3633" s="2" t="inlineStr">
        <is>
          <t>marker_303_667472.png</t>
        </is>
      </c>
      <c r="L3633" s="11">
        <f>HYPERLINK("4\1\" &amp; K3633, "Ver Imagen")</f>
        <v/>
      </c>
      <c r="M3633" t="inlineStr">
        <is>
          <t>Moda</t>
        </is>
      </c>
    </row>
    <row r="3634">
      <c r="A3634" t="n">
        <v>3634</v>
      </c>
      <c r="B3634" t="inlineStr">
        <is>
          <t>A-490__6</t>
        </is>
      </c>
      <c r="C3634" s="1" t="n">
        <v>37.4471589601</v>
      </c>
      <c r="D3634" s="1" t="n">
        <v>-7.12774900447</v>
      </c>
      <c r="E3634" s="3" t="n">
        <v>4</v>
      </c>
      <c r="F3634" s="2" t="n">
        <v>4</v>
      </c>
      <c r="G3634" s="4" t="n">
        <v>3</v>
      </c>
      <c r="H3634" s="13" t="n"/>
      <c r="I3634" s="15" t="n"/>
      <c r="J3634" s="19" t="n">
        <v>4</v>
      </c>
      <c r="K3634" s="2" t="inlineStr">
        <is>
          <t>marker_462_724787.png</t>
        </is>
      </c>
      <c r="L3634" s="11">
        <f>HYPERLINK("4\1\" &amp; K3634, "Ver Imagen")</f>
        <v/>
      </c>
      <c r="M3634" t="inlineStr">
        <is>
          <t>Moda</t>
        </is>
      </c>
    </row>
    <row r="3635">
      <c r="A3635" t="n">
        <v>3635</v>
      </c>
      <c r="B3635" t="inlineStr">
        <is>
          <t>A-490__11</t>
        </is>
      </c>
      <c r="C3635" s="1" t="n">
        <v>37.4471450717</v>
      </c>
      <c r="D3635" s="1" t="n">
        <v>-7.12896618092</v>
      </c>
      <c r="E3635" s="3" t="n">
        <v>4</v>
      </c>
      <c r="F3635" s="2" t="n">
        <v>5</v>
      </c>
      <c r="G3635" s="4" t="n">
        <v>4</v>
      </c>
      <c r="H3635" s="13" t="n"/>
      <c r="I3635" s="15" t="n"/>
      <c r="J3635" s="19" t="n">
        <v>4</v>
      </c>
      <c r="K3635" s="2" t="inlineStr">
        <is>
          <t>marker_481_726083.png</t>
        </is>
      </c>
      <c r="L3635" s="11">
        <f>HYPERLINK("4\1\" &amp; K3635, "Ver Imagen")</f>
        <v/>
      </c>
      <c r="M3635" t="inlineStr">
        <is>
          <t>Moda</t>
        </is>
      </c>
    </row>
    <row r="3636">
      <c r="A3636" t="n">
        <v>3636</v>
      </c>
      <c r="B3636" t="inlineStr">
        <is>
          <t>A-490__15</t>
        </is>
      </c>
      <c r="C3636" s="1" t="n">
        <v>37.4470435673</v>
      </c>
      <c r="D3636" s="1" t="n">
        <v>-7.1300083677</v>
      </c>
      <c r="E3636" s="3" t="n">
        <v>4</v>
      </c>
      <c r="F3636" s="2" t="n">
        <v>5</v>
      </c>
      <c r="G3636" s="4" t="n">
        <v>4</v>
      </c>
      <c r="H3636" s="13" t="n"/>
      <c r="I3636" s="15" t="n"/>
      <c r="J3636" s="19" t="n">
        <v>4</v>
      </c>
      <c r="K3636" s="2" t="inlineStr">
        <is>
          <t>marker_466_728126.png</t>
        </is>
      </c>
      <c r="L3636" s="11">
        <f>HYPERLINK("4\1\" &amp; K3636, "Ver Imagen")</f>
        <v/>
      </c>
      <c r="M3636" t="inlineStr">
        <is>
          <t>Moda</t>
        </is>
      </c>
    </row>
    <row r="3637">
      <c r="A3637" t="n">
        <v>3637</v>
      </c>
      <c r="B3637" t="inlineStr">
        <is>
          <t>A-490__16</t>
        </is>
      </c>
      <c r="C3637" s="1" t="n">
        <v>37.4469835928</v>
      </c>
      <c r="D3637" s="1" t="n">
        <v>-7.13023226812</v>
      </c>
      <c r="E3637" s="3" t="n">
        <v>4</v>
      </c>
      <c r="F3637" s="2" t="n">
        <v>5</v>
      </c>
      <c r="G3637" s="4" t="n">
        <v>4</v>
      </c>
      <c r="H3637" s="13" t="n"/>
      <c r="I3637" s="15" t="n"/>
      <c r="J3637" s="19" t="n">
        <v>4</v>
      </c>
      <c r="K3637" s="2" t="inlineStr">
        <is>
          <t>marker_333_728175.png</t>
        </is>
      </c>
      <c r="L3637" s="11">
        <f>HYPERLINK("4\1\" &amp; K3637, "Ver Imagen")</f>
        <v/>
      </c>
      <c r="M3637" t="inlineStr">
        <is>
          <t>Moda</t>
        </is>
      </c>
    </row>
    <row r="3638">
      <c r="A3638" t="n">
        <v>3638</v>
      </c>
      <c r="B3638" t="inlineStr">
        <is>
          <t>A-490__72</t>
        </is>
      </c>
      <c r="C3638" s="1" t="n">
        <v>37.4485094024</v>
      </c>
      <c r="D3638" s="1" t="n">
        <v>-7.14374260633</v>
      </c>
      <c r="E3638" s="3" t="n">
        <v>3</v>
      </c>
      <c r="F3638" s="2" t="n">
        <v>4</v>
      </c>
      <c r="G3638" s="4" t="n">
        <v>4</v>
      </c>
      <c r="H3638" s="13" t="n"/>
      <c r="I3638" s="15" t="n"/>
      <c r="J3638" s="19" t="n">
        <v>4</v>
      </c>
      <c r="K3638" s="2" t="inlineStr">
        <is>
          <t>marker_983_738217.png</t>
        </is>
      </c>
      <c r="L3638" s="11">
        <f>HYPERLINK("4\1\" &amp; K3638, "Ver Imagen")</f>
        <v/>
      </c>
      <c r="M3638" t="inlineStr">
        <is>
          <t>Moda</t>
        </is>
      </c>
    </row>
    <row r="3639">
      <c r="A3639" t="n">
        <v>3639</v>
      </c>
      <c r="B3639" t="inlineStr">
        <is>
          <t>A-490__77</t>
        </is>
      </c>
      <c r="C3639" s="1" t="n">
        <v>37.4485810968</v>
      </c>
      <c r="D3639" s="1" t="n">
        <v>-7.14497038354</v>
      </c>
      <c r="E3639" s="3" t="n">
        <v>3</v>
      </c>
      <c r="F3639" s="2" t="n">
        <v>4</v>
      </c>
      <c r="G3639" s="4" t="n">
        <v>4</v>
      </c>
      <c r="H3639" s="13" t="n"/>
      <c r="I3639" s="15" t="n"/>
      <c r="J3639" s="19" t="n">
        <v>4</v>
      </c>
      <c r="K3639" s="2" t="inlineStr">
        <is>
          <t>marker_197_738520.png</t>
        </is>
      </c>
      <c r="L3639" s="11">
        <f>HYPERLINK("4\1\" &amp; K3639, "Ver Imagen")</f>
        <v/>
      </c>
      <c r="M3639" t="inlineStr">
        <is>
          <t>Moda</t>
        </is>
      </c>
    </row>
    <row r="3640">
      <c r="A3640" t="n">
        <v>3640</v>
      </c>
      <c r="B3640" t="inlineStr">
        <is>
          <t>A-490__78</t>
        </is>
      </c>
      <c r="C3640" s="1" t="n">
        <v>37.44859407</v>
      </c>
      <c r="D3640" s="1" t="n">
        <v>-7.14518579622</v>
      </c>
      <c r="E3640" s="3" t="n">
        <v>3</v>
      </c>
      <c r="F3640" s="2" t="n">
        <v>4</v>
      </c>
      <c r="G3640" s="4" t="n">
        <v>4</v>
      </c>
      <c r="H3640" s="13" t="n"/>
      <c r="I3640" s="15" t="n"/>
      <c r="J3640" s="19" t="n">
        <v>4</v>
      </c>
      <c r="K3640" s="2" t="inlineStr">
        <is>
          <t>marker_771_738559.png</t>
        </is>
      </c>
      <c r="L3640" s="11">
        <f>HYPERLINK("4\1\" &amp; K3640, "Ver Imagen")</f>
        <v/>
      </c>
      <c r="M3640" t="inlineStr">
        <is>
          <t>Moda</t>
        </is>
      </c>
    </row>
    <row r="3641">
      <c r="A3641" t="n">
        <v>3641</v>
      </c>
      <c r="B3641" t="inlineStr">
        <is>
          <t>A-490__102</t>
        </is>
      </c>
      <c r="C3641" s="1" t="n">
        <v>37.4493572669</v>
      </c>
      <c r="D3641" s="1" t="n">
        <v>-7.15114186203</v>
      </c>
      <c r="E3641" s="3" t="n">
        <v>3</v>
      </c>
      <c r="F3641" s="2" t="n">
        <v>4</v>
      </c>
      <c r="G3641" s="4" t="n">
        <v>4</v>
      </c>
      <c r="H3641" s="13" t="n"/>
      <c r="I3641" s="15" t="n"/>
      <c r="J3641" s="19" t="n">
        <v>4</v>
      </c>
      <c r="K3641" s="2" t="inlineStr">
        <is>
          <t>marker_726_739592.png</t>
        </is>
      </c>
      <c r="L3641" s="11">
        <f>HYPERLINK("4\1\" &amp; K3641, "Ver Imagen")</f>
        <v/>
      </c>
      <c r="M3641" t="inlineStr">
        <is>
          <t>Moda</t>
        </is>
      </c>
    </row>
    <row r="3642">
      <c r="A3642" t="n">
        <v>3642</v>
      </c>
      <c r="B3642" t="inlineStr">
        <is>
          <t>A-490__103</t>
        </is>
      </c>
      <c r="C3642" s="1" t="n">
        <v>37.4494601518</v>
      </c>
      <c r="D3642" s="1" t="n">
        <v>-7.15135952432</v>
      </c>
      <c r="E3642" s="3" t="n">
        <v>3</v>
      </c>
      <c r="F3642" s="2" t="n">
        <v>4</v>
      </c>
      <c r="G3642" s="4" t="n">
        <v>4</v>
      </c>
      <c r="H3642" s="13" t="n"/>
      <c r="I3642" s="15" t="n"/>
      <c r="J3642" s="19" t="n">
        <v>4</v>
      </c>
      <c r="K3642" s="2" t="inlineStr">
        <is>
          <t>marker_840_739608.png</t>
        </is>
      </c>
      <c r="L3642" s="11">
        <f>HYPERLINK("4\1\" &amp; K3642, "Ver Imagen")</f>
        <v/>
      </c>
      <c r="M3642" t="inlineStr">
        <is>
          <t>Moda</t>
        </is>
      </c>
    </row>
    <row r="3643">
      <c r="A3643" t="n">
        <v>3643</v>
      </c>
      <c r="B3643" t="inlineStr">
        <is>
          <t>A-490__104</t>
        </is>
      </c>
      <c r="C3643" s="1" t="n">
        <v>37.4495751308</v>
      </c>
      <c r="D3643" s="1" t="n">
        <v>-7.15156447309</v>
      </c>
      <c r="E3643" s="3" t="n">
        <v>4</v>
      </c>
      <c r="F3643" s="2" t="n">
        <v>4</v>
      </c>
      <c r="G3643" s="4" t="n">
        <v>5</v>
      </c>
      <c r="H3643" s="13" t="n"/>
      <c r="I3643" s="15" t="n"/>
      <c r="J3643" s="19" t="n">
        <v>4</v>
      </c>
      <c r="K3643" s="2" t="inlineStr">
        <is>
          <t>marker_695_739634.png</t>
        </is>
      </c>
      <c r="L3643" s="11">
        <f>HYPERLINK("4\1\" &amp; K3643, "Ver Imagen")</f>
        <v/>
      </c>
      <c r="M3643" t="inlineStr">
        <is>
          <t>Moda</t>
        </is>
      </c>
    </row>
    <row r="3644">
      <c r="A3644" t="n">
        <v>3644</v>
      </c>
      <c r="B3644" t="inlineStr">
        <is>
          <t>A-490__221</t>
        </is>
      </c>
      <c r="C3644" s="1" t="n">
        <v>37.4624328424</v>
      </c>
      <c r="D3644" s="1" t="n">
        <v>-7.17583827658</v>
      </c>
      <c r="E3644" s="3" t="n">
        <v>3</v>
      </c>
      <c r="F3644" s="2" t="n">
        <v>4</v>
      </c>
      <c r="G3644" s="4" t="n">
        <v>4</v>
      </c>
      <c r="H3644" s="13" t="n"/>
      <c r="I3644" s="15" t="n"/>
      <c r="J3644" s="19" t="n">
        <v>4</v>
      </c>
      <c r="K3644" s="2" t="inlineStr">
        <is>
          <t>marker_761_743400.png</t>
        </is>
      </c>
      <c r="L3644" s="11">
        <f>HYPERLINK("4\1\" &amp; K3644, "Ver Imagen")</f>
        <v/>
      </c>
      <c r="M3644" t="inlineStr">
        <is>
          <t>Moda</t>
        </is>
      </c>
    </row>
    <row r="3645">
      <c r="A3645" t="n">
        <v>3645</v>
      </c>
      <c r="B3645" t="inlineStr">
        <is>
          <t>A-490__171</t>
        </is>
      </c>
      <c r="C3645" s="1" t="n">
        <v>37.4556673027</v>
      </c>
      <c r="D3645" s="1" t="n">
        <v>-7.1663911521</v>
      </c>
      <c r="E3645" s="3" t="n">
        <v>3</v>
      </c>
      <c r="F3645" s="2" t="n">
        <v>4</v>
      </c>
      <c r="G3645" s="4" t="n">
        <v>4</v>
      </c>
      <c r="H3645" s="13" t="n"/>
      <c r="I3645" s="15" t="n"/>
      <c r="J3645" s="19" t="n">
        <v>4</v>
      </c>
      <c r="K3645" s="2" t="inlineStr">
        <is>
          <t>marker_511_741501.png</t>
        </is>
      </c>
      <c r="L3645" s="11">
        <f>HYPERLINK("4\1\" &amp; K3645, "Ver Imagen")</f>
        <v/>
      </c>
      <c r="M3645" t="inlineStr">
        <is>
          <t>Moda</t>
        </is>
      </c>
    </row>
    <row r="3646">
      <c r="A3646" t="n">
        <v>3646</v>
      </c>
      <c r="B3646" t="inlineStr">
        <is>
          <t>A-490__206</t>
        </is>
      </c>
      <c r="C3646" s="1" t="n">
        <v>37.4606036355</v>
      </c>
      <c r="D3646" s="1" t="n">
        <v>-7.17282770506</v>
      </c>
      <c r="E3646" s="3" t="n">
        <v>3</v>
      </c>
      <c r="F3646" s="2" t="n">
        <v>4</v>
      </c>
      <c r="G3646" s="4" t="n">
        <v>4</v>
      </c>
      <c r="H3646" s="13" t="n"/>
      <c r="I3646" s="15" t="n"/>
      <c r="J3646" s="19" t="n">
        <v>4</v>
      </c>
      <c r="K3646" s="2" t="inlineStr">
        <is>
          <t>marker_943_742505.png</t>
        </is>
      </c>
      <c r="L3646" s="11">
        <f>HYPERLINK("4\1\" &amp; K3646, "Ver Imagen")</f>
        <v/>
      </c>
      <c r="M3646" t="inlineStr">
        <is>
          <t>Moda</t>
        </is>
      </c>
    </row>
    <row r="3647">
      <c r="A3647" t="n">
        <v>3647</v>
      </c>
      <c r="B3647" t="inlineStr">
        <is>
          <t>A-490__222</t>
        </is>
      </c>
      <c r="C3647" s="1" t="n">
        <v>37.462543341</v>
      </c>
      <c r="D3647" s="1" t="n">
        <v>-7.17601807431</v>
      </c>
      <c r="E3647" s="3" t="n">
        <v>3</v>
      </c>
      <c r="F3647" s="2" t="n">
        <v>4</v>
      </c>
      <c r="G3647" s="4" t="n">
        <v>4</v>
      </c>
      <c r="H3647" s="13" t="n"/>
      <c r="I3647" s="15" t="n"/>
      <c r="J3647" s="19" t="n">
        <v>4</v>
      </c>
      <c r="K3647" s="2" t="inlineStr">
        <is>
          <t>marker_501_743597.png</t>
        </is>
      </c>
      <c r="L3647" s="11">
        <f>HYPERLINK("4\1\" &amp; K3647, "Ver Imagen")</f>
        <v/>
      </c>
      <c r="M3647" t="inlineStr">
        <is>
          <t>Moda</t>
        </is>
      </c>
    </row>
    <row r="3648">
      <c r="A3648" t="n">
        <v>3648</v>
      </c>
      <c r="B3648" t="inlineStr">
        <is>
          <t>A-490__233</t>
        </is>
      </c>
      <c r="C3648" s="1" t="n">
        <v>37.4638844926</v>
      </c>
      <c r="D3648" s="1" t="n">
        <v>-7.17829651647</v>
      </c>
      <c r="E3648" s="3" t="n">
        <v>3</v>
      </c>
      <c r="F3648" s="2" t="n">
        <v>4</v>
      </c>
      <c r="G3648" s="4" t="n">
        <v>4</v>
      </c>
      <c r="H3648" s="13" t="n"/>
      <c r="I3648" s="15" t="n"/>
      <c r="J3648" s="19" t="n">
        <v>4</v>
      </c>
      <c r="K3648" s="2" t="inlineStr">
        <is>
          <t>marker_447_743903.png</t>
        </is>
      </c>
      <c r="L3648" s="11">
        <f>HYPERLINK("4\1\" &amp; K3648, "Ver Imagen")</f>
        <v/>
      </c>
      <c r="M3648" t="inlineStr">
        <is>
          <t>Moda</t>
        </is>
      </c>
    </row>
    <row r="3649">
      <c r="A3649" t="n">
        <v>3649</v>
      </c>
      <c r="B3649" t="inlineStr">
        <is>
          <t>A-490__237</t>
        </is>
      </c>
      <c r="C3649" s="1" t="n">
        <v>37.4643504212</v>
      </c>
      <c r="D3649" s="1" t="n">
        <v>-7.17916923168</v>
      </c>
      <c r="E3649" s="3" t="n">
        <v>4</v>
      </c>
      <c r="F3649" s="2" t="n">
        <v>4</v>
      </c>
      <c r="G3649" s="4" t="n">
        <v>5</v>
      </c>
      <c r="H3649" s="13" t="n"/>
      <c r="I3649" s="15" t="n"/>
      <c r="J3649" s="19" t="n">
        <v>4</v>
      </c>
      <c r="K3649" s="2" t="inlineStr">
        <is>
          <t>marker_101_744049.png</t>
        </is>
      </c>
      <c r="L3649" s="11">
        <f>HYPERLINK("4\1\" &amp; K3649, "Ver Imagen")</f>
        <v/>
      </c>
      <c r="M3649" t="inlineStr">
        <is>
          <t>Moda</t>
        </is>
      </c>
    </row>
    <row r="3650">
      <c r="A3650" t="n">
        <v>3650</v>
      </c>
      <c r="B3650" t="inlineStr">
        <is>
          <t>A-490__239</t>
        </is>
      </c>
      <c r="C3650" s="1" t="n">
        <v>37.4645842024</v>
      </c>
      <c r="D3650" s="1" t="n">
        <v>-7.1795713624</v>
      </c>
      <c r="E3650" s="3" t="n">
        <v>3</v>
      </c>
      <c r="F3650" s="2" t="n">
        <v>4</v>
      </c>
      <c r="G3650" s="4" t="n">
        <v>4</v>
      </c>
      <c r="H3650" s="13" t="n"/>
      <c r="I3650" s="15" t="n"/>
      <c r="J3650" s="19" t="n">
        <v>4</v>
      </c>
      <c r="K3650" s="2" t="inlineStr">
        <is>
          <t>marker_264_744128.png</t>
        </is>
      </c>
      <c r="L3650" s="11">
        <f>HYPERLINK("4\1\" &amp; K3650, "Ver Imagen")</f>
        <v/>
      </c>
      <c r="M3650" t="inlineStr">
        <is>
          <t>Moda</t>
        </is>
      </c>
    </row>
    <row r="3651">
      <c r="A3651" t="n">
        <v>3651</v>
      </c>
      <c r="B3651" t="inlineStr">
        <is>
          <t>A-490__241</t>
        </is>
      </c>
      <c r="C3651" s="1" t="n">
        <v>37.4648406133</v>
      </c>
      <c r="D3651" s="1" t="n">
        <v>-7.18001521949</v>
      </c>
      <c r="E3651" s="3" t="n">
        <v>4</v>
      </c>
      <c r="F3651" s="2" t="n">
        <v>4</v>
      </c>
      <c r="G3651" s="4" t="n">
        <v>5</v>
      </c>
      <c r="H3651" s="13" t="n"/>
      <c r="I3651" s="15" t="n"/>
      <c r="J3651" s="19" t="n">
        <v>4</v>
      </c>
      <c r="K3651" s="2" t="inlineStr">
        <is>
          <t>marker_109_749198.png</t>
        </is>
      </c>
      <c r="L3651" s="11">
        <f>HYPERLINK("4\1\" &amp; K3651, "Ver Imagen")</f>
        <v/>
      </c>
      <c r="M3651" t="inlineStr">
        <is>
          <t>Moda</t>
        </is>
      </c>
    </row>
    <row r="3652">
      <c r="A3652" t="n">
        <v>3652</v>
      </c>
      <c r="B3652" t="inlineStr">
        <is>
          <t>A-490__242</t>
        </is>
      </c>
      <c r="C3652" s="1" t="n">
        <v>37.4649700932</v>
      </c>
      <c r="D3652" s="1" t="n">
        <v>-7.18025145709</v>
      </c>
      <c r="E3652" s="3" t="n">
        <v>4</v>
      </c>
      <c r="F3652" s="2" t="n">
        <v>4</v>
      </c>
      <c r="G3652" s="4" t="n">
        <v>5</v>
      </c>
      <c r="H3652" s="13" t="n"/>
      <c r="I3652" s="15" t="n"/>
      <c r="J3652" s="19" t="n">
        <v>4</v>
      </c>
      <c r="K3652" s="2" t="inlineStr">
        <is>
          <t>marker_740_749219.png</t>
        </is>
      </c>
      <c r="L3652" s="11">
        <f>HYPERLINK("4\1\" &amp; K3652, "Ver Imagen")</f>
        <v/>
      </c>
      <c r="M3652" t="inlineStr">
        <is>
          <t>Moda</t>
        </is>
      </c>
    </row>
    <row r="3653">
      <c r="A3653" t="n">
        <v>3653</v>
      </c>
      <c r="B3653" t="inlineStr">
        <is>
          <t>A-490__254</t>
        </is>
      </c>
      <c r="C3653" s="1" t="n">
        <v>37.4663056453</v>
      </c>
      <c r="D3653" s="1" t="n">
        <v>-7.18274046835</v>
      </c>
      <c r="E3653" s="3" t="n">
        <v>3</v>
      </c>
      <c r="F3653" s="2" t="n">
        <v>4</v>
      </c>
      <c r="G3653" s="4" t="n">
        <v>4</v>
      </c>
      <c r="H3653" s="13" t="n"/>
      <c r="I3653" s="15" t="n"/>
      <c r="J3653" s="19" t="n">
        <v>4</v>
      </c>
      <c r="K3653" s="2" t="inlineStr">
        <is>
          <t>marker_451_749584.png</t>
        </is>
      </c>
      <c r="L3653" s="11">
        <f>HYPERLINK("4\1\" &amp; K3653, "Ver Imagen")</f>
        <v/>
      </c>
      <c r="M3653" t="inlineStr">
        <is>
          <t>Moda</t>
        </is>
      </c>
    </row>
    <row r="3654">
      <c r="A3654" t="n">
        <v>3654</v>
      </c>
      <c r="B3654" t="inlineStr">
        <is>
          <t>A-490__259</t>
        </is>
      </c>
      <c r="C3654" s="1" t="n">
        <v>37.4668474219</v>
      </c>
      <c r="D3654" s="1" t="n">
        <v>-7.1837829048</v>
      </c>
      <c r="E3654" s="3" t="n">
        <v>3</v>
      </c>
      <c r="F3654" s="2" t="n">
        <v>4</v>
      </c>
      <c r="G3654" s="4" t="n">
        <v>4</v>
      </c>
      <c r="H3654" s="13" t="n"/>
      <c r="I3654" s="15" t="n"/>
      <c r="J3654" s="19" t="n">
        <v>4</v>
      </c>
      <c r="K3654" s="2" t="inlineStr">
        <is>
          <t>marker_787_749682.png</t>
        </is>
      </c>
      <c r="L3654" s="11">
        <f>HYPERLINK("4\1\" &amp; K3654, "Ver Imagen")</f>
        <v/>
      </c>
      <c r="M3654" t="inlineStr">
        <is>
          <t>Moda</t>
        </is>
      </c>
    </row>
    <row r="3655">
      <c r="A3655" t="n">
        <v>3655</v>
      </c>
      <c r="B3655" t="inlineStr">
        <is>
          <t>A-490__261</t>
        </is>
      </c>
      <c r="C3655" s="1" t="n">
        <v>37.4670499443</v>
      </c>
      <c r="D3655" s="1" t="n">
        <v>-7.18419336941</v>
      </c>
      <c r="E3655" s="3" t="n">
        <v>3</v>
      </c>
      <c r="F3655" s="2" t="n">
        <v>4</v>
      </c>
      <c r="G3655" s="4" t="n">
        <v>4</v>
      </c>
      <c r="H3655" s="13" t="n"/>
      <c r="I3655" s="15" t="n"/>
      <c r="J3655" s="19" t="n">
        <v>4</v>
      </c>
      <c r="K3655" s="2" t="inlineStr">
        <is>
          <t>marker_244_749729.png</t>
        </is>
      </c>
      <c r="L3655" s="11">
        <f>HYPERLINK("4\1\" &amp; K3655, "Ver Imagen")</f>
        <v/>
      </c>
      <c r="M3655" t="inlineStr">
        <is>
          <t>Moda</t>
        </is>
      </c>
    </row>
    <row r="3656">
      <c r="A3656" t="n">
        <v>3656</v>
      </c>
      <c r="B3656" t="inlineStr">
        <is>
          <t>A-495R__40</t>
        </is>
      </c>
      <c r="C3656" s="1" t="n">
        <v>37.4523688332</v>
      </c>
      <c r="D3656" s="1" t="n">
        <v>-7.11172010097</v>
      </c>
      <c r="E3656" s="3" t="n">
        <v>4</v>
      </c>
      <c r="F3656" s="2" t="n">
        <v>5</v>
      </c>
      <c r="G3656" s="4" t="n">
        <v>4</v>
      </c>
      <c r="H3656" s="13" t="n"/>
      <c r="I3656" s="15" t="n"/>
      <c r="J3656" s="19" t="n">
        <v>4</v>
      </c>
      <c r="K3656" s="2" t="inlineStr">
        <is>
          <t>marker_280_936521.png</t>
        </is>
      </c>
      <c r="L3656" s="11">
        <f>HYPERLINK("4\1\" &amp; K3656, "Ver Imagen")</f>
        <v/>
      </c>
      <c r="M3656" t="inlineStr">
        <is>
          <t>Moda</t>
        </is>
      </c>
    </row>
    <row r="3657">
      <c r="A3657" t="n">
        <v>3657</v>
      </c>
      <c r="B3657" t="inlineStr">
        <is>
          <t>A-492__14</t>
        </is>
      </c>
      <c r="C3657" s="1" t="n">
        <v>37.2741768647</v>
      </c>
      <c r="D3657" s="1" t="n">
        <v>-6.99130787766</v>
      </c>
      <c r="E3657" s="3" t="n">
        <v>3</v>
      </c>
      <c r="F3657" s="2" t="n">
        <v>4</v>
      </c>
      <c r="G3657" s="4" t="n">
        <v>4</v>
      </c>
      <c r="H3657" s="13" t="n"/>
      <c r="I3657" s="15" t="n"/>
      <c r="J3657" s="19" t="n">
        <v>4</v>
      </c>
      <c r="K3657" s="2" t="inlineStr">
        <is>
          <t>marker_339_821945.png</t>
        </is>
      </c>
      <c r="L3657" s="11">
        <f>HYPERLINK("4\1\" &amp; K3657, "Ver Imagen")</f>
        <v/>
      </c>
      <c r="M3657" t="inlineStr">
        <is>
          <t>Moda</t>
        </is>
      </c>
    </row>
    <row r="3658">
      <c r="A3658" t="n">
        <v>3658</v>
      </c>
      <c r="B3658" t="inlineStr">
        <is>
          <t>A-492__32</t>
        </is>
      </c>
      <c r="C3658" s="1" t="n">
        <v>37.2772526837</v>
      </c>
      <c r="D3658" s="1" t="n">
        <v>-6.99197857082</v>
      </c>
      <c r="E3658" s="3" t="n">
        <v>3</v>
      </c>
      <c r="F3658" s="2" t="n">
        <v>4</v>
      </c>
      <c r="G3658" s="4" t="n">
        <v>4</v>
      </c>
      <c r="H3658" s="13" t="n"/>
      <c r="I3658" s="15" t="n"/>
      <c r="J3658" s="19" t="n">
        <v>4</v>
      </c>
      <c r="K3658" s="2" t="inlineStr">
        <is>
          <t>marker_834_822576.png</t>
        </is>
      </c>
      <c r="L3658" s="11">
        <f>HYPERLINK("4\1\" &amp; K3658, "Ver Imagen")</f>
        <v/>
      </c>
      <c r="M3658" t="inlineStr">
        <is>
          <t>Moda</t>
        </is>
      </c>
    </row>
    <row r="3659">
      <c r="A3659" t="n">
        <v>3659</v>
      </c>
      <c r="B3659" t="inlineStr">
        <is>
          <t>A-492__34</t>
        </is>
      </c>
      <c r="C3659" s="1" t="n">
        <v>37.2775633947</v>
      </c>
      <c r="D3659" s="1" t="n">
        <v>-6.99225258973</v>
      </c>
      <c r="E3659" s="3" t="n">
        <v>4</v>
      </c>
      <c r="F3659" s="2" t="n">
        <v>4</v>
      </c>
      <c r="G3659" s="4" t="n">
        <v>3</v>
      </c>
      <c r="H3659" s="13" t="n"/>
      <c r="I3659" s="15" t="n"/>
      <c r="J3659" s="19" t="n">
        <v>4</v>
      </c>
      <c r="K3659" s="2" t="inlineStr">
        <is>
          <t>marker_516_822642.png</t>
        </is>
      </c>
      <c r="L3659" s="11">
        <f>HYPERLINK("4\1\" &amp; K3659, "Ver Imagen")</f>
        <v/>
      </c>
      <c r="M3659" t="inlineStr">
        <is>
          <t>Moda</t>
        </is>
      </c>
    </row>
    <row r="3660">
      <c r="A3660" t="n">
        <v>3660</v>
      </c>
      <c r="B3660" t="inlineStr">
        <is>
          <t>A-492__36</t>
        </is>
      </c>
      <c r="C3660" s="1" t="n">
        <v>37.2778885213</v>
      </c>
      <c r="D3660" s="1" t="n">
        <v>-6.99255555898</v>
      </c>
      <c r="E3660" s="3" t="n">
        <v>4</v>
      </c>
      <c r="F3660" s="2" t="n">
        <v>5</v>
      </c>
      <c r="G3660" s="4" t="n">
        <v>4</v>
      </c>
      <c r="H3660" s="13" t="n"/>
      <c r="I3660" s="15" t="n"/>
      <c r="J3660" s="19" t="n">
        <v>4</v>
      </c>
      <c r="K3660" s="2" t="inlineStr">
        <is>
          <t>marker_314_822805.png</t>
        </is>
      </c>
      <c r="L3660" s="11">
        <f>HYPERLINK("4\1\" &amp; K3660, "Ver Imagen")</f>
        <v/>
      </c>
      <c r="M3660" t="inlineStr">
        <is>
          <t>Moda</t>
        </is>
      </c>
    </row>
    <row r="3661">
      <c r="A3661" t="n">
        <v>3661</v>
      </c>
      <c r="B3661" t="inlineStr">
        <is>
          <t>A-492__62</t>
        </is>
      </c>
      <c r="C3661" s="1" t="n">
        <v>37.2798911767</v>
      </c>
      <c r="D3661" s="1" t="n">
        <v>-6.99849943216</v>
      </c>
      <c r="E3661" s="3" t="n">
        <v>4</v>
      </c>
      <c r="F3661" s="2" t="n">
        <v>3</v>
      </c>
      <c r="G3661" s="4" t="n">
        <v>4</v>
      </c>
      <c r="H3661" s="13" t="n"/>
      <c r="I3661" s="15" t="n"/>
      <c r="J3661" s="19" t="n">
        <v>4</v>
      </c>
      <c r="K3661" s="2" t="inlineStr">
        <is>
          <t>marker_924_823168.png</t>
        </is>
      </c>
      <c r="L3661" s="11">
        <f>HYPERLINK("4\1\" &amp; K3661, "Ver Imagen")</f>
        <v/>
      </c>
      <c r="M3661" t="inlineStr">
        <is>
          <t>Moda</t>
        </is>
      </c>
    </row>
    <row r="3662">
      <c r="A3662" t="n">
        <v>3662</v>
      </c>
      <c r="B3662" t="inlineStr">
        <is>
          <t>A-492__69</t>
        </is>
      </c>
      <c r="C3662" s="1" t="n">
        <v>37.2802713915</v>
      </c>
      <c r="D3662" s="1" t="n">
        <v>-6.99999700258</v>
      </c>
      <c r="E3662" s="3" t="n">
        <v>4</v>
      </c>
      <c r="F3662" s="2" t="n">
        <v>3</v>
      </c>
      <c r="G3662" s="4" t="n">
        <v>4</v>
      </c>
      <c r="H3662" s="13" t="n"/>
      <c r="I3662" s="15" t="n"/>
      <c r="J3662" s="19" t="n">
        <v>4</v>
      </c>
      <c r="K3662" s="2" t="inlineStr">
        <is>
          <t>marker_342_823273.png</t>
        </is>
      </c>
      <c r="L3662" s="11">
        <f>HYPERLINK("4\1\" &amp; K3662, "Ver Imagen")</f>
        <v/>
      </c>
      <c r="M3662" t="inlineStr">
        <is>
          <t>Moda</t>
        </is>
      </c>
    </row>
    <row r="3663">
      <c r="A3663" t="n">
        <v>3663</v>
      </c>
      <c r="B3663" t="inlineStr">
        <is>
          <t>A-492__70</t>
        </is>
      </c>
      <c r="C3663" s="1" t="n">
        <v>37.2804510363</v>
      </c>
      <c r="D3663" s="1" t="n">
        <v>-7.00013812526</v>
      </c>
      <c r="E3663" s="3" t="n">
        <v>3</v>
      </c>
      <c r="F3663" s="2" t="n">
        <v>4</v>
      </c>
      <c r="G3663" s="4" t="n">
        <v>4</v>
      </c>
      <c r="H3663" s="13" t="n"/>
      <c r="I3663" s="15" t="n"/>
      <c r="J3663" s="19" t="n">
        <v>4</v>
      </c>
      <c r="K3663" s="2" t="inlineStr">
        <is>
          <t>marker_637_823288.png</t>
        </is>
      </c>
      <c r="L3663" s="11">
        <f>HYPERLINK("4\1\" &amp; K3663, "Ver Imagen")</f>
        <v/>
      </c>
      <c r="M3663" t="inlineStr">
        <is>
          <t>Moda</t>
        </is>
      </c>
    </row>
    <row r="3664">
      <c r="A3664" t="n">
        <v>3664</v>
      </c>
      <c r="B3664" t="inlineStr">
        <is>
          <t>A-492__73</t>
        </is>
      </c>
      <c r="C3664" s="1" t="n">
        <v>37.2805234715</v>
      </c>
      <c r="D3664" s="1" t="n">
        <v>-7.00091844939</v>
      </c>
      <c r="E3664" s="3" t="n">
        <v>3</v>
      </c>
      <c r="F3664" s="2" t="n">
        <v>4</v>
      </c>
      <c r="G3664" s="4" t="n">
        <v>4</v>
      </c>
      <c r="H3664" s="13" t="n"/>
      <c r="I3664" s="15" t="n"/>
      <c r="J3664" s="19" t="n">
        <v>4</v>
      </c>
      <c r="K3664" s="2" t="inlineStr">
        <is>
          <t>marker_272_823376.png</t>
        </is>
      </c>
      <c r="L3664" s="11">
        <f>HYPERLINK("4\1\" &amp; K3664, "Ver Imagen")</f>
        <v/>
      </c>
      <c r="M3664" t="inlineStr">
        <is>
          <t>Moda</t>
        </is>
      </c>
    </row>
    <row r="3665">
      <c r="A3665" t="n">
        <v>3665</v>
      </c>
      <c r="B3665" t="inlineStr">
        <is>
          <t>A-492__114</t>
        </is>
      </c>
      <c r="C3665" s="1" t="n">
        <v>37.2781881874</v>
      </c>
      <c r="D3665" s="1" t="n">
        <v>-7.01038253316</v>
      </c>
      <c r="E3665" s="3" t="n">
        <v>3</v>
      </c>
      <c r="F3665" s="2" t="n">
        <v>4</v>
      </c>
      <c r="G3665" s="4" t="n">
        <v>4</v>
      </c>
      <c r="H3665" s="13" t="n"/>
      <c r="I3665" s="15" t="n"/>
      <c r="J3665" s="19" t="n">
        <v>4</v>
      </c>
      <c r="K3665" s="2" t="inlineStr">
        <is>
          <t>marker_580_824337.png</t>
        </is>
      </c>
      <c r="L3665" s="11">
        <f>HYPERLINK("4\1\" &amp; K3665, "Ver Imagen")</f>
        <v/>
      </c>
      <c r="M3665" t="inlineStr">
        <is>
          <t>Moda</t>
        </is>
      </c>
    </row>
    <row r="3666">
      <c r="A3666" t="n">
        <v>3666</v>
      </c>
      <c r="B3666" t="inlineStr">
        <is>
          <t>A-492__126</t>
        </is>
      </c>
      <c r="C3666" s="1" t="n">
        <v>37.276816647</v>
      </c>
      <c r="D3666" s="1" t="n">
        <v>-7.01288939979</v>
      </c>
      <c r="E3666" s="3" t="n">
        <v>3</v>
      </c>
      <c r="F3666" s="2" t="n">
        <v>4</v>
      </c>
      <c r="G3666" s="4" t="n">
        <v>4</v>
      </c>
      <c r="H3666" s="13" t="n"/>
      <c r="I3666" s="15" t="n"/>
      <c r="J3666" s="19" t="n">
        <v>4</v>
      </c>
      <c r="K3666" s="2" t="inlineStr">
        <is>
          <t>marker_211_824490.png</t>
        </is>
      </c>
      <c r="L3666" s="11">
        <f>HYPERLINK("4\1\" &amp; K3666, "Ver Imagen")</f>
        <v/>
      </c>
      <c r="M3666" t="inlineStr">
        <is>
          <t>Moda</t>
        </is>
      </c>
    </row>
    <row r="3667">
      <c r="A3667" t="n">
        <v>3667</v>
      </c>
      <c r="B3667" t="inlineStr">
        <is>
          <t>A-492__480</t>
        </is>
      </c>
      <c r="C3667" s="1" t="n">
        <v>37.3193613742</v>
      </c>
      <c r="D3667" s="1" t="n">
        <v>-7.07149589041</v>
      </c>
      <c r="E3667" s="3" t="n">
        <v>3</v>
      </c>
      <c r="F3667" s="2" t="n">
        <v>4</v>
      </c>
      <c r="G3667" s="4" t="n">
        <v>4</v>
      </c>
      <c r="H3667" s="13" t="n"/>
      <c r="I3667" s="15" t="n"/>
      <c r="J3667" s="19" t="n">
        <v>4</v>
      </c>
      <c r="K3667" s="2" t="inlineStr">
        <is>
          <t>marker_564_840158.png</t>
        </is>
      </c>
      <c r="L3667" s="11">
        <f>HYPERLINK("4\1\" &amp; K3667, "Ver Imagen")</f>
        <v/>
      </c>
      <c r="M3667" t="inlineStr">
        <is>
          <t>Moda</t>
        </is>
      </c>
    </row>
    <row r="3668">
      <c r="A3668" t="n">
        <v>3668</v>
      </c>
      <c r="B3668" t="inlineStr">
        <is>
          <t>A-495R__55</t>
        </is>
      </c>
      <c r="C3668" s="1" t="n">
        <v>37.4552028892</v>
      </c>
      <c r="D3668" s="1" t="n">
        <v>-7.11321969714</v>
      </c>
      <c r="E3668" s="3" t="n">
        <v>4</v>
      </c>
      <c r="F3668" s="2" t="n">
        <v>4</v>
      </c>
      <c r="G3668" s="4" t="n">
        <v>5</v>
      </c>
      <c r="H3668" s="13" t="n"/>
      <c r="I3668" s="15" t="n"/>
      <c r="J3668" s="19" t="n">
        <v>4</v>
      </c>
      <c r="K3668" s="2" t="inlineStr">
        <is>
          <t>marker_786_935610.png</t>
        </is>
      </c>
      <c r="L3668" s="11">
        <f>HYPERLINK("4\1\" &amp; K3668, "Ver Imagen")</f>
        <v/>
      </c>
      <c r="M3668" t="inlineStr">
        <is>
          <t>Moda</t>
        </is>
      </c>
    </row>
    <row r="3669">
      <c r="A3669" t="n">
        <v>3669</v>
      </c>
      <c r="B3669" t="inlineStr">
        <is>
          <t>A-495R__31</t>
        </is>
      </c>
      <c r="C3669" s="1" t="n">
        <v>37.4507956766</v>
      </c>
      <c r="D3669" s="1" t="n">
        <v>-7.11068402267</v>
      </c>
      <c r="E3669" s="3" t="n">
        <v>4</v>
      </c>
      <c r="F3669" s="2" t="n">
        <v>5</v>
      </c>
      <c r="G3669" s="4" t="n">
        <v>4</v>
      </c>
      <c r="H3669" s="13" t="n"/>
      <c r="I3669" s="15" t="n"/>
      <c r="J3669" s="19" t="n">
        <v>4</v>
      </c>
      <c r="K3669" s="2" t="inlineStr">
        <is>
          <t>marker_184_936610.png</t>
        </is>
      </c>
      <c r="L3669" s="11">
        <f>HYPERLINK("4\1\" &amp; K3669, "Ver Imagen")</f>
        <v/>
      </c>
      <c r="M3669" t="inlineStr">
        <is>
          <t>Moda</t>
        </is>
      </c>
    </row>
    <row r="3670">
      <c r="A3670" t="n">
        <v>3670</v>
      </c>
      <c r="B3670" t="inlineStr">
        <is>
          <t>A-495R__29</t>
        </is>
      </c>
      <c r="C3670" s="1" t="n">
        <v>37.4504184705</v>
      </c>
      <c r="D3670" s="1" t="n">
        <v>-7.11051606353</v>
      </c>
      <c r="E3670" s="3" t="n">
        <v>4</v>
      </c>
      <c r="F3670" s="2" t="n">
        <v>3</v>
      </c>
      <c r="G3670" s="4" t="n">
        <v>4</v>
      </c>
      <c r="H3670" s="13" t="n"/>
      <c r="I3670" s="15" t="n"/>
      <c r="J3670" s="19" t="n">
        <v>4</v>
      </c>
      <c r="K3670" s="2" t="inlineStr">
        <is>
          <t>marker_565_936632.png</t>
        </is>
      </c>
      <c r="L3670" s="11">
        <f>HYPERLINK("4\1\" &amp; K3670, "Ver Imagen")</f>
        <v/>
      </c>
      <c r="M3670" t="inlineStr">
        <is>
          <t>Moda</t>
        </is>
      </c>
    </row>
    <row r="3671">
      <c r="A3671" t="n">
        <v>3672</v>
      </c>
      <c r="B3671" t="inlineStr">
        <is>
          <t>A-497__24</t>
        </is>
      </c>
      <c r="C3671" s="1" t="n">
        <v>37.2674724111</v>
      </c>
      <c r="D3671" s="1" t="n">
        <v>-6.96177595187</v>
      </c>
      <c r="E3671" s="3" t="n">
        <v>4</v>
      </c>
      <c r="F3671" s="2" t="n">
        <v>3</v>
      </c>
      <c r="G3671" s="4" t="n">
        <v>4</v>
      </c>
      <c r="H3671" s="13" t="n"/>
      <c r="I3671" s="15" t="n"/>
      <c r="J3671" s="19" t="n">
        <v>4</v>
      </c>
      <c r="K3671" s="2" t="inlineStr">
        <is>
          <t>marker_965_943730.png</t>
        </is>
      </c>
      <c r="L3671" s="11">
        <f>HYPERLINK("4\1\" &amp; K3671, "Ver Imagen")</f>
        <v/>
      </c>
      <c r="M3671" t="inlineStr">
        <is>
          <t>Moda</t>
        </is>
      </c>
    </row>
    <row r="3672">
      <c r="A3672" t="n">
        <v>3673</v>
      </c>
      <c r="B3672" t="inlineStr">
        <is>
          <t>A-497__9</t>
        </is>
      </c>
      <c r="C3672" s="1" t="n">
        <v>37.2667590309</v>
      </c>
      <c r="D3672" s="1" t="n">
        <v>-6.95815092892</v>
      </c>
      <c r="E3672" s="3" t="n">
        <v>3</v>
      </c>
      <c r="F3672" s="2" t="n">
        <v>4</v>
      </c>
      <c r="G3672" s="4" t="n">
        <v>4</v>
      </c>
      <c r="H3672" s="13" t="n"/>
      <c r="I3672" s="15" t="n"/>
      <c r="J3672" s="19" t="n">
        <v>4</v>
      </c>
      <c r="K3672" s="2" t="inlineStr">
        <is>
          <t>marker_105_943986.png</t>
        </is>
      </c>
      <c r="L3672" s="11">
        <f>HYPERLINK("4\1\" &amp; K3672, "Ver Imagen")</f>
        <v/>
      </c>
      <c r="M3672" t="inlineStr">
        <is>
          <t>Moda</t>
        </is>
      </c>
    </row>
    <row r="3673">
      <c r="A3673" t="n">
        <v>3674</v>
      </c>
      <c r="B3673" t="inlineStr">
        <is>
          <t>A-5050__59</t>
        </is>
      </c>
      <c r="C3673" s="1" t="n">
        <v>37.2027895701</v>
      </c>
      <c r="D3673" s="1" t="n">
        <v>-7.01503379167</v>
      </c>
      <c r="E3673" s="3" t="n">
        <v>3</v>
      </c>
      <c r="F3673" s="2" t="n">
        <v>4</v>
      </c>
      <c r="G3673" s="4" t="n">
        <v>4</v>
      </c>
      <c r="H3673" s="13" t="n"/>
      <c r="I3673" s="15" t="n"/>
      <c r="J3673" s="19" t="n">
        <v>4</v>
      </c>
      <c r="K3673" s="2" t="inlineStr">
        <is>
          <t>marker_457_949050.png</t>
        </is>
      </c>
      <c r="L3673" s="11">
        <f>HYPERLINK("4\1\" &amp; K3673, "Ver Imagen")</f>
        <v/>
      </c>
      <c r="M3673" t="inlineStr">
        <is>
          <t>Moda</t>
        </is>
      </c>
    </row>
    <row r="3674">
      <c r="A3674" t="n">
        <v>3675</v>
      </c>
      <c r="B3674" t="inlineStr">
        <is>
          <t>A-5050__25</t>
        </is>
      </c>
      <c r="C3674" s="1" t="n">
        <v>37.2071010481</v>
      </c>
      <c r="D3674" s="1" t="n">
        <v>-7.02173370082</v>
      </c>
      <c r="E3674" s="3" t="n">
        <v>4</v>
      </c>
      <c r="F3674" s="2" t="n">
        <v>3</v>
      </c>
      <c r="G3674" s="4" t="n">
        <v>4</v>
      </c>
      <c r="H3674" s="13" t="n"/>
      <c r="I3674" s="15" t="n"/>
      <c r="J3674" s="19" t="n">
        <v>4</v>
      </c>
      <c r="K3674" s="2" t="inlineStr">
        <is>
          <t>marker_353_949407.png</t>
        </is>
      </c>
      <c r="L3674" s="11">
        <f>HYPERLINK("4\1\" &amp; K3674, "Ver Imagen")</f>
        <v/>
      </c>
      <c r="M3674" t="inlineStr">
        <is>
          <t>Moda</t>
        </is>
      </c>
    </row>
    <row r="3675">
      <c r="A3675" t="n">
        <v>3676</v>
      </c>
      <c r="B3675" t="inlineStr">
        <is>
          <t>A-5050__23</t>
        </is>
      </c>
      <c r="C3675" s="1" t="n">
        <v>37.2074366388</v>
      </c>
      <c r="D3675" s="1" t="n">
        <v>-7.0220961505</v>
      </c>
      <c r="E3675" s="3" t="n">
        <v>4</v>
      </c>
      <c r="F3675" s="2" t="n">
        <v>3</v>
      </c>
      <c r="G3675" s="4" t="n">
        <v>4</v>
      </c>
      <c r="H3675" s="13" t="n"/>
      <c r="I3675" s="15" t="n"/>
      <c r="J3675" s="19" t="n">
        <v>4</v>
      </c>
      <c r="K3675" s="2" t="inlineStr">
        <is>
          <t>marker_202_949429.png</t>
        </is>
      </c>
      <c r="L3675" s="11">
        <f>HYPERLINK("4\1\" &amp; K3675, "Ver Imagen")</f>
        <v/>
      </c>
      <c r="M3675" t="inlineStr">
        <is>
          <t>Moda</t>
        </is>
      </c>
    </row>
    <row r="3676">
      <c r="A3676" t="n">
        <v>3677</v>
      </c>
      <c r="B3676" t="inlineStr">
        <is>
          <t>A-5052__328</t>
        </is>
      </c>
      <c r="C3676" s="1" t="n">
        <v>37.2111248981</v>
      </c>
      <c r="D3676" s="1" t="n">
        <v>-7.04477278746</v>
      </c>
      <c r="E3676" s="3" t="n">
        <v>4</v>
      </c>
      <c r="F3676" s="2" t="n">
        <v>4</v>
      </c>
      <c r="G3676" s="4" t="n">
        <v>3</v>
      </c>
      <c r="H3676" s="13" t="n"/>
      <c r="I3676" s="15" t="n"/>
      <c r="J3676" s="19" t="n">
        <v>4</v>
      </c>
      <c r="K3676" s="2" t="inlineStr">
        <is>
          <t>marker_261_961477.png</t>
        </is>
      </c>
      <c r="L3676" s="11">
        <f>HYPERLINK("4\1\" &amp; K3676, "Ver Imagen")</f>
        <v/>
      </c>
      <c r="M3676" t="inlineStr">
        <is>
          <t>Moda</t>
        </is>
      </c>
    </row>
    <row r="3677">
      <c r="A3677" t="n">
        <v>3678</v>
      </c>
      <c r="B3677" t="inlineStr">
        <is>
          <t>A-5052__403</t>
        </is>
      </c>
      <c r="C3677" s="1" t="n">
        <v>37.2044683541</v>
      </c>
      <c r="D3677" s="1" t="n">
        <v>-7.02778881811</v>
      </c>
      <c r="E3677" s="3" t="n">
        <v>4</v>
      </c>
      <c r="F3677" s="2" t="n">
        <v>3</v>
      </c>
      <c r="G3677" s="4" t="n">
        <v>4</v>
      </c>
      <c r="H3677" s="13" t="n"/>
      <c r="I3677" s="15" t="n"/>
      <c r="J3677" s="19" t="n">
        <v>4</v>
      </c>
      <c r="K3677" s="2" t="inlineStr">
        <is>
          <t>marker_736_962700.png</t>
        </is>
      </c>
      <c r="L3677" s="11">
        <f>HYPERLINK("4\1\" &amp; K3677, "Ver Imagen")</f>
        <v/>
      </c>
      <c r="M3677" t="inlineStr">
        <is>
          <t>Moda</t>
        </is>
      </c>
    </row>
    <row r="3678">
      <c r="A3678" t="n">
        <v>3679</v>
      </c>
      <c r="B3678" t="inlineStr">
        <is>
          <t>A-5053__323</t>
        </is>
      </c>
      <c r="C3678" s="1" t="n">
        <v>37.2786209156</v>
      </c>
      <c r="D3678" s="1" t="n">
        <v>-7.14432713007</v>
      </c>
      <c r="E3678" s="3" t="n">
        <v>4</v>
      </c>
      <c r="F3678" s="2" t="n">
        <v>3</v>
      </c>
      <c r="G3678" s="4" t="n">
        <v>4</v>
      </c>
      <c r="H3678" s="13" t="n"/>
      <c r="I3678" s="15" t="n"/>
      <c r="J3678" s="19" t="n">
        <v>4</v>
      </c>
      <c r="K3678" s="2" t="inlineStr">
        <is>
          <t>marker_877_964544.png</t>
        </is>
      </c>
      <c r="L3678" s="11">
        <f>HYPERLINK("4\1\" &amp; K3678, "Ver Imagen")</f>
        <v/>
      </c>
      <c r="M3678" t="inlineStr">
        <is>
          <t>Moda</t>
        </is>
      </c>
    </row>
    <row r="3679">
      <c r="A3679" t="n">
        <v>3680</v>
      </c>
      <c r="B3679" t="inlineStr">
        <is>
          <t>A-5053__297</t>
        </is>
      </c>
      <c r="C3679" s="1" t="n">
        <v>37.2737077745</v>
      </c>
      <c r="D3679" s="1" t="n">
        <v>-7.14209916746</v>
      </c>
      <c r="E3679" s="3" t="n">
        <v>5</v>
      </c>
      <c r="F3679" s="2" t="n">
        <v>4</v>
      </c>
      <c r="G3679" s="4" t="n">
        <v>4</v>
      </c>
      <c r="H3679" s="13" t="n"/>
      <c r="I3679" s="15" t="n"/>
      <c r="J3679" s="19" t="n">
        <v>4</v>
      </c>
      <c r="K3679" s="2" t="inlineStr">
        <is>
          <t>marker_790_964893.png</t>
        </is>
      </c>
      <c r="L3679" s="11">
        <f>HYPERLINK("4\1\" &amp; K3679, "Ver Imagen")</f>
        <v/>
      </c>
      <c r="M3679" t="inlineStr">
        <is>
          <t>Moda</t>
        </is>
      </c>
    </row>
    <row r="3680">
      <c r="A3680" t="n">
        <v>3681</v>
      </c>
      <c r="B3680" t="inlineStr">
        <is>
          <t>A-5053__295</t>
        </is>
      </c>
      <c r="C3680" s="1" t="n">
        <v>37.2733295304</v>
      </c>
      <c r="D3680" s="1" t="n">
        <v>-7.14193572633</v>
      </c>
      <c r="E3680" s="3" t="n">
        <v>5</v>
      </c>
      <c r="F3680" s="2" t="n">
        <v>4</v>
      </c>
      <c r="G3680" s="4" t="n">
        <v>4</v>
      </c>
      <c r="H3680" s="13" t="n"/>
      <c r="I3680" s="15" t="n"/>
      <c r="J3680" s="19" t="n">
        <v>4</v>
      </c>
      <c r="K3680" s="2" t="inlineStr">
        <is>
          <t>marker_920_964912.png</t>
        </is>
      </c>
      <c r="L3680" s="11">
        <f>HYPERLINK("4\1\" &amp; K3680, "Ver Imagen")</f>
        <v/>
      </c>
      <c r="M3680" t="inlineStr">
        <is>
          <t>Moda</t>
        </is>
      </c>
    </row>
    <row r="3681">
      <c r="A3681" t="n">
        <v>3682</v>
      </c>
      <c r="B3681" t="inlineStr">
        <is>
          <t>A-5053__292</t>
        </is>
      </c>
      <c r="C3681" s="1" t="n">
        <v>37.272770215</v>
      </c>
      <c r="D3681" s="1" t="n">
        <v>-7.14165876865</v>
      </c>
      <c r="E3681" s="3" t="n">
        <v>5</v>
      </c>
      <c r="F3681" s="2" t="n">
        <v>4</v>
      </c>
      <c r="G3681" s="4" t="n">
        <v>4</v>
      </c>
      <c r="H3681" s="13" t="n"/>
      <c r="I3681" s="15" t="n"/>
      <c r="J3681" s="19" t="n">
        <v>4</v>
      </c>
      <c r="K3681" s="2" t="inlineStr">
        <is>
          <t>marker_387_964939.png</t>
        </is>
      </c>
      <c r="L3681" s="11">
        <f>HYPERLINK("4\1\" &amp; K3681, "Ver Imagen")</f>
        <v/>
      </c>
      <c r="M3681" t="inlineStr">
        <is>
          <t>Moda</t>
        </is>
      </c>
    </row>
    <row r="3682">
      <c r="A3682" t="n">
        <v>3683</v>
      </c>
      <c r="B3682" t="inlineStr">
        <is>
          <t>A-5053__277</t>
        </is>
      </c>
      <c r="C3682" s="1" t="n">
        <v>37.2701589667</v>
      </c>
      <c r="D3682" s="1" t="n">
        <v>-7.13969102151</v>
      </c>
      <c r="E3682" s="3" t="n">
        <v>4</v>
      </c>
      <c r="F3682" s="2" t="n">
        <v>3</v>
      </c>
      <c r="G3682" s="4" t="n">
        <v>4</v>
      </c>
      <c r="H3682" s="13" t="n"/>
      <c r="I3682" s="15" t="n"/>
      <c r="J3682" s="19" t="n">
        <v>4</v>
      </c>
      <c r="K3682" s="2" t="inlineStr">
        <is>
          <t>marker_645_965087.png</t>
        </is>
      </c>
      <c r="L3682" s="11">
        <f>HYPERLINK("4\1\" &amp; K3682, "Ver Imagen")</f>
        <v/>
      </c>
      <c r="M3682" t="inlineStr">
        <is>
          <t>Moda</t>
        </is>
      </c>
    </row>
    <row r="3683">
      <c r="A3683" t="n">
        <v>3684</v>
      </c>
      <c r="B3683" t="inlineStr">
        <is>
          <t>A-5053__276</t>
        </is>
      </c>
      <c r="C3683" s="1" t="n">
        <v>37.2699906726</v>
      </c>
      <c r="D3683" s="1" t="n">
        <v>-7.13957271306</v>
      </c>
      <c r="E3683" s="3" t="n">
        <v>4</v>
      </c>
      <c r="F3683" s="2" t="n">
        <v>3</v>
      </c>
      <c r="G3683" s="4" t="n">
        <v>4</v>
      </c>
      <c r="H3683" s="13" t="n"/>
      <c r="I3683" s="15" t="n"/>
      <c r="J3683" s="19" t="n">
        <v>4</v>
      </c>
      <c r="K3683" s="2" t="inlineStr">
        <is>
          <t>marker_591_965097.png</t>
        </is>
      </c>
      <c r="L3683" s="11">
        <f>HYPERLINK("4\1\" &amp; K3683, "Ver Imagen")</f>
        <v/>
      </c>
      <c r="M3683" t="inlineStr">
        <is>
          <t>Moda</t>
        </is>
      </c>
    </row>
    <row r="3684">
      <c r="A3684" t="n">
        <v>3685</v>
      </c>
      <c r="B3684" t="inlineStr">
        <is>
          <t>A-5053__267</t>
        </is>
      </c>
      <c r="C3684" s="1" t="n">
        <v>37.2687942341</v>
      </c>
      <c r="D3684" s="1" t="n">
        <v>-7.13794240552</v>
      </c>
      <c r="E3684" s="3" t="n">
        <v>4</v>
      </c>
      <c r="F3684" s="2" t="n">
        <v>3</v>
      </c>
      <c r="G3684" s="4" t="n">
        <v>4</v>
      </c>
      <c r="H3684" s="13" t="n"/>
      <c r="I3684" s="15" t="n"/>
      <c r="J3684" s="19" t="n">
        <v>4</v>
      </c>
      <c r="K3684" s="2" t="inlineStr">
        <is>
          <t>marker_953_965173.png</t>
        </is>
      </c>
      <c r="L3684" s="11">
        <f>HYPERLINK("4\1\" &amp; K3684, "Ver Imagen")</f>
        <v/>
      </c>
      <c r="M3684" t="inlineStr">
        <is>
          <t>Moda</t>
        </is>
      </c>
    </row>
    <row r="3685">
      <c r="A3685" t="n">
        <v>3686</v>
      </c>
      <c r="B3685" t="inlineStr">
        <is>
          <t>A-5053__266</t>
        </is>
      </c>
      <c r="C3685" s="1" t="n">
        <v>37.2687178733</v>
      </c>
      <c r="D3685" s="1" t="n">
        <v>-7.13768796822</v>
      </c>
      <c r="E3685" s="3" t="n">
        <v>5</v>
      </c>
      <c r="F3685" s="2" t="n">
        <v>4</v>
      </c>
      <c r="G3685" s="4" t="n">
        <v>4</v>
      </c>
      <c r="H3685" s="13" t="n"/>
      <c r="I3685" s="15" t="n"/>
      <c r="J3685" s="19" t="n">
        <v>4</v>
      </c>
      <c r="K3685" s="2" t="inlineStr">
        <is>
          <t>marker_724_965182.png</t>
        </is>
      </c>
      <c r="L3685" s="11">
        <f>HYPERLINK("4\1\" &amp; K3685, "Ver Imagen")</f>
        <v/>
      </c>
      <c r="M3685" t="inlineStr">
        <is>
          <t>Moda</t>
        </is>
      </c>
    </row>
    <row r="3686">
      <c r="A3686" t="n">
        <v>3687</v>
      </c>
      <c r="B3686" t="inlineStr">
        <is>
          <t>A-5053__265</t>
        </is>
      </c>
      <c r="C3686" s="1" t="n">
        <v>37.2686520945</v>
      </c>
      <c r="D3686" s="1" t="n">
        <v>-7.13742501325</v>
      </c>
      <c r="E3686" s="3" t="n">
        <v>5</v>
      </c>
      <c r="F3686" s="2" t="n">
        <v>4</v>
      </c>
      <c r="G3686" s="4" t="n">
        <v>4</v>
      </c>
      <c r="H3686" s="13" t="n"/>
      <c r="I3686" s="15" t="n"/>
      <c r="J3686" s="19" t="n">
        <v>4</v>
      </c>
      <c r="K3686" s="2" t="inlineStr">
        <is>
          <t>marker_465_965190.png</t>
        </is>
      </c>
      <c r="L3686" s="11">
        <f>HYPERLINK("4\1\" &amp; K3686, "Ver Imagen")</f>
        <v/>
      </c>
      <c r="M3686" t="inlineStr">
        <is>
          <t>Moda</t>
        </is>
      </c>
    </row>
    <row r="3687">
      <c r="A3687" t="n">
        <v>3688</v>
      </c>
      <c r="B3687" t="inlineStr">
        <is>
          <t>A-5053__253</t>
        </is>
      </c>
      <c r="C3687" s="1" t="n">
        <v>37.2678439073</v>
      </c>
      <c r="D3687" s="1" t="n">
        <v>-7.13457816139</v>
      </c>
      <c r="E3687" s="3" t="n">
        <v>5</v>
      </c>
      <c r="F3687" s="2" t="n">
        <v>4</v>
      </c>
      <c r="G3687" s="4" t="n">
        <v>4</v>
      </c>
      <c r="H3687" s="13" t="n"/>
      <c r="I3687" s="15" t="n"/>
      <c r="J3687" s="19" t="n">
        <v>4</v>
      </c>
      <c r="K3687" s="2" t="inlineStr">
        <is>
          <t>marker_715_965323.png</t>
        </is>
      </c>
      <c r="L3687" s="11">
        <f>HYPERLINK("4\1\" &amp; K3687, "Ver Imagen")</f>
        <v/>
      </c>
      <c r="M3687" t="inlineStr">
        <is>
          <t>Moda</t>
        </is>
      </c>
    </row>
    <row r="3688">
      <c r="A3688" t="n">
        <v>3689</v>
      </c>
      <c r="B3688" t="inlineStr">
        <is>
          <t>A-5053__233</t>
        </is>
      </c>
      <c r="C3688" s="1" t="n">
        <v>37.2644738723</v>
      </c>
      <c r="D3688" s="1" t="n">
        <v>-7.1318905156</v>
      </c>
      <c r="E3688" s="3" t="n">
        <v>5</v>
      </c>
      <c r="F3688" s="2" t="n">
        <v>4</v>
      </c>
      <c r="G3688" s="4" t="n">
        <v>4</v>
      </c>
      <c r="H3688" s="13" t="n"/>
      <c r="I3688" s="15" t="n"/>
      <c r="J3688" s="19" t="n">
        <v>4</v>
      </c>
      <c r="K3688" s="2" t="inlineStr">
        <is>
          <t>marker_483_965567.png</t>
        </is>
      </c>
      <c r="L3688" s="11">
        <f>HYPERLINK("4\1\" &amp; K3688, "Ver Imagen")</f>
        <v/>
      </c>
      <c r="M3688" t="inlineStr">
        <is>
          <t>Moda</t>
        </is>
      </c>
    </row>
    <row r="3689">
      <c r="A3689" t="n">
        <v>3690</v>
      </c>
      <c r="B3689" t="inlineStr">
        <is>
          <t>A-5053__221</t>
        </is>
      </c>
      <c r="C3689" s="1" t="n">
        <v>37.2623146538</v>
      </c>
      <c r="D3689" s="1" t="n">
        <v>-7.13053945859</v>
      </c>
      <c r="E3689" s="3" t="n">
        <v>5</v>
      </c>
      <c r="F3689" s="2" t="n">
        <v>4</v>
      </c>
      <c r="G3689" s="4" t="n">
        <v>4</v>
      </c>
      <c r="H3689" s="13" t="n"/>
      <c r="I3689" s="15" t="n"/>
      <c r="J3689" s="19" t="n">
        <v>4</v>
      </c>
      <c r="K3689" s="2" t="inlineStr">
        <is>
          <t>marker_546_965679.png</t>
        </is>
      </c>
      <c r="L3689" s="11">
        <f>HYPERLINK("4\1\" &amp; K3689, "Ver Imagen")</f>
        <v/>
      </c>
      <c r="M3689" t="inlineStr">
        <is>
          <t>Moda</t>
        </is>
      </c>
    </row>
    <row r="3690">
      <c r="A3690" t="n">
        <v>3691</v>
      </c>
      <c r="B3690" t="inlineStr">
        <is>
          <t>A-5053__45</t>
        </is>
      </c>
      <c r="C3690" s="1" t="n">
        <v>37.2276657865</v>
      </c>
      <c r="D3690" s="1" t="n">
        <v>-7.12658033033</v>
      </c>
      <c r="E3690" s="3" t="n">
        <v>4</v>
      </c>
      <c r="F3690" s="2" t="n">
        <v>3</v>
      </c>
      <c r="G3690" s="4" t="n">
        <v>4</v>
      </c>
      <c r="H3690" s="13" t="n"/>
      <c r="I3690" s="15" t="n"/>
      <c r="J3690" s="19" t="n">
        <v>4</v>
      </c>
      <c r="K3690" s="2" t="inlineStr">
        <is>
          <t>marker_820_021652.png</t>
        </is>
      </c>
      <c r="L3690" s="11">
        <f>HYPERLINK("4\1\" &amp; K3690, "Ver Imagen")</f>
        <v/>
      </c>
      <c r="M3690" t="inlineStr">
        <is>
          <t>Moda</t>
        </is>
      </c>
    </row>
    <row r="3691">
      <c r="A3691" t="n">
        <v>3692</v>
      </c>
      <c r="B3691" t="inlineStr">
        <is>
          <t>A-495__53</t>
        </is>
      </c>
      <c r="C3691" s="1" t="n">
        <v>37.4402433745</v>
      </c>
      <c r="D3691" s="1" t="n">
        <v>-7.08815555196</v>
      </c>
      <c r="E3691" s="3" t="n">
        <v>4</v>
      </c>
      <c r="F3691" s="2" t="n">
        <v>3</v>
      </c>
      <c r="G3691" s="4" t="n">
        <v>4</v>
      </c>
      <c r="H3691" s="13" t="n"/>
      <c r="I3691" s="15" t="n"/>
      <c r="J3691" s="19" t="n">
        <v>4</v>
      </c>
      <c r="K3691" s="2" t="inlineStr">
        <is>
          <t>marker_516_381643.png</t>
        </is>
      </c>
      <c r="L3691" s="11">
        <f>HYPERLINK("4\1\" &amp; K3691, "Ver Imagen")</f>
        <v/>
      </c>
      <c r="M3691" t="inlineStr">
        <is>
          <t>Moda</t>
        </is>
      </c>
    </row>
    <row r="3692">
      <c r="A3692" t="n">
        <v>3693</v>
      </c>
      <c r="B3692" t="inlineStr">
        <is>
          <t>A-495__57</t>
        </is>
      </c>
      <c r="C3692" s="1" t="n">
        <v>37.4398203267</v>
      </c>
      <c r="D3692" s="1" t="n">
        <v>-7.08728118302</v>
      </c>
      <c r="E3692" s="3" t="n">
        <v>4</v>
      </c>
      <c r="F3692" s="2" t="n">
        <v>3</v>
      </c>
      <c r="G3692" s="4" t="n">
        <v>4</v>
      </c>
      <c r="H3692" s="13" t="n"/>
      <c r="I3692" s="15" t="n"/>
      <c r="J3692" s="19" t="n">
        <v>4</v>
      </c>
      <c r="K3692" s="2" t="inlineStr">
        <is>
          <t>marker_111_381678.png</t>
        </is>
      </c>
      <c r="L3692" s="11">
        <f>HYPERLINK("4\1\" &amp; K3692, "Ver Imagen")</f>
        <v/>
      </c>
      <c r="M3692" t="inlineStr">
        <is>
          <t>Moda</t>
        </is>
      </c>
    </row>
    <row r="3693">
      <c r="A3693" t="n">
        <v>3694</v>
      </c>
      <c r="B3693" t="inlineStr">
        <is>
          <t>A-495__78</t>
        </is>
      </c>
      <c r="C3693" s="1" t="n">
        <v>37.4379170592</v>
      </c>
      <c r="D3693" s="1" t="n">
        <v>-7.08247495347</v>
      </c>
      <c r="E3693" s="3" t="n">
        <v>4</v>
      </c>
      <c r="F3693" s="2" t="n">
        <v>3</v>
      </c>
      <c r="G3693" s="4" t="n">
        <v>4</v>
      </c>
      <c r="H3693" s="13" t="n"/>
      <c r="I3693" s="15" t="n"/>
      <c r="J3693" s="19" t="n">
        <v>4</v>
      </c>
      <c r="K3693" s="2" t="inlineStr">
        <is>
          <t>marker_722_381910.png</t>
        </is>
      </c>
      <c r="L3693" s="11">
        <f>HYPERLINK("4\1\" &amp; K3693, "Ver Imagen")</f>
        <v/>
      </c>
      <c r="M3693" t="inlineStr">
        <is>
          <t>Moda</t>
        </is>
      </c>
    </row>
    <row r="3694">
      <c r="A3694" t="n">
        <v>3695</v>
      </c>
      <c r="B3694" t="inlineStr">
        <is>
          <t>A-495__85</t>
        </is>
      </c>
      <c r="C3694" s="1" t="n">
        <v>37.4373648897</v>
      </c>
      <c r="D3694" s="1" t="n">
        <v>-7.08092268144</v>
      </c>
      <c r="E3694" s="3" t="n">
        <v>4</v>
      </c>
      <c r="F3694" s="2" t="n">
        <v>3</v>
      </c>
      <c r="G3694" s="4" t="n">
        <v>4</v>
      </c>
      <c r="H3694" s="13" t="n"/>
      <c r="I3694" s="15" t="n"/>
      <c r="J3694" s="19" t="n">
        <v>4</v>
      </c>
      <c r="K3694" s="2" t="inlineStr">
        <is>
          <t>marker_829_381988.png</t>
        </is>
      </c>
      <c r="L3694" s="11">
        <f>HYPERLINK("4\1\" &amp; K3694, "Ver Imagen")</f>
        <v/>
      </c>
      <c r="M3694" t="inlineStr">
        <is>
          <t>Moda</t>
        </is>
      </c>
    </row>
    <row r="3695">
      <c r="A3695" t="n">
        <v>3696</v>
      </c>
      <c r="B3695" t="inlineStr">
        <is>
          <t>A-495__115</t>
        </is>
      </c>
      <c r="C3695" s="1" t="n">
        <v>37.4355203234</v>
      </c>
      <c r="D3695" s="1" t="n">
        <v>-7.07429308228</v>
      </c>
      <c r="E3695" s="3" t="n">
        <v>4</v>
      </c>
      <c r="F3695" s="2" t="n">
        <v>4</v>
      </c>
      <c r="G3695" s="4" t="n">
        <v>5</v>
      </c>
      <c r="H3695" s="13" t="n"/>
      <c r="I3695" s="15" t="n"/>
      <c r="J3695" s="19" t="n">
        <v>4</v>
      </c>
      <c r="K3695" s="2" t="inlineStr">
        <is>
          <t>marker_545_382320.png</t>
        </is>
      </c>
      <c r="L3695" s="11">
        <f>HYPERLINK("4\1\" &amp; K3695, "Ver Imagen")</f>
        <v/>
      </c>
      <c r="M3695" t="inlineStr">
        <is>
          <t>Moda</t>
        </is>
      </c>
    </row>
    <row r="3696">
      <c r="A3696" t="n">
        <v>3697</v>
      </c>
      <c r="B3696" t="inlineStr">
        <is>
          <t>A-495__127</t>
        </is>
      </c>
      <c r="C3696" s="1" t="n">
        <v>37.4352432827</v>
      </c>
      <c r="D3696" s="1" t="n">
        <v>-7.07124096853</v>
      </c>
      <c r="E3696" s="3" t="n">
        <v>4</v>
      </c>
      <c r="F3696" s="2" t="n">
        <v>3</v>
      </c>
      <c r="G3696" s="4" t="n">
        <v>4</v>
      </c>
      <c r="H3696" s="13" t="n"/>
      <c r="I3696" s="15" t="n"/>
      <c r="J3696" s="19" t="n">
        <v>4</v>
      </c>
      <c r="K3696" s="2" t="inlineStr">
        <is>
          <t>marker_856_382441.png</t>
        </is>
      </c>
      <c r="L3696" s="11">
        <f>HYPERLINK("4\1\" &amp; K3696, "Ver Imagen")</f>
        <v/>
      </c>
      <c r="M3696" t="inlineStr">
        <is>
          <t>Moda</t>
        </is>
      </c>
    </row>
    <row r="3697">
      <c r="A3697" t="n">
        <v>3698</v>
      </c>
      <c r="B3697" t="inlineStr">
        <is>
          <t>A-5058__169</t>
        </is>
      </c>
      <c r="C3697" s="1" t="n">
        <v>37.2338479038</v>
      </c>
      <c r="D3697" s="1" t="n">
        <v>-7.06605329536</v>
      </c>
      <c r="E3697" s="3" t="n">
        <v>4</v>
      </c>
      <c r="F3697" s="2" t="n">
        <v>3</v>
      </c>
      <c r="G3697" s="4" t="n">
        <v>4</v>
      </c>
      <c r="H3697" s="13" t="n"/>
      <c r="I3697" s="15" t="n"/>
      <c r="J3697" s="19" t="n">
        <v>4</v>
      </c>
      <c r="K3697" s="2" t="inlineStr">
        <is>
          <t>marker_790_382375.png</t>
        </is>
      </c>
      <c r="L3697" s="11">
        <f>HYPERLINK("4\1\" &amp; K3697, "Ver Imagen")</f>
        <v/>
      </c>
      <c r="M3697" t="inlineStr">
        <is>
          <t>Moda</t>
        </is>
      </c>
    </row>
    <row r="3698">
      <c r="A3698" t="n">
        <v>3699</v>
      </c>
      <c r="B3698" t="inlineStr">
        <is>
          <t>A-5058__170</t>
        </is>
      </c>
      <c r="C3698" s="1" t="n">
        <v>37.233872883</v>
      </c>
      <c r="D3698" s="1" t="n">
        <v>-7.06627680406</v>
      </c>
      <c r="E3698" s="3" t="n">
        <v>4</v>
      </c>
      <c r="F3698" s="2" t="n">
        <v>3</v>
      </c>
      <c r="G3698" s="4" t="n">
        <v>4</v>
      </c>
      <c r="H3698" s="13" t="n"/>
      <c r="I3698" s="15" t="n"/>
      <c r="J3698" s="19" t="n">
        <v>4</v>
      </c>
      <c r="K3698" s="2" t="inlineStr">
        <is>
          <t>marker_207_382387.png</t>
        </is>
      </c>
      <c r="L3698" s="11">
        <f>HYPERLINK("4\1\" &amp; K3698, "Ver Imagen")</f>
        <v/>
      </c>
      <c r="M3698" t="inlineStr">
        <is>
          <t>Moda</t>
        </is>
      </c>
    </row>
    <row r="3699">
      <c r="A3699" t="n">
        <v>3700</v>
      </c>
      <c r="B3699" t="inlineStr">
        <is>
          <t>A-5058__171</t>
        </is>
      </c>
      <c r="C3699" s="1" t="n">
        <v>37.2339203454</v>
      </c>
      <c r="D3699" s="1" t="n">
        <v>-7.06645397409</v>
      </c>
      <c r="E3699" s="3" t="n">
        <v>4</v>
      </c>
      <c r="F3699" s="2" t="n">
        <v>3</v>
      </c>
      <c r="G3699" s="4" t="n">
        <v>4</v>
      </c>
      <c r="H3699" s="13" t="n"/>
      <c r="I3699" s="15" t="n"/>
      <c r="J3699" s="19" t="n">
        <v>4</v>
      </c>
      <c r="K3699" s="2" t="inlineStr">
        <is>
          <t>marker_692_382403.png</t>
        </is>
      </c>
      <c r="L3699" s="11">
        <f>HYPERLINK("4\1\" &amp; K3699, "Ver Imagen")</f>
        <v/>
      </c>
      <c r="M3699" t="inlineStr">
        <is>
          <t>Moda</t>
        </is>
      </c>
    </row>
    <row r="3700">
      <c r="A3700" t="n">
        <v>3701</v>
      </c>
      <c r="B3700" t="inlineStr">
        <is>
          <t>A-5058__172</t>
        </is>
      </c>
      <c r="C3700" s="1" t="n">
        <v>37.2338777619</v>
      </c>
      <c r="D3700" s="1" t="n">
        <v>-7.0666647479</v>
      </c>
      <c r="E3700" s="3" t="n">
        <v>4</v>
      </c>
      <c r="F3700" s="2" t="n">
        <v>3</v>
      </c>
      <c r="G3700" s="4" t="n">
        <v>4</v>
      </c>
      <c r="H3700" s="13" t="n"/>
      <c r="I3700" s="15" t="n"/>
      <c r="J3700" s="19" t="n">
        <v>4</v>
      </c>
      <c r="K3700" s="2" t="inlineStr">
        <is>
          <t>marker_441_382414.png</t>
        </is>
      </c>
      <c r="L3700" s="11">
        <f>HYPERLINK("4\1\" &amp; K3700, "Ver Imagen")</f>
        <v/>
      </c>
      <c r="M3700" t="inlineStr">
        <is>
          <t>Moda</t>
        </is>
      </c>
    </row>
    <row r="3701">
      <c r="A3701" t="n">
        <v>3702</v>
      </c>
      <c r="B3701" t="inlineStr">
        <is>
          <t>A-5058__200</t>
        </is>
      </c>
      <c r="C3701" s="1" t="n">
        <v>37.2351595584</v>
      </c>
      <c r="D3701" s="1" t="n">
        <v>-7.07329642498</v>
      </c>
      <c r="E3701" s="3" t="n">
        <v>4</v>
      </c>
      <c r="F3701" s="2" t="n">
        <v>3</v>
      </c>
      <c r="G3701" s="4" t="n">
        <v>4</v>
      </c>
      <c r="H3701" s="13" t="n"/>
      <c r="I3701" s="15" t="n"/>
      <c r="J3701" s="19" t="n">
        <v>4</v>
      </c>
      <c r="K3701" s="2" t="inlineStr">
        <is>
          <t>marker_661_382893.png</t>
        </is>
      </c>
      <c r="L3701" s="11">
        <f>HYPERLINK("4\1\" &amp; K3701, "Ver Imagen")</f>
        <v/>
      </c>
      <c r="M3701" t="inlineStr">
        <is>
          <t>Moda</t>
        </is>
      </c>
    </row>
    <row r="3702">
      <c r="A3702" t="n">
        <v>3703</v>
      </c>
      <c r="B3702" t="inlineStr">
        <is>
          <t>A-5058__205</t>
        </is>
      </c>
      <c r="C3702" s="1" t="n">
        <v>37.235759551</v>
      </c>
      <c r="D3702" s="1" t="n">
        <v>-7.07437519135</v>
      </c>
      <c r="E3702" s="3" t="n">
        <v>4</v>
      </c>
      <c r="F3702" s="2" t="n">
        <v>3</v>
      </c>
      <c r="G3702" s="4" t="n">
        <v>4</v>
      </c>
      <c r="H3702" s="13" t="n"/>
      <c r="I3702" s="15" t="n"/>
      <c r="J3702" s="19" t="n">
        <v>4</v>
      </c>
      <c r="K3702" s="2" t="inlineStr">
        <is>
          <t>marker_136_382951.png</t>
        </is>
      </c>
      <c r="L3702" s="11">
        <f>HYPERLINK("4\1\" &amp; K3702, "Ver Imagen")</f>
        <v/>
      </c>
      <c r="M3702" t="inlineStr">
        <is>
          <t>Moda</t>
        </is>
      </c>
    </row>
    <row r="3703">
      <c r="A3703" t="n">
        <v>3704</v>
      </c>
      <c r="B3703" t="inlineStr">
        <is>
          <t>A-5058__209</t>
        </is>
      </c>
      <c r="C3703" s="1" t="n">
        <v>37.2362112436</v>
      </c>
      <c r="D3703" s="1" t="n">
        <v>-7.07518088868</v>
      </c>
      <c r="E3703" s="3" t="n">
        <v>4</v>
      </c>
      <c r="F3703" s="2" t="n">
        <v>3</v>
      </c>
      <c r="G3703" s="4" t="n">
        <v>4</v>
      </c>
      <c r="H3703" s="13" t="n"/>
      <c r="I3703" s="15" t="n"/>
      <c r="J3703" s="19" t="n">
        <v>4</v>
      </c>
      <c r="K3703" s="2" t="inlineStr">
        <is>
          <t>marker_411_383010.png</t>
        </is>
      </c>
      <c r="L3703" s="11">
        <f>HYPERLINK("4\1\" &amp; K3703, "Ver Imagen")</f>
        <v/>
      </c>
      <c r="M3703" t="inlineStr">
        <is>
          <t>Moda</t>
        </is>
      </c>
    </row>
    <row r="3704">
      <c r="A3704" t="n">
        <v>3705</v>
      </c>
      <c r="B3704" t="inlineStr">
        <is>
          <t>A-5058__216</t>
        </is>
      </c>
      <c r="C3704" s="1" t="n">
        <v>37.2370287539</v>
      </c>
      <c r="D3704" s="1" t="n">
        <v>-7.07664457148</v>
      </c>
      <c r="E3704" s="3" t="n">
        <v>4</v>
      </c>
      <c r="F3704" s="2" t="n">
        <v>3</v>
      </c>
      <c r="G3704" s="4" t="n">
        <v>4</v>
      </c>
      <c r="H3704" s="13" t="n"/>
      <c r="I3704" s="15" t="n"/>
      <c r="J3704" s="19" t="n">
        <v>4</v>
      </c>
      <c r="K3704" s="2" t="inlineStr">
        <is>
          <t>marker_305_383080.png</t>
        </is>
      </c>
      <c r="L3704" s="11">
        <f>HYPERLINK("4\1\" &amp; K3704, "Ver Imagen")</f>
        <v/>
      </c>
      <c r="M3704" t="inlineStr">
        <is>
          <t>Moda</t>
        </is>
      </c>
    </row>
    <row r="3705">
      <c r="A3705" t="n">
        <v>3706</v>
      </c>
      <c r="B3705" t="inlineStr">
        <is>
          <t>A-5058__269</t>
        </is>
      </c>
      <c r="C3705" s="1" t="n">
        <v>37.2429603009</v>
      </c>
      <c r="D3705" s="1" t="n">
        <v>-7.08766895197</v>
      </c>
      <c r="E3705" s="3" t="n">
        <v>4</v>
      </c>
      <c r="F3705" s="2" t="n">
        <v>3</v>
      </c>
      <c r="G3705" s="4" t="n">
        <v>4</v>
      </c>
      <c r="H3705" s="13" t="n"/>
      <c r="I3705" s="15" t="n"/>
      <c r="J3705" s="19" t="n">
        <v>4</v>
      </c>
      <c r="K3705" s="2" t="inlineStr">
        <is>
          <t>marker_660_383911.png</t>
        </is>
      </c>
      <c r="L3705" s="11">
        <f>HYPERLINK("4\1\" &amp; K3705, "Ver Imagen")</f>
        <v/>
      </c>
      <c r="M3705" t="inlineStr">
        <is>
          <t>Moda</t>
        </is>
      </c>
    </row>
    <row r="3706">
      <c r="A3706" t="n">
        <v>3707</v>
      </c>
      <c r="B3706" t="inlineStr">
        <is>
          <t>A-5058__274</t>
        </is>
      </c>
      <c r="C3706" s="1" t="n">
        <v>37.2434142799</v>
      </c>
      <c r="D3706" s="1" t="n">
        <v>-7.0888017166</v>
      </c>
      <c r="E3706" s="3" t="n">
        <v>4</v>
      </c>
      <c r="F3706" s="2" t="n">
        <v>3</v>
      </c>
      <c r="G3706" s="4" t="n">
        <v>4</v>
      </c>
      <c r="H3706" s="13" t="n"/>
      <c r="I3706" s="15" t="n"/>
      <c r="J3706" s="19" t="n">
        <v>4</v>
      </c>
      <c r="K3706" s="2" t="inlineStr">
        <is>
          <t>marker_828_383964.png</t>
        </is>
      </c>
      <c r="L3706" s="11">
        <f>HYPERLINK("4\1\" &amp; K3706, "Ver Imagen")</f>
        <v/>
      </c>
      <c r="M3706" t="inlineStr">
        <is>
          <t>Moda</t>
        </is>
      </c>
    </row>
    <row r="3707">
      <c r="A3707" t="n">
        <v>3708</v>
      </c>
      <c r="B3707" t="inlineStr">
        <is>
          <t>A-5058__278</t>
        </is>
      </c>
      <c r="C3707" s="1" t="n">
        <v>37.2438328629</v>
      </c>
      <c r="D3707" s="1" t="n">
        <v>-7.08963289939</v>
      </c>
      <c r="E3707" s="3" t="n">
        <v>4</v>
      </c>
      <c r="F3707" s="2" t="n">
        <v>3</v>
      </c>
      <c r="G3707" s="4" t="n">
        <v>4</v>
      </c>
      <c r="H3707" s="13" t="n"/>
      <c r="I3707" s="15" t="n"/>
      <c r="J3707" s="19" t="n">
        <v>4</v>
      </c>
      <c r="K3707" s="2" t="inlineStr">
        <is>
          <t>marker_976_384014.png</t>
        </is>
      </c>
      <c r="L3707" s="11">
        <f>HYPERLINK("4\1\" &amp; K3707, "Ver Imagen")</f>
        <v/>
      </c>
      <c r="M3707" t="inlineStr">
        <is>
          <t>Moda</t>
        </is>
      </c>
    </row>
    <row r="3708">
      <c r="A3708" t="n">
        <v>3709</v>
      </c>
      <c r="B3708" t="inlineStr">
        <is>
          <t>A-5058__280</t>
        </is>
      </c>
      <c r="C3708" s="1" t="n">
        <v>37.2440529468</v>
      </c>
      <c r="D3708" s="1" t="n">
        <v>-7.09006975312</v>
      </c>
      <c r="E3708" s="3" t="n">
        <v>4</v>
      </c>
      <c r="F3708" s="2" t="n">
        <v>3</v>
      </c>
      <c r="G3708" s="4" t="n">
        <v>4</v>
      </c>
      <c r="H3708" s="13" t="n"/>
      <c r="I3708" s="15" t="n"/>
      <c r="J3708" s="19" t="n">
        <v>4</v>
      </c>
      <c r="K3708" s="2" t="inlineStr">
        <is>
          <t>marker_371_384033.png</t>
        </is>
      </c>
      <c r="L3708" s="11">
        <f>HYPERLINK("4\1\" &amp; K3708, "Ver Imagen")</f>
        <v/>
      </c>
      <c r="M3708" t="inlineStr">
        <is>
          <t>Moda</t>
        </is>
      </c>
    </row>
    <row r="3709">
      <c r="A3709" t="n">
        <v>3710</v>
      </c>
      <c r="B3709" t="inlineStr">
        <is>
          <t>A-5058__281</t>
        </is>
      </c>
      <c r="C3709" s="1" t="n">
        <v>37.2441605618</v>
      </c>
      <c r="D3709" s="1" t="n">
        <v>-7.09028495702</v>
      </c>
      <c r="E3709" s="3" t="n">
        <v>4</v>
      </c>
      <c r="F3709" s="2" t="n">
        <v>3</v>
      </c>
      <c r="G3709" s="4" t="n">
        <v>4</v>
      </c>
      <c r="H3709" s="13" t="n"/>
      <c r="I3709" s="15" t="n"/>
      <c r="J3709" s="19" t="n">
        <v>4</v>
      </c>
      <c r="K3709" s="2" t="inlineStr">
        <is>
          <t>marker_167_384042.png</t>
        </is>
      </c>
      <c r="L3709" s="11">
        <f>HYPERLINK("4\1\" &amp; K3709, "Ver Imagen")</f>
        <v/>
      </c>
      <c r="M3709" t="inlineStr">
        <is>
          <t>Moda</t>
        </is>
      </c>
    </row>
    <row r="3710">
      <c r="A3710" t="n">
        <v>3711</v>
      </c>
      <c r="B3710" t="inlineStr">
        <is>
          <t>A-5058__282</t>
        </is>
      </c>
      <c r="C3710" s="1" t="n">
        <v>37.2442685525</v>
      </c>
      <c r="D3710" s="1" t="n">
        <v>-7.09049949022</v>
      </c>
      <c r="E3710" s="3" t="n">
        <v>4</v>
      </c>
      <c r="F3710" s="2" t="n">
        <v>3</v>
      </c>
      <c r="G3710" s="4" t="n">
        <v>4</v>
      </c>
      <c r="H3710" s="13" t="n"/>
      <c r="I3710" s="15" t="n"/>
      <c r="J3710" s="19" t="n">
        <v>4</v>
      </c>
      <c r="K3710" s="2" t="inlineStr">
        <is>
          <t>marker_887_384051.png</t>
        </is>
      </c>
      <c r="L3710" s="11">
        <f>HYPERLINK("4\1\" &amp; K3710, "Ver Imagen")</f>
        <v/>
      </c>
      <c r="M3710" t="inlineStr">
        <is>
          <t>Moda</t>
        </is>
      </c>
    </row>
    <row r="3711">
      <c r="A3711" t="n">
        <v>3712</v>
      </c>
      <c r="B3711" t="inlineStr">
        <is>
          <t>A-5058__283</t>
        </is>
      </c>
      <c r="C3711" s="1" t="n">
        <v>37.2443754496</v>
      </c>
      <c r="D3711" s="1" t="n">
        <v>-7.09071293762</v>
      </c>
      <c r="E3711" s="3" t="n">
        <v>4</v>
      </c>
      <c r="F3711" s="2" t="n">
        <v>3</v>
      </c>
      <c r="G3711" s="4" t="n">
        <v>4</v>
      </c>
      <c r="H3711" s="13" t="n"/>
      <c r="I3711" s="15" t="n"/>
      <c r="J3711" s="19" t="n">
        <v>4</v>
      </c>
      <c r="K3711" s="2" t="inlineStr">
        <is>
          <t>marker_594_384061.png</t>
        </is>
      </c>
      <c r="L3711" s="11">
        <f>HYPERLINK("4\1\" &amp; K3711, "Ver Imagen")</f>
        <v/>
      </c>
      <c r="M3711" t="inlineStr">
        <is>
          <t>Moda</t>
        </is>
      </c>
    </row>
    <row r="3712">
      <c r="A3712" t="n">
        <v>3713</v>
      </c>
      <c r="B3712" t="inlineStr">
        <is>
          <t>A-5058__286</t>
        </is>
      </c>
      <c r="C3712" s="1" t="n">
        <v>37.2446994702</v>
      </c>
      <c r="D3712" s="1" t="n">
        <v>-7.09135281075</v>
      </c>
      <c r="E3712" s="3" t="n">
        <v>4</v>
      </c>
      <c r="F3712" s="2" t="n">
        <v>3</v>
      </c>
      <c r="G3712" s="4" t="n">
        <v>4</v>
      </c>
      <c r="H3712" s="13" t="n"/>
      <c r="I3712" s="15" t="n"/>
      <c r="J3712" s="19" t="n">
        <v>4</v>
      </c>
      <c r="K3712" s="2" t="inlineStr">
        <is>
          <t>marker_343_384094.png</t>
        </is>
      </c>
      <c r="L3712" s="11">
        <f>HYPERLINK("4\1\" &amp; K3712, "Ver Imagen")</f>
        <v/>
      </c>
      <c r="M3712" t="inlineStr">
        <is>
          <t>Moda</t>
        </is>
      </c>
    </row>
    <row r="3713">
      <c r="A3713" t="n">
        <v>3714</v>
      </c>
      <c r="B3713" t="inlineStr">
        <is>
          <t>A-5058__291</t>
        </is>
      </c>
      <c r="C3713" s="1" t="n">
        <v>37.2451808787</v>
      </c>
      <c r="D3713" s="1" t="n">
        <v>-7.09246419013</v>
      </c>
      <c r="E3713" s="3" t="n">
        <v>4</v>
      </c>
      <c r="F3713" s="2" t="n">
        <v>3</v>
      </c>
      <c r="G3713" s="4" t="n">
        <v>4</v>
      </c>
      <c r="H3713" s="13" t="n"/>
      <c r="I3713" s="15" t="n"/>
      <c r="J3713" s="19" t="n">
        <v>4</v>
      </c>
      <c r="K3713" s="2" t="inlineStr">
        <is>
          <t>marker_579_384159.png</t>
        </is>
      </c>
      <c r="L3713" s="11">
        <f>HYPERLINK("4\1\" &amp; K3713, "Ver Imagen")</f>
        <v/>
      </c>
      <c r="M3713" t="inlineStr">
        <is>
          <t>Moda</t>
        </is>
      </c>
    </row>
    <row r="3714">
      <c r="A3714" t="n">
        <v>3715</v>
      </c>
      <c r="B3714" t="inlineStr">
        <is>
          <t>A-5058__296</t>
        </is>
      </c>
      <c r="C3714" s="1" t="n">
        <v>37.2454067041</v>
      </c>
      <c r="D3714" s="1" t="n">
        <v>-7.09370971925</v>
      </c>
      <c r="E3714" s="3" t="n">
        <v>4</v>
      </c>
      <c r="F3714" s="2" t="n">
        <v>3</v>
      </c>
      <c r="G3714" s="4" t="n">
        <v>4</v>
      </c>
      <c r="H3714" s="13" t="n"/>
      <c r="I3714" s="15" t="n"/>
      <c r="J3714" s="19" t="n">
        <v>4</v>
      </c>
      <c r="K3714" s="2" t="inlineStr">
        <is>
          <t>marker_916_384224.png</t>
        </is>
      </c>
      <c r="L3714" s="11">
        <f>HYPERLINK("4\1\" &amp; K3714, "Ver Imagen")</f>
        <v/>
      </c>
      <c r="M3714" t="inlineStr">
        <is>
          <t>Moda</t>
        </is>
      </c>
    </row>
    <row r="3715">
      <c r="A3715" t="n">
        <v>3716</v>
      </c>
      <c r="B3715" t="inlineStr">
        <is>
          <t>A-5058__298</t>
        </is>
      </c>
      <c r="C3715" s="1" t="n">
        <v>37.2454496735</v>
      </c>
      <c r="D3715" s="1" t="n">
        <v>-7.09423117543</v>
      </c>
      <c r="E3715" s="3" t="n">
        <v>4</v>
      </c>
      <c r="F3715" s="2" t="n">
        <v>3</v>
      </c>
      <c r="G3715" s="4" t="n">
        <v>4</v>
      </c>
      <c r="H3715" s="13" t="n"/>
      <c r="I3715" s="15" t="n"/>
      <c r="J3715" s="19" t="n">
        <v>4</v>
      </c>
      <c r="K3715" s="2" t="inlineStr">
        <is>
          <t>marker_518_384247.png</t>
        </is>
      </c>
      <c r="L3715" s="11">
        <f>HYPERLINK("4\1\" &amp; K3715, "Ver Imagen")</f>
        <v/>
      </c>
      <c r="M3715" t="inlineStr">
        <is>
          <t>Moda</t>
        </is>
      </c>
    </row>
    <row r="3716">
      <c r="A3716" t="n">
        <v>3717</v>
      </c>
      <c r="B3716" t="inlineStr">
        <is>
          <t>A-5058__316</t>
        </is>
      </c>
      <c r="C3716" s="1" t="n">
        <v>37.2461656194</v>
      </c>
      <c r="D3716" s="1" t="n">
        <v>-7.09862371752</v>
      </c>
      <c r="E3716" s="3" t="n">
        <v>4</v>
      </c>
      <c r="F3716" s="2" t="n">
        <v>3</v>
      </c>
      <c r="G3716" s="4" t="n">
        <v>4</v>
      </c>
      <c r="H3716" s="13" t="n"/>
      <c r="I3716" s="15" t="n"/>
      <c r="J3716" s="19" t="n">
        <v>4</v>
      </c>
      <c r="K3716" s="2" t="inlineStr">
        <is>
          <t>marker_609_384460.png</t>
        </is>
      </c>
      <c r="L3716" s="11">
        <f>HYPERLINK("4\1\" &amp; K3716, "Ver Imagen")</f>
        <v/>
      </c>
      <c r="M3716" t="inlineStr">
        <is>
          <t>Moda</t>
        </is>
      </c>
    </row>
    <row r="3717">
      <c r="A3717" t="n">
        <v>3718</v>
      </c>
      <c r="B3717" t="inlineStr">
        <is>
          <t>A-5058__317</t>
        </is>
      </c>
      <c r="C3717" s="1" t="n">
        <v>37.2462844842</v>
      </c>
      <c r="D3717" s="1" t="n">
        <v>-7.09883330519</v>
      </c>
      <c r="E3717" s="3" t="n">
        <v>4</v>
      </c>
      <c r="F3717" s="2" t="n">
        <v>3</v>
      </c>
      <c r="G3717" s="4" t="n">
        <v>4</v>
      </c>
      <c r="H3717" s="13" t="n"/>
      <c r="I3717" s="15" t="n"/>
      <c r="J3717" s="19" t="n">
        <v>4</v>
      </c>
      <c r="K3717" s="2" t="inlineStr">
        <is>
          <t>marker_965_384468.png</t>
        </is>
      </c>
      <c r="L3717" s="11">
        <f>HYPERLINK("4\1\" &amp; K3717, "Ver Imagen")</f>
        <v/>
      </c>
      <c r="M3717" t="inlineStr">
        <is>
          <t>Moda</t>
        </is>
      </c>
    </row>
    <row r="3718">
      <c r="A3718" t="n">
        <v>3719</v>
      </c>
      <c r="B3718" t="inlineStr">
        <is>
          <t>A-5058__321</t>
        </is>
      </c>
      <c r="C3718" s="1" t="n">
        <v>37.2467951901</v>
      </c>
      <c r="D3718" s="1" t="n">
        <v>-7.09963555975</v>
      </c>
      <c r="E3718" s="3" t="n">
        <v>4</v>
      </c>
      <c r="F3718" s="2" t="n">
        <v>3</v>
      </c>
      <c r="G3718" s="4" t="n">
        <v>4</v>
      </c>
      <c r="H3718" s="13" t="n"/>
      <c r="I3718" s="15" t="n"/>
      <c r="J3718" s="19" t="n">
        <v>4</v>
      </c>
      <c r="K3718" s="2" t="inlineStr">
        <is>
          <t>marker_892_384511.png</t>
        </is>
      </c>
      <c r="L3718" s="11">
        <f>HYPERLINK("4\1\" &amp; K3718, "Ver Imagen")</f>
        <v/>
      </c>
      <c r="M3718" t="inlineStr">
        <is>
          <t>Moda</t>
        </is>
      </c>
    </row>
    <row r="3719">
      <c r="A3719" t="n">
        <v>3720</v>
      </c>
      <c r="B3719" t="inlineStr">
        <is>
          <t>A-5058__323</t>
        </is>
      </c>
      <c r="C3719" s="1" t="n">
        <v>37.2470496804</v>
      </c>
      <c r="D3719" s="1" t="n">
        <v>-7.10002070127</v>
      </c>
      <c r="E3719" s="3" t="n">
        <v>4</v>
      </c>
      <c r="F3719" s="2" t="n">
        <v>3</v>
      </c>
      <c r="G3719" s="4" t="n">
        <v>4</v>
      </c>
      <c r="H3719" s="13" t="n"/>
      <c r="I3719" s="15" t="n"/>
      <c r="J3719" s="19" t="n">
        <v>4</v>
      </c>
      <c r="K3719" s="2" t="inlineStr">
        <is>
          <t>marker_683_384540.png</t>
        </is>
      </c>
      <c r="L3719" s="11">
        <f>HYPERLINK("4\1\" &amp; K3719, "Ver Imagen")</f>
        <v/>
      </c>
      <c r="M3719" t="inlineStr">
        <is>
          <t>Moda</t>
        </is>
      </c>
    </row>
    <row r="3720">
      <c r="A3720" t="n">
        <v>3721</v>
      </c>
      <c r="B3720" t="inlineStr">
        <is>
          <t>A-5058__333</t>
        </is>
      </c>
      <c r="C3720" s="1" t="n">
        <v>37.2484226202</v>
      </c>
      <c r="D3720" s="1" t="n">
        <v>-7.10188068823</v>
      </c>
      <c r="E3720" s="3" t="n">
        <v>4</v>
      </c>
      <c r="F3720" s="2" t="n">
        <v>3</v>
      </c>
      <c r="G3720" s="4" t="n">
        <v>4</v>
      </c>
      <c r="H3720" s="13" t="n"/>
      <c r="I3720" s="15" t="n"/>
      <c r="J3720" s="19" t="n">
        <v>4</v>
      </c>
      <c r="K3720" s="2" t="inlineStr">
        <is>
          <t>marker_630_384667.png</t>
        </is>
      </c>
      <c r="L3720" s="11">
        <f>HYPERLINK("4\1\" &amp; K3720, "Ver Imagen")</f>
        <v/>
      </c>
      <c r="M3720" t="inlineStr">
        <is>
          <t>Moda</t>
        </is>
      </c>
    </row>
    <row r="3721">
      <c r="A3721" t="n">
        <v>3722</v>
      </c>
      <c r="B3721" t="inlineStr">
        <is>
          <t>A-5058__335</t>
        </is>
      </c>
      <c r="C3721" s="1" t="n">
        <v>37.2487868944</v>
      </c>
      <c r="D3721" s="1" t="n">
        <v>-7.10212826679</v>
      </c>
      <c r="E3721" s="3" t="n">
        <v>4</v>
      </c>
      <c r="F3721" s="2" t="n">
        <v>3</v>
      </c>
      <c r="G3721" s="4" t="n">
        <v>4</v>
      </c>
      <c r="H3721" s="13" t="n"/>
      <c r="I3721" s="15" t="n"/>
      <c r="J3721" s="19" t="n">
        <v>4</v>
      </c>
      <c r="K3721" s="2" t="inlineStr">
        <is>
          <t>marker_294_384704.png</t>
        </is>
      </c>
      <c r="L3721" s="11">
        <f>HYPERLINK("4\1\" &amp; K3721, "Ver Imagen")</f>
        <v/>
      </c>
      <c r="M3721" t="inlineStr">
        <is>
          <t>Moda</t>
        </is>
      </c>
    </row>
    <row r="3722">
      <c r="A3722" t="n">
        <v>3723</v>
      </c>
      <c r="B3722" t="inlineStr">
        <is>
          <t>A-5058__444</t>
        </is>
      </c>
      <c r="C3722" s="1" t="n">
        <v>37.2588574033</v>
      </c>
      <c r="D3722" s="1" t="n">
        <v>-7.12306661919</v>
      </c>
      <c r="E3722" s="3" t="n">
        <v>4</v>
      </c>
      <c r="F3722" s="2" t="n">
        <v>3</v>
      </c>
      <c r="G3722" s="4" t="n">
        <v>4</v>
      </c>
      <c r="H3722" s="13" t="n"/>
      <c r="I3722" s="15" t="n"/>
      <c r="J3722" s="19" t="n">
        <v>4</v>
      </c>
      <c r="K3722" s="2" t="inlineStr">
        <is>
          <t>marker_615_389020.png</t>
        </is>
      </c>
      <c r="L3722" s="11">
        <f>HYPERLINK("4\1\" &amp; K3722, "Ver Imagen")</f>
        <v/>
      </c>
      <c r="M3722" t="inlineStr">
        <is>
          <t>Moda</t>
        </is>
      </c>
    </row>
    <row r="3723">
      <c r="A3723" t="n">
        <v>3724</v>
      </c>
      <c r="B3723" t="inlineStr">
        <is>
          <t>A-5058__452</t>
        </is>
      </c>
      <c r="C3723" s="1" t="n">
        <v>37.2590788672</v>
      </c>
      <c r="D3723" s="1" t="n">
        <v>-7.12505438223</v>
      </c>
      <c r="E3723" s="3" t="n">
        <v>4</v>
      </c>
      <c r="F3723" s="2" t="n">
        <v>3</v>
      </c>
      <c r="G3723" s="4" t="n">
        <v>4</v>
      </c>
      <c r="H3723" s="13" t="n"/>
      <c r="I3723" s="15" t="n"/>
      <c r="J3723" s="19" t="n">
        <v>4</v>
      </c>
      <c r="K3723" s="2" t="inlineStr">
        <is>
          <t>marker_128_389094.png</t>
        </is>
      </c>
      <c r="L3723" s="11">
        <f>HYPERLINK("4\1\" &amp; K3723, "Ver Imagen")</f>
        <v/>
      </c>
      <c r="M3723" t="inlineStr">
        <is>
          <t>Moda</t>
        </is>
      </c>
    </row>
    <row r="3724">
      <c r="A3724" t="n">
        <v>3725</v>
      </c>
      <c r="B3724" t="inlineStr">
        <is>
          <t>A-495_1__170</t>
        </is>
      </c>
      <c r="C3724" s="1" t="n">
        <v>37.4803324241</v>
      </c>
      <c r="D3724" s="1" t="n">
        <v>-7.12779180342</v>
      </c>
      <c r="E3724" s="3" t="n">
        <v>4</v>
      </c>
      <c r="F3724" s="2" t="n">
        <v>3</v>
      </c>
      <c r="G3724" s="4" t="n">
        <v>4</v>
      </c>
      <c r="H3724" s="13" t="n"/>
      <c r="I3724" s="15" t="n"/>
      <c r="J3724" s="19" t="n">
        <v>4</v>
      </c>
      <c r="K3724" s="2" t="inlineStr">
        <is>
          <t>marker_357_383986.png</t>
        </is>
      </c>
      <c r="L3724" s="11">
        <f>HYPERLINK("4\1\" &amp; K3724, "Ver Imagen")</f>
        <v/>
      </c>
      <c r="M3724" t="inlineStr">
        <is>
          <t>Moda</t>
        </is>
      </c>
    </row>
    <row r="3725">
      <c r="A3725" t="n">
        <v>3726</v>
      </c>
      <c r="B3725" t="inlineStr">
        <is>
          <t>A-495_1__161</t>
        </is>
      </c>
      <c r="C3725" s="1" t="n">
        <v>37.4785505685</v>
      </c>
      <c r="D3725" s="1" t="n">
        <v>-7.12779311015</v>
      </c>
      <c r="E3725" s="3" t="n">
        <v>4</v>
      </c>
      <c r="F3725" s="2" t="n">
        <v>3</v>
      </c>
      <c r="G3725" s="4" t="n">
        <v>4</v>
      </c>
      <c r="H3725" s="13" t="n"/>
      <c r="I3725" s="15" t="n"/>
      <c r="J3725" s="19" t="n">
        <v>4</v>
      </c>
      <c r="K3725" s="2" t="inlineStr">
        <is>
          <t>marker_990_384086.png</t>
        </is>
      </c>
      <c r="L3725" s="11">
        <f>HYPERLINK("4\1\" &amp; K3725, "Ver Imagen")</f>
        <v/>
      </c>
      <c r="M3725" t="inlineStr">
        <is>
          <t>Moda</t>
        </is>
      </c>
    </row>
    <row r="3726">
      <c r="A3726" t="n">
        <v>3727</v>
      </c>
      <c r="B3726" t="inlineStr">
        <is>
          <t>A-495_1__157</t>
        </is>
      </c>
      <c r="C3726" s="1" t="n">
        <v>37.4779259218</v>
      </c>
      <c r="D3726" s="1" t="n">
        <v>-7.12719243623</v>
      </c>
      <c r="E3726" s="3" t="n">
        <v>4</v>
      </c>
      <c r="F3726" s="2" t="n">
        <v>3</v>
      </c>
      <c r="G3726" s="4" t="n">
        <v>4</v>
      </c>
      <c r="H3726" s="13" t="n"/>
      <c r="I3726" s="15" t="n"/>
      <c r="J3726" s="19" t="n">
        <v>4</v>
      </c>
      <c r="K3726" s="2" t="inlineStr">
        <is>
          <t>marker_728_384122.png</t>
        </is>
      </c>
      <c r="L3726" s="11">
        <f>HYPERLINK("4\1\" &amp; K3726, "Ver Imagen")</f>
        <v/>
      </c>
      <c r="M3726" t="inlineStr">
        <is>
          <t>Moda</t>
        </is>
      </c>
    </row>
    <row r="3727">
      <c r="A3727" t="n">
        <v>3728</v>
      </c>
      <c r="B3727" t="inlineStr">
        <is>
          <t>A-495_1__154</t>
        </is>
      </c>
      <c r="C3727" s="1" t="n">
        <v>37.4775219923</v>
      </c>
      <c r="D3727" s="1" t="n">
        <v>-7.12662701503</v>
      </c>
      <c r="E3727" s="3" t="n">
        <v>4</v>
      </c>
      <c r="F3727" s="2" t="n">
        <v>3</v>
      </c>
      <c r="G3727" s="4" t="n">
        <v>4</v>
      </c>
      <c r="H3727" s="13" t="n"/>
      <c r="I3727" s="15" t="n"/>
      <c r="J3727" s="19" t="n">
        <v>4</v>
      </c>
      <c r="K3727" s="2" t="inlineStr">
        <is>
          <t>marker_823_384176.png</t>
        </is>
      </c>
      <c r="L3727" s="11">
        <f>HYPERLINK("4\1\" &amp; K3727, "Ver Imagen")</f>
        <v/>
      </c>
      <c r="M3727" t="inlineStr">
        <is>
          <t>Moda</t>
        </is>
      </c>
    </row>
    <row r="3728">
      <c r="A3728" t="n">
        <v>3729</v>
      </c>
      <c r="B3728" t="inlineStr">
        <is>
          <t>A-495_1__153</t>
        </is>
      </c>
      <c r="C3728" s="1" t="n">
        <v>37.4773831975</v>
      </c>
      <c r="D3728" s="1" t="n">
        <v>-7.12641831009</v>
      </c>
      <c r="E3728" s="3" t="n">
        <v>4</v>
      </c>
      <c r="F3728" s="2" t="n">
        <v>3</v>
      </c>
      <c r="G3728" s="4" t="n">
        <v>4</v>
      </c>
      <c r="H3728" s="13" t="n"/>
      <c r="I3728" s="15" t="n"/>
      <c r="J3728" s="19" t="n">
        <v>4</v>
      </c>
      <c r="K3728" s="2" t="inlineStr">
        <is>
          <t>marker_521_384184.png</t>
        </is>
      </c>
      <c r="L3728" s="11">
        <f>HYPERLINK("4\1\" &amp; K3728, "Ver Imagen")</f>
        <v/>
      </c>
      <c r="M3728" t="inlineStr">
        <is>
          <t>Moda</t>
        </is>
      </c>
    </row>
    <row r="3729">
      <c r="A3729" t="n">
        <v>3730</v>
      </c>
      <c r="B3729" t="inlineStr">
        <is>
          <t>A-495_1__146</t>
        </is>
      </c>
      <c r="C3729" s="1" t="n">
        <v>37.4761471628</v>
      </c>
      <c r="D3729" s="1" t="n">
        <v>-7.1257753463</v>
      </c>
      <c r="E3729" s="3" t="n">
        <v>4</v>
      </c>
      <c r="F3729" s="2" t="n">
        <v>3</v>
      </c>
      <c r="G3729" s="4" t="n">
        <v>4</v>
      </c>
      <c r="H3729" s="13" t="n"/>
      <c r="I3729" s="15" t="n"/>
      <c r="J3729" s="19" t="n">
        <v>4</v>
      </c>
      <c r="K3729" s="2" t="inlineStr">
        <is>
          <t>marker_484_384283.png</t>
        </is>
      </c>
      <c r="L3729" s="11">
        <f>HYPERLINK("4\1\" &amp; K3729, "Ver Imagen")</f>
        <v/>
      </c>
      <c r="M3729" t="inlineStr">
        <is>
          <t>Moda</t>
        </is>
      </c>
    </row>
    <row r="3730">
      <c r="A3730" t="n">
        <v>3731</v>
      </c>
      <c r="B3730" t="inlineStr">
        <is>
          <t>A-495_1__142</t>
        </is>
      </c>
      <c r="C3730" s="1" t="n">
        <v>37.4753720166</v>
      </c>
      <c r="D3730" s="1" t="n">
        <v>-7.1259228748</v>
      </c>
      <c r="E3730" s="3" t="n">
        <v>4</v>
      </c>
      <c r="F3730" s="2" t="n">
        <v>3</v>
      </c>
      <c r="G3730" s="4" t="n">
        <v>4</v>
      </c>
      <c r="H3730" s="13" t="n"/>
      <c r="I3730" s="15" t="n"/>
      <c r="J3730" s="19" t="n">
        <v>4</v>
      </c>
      <c r="K3730" s="2" t="inlineStr">
        <is>
          <t>marker_872_384340.png</t>
        </is>
      </c>
      <c r="L3730" s="11">
        <f>HYPERLINK("4\1\" &amp; K3730, "Ver Imagen")</f>
        <v/>
      </c>
      <c r="M3730" t="inlineStr">
        <is>
          <t>Moda</t>
        </is>
      </c>
    </row>
    <row r="3731">
      <c r="A3731" t="n">
        <v>3732</v>
      </c>
      <c r="B3731" t="inlineStr">
        <is>
          <t>A-495_1__139</t>
        </is>
      </c>
      <c r="C3731" s="1" t="n">
        <v>37.4747654015</v>
      </c>
      <c r="D3731" s="1" t="n">
        <v>-7.12605674407</v>
      </c>
      <c r="E3731" s="3" t="n">
        <v>4</v>
      </c>
      <c r="F3731" s="2" t="n">
        <v>3</v>
      </c>
      <c r="G3731" s="4" t="n">
        <v>4</v>
      </c>
      <c r="H3731" s="13" t="n"/>
      <c r="I3731" s="15" t="n"/>
      <c r="J3731" s="19" t="n">
        <v>4</v>
      </c>
      <c r="K3731" s="2" t="inlineStr">
        <is>
          <t>marker_483_384382.png</t>
        </is>
      </c>
      <c r="L3731" s="11">
        <f>HYPERLINK("4\1\" &amp; K3731, "Ver Imagen")</f>
        <v/>
      </c>
      <c r="M3731" t="inlineStr">
        <is>
          <t>Moda</t>
        </is>
      </c>
    </row>
    <row r="3732">
      <c r="A3732" t="n">
        <v>3733</v>
      </c>
      <c r="B3732" t="inlineStr">
        <is>
          <t>A-495_1__134</t>
        </is>
      </c>
      <c r="C3732" s="1" t="n">
        <v>37.4737552169</v>
      </c>
      <c r="D3732" s="1" t="n">
        <v>-7.12627689842</v>
      </c>
      <c r="E3732" s="3" t="n">
        <v>4</v>
      </c>
      <c r="F3732" s="2" t="n">
        <v>3</v>
      </c>
      <c r="G3732" s="4" t="n">
        <v>4</v>
      </c>
      <c r="H3732" s="13" t="n"/>
      <c r="I3732" s="15" t="n"/>
      <c r="J3732" s="19" t="n">
        <v>4</v>
      </c>
      <c r="K3732" s="2" t="inlineStr">
        <is>
          <t>marker_282_384431.png</t>
        </is>
      </c>
      <c r="L3732" s="11">
        <f>HYPERLINK("4\1\" &amp; K3732, "Ver Imagen")</f>
        <v/>
      </c>
      <c r="M3732" t="inlineStr">
        <is>
          <t>Moda</t>
        </is>
      </c>
    </row>
    <row r="3733">
      <c r="A3733" t="n">
        <v>3734</v>
      </c>
      <c r="B3733" t="inlineStr">
        <is>
          <t>A-495_1__130</t>
        </is>
      </c>
      <c r="C3733" s="1" t="n">
        <v>37.472965358</v>
      </c>
      <c r="D3733" s="1" t="n">
        <v>-7.12640699039</v>
      </c>
      <c r="E3733" s="3" t="n">
        <v>4</v>
      </c>
      <c r="F3733" s="2" t="n">
        <v>3</v>
      </c>
      <c r="G3733" s="4" t="n">
        <v>4</v>
      </c>
      <c r="H3733" s="13" t="n"/>
      <c r="I3733" s="15" t="n"/>
      <c r="J3733" s="19" t="n">
        <v>4</v>
      </c>
      <c r="K3733" s="2" t="inlineStr">
        <is>
          <t>marker_905_384476.png</t>
        </is>
      </c>
      <c r="L3733" s="11">
        <f>HYPERLINK("4\1\" &amp; K3733, "Ver Imagen")</f>
        <v/>
      </c>
      <c r="M3733" t="inlineStr">
        <is>
          <t>Moda</t>
        </is>
      </c>
    </row>
    <row r="3734">
      <c r="A3734" t="n">
        <v>3735</v>
      </c>
      <c r="B3734" t="inlineStr">
        <is>
          <t>A-495_1__127</t>
        </is>
      </c>
      <c r="C3734" s="1" t="n">
        <v>37.4723440989</v>
      </c>
      <c r="D3734" s="1" t="n">
        <v>-7.12635947036</v>
      </c>
      <c r="E3734" s="3" t="n">
        <v>4</v>
      </c>
      <c r="F3734" s="2" t="n">
        <v>3</v>
      </c>
      <c r="G3734" s="4" t="n">
        <v>4</v>
      </c>
      <c r="H3734" s="13" t="n"/>
      <c r="I3734" s="15" t="n"/>
      <c r="J3734" s="19" t="n">
        <v>4</v>
      </c>
      <c r="K3734" s="2" t="inlineStr">
        <is>
          <t>marker_437_384502.png</t>
        </is>
      </c>
      <c r="L3734" s="11">
        <f>HYPERLINK("4\1\" &amp; K3734, "Ver Imagen")</f>
        <v/>
      </c>
      <c r="M3734" t="inlineStr">
        <is>
          <t>Moda</t>
        </is>
      </c>
    </row>
    <row r="3735">
      <c r="A3735" t="n">
        <v>3736</v>
      </c>
      <c r="B3735" t="inlineStr">
        <is>
          <t>A-495_1__125</t>
        </is>
      </c>
      <c r="C3735" s="1" t="n">
        <v>37.4719894459</v>
      </c>
      <c r="D3735" s="1" t="n">
        <v>-7.12618764286</v>
      </c>
      <c r="E3735" s="3" t="n">
        <v>4</v>
      </c>
      <c r="F3735" s="2" t="n">
        <v>3</v>
      </c>
      <c r="G3735" s="4" t="n">
        <v>4</v>
      </c>
      <c r="H3735" s="13" t="n"/>
      <c r="I3735" s="15" t="n"/>
      <c r="J3735" s="19" t="n">
        <v>4</v>
      </c>
      <c r="K3735" s="2" t="inlineStr">
        <is>
          <t>marker_635_384521.png</t>
        </is>
      </c>
      <c r="L3735" s="11">
        <f>HYPERLINK("4\1\" &amp; K3735, "Ver Imagen")</f>
        <v/>
      </c>
      <c r="M3735" t="inlineStr">
        <is>
          <t>Moda</t>
        </is>
      </c>
    </row>
    <row r="3736">
      <c r="A3736" t="n">
        <v>3737</v>
      </c>
      <c r="B3736" t="inlineStr">
        <is>
          <t>A-495_1__122</t>
        </is>
      </c>
      <c r="C3736" s="1" t="n">
        <v>37.4714726086</v>
      </c>
      <c r="D3736" s="1" t="n">
        <v>-7.1257911239</v>
      </c>
      <c r="E3736" s="3" t="n">
        <v>4</v>
      </c>
      <c r="F3736" s="2" t="n">
        <v>3</v>
      </c>
      <c r="G3736" s="4" t="n">
        <v>4</v>
      </c>
      <c r="H3736" s="13" t="n"/>
      <c r="I3736" s="15" t="n"/>
      <c r="J3736" s="19" t="n">
        <v>4</v>
      </c>
      <c r="K3736" s="2" t="inlineStr">
        <is>
          <t>marker_439_384550.png</t>
        </is>
      </c>
      <c r="L3736" s="11">
        <f>HYPERLINK("4\1\" &amp; K3736, "Ver Imagen")</f>
        <v/>
      </c>
      <c r="M3736" t="inlineStr">
        <is>
          <t>Moda</t>
        </is>
      </c>
    </row>
    <row r="3737">
      <c r="A3737" t="n">
        <v>3738</v>
      </c>
      <c r="B3737" t="inlineStr">
        <is>
          <t>A-495_1__121</t>
        </is>
      </c>
      <c r="C3737" s="1" t="n">
        <v>37.4712862727</v>
      </c>
      <c r="D3737" s="1" t="n">
        <v>-7.12563804834</v>
      </c>
      <c r="E3737" s="3" t="n">
        <v>4</v>
      </c>
      <c r="F3737" s="2" t="n">
        <v>3</v>
      </c>
      <c r="G3737" s="4" t="n">
        <v>4</v>
      </c>
      <c r="H3737" s="13" t="n"/>
      <c r="I3737" s="15" t="n"/>
      <c r="J3737" s="19" t="n">
        <v>4</v>
      </c>
      <c r="K3737" s="2" t="inlineStr">
        <is>
          <t>marker_635_384560.png</t>
        </is>
      </c>
      <c r="L3737" s="11">
        <f>HYPERLINK("4\1\" &amp; K3737, "Ver Imagen")</f>
        <v/>
      </c>
      <c r="M3737" t="inlineStr">
        <is>
          <t>Moda</t>
        </is>
      </c>
    </row>
    <row r="3738">
      <c r="A3738" t="n">
        <v>3739</v>
      </c>
      <c r="B3738" t="inlineStr">
        <is>
          <t>A-495_1__110</t>
        </is>
      </c>
      <c r="C3738" s="1" t="n">
        <v>37.4693838788</v>
      </c>
      <c r="D3738" s="1" t="n">
        <v>-7.12420481671</v>
      </c>
      <c r="E3738" s="3" t="n">
        <v>5</v>
      </c>
      <c r="F3738" s="2" t="n">
        <v>4</v>
      </c>
      <c r="G3738" s="4" t="n">
        <v>4</v>
      </c>
      <c r="H3738" s="13" t="n"/>
      <c r="I3738" s="15" t="n"/>
      <c r="J3738" s="19" t="n">
        <v>4</v>
      </c>
      <c r="K3738" s="2" t="inlineStr">
        <is>
          <t>marker_792_384721.png</t>
        </is>
      </c>
      <c r="L3738" s="11">
        <f>HYPERLINK("4\1\" &amp; K3738, "Ver Imagen")</f>
        <v/>
      </c>
      <c r="M3738" t="inlineStr">
        <is>
          <t>Moda</t>
        </is>
      </c>
    </row>
    <row r="3739">
      <c r="A3739" t="n">
        <v>3740</v>
      </c>
      <c r="B3739" t="inlineStr">
        <is>
          <t>A-495_1__101</t>
        </is>
      </c>
      <c r="C3739" s="1" t="n">
        <v>37.4677541383</v>
      </c>
      <c r="D3739" s="1" t="n">
        <v>-7.12314355761</v>
      </c>
      <c r="E3739" s="3" t="n">
        <v>4</v>
      </c>
      <c r="F3739" s="2" t="n">
        <v>3</v>
      </c>
      <c r="G3739" s="4" t="n">
        <v>4</v>
      </c>
      <c r="H3739" s="13" t="n"/>
      <c r="I3739" s="15" t="n"/>
      <c r="J3739" s="19" t="n">
        <v>4</v>
      </c>
      <c r="K3739" s="2" t="inlineStr">
        <is>
          <t>marker_748_385013.png</t>
        </is>
      </c>
      <c r="L3739" s="11">
        <f>HYPERLINK("4\1\" &amp; K3739, "Ver Imagen")</f>
        <v/>
      </c>
      <c r="M3739" t="inlineStr">
        <is>
          <t>Moda</t>
        </is>
      </c>
    </row>
    <row r="3740">
      <c r="A3740" t="n">
        <v>3741</v>
      </c>
      <c r="B3740" t="inlineStr">
        <is>
          <t>A-497__828</t>
        </is>
      </c>
      <c r="C3740" s="1" t="n">
        <v>37.1981880542</v>
      </c>
      <c r="D3740" s="1" t="n">
        <v>-6.98103060481</v>
      </c>
      <c r="E3740" s="3" t="n">
        <v>4</v>
      </c>
      <c r="F3740" s="2" t="n">
        <v>3</v>
      </c>
      <c r="G3740" s="4" t="n">
        <v>4</v>
      </c>
      <c r="H3740" s="13" t="n"/>
      <c r="I3740" s="15" t="n"/>
      <c r="J3740" s="19" t="n">
        <v>4</v>
      </c>
      <c r="K3740" s="2" t="inlineStr">
        <is>
          <t>marker_640_367666.png</t>
        </is>
      </c>
      <c r="L3740" s="11">
        <f>HYPERLINK("4\1\" &amp; K3740, "Ver Imagen")</f>
        <v/>
      </c>
      <c r="M3740" t="inlineStr">
        <is>
          <t>Moda</t>
        </is>
      </c>
    </row>
    <row r="3741">
      <c r="A3741" t="n">
        <v>3742</v>
      </c>
      <c r="B3741" t="inlineStr">
        <is>
          <t>A-497__808</t>
        </is>
      </c>
      <c r="C3741" s="1" t="n">
        <v>37.194966547</v>
      </c>
      <c r="D3741" s="1" t="n">
        <v>-6.97805880952</v>
      </c>
      <c r="E3741" s="3" t="n">
        <v>4</v>
      </c>
      <c r="F3741" s="2" t="n">
        <v>3</v>
      </c>
      <c r="G3741" s="4" t="n">
        <v>4</v>
      </c>
      <c r="H3741" s="13" t="n"/>
      <c r="I3741" s="15" t="n"/>
      <c r="J3741" s="19" t="n">
        <v>4</v>
      </c>
      <c r="K3741" s="2" t="inlineStr">
        <is>
          <t>marker_841_367868.png</t>
        </is>
      </c>
      <c r="L3741" s="11">
        <f>HYPERLINK("4\1\" &amp; K3741, "Ver Imagen")</f>
        <v/>
      </c>
      <c r="M3741" t="inlineStr">
        <is>
          <t>Moda</t>
        </is>
      </c>
    </row>
    <row r="3742">
      <c r="A3742" t="n">
        <v>3743</v>
      </c>
      <c r="B3742" t="inlineStr">
        <is>
          <t>A-497__799</t>
        </is>
      </c>
      <c r="C3742" s="1" t="n">
        <v>37.1932584219</v>
      </c>
      <c r="D3742" s="1" t="n">
        <v>-6.97765189223</v>
      </c>
      <c r="E3742" s="3" t="n">
        <v>4</v>
      </c>
      <c r="F3742" s="2" t="n">
        <v>3</v>
      </c>
      <c r="G3742" s="4" t="n">
        <v>4</v>
      </c>
      <c r="H3742" s="13" t="n"/>
      <c r="I3742" s="15" t="n"/>
      <c r="J3742" s="19" t="n">
        <v>4</v>
      </c>
      <c r="K3742" s="2" t="inlineStr">
        <is>
          <t>marker_683_367959.png</t>
        </is>
      </c>
      <c r="L3742" s="11">
        <f>HYPERLINK("4\1\" &amp; K3742, "Ver Imagen")</f>
        <v/>
      </c>
      <c r="M3742" t="inlineStr">
        <is>
          <t>Moda</t>
        </is>
      </c>
    </row>
    <row r="3743">
      <c r="A3743" t="n">
        <v>3744</v>
      </c>
      <c r="B3743" t="inlineStr">
        <is>
          <t>A-497__795</t>
        </is>
      </c>
      <c r="C3743" s="1" t="n">
        <v>37.1924060034</v>
      </c>
      <c r="D3743" s="1" t="n">
        <v>-6.97765814461</v>
      </c>
      <c r="E3743" s="3" t="n">
        <v>4</v>
      </c>
      <c r="F3743" s="2" t="n">
        <v>3</v>
      </c>
      <c r="G3743" s="4" t="n">
        <v>4</v>
      </c>
      <c r="H3743" s="13" t="n"/>
      <c r="I3743" s="15" t="n"/>
      <c r="J3743" s="19" t="n">
        <v>4</v>
      </c>
      <c r="K3743" s="2" t="inlineStr">
        <is>
          <t>marker_675_368006.png</t>
        </is>
      </c>
      <c r="L3743" s="11">
        <f>HYPERLINK("4\1\" &amp; K3743, "Ver Imagen")</f>
        <v/>
      </c>
      <c r="M3743" t="inlineStr">
        <is>
          <t>Moda</t>
        </is>
      </c>
    </row>
    <row r="3744">
      <c r="A3744" t="n">
        <v>3745</v>
      </c>
      <c r="B3744" t="inlineStr">
        <is>
          <t>A-497__792</t>
        </is>
      </c>
      <c r="C3744" s="1" t="n">
        <v>37.1917832033</v>
      </c>
      <c r="D3744" s="1" t="n">
        <v>-6.97772981146</v>
      </c>
      <c r="E3744" s="3" t="n">
        <v>4</v>
      </c>
      <c r="F3744" s="2" t="n">
        <v>3</v>
      </c>
      <c r="G3744" s="4" t="n">
        <v>4</v>
      </c>
      <c r="H3744" s="13" t="n"/>
      <c r="I3744" s="15" t="n"/>
      <c r="J3744" s="19" t="n">
        <v>4</v>
      </c>
      <c r="K3744" s="2" t="inlineStr">
        <is>
          <t>marker_520_368040.png</t>
        </is>
      </c>
      <c r="L3744" s="11">
        <f>HYPERLINK("4\1\" &amp; K3744, "Ver Imagen")</f>
        <v/>
      </c>
      <c r="M3744" t="inlineStr">
        <is>
          <t>Moda</t>
        </is>
      </c>
    </row>
    <row r="3745">
      <c r="A3745" t="n">
        <v>3746</v>
      </c>
      <c r="B3745" t="inlineStr">
        <is>
          <t>A-497__783</t>
        </is>
      </c>
      <c r="C3745" s="1" t="n">
        <v>37.1899925614</v>
      </c>
      <c r="D3745" s="1" t="n">
        <v>-6.97813783844</v>
      </c>
      <c r="E3745" s="3" t="n">
        <v>4</v>
      </c>
      <c r="F3745" s="2" t="n">
        <v>3</v>
      </c>
      <c r="G3745" s="4" t="n">
        <v>4</v>
      </c>
      <c r="H3745" s="13" t="n"/>
      <c r="I3745" s="15" t="n"/>
      <c r="J3745" s="19" t="n">
        <v>4</v>
      </c>
      <c r="K3745" s="2" t="inlineStr">
        <is>
          <t>marker_741_368132.png</t>
        </is>
      </c>
      <c r="L3745" s="11">
        <f>HYPERLINK("4\1\" &amp; K3745, "Ver Imagen")</f>
        <v/>
      </c>
      <c r="M3745" t="inlineStr">
        <is>
          <t>Moda</t>
        </is>
      </c>
    </row>
    <row r="3746">
      <c r="A3746" t="n">
        <v>3747</v>
      </c>
      <c r="B3746" t="inlineStr">
        <is>
          <t>A-497_2C__20</t>
        </is>
      </c>
      <c r="C3746" s="1" t="n">
        <v>37.2675938963</v>
      </c>
      <c r="D3746" s="1" t="n">
        <v>-6.96203319018</v>
      </c>
      <c r="E3746" s="3" t="n">
        <v>4</v>
      </c>
      <c r="F3746" s="2" t="n">
        <v>3</v>
      </c>
      <c r="G3746" s="4" t="n">
        <v>4</v>
      </c>
      <c r="H3746" s="13" t="n"/>
      <c r="I3746" s="15" t="n"/>
      <c r="J3746" s="19" t="n">
        <v>4</v>
      </c>
      <c r="K3746" s="2" t="inlineStr">
        <is>
          <t>marker_694_654388.png</t>
        </is>
      </c>
      <c r="L3746" s="11">
        <f>HYPERLINK("4\1\" &amp; K3746, "Ver Imagen")</f>
        <v/>
      </c>
      <c r="M3746" t="inlineStr">
        <is>
          <t>Moda</t>
        </is>
      </c>
    </row>
    <row r="3747">
      <c r="A3747" t="n">
        <v>3748</v>
      </c>
      <c r="B3747" t="inlineStr">
        <is>
          <t>A-497_2C__21</t>
        </is>
      </c>
      <c r="C3747" s="1" t="n">
        <v>37.2675998387</v>
      </c>
      <c r="D3747" s="1" t="n">
        <v>-6.96224729898</v>
      </c>
      <c r="E3747" s="3" t="n">
        <v>4</v>
      </c>
      <c r="F3747" s="2" t="n">
        <v>3</v>
      </c>
      <c r="G3747" s="4" t="n">
        <v>4</v>
      </c>
      <c r="H3747" s="13" t="n"/>
      <c r="I3747" s="15" t="n"/>
      <c r="J3747" s="19" t="n">
        <v>4</v>
      </c>
      <c r="K3747" s="2" t="inlineStr">
        <is>
          <t>marker_418_654398.png</t>
        </is>
      </c>
      <c r="L3747" s="11">
        <f>HYPERLINK("4\1\" &amp; K3747, "Ver Imagen")</f>
        <v/>
      </c>
      <c r="M3747" t="inlineStr">
        <is>
          <t>Moda</t>
        </is>
      </c>
    </row>
    <row r="3748">
      <c r="A3748" t="n">
        <v>3749</v>
      </c>
      <c r="B3748" t="inlineStr">
        <is>
          <t>A-497_2C__25</t>
        </is>
      </c>
      <c r="C3748" s="1" t="n">
        <v>37.2676286602</v>
      </c>
      <c r="D3748" s="1" t="n">
        <v>-6.96327324032</v>
      </c>
      <c r="E3748" s="3" t="n">
        <v>4</v>
      </c>
      <c r="F3748" s="2" t="n">
        <v>3</v>
      </c>
      <c r="G3748" s="4" t="n">
        <v>4</v>
      </c>
      <c r="H3748" s="13" t="n"/>
      <c r="I3748" s="15" t="n"/>
      <c r="J3748" s="19" t="n">
        <v>4</v>
      </c>
      <c r="K3748" s="2" t="inlineStr">
        <is>
          <t>marker_629_654435.png</t>
        </is>
      </c>
      <c r="L3748" s="11">
        <f>HYPERLINK("4\1\" &amp; K3748, "Ver Imagen")</f>
        <v/>
      </c>
      <c r="M3748" t="inlineStr">
        <is>
          <t>Moda</t>
        </is>
      </c>
    </row>
    <row r="3749">
      <c r="A3749" t="n">
        <v>3750</v>
      </c>
      <c r="B3749" t="inlineStr">
        <is>
          <t>A-497_2C__78</t>
        </is>
      </c>
      <c r="C3749" s="1" t="n">
        <v>37.2692867241</v>
      </c>
      <c r="D3749" s="1" t="n">
        <v>-6.97653117972</v>
      </c>
      <c r="E3749" s="3" t="n">
        <v>4</v>
      </c>
      <c r="F3749" s="2" t="n">
        <v>3</v>
      </c>
      <c r="G3749" s="4" t="n">
        <v>4</v>
      </c>
      <c r="H3749" s="13" t="n"/>
      <c r="I3749" s="15" t="n"/>
      <c r="J3749" s="19" t="n">
        <v>4</v>
      </c>
      <c r="K3749" s="2" t="inlineStr">
        <is>
          <t>marker_727_655108.png</t>
        </is>
      </c>
      <c r="L3749" s="11">
        <f>HYPERLINK("4\1\" &amp; K3749, "Ver Imagen")</f>
        <v/>
      </c>
      <c r="M3749" t="inlineStr">
        <is>
          <t>Moda</t>
        </is>
      </c>
    </row>
    <row r="3750">
      <c r="A3750" t="n">
        <v>3751</v>
      </c>
      <c r="B3750" t="inlineStr">
        <is>
          <t>A-497_2C__154</t>
        </is>
      </c>
      <c r="C3750" s="1" t="n">
        <v>37.2668707558</v>
      </c>
      <c r="D3750" s="1" t="n">
        <v>-6.99206999673</v>
      </c>
      <c r="E3750" s="3" t="n">
        <v>5</v>
      </c>
      <c r="F3750" s="2" t="n">
        <v>4</v>
      </c>
      <c r="G3750" s="4" t="n">
        <v>4</v>
      </c>
      <c r="H3750" s="13" t="n"/>
      <c r="I3750" s="15" t="n"/>
      <c r="J3750" s="19" t="n">
        <v>4</v>
      </c>
      <c r="K3750" s="2" t="inlineStr">
        <is>
          <t>marker_742_656044.png</t>
        </is>
      </c>
      <c r="L3750" s="11">
        <f>HYPERLINK("4\1\" &amp; K3750, "Ver Imagen")</f>
        <v/>
      </c>
      <c r="M3750" t="inlineStr">
        <is>
          <t>Moda</t>
        </is>
      </c>
    </row>
    <row r="3751">
      <c r="A3751" t="n">
        <v>3752</v>
      </c>
      <c r="B3751" t="inlineStr">
        <is>
          <t>A-497_2C__163</t>
        </is>
      </c>
      <c r="C3751" s="1" t="n">
        <v>37.2659180951</v>
      </c>
      <c r="D3751" s="1" t="n">
        <v>-6.99396570515</v>
      </c>
      <c r="E3751" s="3" t="n">
        <v>4</v>
      </c>
      <c r="F3751" s="2" t="n">
        <v>3</v>
      </c>
      <c r="G3751" s="4" t="n">
        <v>4</v>
      </c>
      <c r="H3751" s="13" t="n"/>
      <c r="I3751" s="15" t="n"/>
      <c r="J3751" s="19" t="n">
        <v>4</v>
      </c>
      <c r="K3751" s="2" t="inlineStr">
        <is>
          <t>marker_534_656128.png</t>
        </is>
      </c>
      <c r="L3751" s="11">
        <f>HYPERLINK("4\1\" &amp; K3751, "Ver Imagen")</f>
        <v/>
      </c>
      <c r="M3751" t="inlineStr">
        <is>
          <t>Moda</t>
        </is>
      </c>
    </row>
    <row r="3752">
      <c r="A3752" t="n">
        <v>3753</v>
      </c>
      <c r="B3752" t="inlineStr">
        <is>
          <t>A-497__723</t>
        </is>
      </c>
      <c r="C3752" s="1" t="n">
        <v>37.1923955694</v>
      </c>
      <c r="D3752" s="1" t="n">
        <v>-6.97749210608</v>
      </c>
      <c r="E3752" s="3" t="n">
        <v>4</v>
      </c>
      <c r="F3752" s="2" t="n">
        <v>3</v>
      </c>
      <c r="G3752" s="4" t="n">
        <v>4</v>
      </c>
      <c r="H3752" s="13" t="n"/>
      <c r="I3752" s="15" t="n"/>
      <c r="J3752" s="19" t="n">
        <v>4</v>
      </c>
      <c r="K3752" s="2" t="inlineStr">
        <is>
          <t>marker_455_369034.png</t>
        </is>
      </c>
      <c r="L3752" s="11">
        <f>HYPERLINK("4\1\" &amp; K3752, "Ver Imagen")</f>
        <v/>
      </c>
      <c r="M3752" t="inlineStr">
        <is>
          <t>Moda</t>
        </is>
      </c>
    </row>
    <row r="3753">
      <c r="A3753" t="n">
        <v>3754</v>
      </c>
      <c r="B3753" t="inlineStr">
        <is>
          <t>A-497_2C__186</t>
        </is>
      </c>
      <c r="C3753" s="1" t="n">
        <v>37.2648651269</v>
      </c>
      <c r="D3753" s="1" t="n">
        <v>-6.99965627353</v>
      </c>
      <c r="E3753" s="3" t="n">
        <v>4</v>
      </c>
      <c r="F3753" s="2" t="n">
        <v>5</v>
      </c>
      <c r="G3753" s="4" t="n">
        <v>4</v>
      </c>
      <c r="H3753" s="13" t="n"/>
      <c r="I3753" s="15" t="n"/>
      <c r="J3753" s="19" t="n">
        <v>4</v>
      </c>
      <c r="K3753" s="2" t="inlineStr">
        <is>
          <t>marker_841_656382.png</t>
        </is>
      </c>
      <c r="L3753" s="11">
        <f>HYPERLINK("4\1\" &amp; K3753, "Ver Imagen")</f>
        <v/>
      </c>
      <c r="M3753" t="inlineStr">
        <is>
          <t>Moda</t>
        </is>
      </c>
    </row>
    <row r="3754">
      <c r="A3754" t="n">
        <v>3755</v>
      </c>
      <c r="B3754" t="inlineStr">
        <is>
          <t>A-497__706</t>
        </is>
      </c>
      <c r="C3754" s="1" t="n">
        <v>37.195697733</v>
      </c>
      <c r="D3754" s="1" t="n">
        <v>-6.97823113593</v>
      </c>
      <c r="E3754" s="3" t="n">
        <v>4</v>
      </c>
      <c r="F3754" s="2" t="n">
        <v>3</v>
      </c>
      <c r="G3754" s="4" t="n">
        <v>4</v>
      </c>
      <c r="H3754" s="13" t="n"/>
      <c r="I3754" s="15" t="n"/>
      <c r="J3754" s="19" t="n">
        <v>4</v>
      </c>
      <c r="K3754" s="2" t="inlineStr">
        <is>
          <t>marker_679_370319.png</t>
        </is>
      </c>
      <c r="L3754" s="11">
        <f>HYPERLINK("4\1\" &amp; K3754, "Ver Imagen")</f>
        <v/>
      </c>
      <c r="M3754" t="inlineStr">
        <is>
          <t>Moda</t>
        </is>
      </c>
    </row>
    <row r="3755">
      <c r="A3755" t="n">
        <v>3756</v>
      </c>
      <c r="B3755" t="inlineStr">
        <is>
          <t>A-497__596</t>
        </is>
      </c>
      <c r="C3755" s="1" t="n">
        <v>37.203072258</v>
      </c>
      <c r="D3755" s="1" t="n">
        <v>-7.00359437334</v>
      </c>
      <c r="E3755" s="3" t="n">
        <v>4</v>
      </c>
      <c r="F3755" s="2" t="n">
        <v>3</v>
      </c>
      <c r="G3755" s="4" t="n">
        <v>4</v>
      </c>
      <c r="H3755" s="13" t="n"/>
      <c r="I3755" s="15" t="n"/>
      <c r="J3755" s="19" t="n">
        <v>4</v>
      </c>
      <c r="K3755" s="2" t="inlineStr">
        <is>
          <t>marker_928_371748.png</t>
        </is>
      </c>
      <c r="L3755" s="11">
        <f>HYPERLINK("4\1\" &amp; K3755, "Ver Imagen")</f>
        <v/>
      </c>
      <c r="M3755" t="inlineStr">
        <is>
          <t>Moda</t>
        </is>
      </c>
    </row>
    <row r="3756">
      <c r="A3756" t="n">
        <v>3757</v>
      </c>
      <c r="B3756" t="inlineStr">
        <is>
          <t>A-497_2C__282</t>
        </is>
      </c>
      <c r="C3756" s="1" t="n">
        <v>37.2528578446</v>
      </c>
      <c r="D3756" s="1" t="n">
        <v>-7.01626654604</v>
      </c>
      <c r="E3756" s="3" t="n">
        <v>4</v>
      </c>
      <c r="F3756" s="2" t="n">
        <v>3</v>
      </c>
      <c r="G3756" s="4" t="n">
        <v>4</v>
      </c>
      <c r="H3756" s="13" t="n"/>
      <c r="I3756" s="15" t="n"/>
      <c r="J3756" s="19" t="n">
        <v>4</v>
      </c>
      <c r="K3756" s="2" t="inlineStr">
        <is>
          <t>marker_868_319908.png</t>
        </is>
      </c>
      <c r="L3756" s="11">
        <f>HYPERLINK("4\1\" &amp; K3756, "Ver Imagen")</f>
        <v/>
      </c>
      <c r="M3756" t="inlineStr">
        <is>
          <t>Moda</t>
        </is>
      </c>
    </row>
    <row r="3757">
      <c r="A3757" t="n">
        <v>3758</v>
      </c>
      <c r="B3757" t="inlineStr">
        <is>
          <t>A-497__575</t>
        </is>
      </c>
      <c r="C3757" s="1" t="n">
        <v>37.2037807865</v>
      </c>
      <c r="D3757" s="1" t="n">
        <v>-7.00887384021</v>
      </c>
      <c r="E3757" s="3" t="n">
        <v>4</v>
      </c>
      <c r="F3757" s="2" t="n">
        <v>3</v>
      </c>
      <c r="G3757" s="4" t="n">
        <v>4</v>
      </c>
      <c r="H3757" s="13" t="n"/>
      <c r="I3757" s="15" t="n"/>
      <c r="J3757" s="19" t="n">
        <v>4</v>
      </c>
      <c r="K3757" s="2" t="inlineStr">
        <is>
          <t>marker_213_371973.png</t>
        </is>
      </c>
      <c r="L3757" s="11">
        <f>HYPERLINK("4\1\" &amp; K3757, "Ver Imagen")</f>
        <v/>
      </c>
      <c r="M3757" t="inlineStr">
        <is>
          <t>Moda</t>
        </is>
      </c>
    </row>
    <row r="3758">
      <c r="A3758" t="n">
        <v>3759</v>
      </c>
      <c r="B3758" t="inlineStr">
        <is>
          <t>A-497_2C__295</t>
        </is>
      </c>
      <c r="C3758" s="1" t="n">
        <v>37.2504889931</v>
      </c>
      <c r="D3758" s="1" t="n">
        <v>-7.01776372206</v>
      </c>
      <c r="E3758" s="3" t="n">
        <v>4</v>
      </c>
      <c r="F3758" s="2" t="n">
        <v>3</v>
      </c>
      <c r="G3758" s="4" t="n">
        <v>4</v>
      </c>
      <c r="H3758" s="13" t="n"/>
      <c r="I3758" s="15" t="n"/>
      <c r="J3758" s="19" t="n">
        <v>4</v>
      </c>
      <c r="K3758" s="2" t="inlineStr">
        <is>
          <t>marker_392_320120.png</t>
        </is>
      </c>
      <c r="L3758" s="11">
        <f>HYPERLINK("4\1\" &amp; K3758, "Ver Imagen")</f>
        <v/>
      </c>
      <c r="M3758" t="inlineStr">
        <is>
          <t>Moda</t>
        </is>
      </c>
    </row>
    <row r="3759">
      <c r="A3759" t="n">
        <v>3760</v>
      </c>
      <c r="B3759" t="inlineStr">
        <is>
          <t>A-497_2C__310</t>
        </is>
      </c>
      <c r="C3759" s="1" t="n">
        <v>37.2475041476</v>
      </c>
      <c r="D3759" s="1" t="n">
        <v>-7.01839624823</v>
      </c>
      <c r="E3759" s="3" t="n">
        <v>4</v>
      </c>
      <c r="F3759" s="2" t="n">
        <v>3</v>
      </c>
      <c r="G3759" s="4" t="n">
        <v>4</v>
      </c>
      <c r="H3759" s="13" t="n"/>
      <c r="I3759" s="15" t="n"/>
      <c r="J3759" s="19" t="n">
        <v>4</v>
      </c>
      <c r="K3759" s="2" t="inlineStr">
        <is>
          <t>marker_509_361833.png</t>
        </is>
      </c>
      <c r="L3759" s="11">
        <f>HYPERLINK("4\1\" &amp; K3759, "Ver Imagen")</f>
        <v/>
      </c>
      <c r="M3759" t="inlineStr">
        <is>
          <t>Moda</t>
        </is>
      </c>
    </row>
    <row r="3760">
      <c r="A3760" t="n">
        <v>3761</v>
      </c>
      <c r="B3760" t="inlineStr">
        <is>
          <t>A-497_2C__314</t>
        </is>
      </c>
      <c r="C3760" s="1" t="n">
        <v>37.2467122794</v>
      </c>
      <c r="D3760" s="1" t="n">
        <v>-7.01842592946</v>
      </c>
      <c r="E3760" s="3" t="n">
        <v>4</v>
      </c>
      <c r="F3760" s="2" t="n">
        <v>3</v>
      </c>
      <c r="G3760" s="4" t="n">
        <v>4</v>
      </c>
      <c r="H3760" s="13" t="n"/>
      <c r="I3760" s="15" t="n"/>
      <c r="J3760" s="19" t="n">
        <v>4</v>
      </c>
      <c r="K3760" s="2" t="inlineStr">
        <is>
          <t>marker_539_361871.png</t>
        </is>
      </c>
      <c r="L3760" s="11">
        <f>HYPERLINK("4\1\" &amp; K3760, "Ver Imagen")</f>
        <v/>
      </c>
      <c r="M3760" t="inlineStr">
        <is>
          <t>Moda</t>
        </is>
      </c>
    </row>
    <row r="3761">
      <c r="A3761" t="n">
        <v>3762</v>
      </c>
      <c r="B3761" t="inlineStr">
        <is>
          <t>A-497_2C__331</t>
        </is>
      </c>
      <c r="C3761" s="1" t="n">
        <v>37.2432474318</v>
      </c>
      <c r="D3761" s="1" t="n">
        <v>-7.0185583439</v>
      </c>
      <c r="E3761" s="3" t="n">
        <v>4</v>
      </c>
      <c r="F3761" s="2" t="n">
        <v>3</v>
      </c>
      <c r="G3761" s="4" t="n">
        <v>4</v>
      </c>
      <c r="H3761" s="13" t="n"/>
      <c r="I3761" s="15" t="n"/>
      <c r="J3761" s="19" t="n">
        <v>4</v>
      </c>
      <c r="K3761" s="2" t="inlineStr">
        <is>
          <t>marker_627_362029.png</t>
        </is>
      </c>
      <c r="L3761" s="11">
        <f>HYPERLINK("4\1\" &amp; K3761, "Ver Imagen")</f>
        <v/>
      </c>
      <c r="M3761" t="inlineStr">
        <is>
          <t>Moda</t>
        </is>
      </c>
    </row>
    <row r="3762">
      <c r="A3762" t="n">
        <v>3763</v>
      </c>
      <c r="B3762" t="inlineStr">
        <is>
          <t>A-497__541</t>
        </is>
      </c>
      <c r="C3762" s="1" t="n">
        <v>37.2053599259</v>
      </c>
      <c r="D3762" s="1" t="n">
        <v>-7.01724486874</v>
      </c>
      <c r="E3762" s="3" t="n">
        <v>4</v>
      </c>
      <c r="F3762" s="2" t="n">
        <v>3</v>
      </c>
      <c r="G3762" s="4" t="n">
        <v>4</v>
      </c>
      <c r="H3762" s="13" t="n"/>
      <c r="I3762" s="15" t="n"/>
      <c r="J3762" s="19" t="n">
        <v>4</v>
      </c>
      <c r="K3762" s="2" t="inlineStr">
        <is>
          <t>marker_611_372366.png</t>
        </is>
      </c>
      <c r="L3762" s="11">
        <f>HYPERLINK("4\1\" &amp; K3762, "Ver Imagen")</f>
        <v/>
      </c>
      <c r="M3762" t="inlineStr">
        <is>
          <t>Moda</t>
        </is>
      </c>
    </row>
    <row r="3763">
      <c r="A3763" t="n">
        <v>3764</v>
      </c>
      <c r="B3763" t="inlineStr">
        <is>
          <t>A-497_2C__362</t>
        </is>
      </c>
      <c r="C3763" s="1" t="n">
        <v>37.2369685557</v>
      </c>
      <c r="D3763" s="1" t="n">
        <v>-7.01872087628</v>
      </c>
      <c r="E3763" s="3" t="n">
        <v>4</v>
      </c>
      <c r="F3763" s="2" t="n">
        <v>3</v>
      </c>
      <c r="G3763" s="4" t="n">
        <v>4</v>
      </c>
      <c r="H3763" s="13" t="n"/>
      <c r="I3763" s="15" t="n"/>
      <c r="J3763" s="19" t="n">
        <v>4</v>
      </c>
      <c r="K3763" s="2" t="inlineStr">
        <is>
          <t>marker_389_362365.png</t>
        </is>
      </c>
      <c r="L3763" s="11">
        <f>HYPERLINK("4\1\" &amp; K3763, "Ver Imagen")</f>
        <v/>
      </c>
      <c r="M3763" t="inlineStr">
        <is>
          <t>Moda</t>
        </is>
      </c>
    </row>
    <row r="3764">
      <c r="A3764" t="n">
        <v>3765</v>
      </c>
      <c r="B3764" t="inlineStr">
        <is>
          <t>A-497_2C__363</t>
        </is>
      </c>
      <c r="C3764" s="1" t="n">
        <v>37.2367755522</v>
      </c>
      <c r="D3764" s="1" t="n">
        <v>-7.01869679411</v>
      </c>
      <c r="E3764" s="3" t="n">
        <v>4</v>
      </c>
      <c r="F3764" s="2" t="n">
        <v>3</v>
      </c>
      <c r="G3764" s="4" t="n">
        <v>4</v>
      </c>
      <c r="H3764" s="13" t="n"/>
      <c r="I3764" s="15" t="n"/>
      <c r="J3764" s="19" t="n">
        <v>4</v>
      </c>
      <c r="K3764" s="2" t="inlineStr">
        <is>
          <t>marker_423_362376.png</t>
        </is>
      </c>
      <c r="L3764" s="11">
        <f>HYPERLINK("4\1\" &amp; K3764, "Ver Imagen")</f>
        <v/>
      </c>
      <c r="M3764" t="inlineStr">
        <is>
          <t>Moda</t>
        </is>
      </c>
    </row>
    <row r="3765">
      <c r="A3765" t="n">
        <v>3766</v>
      </c>
      <c r="B3765" t="inlineStr">
        <is>
          <t>A-497_2C__364</t>
        </is>
      </c>
      <c r="C3765" s="1" t="n">
        <v>37.2365798428</v>
      </c>
      <c r="D3765" s="1" t="n">
        <v>-7.01866611852</v>
      </c>
      <c r="E3765" s="3" t="n">
        <v>4</v>
      </c>
      <c r="F3765" s="2" t="n">
        <v>3</v>
      </c>
      <c r="G3765" s="4" t="n">
        <v>4</v>
      </c>
      <c r="H3765" s="13" t="n"/>
      <c r="I3765" s="15" t="n"/>
      <c r="J3765" s="19" t="n">
        <v>4</v>
      </c>
      <c r="K3765" s="2" t="inlineStr">
        <is>
          <t>marker_661_362385.png</t>
        </is>
      </c>
      <c r="L3765" s="11">
        <f>HYPERLINK("4\1\" &amp; K3765, "Ver Imagen")</f>
        <v/>
      </c>
      <c r="M3765" t="inlineStr">
        <is>
          <t>Moda</t>
        </is>
      </c>
    </row>
    <row r="3766">
      <c r="A3766" t="n">
        <v>3767</v>
      </c>
      <c r="B3766" t="inlineStr">
        <is>
          <t>A-497_2C__442</t>
        </is>
      </c>
      <c r="C3766" s="1" t="n">
        <v>37.2218688481</v>
      </c>
      <c r="D3766" s="1" t="n">
        <v>-7.02313398483</v>
      </c>
      <c r="E3766" s="3" t="n">
        <v>4</v>
      </c>
      <c r="F3766" s="2" t="n">
        <v>3</v>
      </c>
      <c r="G3766" s="4" t="n">
        <v>4</v>
      </c>
      <c r="H3766" s="13" t="n"/>
      <c r="I3766" s="15" t="n"/>
      <c r="J3766" s="19" t="n">
        <v>4</v>
      </c>
      <c r="K3766" s="2" t="inlineStr">
        <is>
          <t>marker_847_363328.png</t>
        </is>
      </c>
      <c r="L3766" s="11">
        <f>HYPERLINK("4\1\" &amp; K3766, "Ver Imagen")</f>
        <v/>
      </c>
      <c r="M3766" t="inlineStr">
        <is>
          <t>Moda</t>
        </is>
      </c>
    </row>
    <row r="3767">
      <c r="A3767" t="n">
        <v>3768</v>
      </c>
      <c r="B3767" t="inlineStr">
        <is>
          <t>A-497_2C__443</t>
        </is>
      </c>
      <c r="C3767" s="1" t="n">
        <v>37.2216462312</v>
      </c>
      <c r="D3767" s="1" t="n">
        <v>-7.02311207856</v>
      </c>
      <c r="E3767" s="3" t="n">
        <v>4</v>
      </c>
      <c r="F3767" s="2" t="n">
        <v>3</v>
      </c>
      <c r="G3767" s="4" t="n">
        <v>4</v>
      </c>
      <c r="H3767" s="13" t="n"/>
      <c r="I3767" s="15" t="n"/>
      <c r="J3767" s="19" t="n">
        <v>4</v>
      </c>
      <c r="K3767" s="2" t="inlineStr">
        <is>
          <t>marker_737_363346.png</t>
        </is>
      </c>
      <c r="L3767" s="11">
        <f>HYPERLINK("4\1\" &amp; K3767, "Ver Imagen")</f>
        <v/>
      </c>
      <c r="M3767" t="inlineStr">
        <is>
          <t>Moda</t>
        </is>
      </c>
    </row>
    <row r="3768">
      <c r="A3768" t="n">
        <v>3769</v>
      </c>
      <c r="B3768" t="inlineStr">
        <is>
          <t>A-497_2C__445</t>
        </is>
      </c>
      <c r="C3768" s="1" t="n">
        <v>37.2212146738</v>
      </c>
      <c r="D3768" s="1" t="n">
        <v>-7.02307142575</v>
      </c>
      <c r="E3768" s="3" t="n">
        <v>4</v>
      </c>
      <c r="F3768" s="2" t="n">
        <v>3</v>
      </c>
      <c r="G3768" s="4" t="n">
        <v>4</v>
      </c>
      <c r="H3768" s="13" t="n"/>
      <c r="I3768" s="15" t="n"/>
      <c r="J3768" s="19" t="n">
        <v>4</v>
      </c>
      <c r="K3768" s="2" t="inlineStr">
        <is>
          <t>marker_758_363362.png</t>
        </is>
      </c>
      <c r="L3768" s="11">
        <f>HYPERLINK("4\1\" &amp; K3768, "Ver Imagen")</f>
        <v/>
      </c>
      <c r="M3768" t="inlineStr">
        <is>
          <t>Moda</t>
        </is>
      </c>
    </row>
    <row r="3769">
      <c r="A3769" t="n">
        <v>3770</v>
      </c>
      <c r="B3769" t="inlineStr">
        <is>
          <t>A-497_2C__446</t>
        </is>
      </c>
      <c r="C3769" s="1" t="n">
        <v>37.2210234223</v>
      </c>
      <c r="D3769" s="1" t="n">
        <v>-7.02305423711</v>
      </c>
      <c r="E3769" s="3" t="n">
        <v>4</v>
      </c>
      <c r="F3769" s="2" t="n">
        <v>3</v>
      </c>
      <c r="G3769" s="4" t="n">
        <v>4</v>
      </c>
      <c r="H3769" s="13" t="n"/>
      <c r="I3769" s="15" t="n"/>
      <c r="J3769" s="19" t="n">
        <v>4</v>
      </c>
      <c r="K3769" s="2" t="inlineStr">
        <is>
          <t>marker_422_363372.png</t>
        </is>
      </c>
      <c r="L3769" s="11">
        <f>HYPERLINK("4\1\" &amp; K3769, "Ver Imagen")</f>
        <v/>
      </c>
      <c r="M3769" t="inlineStr">
        <is>
          <t>Moda</t>
        </is>
      </c>
    </row>
    <row r="3770">
      <c r="A3770" t="n">
        <v>3771</v>
      </c>
      <c r="B3770" t="inlineStr">
        <is>
          <t>A-497_2C__448</t>
        </is>
      </c>
      <c r="C3770" s="1" t="n">
        <v>37.2206346457</v>
      </c>
      <c r="D3770" s="1" t="n">
        <v>-7.0230199342</v>
      </c>
      <c r="E3770" s="3" t="n">
        <v>4</v>
      </c>
      <c r="F3770" s="2" t="n">
        <v>3</v>
      </c>
      <c r="G3770" s="4" t="n">
        <v>4</v>
      </c>
      <c r="H3770" s="13" t="n"/>
      <c r="I3770" s="15" t="n"/>
      <c r="J3770" s="19" t="n">
        <v>4</v>
      </c>
      <c r="K3770" s="2" t="inlineStr">
        <is>
          <t>marker_889_363392.png</t>
        </is>
      </c>
      <c r="L3770" s="11">
        <f>HYPERLINK("4\1\" &amp; K3770, "Ver Imagen")</f>
        <v/>
      </c>
      <c r="M3770" t="inlineStr">
        <is>
          <t>Moda</t>
        </is>
      </c>
    </row>
    <row r="3771">
      <c r="A3771" t="n">
        <v>3772</v>
      </c>
      <c r="B3771" t="inlineStr">
        <is>
          <t>A-497_2C__450</t>
        </is>
      </c>
      <c r="C3771" s="1" t="n">
        <v>37.2202424958</v>
      </c>
      <c r="D3771" s="1" t="n">
        <v>-7.02298528105</v>
      </c>
      <c r="E3771" s="3" t="n">
        <v>4</v>
      </c>
      <c r="F3771" s="2" t="n">
        <v>3</v>
      </c>
      <c r="G3771" s="4" t="n">
        <v>4</v>
      </c>
      <c r="H3771" s="13" t="n"/>
      <c r="I3771" s="15" t="n"/>
      <c r="J3771" s="19" t="n">
        <v>4</v>
      </c>
      <c r="K3771" s="2" t="inlineStr">
        <is>
          <t>marker_705_363419.png</t>
        </is>
      </c>
      <c r="L3771" s="11">
        <f>HYPERLINK("4\1\" &amp; K3771, "Ver Imagen")</f>
        <v/>
      </c>
      <c r="M3771" t="inlineStr">
        <is>
          <t>Moda</t>
        </is>
      </c>
    </row>
    <row r="3772">
      <c r="A3772" t="n">
        <v>3773</v>
      </c>
      <c r="B3772" t="inlineStr">
        <is>
          <t>A-497_2C__460</t>
        </is>
      </c>
      <c r="C3772" s="1" t="n">
        <v>37.2181827526</v>
      </c>
      <c r="D3772" s="1" t="n">
        <v>-7.02304033131</v>
      </c>
      <c r="E3772" s="3" t="n">
        <v>4</v>
      </c>
      <c r="F3772" s="2" t="n">
        <v>3</v>
      </c>
      <c r="G3772" s="4" t="n">
        <v>4</v>
      </c>
      <c r="H3772" s="13" t="n"/>
      <c r="I3772" s="15" t="n"/>
      <c r="J3772" s="19" t="n">
        <v>4</v>
      </c>
      <c r="K3772" s="2" t="inlineStr">
        <is>
          <t>marker_825_363535.png</t>
        </is>
      </c>
      <c r="L3772" s="11">
        <f>HYPERLINK("4\1\" &amp; K3772, "Ver Imagen")</f>
        <v/>
      </c>
      <c r="M3772" t="inlineStr">
        <is>
          <t>Moda</t>
        </is>
      </c>
    </row>
    <row r="3773">
      <c r="A3773" t="n">
        <v>3774</v>
      </c>
      <c r="B3773" t="inlineStr">
        <is>
          <t>A-497_2C__465</t>
        </is>
      </c>
      <c r="C3773" s="1" t="n">
        <v>37.2171841384</v>
      </c>
      <c r="D3773" s="1" t="n">
        <v>-7.02320473567</v>
      </c>
      <c r="E3773" s="3" t="n">
        <v>4</v>
      </c>
      <c r="F3773" s="2" t="n">
        <v>3</v>
      </c>
      <c r="G3773" s="4" t="n">
        <v>4</v>
      </c>
      <c r="H3773" s="13" t="n"/>
      <c r="I3773" s="15" t="n"/>
      <c r="J3773" s="19" t="n">
        <v>4</v>
      </c>
      <c r="K3773" s="2" t="inlineStr">
        <is>
          <t>marker_251_363588.png</t>
        </is>
      </c>
      <c r="L3773" s="11">
        <f>HYPERLINK("4\1\" &amp; K3773, "Ver Imagen")</f>
        <v/>
      </c>
      <c r="M3773" t="inlineStr">
        <is>
          <t>Moda</t>
        </is>
      </c>
    </row>
    <row r="3774">
      <c r="A3774" t="n">
        <v>3775</v>
      </c>
      <c r="B3774" t="inlineStr">
        <is>
          <t>A-497_2C__471</t>
        </is>
      </c>
      <c r="C3774" s="1" t="n">
        <v>37.2159887285</v>
      </c>
      <c r="D3774" s="1" t="n">
        <v>-7.02341668934</v>
      </c>
      <c r="E3774" s="3" t="n">
        <v>4</v>
      </c>
      <c r="F3774" s="2" t="n">
        <v>3</v>
      </c>
      <c r="G3774" s="4" t="n">
        <v>4</v>
      </c>
      <c r="H3774" s="13" t="n"/>
      <c r="I3774" s="15" t="n"/>
      <c r="J3774" s="19" t="n">
        <v>4</v>
      </c>
      <c r="K3774" s="2" t="inlineStr">
        <is>
          <t>marker_504_363657.png</t>
        </is>
      </c>
      <c r="L3774" s="11">
        <f>HYPERLINK("4\1\" &amp; K3774, "Ver Imagen")</f>
        <v/>
      </c>
      <c r="M3774" t="inlineStr">
        <is>
          <t>Moda</t>
        </is>
      </c>
    </row>
    <row r="3775">
      <c r="A3775" t="n">
        <v>3776</v>
      </c>
      <c r="B3775" t="inlineStr">
        <is>
          <t>A-497_2C__472</t>
        </is>
      </c>
      <c r="C3775" s="1" t="n">
        <v>37.2157914368</v>
      </c>
      <c r="D3775" s="1" t="n">
        <v>-7.02345028941</v>
      </c>
      <c r="E3775" s="3" t="n">
        <v>4</v>
      </c>
      <c r="F3775" s="2" t="n">
        <v>3</v>
      </c>
      <c r="G3775" s="4" t="n">
        <v>4</v>
      </c>
      <c r="H3775" s="13" t="n"/>
      <c r="I3775" s="15" t="n"/>
      <c r="J3775" s="19" t="n">
        <v>4</v>
      </c>
      <c r="K3775" s="2" t="inlineStr">
        <is>
          <t>marker_682_363668.png</t>
        </is>
      </c>
      <c r="L3775" s="11">
        <f>HYPERLINK("4\1\" &amp; K3775, "Ver Imagen")</f>
        <v/>
      </c>
      <c r="M3775" t="inlineStr">
        <is>
          <t>Moda</t>
        </is>
      </c>
    </row>
    <row r="3776">
      <c r="A3776" t="n">
        <v>3777</v>
      </c>
      <c r="B3776" t="inlineStr">
        <is>
          <t>A-497_2C__477</t>
        </is>
      </c>
      <c r="C3776" s="1" t="n">
        <v>37.2147908874</v>
      </c>
      <c r="D3776" s="1" t="n">
        <v>-7.02362230439</v>
      </c>
      <c r="E3776" s="3" t="n">
        <v>4</v>
      </c>
      <c r="F3776" s="2" t="n">
        <v>3</v>
      </c>
      <c r="G3776" s="4" t="n">
        <v>4</v>
      </c>
      <c r="H3776" s="13" t="n"/>
      <c r="I3776" s="15" t="n"/>
      <c r="J3776" s="19" t="n">
        <v>4</v>
      </c>
      <c r="K3776" s="2" t="inlineStr">
        <is>
          <t>marker_427_363727.png</t>
        </is>
      </c>
      <c r="L3776" s="11">
        <f>HYPERLINK("4\1\" &amp; K3776, "Ver Imagen")</f>
        <v/>
      </c>
      <c r="M3776" t="inlineStr">
        <is>
          <t>Moda</t>
        </is>
      </c>
    </row>
    <row r="3777">
      <c r="A3777" t="n">
        <v>3778</v>
      </c>
      <c r="B3777" t="inlineStr">
        <is>
          <t>A-497_2C__478</t>
        </is>
      </c>
      <c r="C3777" s="1" t="n">
        <v>37.2145465284</v>
      </c>
      <c r="D3777" s="1" t="n">
        <v>-7.0236677941</v>
      </c>
      <c r="E3777" s="3" t="n">
        <v>4</v>
      </c>
      <c r="F3777" s="2" t="n">
        <v>3</v>
      </c>
      <c r="G3777" s="4" t="n">
        <v>4</v>
      </c>
      <c r="H3777" s="13" t="n"/>
      <c r="I3777" s="15" t="n"/>
      <c r="J3777" s="19" t="n">
        <v>4</v>
      </c>
      <c r="K3777" s="2" t="inlineStr">
        <is>
          <t>marker_135_363736.png</t>
        </is>
      </c>
      <c r="L3777" s="11">
        <f>HYPERLINK("4\1\" &amp; K3777, "Ver Imagen")</f>
        <v/>
      </c>
      <c r="M3777" t="inlineStr">
        <is>
          <t>Moda</t>
        </is>
      </c>
    </row>
    <row r="3778">
      <c r="A3778" t="n">
        <v>3779</v>
      </c>
      <c r="B3778" t="inlineStr">
        <is>
          <t>A-497_2C__480</t>
        </is>
      </c>
      <c r="C3778" s="1" t="n">
        <v>37.2142006211</v>
      </c>
      <c r="D3778" s="1" t="n">
        <v>-7.02373417593</v>
      </c>
      <c r="E3778" s="3" t="n">
        <v>4</v>
      </c>
      <c r="F3778" s="2" t="n">
        <v>3</v>
      </c>
      <c r="G3778" s="4" t="n">
        <v>4</v>
      </c>
      <c r="H3778" s="13" t="n"/>
      <c r="I3778" s="15" t="n"/>
      <c r="J3778" s="19" t="n">
        <v>4</v>
      </c>
      <c r="K3778" s="2" t="inlineStr">
        <is>
          <t>marker_490_363758.png</t>
        </is>
      </c>
      <c r="L3778" s="11">
        <f>HYPERLINK("4\1\" &amp; K3778, "Ver Imagen")</f>
        <v/>
      </c>
      <c r="M3778" t="inlineStr">
        <is>
          <t>Moda</t>
        </is>
      </c>
    </row>
    <row r="3779">
      <c r="A3779" t="n">
        <v>3780</v>
      </c>
      <c r="B3779" t="inlineStr">
        <is>
          <t>A-497_2C__484</t>
        </is>
      </c>
      <c r="C3779" s="1" t="n">
        <v>37.2133716959</v>
      </c>
      <c r="D3779" s="1" t="n">
        <v>-7.02388180745</v>
      </c>
      <c r="E3779" s="3" t="n">
        <v>4</v>
      </c>
      <c r="F3779" s="2" t="n">
        <v>3</v>
      </c>
      <c r="G3779" s="4" t="n">
        <v>4</v>
      </c>
      <c r="H3779" s="13" t="n"/>
      <c r="I3779" s="15" t="n"/>
      <c r="J3779" s="19" t="n">
        <v>4</v>
      </c>
      <c r="K3779" s="2" t="inlineStr">
        <is>
          <t>marker_993_363813.png</t>
        </is>
      </c>
      <c r="L3779" s="11">
        <f>HYPERLINK("4\1\" &amp; K3779, "Ver Imagen")</f>
        <v/>
      </c>
      <c r="M3779" t="inlineStr">
        <is>
          <t>Moda</t>
        </is>
      </c>
    </row>
    <row r="3780">
      <c r="A3780" t="n">
        <v>3781</v>
      </c>
      <c r="B3780" t="inlineStr">
        <is>
          <t>A-497_2C__489</t>
        </is>
      </c>
      <c r="C3780" s="1" t="n">
        <v>37.2124193086</v>
      </c>
      <c r="D3780" s="1" t="n">
        <v>-7.0240180262</v>
      </c>
      <c r="E3780" s="3" t="n">
        <v>4</v>
      </c>
      <c r="F3780" s="2" t="n">
        <v>3</v>
      </c>
      <c r="G3780" s="4" t="n">
        <v>4</v>
      </c>
      <c r="H3780" s="13" t="n"/>
      <c r="I3780" s="15" t="n"/>
      <c r="J3780" s="19" t="n">
        <v>4</v>
      </c>
      <c r="K3780" s="2" t="inlineStr">
        <is>
          <t>marker_223_363867.png</t>
        </is>
      </c>
      <c r="L3780" s="11">
        <f>HYPERLINK("4\1\" &amp; K3780, "Ver Imagen")</f>
        <v/>
      </c>
      <c r="M3780" t="inlineStr">
        <is>
          <t>Moda</t>
        </is>
      </c>
    </row>
    <row r="3781">
      <c r="A3781" t="n">
        <v>3782</v>
      </c>
      <c r="B3781" t="inlineStr">
        <is>
          <t>A-497_2C__502</t>
        </is>
      </c>
      <c r="C3781" s="1" t="n">
        <v>37.2097890244</v>
      </c>
      <c r="D3781" s="1" t="n">
        <v>-7.0236374397</v>
      </c>
      <c r="E3781" s="3" t="n">
        <v>4</v>
      </c>
      <c r="F3781" s="2" t="n">
        <v>3</v>
      </c>
      <c r="G3781" s="4" t="n">
        <v>4</v>
      </c>
      <c r="H3781" s="13" t="n"/>
      <c r="I3781" s="15" t="n"/>
      <c r="J3781" s="19" t="n">
        <v>4</v>
      </c>
      <c r="K3781" s="2" t="inlineStr">
        <is>
          <t>marker_956_364082.png</t>
        </is>
      </c>
      <c r="L3781" s="11">
        <f>HYPERLINK("4\1\" &amp; K3781, "Ver Imagen")</f>
        <v/>
      </c>
      <c r="M3781" t="inlineStr">
        <is>
          <t>Moda</t>
        </is>
      </c>
    </row>
    <row r="3782">
      <c r="A3782" t="n">
        <v>3783</v>
      </c>
      <c r="B3782" t="inlineStr">
        <is>
          <t>A-497__345</t>
        </is>
      </c>
      <c r="C3782" s="1" t="n">
        <v>37.2413525785</v>
      </c>
      <c r="D3782" s="1" t="n">
        <v>-7.01843492303</v>
      </c>
      <c r="E3782" s="3" t="n">
        <v>4</v>
      </c>
      <c r="F3782" s="2" t="n">
        <v>3</v>
      </c>
      <c r="G3782" s="4" t="n">
        <v>4</v>
      </c>
      <c r="H3782" s="13" t="n"/>
      <c r="I3782" s="15" t="n"/>
      <c r="J3782" s="19" t="n">
        <v>4</v>
      </c>
      <c r="K3782" s="2" t="inlineStr">
        <is>
          <t>marker_420_377718.png</t>
        </is>
      </c>
      <c r="L3782" s="11">
        <f>HYPERLINK("4\1\" &amp; K3782, "Ver Imagen")</f>
        <v/>
      </c>
      <c r="M3782" t="inlineStr">
        <is>
          <t>Moda</t>
        </is>
      </c>
    </row>
    <row r="3783">
      <c r="A3783" t="n">
        <v>3784</v>
      </c>
      <c r="B3783" t="inlineStr">
        <is>
          <t>A-497__343</t>
        </is>
      </c>
      <c r="C3783" s="1" t="n">
        <v>37.2417574658</v>
      </c>
      <c r="D3783" s="1" t="n">
        <v>-7.01842034197</v>
      </c>
      <c r="E3783" s="3" t="n">
        <v>4</v>
      </c>
      <c r="F3783" s="2" t="n">
        <v>3</v>
      </c>
      <c r="G3783" s="4" t="n">
        <v>4</v>
      </c>
      <c r="H3783" s="13" t="n"/>
      <c r="I3783" s="15" t="n"/>
      <c r="J3783" s="19" t="n">
        <v>4</v>
      </c>
      <c r="K3783" s="2" t="inlineStr">
        <is>
          <t>marker_876_377740.png</t>
        </is>
      </c>
      <c r="L3783" s="11">
        <f>HYPERLINK("4\1\" &amp; K3783, "Ver Imagen")</f>
        <v/>
      </c>
      <c r="M3783" t="inlineStr">
        <is>
          <t>Moda</t>
        </is>
      </c>
    </row>
    <row r="3784">
      <c r="A3784" t="n">
        <v>3785</v>
      </c>
      <c r="B3784" t="inlineStr">
        <is>
          <t>A-497__336</t>
        </is>
      </c>
      <c r="C3784" s="1" t="n">
        <v>37.2431585286</v>
      </c>
      <c r="D3784" s="1" t="n">
        <v>-7.01836345727</v>
      </c>
      <c r="E3784" s="3" t="n">
        <v>4</v>
      </c>
      <c r="F3784" s="2" t="n">
        <v>3</v>
      </c>
      <c r="G3784" s="4" t="n">
        <v>4</v>
      </c>
      <c r="H3784" s="13" t="n"/>
      <c r="I3784" s="15" t="n"/>
      <c r="J3784" s="19" t="n">
        <v>4</v>
      </c>
      <c r="K3784" s="2" t="inlineStr">
        <is>
          <t>marker_452_377808.png</t>
        </is>
      </c>
      <c r="L3784" s="11">
        <f>HYPERLINK("4\1\" &amp; K3784, "Ver Imagen")</f>
        <v/>
      </c>
      <c r="M3784" t="inlineStr">
        <is>
          <t>Moda</t>
        </is>
      </c>
    </row>
    <row r="3785">
      <c r="A3785" t="n">
        <v>3786</v>
      </c>
      <c r="B3785" t="inlineStr">
        <is>
          <t>A-497__335</t>
        </is>
      </c>
      <c r="C3785" s="1" t="n">
        <v>37.2433532511</v>
      </c>
      <c r="D3785" s="1" t="n">
        <v>-7.01835491121</v>
      </c>
      <c r="E3785" s="3" t="n">
        <v>4</v>
      </c>
      <c r="F3785" s="2" t="n">
        <v>3</v>
      </c>
      <c r="G3785" s="4" t="n">
        <v>4</v>
      </c>
      <c r="H3785" s="13" t="n"/>
      <c r="I3785" s="15" t="n"/>
      <c r="J3785" s="19" t="n">
        <v>4</v>
      </c>
      <c r="K3785" s="2" t="inlineStr">
        <is>
          <t>marker_243_377817.png</t>
        </is>
      </c>
      <c r="L3785" s="11">
        <f>HYPERLINK("4\1\" &amp; K3785, "Ver Imagen")</f>
        <v/>
      </c>
      <c r="M3785" t="inlineStr">
        <is>
          <t>Moda</t>
        </is>
      </c>
    </row>
    <row r="3786">
      <c r="A3786" t="n">
        <v>3787</v>
      </c>
      <c r="B3786" t="inlineStr">
        <is>
          <t>A-497__325</t>
        </is>
      </c>
      <c r="C3786" s="1" t="n">
        <v>37.2454211674</v>
      </c>
      <c r="D3786" s="1" t="n">
        <v>-7.01828085637</v>
      </c>
      <c r="E3786" s="3" t="n">
        <v>4</v>
      </c>
      <c r="F3786" s="2" t="n">
        <v>3</v>
      </c>
      <c r="G3786" s="4" t="n">
        <v>4</v>
      </c>
      <c r="H3786" s="13" t="n"/>
      <c r="I3786" s="15" t="n"/>
      <c r="J3786" s="19" t="n">
        <v>4</v>
      </c>
      <c r="K3786" s="2" t="inlineStr">
        <is>
          <t>marker_210_377916.png</t>
        </is>
      </c>
      <c r="L3786" s="11">
        <f>HYPERLINK("4\1\" &amp; K3786, "Ver Imagen")</f>
        <v/>
      </c>
      <c r="M3786" t="inlineStr">
        <is>
          <t>Moda</t>
        </is>
      </c>
    </row>
    <row r="3787">
      <c r="A3787" t="n">
        <v>3788</v>
      </c>
      <c r="B3787" t="inlineStr">
        <is>
          <t>A-497__293</t>
        </is>
      </c>
      <c r="C3787" s="1" t="n">
        <v>37.251642301</v>
      </c>
      <c r="D3787" s="1" t="n">
        <v>-7.01682977869</v>
      </c>
      <c r="E3787" s="3" t="n">
        <v>4</v>
      </c>
      <c r="F3787" s="2" t="n">
        <v>3</v>
      </c>
      <c r="G3787" s="4" t="n">
        <v>4</v>
      </c>
      <c r="H3787" s="13" t="n"/>
      <c r="I3787" s="15" t="n"/>
      <c r="J3787" s="19" t="n">
        <v>4</v>
      </c>
      <c r="K3787" s="2" t="inlineStr">
        <is>
          <t>marker_670_378314.png</t>
        </is>
      </c>
      <c r="L3787" s="11">
        <f>HYPERLINK("4\1\" &amp; K3787, "Ver Imagen")</f>
        <v/>
      </c>
      <c r="M3787" t="inlineStr">
        <is>
          <t>Moda</t>
        </is>
      </c>
    </row>
    <row r="3788">
      <c r="A3788" t="n">
        <v>3789</v>
      </c>
      <c r="B3788" t="inlineStr">
        <is>
          <t>A-497__273</t>
        </is>
      </c>
      <c r="C3788" s="1" t="n">
        <v>37.2552460765</v>
      </c>
      <c r="D3788" s="1" t="n">
        <v>-7.01453548443</v>
      </c>
      <c r="E3788" s="3" t="n">
        <v>4</v>
      </c>
      <c r="F3788" s="2" t="n">
        <v>3</v>
      </c>
      <c r="G3788" s="4" t="n">
        <v>4</v>
      </c>
      <c r="H3788" s="13" t="n"/>
      <c r="I3788" s="15" t="n"/>
      <c r="J3788" s="19" t="n">
        <v>4</v>
      </c>
      <c r="K3788" s="2" t="inlineStr">
        <is>
          <t>marker_490_378549.png</t>
        </is>
      </c>
      <c r="L3788" s="11">
        <f>HYPERLINK("4\1\" &amp; K3788, "Ver Imagen")</f>
        <v/>
      </c>
      <c r="M3788" t="inlineStr">
        <is>
          <t>Moda</t>
        </is>
      </c>
    </row>
    <row r="3789">
      <c r="A3789" t="n">
        <v>3790</v>
      </c>
      <c r="B3789" t="inlineStr">
        <is>
          <t>A-497__270</t>
        </is>
      </c>
      <c r="C3789" s="1" t="n">
        <v>37.2557963503</v>
      </c>
      <c r="D3789" s="1" t="n">
        <v>-7.01419036311</v>
      </c>
      <c r="E3789" s="3" t="n">
        <v>4</v>
      </c>
      <c r="F3789" s="2" t="n">
        <v>3</v>
      </c>
      <c r="G3789" s="4" t="n">
        <v>4</v>
      </c>
      <c r="H3789" s="13" t="n"/>
      <c r="I3789" s="15" t="n"/>
      <c r="J3789" s="19" t="n">
        <v>4</v>
      </c>
      <c r="K3789" s="2" t="inlineStr">
        <is>
          <t>marker_613_378583.png</t>
        </is>
      </c>
      <c r="L3789" s="11">
        <f>HYPERLINK("4\1\" &amp; K3789, "Ver Imagen")</f>
        <v/>
      </c>
      <c r="M3789" t="inlineStr">
        <is>
          <t>Moda</t>
        </is>
      </c>
    </row>
    <row r="3790">
      <c r="A3790" t="n">
        <v>3791</v>
      </c>
      <c r="B3790" t="inlineStr">
        <is>
          <t>A-497__260</t>
        </is>
      </c>
      <c r="C3790" s="1" t="n">
        <v>37.2576482319</v>
      </c>
      <c r="D3790" s="1" t="n">
        <v>-7.01300677479</v>
      </c>
      <c r="E3790" s="3" t="n">
        <v>4</v>
      </c>
      <c r="F3790" s="2" t="n">
        <v>3</v>
      </c>
      <c r="G3790" s="4" t="n">
        <v>4</v>
      </c>
      <c r="H3790" s="13" t="n"/>
      <c r="I3790" s="15" t="n"/>
      <c r="J3790" s="19" t="n">
        <v>4</v>
      </c>
      <c r="K3790" s="2" t="inlineStr">
        <is>
          <t>marker_644_378677.png</t>
        </is>
      </c>
      <c r="L3790" s="11">
        <f>HYPERLINK("4\1\" &amp; K3790, "Ver Imagen")</f>
        <v/>
      </c>
      <c r="M3790" t="inlineStr">
        <is>
          <t>Moda</t>
        </is>
      </c>
    </row>
    <row r="3791">
      <c r="A3791" t="n">
        <v>3792</v>
      </c>
      <c r="B3791" t="inlineStr">
        <is>
          <t>A-497__259</t>
        </is>
      </c>
      <c r="C3791" s="1" t="n">
        <v>37.2577900478</v>
      </c>
      <c r="D3791" s="1" t="n">
        <v>-7.01291642659</v>
      </c>
      <c r="E3791" s="3" t="n">
        <v>4</v>
      </c>
      <c r="F3791" s="2" t="n">
        <v>3</v>
      </c>
      <c r="G3791" s="4" t="n">
        <v>4</v>
      </c>
      <c r="H3791" s="13" t="n"/>
      <c r="I3791" s="15" t="n"/>
      <c r="J3791" s="19" t="n">
        <v>4</v>
      </c>
      <c r="K3791" s="2" t="inlineStr">
        <is>
          <t>marker_837_378688.png</t>
        </is>
      </c>
      <c r="L3791" s="11">
        <f>HYPERLINK("4\1\" &amp; K3791, "Ver Imagen")</f>
        <v/>
      </c>
      <c r="M3791" t="inlineStr">
        <is>
          <t>Moda</t>
        </is>
      </c>
    </row>
    <row r="3792">
      <c r="A3792" t="n">
        <v>3793</v>
      </c>
      <c r="B3792" t="inlineStr">
        <is>
          <t>A-497__247</t>
        </is>
      </c>
      <c r="C3792" s="1" t="n">
        <v>37.2599957855</v>
      </c>
      <c r="D3792" s="1" t="n">
        <v>-7.01150907109</v>
      </c>
      <c r="E3792" s="3" t="n">
        <v>4</v>
      </c>
      <c r="F3792" s="2" t="n">
        <v>3</v>
      </c>
      <c r="G3792" s="4" t="n">
        <v>4</v>
      </c>
      <c r="H3792" s="13" t="n"/>
      <c r="I3792" s="15" t="n"/>
      <c r="J3792" s="19" t="n">
        <v>4</v>
      </c>
      <c r="K3792" s="2" t="inlineStr">
        <is>
          <t>marker_534_378812.png</t>
        </is>
      </c>
      <c r="L3792" s="11">
        <f>HYPERLINK("4\1\" &amp; K3792, "Ver Imagen")</f>
        <v/>
      </c>
      <c r="M3792" t="inlineStr">
        <is>
          <t>Moda</t>
        </is>
      </c>
    </row>
    <row r="3793">
      <c r="A3793" t="n">
        <v>3794</v>
      </c>
      <c r="B3793" t="inlineStr">
        <is>
          <t>A-497__227</t>
        </is>
      </c>
      <c r="C3793" s="1" t="n">
        <v>37.2630197448</v>
      </c>
      <c r="D3793" s="1" t="n">
        <v>-7.00842203856</v>
      </c>
      <c r="E3793" s="3" t="n">
        <v>4</v>
      </c>
      <c r="F3793" s="2" t="n">
        <v>3</v>
      </c>
      <c r="G3793" s="4" t="n">
        <v>4</v>
      </c>
      <c r="H3793" s="13" t="n"/>
      <c r="I3793" s="15" t="n"/>
      <c r="J3793" s="19" t="n">
        <v>4</v>
      </c>
      <c r="K3793" s="2" t="inlineStr">
        <is>
          <t>marker_174_379070.png</t>
        </is>
      </c>
      <c r="L3793" s="11">
        <f>HYPERLINK("4\1\" &amp; K3793, "Ver Imagen")</f>
        <v/>
      </c>
      <c r="M3793" t="inlineStr">
        <is>
          <t>Moda</t>
        </is>
      </c>
    </row>
    <row r="3794">
      <c r="A3794" t="n">
        <v>3795</v>
      </c>
      <c r="B3794" t="inlineStr">
        <is>
          <t>A-497__114</t>
        </is>
      </c>
      <c r="C3794" s="1" t="n">
        <v>37.2712822839</v>
      </c>
      <c r="D3794" s="1" t="n">
        <v>-6.9839323386</v>
      </c>
      <c r="E3794" s="3" t="n">
        <v>5</v>
      </c>
      <c r="F3794" s="2" t="n">
        <v>4</v>
      </c>
      <c r="G3794" s="4" t="n">
        <v>4</v>
      </c>
      <c r="H3794" s="13" t="n"/>
      <c r="I3794" s="15" t="n"/>
      <c r="J3794" s="19" t="n">
        <v>4</v>
      </c>
      <c r="K3794" s="2" t="inlineStr">
        <is>
          <t>marker_878_380677.png</t>
        </is>
      </c>
      <c r="L3794" s="11">
        <f>HYPERLINK("4\1\" &amp; K3794, "Ver Imagen")</f>
        <v/>
      </c>
      <c r="M3794" t="inlineStr">
        <is>
          <t>Moda</t>
        </is>
      </c>
    </row>
    <row r="3795">
      <c r="A3795" t="n">
        <v>3796</v>
      </c>
      <c r="B3795" t="inlineStr">
        <is>
          <t>A-497__111</t>
        </is>
      </c>
      <c r="C3795" s="1" t="n">
        <v>37.2710731592</v>
      </c>
      <c r="D3795" s="1" t="n">
        <v>-6.98321022986</v>
      </c>
      <c r="E3795" s="3" t="n">
        <v>4</v>
      </c>
      <c r="F3795" s="2" t="n">
        <v>3</v>
      </c>
      <c r="G3795" s="4" t="n">
        <v>4</v>
      </c>
      <c r="H3795" s="13" t="n"/>
      <c r="I3795" s="15" t="n"/>
      <c r="J3795" s="19" t="n">
        <v>4</v>
      </c>
      <c r="K3795" s="2" t="inlineStr">
        <is>
          <t>marker_970_380714.png</t>
        </is>
      </c>
      <c r="L3795" s="11">
        <f>HYPERLINK("4\1\" &amp; K3795, "Ver Imagen")</f>
        <v/>
      </c>
      <c r="M3795" t="inlineStr">
        <is>
          <t>Moda</t>
        </is>
      </c>
    </row>
    <row r="3796">
      <c r="A3796" t="n">
        <v>3797</v>
      </c>
      <c r="B3796" t="inlineStr">
        <is>
          <t>A-497__108</t>
        </is>
      </c>
      <c r="C3796" s="1" t="n">
        <v>37.2708671831</v>
      </c>
      <c r="D3796" s="1" t="n">
        <v>-6.98249115457</v>
      </c>
      <c r="E3796" s="3" t="n">
        <v>4</v>
      </c>
      <c r="F3796" s="2" t="n">
        <v>3</v>
      </c>
      <c r="G3796" s="4" t="n">
        <v>4</v>
      </c>
      <c r="H3796" s="13" t="n"/>
      <c r="I3796" s="15" t="n"/>
      <c r="J3796" s="19" t="n">
        <v>4</v>
      </c>
      <c r="K3796" s="2" t="inlineStr">
        <is>
          <t>marker_460_380747.png</t>
        </is>
      </c>
      <c r="L3796" s="11">
        <f>HYPERLINK("4\1\" &amp; K3796, "Ver Imagen")</f>
        <v/>
      </c>
      <c r="M3796" t="inlineStr">
        <is>
          <t>Moda</t>
        </is>
      </c>
    </row>
    <row r="3797">
      <c r="A3797" t="n">
        <v>3798</v>
      </c>
      <c r="B3797" t="inlineStr">
        <is>
          <t>A-497__94</t>
        </is>
      </c>
      <c r="C3797" s="1" t="n">
        <v>37.26989731</v>
      </c>
      <c r="D3797" s="1" t="n">
        <v>-6.97910546889</v>
      </c>
      <c r="E3797" s="3" t="n">
        <v>4</v>
      </c>
      <c r="F3797" s="2" t="n">
        <v>3</v>
      </c>
      <c r="G3797" s="4" t="n">
        <v>4</v>
      </c>
      <c r="H3797" s="13" t="n"/>
      <c r="I3797" s="15" t="n"/>
      <c r="J3797" s="19" t="n">
        <v>4</v>
      </c>
      <c r="K3797" s="2" t="inlineStr">
        <is>
          <t>marker_734_380898.png</t>
        </is>
      </c>
      <c r="L3797" s="11">
        <f>HYPERLINK("4\1\" &amp; K3797, "Ver Imagen")</f>
        <v/>
      </c>
      <c r="M3797" t="inlineStr">
        <is>
          <t>Moda</t>
        </is>
      </c>
    </row>
    <row r="3798">
      <c r="A3798" t="n">
        <v>3799</v>
      </c>
      <c r="B3798" t="inlineStr">
        <is>
          <t>A-490__79</t>
        </is>
      </c>
      <c r="C3798" s="1" t="n">
        <v>37.4486083589</v>
      </c>
      <c r="D3798" s="1" t="n">
        <v>-7.14546780626</v>
      </c>
      <c r="E3798" s="3" t="n">
        <v>4</v>
      </c>
      <c r="F3798" s="2" t="n">
        <v>4</v>
      </c>
      <c r="G3798" s="4" t="n">
        <v>5</v>
      </c>
      <c r="H3798" s="13" t="n"/>
      <c r="I3798" s="15" t="n"/>
      <c r="J3798" s="19" t="n">
        <v>4</v>
      </c>
      <c r="K3798" s="2" t="inlineStr">
        <is>
          <t>marker_856_738579.png</t>
        </is>
      </c>
      <c r="L3798" s="11">
        <f>HYPERLINK("4\1\" &amp; K3798, "Ver Imagen")</f>
        <v/>
      </c>
      <c r="M3798" t="inlineStr">
        <is>
          <t>Moda</t>
        </is>
      </c>
    </row>
    <row r="3799">
      <c r="A3799" t="n">
        <v>3800</v>
      </c>
      <c r="B3799" t="inlineStr">
        <is>
          <t>A-490__238</t>
        </is>
      </c>
      <c r="C3799" s="1" t="n">
        <v>37.4644937922</v>
      </c>
      <c r="D3799" s="1" t="n">
        <v>-7.17941913043</v>
      </c>
      <c r="E3799" s="3" t="n">
        <v>4</v>
      </c>
      <c r="F3799" s="2" t="n">
        <v>4</v>
      </c>
      <c r="G3799" s="4" t="n">
        <v>5</v>
      </c>
      <c r="H3799" s="13" t="n"/>
      <c r="I3799" s="15" t="n"/>
      <c r="J3799" s="19" t="n">
        <v>4</v>
      </c>
      <c r="K3799" s="2" t="inlineStr">
        <is>
          <t>marker_196_744109.png</t>
        </is>
      </c>
      <c r="L3799" s="11">
        <f>HYPERLINK("4\1\" &amp; K3799, "Ver Imagen")</f>
        <v/>
      </c>
      <c r="M3799" t="inlineStr">
        <is>
          <t>Moda</t>
        </is>
      </c>
    </row>
    <row r="3800">
      <c r="A3800" t="n">
        <v>3801</v>
      </c>
      <c r="B3800" t="inlineStr">
        <is>
          <t>A-490__258</t>
        </is>
      </c>
      <c r="C3800" s="1" t="n">
        <v>37.4667297685</v>
      </c>
      <c r="D3800" s="1" t="n">
        <v>-7.18354670103</v>
      </c>
      <c r="E3800" s="3" t="n">
        <v>4</v>
      </c>
      <c r="F3800" s="2" t="n">
        <v>4</v>
      </c>
      <c r="G3800" s="4" t="n">
        <v>5</v>
      </c>
      <c r="H3800" s="13" t="n"/>
      <c r="I3800" s="15" t="n"/>
      <c r="J3800" s="19" t="n">
        <v>4</v>
      </c>
      <c r="K3800" s="2" t="inlineStr">
        <is>
          <t>marker_577_749660.png</t>
        </is>
      </c>
      <c r="L3800" s="11">
        <f>HYPERLINK("4\1\" &amp; K3800, "Ver Imagen")</f>
        <v/>
      </c>
      <c r="M3800" t="inlineStr">
        <is>
          <t>Moda</t>
        </is>
      </c>
    </row>
    <row r="3801">
      <c r="A3801" t="n">
        <v>3802</v>
      </c>
      <c r="B3801" t="inlineStr">
        <is>
          <t>A-490__586</t>
        </is>
      </c>
      <c r="C3801" s="1" t="n">
        <v>37.4901030557</v>
      </c>
      <c r="D3801" s="1" t="n">
        <v>-7.2592219177</v>
      </c>
      <c r="E3801" s="3" t="n">
        <v>4</v>
      </c>
      <c r="F3801" s="2" t="n">
        <v>4</v>
      </c>
      <c r="G3801" s="4" t="n">
        <v>5</v>
      </c>
      <c r="H3801" s="13" t="n"/>
      <c r="I3801" s="15" t="n"/>
      <c r="J3801" s="19" t="n">
        <v>4</v>
      </c>
      <c r="K3801" s="2" t="inlineStr">
        <is>
          <t>marker_178_819564.png</t>
        </is>
      </c>
      <c r="L3801" s="11">
        <f>HYPERLINK("4\1\" &amp; K3801, "Ver Imagen")</f>
        <v/>
      </c>
      <c r="M3801" t="inlineStr">
        <is>
          <t>Moda</t>
        </is>
      </c>
    </row>
    <row r="3802">
      <c r="A3802" t="n">
        <v>3803</v>
      </c>
      <c r="B3802" t="inlineStr">
        <is>
          <t>A-492__11</t>
        </is>
      </c>
      <c r="C3802" s="1" t="n">
        <v>37.2735645812</v>
      </c>
      <c r="D3802" s="1" t="n">
        <v>-6.99126632705</v>
      </c>
      <c r="E3802" s="3" t="n">
        <v>4</v>
      </c>
      <c r="F3802" s="2" t="n">
        <v>4</v>
      </c>
      <c r="G3802" s="4" t="n">
        <v>5</v>
      </c>
      <c r="H3802" s="13" t="n"/>
      <c r="I3802" s="15" t="n"/>
      <c r="J3802" s="19" t="n">
        <v>4</v>
      </c>
      <c r="K3802" s="2" t="inlineStr">
        <is>
          <t>marker_311_821901.png</t>
        </is>
      </c>
      <c r="L3802" s="11">
        <f>HYPERLINK("4\1\" &amp; K3802, "Ver Imagen")</f>
        <v/>
      </c>
      <c r="M3802" t="inlineStr">
        <is>
          <t>Moda</t>
        </is>
      </c>
    </row>
    <row r="3803">
      <c r="A3803" t="n">
        <v>3804</v>
      </c>
      <c r="B3803" t="inlineStr">
        <is>
          <t>A-492__24</t>
        </is>
      </c>
      <c r="C3803" s="1" t="n">
        <v>37.2760551646</v>
      </c>
      <c r="D3803" s="1" t="n">
        <v>-6.99084671106</v>
      </c>
      <c r="E3803" s="3" t="n">
        <v>4</v>
      </c>
      <c r="F3803" s="2" t="n">
        <v>4</v>
      </c>
      <c r="G3803" s="4" t="n">
        <v>5</v>
      </c>
      <c r="H3803" s="13" t="n"/>
      <c r="I3803" s="15" t="n"/>
      <c r="J3803" s="19" t="n">
        <v>4</v>
      </c>
      <c r="K3803" s="2" t="inlineStr">
        <is>
          <t>marker_631_822082.png</t>
        </is>
      </c>
      <c r="L3803" s="11">
        <f>HYPERLINK("4\1\" &amp; K3803, "Ver Imagen")</f>
        <v/>
      </c>
      <c r="M3803" t="inlineStr">
        <is>
          <t>Moda</t>
        </is>
      </c>
    </row>
    <row r="3804">
      <c r="A3804" t="n">
        <v>3805</v>
      </c>
      <c r="B3804" t="inlineStr">
        <is>
          <t>A-492__66</t>
        </is>
      </c>
      <c r="C3804" s="1" t="n">
        <v>37.2800869984</v>
      </c>
      <c r="D3804" s="1" t="n">
        <v>-6.99947813654</v>
      </c>
      <c r="E3804" s="3" t="n">
        <v>5</v>
      </c>
      <c r="F3804" s="2" t="n">
        <v>4</v>
      </c>
      <c r="G3804" s="4" t="n">
        <v>4</v>
      </c>
      <c r="H3804" s="13" t="n"/>
      <c r="I3804" s="15" t="n"/>
      <c r="J3804" s="19" t="n">
        <v>4</v>
      </c>
      <c r="K3804" s="2" t="inlineStr">
        <is>
          <t>marker_769_823218.png</t>
        </is>
      </c>
      <c r="L3804" s="11">
        <f>HYPERLINK("4\1\" &amp; K3804, "Ver Imagen")</f>
        <v/>
      </c>
      <c r="M3804" t="inlineStr">
        <is>
          <t>Moda</t>
        </is>
      </c>
    </row>
    <row r="3805">
      <c r="A3805" t="n">
        <v>3806</v>
      </c>
      <c r="B3805" t="inlineStr">
        <is>
          <t>A-492__68</t>
        </is>
      </c>
      <c r="C3805" s="1" t="n">
        <v>37.2802182378</v>
      </c>
      <c r="D3805" s="1" t="n">
        <v>-6.99992570128</v>
      </c>
      <c r="E3805" s="3" t="n">
        <v>5</v>
      </c>
      <c r="F3805" s="2" t="n">
        <v>4</v>
      </c>
      <c r="G3805" s="4" t="n">
        <v>4</v>
      </c>
      <c r="H3805" s="13" t="n"/>
      <c r="I3805" s="15" t="n"/>
      <c r="J3805" s="19" t="n">
        <v>4</v>
      </c>
      <c r="K3805" s="2" t="inlineStr">
        <is>
          <t>marker_622_823261.png</t>
        </is>
      </c>
      <c r="L3805" s="11">
        <f>HYPERLINK("4\1\" &amp; K3805, "Ver Imagen")</f>
        <v/>
      </c>
      <c r="M3805" t="inlineStr">
        <is>
          <t>Moda</t>
        </is>
      </c>
    </row>
    <row r="3806">
      <c r="A3806" t="n">
        <v>3807</v>
      </c>
      <c r="B3806" t="inlineStr">
        <is>
          <t>A-495R__48</t>
        </is>
      </c>
      <c r="C3806" s="1" t="n">
        <v>37.4539103177</v>
      </c>
      <c r="D3806" s="1" t="n">
        <v>-7.11255780295</v>
      </c>
      <c r="E3806" s="3" t="n">
        <v>5</v>
      </c>
      <c r="F3806" s="2" t="n">
        <v>4</v>
      </c>
      <c r="G3806" s="4" t="n">
        <v>4</v>
      </c>
      <c r="H3806" s="13" t="n"/>
      <c r="I3806" s="15" t="n"/>
      <c r="J3806" s="19" t="n">
        <v>4</v>
      </c>
      <c r="K3806" s="2" t="inlineStr">
        <is>
          <t>marker_553_935683.png</t>
        </is>
      </c>
      <c r="L3806" s="11">
        <f>HYPERLINK("4\1\" &amp; K3806, "Ver Imagen")</f>
        <v/>
      </c>
      <c r="M3806" t="inlineStr">
        <is>
          <t>Moda</t>
        </is>
      </c>
    </row>
    <row r="3807">
      <c r="A3807" t="n">
        <v>3808</v>
      </c>
      <c r="B3807" t="inlineStr">
        <is>
          <t>A-495R__46</t>
        </is>
      </c>
      <c r="C3807" s="1" t="n">
        <v>37.453527905</v>
      </c>
      <c r="D3807" s="1" t="n">
        <v>-7.1123490304</v>
      </c>
      <c r="E3807" s="3" t="n">
        <v>4</v>
      </c>
      <c r="F3807" s="2" t="n">
        <v>4</v>
      </c>
      <c r="G3807" s="4" t="n">
        <v>5</v>
      </c>
      <c r="H3807" s="13" t="n"/>
      <c r="I3807" s="15" t="n"/>
      <c r="J3807" s="19" t="n">
        <v>4</v>
      </c>
      <c r="K3807" s="2" t="inlineStr">
        <is>
          <t>marker_710_935703.png</t>
        </is>
      </c>
      <c r="L3807" s="11">
        <f>HYPERLINK("4\1\" &amp; K3807, "Ver Imagen")</f>
        <v/>
      </c>
      <c r="M3807" t="inlineStr">
        <is>
          <t>Moda</t>
        </is>
      </c>
    </row>
    <row r="3808">
      <c r="A3808" t="n">
        <v>3809</v>
      </c>
      <c r="B3808" t="inlineStr">
        <is>
          <t>A-495R__27</t>
        </is>
      </c>
      <c r="C3808" s="1" t="n">
        <v>37.4500185539</v>
      </c>
      <c r="D3808" s="1" t="n">
        <v>-7.11038754454</v>
      </c>
      <c r="E3808" s="3" t="n">
        <v>4</v>
      </c>
      <c r="F3808" s="2" t="n">
        <v>4</v>
      </c>
      <c r="G3808" s="4" t="n">
        <v>5</v>
      </c>
      <c r="H3808" s="13" t="n"/>
      <c r="I3808" s="15" t="n"/>
      <c r="J3808" s="19" t="n">
        <v>4</v>
      </c>
      <c r="K3808" s="2" t="inlineStr">
        <is>
          <t>marker_662_936653.png</t>
        </is>
      </c>
      <c r="L3808" s="11">
        <f>HYPERLINK("4\1\" &amp; K3808, "Ver Imagen")</f>
        <v/>
      </c>
      <c r="M3808" t="inlineStr">
        <is>
          <t>Moda</t>
        </is>
      </c>
    </row>
    <row r="3809">
      <c r="A3809" t="n">
        <v>3810</v>
      </c>
      <c r="B3809" t="inlineStr">
        <is>
          <t>A-495R__26</t>
        </is>
      </c>
      <c r="C3809" s="1" t="n">
        <v>37.4498299835</v>
      </c>
      <c r="D3809" s="1" t="n">
        <v>-7.11031897976</v>
      </c>
      <c r="E3809" s="3" t="n">
        <v>4</v>
      </c>
      <c r="F3809" s="2" t="n">
        <v>4</v>
      </c>
      <c r="G3809" s="4" t="n">
        <v>5</v>
      </c>
      <c r="H3809" s="13" t="n"/>
      <c r="I3809" s="15" t="n"/>
      <c r="J3809" s="19" t="n">
        <v>4</v>
      </c>
      <c r="K3809" s="2" t="inlineStr">
        <is>
          <t>marker_716_936668.png</t>
        </is>
      </c>
      <c r="L3809" s="11">
        <f>HYPERLINK("4\1\" &amp; K3809, "Ver Imagen")</f>
        <v/>
      </c>
      <c r="M3809" t="inlineStr">
        <is>
          <t>Moda</t>
        </is>
      </c>
    </row>
    <row r="3810">
      <c r="A3810" t="n">
        <v>3811</v>
      </c>
      <c r="B3810" t="inlineStr">
        <is>
          <t>A-495R__25</t>
        </is>
      </c>
      <c r="C3810" s="1" t="n">
        <v>37.4496353845</v>
      </c>
      <c r="D3810" s="1" t="n">
        <v>-7.11022557972</v>
      </c>
      <c r="E3810" s="3" t="n">
        <v>4</v>
      </c>
      <c r="F3810" s="2" t="n">
        <v>4</v>
      </c>
      <c r="G3810" s="4" t="n">
        <v>5</v>
      </c>
      <c r="H3810" s="13" t="n"/>
      <c r="I3810" s="15" t="n"/>
      <c r="J3810" s="19" t="n">
        <v>4</v>
      </c>
      <c r="K3810" s="2" t="inlineStr">
        <is>
          <t>marker_770_936677.png</t>
        </is>
      </c>
      <c r="L3810" s="11">
        <f>HYPERLINK("4\1\" &amp; K3810, "Ver Imagen")</f>
        <v/>
      </c>
      <c r="M3810" t="inlineStr">
        <is>
          <t>Moda</t>
        </is>
      </c>
    </row>
    <row r="3811">
      <c r="A3811" t="n">
        <v>3812</v>
      </c>
      <c r="B3811" t="inlineStr">
        <is>
          <t>A-497__77</t>
        </is>
      </c>
      <c r="C3811" s="1" t="n">
        <v>37.2687896353</v>
      </c>
      <c r="D3811" s="1" t="n">
        <v>-6.97501187966</v>
      </c>
      <c r="E3811" s="3" t="n">
        <v>4</v>
      </c>
      <c r="F3811" s="2" t="n">
        <v>4</v>
      </c>
      <c r="G3811" s="4" t="n">
        <v>5</v>
      </c>
      <c r="H3811" s="13" t="n"/>
      <c r="I3811" s="15" t="n"/>
      <c r="J3811" s="19" t="n">
        <v>4</v>
      </c>
      <c r="K3811" s="2" t="inlineStr">
        <is>
          <t>marker_799_937970.png</t>
        </is>
      </c>
      <c r="L3811" s="11">
        <f>HYPERLINK("4\1\" &amp; K3811, "Ver Imagen")</f>
        <v/>
      </c>
      <c r="M3811" t="inlineStr">
        <is>
          <t>Moda</t>
        </is>
      </c>
    </row>
    <row r="3812">
      <c r="A3812" t="n">
        <v>3813</v>
      </c>
      <c r="B3812" t="inlineStr">
        <is>
          <t>A-497__69</t>
        </is>
      </c>
      <c r="C3812" s="1" t="n">
        <v>37.2683783591</v>
      </c>
      <c r="D3812" s="1" t="n">
        <v>-6.9730776348</v>
      </c>
      <c r="E3812" s="3" t="n">
        <v>4</v>
      </c>
      <c r="F3812" s="2" t="n">
        <v>4</v>
      </c>
      <c r="G3812" s="4" t="n">
        <v>5</v>
      </c>
      <c r="H3812" s="13" t="n"/>
      <c r="I3812" s="15" t="n"/>
      <c r="J3812" s="19" t="n">
        <v>4</v>
      </c>
      <c r="K3812" s="2" t="inlineStr">
        <is>
          <t>marker_449_938053.png</t>
        </is>
      </c>
      <c r="L3812" s="11">
        <f>HYPERLINK("4\1\" &amp; K3812, "Ver Imagen")</f>
        <v/>
      </c>
      <c r="M3812" t="inlineStr">
        <is>
          <t>Moda</t>
        </is>
      </c>
    </row>
    <row r="3813">
      <c r="A3813" t="n">
        <v>3814</v>
      </c>
      <c r="B3813" t="inlineStr">
        <is>
          <t>A-499__74</t>
        </is>
      </c>
      <c r="C3813" s="1" t="n">
        <v>37.4954627367</v>
      </c>
      <c r="D3813" s="1" t="n">
        <v>-7.26922765775</v>
      </c>
      <c r="E3813" s="3" t="n">
        <v>4</v>
      </c>
      <c r="F3813" s="2" t="n">
        <v>4</v>
      </c>
      <c r="G3813" s="4" t="n">
        <v>5</v>
      </c>
      <c r="H3813" s="13" t="n"/>
      <c r="I3813" s="15" t="n"/>
      <c r="J3813" s="19" t="n">
        <v>4</v>
      </c>
      <c r="K3813" s="2" t="inlineStr">
        <is>
          <t>marker_832_789085.png</t>
        </is>
      </c>
      <c r="L3813" s="11">
        <f>HYPERLINK("4\1\" &amp; K3813, "Ver Imagen")</f>
        <v/>
      </c>
      <c r="M3813" t="inlineStr">
        <is>
          <t>Moda</t>
        </is>
      </c>
    </row>
    <row r="3814">
      <c r="A3814" t="n">
        <v>3815</v>
      </c>
      <c r="B3814" t="inlineStr">
        <is>
          <t>A-490__7</t>
        </is>
      </c>
      <c r="C3814" s="1" t="n">
        <v>37.4471411265</v>
      </c>
      <c r="D3814" s="1" t="n">
        <v>-7.12800797893</v>
      </c>
      <c r="E3814" s="3" t="n">
        <v>4</v>
      </c>
      <c r="F3814" s="2" t="n">
        <v>4</v>
      </c>
      <c r="G3814" s="4" t="n">
        <v>3</v>
      </c>
      <c r="H3814" s="13" t="n"/>
      <c r="I3814" s="15" t="n"/>
      <c r="J3814" s="19" t="n">
        <v>4</v>
      </c>
      <c r="K3814" s="2" t="inlineStr">
        <is>
          <t>marker_474_724942.png</t>
        </is>
      </c>
      <c r="L3814" s="11">
        <f>HYPERLINK("4\1\" &amp; K3814, "Ver Imagen")</f>
        <v/>
      </c>
      <c r="M3814" t="inlineStr">
        <is>
          <t>Moda</t>
        </is>
      </c>
    </row>
    <row r="3815">
      <c r="A3815" t="n">
        <v>3816</v>
      </c>
      <c r="B3815" t="inlineStr">
        <is>
          <t>A-490__260</t>
        </is>
      </c>
      <c r="C3815" s="1" t="n">
        <v>37.4669439113</v>
      </c>
      <c r="D3815" s="1" t="n">
        <v>-7.18398060366</v>
      </c>
      <c r="E3815" s="3" t="n">
        <v>3</v>
      </c>
      <c r="F3815" s="2" t="n">
        <v>4</v>
      </c>
      <c r="G3815" s="4" t="n">
        <v>4</v>
      </c>
      <c r="H3815" s="13" t="n"/>
      <c r="I3815" s="15" t="n"/>
      <c r="J3815" s="19" t="n">
        <v>4</v>
      </c>
      <c r="K3815" s="2" t="inlineStr">
        <is>
          <t>marker_466_749698.png</t>
        </is>
      </c>
      <c r="L3815" s="11">
        <f>HYPERLINK("4\1\" &amp; K3815, "Ver Imagen")</f>
        <v/>
      </c>
      <c r="M3815" t="inlineStr">
        <is>
          <t>Moda</t>
        </is>
      </c>
    </row>
    <row r="3816">
      <c r="A3816" t="n">
        <v>3817</v>
      </c>
      <c r="B3816" t="inlineStr">
        <is>
          <t>A-492__10</t>
        </is>
      </c>
      <c r="C3816" s="1" t="n">
        <v>37.2734104405</v>
      </c>
      <c r="D3816" s="1" t="n">
        <v>-6.99135378517</v>
      </c>
      <c r="E3816" s="3" t="n">
        <v>3</v>
      </c>
      <c r="F3816" s="2" t="n">
        <v>4</v>
      </c>
      <c r="G3816" s="4" t="n">
        <v>4</v>
      </c>
      <c r="H3816" s="13" t="n"/>
      <c r="I3816" s="15" t="n"/>
      <c r="J3816" s="19" t="n">
        <v>4</v>
      </c>
      <c r="K3816" s="2" t="inlineStr">
        <is>
          <t>marker_861_821884.png</t>
        </is>
      </c>
      <c r="L3816" s="11">
        <f>HYPERLINK("4\1\" &amp; K3816, "Ver Imagen")</f>
        <v/>
      </c>
      <c r="M3816" t="inlineStr">
        <is>
          <t>Moda</t>
        </is>
      </c>
    </row>
    <row r="3817">
      <c r="A3817" t="n">
        <v>3818</v>
      </c>
      <c r="B3817" t="inlineStr">
        <is>
          <t>A-492__18</t>
        </is>
      </c>
      <c r="C3817" s="1" t="n">
        <v>37.2749636274</v>
      </c>
      <c r="D3817" s="1" t="n">
        <v>-6.99119850761</v>
      </c>
      <c r="E3817" s="3" t="n">
        <v>3</v>
      </c>
      <c r="F3817" s="2" t="n">
        <v>4</v>
      </c>
      <c r="G3817" s="4" t="n">
        <v>4</v>
      </c>
      <c r="H3817" s="13" t="n"/>
      <c r="I3817" s="15" t="n"/>
      <c r="J3817" s="19" t="n">
        <v>4</v>
      </c>
      <c r="K3817" s="2" t="inlineStr">
        <is>
          <t>marker_494_821998.png</t>
        </is>
      </c>
      <c r="L3817" s="11">
        <f>HYPERLINK("4\1\" &amp; K3817, "Ver Imagen")</f>
        <v/>
      </c>
      <c r="M3817" t="inlineStr">
        <is>
          <t>Moda</t>
        </is>
      </c>
    </row>
    <row r="3818">
      <c r="A3818" t="n">
        <v>3819</v>
      </c>
      <c r="B3818" t="inlineStr">
        <is>
          <t>A-492__21</t>
        </is>
      </c>
      <c r="C3818" s="1" t="n">
        <v>37.2755935563</v>
      </c>
      <c r="D3818" s="1" t="n">
        <v>-6.99112765106</v>
      </c>
      <c r="E3818" s="3" t="n">
        <v>3</v>
      </c>
      <c r="F3818" s="2" t="n">
        <v>4</v>
      </c>
      <c r="G3818" s="4" t="n">
        <v>4</v>
      </c>
      <c r="H3818" s="13" t="n"/>
      <c r="I3818" s="15" t="n"/>
      <c r="J3818" s="19" t="n">
        <v>4</v>
      </c>
      <c r="K3818" s="2" t="inlineStr">
        <is>
          <t>marker_424_822039.png</t>
        </is>
      </c>
      <c r="L3818" s="11">
        <f>HYPERLINK("4\1\" &amp; K3818, "Ver Imagen")</f>
        <v/>
      </c>
      <c r="M3818" t="inlineStr">
        <is>
          <t>Moda</t>
        </is>
      </c>
    </row>
    <row r="3819">
      <c r="A3819" t="n">
        <v>3820</v>
      </c>
      <c r="B3819" t="inlineStr">
        <is>
          <t>A-492__28</t>
        </is>
      </c>
      <c r="C3819" s="1" t="n">
        <v>37.2765366614</v>
      </c>
      <c r="D3819" s="1" t="n">
        <v>-6.99138595047</v>
      </c>
      <c r="E3819" s="3" t="n">
        <v>3</v>
      </c>
      <c r="F3819" s="2" t="n">
        <v>4</v>
      </c>
      <c r="G3819" s="4" t="n">
        <v>4</v>
      </c>
      <c r="H3819" s="13" t="n"/>
      <c r="I3819" s="15" t="n"/>
      <c r="J3819" s="19" t="n">
        <v>4</v>
      </c>
      <c r="K3819" s="2" t="inlineStr">
        <is>
          <t>marker_328_822262.png</t>
        </is>
      </c>
      <c r="L3819" s="11">
        <f>HYPERLINK("4\1\" &amp; K3819, "Ver Imagen")</f>
        <v/>
      </c>
      <c r="M3819" t="inlineStr">
        <is>
          <t>Moda</t>
        </is>
      </c>
    </row>
    <row r="3820">
      <c r="A3820" t="n">
        <v>3821</v>
      </c>
      <c r="B3820" t="inlineStr">
        <is>
          <t>A-492__30</t>
        </is>
      </c>
      <c r="C3820" s="1" t="n">
        <v>37.2769009565</v>
      </c>
      <c r="D3820" s="1" t="n">
        <v>-6.99167233082</v>
      </c>
      <c r="E3820" s="3" t="n">
        <v>3</v>
      </c>
      <c r="F3820" s="2" t="n">
        <v>4</v>
      </c>
      <c r="G3820" s="4" t="n">
        <v>4</v>
      </c>
      <c r="H3820" s="13" t="n"/>
      <c r="I3820" s="15" t="n"/>
      <c r="J3820" s="19" t="n">
        <v>4</v>
      </c>
      <c r="K3820" s="2" t="inlineStr">
        <is>
          <t>marker_630_822310.png</t>
        </is>
      </c>
      <c r="L3820" s="11">
        <f>HYPERLINK("4\1\" &amp; K3820, "Ver Imagen")</f>
        <v/>
      </c>
      <c r="M3820" t="inlineStr">
        <is>
          <t>Moda</t>
        </is>
      </c>
    </row>
    <row r="3821">
      <c r="A3821" t="n">
        <v>3822</v>
      </c>
      <c r="B3821" t="inlineStr">
        <is>
          <t>A-492__35</t>
        </is>
      </c>
      <c r="C3821" s="1" t="n">
        <v>37.2777309876</v>
      </c>
      <c r="D3821" s="1" t="n">
        <v>-6.99240258006</v>
      </c>
      <c r="E3821" s="3" t="n">
        <v>4</v>
      </c>
      <c r="F3821" s="2" t="n">
        <v>4</v>
      </c>
      <c r="G3821" s="4" t="n">
        <v>3</v>
      </c>
      <c r="H3821" s="13" t="n"/>
      <c r="I3821" s="15" t="n"/>
      <c r="J3821" s="19" t="n">
        <v>4</v>
      </c>
      <c r="K3821" s="2" t="inlineStr">
        <is>
          <t>marker_888_822655.png</t>
        </is>
      </c>
      <c r="L3821" s="11">
        <f>HYPERLINK("4\1\" &amp; K3821, "Ver Imagen")</f>
        <v/>
      </c>
      <c r="M3821" t="inlineStr">
        <is>
          <t>Moda</t>
        </is>
      </c>
    </row>
    <row r="3822">
      <c r="A3822" t="n">
        <v>3823</v>
      </c>
      <c r="B3822" t="inlineStr">
        <is>
          <t>A-492__90</t>
        </is>
      </c>
      <c r="C3822" s="1" t="n">
        <v>37.2803935102</v>
      </c>
      <c r="D3822" s="1" t="n">
        <v>-7.00499591228</v>
      </c>
      <c r="E3822" s="3" t="n">
        <v>3</v>
      </c>
      <c r="F3822" s="2" t="n">
        <v>4</v>
      </c>
      <c r="G3822" s="4" t="n">
        <v>4</v>
      </c>
      <c r="H3822" s="13" t="n"/>
      <c r="I3822" s="15" t="n"/>
      <c r="J3822" s="19" t="n">
        <v>4</v>
      </c>
      <c r="K3822" s="2" t="inlineStr">
        <is>
          <t>marker_503_823617.png</t>
        </is>
      </c>
      <c r="L3822" s="11">
        <f>HYPERLINK("4\1\" &amp; K3822, "Ver Imagen")</f>
        <v/>
      </c>
      <c r="M3822" t="inlineStr">
        <is>
          <t>Moda</t>
        </is>
      </c>
    </row>
    <row r="3823">
      <c r="A3823" t="n">
        <v>3824</v>
      </c>
      <c r="B3823" t="inlineStr">
        <is>
          <t>A-492__460</t>
        </is>
      </c>
      <c r="C3823" s="1" t="n">
        <v>37.3160920505</v>
      </c>
      <c r="D3823" s="1" t="n">
        <v>-7.06917468918</v>
      </c>
      <c r="E3823" s="3" t="n">
        <v>3</v>
      </c>
      <c r="F3823" s="2" t="n">
        <v>4</v>
      </c>
      <c r="G3823" s="4" t="n">
        <v>4</v>
      </c>
      <c r="H3823" s="13" t="n"/>
      <c r="I3823" s="15" t="n"/>
      <c r="J3823" s="19" t="n">
        <v>4</v>
      </c>
      <c r="K3823" s="2" t="inlineStr">
        <is>
          <t>marker_995_839929.png</t>
        </is>
      </c>
      <c r="L3823" s="11">
        <f>HYPERLINK("4\1\" &amp; K3823, "Ver Imagen")</f>
        <v/>
      </c>
      <c r="M3823" t="inlineStr">
        <is>
          <t>Moda</t>
        </is>
      </c>
    </row>
    <row r="3824">
      <c r="A3824" t="n">
        <v>3825</v>
      </c>
      <c r="B3824" t="inlineStr">
        <is>
          <t>A-495R__65</t>
        </is>
      </c>
      <c r="C3824" s="1" t="n">
        <v>37.457163583</v>
      </c>
      <c r="D3824" s="1" t="n">
        <v>-7.11396894629</v>
      </c>
      <c r="E3824" s="3" t="n">
        <v>3</v>
      </c>
      <c r="F3824" s="2" t="n">
        <v>4</v>
      </c>
      <c r="G3824" s="4" t="n">
        <v>4</v>
      </c>
      <c r="H3824" s="13" t="n"/>
      <c r="I3824" s="15" t="n"/>
      <c r="J3824" s="19" t="n">
        <v>4</v>
      </c>
      <c r="K3824" s="2" t="inlineStr">
        <is>
          <t>marker_414_935386.png</t>
        </is>
      </c>
      <c r="L3824" s="11">
        <f>HYPERLINK("4\1\" &amp; K3824, "Ver Imagen")</f>
        <v/>
      </c>
      <c r="M3824" t="inlineStr">
        <is>
          <t>Moda</t>
        </is>
      </c>
    </row>
    <row r="3825">
      <c r="A3825" t="n">
        <v>3826</v>
      </c>
      <c r="B3825" t="inlineStr">
        <is>
          <t>A-495R__64</t>
        </is>
      </c>
      <c r="C3825" s="1" t="n">
        <v>37.4569414453</v>
      </c>
      <c r="D3825" s="1" t="n">
        <v>-7.11388767003</v>
      </c>
      <c r="E3825" s="3" t="n">
        <v>3</v>
      </c>
      <c r="F3825" s="2" t="n">
        <v>4</v>
      </c>
      <c r="G3825" s="4" t="n">
        <v>4</v>
      </c>
      <c r="H3825" s="13" t="n"/>
      <c r="I3825" s="15" t="n"/>
      <c r="J3825" s="19" t="n">
        <v>4</v>
      </c>
      <c r="K3825" s="2" t="inlineStr">
        <is>
          <t>marker_576_935397.png</t>
        </is>
      </c>
      <c r="L3825" s="11">
        <f>HYPERLINK("4\1\" &amp; K3825, "Ver Imagen")</f>
        <v/>
      </c>
      <c r="M3825" t="inlineStr">
        <is>
          <t>Moda</t>
        </is>
      </c>
    </row>
    <row r="3826">
      <c r="A3826" t="n">
        <v>3827</v>
      </c>
      <c r="B3826" t="inlineStr">
        <is>
          <t>A-495R__61</t>
        </is>
      </c>
      <c r="C3826" s="1" t="n">
        <v>37.4563646879</v>
      </c>
      <c r="D3826" s="1" t="n">
        <v>-7.11367709812</v>
      </c>
      <c r="E3826" s="3" t="n">
        <v>4</v>
      </c>
      <c r="F3826" s="2" t="n">
        <v>4</v>
      </c>
      <c r="G3826" s="4" t="n">
        <v>3</v>
      </c>
      <c r="H3826" s="13" t="n"/>
      <c r="I3826" s="15" t="n"/>
      <c r="J3826" s="19" t="n">
        <v>4</v>
      </c>
      <c r="K3826" s="2" t="inlineStr">
        <is>
          <t>marker_725_935511.png</t>
        </is>
      </c>
      <c r="L3826" s="11">
        <f>HYPERLINK("4\1\" &amp; K3826, "Ver Imagen")</f>
        <v/>
      </c>
      <c r="M3826" t="inlineStr">
        <is>
          <t>Moda</t>
        </is>
      </c>
    </row>
    <row r="3827">
      <c r="A3827" t="n">
        <v>3828</v>
      </c>
      <c r="B3827" t="inlineStr">
        <is>
          <t>A-495R__59</t>
        </is>
      </c>
      <c r="C3827" s="1" t="n">
        <v>37.4559509523</v>
      </c>
      <c r="D3827" s="1" t="n">
        <v>-7.11352607637</v>
      </c>
      <c r="E3827" s="3" t="n">
        <v>4</v>
      </c>
      <c r="F3827" s="2" t="n">
        <v>4</v>
      </c>
      <c r="G3827" s="4" t="n">
        <v>3</v>
      </c>
      <c r="H3827" s="13" t="n"/>
      <c r="I3827" s="15" t="n"/>
      <c r="J3827" s="19" t="n">
        <v>4</v>
      </c>
      <c r="K3827" s="2" t="inlineStr">
        <is>
          <t>marker_778_935563.png</t>
        </is>
      </c>
      <c r="L3827" s="11">
        <f>HYPERLINK("4\1\" &amp; K3827, "Ver Imagen")</f>
        <v/>
      </c>
      <c r="M3827" t="inlineStr">
        <is>
          <t>Moda</t>
        </is>
      </c>
    </row>
    <row r="3828">
      <c r="A3828" t="n">
        <v>3829</v>
      </c>
      <c r="B3828" t="inlineStr">
        <is>
          <t>A-495R__45</t>
        </is>
      </c>
      <c r="C3828" s="1" t="n">
        <v>37.4533164702</v>
      </c>
      <c r="D3828" s="1" t="n">
        <v>-7.11223601262</v>
      </c>
      <c r="E3828" s="3" t="n">
        <v>3</v>
      </c>
      <c r="F3828" s="2" t="n">
        <v>4</v>
      </c>
      <c r="G3828" s="4" t="n">
        <v>4</v>
      </c>
      <c r="H3828" s="13" t="n"/>
      <c r="I3828" s="15" t="n"/>
      <c r="J3828" s="19" t="n">
        <v>4</v>
      </c>
      <c r="K3828" s="2" t="inlineStr">
        <is>
          <t>marker_611_935713.png</t>
        </is>
      </c>
      <c r="L3828" s="11">
        <f>HYPERLINK("4\1\" &amp; K3828, "Ver Imagen")</f>
        <v/>
      </c>
      <c r="M3828" t="inlineStr">
        <is>
          <t>Moda</t>
        </is>
      </c>
    </row>
    <row r="3829">
      <c r="A3829" t="n">
        <v>3830</v>
      </c>
      <c r="B3829" t="inlineStr">
        <is>
          <t>A-495R__43</t>
        </is>
      </c>
      <c r="C3829" s="1" t="n">
        <v>37.4529610856</v>
      </c>
      <c r="D3829" s="1" t="n">
        <v>-7.11204652218</v>
      </c>
      <c r="E3829" s="3" t="n">
        <v>3</v>
      </c>
      <c r="F3829" s="2" t="n">
        <v>4</v>
      </c>
      <c r="G3829" s="4" t="n">
        <v>4</v>
      </c>
      <c r="H3829" s="13" t="n"/>
      <c r="I3829" s="15" t="n"/>
      <c r="J3829" s="19" t="n">
        <v>4</v>
      </c>
      <c r="K3829" s="2" t="inlineStr">
        <is>
          <t>marker_117_935730.png</t>
        </is>
      </c>
      <c r="L3829" s="11">
        <f>HYPERLINK("4\1\" &amp; K3829, "Ver Imagen")</f>
        <v/>
      </c>
      <c r="M3829" t="inlineStr">
        <is>
          <t>Moda</t>
        </is>
      </c>
    </row>
    <row r="3830">
      <c r="A3830" t="n">
        <v>3831</v>
      </c>
      <c r="B3830" t="inlineStr">
        <is>
          <t>A-495R__39</t>
        </is>
      </c>
      <c r="C3830" s="1" t="n">
        <v>37.4522129715</v>
      </c>
      <c r="D3830" s="1" t="n">
        <v>-7.11163461714</v>
      </c>
      <c r="E3830" s="3" t="n">
        <v>3</v>
      </c>
      <c r="F3830" s="2" t="n">
        <v>4</v>
      </c>
      <c r="G3830" s="4" t="n">
        <v>4</v>
      </c>
      <c r="H3830" s="13" t="n"/>
      <c r="I3830" s="15" t="n"/>
      <c r="J3830" s="19" t="n">
        <v>4</v>
      </c>
      <c r="K3830" s="2" t="inlineStr">
        <is>
          <t>marker_931_936532.png</t>
        </is>
      </c>
      <c r="L3830" s="11">
        <f>HYPERLINK("4\1\" &amp; K3830, "Ver Imagen")</f>
        <v/>
      </c>
      <c r="M3830" t="inlineStr">
        <is>
          <t>Moda</t>
        </is>
      </c>
    </row>
    <row r="3831">
      <c r="A3831" t="n">
        <v>3832</v>
      </c>
      <c r="B3831" t="inlineStr">
        <is>
          <t>A-495R__22</t>
        </is>
      </c>
      <c r="C3831" s="1" t="n">
        <v>37.4490810563</v>
      </c>
      <c r="D3831" s="1" t="n">
        <v>-7.10991962383</v>
      </c>
      <c r="E3831" s="3" t="n">
        <v>3</v>
      </c>
      <c r="F3831" s="2" t="n">
        <v>4</v>
      </c>
      <c r="G3831" s="4" t="n">
        <v>4</v>
      </c>
      <c r="H3831" s="13" t="n"/>
      <c r="I3831" s="15" t="n"/>
      <c r="J3831" s="19" t="n">
        <v>4</v>
      </c>
      <c r="K3831" s="2" t="inlineStr">
        <is>
          <t>marker_940_936708.png</t>
        </is>
      </c>
      <c r="L3831" s="11">
        <f>HYPERLINK("4\1\" &amp; K3831, "Ver Imagen")</f>
        <v/>
      </c>
      <c r="M3831" t="inlineStr">
        <is>
          <t>Moda</t>
        </is>
      </c>
    </row>
    <row r="3832">
      <c r="A3832" t="n">
        <v>3833</v>
      </c>
      <c r="B3832" t="inlineStr">
        <is>
          <t>A-497__64</t>
        </is>
      </c>
      <c r="C3832" s="1" t="n">
        <v>37.2681638795</v>
      </c>
      <c r="D3832" s="1" t="n">
        <v>-6.9718693588</v>
      </c>
      <c r="E3832" s="3" t="n">
        <v>4</v>
      </c>
      <c r="F3832" s="2" t="n">
        <v>4</v>
      </c>
      <c r="G3832" s="4" t="n">
        <v>3</v>
      </c>
      <c r="H3832" s="13" t="n"/>
      <c r="I3832" s="15" t="n"/>
      <c r="J3832" s="19" t="n">
        <v>4</v>
      </c>
      <c r="K3832" s="2" t="inlineStr">
        <is>
          <t>marker_960_938215.png</t>
        </is>
      </c>
      <c r="L3832" s="11">
        <f>HYPERLINK("4\1\" &amp; K3832, "Ver Imagen")</f>
        <v/>
      </c>
      <c r="M3832" t="inlineStr">
        <is>
          <t>Moda</t>
        </is>
      </c>
    </row>
    <row r="3833">
      <c r="A3833" t="n">
        <v>3834</v>
      </c>
      <c r="B3833" t="inlineStr">
        <is>
          <t>A-497__6</t>
        </is>
      </c>
      <c r="C3833" s="1" t="n">
        <v>37.2666553983</v>
      </c>
      <c r="D3833" s="1" t="n">
        <v>-6.95746328455</v>
      </c>
      <c r="E3833" s="3" t="n">
        <v>3</v>
      </c>
      <c r="F3833" s="2" t="n">
        <v>4</v>
      </c>
      <c r="G3833" s="4" t="n">
        <v>4</v>
      </c>
      <c r="H3833" s="13" t="n"/>
      <c r="I3833" s="15" t="n"/>
      <c r="J3833" s="19" t="n">
        <v>4</v>
      </c>
      <c r="K3833" s="2" t="inlineStr">
        <is>
          <t>marker_854_944017.png</t>
        </is>
      </c>
      <c r="L3833" s="11">
        <f>HYPERLINK("4\1\" &amp; K3833, "Ver Imagen")</f>
        <v/>
      </c>
      <c r="M3833" t="inlineStr">
        <is>
          <t>Moda</t>
        </is>
      </c>
    </row>
    <row r="3834">
      <c r="A3834" t="n">
        <v>3835</v>
      </c>
      <c r="B3834" t="inlineStr">
        <is>
          <t>A-5052__402</t>
        </is>
      </c>
      <c r="C3834" s="1" t="n">
        <v>37.2045801263</v>
      </c>
      <c r="D3834" s="1" t="n">
        <v>-7.02800256004</v>
      </c>
      <c r="E3834" s="3" t="n">
        <v>5</v>
      </c>
      <c r="F3834" s="2" t="n">
        <v>4</v>
      </c>
      <c r="G3834" s="4" t="n">
        <v>4</v>
      </c>
      <c r="H3834" s="13" t="n"/>
      <c r="I3834" s="15" t="n"/>
      <c r="J3834" s="19" t="n">
        <v>4</v>
      </c>
      <c r="K3834" s="2" t="inlineStr">
        <is>
          <t>marker_683_962690.png</t>
        </is>
      </c>
      <c r="L3834" s="11">
        <f>HYPERLINK("4\1\" &amp; K3834, "Ver Imagen")</f>
        <v/>
      </c>
      <c r="M3834" t="inlineStr">
        <is>
          <t>Moda</t>
        </is>
      </c>
    </row>
    <row r="3835">
      <c r="A3835" t="n">
        <v>3836</v>
      </c>
      <c r="B3835" t="inlineStr">
        <is>
          <t>A-5053__263</t>
        </is>
      </c>
      <c r="C3835" s="1" t="n">
        <v>37.2685462403</v>
      </c>
      <c r="D3835" s="1" t="n">
        <v>-7.13695997312</v>
      </c>
      <c r="E3835" s="3" t="n">
        <v>5</v>
      </c>
      <c r="F3835" s="2" t="n">
        <v>4</v>
      </c>
      <c r="G3835" s="4" t="n">
        <v>4</v>
      </c>
      <c r="H3835" s="13" t="n"/>
      <c r="I3835" s="15" t="n"/>
      <c r="J3835" s="19" t="n">
        <v>4</v>
      </c>
      <c r="K3835" s="2" t="inlineStr">
        <is>
          <t>marker_142_965225.png</t>
        </is>
      </c>
      <c r="L3835" s="11">
        <f>HYPERLINK("4\1\" &amp; K3835, "Ver Imagen")</f>
        <v/>
      </c>
      <c r="M3835" t="inlineStr">
        <is>
          <t>Moda</t>
        </is>
      </c>
    </row>
    <row r="3836">
      <c r="A3836" t="n">
        <v>3837</v>
      </c>
      <c r="B3836" t="inlineStr">
        <is>
          <t>A-5053__259</t>
        </is>
      </c>
      <c r="C3836" s="1" t="n">
        <v>37.2683262556</v>
      </c>
      <c r="D3836" s="1" t="n">
        <v>-7.1359682189</v>
      </c>
      <c r="E3836" s="3" t="n">
        <v>5</v>
      </c>
      <c r="F3836" s="2" t="n">
        <v>4</v>
      </c>
      <c r="G3836" s="4" t="n">
        <v>4</v>
      </c>
      <c r="H3836" s="13" t="n"/>
      <c r="I3836" s="15" t="n"/>
      <c r="J3836" s="19" t="n">
        <v>4</v>
      </c>
      <c r="K3836" s="2" t="inlineStr">
        <is>
          <t>marker_461_965265.png</t>
        </is>
      </c>
      <c r="L3836" s="11">
        <f>HYPERLINK("4\1\" &amp; K3836, "Ver Imagen")</f>
        <v/>
      </c>
      <c r="M3836" t="inlineStr">
        <is>
          <t>Moda</t>
        </is>
      </c>
    </row>
    <row r="3837">
      <c r="A3837" t="n">
        <v>3838</v>
      </c>
      <c r="B3837" t="inlineStr">
        <is>
          <t>A-5053__255</t>
        </is>
      </c>
      <c r="C3837" s="1" t="n">
        <v>37.2680536866</v>
      </c>
      <c r="D3837" s="1" t="n">
        <v>-7.13502918714</v>
      </c>
      <c r="E3837" s="3" t="n">
        <v>5</v>
      </c>
      <c r="F3837" s="2" t="n">
        <v>4</v>
      </c>
      <c r="G3837" s="4" t="n">
        <v>4</v>
      </c>
      <c r="H3837" s="13" t="n"/>
      <c r="I3837" s="15" t="n"/>
      <c r="J3837" s="19" t="n">
        <v>4</v>
      </c>
      <c r="K3837" s="2" t="inlineStr">
        <is>
          <t>marker_986_965305.png</t>
        </is>
      </c>
      <c r="L3837" s="11">
        <f>HYPERLINK("4\1\" &amp; K3837, "Ver Imagen")</f>
        <v/>
      </c>
      <c r="M3837" t="inlineStr">
        <is>
          <t>Moda</t>
        </is>
      </c>
    </row>
    <row r="3838">
      <c r="A3838" t="n">
        <v>3839</v>
      </c>
      <c r="B3838" t="inlineStr">
        <is>
          <t>A-5053__234</t>
        </is>
      </c>
      <c r="C3838" s="1" t="n">
        <v>37.2646664241</v>
      </c>
      <c r="D3838" s="1" t="n">
        <v>-7.13200912549</v>
      </c>
      <c r="E3838" s="3" t="n">
        <v>5</v>
      </c>
      <c r="F3838" s="2" t="n">
        <v>4</v>
      </c>
      <c r="G3838" s="4" t="n">
        <v>4</v>
      </c>
      <c r="H3838" s="13" t="n"/>
      <c r="I3838" s="15" t="n"/>
      <c r="J3838" s="19" t="n">
        <v>4</v>
      </c>
      <c r="K3838" s="2" t="inlineStr">
        <is>
          <t>marker_831_965557.png</t>
        </is>
      </c>
      <c r="L3838" s="11">
        <f>HYPERLINK("4\1\" &amp; K3838, "Ver Imagen")</f>
        <v/>
      </c>
      <c r="M3838" t="inlineStr">
        <is>
          <t>Moda</t>
        </is>
      </c>
    </row>
    <row r="3839">
      <c r="A3839" t="n">
        <v>3840</v>
      </c>
      <c r="B3839" t="inlineStr">
        <is>
          <t>A-5059__82</t>
        </is>
      </c>
      <c r="C3839" s="1" t="n">
        <v>37.2212295051</v>
      </c>
      <c r="D3839" s="1" t="n">
        <v>-7.05390429255</v>
      </c>
      <c r="E3839" s="3" t="n">
        <v>4</v>
      </c>
      <c r="F3839" s="2" t="n">
        <v>4</v>
      </c>
      <c r="G3839" s="4" t="n">
        <v>3</v>
      </c>
      <c r="H3839" s="13" t="n"/>
      <c r="I3839" s="15" t="n"/>
      <c r="J3839" s="19" t="n">
        <v>4</v>
      </c>
      <c r="K3839" s="2" t="inlineStr">
        <is>
          <t>marker_387_378708.png</t>
        </is>
      </c>
      <c r="L3839" s="11">
        <f>HYPERLINK("4\1\" &amp; K3839, "Ver Imagen")</f>
        <v/>
      </c>
      <c r="M3839" t="inlineStr">
        <is>
          <t>Moda</t>
        </is>
      </c>
    </row>
    <row r="3840">
      <c r="A3840" t="n">
        <v>3841</v>
      </c>
      <c r="B3840" t="inlineStr">
        <is>
          <t>A-495__119</t>
        </is>
      </c>
      <c r="C3840" s="1" t="n">
        <v>37.4354266087</v>
      </c>
      <c r="D3840" s="1" t="n">
        <v>-7.0732497807</v>
      </c>
      <c r="E3840" s="3" t="n">
        <v>4</v>
      </c>
      <c r="F3840" s="2" t="n">
        <v>4</v>
      </c>
      <c r="G3840" s="4" t="n">
        <v>5</v>
      </c>
      <c r="H3840" s="13" t="n"/>
      <c r="I3840" s="15" t="n"/>
      <c r="J3840" s="19" t="n">
        <v>4</v>
      </c>
      <c r="K3840" s="2" t="inlineStr">
        <is>
          <t>marker_349_382358.png</t>
        </is>
      </c>
      <c r="L3840" s="11">
        <f>HYPERLINK("4\1\" &amp; K3840, "Ver Imagen")</f>
        <v/>
      </c>
      <c r="M3840" t="inlineStr">
        <is>
          <t>Moda</t>
        </is>
      </c>
    </row>
    <row r="3841">
      <c r="A3841" t="n">
        <v>3842</v>
      </c>
      <c r="B3841" t="inlineStr">
        <is>
          <t>A-495__124</t>
        </is>
      </c>
      <c r="C3841" s="1" t="n">
        <v>37.435318247</v>
      </c>
      <c r="D3841" s="1" t="n">
        <v>-7.07198944997</v>
      </c>
      <c r="E3841" s="3" t="n">
        <v>4</v>
      </c>
      <c r="F3841" s="2" t="n">
        <v>4</v>
      </c>
      <c r="G3841" s="4" t="n">
        <v>3</v>
      </c>
      <c r="H3841" s="13" t="n"/>
      <c r="I3841" s="15" t="n"/>
      <c r="J3841" s="19" t="n">
        <v>4</v>
      </c>
      <c r="K3841" s="2" t="inlineStr">
        <is>
          <t>marker_385_382412.png</t>
        </is>
      </c>
      <c r="L3841" s="11">
        <f>HYPERLINK("4\1\" &amp; K3841, "Ver Imagen")</f>
        <v/>
      </c>
      <c r="M3841" t="inlineStr">
        <is>
          <t>Moda</t>
        </is>
      </c>
    </row>
    <row r="3842">
      <c r="A3842" t="n">
        <v>3843</v>
      </c>
      <c r="B3842" t="inlineStr">
        <is>
          <t>A-495__126</t>
        </is>
      </c>
      <c r="C3842" s="1" t="n">
        <v>37.4352710353</v>
      </c>
      <c r="D3842" s="1" t="n">
        <v>-7.07149923028</v>
      </c>
      <c r="E3842" s="3" t="n">
        <v>5</v>
      </c>
      <c r="F3842" s="2" t="n">
        <v>4</v>
      </c>
      <c r="G3842" s="4" t="n">
        <v>4</v>
      </c>
      <c r="H3842" s="13" t="n"/>
      <c r="I3842" s="15" t="n"/>
      <c r="J3842" s="19" t="n">
        <v>4</v>
      </c>
      <c r="K3842" s="2" t="inlineStr">
        <is>
          <t>marker_487_382433.png</t>
        </is>
      </c>
      <c r="L3842" s="11">
        <f>HYPERLINK("4\1\" &amp; K3842, "Ver Imagen")</f>
        <v/>
      </c>
      <c r="M3842" t="inlineStr">
        <is>
          <t>Moda</t>
        </is>
      </c>
    </row>
    <row r="3843">
      <c r="A3843" t="n">
        <v>3844</v>
      </c>
      <c r="B3843" t="inlineStr">
        <is>
          <t>A-5058__279</t>
        </is>
      </c>
      <c r="C3843" s="1" t="n">
        <v>37.2439486782</v>
      </c>
      <c r="D3843" s="1" t="n">
        <v>-7.08986265266</v>
      </c>
      <c r="E3843" s="3" t="n">
        <v>3</v>
      </c>
      <c r="F3843" s="2" t="n">
        <v>4</v>
      </c>
      <c r="G3843" s="4" t="n">
        <v>4</v>
      </c>
      <c r="H3843" s="13" t="n"/>
      <c r="I3843" s="15" t="n"/>
      <c r="J3843" s="19" t="n">
        <v>4</v>
      </c>
      <c r="K3843" s="2" t="inlineStr">
        <is>
          <t>marker_656_384024.png</t>
        </is>
      </c>
      <c r="L3843" s="11">
        <f>HYPERLINK("4\1\" &amp; K3843, "Ver Imagen")</f>
        <v/>
      </c>
      <c r="M3843" t="inlineStr">
        <is>
          <t>Moda</t>
        </is>
      </c>
    </row>
    <row r="3844">
      <c r="A3844" t="n">
        <v>3845</v>
      </c>
      <c r="B3844" t="inlineStr">
        <is>
          <t>A-5058__297</t>
        </is>
      </c>
      <c r="C3844" s="1" t="n">
        <v>37.2454287709</v>
      </c>
      <c r="D3844" s="1" t="n">
        <v>-7.09396760725</v>
      </c>
      <c r="E3844" s="3" t="n">
        <v>5</v>
      </c>
      <c r="F3844" s="2" t="n">
        <v>4</v>
      </c>
      <c r="G3844" s="4" t="n">
        <v>4</v>
      </c>
      <c r="H3844" s="13" t="n"/>
      <c r="I3844" s="15" t="n"/>
      <c r="J3844" s="19" t="n">
        <v>4</v>
      </c>
      <c r="K3844" s="2" t="inlineStr">
        <is>
          <t>marker_508_384233.png</t>
        </is>
      </c>
      <c r="L3844" s="11">
        <f>HYPERLINK("4\1\" &amp; K3844, "Ver Imagen")</f>
        <v/>
      </c>
      <c r="M3844" t="inlineStr">
        <is>
          <t>Moda</t>
        </is>
      </c>
    </row>
    <row r="3845">
      <c r="A3845" t="n">
        <v>3846</v>
      </c>
      <c r="B3845" t="inlineStr">
        <is>
          <t>A-5058__338</t>
        </is>
      </c>
      <c r="C3845" s="1" t="n">
        <v>37.2493200073</v>
      </c>
      <c r="D3845" s="1" t="n">
        <v>-7.10243882414</v>
      </c>
      <c r="E3845" s="3" t="n">
        <v>3</v>
      </c>
      <c r="F3845" s="2" t="n">
        <v>4</v>
      </c>
      <c r="G3845" s="4" t="n">
        <v>4</v>
      </c>
      <c r="H3845" s="13" t="n"/>
      <c r="I3845" s="15" t="n"/>
      <c r="J3845" s="19" t="n">
        <v>4</v>
      </c>
      <c r="K3845" s="2" t="inlineStr">
        <is>
          <t>marker_735_384731.png</t>
        </is>
      </c>
      <c r="L3845" s="11">
        <f>HYPERLINK("4\1\" &amp; K3845, "Ver Imagen")</f>
        <v/>
      </c>
      <c r="M3845" t="inlineStr">
        <is>
          <t>Moda</t>
        </is>
      </c>
    </row>
    <row r="3846">
      <c r="A3846" t="n">
        <v>3847</v>
      </c>
      <c r="B3846" t="inlineStr">
        <is>
          <t>A-5058__395</t>
        </is>
      </c>
      <c r="C3846" s="1" t="n">
        <v>37.2549936497</v>
      </c>
      <c r="D3846" s="1" t="n">
        <v>-7.11315857748</v>
      </c>
      <c r="E3846" s="3" t="n">
        <v>3</v>
      </c>
      <c r="F3846" s="2" t="n">
        <v>4</v>
      </c>
      <c r="G3846" s="4" t="n">
        <v>4</v>
      </c>
      <c r="H3846" s="13" t="n"/>
      <c r="I3846" s="15" t="n"/>
      <c r="J3846" s="19" t="n">
        <v>4</v>
      </c>
      <c r="K3846" s="2" t="inlineStr">
        <is>
          <t>marker_719_385369.png</t>
        </is>
      </c>
      <c r="L3846" s="11">
        <f>HYPERLINK("4\1\" &amp; K3846, "Ver Imagen")</f>
        <v/>
      </c>
      <c r="M3846" t="inlineStr">
        <is>
          <t>Moda</t>
        </is>
      </c>
    </row>
    <row r="3847">
      <c r="A3847" t="n">
        <v>3848</v>
      </c>
      <c r="B3847" t="inlineStr">
        <is>
          <t>A-5058__449</t>
        </is>
      </c>
      <c r="C3847" s="1" t="n">
        <v>37.2589613378</v>
      </c>
      <c r="D3847" s="1" t="n">
        <v>-7.12431966954</v>
      </c>
      <c r="E3847" s="3" t="n">
        <v>4</v>
      </c>
      <c r="F3847" s="2" t="n">
        <v>4</v>
      </c>
      <c r="G3847" s="4" t="n">
        <v>5</v>
      </c>
      <c r="H3847" s="13" t="n"/>
      <c r="I3847" s="15" t="n"/>
      <c r="J3847" s="19" t="n">
        <v>4</v>
      </c>
      <c r="K3847" s="2" t="inlineStr">
        <is>
          <t>marker_529_389065.png</t>
        </is>
      </c>
      <c r="L3847" s="11">
        <f>HYPERLINK("4\1\" &amp; K3847, "Ver Imagen")</f>
        <v/>
      </c>
      <c r="M3847" t="inlineStr">
        <is>
          <t>Moda</t>
        </is>
      </c>
    </row>
    <row r="3848">
      <c r="A3848" t="n">
        <v>3849</v>
      </c>
      <c r="B3848" t="inlineStr">
        <is>
          <t>A-495__55</t>
        </is>
      </c>
      <c r="C3848" s="1" t="n">
        <v>37.4400377526</v>
      </c>
      <c r="D3848" s="1" t="n">
        <v>-7.08773395547</v>
      </c>
      <c r="E3848" s="3" t="n">
        <v>4</v>
      </c>
      <c r="F3848" s="2" t="n">
        <v>4</v>
      </c>
      <c r="G3848" s="4" t="n">
        <v>3</v>
      </c>
      <c r="H3848" s="13" t="n"/>
      <c r="I3848" s="15" t="n"/>
      <c r="J3848" s="19" t="n">
        <v>4</v>
      </c>
      <c r="K3848" s="2" t="inlineStr">
        <is>
          <t>marker_267_381661.png</t>
        </is>
      </c>
      <c r="L3848" s="11">
        <f>HYPERLINK("4\1\" &amp; K3848, "Ver Imagen")</f>
        <v/>
      </c>
      <c r="M3848" t="inlineStr">
        <is>
          <t>Moda</t>
        </is>
      </c>
    </row>
    <row r="3849">
      <c r="A3849" t="n">
        <v>3850</v>
      </c>
      <c r="B3849" t="inlineStr">
        <is>
          <t>A-495_1__162</t>
        </is>
      </c>
      <c r="C3849" s="1" t="n">
        <v>37.4787379415</v>
      </c>
      <c r="D3849" s="1" t="n">
        <v>-7.12788493148</v>
      </c>
      <c r="E3849" s="3" t="n">
        <v>4</v>
      </c>
      <c r="F3849" s="2" t="n">
        <v>4</v>
      </c>
      <c r="G3849" s="4" t="n">
        <v>3</v>
      </c>
      <c r="H3849" s="13" t="n"/>
      <c r="I3849" s="15" t="n"/>
      <c r="J3849" s="19" t="n">
        <v>4</v>
      </c>
      <c r="K3849" s="2" t="inlineStr">
        <is>
          <t>marker_235_384064.png</t>
        </is>
      </c>
      <c r="L3849" s="11">
        <f>HYPERLINK("4\1\" &amp; K3849, "Ver Imagen")</f>
        <v/>
      </c>
      <c r="M3849" t="inlineStr">
        <is>
          <t>Moda</t>
        </is>
      </c>
    </row>
    <row r="3850">
      <c r="A3850" t="n">
        <v>3851</v>
      </c>
      <c r="B3850" t="inlineStr">
        <is>
          <t>A-495_1__151</t>
        </is>
      </c>
      <c r="C3850" s="1" t="n">
        <v>37.4771065766</v>
      </c>
      <c r="D3850" s="1" t="n">
        <v>-7.12607088869</v>
      </c>
      <c r="E3850" s="3" t="n">
        <v>5</v>
      </c>
      <c r="F3850" s="2" t="n">
        <v>4</v>
      </c>
      <c r="G3850" s="4" t="n">
        <v>4</v>
      </c>
      <c r="H3850" s="13" t="n"/>
      <c r="I3850" s="15" t="n"/>
      <c r="J3850" s="19" t="n">
        <v>4</v>
      </c>
      <c r="K3850" s="2" t="inlineStr">
        <is>
          <t>marker_780_384231.png</t>
        </is>
      </c>
      <c r="L3850" s="11">
        <f>HYPERLINK("4\1\" &amp; K3850, "Ver Imagen")</f>
        <v/>
      </c>
      <c r="M3850" t="inlineStr">
        <is>
          <t>Moda</t>
        </is>
      </c>
    </row>
    <row r="3851">
      <c r="A3851" t="n">
        <v>3852</v>
      </c>
      <c r="B3851" t="inlineStr">
        <is>
          <t>A-495_1__150</t>
        </is>
      </c>
      <c r="C3851" s="1" t="n">
        <v>37.4769483503</v>
      </c>
      <c r="D3851" s="1" t="n">
        <v>-7.12593729707</v>
      </c>
      <c r="E3851" s="3" t="n">
        <v>4</v>
      </c>
      <c r="F3851" s="2" t="n">
        <v>4</v>
      </c>
      <c r="G3851" s="4" t="n">
        <v>5</v>
      </c>
      <c r="H3851" s="13" t="n"/>
      <c r="I3851" s="15" t="n"/>
      <c r="J3851" s="19" t="n">
        <v>4</v>
      </c>
      <c r="K3851" s="2" t="inlineStr">
        <is>
          <t>marker_148_384242.png</t>
        </is>
      </c>
      <c r="L3851" s="11">
        <f>HYPERLINK("4\1\" &amp; K3851, "Ver Imagen")</f>
        <v/>
      </c>
      <c r="M3851" t="inlineStr">
        <is>
          <t>Moda</t>
        </is>
      </c>
    </row>
    <row r="3852">
      <c r="A3852" t="n">
        <v>3853</v>
      </c>
      <c r="B3852" t="inlineStr">
        <is>
          <t>A-495_1__105</t>
        </is>
      </c>
      <c r="C3852" s="1" t="n">
        <v>37.4684876089</v>
      </c>
      <c r="D3852" s="1" t="n">
        <v>-7.12360349118</v>
      </c>
      <c r="E3852" s="3" t="n">
        <v>4</v>
      </c>
      <c r="F3852" s="2" t="n">
        <v>4</v>
      </c>
      <c r="G3852" s="4" t="n">
        <v>5</v>
      </c>
      <c r="H3852" s="13" t="n"/>
      <c r="I3852" s="15" t="n"/>
      <c r="J3852" s="19" t="n">
        <v>4</v>
      </c>
      <c r="K3852" s="2" t="inlineStr">
        <is>
          <t>marker_208_384950.png</t>
        </is>
      </c>
      <c r="L3852" s="11">
        <f>HYPERLINK("4\1\" &amp; K3852, "Ver Imagen")</f>
        <v/>
      </c>
      <c r="M3852" t="inlineStr">
        <is>
          <t>Moda</t>
        </is>
      </c>
    </row>
    <row r="3853">
      <c r="A3853" t="n">
        <v>3854</v>
      </c>
      <c r="B3853" t="inlineStr">
        <is>
          <t>A-499__66</t>
        </is>
      </c>
      <c r="C3853" s="1" t="n">
        <v>37.4953476361</v>
      </c>
      <c r="D3853" s="1" t="n">
        <v>-7.27119608156</v>
      </c>
      <c r="E3853" s="3" t="n">
        <v>5</v>
      </c>
      <c r="F3853" s="2" t="n">
        <v>4</v>
      </c>
      <c r="G3853" s="4" t="n">
        <v>4</v>
      </c>
      <c r="H3853" s="13" t="n"/>
      <c r="I3853" s="15" t="n"/>
      <c r="J3853" s="19" t="n">
        <v>4</v>
      </c>
      <c r="K3853" s="2" t="inlineStr">
        <is>
          <t>marker_122_535135.png</t>
        </is>
      </c>
      <c r="L3853" s="11">
        <f>HYPERLINK("4\1\" &amp; K3853, "Ver Imagen")</f>
        <v/>
      </c>
      <c r="M3853" t="inlineStr">
        <is>
          <t>Moda</t>
        </is>
      </c>
    </row>
    <row r="3854">
      <c r="A3854" t="n">
        <v>3855</v>
      </c>
      <c r="B3854" t="inlineStr">
        <is>
          <t>A-497__800</t>
        </is>
      </c>
      <c r="C3854" s="1" t="n">
        <v>37.1934198331</v>
      </c>
      <c r="D3854" s="1" t="n">
        <v>-6.97766425678</v>
      </c>
      <c r="E3854" s="3" t="n">
        <v>3</v>
      </c>
      <c r="F3854" s="2" t="n">
        <v>4</v>
      </c>
      <c r="G3854" s="4" t="n">
        <v>4</v>
      </c>
      <c r="H3854" s="13" t="n"/>
      <c r="I3854" s="15" t="n"/>
      <c r="J3854" s="19" t="n">
        <v>4</v>
      </c>
      <c r="K3854" s="2" t="inlineStr">
        <is>
          <t>marker_120_367949.png</t>
        </is>
      </c>
      <c r="L3854" s="11">
        <f>HYPERLINK("4\1\" &amp; K3854, "Ver Imagen")</f>
        <v/>
      </c>
      <c r="M3854" t="inlineStr">
        <is>
          <t>Moda</t>
        </is>
      </c>
    </row>
    <row r="3855">
      <c r="A3855" t="n">
        <v>3856</v>
      </c>
      <c r="B3855" t="inlineStr">
        <is>
          <t>A-497__754</t>
        </is>
      </c>
      <c r="C3855" s="1" t="n">
        <v>37.1866084647</v>
      </c>
      <c r="D3855" s="1" t="n">
        <v>-6.97960093742</v>
      </c>
      <c r="E3855" s="3" t="n">
        <v>4</v>
      </c>
      <c r="F3855" s="2" t="n">
        <v>4</v>
      </c>
      <c r="G3855" s="4" t="n">
        <v>5</v>
      </c>
      <c r="H3855" s="13" t="n"/>
      <c r="I3855" s="15" t="n"/>
      <c r="J3855" s="19" t="n">
        <v>4</v>
      </c>
      <c r="K3855" s="2" t="inlineStr">
        <is>
          <t>marker_563_368640.png</t>
        </is>
      </c>
      <c r="L3855" s="11">
        <f>HYPERLINK("4\1\" &amp; K3855, "Ver Imagen")</f>
        <v/>
      </c>
      <c r="M3855" t="inlineStr">
        <is>
          <t>Moda</t>
        </is>
      </c>
    </row>
    <row r="3856">
      <c r="A3856" t="n">
        <v>3857</v>
      </c>
      <c r="B3856" t="inlineStr">
        <is>
          <t>A-497_2C__5</t>
        </is>
      </c>
      <c r="C3856" s="1" t="n">
        <v>37.2673580338</v>
      </c>
      <c r="D3856" s="1" t="n">
        <v>-6.95823293324</v>
      </c>
      <c r="E3856" s="3" t="n">
        <v>4</v>
      </c>
      <c r="F3856" s="2" t="n">
        <v>4</v>
      </c>
      <c r="G3856" s="4" t="n">
        <v>3</v>
      </c>
      <c r="H3856" s="13" t="n"/>
      <c r="I3856" s="15" t="n"/>
      <c r="J3856" s="19" t="n">
        <v>4</v>
      </c>
      <c r="K3856" s="2" t="inlineStr">
        <is>
          <t>marker_965_653770.png</t>
        </is>
      </c>
      <c r="L3856" s="11">
        <f>HYPERLINK("4\1\" &amp; K3856, "Ver Imagen")</f>
        <v/>
      </c>
      <c r="M3856" t="inlineStr">
        <is>
          <t>Moda</t>
        </is>
      </c>
    </row>
    <row r="3857">
      <c r="A3857" t="n">
        <v>3858</v>
      </c>
      <c r="B3857" t="inlineStr">
        <is>
          <t>A-497_2C__80</t>
        </is>
      </c>
      <c r="C3857" s="1" t="n">
        <v>37.2694174667</v>
      </c>
      <c r="D3857" s="1" t="n">
        <v>-6.97699777016</v>
      </c>
      <c r="E3857" s="3" t="n">
        <v>4</v>
      </c>
      <c r="F3857" s="2" t="n">
        <v>4</v>
      </c>
      <c r="G3857" s="4" t="n">
        <v>3</v>
      </c>
      <c r="H3857" s="13" t="n"/>
      <c r="I3857" s="15" t="n"/>
      <c r="J3857" s="19" t="n">
        <v>4</v>
      </c>
      <c r="K3857" s="2" t="inlineStr">
        <is>
          <t>marker_772_655127.png</t>
        </is>
      </c>
      <c r="L3857" s="11">
        <f>HYPERLINK("4\1\" &amp; K3857, "Ver Imagen")</f>
        <v/>
      </c>
      <c r="M3857" t="inlineStr">
        <is>
          <t>Moda</t>
        </is>
      </c>
    </row>
    <row r="3858">
      <c r="A3858" t="n">
        <v>3859</v>
      </c>
      <c r="B3858" t="inlineStr">
        <is>
          <t>A-497_2C__92</t>
        </is>
      </c>
      <c r="C3858" s="1" t="n">
        <v>37.2702384876</v>
      </c>
      <c r="D3858" s="1" t="n">
        <v>-6.97987233802</v>
      </c>
      <c r="E3858" s="3" t="n">
        <v>5</v>
      </c>
      <c r="F3858" s="2" t="n">
        <v>4</v>
      </c>
      <c r="G3858" s="4" t="n">
        <v>4</v>
      </c>
      <c r="H3858" s="13" t="n"/>
      <c r="I3858" s="15" t="n"/>
      <c r="J3858" s="19" t="n">
        <v>4</v>
      </c>
      <c r="K3858" s="2" t="inlineStr">
        <is>
          <t>marker_254_655301.png</t>
        </is>
      </c>
      <c r="L3858" s="11">
        <f>HYPERLINK("4\1\" &amp; K3858, "Ver Imagen")</f>
        <v/>
      </c>
      <c r="M3858" t="inlineStr">
        <is>
          <t>Moda</t>
        </is>
      </c>
    </row>
    <row r="3859">
      <c r="A3859" t="n">
        <v>3860</v>
      </c>
      <c r="B3859" t="inlineStr">
        <is>
          <t>A-497_2C__93</t>
        </is>
      </c>
      <c r="C3859" s="1" t="n">
        <v>37.2703058868</v>
      </c>
      <c r="D3859" s="1" t="n">
        <v>-6.98010637156</v>
      </c>
      <c r="E3859" s="3" t="n">
        <v>3</v>
      </c>
      <c r="F3859" s="2" t="n">
        <v>4</v>
      </c>
      <c r="G3859" s="4" t="n">
        <v>4</v>
      </c>
      <c r="H3859" s="13" t="n"/>
      <c r="I3859" s="15" t="n"/>
      <c r="J3859" s="19" t="n">
        <v>4</v>
      </c>
      <c r="K3859" s="2" t="inlineStr">
        <is>
          <t>marker_498_655312.png</t>
        </is>
      </c>
      <c r="L3859" s="11">
        <f>HYPERLINK("4\1\" &amp; K3859, "Ver Imagen")</f>
        <v/>
      </c>
      <c r="M3859" t="inlineStr">
        <is>
          <t>Moda</t>
        </is>
      </c>
    </row>
    <row r="3860">
      <c r="A3860" t="n">
        <v>3861</v>
      </c>
      <c r="B3860" t="inlineStr">
        <is>
          <t>A-497_2C__107</t>
        </is>
      </c>
      <c r="C3860" s="1" t="n">
        <v>37.2712600561</v>
      </c>
      <c r="D3860" s="1" t="n">
        <v>-6.98341649019</v>
      </c>
      <c r="E3860" s="3" t="n">
        <v>4</v>
      </c>
      <c r="F3860" s="2" t="n">
        <v>4</v>
      </c>
      <c r="G3860" s="4" t="n">
        <v>3</v>
      </c>
      <c r="H3860" s="13" t="n"/>
      <c r="I3860" s="15" t="n"/>
      <c r="J3860" s="19" t="n">
        <v>4</v>
      </c>
      <c r="K3860" s="2" t="inlineStr">
        <is>
          <t>marker_826_655509.png</t>
        </is>
      </c>
      <c r="L3860" s="11">
        <f>HYPERLINK("4\1\" &amp; K3860, "Ver Imagen")</f>
        <v/>
      </c>
      <c r="M3860" t="inlineStr">
        <is>
          <t>Moda</t>
        </is>
      </c>
    </row>
    <row r="3861">
      <c r="A3861" t="n">
        <v>3862</v>
      </c>
      <c r="B3861" t="inlineStr">
        <is>
          <t>A-497_2C__155</t>
        </is>
      </c>
      <c r="C3861" s="1" t="n">
        <v>37.2667270689</v>
      </c>
      <c r="D3861" s="1" t="n">
        <v>-6.99225815459</v>
      </c>
      <c r="E3861" s="3" t="n">
        <v>4</v>
      </c>
      <c r="F3861" s="2" t="n">
        <v>4</v>
      </c>
      <c r="G3861" s="4" t="n">
        <v>3</v>
      </c>
      <c r="H3861" s="13" t="n"/>
      <c r="I3861" s="15" t="n"/>
      <c r="J3861" s="19" t="n">
        <v>4</v>
      </c>
      <c r="K3861" s="2" t="inlineStr">
        <is>
          <t>marker_369_656056.png</t>
        </is>
      </c>
      <c r="L3861" s="11">
        <f>HYPERLINK("4\1\" &amp; K3861, "Ver Imagen")</f>
        <v/>
      </c>
      <c r="M3861" t="inlineStr">
        <is>
          <t>Moda</t>
        </is>
      </c>
    </row>
    <row r="3862">
      <c r="A3862" t="n">
        <v>3863</v>
      </c>
      <c r="B3862" t="inlineStr">
        <is>
          <t>A-497_2C__168</t>
        </is>
      </c>
      <c r="C3862" s="1" t="n">
        <v>37.265655191</v>
      </c>
      <c r="D3862" s="1" t="n">
        <v>-6.99520561647</v>
      </c>
      <c r="E3862" s="3" t="n">
        <v>5</v>
      </c>
      <c r="F3862" s="2" t="n">
        <v>4</v>
      </c>
      <c r="G3862" s="4" t="n">
        <v>4</v>
      </c>
      <c r="H3862" s="13" t="n"/>
      <c r="I3862" s="15" t="n"/>
      <c r="J3862" s="19" t="n">
        <v>4</v>
      </c>
      <c r="K3862" s="2" t="inlineStr">
        <is>
          <t>marker_369_656179.png</t>
        </is>
      </c>
      <c r="L3862" s="11">
        <f>HYPERLINK("4\1\" &amp; K3862, "Ver Imagen")</f>
        <v/>
      </c>
      <c r="M3862" t="inlineStr">
        <is>
          <t>Moda</t>
        </is>
      </c>
    </row>
    <row r="3863">
      <c r="A3863" t="n">
        <v>3864</v>
      </c>
      <c r="B3863" t="inlineStr">
        <is>
          <t>A-497_2C__179</t>
        </is>
      </c>
      <c r="C3863" s="1" t="n">
        <v>37.2651416119</v>
      </c>
      <c r="D3863" s="1" t="n">
        <v>-6.99795070149</v>
      </c>
      <c r="E3863" s="3" t="n">
        <v>4</v>
      </c>
      <c r="F3863" s="2" t="n">
        <v>4</v>
      </c>
      <c r="G3863" s="4" t="n">
        <v>3</v>
      </c>
      <c r="H3863" s="13" t="n"/>
      <c r="I3863" s="15" t="n"/>
      <c r="J3863" s="19" t="n">
        <v>4</v>
      </c>
      <c r="K3863" s="2" t="inlineStr">
        <is>
          <t>marker_922_656320.png</t>
        </is>
      </c>
      <c r="L3863" s="11">
        <f>HYPERLINK("4\1\" &amp; K3863, "Ver Imagen")</f>
        <v/>
      </c>
      <c r="M3863" t="inlineStr">
        <is>
          <t>Moda</t>
        </is>
      </c>
    </row>
    <row r="3864">
      <c r="A3864" t="n">
        <v>3865</v>
      </c>
      <c r="B3864" t="inlineStr">
        <is>
          <t>A-497__714</t>
        </is>
      </c>
      <c r="C3864" s="1" t="n">
        <v>37.194192453</v>
      </c>
      <c r="D3864" s="1" t="n">
        <v>-6.97762783153</v>
      </c>
      <c r="E3864" s="3" t="n">
        <v>3</v>
      </c>
      <c r="F3864" s="2" t="n">
        <v>4</v>
      </c>
      <c r="G3864" s="4" t="n">
        <v>4</v>
      </c>
      <c r="H3864" s="13" t="n"/>
      <c r="I3864" s="15" t="n"/>
      <c r="J3864" s="19" t="n">
        <v>4</v>
      </c>
      <c r="K3864" s="2" t="inlineStr">
        <is>
          <t>marker_347_369124.png</t>
        </is>
      </c>
      <c r="L3864" s="11">
        <f>HYPERLINK("4\1\" &amp; K3864, "Ver Imagen")</f>
        <v/>
      </c>
      <c r="M3864" t="inlineStr">
        <is>
          <t>Moda</t>
        </is>
      </c>
    </row>
    <row r="3865">
      <c r="A3865" t="n">
        <v>3866</v>
      </c>
      <c r="B3865" t="inlineStr">
        <is>
          <t>A-497_2C__184</t>
        </is>
      </c>
      <c r="C3865" s="1" t="n">
        <v>37.2649514332</v>
      </c>
      <c r="D3865" s="1" t="n">
        <v>-6.99916067735</v>
      </c>
      <c r="E3865" s="3" t="n">
        <v>4</v>
      </c>
      <c r="F3865" s="2" t="n">
        <v>4</v>
      </c>
      <c r="G3865" s="4" t="n">
        <v>3</v>
      </c>
      <c r="H3865" s="13" t="n"/>
      <c r="I3865" s="15" t="n"/>
      <c r="J3865" s="19" t="n">
        <v>4</v>
      </c>
      <c r="K3865" s="2" t="inlineStr">
        <is>
          <t>marker_401_656364.png</t>
        </is>
      </c>
      <c r="L3865" s="11">
        <f>HYPERLINK("4\1\" &amp; K3865, "Ver Imagen")</f>
        <v/>
      </c>
      <c r="M3865" t="inlineStr">
        <is>
          <t>Moda</t>
        </is>
      </c>
    </row>
    <row r="3866">
      <c r="A3866" t="n">
        <v>3867</v>
      </c>
      <c r="B3866" t="inlineStr">
        <is>
          <t>A-497_2C__185</t>
        </is>
      </c>
      <c r="C3866" s="1" t="n">
        <v>37.2649103839</v>
      </c>
      <c r="D3866" s="1" t="n">
        <v>-6.99939971831</v>
      </c>
      <c r="E3866" s="3" t="n">
        <v>4</v>
      </c>
      <c r="F3866" s="2" t="n">
        <v>4</v>
      </c>
      <c r="G3866" s="4" t="n">
        <v>3</v>
      </c>
      <c r="H3866" s="13" t="n"/>
      <c r="I3866" s="15" t="n"/>
      <c r="J3866" s="19" t="n">
        <v>4</v>
      </c>
      <c r="K3866" s="2" t="inlineStr">
        <is>
          <t>marker_746_656373.png</t>
        </is>
      </c>
      <c r="L3866" s="11">
        <f>HYPERLINK("4\1\" &amp; K3866, "Ver Imagen")</f>
        <v/>
      </c>
      <c r="M3866" t="inlineStr">
        <is>
          <t>Moda</t>
        </is>
      </c>
    </row>
    <row r="3867">
      <c r="A3867" t="n">
        <v>3868</v>
      </c>
      <c r="B3867" t="inlineStr">
        <is>
          <t>A-497_2C__187</t>
        </is>
      </c>
      <c r="C3867" s="1" t="n">
        <v>37.2648188795</v>
      </c>
      <c r="D3867" s="1" t="n">
        <v>-6.99992357417</v>
      </c>
      <c r="E3867" s="3" t="n">
        <v>4</v>
      </c>
      <c r="F3867" s="2" t="n">
        <v>4</v>
      </c>
      <c r="G3867" s="4" t="n">
        <v>3</v>
      </c>
      <c r="H3867" s="13" t="n"/>
      <c r="I3867" s="15" t="n"/>
      <c r="J3867" s="19" t="n">
        <v>4</v>
      </c>
      <c r="K3867" s="2" t="inlineStr">
        <is>
          <t>marker_796_656391.png</t>
        </is>
      </c>
      <c r="L3867" s="11">
        <f>HYPERLINK("4\1\" &amp; K3867, "Ver Imagen")</f>
        <v/>
      </c>
      <c r="M3867" t="inlineStr">
        <is>
          <t>Moda</t>
        </is>
      </c>
    </row>
    <row r="3868">
      <c r="A3868" t="n">
        <v>3869</v>
      </c>
      <c r="B3868" t="inlineStr">
        <is>
          <t>A-497__705</t>
        </is>
      </c>
      <c r="C3868" s="1" t="n">
        <v>37.1958700494</v>
      </c>
      <c r="D3868" s="1" t="n">
        <v>-6.9783332737</v>
      </c>
      <c r="E3868" s="3" t="n">
        <v>3</v>
      </c>
      <c r="F3868" s="2" t="n">
        <v>4</v>
      </c>
      <c r="G3868" s="4" t="n">
        <v>4</v>
      </c>
      <c r="H3868" s="13" t="n"/>
      <c r="I3868" s="15" t="n"/>
      <c r="J3868" s="19" t="n">
        <v>4</v>
      </c>
      <c r="K3868" s="2" t="inlineStr">
        <is>
          <t>marker_269_370330.png</t>
        </is>
      </c>
      <c r="L3868" s="11">
        <f>HYPERLINK("4\1\" &amp; K3868, "Ver Imagen")</f>
        <v/>
      </c>
      <c r="M3868" t="inlineStr">
        <is>
          <t>Moda</t>
        </is>
      </c>
    </row>
    <row r="3869">
      <c r="A3869" t="n">
        <v>3870</v>
      </c>
      <c r="B3869" t="inlineStr">
        <is>
          <t>A-497__702</t>
        </is>
      </c>
      <c r="C3869" s="1" t="n">
        <v>37.1964770025</v>
      </c>
      <c r="D3869" s="1" t="n">
        <v>-6.97876180569</v>
      </c>
      <c r="E3869" s="3" t="n">
        <v>3</v>
      </c>
      <c r="F3869" s="2" t="n">
        <v>4</v>
      </c>
      <c r="G3869" s="4" t="n">
        <v>4</v>
      </c>
      <c r="H3869" s="13" t="n"/>
      <c r="I3869" s="15" t="n"/>
      <c r="J3869" s="19" t="n">
        <v>4</v>
      </c>
      <c r="K3869" s="2" t="inlineStr">
        <is>
          <t>marker_822_370360.png</t>
        </is>
      </c>
      <c r="L3869" s="11">
        <f>HYPERLINK("4\1\" &amp; K3869, "Ver Imagen")</f>
        <v/>
      </c>
      <c r="M3869" t="inlineStr">
        <is>
          <t>Moda</t>
        </is>
      </c>
    </row>
    <row r="3870">
      <c r="A3870" t="n">
        <v>3871</v>
      </c>
      <c r="B3870" t="inlineStr">
        <is>
          <t>A-497_2C__191</t>
        </is>
      </c>
      <c r="C3870" s="1" t="n">
        <v>37.264651823</v>
      </c>
      <c r="D3870" s="1" t="n">
        <v>-7.00087757449</v>
      </c>
      <c r="E3870" s="3" t="n">
        <v>4</v>
      </c>
      <c r="F3870" s="2" t="n">
        <v>4</v>
      </c>
      <c r="G3870" s="4" t="n">
        <v>3</v>
      </c>
      <c r="H3870" s="13" t="n"/>
      <c r="I3870" s="15" t="n"/>
      <c r="J3870" s="19" t="n">
        <v>4</v>
      </c>
      <c r="K3870" s="2" t="inlineStr">
        <is>
          <t>marker_947_656434.png</t>
        </is>
      </c>
      <c r="L3870" s="11">
        <f>HYPERLINK("4\1\" &amp; K3870, "Ver Imagen")</f>
        <v/>
      </c>
      <c r="M3870" t="inlineStr">
        <is>
          <t>Moda</t>
        </is>
      </c>
    </row>
    <row r="3871">
      <c r="A3871" t="n">
        <v>3872</v>
      </c>
      <c r="B3871" t="inlineStr">
        <is>
          <t>A-497__689</t>
        </is>
      </c>
      <c r="C3871" s="1" t="n">
        <v>37.1983364089</v>
      </c>
      <c r="D3871" s="1" t="n">
        <v>-6.98097567009</v>
      </c>
      <c r="E3871" s="3" t="n">
        <v>3</v>
      </c>
      <c r="F3871" s="2" t="n">
        <v>4</v>
      </c>
      <c r="G3871" s="4" t="n">
        <v>4</v>
      </c>
      <c r="H3871" s="13" t="n"/>
      <c r="I3871" s="15" t="n"/>
      <c r="J3871" s="19" t="n">
        <v>4</v>
      </c>
      <c r="K3871" s="2" t="inlineStr">
        <is>
          <t>marker_119_370484.png</t>
        </is>
      </c>
      <c r="L3871" s="11">
        <f>HYPERLINK("4\1\" &amp; K3871, "Ver Imagen")</f>
        <v/>
      </c>
      <c r="M3871" t="inlineStr">
        <is>
          <t>Moda</t>
        </is>
      </c>
    </row>
    <row r="3872">
      <c r="A3872" t="n">
        <v>3873</v>
      </c>
      <c r="B3872" t="inlineStr">
        <is>
          <t>A-497_2C__231</t>
        </is>
      </c>
      <c r="C3872" s="1" t="n">
        <v>37.2619925219</v>
      </c>
      <c r="D3872" s="1" t="n">
        <v>-7.01027357868</v>
      </c>
      <c r="E3872" s="3" t="n">
        <v>3</v>
      </c>
      <c r="F3872" s="2" t="n">
        <v>4</v>
      </c>
      <c r="G3872" s="4" t="n">
        <v>4</v>
      </c>
      <c r="H3872" s="13" t="n"/>
      <c r="I3872" s="15" t="n"/>
      <c r="J3872" s="19" t="n">
        <v>4</v>
      </c>
      <c r="K3872" s="2" t="inlineStr">
        <is>
          <t>marker_576_656891.png</t>
        </is>
      </c>
      <c r="L3872" s="11">
        <f>HYPERLINK("4\1\" &amp; K3872, "Ver Imagen")</f>
        <v/>
      </c>
      <c r="M3872" t="inlineStr">
        <is>
          <t>Moda</t>
        </is>
      </c>
    </row>
    <row r="3873">
      <c r="A3873" t="n">
        <v>3874</v>
      </c>
      <c r="B3873" t="inlineStr">
        <is>
          <t>A-497_2C__232</t>
        </is>
      </c>
      <c r="C3873" s="1" t="n">
        <v>37.2618171897</v>
      </c>
      <c r="D3873" s="1" t="n">
        <v>-7.01044333322</v>
      </c>
      <c r="E3873" s="3" t="n">
        <v>3</v>
      </c>
      <c r="F3873" s="2" t="n">
        <v>4</v>
      </c>
      <c r="G3873" s="4" t="n">
        <v>4</v>
      </c>
      <c r="H3873" s="13" t="n"/>
      <c r="I3873" s="15" t="n"/>
      <c r="J3873" s="19" t="n">
        <v>4</v>
      </c>
      <c r="K3873" s="2" t="inlineStr">
        <is>
          <t>marker_456_656899.png</t>
        </is>
      </c>
      <c r="L3873" s="11">
        <f>HYPERLINK("4\1\" &amp; K3873, "Ver Imagen")</f>
        <v/>
      </c>
      <c r="M3873" t="inlineStr">
        <is>
          <t>Moda</t>
        </is>
      </c>
    </row>
    <row r="3874">
      <c r="A3874" t="n">
        <v>3875</v>
      </c>
      <c r="B3874" t="inlineStr">
        <is>
          <t>A-497__656</t>
        </is>
      </c>
      <c r="C3874" s="1" t="n">
        <v>37.2006739469</v>
      </c>
      <c r="D3874" s="1" t="n">
        <v>-6.98871386162</v>
      </c>
      <c r="E3874" s="3" t="n">
        <v>5</v>
      </c>
      <c r="F3874" s="2" t="n">
        <v>4</v>
      </c>
      <c r="G3874" s="4" t="n">
        <v>4</v>
      </c>
      <c r="H3874" s="13" t="n"/>
      <c r="I3874" s="15" t="n"/>
      <c r="J3874" s="19" t="n">
        <v>4</v>
      </c>
      <c r="K3874" s="2" t="inlineStr">
        <is>
          <t>marker_462_371183.png</t>
        </is>
      </c>
      <c r="L3874" s="11">
        <f>HYPERLINK("4\1\" &amp; K3874, "Ver Imagen")</f>
        <v/>
      </c>
      <c r="M3874" t="inlineStr">
        <is>
          <t>Moda</t>
        </is>
      </c>
    </row>
    <row r="3875">
      <c r="A3875" t="n">
        <v>3876</v>
      </c>
      <c r="B3875" t="inlineStr">
        <is>
          <t>A-497__655</t>
        </is>
      </c>
      <c r="C3875" s="1" t="n">
        <v>37.2007364192</v>
      </c>
      <c r="D3875" s="1" t="n">
        <v>-6.98899303645</v>
      </c>
      <c r="E3875" s="3" t="n">
        <v>5</v>
      </c>
      <c r="F3875" s="2" t="n">
        <v>4</v>
      </c>
      <c r="G3875" s="4" t="n">
        <v>4</v>
      </c>
      <c r="H3875" s="13" t="n"/>
      <c r="I3875" s="15" t="n"/>
      <c r="J3875" s="19" t="n">
        <v>4</v>
      </c>
      <c r="K3875" s="2" t="inlineStr">
        <is>
          <t>marker_610_371193.png</t>
        </is>
      </c>
      <c r="L3875" s="11">
        <f>HYPERLINK("4\1\" &amp; K3875, "Ver Imagen")</f>
        <v/>
      </c>
      <c r="M3875" t="inlineStr">
        <is>
          <t>Moda</t>
        </is>
      </c>
    </row>
    <row r="3876">
      <c r="A3876" t="n">
        <v>3877</v>
      </c>
      <c r="B3876" t="inlineStr">
        <is>
          <t>A-497__622</t>
        </is>
      </c>
      <c r="C3876" s="1" t="n">
        <v>37.2022587128</v>
      </c>
      <c r="D3876" s="1" t="n">
        <v>-6.997128499</v>
      </c>
      <c r="E3876" s="3" t="n">
        <v>5</v>
      </c>
      <c r="F3876" s="2" t="n">
        <v>4</v>
      </c>
      <c r="G3876" s="4" t="n">
        <v>4</v>
      </c>
      <c r="H3876" s="13" t="n"/>
      <c r="I3876" s="15" t="n"/>
      <c r="J3876" s="19" t="n">
        <v>4</v>
      </c>
      <c r="K3876" s="2" t="inlineStr">
        <is>
          <t>marker_524_371508.png</t>
        </is>
      </c>
      <c r="L3876" s="11">
        <f>HYPERLINK("4\1\" &amp; K3876, "Ver Imagen")</f>
        <v/>
      </c>
      <c r="M3876" t="inlineStr">
        <is>
          <t>Moda</t>
        </is>
      </c>
    </row>
    <row r="3877">
      <c r="A3877" t="n">
        <v>3878</v>
      </c>
      <c r="B3877" t="inlineStr">
        <is>
          <t>A-497__620</t>
        </is>
      </c>
      <c r="C3877" s="1" t="n">
        <v>37.2023309453</v>
      </c>
      <c r="D3877" s="1" t="n">
        <v>-6.99764645152</v>
      </c>
      <c r="E3877" s="3" t="n">
        <v>5</v>
      </c>
      <c r="F3877" s="2" t="n">
        <v>4</v>
      </c>
      <c r="G3877" s="4" t="n">
        <v>4</v>
      </c>
      <c r="H3877" s="13" t="n"/>
      <c r="I3877" s="15" t="n"/>
      <c r="J3877" s="19" t="n">
        <v>4</v>
      </c>
      <c r="K3877" s="2" t="inlineStr">
        <is>
          <t>marker_641_371528.png</t>
        </is>
      </c>
      <c r="L3877" s="11">
        <f>HYPERLINK("4\1\" &amp; K3877, "Ver Imagen")</f>
        <v/>
      </c>
      <c r="M3877" t="inlineStr">
        <is>
          <t>Moda</t>
        </is>
      </c>
    </row>
    <row r="3878">
      <c r="A3878" t="n">
        <v>3879</v>
      </c>
      <c r="B3878" t="inlineStr">
        <is>
          <t>A-497__612</t>
        </is>
      </c>
      <c r="C3878" s="1" t="n">
        <v>37.2026168905</v>
      </c>
      <c r="D3878" s="1" t="n">
        <v>-6.99966788734</v>
      </c>
      <c r="E3878" s="3" t="n">
        <v>4</v>
      </c>
      <c r="F3878" s="2" t="n">
        <v>4</v>
      </c>
      <c r="G3878" s="4" t="n">
        <v>3</v>
      </c>
      <c r="H3878" s="13" t="n"/>
      <c r="I3878" s="15" t="n"/>
      <c r="J3878" s="19" t="n">
        <v>4</v>
      </c>
      <c r="K3878" s="2" t="inlineStr">
        <is>
          <t>marker_882_371603.png</t>
        </is>
      </c>
      <c r="L3878" s="11">
        <f>HYPERLINK("4\1\" &amp; K3878, "Ver Imagen")</f>
        <v/>
      </c>
      <c r="M3878" t="inlineStr">
        <is>
          <t>Moda</t>
        </is>
      </c>
    </row>
    <row r="3879">
      <c r="A3879" t="n">
        <v>3880</v>
      </c>
      <c r="B3879" t="inlineStr">
        <is>
          <t>A-497__593</t>
        </is>
      </c>
      <c r="C3879" s="1" t="n">
        <v>37.2031630887</v>
      </c>
      <c r="D3879" s="1" t="n">
        <v>-7.00438188692</v>
      </c>
      <c r="E3879" s="3" t="n">
        <v>5</v>
      </c>
      <c r="F3879" s="2" t="n">
        <v>4</v>
      </c>
      <c r="G3879" s="4" t="n">
        <v>4</v>
      </c>
      <c r="H3879" s="13" t="n"/>
      <c r="I3879" s="15" t="n"/>
      <c r="J3879" s="19" t="n">
        <v>4</v>
      </c>
      <c r="K3879" s="2" t="inlineStr">
        <is>
          <t>marker_700_371793.png</t>
        </is>
      </c>
      <c r="L3879" s="11">
        <f>HYPERLINK("4\1\" &amp; K3879, "Ver Imagen")</f>
        <v/>
      </c>
      <c r="M3879" t="inlineStr">
        <is>
          <t>Moda</t>
        </is>
      </c>
    </row>
    <row r="3880">
      <c r="A3880" t="n">
        <v>3881</v>
      </c>
      <c r="B3880" t="inlineStr">
        <is>
          <t>A-497__587</t>
        </is>
      </c>
      <c r="C3880" s="1" t="n">
        <v>37.2033518208</v>
      </c>
      <c r="D3880" s="1" t="n">
        <v>-7.00587293036</v>
      </c>
      <c r="E3880" s="3" t="n">
        <v>5</v>
      </c>
      <c r="F3880" s="2" t="n">
        <v>4</v>
      </c>
      <c r="G3880" s="4" t="n">
        <v>4</v>
      </c>
      <c r="H3880" s="13" t="n"/>
      <c r="I3880" s="15" t="n"/>
      <c r="J3880" s="19" t="n">
        <v>4</v>
      </c>
      <c r="K3880" s="2" t="inlineStr">
        <is>
          <t>marker_247_371861.png</t>
        </is>
      </c>
      <c r="L3880" s="11">
        <f>HYPERLINK("4\1\" &amp; K3880, "Ver Imagen")</f>
        <v/>
      </c>
      <c r="M3880" t="inlineStr">
        <is>
          <t>Moda</t>
        </is>
      </c>
    </row>
    <row r="3881">
      <c r="A3881" t="n">
        <v>3882</v>
      </c>
      <c r="B3881" t="inlineStr">
        <is>
          <t>A-497_2C__272</t>
        </is>
      </c>
      <c r="C3881" s="1" t="n">
        <v>37.2546491606</v>
      </c>
      <c r="D3881" s="1" t="n">
        <v>-7.01511905054</v>
      </c>
      <c r="E3881" s="3" t="n">
        <v>4</v>
      </c>
      <c r="F3881" s="2" t="n">
        <v>4</v>
      </c>
      <c r="G3881" s="4" t="n">
        <v>5</v>
      </c>
      <c r="H3881" s="13" t="n"/>
      <c r="I3881" s="15" t="n"/>
      <c r="J3881" s="19" t="n">
        <v>4</v>
      </c>
      <c r="K3881" s="2" t="inlineStr">
        <is>
          <t>marker_537_319763.png</t>
        </is>
      </c>
      <c r="L3881" s="11">
        <f>HYPERLINK("4\1\" &amp; K3881, "Ver Imagen")</f>
        <v/>
      </c>
      <c r="M3881" t="inlineStr">
        <is>
          <t>Moda</t>
        </is>
      </c>
    </row>
    <row r="3882">
      <c r="A3882" t="n">
        <v>3883</v>
      </c>
      <c r="B3882" t="inlineStr">
        <is>
          <t>A-497__586</t>
        </is>
      </c>
      <c r="C3882" s="1" t="n">
        <v>37.2033804899</v>
      </c>
      <c r="D3882" s="1" t="n">
        <v>-7.0060937805</v>
      </c>
      <c r="E3882" s="3" t="n">
        <v>5</v>
      </c>
      <c r="F3882" s="2" t="n">
        <v>4</v>
      </c>
      <c r="G3882" s="4" t="n">
        <v>4</v>
      </c>
      <c r="H3882" s="13" t="n"/>
      <c r="I3882" s="15" t="n"/>
      <c r="J3882" s="19" t="n">
        <v>4</v>
      </c>
      <c r="K3882" s="2" t="inlineStr">
        <is>
          <t>marker_701_371869.png</t>
        </is>
      </c>
      <c r="L3882" s="11">
        <f>HYPERLINK("4\1\" &amp; K3882, "Ver Imagen")</f>
        <v/>
      </c>
      <c r="M3882" t="inlineStr">
        <is>
          <t>Moda</t>
        </is>
      </c>
    </row>
    <row r="3883">
      <c r="A3883" t="n">
        <v>3884</v>
      </c>
      <c r="B3883" t="inlineStr">
        <is>
          <t>A-497__584</t>
        </is>
      </c>
      <c r="C3883" s="1" t="n">
        <v>37.2034478418</v>
      </c>
      <c r="D3883" s="1" t="n">
        <v>-7.00660567027</v>
      </c>
      <c r="E3883" s="3" t="n">
        <v>5</v>
      </c>
      <c r="F3883" s="2" t="n">
        <v>4</v>
      </c>
      <c r="G3883" s="4" t="n">
        <v>4</v>
      </c>
      <c r="H3883" s="13" t="n"/>
      <c r="I3883" s="15" t="n"/>
      <c r="J3883" s="19" t="n">
        <v>4</v>
      </c>
      <c r="K3883" s="2" t="inlineStr">
        <is>
          <t>marker_954_371888.png</t>
        </is>
      </c>
      <c r="L3883" s="11">
        <f>HYPERLINK("4\1\" &amp; K3883, "Ver Imagen")</f>
        <v/>
      </c>
      <c r="M3883" t="inlineStr">
        <is>
          <t>Moda</t>
        </is>
      </c>
    </row>
    <row r="3884">
      <c r="A3884" t="n">
        <v>3885</v>
      </c>
      <c r="B3884" t="inlineStr">
        <is>
          <t>A-497_2C__290</t>
        </is>
      </c>
      <c r="C3884" s="1" t="n">
        <v>37.2514005286</v>
      </c>
      <c r="D3884" s="1" t="n">
        <v>-7.01720120953</v>
      </c>
      <c r="E3884" s="3" t="n">
        <v>3</v>
      </c>
      <c r="F3884" s="2" t="n">
        <v>4</v>
      </c>
      <c r="G3884" s="4" t="n">
        <v>4</v>
      </c>
      <c r="H3884" s="13" t="n"/>
      <c r="I3884" s="15" t="n"/>
      <c r="J3884" s="19" t="n">
        <v>4</v>
      </c>
      <c r="K3884" s="2" t="inlineStr">
        <is>
          <t>marker_280_320073.png</t>
        </is>
      </c>
      <c r="L3884" s="11">
        <f>HYPERLINK("4\1\" &amp; K3884, "Ver Imagen")</f>
        <v/>
      </c>
      <c r="M3884" t="inlineStr">
        <is>
          <t>Moda</t>
        </is>
      </c>
    </row>
    <row r="3885">
      <c r="A3885" t="n">
        <v>3886</v>
      </c>
      <c r="B3885" t="inlineStr">
        <is>
          <t>A-497__572</t>
        </is>
      </c>
      <c r="C3885" s="1" t="n">
        <v>37.2039026878</v>
      </c>
      <c r="D3885" s="1" t="n">
        <v>-7.00964958046</v>
      </c>
      <c r="E3885" s="3" t="n">
        <v>3</v>
      </c>
      <c r="F3885" s="2" t="n">
        <v>4</v>
      </c>
      <c r="G3885" s="4" t="n">
        <v>4</v>
      </c>
      <c r="H3885" s="13" t="n"/>
      <c r="I3885" s="15" t="n"/>
      <c r="J3885" s="19" t="n">
        <v>4</v>
      </c>
      <c r="K3885" s="2" t="inlineStr">
        <is>
          <t>marker_138_372005.png</t>
        </is>
      </c>
      <c r="L3885" s="11">
        <f>HYPERLINK("4\1\" &amp; K3885, "Ver Imagen")</f>
        <v/>
      </c>
      <c r="M3885" t="inlineStr">
        <is>
          <t>Moda</t>
        </is>
      </c>
    </row>
    <row r="3886">
      <c r="A3886" t="n">
        <v>3887</v>
      </c>
      <c r="B3886" t="inlineStr">
        <is>
          <t>A-497_2C__294</t>
        </is>
      </c>
      <c r="C3886" s="1" t="n">
        <v>37.2506610056</v>
      </c>
      <c r="D3886" s="1" t="n">
        <v>-7.01766063636</v>
      </c>
      <c r="E3886" s="3" t="n">
        <v>5</v>
      </c>
      <c r="F3886" s="2" t="n">
        <v>4</v>
      </c>
      <c r="G3886" s="4" t="n">
        <v>4</v>
      </c>
      <c r="H3886" s="13" t="n"/>
      <c r="I3886" s="15" t="n"/>
      <c r="J3886" s="19" t="n">
        <v>4</v>
      </c>
      <c r="K3886" s="2" t="inlineStr">
        <is>
          <t>marker_924_320110.png</t>
        </is>
      </c>
      <c r="L3886" s="11">
        <f>HYPERLINK("4\1\" &amp; K3886, "Ver Imagen")</f>
        <v/>
      </c>
      <c r="M3886" t="inlineStr">
        <is>
          <t>Moda</t>
        </is>
      </c>
    </row>
    <row r="3887">
      <c r="A3887" t="n">
        <v>3888</v>
      </c>
      <c r="B3887" t="inlineStr">
        <is>
          <t>A-497_2C__305</t>
        </is>
      </c>
      <c r="C3887" s="1" t="n">
        <v>37.2485064146</v>
      </c>
      <c r="D3887" s="1" t="n">
        <v>-7.01835469695</v>
      </c>
      <c r="E3887" s="3" t="n">
        <v>5</v>
      </c>
      <c r="F3887" s="2" t="n">
        <v>4</v>
      </c>
      <c r="G3887" s="4" t="n">
        <v>4</v>
      </c>
      <c r="H3887" s="13" t="n"/>
      <c r="I3887" s="15" t="n"/>
      <c r="J3887" s="19" t="n">
        <v>4</v>
      </c>
      <c r="K3887" s="2" t="inlineStr">
        <is>
          <t>marker_425_320220.png</t>
        </is>
      </c>
      <c r="L3887" s="11">
        <f>HYPERLINK("4\1\" &amp; K3887, "Ver Imagen")</f>
        <v/>
      </c>
      <c r="M3887" t="inlineStr">
        <is>
          <t>Moda</t>
        </is>
      </c>
    </row>
    <row r="3888">
      <c r="A3888" t="n">
        <v>3889</v>
      </c>
      <c r="B3888" t="inlineStr">
        <is>
          <t>A-497_2C__306</t>
        </is>
      </c>
      <c r="C3888" s="1" t="n">
        <v>37.2482702196</v>
      </c>
      <c r="D3888" s="1" t="n">
        <v>-7.01836769614</v>
      </c>
      <c r="E3888" s="3" t="n">
        <v>5</v>
      </c>
      <c r="F3888" s="2" t="n">
        <v>4</v>
      </c>
      <c r="G3888" s="4" t="n">
        <v>4</v>
      </c>
      <c r="H3888" s="13" t="n"/>
      <c r="I3888" s="15" t="n"/>
      <c r="J3888" s="19" t="n">
        <v>4</v>
      </c>
      <c r="K3888" s="2" t="inlineStr">
        <is>
          <t>marker_827_361784.png</t>
        </is>
      </c>
      <c r="L3888" s="11">
        <f>HYPERLINK("4\1\" &amp; K3888, "Ver Imagen")</f>
        <v/>
      </c>
      <c r="M3888" t="inlineStr">
        <is>
          <t>Moda</t>
        </is>
      </c>
    </row>
    <row r="3889">
      <c r="A3889" t="n">
        <v>3890</v>
      </c>
      <c r="B3889" t="inlineStr">
        <is>
          <t>A-497_2C__313</t>
        </is>
      </c>
      <c r="C3889" s="1" t="n">
        <v>37.2468993783</v>
      </c>
      <c r="D3889" s="1" t="n">
        <v>-7.01841949338</v>
      </c>
      <c r="E3889" s="3" t="n">
        <v>4</v>
      </c>
      <c r="F3889" s="2" t="n">
        <v>4</v>
      </c>
      <c r="G3889" s="4" t="n">
        <v>5</v>
      </c>
      <c r="H3889" s="13" t="n"/>
      <c r="I3889" s="15" t="n"/>
      <c r="J3889" s="19" t="n">
        <v>4</v>
      </c>
      <c r="K3889" s="2" t="inlineStr">
        <is>
          <t>marker_835_361860.png</t>
        </is>
      </c>
      <c r="L3889" s="11">
        <f>HYPERLINK("4\1\" &amp; K3889, "Ver Imagen")</f>
        <v/>
      </c>
      <c r="M3889" t="inlineStr">
        <is>
          <t>Moda</t>
        </is>
      </c>
    </row>
    <row r="3890">
      <c r="A3890" t="n">
        <v>3891</v>
      </c>
      <c r="B3890" t="inlineStr">
        <is>
          <t>A-497__559</t>
        </is>
      </c>
      <c r="C3890" s="1" t="n">
        <v>37.2044608168</v>
      </c>
      <c r="D3890" s="1" t="n">
        <v>-7.01288810136</v>
      </c>
      <c r="E3890" s="3" t="n">
        <v>4</v>
      </c>
      <c r="F3890" s="2" t="n">
        <v>4</v>
      </c>
      <c r="G3890" s="4" t="n">
        <v>5</v>
      </c>
      <c r="H3890" s="13" t="n"/>
      <c r="I3890" s="15" t="n"/>
      <c r="J3890" s="19" t="n">
        <v>4</v>
      </c>
      <c r="K3890" s="2" t="inlineStr">
        <is>
          <t>marker_362_372153.png</t>
        </is>
      </c>
      <c r="L3890" s="11">
        <f>HYPERLINK("4\1\" &amp; K3890, "Ver Imagen")</f>
        <v/>
      </c>
      <c r="M3890" t="inlineStr">
        <is>
          <t>Moda</t>
        </is>
      </c>
    </row>
    <row r="3891">
      <c r="A3891" t="n">
        <v>3892</v>
      </c>
      <c r="B3891" t="inlineStr">
        <is>
          <t>A-497_2C__321</t>
        </is>
      </c>
      <c r="C3891" s="1" t="n">
        <v>37.2452947912</v>
      </c>
      <c r="D3891" s="1" t="n">
        <v>-7.01847500828</v>
      </c>
      <c r="E3891" s="3" t="n">
        <v>3</v>
      </c>
      <c r="F3891" s="2" t="n">
        <v>4</v>
      </c>
      <c r="G3891" s="4" t="n">
        <v>4</v>
      </c>
      <c r="H3891" s="13" t="n"/>
      <c r="I3891" s="15" t="n"/>
      <c r="J3891" s="19" t="n">
        <v>4</v>
      </c>
      <c r="K3891" s="2" t="inlineStr">
        <is>
          <t>marker_128_361940.png</t>
        </is>
      </c>
      <c r="L3891" s="11">
        <f>HYPERLINK("4\1\" &amp; K3891, "Ver Imagen")</f>
        <v/>
      </c>
      <c r="M3891" t="inlineStr">
        <is>
          <t>Moda</t>
        </is>
      </c>
    </row>
    <row r="3892">
      <c r="A3892" t="n">
        <v>3893</v>
      </c>
      <c r="B3892" t="inlineStr">
        <is>
          <t>A-497_2C__322</t>
        </is>
      </c>
      <c r="C3892" s="1" t="n">
        <v>37.2450581308</v>
      </c>
      <c r="D3892" s="1" t="n">
        <v>-7.0184824288</v>
      </c>
      <c r="E3892" s="3" t="n">
        <v>5</v>
      </c>
      <c r="F3892" s="2" t="n">
        <v>4</v>
      </c>
      <c r="G3892" s="4" t="n">
        <v>4</v>
      </c>
      <c r="H3892" s="13" t="n"/>
      <c r="I3892" s="15" t="n"/>
      <c r="J3892" s="19" t="n">
        <v>4</v>
      </c>
      <c r="K3892" s="2" t="inlineStr">
        <is>
          <t>marker_337_361949.png</t>
        </is>
      </c>
      <c r="L3892" s="11">
        <f>HYPERLINK("4\1\" &amp; K3892, "Ver Imagen")</f>
        <v/>
      </c>
      <c r="M3892" t="inlineStr">
        <is>
          <t>Moda</t>
        </is>
      </c>
    </row>
    <row r="3893">
      <c r="A3893" t="n">
        <v>3894</v>
      </c>
      <c r="B3893" t="inlineStr">
        <is>
          <t>A-497_2C__324</t>
        </is>
      </c>
      <c r="C3893" s="1" t="n">
        <v>37.2446478764</v>
      </c>
      <c r="D3893" s="1" t="n">
        <v>-7.01849803004</v>
      </c>
      <c r="E3893" s="3" t="n">
        <v>4</v>
      </c>
      <c r="F3893" s="2" t="n">
        <v>4</v>
      </c>
      <c r="G3893" s="4" t="n">
        <v>3</v>
      </c>
      <c r="H3893" s="13" t="n"/>
      <c r="I3893" s="15" t="n"/>
      <c r="J3893" s="19" t="n">
        <v>4</v>
      </c>
      <c r="K3893" s="2" t="inlineStr">
        <is>
          <t>marker_832_361966.png</t>
        </is>
      </c>
      <c r="L3893" s="11">
        <f>HYPERLINK("4\1\" &amp; K3893, "Ver Imagen")</f>
        <v/>
      </c>
      <c r="M3893" t="inlineStr">
        <is>
          <t>Moda</t>
        </is>
      </c>
    </row>
    <row r="3894">
      <c r="A3894" t="n">
        <v>3895</v>
      </c>
      <c r="B3894" t="inlineStr">
        <is>
          <t>A-497_2C__329</t>
        </is>
      </c>
      <c r="C3894" s="1" t="n">
        <v>37.2436812187</v>
      </c>
      <c r="D3894" s="1" t="n">
        <v>-7.01853947248</v>
      </c>
      <c r="E3894" s="3" t="n">
        <v>3</v>
      </c>
      <c r="F3894" s="2" t="n">
        <v>4</v>
      </c>
      <c r="G3894" s="4" t="n">
        <v>4</v>
      </c>
      <c r="H3894" s="13" t="n"/>
      <c r="I3894" s="15" t="n"/>
      <c r="J3894" s="19" t="n">
        <v>4</v>
      </c>
      <c r="K3894" s="2" t="inlineStr">
        <is>
          <t>marker_443_362009.png</t>
        </is>
      </c>
      <c r="L3894" s="11">
        <f>HYPERLINK("4\1\" &amp; K3894, "Ver Imagen")</f>
        <v/>
      </c>
      <c r="M3894" t="inlineStr">
        <is>
          <t>Moda</t>
        </is>
      </c>
    </row>
    <row r="3895">
      <c r="A3895" t="n">
        <v>3896</v>
      </c>
      <c r="B3895" t="inlineStr">
        <is>
          <t>A-497_2C__330</t>
        </is>
      </c>
      <c r="C3895" s="1" t="n">
        <v>37.2434466511</v>
      </c>
      <c r="D3895" s="1" t="n">
        <v>-7.01855032305</v>
      </c>
      <c r="E3895" s="3" t="n">
        <v>5</v>
      </c>
      <c r="F3895" s="2" t="n">
        <v>4</v>
      </c>
      <c r="G3895" s="4" t="n">
        <v>4</v>
      </c>
      <c r="H3895" s="13" t="n"/>
      <c r="I3895" s="15" t="n"/>
      <c r="J3895" s="19" t="n">
        <v>4</v>
      </c>
      <c r="K3895" s="2" t="inlineStr">
        <is>
          <t>marker_981_362021.png</t>
        </is>
      </c>
      <c r="L3895" s="11">
        <f>HYPERLINK("4\1\" &amp; K3895, "Ver Imagen")</f>
        <v/>
      </c>
      <c r="M3895" t="inlineStr">
        <is>
          <t>Moda</t>
        </is>
      </c>
    </row>
    <row r="3896">
      <c r="A3896" t="n">
        <v>3897</v>
      </c>
      <c r="B3896" t="inlineStr">
        <is>
          <t>A-497_2C__332</t>
        </is>
      </c>
      <c r="C3896" s="1" t="n">
        <v>37.2430381784</v>
      </c>
      <c r="D3896" s="1" t="n">
        <v>-7.01856546173</v>
      </c>
      <c r="E3896" s="3" t="n">
        <v>4</v>
      </c>
      <c r="F3896" s="2" t="n">
        <v>4</v>
      </c>
      <c r="G3896" s="4" t="n">
        <v>5</v>
      </c>
      <c r="H3896" s="13" t="n"/>
      <c r="I3896" s="15" t="n"/>
      <c r="J3896" s="19" t="n">
        <v>4</v>
      </c>
      <c r="K3896" s="2" t="inlineStr">
        <is>
          <t>marker_159_362037.png</t>
        </is>
      </c>
      <c r="L3896" s="11">
        <f>HYPERLINK("4\1\" &amp; K3896, "Ver Imagen")</f>
        <v/>
      </c>
      <c r="M3896" t="inlineStr">
        <is>
          <t>Moda</t>
        </is>
      </c>
    </row>
    <row r="3897">
      <c r="A3897" t="n">
        <v>3898</v>
      </c>
      <c r="B3897" t="inlineStr">
        <is>
          <t>A-497_2C__336</t>
        </is>
      </c>
      <c r="C3897" s="1" t="n">
        <v>37.2422195309</v>
      </c>
      <c r="D3897" s="1" t="n">
        <v>-7.01858804116</v>
      </c>
      <c r="E3897" s="3" t="n">
        <v>5</v>
      </c>
      <c r="F3897" s="2" t="n">
        <v>4</v>
      </c>
      <c r="G3897" s="4" t="n">
        <v>4</v>
      </c>
      <c r="H3897" s="13" t="n"/>
      <c r="I3897" s="15" t="n"/>
      <c r="J3897" s="19" t="n">
        <v>4</v>
      </c>
      <c r="K3897" s="2" t="inlineStr">
        <is>
          <t>marker_659_362080.png</t>
        </is>
      </c>
      <c r="L3897" s="11">
        <f>HYPERLINK("4\1\" &amp; K3897, "Ver Imagen")</f>
        <v/>
      </c>
      <c r="M3897" t="inlineStr">
        <is>
          <t>Moda</t>
        </is>
      </c>
    </row>
    <row r="3898">
      <c r="A3898" t="n">
        <v>3899</v>
      </c>
      <c r="B3898" t="inlineStr">
        <is>
          <t>A-497_2C__340</t>
        </is>
      </c>
      <c r="C3898" s="1" t="n">
        <v>37.241425613</v>
      </c>
      <c r="D3898" s="1" t="n">
        <v>-7.01861884965</v>
      </c>
      <c r="E3898" s="3" t="n">
        <v>4</v>
      </c>
      <c r="F3898" s="2" t="n">
        <v>4</v>
      </c>
      <c r="G3898" s="4" t="n">
        <v>3</v>
      </c>
      <c r="H3898" s="13" t="n"/>
      <c r="I3898" s="15" t="n"/>
      <c r="J3898" s="19" t="n">
        <v>4</v>
      </c>
      <c r="K3898" s="2" t="inlineStr">
        <is>
          <t>marker_267_362128.png</t>
        </is>
      </c>
      <c r="L3898" s="11">
        <f>HYPERLINK("4\1\" &amp; K3898, "Ver Imagen")</f>
        <v/>
      </c>
      <c r="M3898" t="inlineStr">
        <is>
          <t>Moda</t>
        </is>
      </c>
    </row>
    <row r="3899">
      <c r="A3899" t="n">
        <v>3900</v>
      </c>
      <c r="B3899" t="inlineStr">
        <is>
          <t>A-497_2C__343</t>
        </is>
      </c>
      <c r="C3899" s="1" t="n">
        <v>37.2408271656</v>
      </c>
      <c r="D3899" s="1" t="n">
        <v>-7.01864422326</v>
      </c>
      <c r="E3899" s="3" t="n">
        <v>4</v>
      </c>
      <c r="F3899" s="2" t="n">
        <v>4</v>
      </c>
      <c r="G3899" s="4" t="n">
        <v>3</v>
      </c>
      <c r="H3899" s="13" t="n"/>
      <c r="I3899" s="15" t="n"/>
      <c r="J3899" s="19" t="n">
        <v>4</v>
      </c>
      <c r="K3899" s="2" t="inlineStr">
        <is>
          <t>marker_188_362155.png</t>
        </is>
      </c>
      <c r="L3899" s="11">
        <f>HYPERLINK("4\1\" &amp; K3899, "Ver Imagen")</f>
        <v/>
      </c>
      <c r="M3899" t="inlineStr">
        <is>
          <t>Moda</t>
        </is>
      </c>
    </row>
    <row r="3900">
      <c r="A3900" t="n">
        <v>3901</v>
      </c>
      <c r="B3900" t="inlineStr">
        <is>
          <t>A-497_2C__365</t>
        </is>
      </c>
      <c r="C3900" s="1" t="n">
        <v>37.2364061554</v>
      </c>
      <c r="D3900" s="1" t="n">
        <v>-7.0186341511</v>
      </c>
      <c r="E3900" s="3" t="n">
        <v>5</v>
      </c>
      <c r="F3900" s="2" t="n">
        <v>4</v>
      </c>
      <c r="G3900" s="4" t="n">
        <v>4</v>
      </c>
      <c r="H3900" s="13" t="n"/>
      <c r="I3900" s="15" t="n"/>
      <c r="J3900" s="19" t="n">
        <v>4</v>
      </c>
      <c r="K3900" s="2" t="inlineStr">
        <is>
          <t>marker_102_362414.png</t>
        </is>
      </c>
      <c r="L3900" s="11">
        <f>HYPERLINK("4\1\" &amp; K3900, "Ver Imagen")</f>
        <v/>
      </c>
      <c r="M3900" t="inlineStr">
        <is>
          <t>Moda</t>
        </is>
      </c>
    </row>
    <row r="3901">
      <c r="A3901" t="n">
        <v>3902</v>
      </c>
      <c r="B3901" t="inlineStr">
        <is>
          <t>A-497_2C__366</t>
        </is>
      </c>
      <c r="C3901" s="1" t="n">
        <v>37.2361509877</v>
      </c>
      <c r="D3901" s="1" t="n">
        <v>-7.01857841223</v>
      </c>
      <c r="E3901" s="3" t="n">
        <v>5</v>
      </c>
      <c r="F3901" s="2" t="n">
        <v>4</v>
      </c>
      <c r="G3901" s="4" t="n">
        <v>4</v>
      </c>
      <c r="H3901" s="13" t="n"/>
      <c r="I3901" s="15" t="n"/>
      <c r="J3901" s="19" t="n">
        <v>4</v>
      </c>
      <c r="K3901" s="2" t="inlineStr">
        <is>
          <t>marker_629_362424.png</t>
        </is>
      </c>
      <c r="L3901" s="11">
        <f>HYPERLINK("4\1\" &amp; K3901, "Ver Imagen")</f>
        <v/>
      </c>
      <c r="M3901" t="inlineStr">
        <is>
          <t>Moda</t>
        </is>
      </c>
    </row>
    <row r="3902">
      <c r="A3902" t="n">
        <v>3903</v>
      </c>
      <c r="B3902" t="inlineStr">
        <is>
          <t>A-497_2C__392</t>
        </is>
      </c>
      <c r="C3902" s="1" t="n">
        <v>37.2311675343</v>
      </c>
      <c r="D3902" s="1" t="n">
        <v>-7.01957425097</v>
      </c>
      <c r="E3902" s="3" t="n">
        <v>5</v>
      </c>
      <c r="F3902" s="2" t="n">
        <v>4</v>
      </c>
      <c r="G3902" s="4" t="n">
        <v>4</v>
      </c>
      <c r="H3902" s="13" t="n"/>
      <c r="I3902" s="15" t="n"/>
      <c r="J3902" s="19" t="n">
        <v>4</v>
      </c>
      <c r="K3902" s="2" t="inlineStr">
        <is>
          <t>marker_377_362827.png</t>
        </is>
      </c>
      <c r="L3902" s="11">
        <f>HYPERLINK("4\1\" &amp; K3902, "Ver Imagen")</f>
        <v/>
      </c>
      <c r="M3902" t="inlineStr">
        <is>
          <t>Moda</t>
        </is>
      </c>
    </row>
    <row r="3903">
      <c r="A3903" t="n">
        <v>3904</v>
      </c>
      <c r="B3903" t="inlineStr">
        <is>
          <t>A-497_2C__444</t>
        </is>
      </c>
      <c r="C3903" s="1" t="n">
        <v>37.2214178002</v>
      </c>
      <c r="D3903" s="1" t="n">
        <v>-7.0230902978</v>
      </c>
      <c r="E3903" s="3" t="n">
        <v>4</v>
      </c>
      <c r="F3903" s="2" t="n">
        <v>4</v>
      </c>
      <c r="G3903" s="4" t="n">
        <v>5</v>
      </c>
      <c r="H3903" s="13" t="n"/>
      <c r="I3903" s="15" t="n"/>
      <c r="J3903" s="19" t="n">
        <v>4</v>
      </c>
      <c r="K3903" s="2" t="inlineStr">
        <is>
          <t>marker_127_363355.png</t>
        </is>
      </c>
      <c r="L3903" s="11">
        <f>HYPERLINK("4\1\" &amp; K3903, "Ver Imagen")</f>
        <v/>
      </c>
      <c r="M3903" t="inlineStr">
        <is>
          <t>Moda</t>
        </is>
      </c>
    </row>
    <row r="3904">
      <c r="A3904" t="n">
        <v>3905</v>
      </c>
      <c r="B3904" t="inlineStr">
        <is>
          <t>A-497_2C__447</t>
        </is>
      </c>
      <c r="C3904" s="1" t="n">
        <v>37.2208186965</v>
      </c>
      <c r="D3904" s="1" t="n">
        <v>-7.02303618688</v>
      </c>
      <c r="E3904" s="3" t="n">
        <v>4</v>
      </c>
      <c r="F3904" s="2" t="n">
        <v>4</v>
      </c>
      <c r="G3904" s="4" t="n">
        <v>5</v>
      </c>
      <c r="H3904" s="13" t="n"/>
      <c r="I3904" s="15" t="n"/>
      <c r="J3904" s="19" t="n">
        <v>4</v>
      </c>
      <c r="K3904" s="2" t="inlineStr">
        <is>
          <t>marker_534_363382.png</t>
        </is>
      </c>
      <c r="L3904" s="11">
        <f>HYPERLINK("4\1\" &amp; K3904, "Ver Imagen")</f>
        <v/>
      </c>
      <c r="M3904" t="inlineStr">
        <is>
          <t>Moda</t>
        </is>
      </c>
    </row>
    <row r="3905">
      <c r="A3905" t="n">
        <v>3906</v>
      </c>
      <c r="B3905" t="inlineStr">
        <is>
          <t>A-497_2C__463</t>
        </is>
      </c>
      <c r="C3905" s="1" t="n">
        <v>37.2176143825</v>
      </c>
      <c r="D3905" s="1" t="n">
        <v>-7.02313007094</v>
      </c>
      <c r="E3905" s="3" t="n">
        <v>4</v>
      </c>
      <c r="F3905" s="2" t="n">
        <v>4</v>
      </c>
      <c r="G3905" s="4" t="n">
        <v>3</v>
      </c>
      <c r="H3905" s="13" t="n"/>
      <c r="I3905" s="15" t="n"/>
      <c r="J3905" s="19" t="n">
        <v>4</v>
      </c>
      <c r="K3905" s="2" t="inlineStr">
        <is>
          <t>marker_330_363567.png</t>
        </is>
      </c>
      <c r="L3905" s="11">
        <f>HYPERLINK("4\1\" &amp; K3905, "Ver Imagen")</f>
        <v/>
      </c>
      <c r="M3905" t="inlineStr">
        <is>
          <t>Moda</t>
        </is>
      </c>
    </row>
    <row r="3906">
      <c r="A3906" t="n">
        <v>3907</v>
      </c>
      <c r="B3906" t="inlineStr">
        <is>
          <t>A-497_2C__464</t>
        </is>
      </c>
      <c r="C3906" s="1" t="n">
        <v>37.2173934795</v>
      </c>
      <c r="D3906" s="1" t="n">
        <v>-7.0231676533</v>
      </c>
      <c r="E3906" s="3" t="n">
        <v>3</v>
      </c>
      <c r="F3906" s="2" t="n">
        <v>4</v>
      </c>
      <c r="G3906" s="4" t="n">
        <v>4</v>
      </c>
      <c r="H3906" s="13" t="n"/>
      <c r="I3906" s="15" t="n"/>
      <c r="J3906" s="19" t="n">
        <v>4</v>
      </c>
      <c r="K3906" s="2" t="inlineStr">
        <is>
          <t>marker_775_363576.png</t>
        </is>
      </c>
      <c r="L3906" s="11">
        <f>HYPERLINK("4\1\" &amp; K3906, "Ver Imagen")</f>
        <v/>
      </c>
      <c r="M3906" t="inlineStr">
        <is>
          <t>Moda</t>
        </is>
      </c>
    </row>
    <row r="3907">
      <c r="A3907" t="n">
        <v>3908</v>
      </c>
      <c r="B3907" t="inlineStr">
        <is>
          <t>A-497_2C__467</t>
        </is>
      </c>
      <c r="C3907" s="1" t="n">
        <v>37.2168246019</v>
      </c>
      <c r="D3907" s="1" t="n">
        <v>-7.02327013019</v>
      </c>
      <c r="E3907" s="3" t="n">
        <v>3</v>
      </c>
      <c r="F3907" s="2" t="n">
        <v>4</v>
      </c>
      <c r="G3907" s="4" t="n">
        <v>4</v>
      </c>
      <c r="H3907" s="13" t="n"/>
      <c r="I3907" s="15" t="n"/>
      <c r="J3907" s="19" t="n">
        <v>4</v>
      </c>
      <c r="K3907" s="2" t="inlineStr">
        <is>
          <t>marker_100_363609.png</t>
        </is>
      </c>
      <c r="L3907" s="11">
        <f>HYPERLINK("4\1\" &amp; K3907, "Ver Imagen")</f>
        <v/>
      </c>
      <c r="M3907" t="inlineStr">
        <is>
          <t>Moda</t>
        </is>
      </c>
    </row>
    <row r="3908">
      <c r="A3908" t="n">
        <v>3909</v>
      </c>
      <c r="B3908" t="inlineStr">
        <is>
          <t>A-497_2C__474</t>
        </is>
      </c>
      <c r="C3908" s="1" t="n">
        <v>37.2153990825</v>
      </c>
      <c r="D3908" s="1" t="n">
        <v>-7.02351660609</v>
      </c>
      <c r="E3908" s="3" t="n">
        <v>4</v>
      </c>
      <c r="F3908" s="2" t="n">
        <v>4</v>
      </c>
      <c r="G3908" s="4" t="n">
        <v>3</v>
      </c>
      <c r="H3908" s="13" t="n"/>
      <c r="I3908" s="15" t="n"/>
      <c r="J3908" s="19" t="n">
        <v>4</v>
      </c>
      <c r="K3908" s="2" t="inlineStr">
        <is>
          <t>marker_267_363686.png</t>
        </is>
      </c>
      <c r="L3908" s="11">
        <f>HYPERLINK("4\1\" &amp; K3908, "Ver Imagen")</f>
        <v/>
      </c>
      <c r="M3908" t="inlineStr">
        <is>
          <t>Moda</t>
        </is>
      </c>
    </row>
    <row r="3909">
      <c r="A3909" t="n">
        <v>3910</v>
      </c>
      <c r="B3909" t="inlineStr">
        <is>
          <t>A-497_2C__553</t>
        </is>
      </c>
      <c r="C3909" s="1" t="n">
        <v>37.2044343071</v>
      </c>
      <c r="D3909" s="1" t="n">
        <v>-7.0135300114</v>
      </c>
      <c r="E3909" s="3" t="n">
        <v>3</v>
      </c>
      <c r="F3909" s="2" t="n">
        <v>4</v>
      </c>
      <c r="G3909" s="4" t="n">
        <v>4</v>
      </c>
      <c r="H3909" s="13" t="n"/>
      <c r="I3909" s="15" t="n"/>
      <c r="J3909" s="19" t="n">
        <v>4</v>
      </c>
      <c r="K3909" s="2" t="inlineStr">
        <is>
          <t>marker_652_364718.png</t>
        </is>
      </c>
      <c r="L3909" s="11">
        <f>HYPERLINK("4\1\" &amp; K3909, "Ver Imagen")</f>
        <v/>
      </c>
      <c r="M3909" t="inlineStr">
        <is>
          <t>Moda</t>
        </is>
      </c>
    </row>
    <row r="3910">
      <c r="A3910" t="n">
        <v>3911</v>
      </c>
      <c r="B3910" t="inlineStr">
        <is>
          <t>A-497_2C__554</t>
        </is>
      </c>
      <c r="C3910" s="1" t="n">
        <v>37.2043921865</v>
      </c>
      <c r="D3910" s="1" t="n">
        <v>-7.01330361938</v>
      </c>
      <c r="E3910" s="3" t="n">
        <v>3</v>
      </c>
      <c r="F3910" s="2" t="n">
        <v>4</v>
      </c>
      <c r="G3910" s="4" t="n">
        <v>4</v>
      </c>
      <c r="H3910" s="13" t="n"/>
      <c r="I3910" s="15" t="n"/>
      <c r="J3910" s="19" t="n">
        <v>4</v>
      </c>
      <c r="K3910" s="2" t="inlineStr">
        <is>
          <t>marker_737_366317.png</t>
        </is>
      </c>
      <c r="L3910" s="11">
        <f>HYPERLINK("4\1\" &amp; K3910, "Ver Imagen")</f>
        <v/>
      </c>
      <c r="M3910" t="inlineStr">
        <is>
          <t>Moda</t>
        </is>
      </c>
    </row>
    <row r="3911">
      <c r="A3911" t="n">
        <v>3912</v>
      </c>
      <c r="B3911" t="inlineStr">
        <is>
          <t>A-497_2C__555</t>
        </is>
      </c>
      <c r="C3911" s="1" t="n">
        <v>37.2043518257</v>
      </c>
      <c r="D3911" s="1" t="n">
        <v>-7.01308419638</v>
      </c>
      <c r="E3911" s="3" t="n">
        <v>3</v>
      </c>
      <c r="F3911" s="2" t="n">
        <v>4</v>
      </c>
      <c r="G3911" s="4" t="n">
        <v>4</v>
      </c>
      <c r="H3911" s="13" t="n"/>
      <c r="I3911" s="15" t="n"/>
      <c r="J3911" s="19" t="n">
        <v>4</v>
      </c>
      <c r="K3911" s="2" t="inlineStr">
        <is>
          <t>marker_556_366327.png</t>
        </is>
      </c>
      <c r="L3911" s="11">
        <f>HYPERLINK("4\1\" &amp; K3911, "Ver Imagen")</f>
        <v/>
      </c>
      <c r="M3911" t="inlineStr">
        <is>
          <t>Moda</t>
        </is>
      </c>
    </row>
    <row r="3912">
      <c r="A3912" t="n">
        <v>3913</v>
      </c>
      <c r="B3912" t="inlineStr">
        <is>
          <t>A-497_2C__565</t>
        </is>
      </c>
      <c r="C3912" s="1" t="n">
        <v>37.203905348</v>
      </c>
      <c r="D3912" s="1" t="n">
        <v>-7.0105494081</v>
      </c>
      <c r="E3912" s="3" t="n">
        <v>4</v>
      </c>
      <c r="F3912" s="2" t="n">
        <v>4</v>
      </c>
      <c r="G3912" s="4" t="n">
        <v>3</v>
      </c>
      <c r="H3912" s="13" t="n"/>
      <c r="I3912" s="15" t="n"/>
      <c r="J3912" s="19" t="n">
        <v>4</v>
      </c>
      <c r="K3912" s="2" t="inlineStr">
        <is>
          <t>marker_224_366432.png</t>
        </is>
      </c>
      <c r="L3912" s="11">
        <f>HYPERLINK("4\1\" &amp; K3912, "Ver Imagen")</f>
        <v/>
      </c>
      <c r="M3912" t="inlineStr">
        <is>
          <t>Moda</t>
        </is>
      </c>
    </row>
    <row r="3913">
      <c r="A3913" t="n">
        <v>3914</v>
      </c>
      <c r="B3913" t="inlineStr">
        <is>
          <t>A-497_2C__584</t>
        </is>
      </c>
      <c r="C3913" s="1" t="n">
        <v>37.2032004015</v>
      </c>
      <c r="D3913" s="1" t="n">
        <v>-7.00582198922</v>
      </c>
      <c r="E3913" s="3" t="n">
        <v>4</v>
      </c>
      <c r="F3913" s="2" t="n">
        <v>4</v>
      </c>
      <c r="G3913" s="4" t="n">
        <v>3</v>
      </c>
      <c r="H3913" s="13" t="n"/>
      <c r="I3913" s="15" t="n"/>
      <c r="J3913" s="19" t="n">
        <v>4</v>
      </c>
      <c r="K3913" s="2" t="inlineStr">
        <is>
          <t>marker_348_366609.png</t>
        </is>
      </c>
      <c r="L3913" s="11">
        <f>HYPERLINK("4\1\" &amp; K3913, "Ver Imagen")</f>
        <v/>
      </c>
      <c r="M3913" t="inlineStr">
        <is>
          <t>Moda</t>
        </is>
      </c>
    </row>
    <row r="3914">
      <c r="A3914" t="n">
        <v>3915</v>
      </c>
      <c r="B3914" t="inlineStr">
        <is>
          <t>A-497_2C__585</t>
        </is>
      </c>
      <c r="C3914" s="1" t="n">
        <v>37.2031694468</v>
      </c>
      <c r="D3914" s="1" t="n">
        <v>-7.00559488429</v>
      </c>
      <c r="E3914" s="3" t="n">
        <v>4</v>
      </c>
      <c r="F3914" s="2" t="n">
        <v>4</v>
      </c>
      <c r="G3914" s="4" t="n">
        <v>3</v>
      </c>
      <c r="H3914" s="13" t="n"/>
      <c r="I3914" s="15" t="n"/>
      <c r="J3914" s="19" t="n">
        <v>4</v>
      </c>
      <c r="K3914" s="2" t="inlineStr">
        <is>
          <t>marker_871_366616.png</t>
        </is>
      </c>
      <c r="L3914" s="11">
        <f>HYPERLINK("4\1\" &amp; K3914, "Ver Imagen")</f>
        <v/>
      </c>
      <c r="M3914" t="inlineStr">
        <is>
          <t>Moda</t>
        </is>
      </c>
    </row>
    <row r="3915">
      <c r="A3915" t="n">
        <v>3916</v>
      </c>
      <c r="B3915" t="inlineStr">
        <is>
          <t>A-497_2C__591</t>
        </is>
      </c>
      <c r="C3915" s="1" t="n">
        <v>37.2029826141</v>
      </c>
      <c r="D3915" s="1" t="n">
        <v>-7.00411234586</v>
      </c>
      <c r="E3915" s="3" t="n">
        <v>3</v>
      </c>
      <c r="F3915" s="2" t="n">
        <v>4</v>
      </c>
      <c r="G3915" s="4" t="n">
        <v>4</v>
      </c>
      <c r="H3915" s="13" t="n"/>
      <c r="I3915" s="15" t="n"/>
      <c r="J3915" s="19" t="n">
        <v>4</v>
      </c>
      <c r="K3915" s="2" t="inlineStr">
        <is>
          <t>marker_892_366680.png</t>
        </is>
      </c>
      <c r="L3915" s="11">
        <f>HYPERLINK("4\1\" &amp; K3915, "Ver Imagen")</f>
        <v/>
      </c>
      <c r="M3915" t="inlineStr">
        <is>
          <t>Moda</t>
        </is>
      </c>
    </row>
    <row r="3916">
      <c r="A3916" t="n">
        <v>3917</v>
      </c>
      <c r="B3916" t="inlineStr">
        <is>
          <t>A-497_2C__600</t>
        </is>
      </c>
      <c r="C3916" s="1" t="n">
        <v>37.2027357431</v>
      </c>
      <c r="D3916" s="1" t="n">
        <v>-7.00189216967</v>
      </c>
      <c r="E3916" s="3" t="n">
        <v>3</v>
      </c>
      <c r="F3916" s="2" t="n">
        <v>4</v>
      </c>
      <c r="G3916" s="4" t="n">
        <v>4</v>
      </c>
      <c r="H3916" s="13" t="n"/>
      <c r="I3916" s="15" t="n"/>
      <c r="J3916" s="19" t="n">
        <v>4</v>
      </c>
      <c r="K3916" s="2" t="inlineStr">
        <is>
          <t>marker_460_366763.png</t>
        </is>
      </c>
      <c r="L3916" s="11">
        <f>HYPERLINK("4\1\" &amp; K3916, "Ver Imagen")</f>
        <v/>
      </c>
      <c r="M3916" t="inlineStr">
        <is>
          <t>Moda</t>
        </is>
      </c>
    </row>
    <row r="3917">
      <c r="A3917" t="n">
        <v>3918</v>
      </c>
      <c r="B3917" t="inlineStr">
        <is>
          <t>A-497_2C__623</t>
        </is>
      </c>
      <c r="C3917" s="1" t="n">
        <v>37.201940321</v>
      </c>
      <c r="D3917" s="1" t="n">
        <v>-6.99608278553</v>
      </c>
      <c r="E3917" s="3" t="n">
        <v>4</v>
      </c>
      <c r="F3917" s="2" t="n">
        <v>4</v>
      </c>
      <c r="G3917" s="4" t="n">
        <v>3</v>
      </c>
      <c r="H3917" s="13" t="n"/>
      <c r="I3917" s="15" t="n"/>
      <c r="J3917" s="19" t="n">
        <v>4</v>
      </c>
      <c r="K3917" s="2" t="inlineStr">
        <is>
          <t>marker_417_367017.png</t>
        </is>
      </c>
      <c r="L3917" s="11">
        <f>HYPERLINK("4\1\" &amp; K3917, "Ver Imagen")</f>
        <v/>
      </c>
      <c r="M3917" t="inlineStr">
        <is>
          <t>Moda</t>
        </is>
      </c>
    </row>
    <row r="3918">
      <c r="A3918" t="n">
        <v>3919</v>
      </c>
      <c r="B3918" t="inlineStr">
        <is>
          <t>A-497__404</t>
        </is>
      </c>
      <c r="C3918" s="1" t="n">
        <v>37.2298792412</v>
      </c>
      <c r="D3918" s="1" t="n">
        <v>-7.02035050843</v>
      </c>
      <c r="E3918" s="3" t="n">
        <v>4</v>
      </c>
      <c r="F3918" s="2" t="n">
        <v>4</v>
      </c>
      <c r="G3918" s="4" t="n">
        <v>3</v>
      </c>
      <c r="H3918" s="13" t="n"/>
      <c r="I3918" s="15" t="n"/>
      <c r="J3918" s="19" t="n">
        <v>4</v>
      </c>
      <c r="K3918" s="2" t="inlineStr">
        <is>
          <t>marker_107_377155.png</t>
        </is>
      </c>
      <c r="L3918" s="11">
        <f>HYPERLINK("4\1\" &amp; K3918, "Ver Imagen")</f>
        <v/>
      </c>
      <c r="M3918" t="inlineStr">
        <is>
          <t>Moda</t>
        </is>
      </c>
    </row>
    <row r="3919">
      <c r="A3919" t="n">
        <v>3920</v>
      </c>
      <c r="B3919" t="inlineStr">
        <is>
          <t>A-497__403</t>
        </is>
      </c>
      <c r="C3919" s="1" t="n">
        <v>37.2300584112</v>
      </c>
      <c r="D3919" s="1" t="n">
        <v>-7.02021279608</v>
      </c>
      <c r="E3919" s="3" t="n">
        <v>4</v>
      </c>
      <c r="F3919" s="2" t="n">
        <v>4</v>
      </c>
      <c r="G3919" s="4" t="n">
        <v>3</v>
      </c>
      <c r="H3919" s="13" t="n"/>
      <c r="I3919" s="15" t="n"/>
      <c r="J3919" s="19" t="n">
        <v>4</v>
      </c>
      <c r="K3919" s="2" t="inlineStr">
        <is>
          <t>marker_899_377164.png</t>
        </is>
      </c>
      <c r="L3919" s="11">
        <f>HYPERLINK("4\1\" &amp; K3919, "Ver Imagen")</f>
        <v/>
      </c>
      <c r="M3919" t="inlineStr">
        <is>
          <t>Moda</t>
        </is>
      </c>
    </row>
    <row r="3920">
      <c r="A3920" t="n">
        <v>3921</v>
      </c>
      <c r="B3920" t="inlineStr">
        <is>
          <t>A-497__402</t>
        </is>
      </c>
      <c r="C3920" s="1" t="n">
        <v>37.2302791098</v>
      </c>
      <c r="D3920" s="1" t="n">
        <v>-7.02004244231</v>
      </c>
      <c r="E3920" s="3" t="n">
        <v>4</v>
      </c>
      <c r="F3920" s="2" t="n">
        <v>4</v>
      </c>
      <c r="G3920" s="4" t="n">
        <v>3</v>
      </c>
      <c r="H3920" s="13" t="n"/>
      <c r="I3920" s="15" t="n"/>
      <c r="J3920" s="19" t="n">
        <v>4</v>
      </c>
      <c r="K3920" s="2" t="inlineStr">
        <is>
          <t>marker_394_377176.png</t>
        </is>
      </c>
      <c r="L3920" s="11">
        <f>HYPERLINK("4\1\" &amp; K3920, "Ver Imagen")</f>
        <v/>
      </c>
      <c r="M3920" t="inlineStr">
        <is>
          <t>Moda</t>
        </is>
      </c>
    </row>
    <row r="3921">
      <c r="A3921" t="n">
        <v>3922</v>
      </c>
      <c r="B3921" t="inlineStr">
        <is>
          <t>A-497__400</t>
        </is>
      </c>
      <c r="C3921" s="1" t="n">
        <v>37.2306386635</v>
      </c>
      <c r="D3921" s="1" t="n">
        <v>-7.01976575165</v>
      </c>
      <c r="E3921" s="3" t="n">
        <v>4</v>
      </c>
      <c r="F3921" s="2" t="n">
        <v>4</v>
      </c>
      <c r="G3921" s="4" t="n">
        <v>3</v>
      </c>
      <c r="H3921" s="13" t="n"/>
      <c r="I3921" s="15" t="n"/>
      <c r="J3921" s="19" t="n">
        <v>4</v>
      </c>
      <c r="K3921" s="2" t="inlineStr">
        <is>
          <t>marker_263_377194.png</t>
        </is>
      </c>
      <c r="L3921" s="11">
        <f>HYPERLINK("4\1\" &amp; K3921, "Ver Imagen")</f>
        <v/>
      </c>
      <c r="M3921" t="inlineStr">
        <is>
          <t>Moda</t>
        </is>
      </c>
    </row>
    <row r="3922">
      <c r="A3922" t="n">
        <v>3923</v>
      </c>
      <c r="B3922" t="inlineStr">
        <is>
          <t>A-497__399</t>
        </is>
      </c>
      <c r="C3922" s="1" t="n">
        <v>37.2307795533</v>
      </c>
      <c r="D3922" s="1" t="n">
        <v>-7.01965744619</v>
      </c>
      <c r="E3922" s="3" t="n">
        <v>4</v>
      </c>
      <c r="F3922" s="2" t="n">
        <v>4</v>
      </c>
      <c r="G3922" s="4" t="n">
        <v>3</v>
      </c>
      <c r="H3922" s="13" t="n"/>
      <c r="I3922" s="15" t="n"/>
      <c r="J3922" s="19" t="n">
        <v>4</v>
      </c>
      <c r="K3922" s="2" t="inlineStr">
        <is>
          <t>marker_411_377202.png</t>
        </is>
      </c>
      <c r="L3922" s="11">
        <f>HYPERLINK("4\1\" &amp; K3922, "Ver Imagen")</f>
        <v/>
      </c>
      <c r="M3922" t="inlineStr">
        <is>
          <t>Moda</t>
        </is>
      </c>
    </row>
    <row r="3923">
      <c r="A3923" t="n">
        <v>3924</v>
      </c>
      <c r="B3923" t="inlineStr">
        <is>
          <t>A-497__398</t>
        </is>
      </c>
      <c r="C3923" s="1" t="n">
        <v>37.2309272163</v>
      </c>
      <c r="D3923" s="1" t="n">
        <v>-7.01954404792</v>
      </c>
      <c r="E3923" s="3" t="n">
        <v>4</v>
      </c>
      <c r="F3923" s="2" t="n">
        <v>4</v>
      </c>
      <c r="G3923" s="4" t="n">
        <v>3</v>
      </c>
      <c r="H3923" s="13" t="n"/>
      <c r="I3923" s="15" t="n"/>
      <c r="J3923" s="19" t="n">
        <v>4</v>
      </c>
      <c r="K3923" s="2" t="inlineStr">
        <is>
          <t>marker_112_377211.png</t>
        </is>
      </c>
      <c r="L3923" s="11">
        <f>HYPERLINK("4\1\" &amp; K3923, "Ver Imagen")</f>
        <v/>
      </c>
      <c r="M3923" t="inlineStr">
        <is>
          <t>Moda</t>
        </is>
      </c>
    </row>
    <row r="3924">
      <c r="A3924" t="n">
        <v>3925</v>
      </c>
      <c r="B3924" t="inlineStr">
        <is>
          <t>A-497__310</t>
        </is>
      </c>
      <c r="C3924" s="1" t="n">
        <v>37.2484489821</v>
      </c>
      <c r="D3924" s="1" t="n">
        <v>-7.01816099673</v>
      </c>
      <c r="E3924" s="3" t="n">
        <v>4</v>
      </c>
      <c r="F3924" s="2" t="n">
        <v>4</v>
      </c>
      <c r="G3924" s="4" t="n">
        <v>3</v>
      </c>
      <c r="H3924" s="13" t="n"/>
      <c r="I3924" s="15" t="n"/>
      <c r="J3924" s="19" t="n">
        <v>4</v>
      </c>
      <c r="K3924" s="2" t="inlineStr">
        <is>
          <t>marker_344_378099.png</t>
        </is>
      </c>
      <c r="L3924" s="11">
        <f>HYPERLINK("4\1\" &amp; K3924, "Ver Imagen")</f>
        <v/>
      </c>
      <c r="M3924" t="inlineStr">
        <is>
          <t>Moda</t>
        </is>
      </c>
    </row>
    <row r="3925">
      <c r="A3925" t="n">
        <v>3926</v>
      </c>
      <c r="B3925" t="inlineStr">
        <is>
          <t>A-497__304</t>
        </is>
      </c>
      <c r="C3925" s="1" t="n">
        <v>37.2496339506</v>
      </c>
      <c r="D3925" s="1" t="n">
        <v>-7.01796018659</v>
      </c>
      <c r="E3925" s="3" t="n">
        <v>3</v>
      </c>
      <c r="F3925" s="2" t="n">
        <v>4</v>
      </c>
      <c r="G3925" s="4" t="n">
        <v>4</v>
      </c>
      <c r="H3925" s="13" t="n"/>
      <c r="I3925" s="15" t="n"/>
      <c r="J3925" s="19" t="n">
        <v>4</v>
      </c>
      <c r="K3925" s="2" t="inlineStr">
        <is>
          <t>marker_726_378162.png</t>
        </is>
      </c>
      <c r="L3925" s="11">
        <f>HYPERLINK("4\1\" &amp; K3925, "Ver Imagen")</f>
        <v/>
      </c>
      <c r="M3925" t="inlineStr">
        <is>
          <t>Moda</t>
        </is>
      </c>
    </row>
    <row r="3926">
      <c r="A3926" t="n">
        <v>3927</v>
      </c>
      <c r="B3926" t="inlineStr">
        <is>
          <t>A-497__279</t>
        </is>
      </c>
      <c r="C3926" s="1" t="n">
        <v>37.2541926003</v>
      </c>
      <c r="D3926" s="1" t="n">
        <v>-7.01520826389</v>
      </c>
      <c r="E3926" s="3" t="n">
        <v>3</v>
      </c>
      <c r="F3926" s="2" t="n">
        <v>4</v>
      </c>
      <c r="G3926" s="4" t="n">
        <v>4</v>
      </c>
      <c r="H3926" s="13" t="n"/>
      <c r="I3926" s="15" t="n"/>
      <c r="J3926" s="19" t="n">
        <v>4</v>
      </c>
      <c r="K3926" s="2" t="inlineStr">
        <is>
          <t>marker_745_378487.png</t>
        </is>
      </c>
      <c r="L3926" s="11">
        <f>HYPERLINK("4\1\" &amp; K3926, "Ver Imagen")</f>
        <v/>
      </c>
      <c r="M3926" t="inlineStr">
        <is>
          <t>Moda</t>
        </is>
      </c>
    </row>
    <row r="3927">
      <c r="A3927" t="n">
        <v>3928</v>
      </c>
      <c r="B3927" t="inlineStr">
        <is>
          <t>A-497__277</t>
        </is>
      </c>
      <c r="C3927" s="1" t="n">
        <v>37.2545212772</v>
      </c>
      <c r="D3927" s="1" t="n">
        <v>-7.01499693507</v>
      </c>
      <c r="E3927" s="3" t="n">
        <v>4</v>
      </c>
      <c r="F3927" s="2" t="n">
        <v>4</v>
      </c>
      <c r="G3927" s="4" t="n">
        <v>3</v>
      </c>
      <c r="H3927" s="13" t="n"/>
      <c r="I3927" s="15" t="n"/>
      <c r="J3927" s="19" t="n">
        <v>4</v>
      </c>
      <c r="K3927" s="2" t="inlineStr">
        <is>
          <t>marker_670_378505.png</t>
        </is>
      </c>
      <c r="L3927" s="11">
        <f>HYPERLINK("4\1\" &amp; K3927, "Ver Imagen")</f>
        <v/>
      </c>
      <c r="M3927" t="inlineStr">
        <is>
          <t>Moda</t>
        </is>
      </c>
    </row>
    <row r="3928">
      <c r="A3928" t="n">
        <v>3929</v>
      </c>
      <c r="B3928" t="inlineStr">
        <is>
          <t>A-497__226</t>
        </is>
      </c>
      <c r="C3928" s="1" t="n">
        <v>37.2631178044</v>
      </c>
      <c r="D3928" s="1" t="n">
        <v>-7.00817947003</v>
      </c>
      <c r="E3928" s="3" t="n">
        <v>4</v>
      </c>
      <c r="F3928" s="2" t="n">
        <v>4</v>
      </c>
      <c r="G3928" s="4" t="n">
        <v>3</v>
      </c>
      <c r="H3928" s="13" t="n"/>
      <c r="I3928" s="15" t="n"/>
      <c r="J3928" s="19" t="n">
        <v>4</v>
      </c>
      <c r="K3928" s="2" t="inlineStr">
        <is>
          <t>marker_453_379079.png</t>
        </is>
      </c>
      <c r="L3928" s="11">
        <f>HYPERLINK("4\1\" &amp; K3928, "Ver Imagen")</f>
        <v/>
      </c>
      <c r="M3928" t="inlineStr">
        <is>
          <t>Moda</t>
        </is>
      </c>
    </row>
    <row r="3929">
      <c r="A3929" t="n">
        <v>3930</v>
      </c>
      <c r="B3929" t="inlineStr">
        <is>
          <t>A-497__220</t>
        </is>
      </c>
      <c r="C3929" s="1" t="n">
        <v>37.2634786059</v>
      </c>
      <c r="D3929" s="1" t="n">
        <v>-7.00679077171</v>
      </c>
      <c r="E3929" s="3" t="n">
        <v>4</v>
      </c>
      <c r="F3929" s="2" t="n">
        <v>4</v>
      </c>
      <c r="G3929" s="4" t="n">
        <v>3</v>
      </c>
      <c r="H3929" s="13" t="n"/>
      <c r="I3929" s="15" t="n"/>
      <c r="J3929" s="19" t="n">
        <v>4</v>
      </c>
      <c r="K3929" s="2" t="inlineStr">
        <is>
          <t>marker_639_379144.png</t>
        </is>
      </c>
      <c r="L3929" s="11">
        <f>HYPERLINK("4\1\" &amp; K3929, "Ver Imagen")</f>
        <v/>
      </c>
      <c r="M3929" t="inlineStr">
        <is>
          <t>Moda</t>
        </is>
      </c>
    </row>
    <row r="3930">
      <c r="A3930" t="n">
        <v>3931</v>
      </c>
      <c r="B3930" t="inlineStr">
        <is>
          <t>A-497__107</t>
        </is>
      </c>
      <c r="C3930" s="1" t="n">
        <v>37.2708002845</v>
      </c>
      <c r="D3930" s="1" t="n">
        <v>-6.98225503994</v>
      </c>
      <c r="E3930" s="3" t="n">
        <v>3</v>
      </c>
      <c r="F3930" s="2" t="n">
        <v>4</v>
      </c>
      <c r="G3930" s="4" t="n">
        <v>4</v>
      </c>
      <c r="H3930" s="13" t="n"/>
      <c r="I3930" s="15" t="n"/>
      <c r="J3930" s="19" t="n">
        <v>4</v>
      </c>
      <c r="K3930" s="2" t="inlineStr">
        <is>
          <t>marker_245_380758.png</t>
        </is>
      </c>
      <c r="L3930" s="11">
        <f>HYPERLINK("4\1\" &amp; K3930, "Ver Imagen")</f>
        <v/>
      </c>
      <c r="M3930" t="inlineStr">
        <is>
          <t>Moda</t>
        </is>
      </c>
    </row>
    <row r="3931">
      <c r="A3931" t="n">
        <v>3932</v>
      </c>
      <c r="B3931" t="inlineStr">
        <is>
          <t>A-495R__60</t>
        </is>
      </c>
      <c r="C3931" s="1" t="n">
        <v>37.4561766676</v>
      </c>
      <c r="D3931" s="1" t="n">
        <v>-7.11361057975</v>
      </c>
      <c r="E3931" s="3" t="n">
        <v>5</v>
      </c>
      <c r="F3931" s="2" t="n">
        <v>5</v>
      </c>
      <c r="G3931" s="4" t="n">
        <v>5</v>
      </c>
      <c r="H3931" s="13" t="n"/>
      <c r="I3931" s="15" t="n"/>
      <c r="J3931" s="19" t="n">
        <v>5</v>
      </c>
      <c r="K3931" s="2" t="inlineStr">
        <is>
          <t>marker_232_935520.png</t>
        </is>
      </c>
      <c r="L3931" s="11">
        <f>HYPERLINK("5\0\" &amp; K3931, "Ver Imagen")</f>
        <v/>
      </c>
      <c r="M3931" t="inlineStr">
        <is>
          <t>Moda</t>
        </is>
      </c>
    </row>
    <row r="3932">
      <c r="A3932" t="n">
        <v>3933</v>
      </c>
      <c r="B3932" t="inlineStr">
        <is>
          <t>A-495R__57</t>
        </is>
      </c>
      <c r="C3932" s="1" t="n">
        <v>37.4556044734</v>
      </c>
      <c r="D3932" s="1" t="n">
        <v>-7.11338785144</v>
      </c>
      <c r="E3932" s="3" t="n">
        <v>5</v>
      </c>
      <c r="F3932" s="2" t="n">
        <v>5</v>
      </c>
      <c r="G3932" s="4" t="n">
        <v>5</v>
      </c>
      <c r="H3932" s="13" t="n"/>
      <c r="I3932" s="15" t="n"/>
      <c r="J3932" s="19" t="n">
        <v>5</v>
      </c>
      <c r="K3932" s="2" t="inlineStr">
        <is>
          <t>marker_140_935590.png</t>
        </is>
      </c>
      <c r="L3932" s="11">
        <f>HYPERLINK("5\0\" &amp; K3932, "Ver Imagen")</f>
        <v/>
      </c>
      <c r="M3932" t="inlineStr">
        <is>
          <t>Moda</t>
        </is>
      </c>
    </row>
    <row r="3933">
      <c r="A3933" t="n">
        <v>3934</v>
      </c>
      <c r="B3933" t="inlineStr">
        <is>
          <t>A-495R__53</t>
        </is>
      </c>
      <c r="C3933" s="1" t="n">
        <v>37.4548087986</v>
      </c>
      <c r="D3933" s="1" t="n">
        <v>-7.11303736306</v>
      </c>
      <c r="E3933" s="3" t="n">
        <v>5</v>
      </c>
      <c r="F3933" s="2" t="n">
        <v>5</v>
      </c>
      <c r="G3933" s="4" t="n">
        <v>5</v>
      </c>
      <c r="H3933" s="13" t="n"/>
      <c r="I3933" s="15" t="n"/>
      <c r="J3933" s="19" t="n">
        <v>5</v>
      </c>
      <c r="K3933" s="2" t="inlineStr">
        <is>
          <t>marker_515_935632.png</t>
        </is>
      </c>
      <c r="L3933" s="11">
        <f>HYPERLINK("5\0\" &amp; K3933, "Ver Imagen")</f>
        <v/>
      </c>
      <c r="M3933" t="inlineStr">
        <is>
          <t>Moda</t>
        </is>
      </c>
    </row>
    <row r="3934">
      <c r="A3934" t="n">
        <v>3935</v>
      </c>
      <c r="B3934" t="inlineStr">
        <is>
          <t>A-495R__51</t>
        </is>
      </c>
      <c r="C3934" s="1" t="n">
        <v>37.454462034</v>
      </c>
      <c r="D3934" s="1" t="n">
        <v>-7.11286004727</v>
      </c>
      <c r="E3934" s="3" t="n">
        <v>5</v>
      </c>
      <c r="F3934" s="2" t="n">
        <v>5</v>
      </c>
      <c r="G3934" s="4" t="n">
        <v>5</v>
      </c>
      <c r="H3934" s="13" t="n"/>
      <c r="I3934" s="15" t="n"/>
      <c r="J3934" s="19" t="n">
        <v>5</v>
      </c>
      <c r="K3934" s="2" t="inlineStr">
        <is>
          <t>marker_750_935651.png</t>
        </is>
      </c>
      <c r="L3934" s="11">
        <f>HYPERLINK("5\0\" &amp; K3934, "Ver Imagen")</f>
        <v/>
      </c>
      <c r="M3934" t="inlineStr">
        <is>
          <t>Moda</t>
        </is>
      </c>
    </row>
    <row r="3935">
      <c r="A3935" t="n">
        <v>3936</v>
      </c>
      <c r="B3935" t="inlineStr">
        <is>
          <t>A-495R__50</t>
        </is>
      </c>
      <c r="C3935" s="1" t="n">
        <v>37.4542758234</v>
      </c>
      <c r="D3935" s="1" t="n">
        <v>-7.11275764423</v>
      </c>
      <c r="E3935" s="3" t="n">
        <v>5</v>
      </c>
      <c r="F3935" s="2" t="n">
        <v>5</v>
      </c>
      <c r="G3935" s="4" t="n">
        <v>5</v>
      </c>
      <c r="H3935" s="13" t="n"/>
      <c r="I3935" s="15" t="n"/>
      <c r="J3935" s="19" t="n">
        <v>5</v>
      </c>
      <c r="K3935" s="2" t="inlineStr">
        <is>
          <t>marker_597_935661.png</t>
        </is>
      </c>
      <c r="L3935" s="11">
        <f>HYPERLINK("5\0\" &amp; K3935, "Ver Imagen")</f>
        <v/>
      </c>
      <c r="M3935" t="inlineStr">
        <is>
          <t>Moda</t>
        </is>
      </c>
    </row>
    <row r="3936">
      <c r="A3936" t="n">
        <v>3937</v>
      </c>
      <c r="B3936" t="inlineStr">
        <is>
          <t>A-495R__30</t>
        </is>
      </c>
      <c r="C3936" s="1" t="n">
        <v>37.4506234657</v>
      </c>
      <c r="D3936" s="1" t="n">
        <v>-7.11059612729</v>
      </c>
      <c r="E3936" s="3" t="n">
        <v>5</v>
      </c>
      <c r="F3936" s="2" t="n">
        <v>5</v>
      </c>
      <c r="G3936" s="4" t="n">
        <v>5</v>
      </c>
      <c r="H3936" s="13" t="n"/>
      <c r="I3936" s="15" t="n"/>
      <c r="J3936" s="19" t="n">
        <v>5</v>
      </c>
      <c r="K3936" s="2" t="inlineStr">
        <is>
          <t>marker_994_936622.png</t>
        </is>
      </c>
      <c r="L3936" s="11">
        <f>HYPERLINK("5\0\" &amp; K3936, "Ver Imagen")</f>
        <v/>
      </c>
      <c r="M3936" t="inlineStr">
        <is>
          <t>Moda</t>
        </is>
      </c>
    </row>
    <row r="3937">
      <c r="A3937" t="n">
        <v>3938</v>
      </c>
      <c r="B3937" t="inlineStr">
        <is>
          <t>A-495R__28</t>
        </is>
      </c>
      <c r="C3937" s="1" t="n">
        <v>37.4502390912</v>
      </c>
      <c r="D3937" s="1" t="n">
        <v>-7.11045798668</v>
      </c>
      <c r="E3937" s="3" t="n">
        <v>5</v>
      </c>
      <c r="F3937" s="2" t="n">
        <v>5</v>
      </c>
      <c r="G3937" s="4" t="n">
        <v>5</v>
      </c>
      <c r="H3937" s="13" t="n"/>
      <c r="I3937" s="15" t="n"/>
      <c r="J3937" s="19" t="n">
        <v>5</v>
      </c>
      <c r="K3937" s="2" t="inlineStr">
        <is>
          <t>marker_276_936642.png</t>
        </is>
      </c>
      <c r="L3937" s="11">
        <f>HYPERLINK("5\0\" &amp; K3937, "Ver Imagen")</f>
        <v/>
      </c>
      <c r="M3937" t="inlineStr">
        <is>
          <t>Moda</t>
        </is>
      </c>
    </row>
    <row r="3938">
      <c r="A3938" t="n">
        <v>3939</v>
      </c>
      <c r="B3938" t="inlineStr">
        <is>
          <t>A-5052__245</t>
        </is>
      </c>
      <c r="C3938" s="1" t="n">
        <v>37.2132512865</v>
      </c>
      <c r="D3938" s="1" t="n">
        <v>-7.06483376518</v>
      </c>
      <c r="E3938" s="3" t="n">
        <v>5</v>
      </c>
      <c r="F3938" s="2" t="n">
        <v>5</v>
      </c>
      <c r="G3938" s="4" t="n">
        <v>5</v>
      </c>
      <c r="H3938" s="13" t="n"/>
      <c r="I3938" s="15" t="n"/>
      <c r="J3938" s="19" t="n">
        <v>5</v>
      </c>
      <c r="K3938" s="2" t="inlineStr">
        <is>
          <t>marker_778_960018.png</t>
        </is>
      </c>
      <c r="L3938" s="11">
        <f>HYPERLINK("5\0\" &amp; K3938, "Ver Imagen")</f>
        <v/>
      </c>
      <c r="M3938" t="inlineStr">
        <is>
          <t>Moda</t>
        </is>
      </c>
    </row>
    <row r="3939">
      <c r="A3939" t="n">
        <v>3940</v>
      </c>
      <c r="B3939" t="inlineStr">
        <is>
          <t>A-5052__246</t>
        </is>
      </c>
      <c r="C3939" s="1" t="n">
        <v>37.213161532</v>
      </c>
      <c r="D3939" s="1" t="n">
        <v>-7.06464761865</v>
      </c>
      <c r="E3939" s="3" t="n">
        <v>5</v>
      </c>
      <c r="F3939" s="2" t="n">
        <v>5</v>
      </c>
      <c r="G3939" s="4" t="n">
        <v>5</v>
      </c>
      <c r="H3939" s="13" t="n"/>
      <c r="I3939" s="15" t="n"/>
      <c r="J3939" s="19" t="n">
        <v>5</v>
      </c>
      <c r="K3939" s="2" t="inlineStr">
        <is>
          <t>marker_772_960041.png</t>
        </is>
      </c>
      <c r="L3939" s="11">
        <f>HYPERLINK("5\0\" &amp; K3939, "Ver Imagen")</f>
        <v/>
      </c>
      <c r="M3939" t="inlineStr">
        <is>
          <t>Moda</t>
        </is>
      </c>
    </row>
    <row r="3940">
      <c r="A3940" t="n">
        <v>3941</v>
      </c>
      <c r="B3940" t="inlineStr">
        <is>
          <t>A-495_1__107</t>
        </is>
      </c>
      <c r="C3940" s="1" t="n">
        <v>37.4688526374</v>
      </c>
      <c r="D3940" s="1" t="n">
        <v>-7.12384619063</v>
      </c>
      <c r="E3940" s="3" t="n">
        <v>5</v>
      </c>
      <c r="F3940" s="2" t="n">
        <v>5</v>
      </c>
      <c r="G3940" s="4" t="n">
        <v>5</v>
      </c>
      <c r="H3940" s="13" t="n"/>
      <c r="I3940" s="15" t="n"/>
      <c r="J3940" s="19" t="n">
        <v>5</v>
      </c>
      <c r="K3940" s="2" t="inlineStr">
        <is>
          <t>marker_252_384926.png</t>
        </is>
      </c>
      <c r="L3940" s="11">
        <f>HYPERLINK("5\0\" &amp; K3940, "Ver Imagen")</f>
        <v/>
      </c>
      <c r="M3940" t="inlineStr">
        <is>
          <t>Moda</t>
        </is>
      </c>
    </row>
    <row r="3941">
      <c r="A3941" t="n">
        <v>3942</v>
      </c>
      <c r="B3941" t="inlineStr">
        <is>
          <t>A-497__767</t>
        </is>
      </c>
      <c r="C3941" s="1" t="n">
        <v>37.1870366616</v>
      </c>
      <c r="D3941" s="1" t="n">
        <v>-6.97946428297</v>
      </c>
      <c r="E3941" s="3" t="n">
        <v>5</v>
      </c>
      <c r="F3941" s="2" t="n">
        <v>5</v>
      </c>
      <c r="G3941" s="4" t="n">
        <v>5</v>
      </c>
      <c r="H3941" s="13" t="n"/>
      <c r="I3941" s="15" t="n"/>
      <c r="J3941" s="19" t="n">
        <v>5</v>
      </c>
      <c r="K3941" s="2" t="inlineStr">
        <is>
          <t>marker_277_368480.png</t>
        </is>
      </c>
      <c r="L3941" s="11">
        <f>HYPERLINK("5\0\" &amp; K3941, "Ver Imagen")</f>
        <v/>
      </c>
      <c r="M3941" t="inlineStr">
        <is>
          <t>Moda</t>
        </is>
      </c>
    </row>
    <row r="3942">
      <c r="A3942" t="n">
        <v>3943</v>
      </c>
      <c r="B3942" t="inlineStr">
        <is>
          <t>A-497__566</t>
        </is>
      </c>
      <c r="C3942" s="1" t="n">
        <v>37.2041482346</v>
      </c>
      <c r="D3942" s="1" t="n">
        <v>-7.01111974447</v>
      </c>
      <c r="E3942" s="3" t="n">
        <v>5</v>
      </c>
      <c r="F3942" s="2" t="n">
        <v>5</v>
      </c>
      <c r="G3942" s="4" t="n">
        <v>5</v>
      </c>
      <c r="H3942" s="13" t="n"/>
      <c r="I3942" s="15" t="n"/>
      <c r="J3942" s="19" t="n">
        <v>5</v>
      </c>
      <c r="K3942" s="2" t="inlineStr">
        <is>
          <t>marker_120_372080.png</t>
        </is>
      </c>
      <c r="L3942" s="11">
        <f>HYPERLINK("5\0\" &amp; K3942, "Ver Imagen")</f>
        <v/>
      </c>
      <c r="M3942" t="inlineStr">
        <is>
          <t>Moda</t>
        </is>
      </c>
    </row>
    <row r="3943">
      <c r="A3943" t="n">
        <v>3944</v>
      </c>
      <c r="B3943" t="inlineStr">
        <is>
          <t>A-497_2C__337</t>
        </is>
      </c>
      <c r="C3943" s="1" t="n">
        <v>37.2420370047</v>
      </c>
      <c r="D3943" s="1" t="n">
        <v>-7.01859406358</v>
      </c>
      <c r="E3943" s="3" t="n">
        <v>5</v>
      </c>
      <c r="F3943" s="2" t="n">
        <v>5</v>
      </c>
      <c r="G3943" s="4" t="n">
        <v>5</v>
      </c>
      <c r="H3943" s="13" t="n"/>
      <c r="I3943" s="15" t="n"/>
      <c r="J3943" s="19" t="n">
        <v>5</v>
      </c>
      <c r="K3943" s="2" t="inlineStr">
        <is>
          <t>marker_838_362098.png</t>
        </is>
      </c>
      <c r="L3943" s="11">
        <f>HYPERLINK("5\0\" &amp; K3943, "Ver Imagen")</f>
        <v/>
      </c>
      <c r="M3943" t="inlineStr">
        <is>
          <t>Moda</t>
        </is>
      </c>
    </row>
    <row r="3944">
      <c r="A3944" t="n">
        <v>3945</v>
      </c>
      <c r="B3944" t="inlineStr">
        <is>
          <t>A-497__280</t>
        </is>
      </c>
      <c r="C3944" s="1" t="n">
        <v>37.2539758185</v>
      </c>
      <c r="D3944" s="1" t="n">
        <v>-7.01534660371</v>
      </c>
      <c r="E3944" s="3" t="n">
        <v>5</v>
      </c>
      <c r="F3944" s="2" t="n">
        <v>5</v>
      </c>
      <c r="G3944" s="4" t="n">
        <v>5</v>
      </c>
      <c r="H3944" s="13" t="n"/>
      <c r="I3944" s="15" t="n"/>
      <c r="J3944" s="19" t="n">
        <v>5</v>
      </c>
      <c r="K3944" s="2" t="inlineStr">
        <is>
          <t>marker_349_378467.png</t>
        </is>
      </c>
      <c r="L3944" s="11">
        <f>HYPERLINK("5\0\" &amp; K3944, "Ver Imagen")</f>
        <v/>
      </c>
      <c r="M3944" t="inlineStr">
        <is>
          <t>Moda</t>
        </is>
      </c>
    </row>
    <row r="3945">
      <c r="A3945" t="n">
        <v>3946</v>
      </c>
      <c r="B3945" t="inlineStr">
        <is>
          <t>A-490__117</t>
        </is>
      </c>
      <c r="C3945" s="1" t="n">
        <v>37.4511161873</v>
      </c>
      <c r="D3945" s="1" t="n">
        <v>-7.15422705687</v>
      </c>
      <c r="E3945" s="3" t="n">
        <v>4</v>
      </c>
      <c r="F3945" s="2" t="n">
        <v>5</v>
      </c>
      <c r="G3945" s="4" t="n">
        <v>5</v>
      </c>
      <c r="H3945" s="13" t="n"/>
      <c r="I3945" s="15" t="n"/>
      <c r="J3945" s="19" t="n">
        <v>5</v>
      </c>
      <c r="K3945" s="2" t="inlineStr">
        <is>
          <t>marker_505_739928.png</t>
        </is>
      </c>
      <c r="L3945" s="11">
        <f>HYPERLINK("5\1\" &amp; K3945, "Ver Imagen")</f>
        <v/>
      </c>
      <c r="M3945" t="inlineStr">
        <is>
          <t>Moda</t>
        </is>
      </c>
    </row>
    <row r="3946">
      <c r="A3946" t="n">
        <v>3947</v>
      </c>
      <c r="B3946" t="inlineStr">
        <is>
          <t>A-490__248</t>
        </is>
      </c>
      <c r="C3946" s="1" t="n">
        <v>37.4656401736</v>
      </c>
      <c r="D3946" s="1" t="n">
        <v>-7.18150942565</v>
      </c>
      <c r="E3946" s="3" t="n">
        <v>4</v>
      </c>
      <c r="F3946" s="2" t="n">
        <v>5</v>
      </c>
      <c r="G3946" s="4" t="n">
        <v>5</v>
      </c>
      <c r="H3946" s="13" t="n"/>
      <c r="I3946" s="15" t="n"/>
      <c r="J3946" s="19" t="n">
        <v>5</v>
      </c>
      <c r="K3946" s="2" t="inlineStr">
        <is>
          <t>marker_353_749460.png</t>
        </is>
      </c>
      <c r="L3946" s="11">
        <f>HYPERLINK("5\1\" &amp; K3946, "Ver Imagen")</f>
        <v/>
      </c>
      <c r="M3946" t="inlineStr">
        <is>
          <t>Moda</t>
        </is>
      </c>
    </row>
    <row r="3947">
      <c r="A3947" t="n">
        <v>3948</v>
      </c>
      <c r="B3947" t="inlineStr">
        <is>
          <t>A-495R__70</t>
        </is>
      </c>
      <c r="C3947" s="1" t="n">
        <v>37.4581166464</v>
      </c>
      <c r="D3947" s="1" t="n">
        <v>-7.11434482668</v>
      </c>
      <c r="E3947" s="3" t="n">
        <v>5</v>
      </c>
      <c r="F3947" s="2" t="n">
        <v>5</v>
      </c>
      <c r="G3947" s="4" t="n">
        <v>4</v>
      </c>
      <c r="H3947" s="13" t="n"/>
      <c r="I3947" s="15" t="n"/>
      <c r="J3947" s="19" t="n">
        <v>5</v>
      </c>
      <c r="K3947" s="2" t="inlineStr">
        <is>
          <t>marker_114_935234.png</t>
        </is>
      </c>
      <c r="L3947" s="11">
        <f>HYPERLINK("5\1\" &amp; K3947, "Ver Imagen")</f>
        <v/>
      </c>
      <c r="M3947" t="inlineStr">
        <is>
          <t>Moda</t>
        </is>
      </c>
    </row>
    <row r="3948">
      <c r="A3948" t="n">
        <v>3949</v>
      </c>
      <c r="B3948" t="inlineStr">
        <is>
          <t>A-497_2C__156</t>
        </is>
      </c>
      <c r="C3948" s="1" t="n">
        <v>37.2666018326</v>
      </c>
      <c r="D3948" s="1" t="n">
        <v>-6.99243714496</v>
      </c>
      <c r="E3948" s="3" t="n">
        <v>5</v>
      </c>
      <c r="F3948" s="2" t="n">
        <v>5</v>
      </c>
      <c r="G3948" s="4" t="n">
        <v>4</v>
      </c>
      <c r="H3948" s="13" t="n"/>
      <c r="I3948" s="15" t="n"/>
      <c r="J3948" s="19" t="n">
        <v>5</v>
      </c>
      <c r="K3948" s="2" t="inlineStr">
        <is>
          <t>marker_164_656065.png</t>
        </is>
      </c>
      <c r="L3948" s="11">
        <f>HYPERLINK("5\1\" &amp; K3948, "Ver Imagen")</f>
        <v/>
      </c>
      <c r="M3948" t="inlineStr">
        <is>
          <t>Moda</t>
        </is>
      </c>
    </row>
    <row r="3949">
      <c r="A3949" t="n">
        <v>3950</v>
      </c>
      <c r="B3949" t="inlineStr">
        <is>
          <t>A-490__96</t>
        </is>
      </c>
      <c r="C3949" s="1" t="n">
        <v>37.4489341427</v>
      </c>
      <c r="D3949" s="1" t="n">
        <v>-7.14969086288</v>
      </c>
      <c r="E3949" s="3" t="n">
        <v>4</v>
      </c>
      <c r="F3949" s="2" t="n">
        <v>5</v>
      </c>
      <c r="G3949" s="4" t="n">
        <v>5</v>
      </c>
      <c r="H3949" s="13" t="n"/>
      <c r="I3949" s="15" t="n"/>
      <c r="J3949" s="19" t="n">
        <v>5</v>
      </c>
      <c r="K3949" s="2" t="inlineStr">
        <is>
          <t>marker_343_739088.png</t>
        </is>
      </c>
      <c r="L3949" s="11">
        <f>HYPERLINK("5\1\" &amp; K3949, "Ver Imagen")</f>
        <v/>
      </c>
      <c r="M3949" t="inlineStr">
        <is>
          <t>Moda</t>
        </is>
      </c>
    </row>
    <row r="3950">
      <c r="A3950" t="n">
        <v>3951</v>
      </c>
      <c r="B3950" t="inlineStr">
        <is>
          <t>A-490__628</t>
        </is>
      </c>
      <c r="C3950" s="1" t="n">
        <v>37.4950890833</v>
      </c>
      <c r="D3950" s="1" t="n">
        <v>-7.26752364622</v>
      </c>
      <c r="E3950" s="3" t="n">
        <v>4</v>
      </c>
      <c r="F3950" s="2" t="n">
        <v>5</v>
      </c>
      <c r="G3950" s="4" t="n">
        <v>5</v>
      </c>
      <c r="H3950" s="13" t="n"/>
      <c r="I3950" s="15" t="n"/>
      <c r="J3950" s="19" t="n">
        <v>5</v>
      </c>
      <c r="K3950" s="2" t="inlineStr">
        <is>
          <t>marker_873_820402.png</t>
        </is>
      </c>
      <c r="L3950" s="11">
        <f>HYPERLINK("5\1\" &amp; K3950, "Ver Imagen")</f>
        <v/>
      </c>
      <c r="M3950" t="inlineStr">
        <is>
          <t>Moda</t>
        </is>
      </c>
    </row>
    <row r="3951">
      <c r="A3951" t="n">
        <v>3952</v>
      </c>
      <c r="B3951" t="inlineStr">
        <is>
          <t>A-495R__58</t>
        </is>
      </c>
      <c r="C3951" s="1" t="n">
        <v>37.4557771523</v>
      </c>
      <c r="D3951" s="1" t="n">
        <v>-7.11345746509</v>
      </c>
      <c r="E3951" s="3" t="n">
        <v>5</v>
      </c>
      <c r="F3951" s="2" t="n">
        <v>5</v>
      </c>
      <c r="G3951" s="4" t="n">
        <v>4</v>
      </c>
      <c r="H3951" s="13" t="n"/>
      <c r="I3951" s="15" t="n"/>
      <c r="J3951" s="19" t="n">
        <v>5</v>
      </c>
      <c r="K3951" s="2" t="inlineStr">
        <is>
          <t>marker_807_935573.png</t>
        </is>
      </c>
      <c r="L3951" s="11">
        <f>HYPERLINK("5\1\" &amp; K3951, "Ver Imagen")</f>
        <v/>
      </c>
      <c r="M3951" t="inlineStr">
        <is>
          <t>Moda</t>
        </is>
      </c>
    </row>
    <row r="3952">
      <c r="A3952" t="n">
        <v>3953</v>
      </c>
      <c r="B3952" t="inlineStr">
        <is>
          <t>A-495R__56</t>
        </is>
      </c>
      <c r="C3952" s="1" t="n">
        <v>37.4554134794</v>
      </c>
      <c r="D3952" s="1" t="n">
        <v>-7.11330988791</v>
      </c>
      <c r="E3952" s="3" t="n">
        <v>5</v>
      </c>
      <c r="F3952" s="2" t="n">
        <v>4</v>
      </c>
      <c r="G3952" s="4" t="n">
        <v>5</v>
      </c>
      <c r="H3952" s="13" t="n"/>
      <c r="I3952" s="15" t="n"/>
      <c r="J3952" s="19" t="n">
        <v>5</v>
      </c>
      <c r="K3952" s="2" t="inlineStr">
        <is>
          <t>marker_948_935601.png</t>
        </is>
      </c>
      <c r="L3952" s="11">
        <f>HYPERLINK("5\1\" &amp; K3952, "Ver Imagen")</f>
        <v/>
      </c>
      <c r="M3952" t="inlineStr">
        <is>
          <t>Moda</t>
        </is>
      </c>
    </row>
    <row r="3953">
      <c r="A3953" t="n">
        <v>3954</v>
      </c>
      <c r="B3953" t="inlineStr">
        <is>
          <t>A-495R__49</t>
        </is>
      </c>
      <c r="C3953" s="1" t="n">
        <v>37.4540721138</v>
      </c>
      <c r="D3953" s="1" t="n">
        <v>-7.11264594571</v>
      </c>
      <c r="E3953" s="3" t="n">
        <v>5</v>
      </c>
      <c r="F3953" s="2" t="n">
        <v>4</v>
      </c>
      <c r="G3953" s="4" t="n">
        <v>5</v>
      </c>
      <c r="H3953" s="13" t="n"/>
      <c r="I3953" s="15" t="n"/>
      <c r="J3953" s="19" t="n">
        <v>5</v>
      </c>
      <c r="K3953" s="2" t="inlineStr">
        <is>
          <t>marker_542_935673.png</t>
        </is>
      </c>
      <c r="L3953" s="11">
        <f>HYPERLINK("5\1\" &amp; K3953, "Ver Imagen")</f>
        <v/>
      </c>
      <c r="M3953" t="inlineStr">
        <is>
          <t>Moda</t>
        </is>
      </c>
    </row>
    <row r="3954">
      <c r="A3954" t="n">
        <v>3955</v>
      </c>
      <c r="B3954" t="inlineStr">
        <is>
          <t>A-495R__42</t>
        </is>
      </c>
      <c r="C3954" s="1" t="n">
        <v>37.452772306</v>
      </c>
      <c r="D3954" s="1" t="n">
        <v>-7.111942699</v>
      </c>
      <c r="E3954" s="3" t="n">
        <v>4</v>
      </c>
      <c r="F3954" s="2" t="n">
        <v>5</v>
      </c>
      <c r="G3954" s="4" t="n">
        <v>5</v>
      </c>
      <c r="H3954" s="13" t="n"/>
      <c r="I3954" s="15" t="n"/>
      <c r="J3954" s="19" t="n">
        <v>5</v>
      </c>
      <c r="K3954" s="2" t="inlineStr">
        <is>
          <t>marker_109_935739.png</t>
        </is>
      </c>
      <c r="L3954" s="11">
        <f>HYPERLINK("5\1\" &amp; K3954, "Ver Imagen")</f>
        <v/>
      </c>
      <c r="M3954" t="inlineStr">
        <is>
          <t>Moda</t>
        </is>
      </c>
    </row>
    <row r="3955">
      <c r="A3955" t="n">
        <v>3956</v>
      </c>
      <c r="B3955" t="inlineStr">
        <is>
          <t>A-495R__38</t>
        </is>
      </c>
      <c r="C3955" s="1" t="n">
        <v>37.4520316656</v>
      </c>
      <c r="D3955" s="1" t="n">
        <v>-7.11153660802</v>
      </c>
      <c r="E3955" s="3" t="n">
        <v>5</v>
      </c>
      <c r="F3955" s="2" t="n">
        <v>4</v>
      </c>
      <c r="G3955" s="4" t="n">
        <v>5</v>
      </c>
      <c r="H3955" s="13" t="n"/>
      <c r="I3955" s="15" t="n"/>
      <c r="J3955" s="19" t="n">
        <v>5</v>
      </c>
      <c r="K3955" s="2" t="inlineStr">
        <is>
          <t>marker_620_936541.png</t>
        </is>
      </c>
      <c r="L3955" s="11">
        <f>HYPERLINK("5\1\" &amp; K3955, "Ver Imagen")</f>
        <v/>
      </c>
      <c r="M3955" t="inlineStr">
        <is>
          <t>Moda</t>
        </is>
      </c>
    </row>
    <row r="3956">
      <c r="A3956" t="n">
        <v>3957</v>
      </c>
      <c r="B3956" t="inlineStr">
        <is>
          <t>A-495R__34</t>
        </is>
      </c>
      <c r="C3956" s="1" t="n">
        <v>37.4513203614</v>
      </c>
      <c r="D3956" s="1" t="n">
        <v>-7.11107371124</v>
      </c>
      <c r="E3956" s="3" t="n">
        <v>5</v>
      </c>
      <c r="F3956" s="2" t="n">
        <v>4</v>
      </c>
      <c r="G3956" s="4" t="n">
        <v>5</v>
      </c>
      <c r="H3956" s="13" t="n"/>
      <c r="I3956" s="15" t="n"/>
      <c r="J3956" s="19" t="n">
        <v>5</v>
      </c>
      <c r="K3956" s="2" t="inlineStr">
        <is>
          <t>marker_481_936582.png</t>
        </is>
      </c>
      <c r="L3956" s="11">
        <f>HYPERLINK("5\1\" &amp; K3956, "Ver Imagen")</f>
        <v/>
      </c>
      <c r="M3956" t="inlineStr">
        <is>
          <t>Moda</t>
        </is>
      </c>
    </row>
    <row r="3957">
      <c r="A3957" t="n">
        <v>3958</v>
      </c>
      <c r="B3957" t="inlineStr">
        <is>
          <t>A-5052__247</t>
        </is>
      </c>
      <c r="C3957" s="1" t="n">
        <v>37.2130622059</v>
      </c>
      <c r="D3957" s="1" t="n">
        <v>-7.06438116209</v>
      </c>
      <c r="E3957" s="3" t="n">
        <v>5</v>
      </c>
      <c r="F3957" s="2" t="n">
        <v>4</v>
      </c>
      <c r="G3957" s="4" t="n">
        <v>5</v>
      </c>
      <c r="H3957" s="13" t="n"/>
      <c r="I3957" s="15" t="n"/>
      <c r="J3957" s="19" t="n">
        <v>5</v>
      </c>
      <c r="K3957" s="2" t="inlineStr">
        <is>
          <t>marker_124_960057.png</t>
        </is>
      </c>
      <c r="L3957" s="11">
        <f>HYPERLINK("5\1\" &amp; K3957, "Ver Imagen")</f>
        <v/>
      </c>
      <c r="M3957" t="inlineStr">
        <is>
          <t>Moda</t>
        </is>
      </c>
    </row>
    <row r="3958">
      <c r="A3958" t="n">
        <v>3959</v>
      </c>
      <c r="B3958" t="inlineStr">
        <is>
          <t>A-5052__248</t>
        </is>
      </c>
      <c r="C3958" s="1" t="n">
        <v>37.2131247389</v>
      </c>
      <c r="D3958" s="1" t="n">
        <v>-7.06414315069</v>
      </c>
      <c r="E3958" s="3" t="n">
        <v>5</v>
      </c>
      <c r="F3958" s="2" t="n">
        <v>4</v>
      </c>
      <c r="G3958" s="4" t="n">
        <v>5</v>
      </c>
      <c r="H3958" s="13" t="n"/>
      <c r="I3958" s="15" t="n"/>
      <c r="J3958" s="19" t="n">
        <v>5</v>
      </c>
      <c r="K3958" s="2" t="inlineStr">
        <is>
          <t>marker_491_960069.png</t>
        </is>
      </c>
      <c r="L3958" s="11">
        <f>HYPERLINK("5\1\" &amp; K3958, "Ver Imagen")</f>
        <v/>
      </c>
      <c r="M3958" t="inlineStr">
        <is>
          <t>Moda</t>
        </is>
      </c>
    </row>
    <row r="3959">
      <c r="A3959" t="n">
        <v>3960</v>
      </c>
      <c r="B3959" t="inlineStr">
        <is>
          <t>A-5052__250</t>
        </is>
      </c>
      <c r="C3959" s="1" t="n">
        <v>37.213224074</v>
      </c>
      <c r="D3959" s="1" t="n">
        <v>-7.06366603785</v>
      </c>
      <c r="E3959" s="3" t="n">
        <v>5</v>
      </c>
      <c r="F3959" s="2" t="n">
        <v>4</v>
      </c>
      <c r="G3959" s="4" t="n">
        <v>5</v>
      </c>
      <c r="H3959" s="13" t="n"/>
      <c r="I3959" s="15" t="n"/>
      <c r="J3959" s="19" t="n">
        <v>5</v>
      </c>
      <c r="K3959" s="2" t="inlineStr">
        <is>
          <t>marker_583_960093.png</t>
        </is>
      </c>
      <c r="L3959" s="11">
        <f>HYPERLINK("5\1\" &amp; K3959, "Ver Imagen")</f>
        <v/>
      </c>
      <c r="M3959" t="inlineStr">
        <is>
          <t>Moda</t>
        </is>
      </c>
    </row>
    <row r="3960">
      <c r="A3960" t="n">
        <v>3961</v>
      </c>
      <c r="B3960" t="inlineStr">
        <is>
          <t>A-5053__44</t>
        </is>
      </c>
      <c r="C3960" s="1" t="n">
        <v>37.2274707703</v>
      </c>
      <c r="D3960" s="1" t="n">
        <v>-7.12652285918</v>
      </c>
      <c r="E3960" s="3" t="n">
        <v>5</v>
      </c>
      <c r="F3960" s="2" t="n">
        <v>4</v>
      </c>
      <c r="G3960" s="4" t="n">
        <v>5</v>
      </c>
      <c r="H3960" s="13" t="n"/>
      <c r="I3960" s="15" t="n"/>
      <c r="J3960" s="19" t="n">
        <v>5</v>
      </c>
      <c r="K3960" s="2" t="inlineStr">
        <is>
          <t>marker_798_021670.png</t>
        </is>
      </c>
      <c r="L3960" s="11">
        <f>HYPERLINK("5\1\" &amp; K3960, "Ver Imagen")</f>
        <v/>
      </c>
      <c r="M3960" t="inlineStr">
        <is>
          <t>Moda</t>
        </is>
      </c>
    </row>
    <row r="3961">
      <c r="A3961" t="n">
        <v>3962</v>
      </c>
      <c r="B3961" t="inlineStr">
        <is>
          <t>A-5053__43</t>
        </is>
      </c>
      <c r="C3961" s="1" t="n">
        <v>37.2272731773</v>
      </c>
      <c r="D3961" s="1" t="n">
        <v>-7.12646463955</v>
      </c>
      <c r="E3961" s="3" t="n">
        <v>5</v>
      </c>
      <c r="F3961" s="2" t="n">
        <v>4</v>
      </c>
      <c r="G3961" s="4" t="n">
        <v>5</v>
      </c>
      <c r="H3961" s="13" t="n"/>
      <c r="I3961" s="15" t="n"/>
      <c r="J3961" s="19" t="n">
        <v>5</v>
      </c>
      <c r="K3961" s="2" t="inlineStr">
        <is>
          <t>marker_605_021684.png</t>
        </is>
      </c>
      <c r="L3961" s="11">
        <f>HYPERLINK("5\1\" &amp; K3961, "Ver Imagen")</f>
        <v/>
      </c>
      <c r="M3961" t="inlineStr">
        <is>
          <t>Moda</t>
        </is>
      </c>
    </row>
    <row r="3962">
      <c r="A3962" t="n">
        <v>3963</v>
      </c>
      <c r="B3962" t="inlineStr">
        <is>
          <t>A-495__112</t>
        </is>
      </c>
      <c r="C3962" s="1" t="n">
        <v>37.4355517003</v>
      </c>
      <c r="D3962" s="1" t="n">
        <v>-7.07505461838</v>
      </c>
      <c r="E3962" s="3" t="n">
        <v>5</v>
      </c>
      <c r="F3962" s="2" t="n">
        <v>4</v>
      </c>
      <c r="G3962" s="4" t="n">
        <v>5</v>
      </c>
      <c r="H3962" s="13" t="n"/>
      <c r="I3962" s="15" t="n"/>
      <c r="J3962" s="19" t="n">
        <v>5</v>
      </c>
      <c r="K3962" s="2" t="inlineStr">
        <is>
          <t>marker_487_382293.png</t>
        </is>
      </c>
      <c r="L3962" s="11">
        <f>HYPERLINK("5\1\" &amp; K3962, "Ver Imagen")</f>
        <v/>
      </c>
      <c r="M3962" t="inlineStr">
        <is>
          <t>Moda</t>
        </is>
      </c>
    </row>
    <row r="3963">
      <c r="A3963" t="n">
        <v>3964</v>
      </c>
      <c r="B3963" t="inlineStr">
        <is>
          <t>A-495__117</t>
        </is>
      </c>
      <c r="C3963" s="1" t="n">
        <v>37.4354710024</v>
      </c>
      <c r="D3963" s="1" t="n">
        <v>-7.073773565</v>
      </c>
      <c r="E3963" s="3" t="n">
        <v>5</v>
      </c>
      <c r="F3963" s="2" t="n">
        <v>4</v>
      </c>
      <c r="G3963" s="4" t="n">
        <v>5</v>
      </c>
      <c r="H3963" s="13" t="n"/>
      <c r="I3963" s="15" t="n"/>
      <c r="J3963" s="19" t="n">
        <v>5</v>
      </c>
      <c r="K3963" s="2" t="inlineStr">
        <is>
          <t>marker_554_382339.png</t>
        </is>
      </c>
      <c r="L3963" s="11">
        <f>HYPERLINK("5\1\" &amp; K3963, "Ver Imagen")</f>
        <v/>
      </c>
      <c r="M3963" t="inlineStr">
        <is>
          <t>Moda</t>
        </is>
      </c>
    </row>
    <row r="3964">
      <c r="A3964" t="n">
        <v>3965</v>
      </c>
      <c r="B3964" t="inlineStr">
        <is>
          <t>A-495__118</t>
        </is>
      </c>
      <c r="C3964" s="1" t="n">
        <v>37.4354473682</v>
      </c>
      <c r="D3964" s="1" t="n">
        <v>-7.0734994035</v>
      </c>
      <c r="E3964" s="3" t="n">
        <v>5</v>
      </c>
      <c r="F3964" s="2" t="n">
        <v>4</v>
      </c>
      <c r="G3964" s="4" t="n">
        <v>5</v>
      </c>
      <c r="H3964" s="13" t="n"/>
      <c r="I3964" s="15" t="n"/>
      <c r="J3964" s="19" t="n">
        <v>5</v>
      </c>
      <c r="K3964" s="2" t="inlineStr">
        <is>
          <t>marker_722_382348.png</t>
        </is>
      </c>
      <c r="L3964" s="11">
        <f>HYPERLINK("5\1\" &amp; K3964, "Ver Imagen")</f>
        <v/>
      </c>
      <c r="M3964" t="inlineStr">
        <is>
          <t>Moda</t>
        </is>
      </c>
    </row>
    <row r="3965">
      <c r="A3965" t="n">
        <v>3966</v>
      </c>
      <c r="B3965" t="inlineStr">
        <is>
          <t>A-495__122</t>
        </is>
      </c>
      <c r="C3965" s="1" t="n">
        <v>37.4353660848</v>
      </c>
      <c r="D3965" s="1" t="n">
        <v>-7.07251959766</v>
      </c>
      <c r="E3965" s="3" t="n">
        <v>5</v>
      </c>
      <c r="F3965" s="2" t="n">
        <v>4</v>
      </c>
      <c r="G3965" s="4" t="n">
        <v>5</v>
      </c>
      <c r="H3965" s="13" t="n"/>
      <c r="I3965" s="15" t="n"/>
      <c r="J3965" s="19" t="n">
        <v>5</v>
      </c>
      <c r="K3965" s="2" t="inlineStr">
        <is>
          <t>marker_410_382390.png</t>
        </is>
      </c>
      <c r="L3965" s="11">
        <f>HYPERLINK("5\1\" &amp; K3965, "Ver Imagen")</f>
        <v/>
      </c>
      <c r="M3965" t="inlineStr">
        <is>
          <t>Moda</t>
        </is>
      </c>
    </row>
    <row r="3966">
      <c r="A3966" t="n">
        <v>3967</v>
      </c>
      <c r="B3966" t="inlineStr">
        <is>
          <t>A-5058__284</t>
        </is>
      </c>
      <c r="C3966" s="1" t="n">
        <v>37.2444932145</v>
      </c>
      <c r="D3966" s="1" t="n">
        <v>-7.0909456555</v>
      </c>
      <c r="E3966" s="3" t="n">
        <v>5</v>
      </c>
      <c r="F3966" s="2" t="n">
        <v>4</v>
      </c>
      <c r="G3966" s="4" t="n">
        <v>5</v>
      </c>
      <c r="H3966" s="13" t="n"/>
      <c r="I3966" s="15" t="n"/>
      <c r="J3966" s="19" t="n">
        <v>5</v>
      </c>
      <c r="K3966" s="2" t="inlineStr">
        <is>
          <t>marker_235_384070.png</t>
        </is>
      </c>
      <c r="L3966" s="11">
        <f>HYPERLINK("5\1\" &amp; K3966, "Ver Imagen")</f>
        <v/>
      </c>
      <c r="M3966" t="inlineStr">
        <is>
          <t>Moda</t>
        </is>
      </c>
    </row>
    <row r="3967">
      <c r="A3967" t="n">
        <v>3968</v>
      </c>
      <c r="B3967" t="inlineStr">
        <is>
          <t>A-5058__285</t>
        </is>
      </c>
      <c r="C3967" s="1" t="n">
        <v>37.2445909587</v>
      </c>
      <c r="D3967" s="1" t="n">
        <v>-7.09113909939</v>
      </c>
      <c r="E3967" s="3" t="n">
        <v>5</v>
      </c>
      <c r="F3967" s="2" t="n">
        <v>4</v>
      </c>
      <c r="G3967" s="4" t="n">
        <v>5</v>
      </c>
      <c r="H3967" s="13" t="n"/>
      <c r="I3967" s="15" t="n"/>
      <c r="J3967" s="19" t="n">
        <v>5</v>
      </c>
      <c r="K3967" s="2" t="inlineStr">
        <is>
          <t>marker_551_384084.png</t>
        </is>
      </c>
      <c r="L3967" s="11">
        <f>HYPERLINK("5\1\" &amp; K3967, "Ver Imagen")</f>
        <v/>
      </c>
      <c r="M3967" t="inlineStr">
        <is>
          <t>Moda</t>
        </is>
      </c>
    </row>
    <row r="3968">
      <c r="A3968" t="n">
        <v>3969</v>
      </c>
      <c r="B3968" t="inlineStr">
        <is>
          <t>A-495_1__109</t>
        </is>
      </c>
      <c r="C3968" s="1" t="n">
        <v>37.4692039809</v>
      </c>
      <c r="D3968" s="1" t="n">
        <v>-7.12408284347</v>
      </c>
      <c r="E3968" s="3" t="n">
        <v>5</v>
      </c>
      <c r="F3968" s="2" t="n">
        <v>4</v>
      </c>
      <c r="G3968" s="4" t="n">
        <v>5</v>
      </c>
      <c r="H3968" s="13" t="n"/>
      <c r="I3968" s="15" t="n"/>
      <c r="J3968" s="19" t="n">
        <v>5</v>
      </c>
      <c r="K3968" s="2" t="inlineStr">
        <is>
          <t>marker_580_384735.png</t>
        </is>
      </c>
      <c r="L3968" s="11">
        <f>HYPERLINK("5\1\" &amp; K3968, "Ver Imagen")</f>
        <v/>
      </c>
      <c r="M3968" t="inlineStr">
        <is>
          <t>Moda</t>
        </is>
      </c>
    </row>
    <row r="3969">
      <c r="A3969" t="n">
        <v>3970</v>
      </c>
      <c r="B3969" t="inlineStr">
        <is>
          <t>A-495_1__108</t>
        </is>
      </c>
      <c r="C3969" s="1" t="n">
        <v>37.4690202311</v>
      </c>
      <c r="D3969" s="1" t="n">
        <v>-7.12395899319</v>
      </c>
      <c r="E3969" s="3" t="n">
        <v>5</v>
      </c>
      <c r="F3969" s="2" t="n">
        <v>4</v>
      </c>
      <c r="G3969" s="4" t="n">
        <v>5</v>
      </c>
      <c r="H3969" s="13" t="n"/>
      <c r="I3969" s="15" t="n"/>
      <c r="J3969" s="19" t="n">
        <v>5</v>
      </c>
      <c r="K3969" s="2" t="inlineStr">
        <is>
          <t>marker_376_384755.png</t>
        </is>
      </c>
      <c r="L3969" s="11">
        <f>HYPERLINK("5\1\" &amp; K3969, "Ver Imagen")</f>
        <v/>
      </c>
      <c r="M3969" t="inlineStr">
        <is>
          <t>Moda</t>
        </is>
      </c>
    </row>
    <row r="3970">
      <c r="A3970" t="n">
        <v>3971</v>
      </c>
      <c r="B3970" t="inlineStr">
        <is>
          <t>A-495_1__106</t>
        </is>
      </c>
      <c r="C3970" s="1" t="n">
        <v>37.4686576836</v>
      </c>
      <c r="D3970" s="1" t="n">
        <v>-7.12371555394</v>
      </c>
      <c r="E3970" s="3" t="n">
        <v>5</v>
      </c>
      <c r="F3970" s="2" t="n">
        <v>4</v>
      </c>
      <c r="G3970" s="4" t="n">
        <v>5</v>
      </c>
      <c r="H3970" s="13" t="n"/>
      <c r="I3970" s="15" t="n"/>
      <c r="J3970" s="19" t="n">
        <v>5</v>
      </c>
      <c r="K3970" s="2" t="inlineStr">
        <is>
          <t>marker_586_384941.png</t>
        </is>
      </c>
      <c r="L3970" s="11">
        <f>HYPERLINK("5\1\" &amp; K3970, "Ver Imagen")</f>
        <v/>
      </c>
      <c r="M3970" t="inlineStr">
        <is>
          <t>Moda</t>
        </is>
      </c>
    </row>
    <row r="3971">
      <c r="A3971" t="n">
        <v>3972</v>
      </c>
      <c r="B3971" t="inlineStr">
        <is>
          <t>A-499__79</t>
        </is>
      </c>
      <c r="C3971" s="1" t="n">
        <v>37.4951935253</v>
      </c>
      <c r="D3971" s="1" t="n">
        <v>-7.2680698097</v>
      </c>
      <c r="E3971" s="3" t="n">
        <v>5</v>
      </c>
      <c r="F3971" s="2" t="n">
        <v>4</v>
      </c>
      <c r="G3971" s="4" t="n">
        <v>5</v>
      </c>
      <c r="H3971" s="13" t="n"/>
      <c r="I3971" s="15" t="n"/>
      <c r="J3971" s="19" t="n">
        <v>5</v>
      </c>
      <c r="K3971" s="2" t="inlineStr">
        <is>
          <t>marker_329_789245.png</t>
        </is>
      </c>
      <c r="L3971" s="11">
        <f>HYPERLINK("5\1\" &amp; K3971, "Ver Imagen")</f>
        <v/>
      </c>
      <c r="M3971" t="inlineStr">
        <is>
          <t>Moda</t>
        </is>
      </c>
    </row>
    <row r="3972">
      <c r="A3972" t="n">
        <v>3973</v>
      </c>
      <c r="B3972" t="inlineStr">
        <is>
          <t>A-499__80</t>
        </is>
      </c>
      <c r="C3972" s="1" t="n">
        <v>37.4951088692</v>
      </c>
      <c r="D3972" s="1" t="n">
        <v>-7.26782247347</v>
      </c>
      <c r="E3972" s="3" t="n">
        <v>5</v>
      </c>
      <c r="F3972" s="2" t="n">
        <v>4</v>
      </c>
      <c r="G3972" s="4" t="n">
        <v>5</v>
      </c>
      <c r="H3972" s="13" t="n"/>
      <c r="I3972" s="15" t="n"/>
      <c r="J3972" s="19" t="n">
        <v>5</v>
      </c>
      <c r="K3972" s="2" t="inlineStr">
        <is>
          <t>marker_924_789270.png</t>
        </is>
      </c>
      <c r="L3972" s="11">
        <f>HYPERLINK("5\1\" &amp; K3972, "Ver Imagen")</f>
        <v/>
      </c>
      <c r="M3972" t="inlineStr">
        <is>
          <t>Moda</t>
        </is>
      </c>
    </row>
    <row r="3973">
      <c r="A3973" t="n">
        <v>3974</v>
      </c>
      <c r="B3973" t="inlineStr">
        <is>
          <t>A-499__83</t>
        </is>
      </c>
      <c r="C3973" s="1" t="n">
        <v>37.4955189336</v>
      </c>
      <c r="D3973" s="1" t="n">
        <v>-7.26790009598</v>
      </c>
      <c r="E3973" s="3" t="n">
        <v>5</v>
      </c>
      <c r="F3973" s="2" t="n">
        <v>4</v>
      </c>
      <c r="G3973" s="4" t="n">
        <v>5</v>
      </c>
      <c r="H3973" s="13" t="n"/>
      <c r="I3973" s="15" t="n"/>
      <c r="J3973" s="19" t="n">
        <v>5</v>
      </c>
      <c r="K3973" s="2" t="inlineStr">
        <is>
          <t>marker_975_789355.png</t>
        </is>
      </c>
      <c r="L3973" s="11">
        <f>HYPERLINK("5\1\" &amp; K3973, "Ver Imagen")</f>
        <v/>
      </c>
      <c r="M3973" t="inlineStr">
        <is>
          <t>Moda</t>
        </is>
      </c>
    </row>
    <row r="3974">
      <c r="A3974" t="n">
        <v>3975</v>
      </c>
      <c r="B3974" t="inlineStr">
        <is>
          <t>A-497__766</t>
        </is>
      </c>
      <c r="C3974" s="1" t="n">
        <v>37.1868779123</v>
      </c>
      <c r="D3974" s="1" t="n">
        <v>-6.97960595105</v>
      </c>
      <c r="E3974" s="3" t="n">
        <v>5</v>
      </c>
      <c r="F3974" s="2" t="n">
        <v>4</v>
      </c>
      <c r="G3974" s="4" t="n">
        <v>5</v>
      </c>
      <c r="H3974" s="13" t="n"/>
      <c r="I3974" s="15" t="n"/>
      <c r="J3974" s="19" t="n">
        <v>5</v>
      </c>
      <c r="K3974" s="2" t="inlineStr">
        <is>
          <t>marker_952_368491.png</t>
        </is>
      </c>
      <c r="L3974" s="11">
        <f>HYPERLINK("5\1\" &amp; K3974, "Ver Imagen")</f>
        <v/>
      </c>
      <c r="M3974" t="inlineStr">
        <is>
          <t>Moda</t>
        </is>
      </c>
    </row>
    <row r="3975">
      <c r="A3975" t="n">
        <v>3976</v>
      </c>
      <c r="B3975" t="inlineStr">
        <is>
          <t>A-497__765</t>
        </is>
      </c>
      <c r="C3975" s="1" t="n">
        <v>37.1867365645</v>
      </c>
      <c r="D3975" s="1" t="n">
        <v>-6.97975153524</v>
      </c>
      <c r="E3975" s="3" t="n">
        <v>5</v>
      </c>
      <c r="F3975" s="2" t="n">
        <v>4</v>
      </c>
      <c r="G3975" s="4" t="n">
        <v>5</v>
      </c>
      <c r="H3975" s="13" t="n"/>
      <c r="I3975" s="15" t="n"/>
      <c r="J3975" s="19" t="n">
        <v>5</v>
      </c>
      <c r="K3975" s="2" t="inlineStr">
        <is>
          <t>marker_620_368503.png</t>
        </is>
      </c>
      <c r="L3975" s="11">
        <f>HYPERLINK("5\1\" &amp; K3975, "Ver Imagen")</f>
        <v/>
      </c>
      <c r="M3975" t="inlineStr">
        <is>
          <t>Moda</t>
        </is>
      </c>
    </row>
    <row r="3976">
      <c r="A3976" t="n">
        <v>3977</v>
      </c>
      <c r="B3976" t="inlineStr">
        <is>
          <t>A-497__760</t>
        </is>
      </c>
      <c r="C3976" s="1" t="n">
        <v>37.1859954945</v>
      </c>
      <c r="D3976" s="1" t="n">
        <v>-6.98045211276</v>
      </c>
      <c r="E3976" s="3" t="n">
        <v>5</v>
      </c>
      <c r="F3976" s="2" t="n">
        <v>4</v>
      </c>
      <c r="G3976" s="4" t="n">
        <v>5</v>
      </c>
      <c r="H3976" s="13" t="n"/>
      <c r="I3976" s="15" t="n"/>
      <c r="J3976" s="19" t="n">
        <v>5</v>
      </c>
      <c r="K3976" s="2" t="inlineStr">
        <is>
          <t>marker_368_368568.png</t>
        </is>
      </c>
      <c r="L3976" s="11">
        <f>HYPERLINK("5\1\" &amp; K3976, "Ver Imagen")</f>
        <v/>
      </c>
      <c r="M3976" t="inlineStr">
        <is>
          <t>Moda</t>
        </is>
      </c>
    </row>
    <row r="3977">
      <c r="A3977" t="n">
        <v>3978</v>
      </c>
      <c r="B3977" t="inlineStr">
        <is>
          <t>A-497_2C__109</t>
        </is>
      </c>
      <c r="C3977" s="1" t="n">
        <v>37.2714017634</v>
      </c>
      <c r="D3977" s="1" t="n">
        <v>-6.98391294032</v>
      </c>
      <c r="E3977" s="3" t="n">
        <v>5</v>
      </c>
      <c r="F3977" s="2" t="n">
        <v>4</v>
      </c>
      <c r="G3977" s="4" t="n">
        <v>5</v>
      </c>
      <c r="H3977" s="13" t="n"/>
      <c r="I3977" s="15" t="n"/>
      <c r="J3977" s="19" t="n">
        <v>5</v>
      </c>
      <c r="K3977" s="2" t="inlineStr">
        <is>
          <t>marker_975_655526.png</t>
        </is>
      </c>
      <c r="L3977" s="11">
        <f>HYPERLINK("5\1\" &amp; K3977, "Ver Imagen")</f>
        <v/>
      </c>
      <c r="M3977" t="inlineStr">
        <is>
          <t>Moda</t>
        </is>
      </c>
    </row>
    <row r="3978">
      <c r="A3978" t="n">
        <v>3979</v>
      </c>
      <c r="B3978" t="inlineStr">
        <is>
          <t>A-497__752</t>
        </is>
      </c>
      <c r="C3978" s="1" t="n">
        <v>37.186930418</v>
      </c>
      <c r="D3978" s="1" t="n">
        <v>-6.97936056147</v>
      </c>
      <c r="E3978" s="3" t="n">
        <v>5</v>
      </c>
      <c r="F3978" s="2" t="n">
        <v>4</v>
      </c>
      <c r="G3978" s="4" t="n">
        <v>5</v>
      </c>
      <c r="H3978" s="13" t="n"/>
      <c r="I3978" s="15" t="n"/>
      <c r="J3978" s="19" t="n">
        <v>5</v>
      </c>
      <c r="K3978" s="2" t="inlineStr">
        <is>
          <t>marker_915_368662.png</t>
        </is>
      </c>
      <c r="L3978" s="11">
        <f>HYPERLINK("5\1\" &amp; K3978, "Ver Imagen")</f>
        <v/>
      </c>
      <c r="M3978" t="inlineStr">
        <is>
          <t>Moda</t>
        </is>
      </c>
    </row>
    <row r="3979">
      <c r="A3979" t="n">
        <v>3980</v>
      </c>
      <c r="B3979" t="inlineStr">
        <is>
          <t>A-497__751</t>
        </is>
      </c>
      <c r="C3979" s="1" t="n">
        <v>37.1870717731</v>
      </c>
      <c r="D3979" s="1" t="n">
        <v>-6.97923386231</v>
      </c>
      <c r="E3979" s="3" t="n">
        <v>5</v>
      </c>
      <c r="F3979" s="2" t="n">
        <v>4</v>
      </c>
      <c r="G3979" s="4" t="n">
        <v>5</v>
      </c>
      <c r="H3979" s="13" t="n"/>
      <c r="I3979" s="15" t="n"/>
      <c r="J3979" s="19" t="n">
        <v>5</v>
      </c>
      <c r="K3979" s="2" t="inlineStr">
        <is>
          <t>marker_142_368676.png</t>
        </is>
      </c>
      <c r="L3979" s="11">
        <f>HYPERLINK("5\1\" &amp; K3979, "Ver Imagen")</f>
        <v/>
      </c>
      <c r="M3979" t="inlineStr">
        <is>
          <t>Moda</t>
        </is>
      </c>
    </row>
    <row r="3980">
      <c r="A3980" t="n">
        <v>3981</v>
      </c>
      <c r="B3980" t="inlineStr">
        <is>
          <t>A-497__638</t>
        </is>
      </c>
      <c r="C3980" s="1" t="n">
        <v>37.2015916894</v>
      </c>
      <c r="D3980" s="1" t="n">
        <v>-6.99320601267</v>
      </c>
      <c r="E3980" s="3" t="n">
        <v>5</v>
      </c>
      <c r="F3980" s="2" t="n">
        <v>4</v>
      </c>
      <c r="G3980" s="4" t="n">
        <v>5</v>
      </c>
      <c r="H3980" s="13" t="n"/>
      <c r="I3980" s="15" t="n"/>
      <c r="J3980" s="19" t="n">
        <v>5</v>
      </c>
      <c r="K3980" s="2" t="inlineStr">
        <is>
          <t>marker_438_371349.png</t>
        </is>
      </c>
      <c r="L3980" s="11">
        <f>HYPERLINK("5\1\" &amp; K3980, "Ver Imagen")</f>
        <v/>
      </c>
      <c r="M3980" t="inlineStr">
        <is>
          <t>Moda</t>
        </is>
      </c>
    </row>
    <row r="3981">
      <c r="A3981" t="n">
        <v>3982</v>
      </c>
      <c r="B3981" t="inlineStr">
        <is>
          <t>A-497__621</t>
        </is>
      </c>
      <c r="C3981" s="1" t="n">
        <v>37.2023002557</v>
      </c>
      <c r="D3981" s="1" t="n">
        <v>-6.99742741103</v>
      </c>
      <c r="E3981" s="3" t="n">
        <v>5</v>
      </c>
      <c r="F3981" s="2" t="n">
        <v>4</v>
      </c>
      <c r="G3981" s="4" t="n">
        <v>5</v>
      </c>
      <c r="H3981" s="13" t="n"/>
      <c r="I3981" s="15" t="n"/>
      <c r="J3981" s="19" t="n">
        <v>5</v>
      </c>
      <c r="K3981" s="2" t="inlineStr">
        <is>
          <t>marker_338_371517.png</t>
        </is>
      </c>
      <c r="L3981" s="11">
        <f>HYPERLINK("5\1\" &amp; K3981, "Ver Imagen")</f>
        <v/>
      </c>
      <c r="M3981" t="inlineStr">
        <is>
          <t>Moda</t>
        </is>
      </c>
    </row>
    <row r="3982">
      <c r="A3982" t="n">
        <v>3983</v>
      </c>
      <c r="B3982" t="inlineStr">
        <is>
          <t>A-497__607</t>
        </is>
      </c>
      <c r="C3982" s="1" t="n">
        <v>37.2027676977</v>
      </c>
      <c r="D3982" s="1" t="n">
        <v>-7.00089095041</v>
      </c>
      <c r="E3982" s="3" t="n">
        <v>5</v>
      </c>
      <c r="F3982" s="2" t="n">
        <v>4</v>
      </c>
      <c r="G3982" s="4" t="n">
        <v>5</v>
      </c>
      <c r="H3982" s="13" t="n"/>
      <c r="I3982" s="15" t="n"/>
      <c r="J3982" s="19" t="n">
        <v>5</v>
      </c>
      <c r="K3982" s="2" t="inlineStr">
        <is>
          <t>marker_942_371650.png</t>
        </is>
      </c>
      <c r="L3982" s="11">
        <f>HYPERLINK("5\1\" &amp; K3982, "Ver Imagen")</f>
        <v/>
      </c>
      <c r="M3982" t="inlineStr">
        <is>
          <t>Moda</t>
        </is>
      </c>
    </row>
    <row r="3983">
      <c r="A3983" t="n">
        <v>3984</v>
      </c>
      <c r="B3983" t="inlineStr">
        <is>
          <t>A-497__594</t>
        </is>
      </c>
      <c r="C3983" s="1" t="n">
        <v>37.2031346481</v>
      </c>
      <c r="D3983" s="1" t="n">
        <v>-7.00414435638</v>
      </c>
      <c r="E3983" s="3" t="n">
        <v>5</v>
      </c>
      <c r="F3983" s="2" t="n">
        <v>4</v>
      </c>
      <c r="G3983" s="4" t="n">
        <v>5</v>
      </c>
      <c r="H3983" s="13" t="n"/>
      <c r="I3983" s="15" t="n"/>
      <c r="J3983" s="19" t="n">
        <v>5</v>
      </c>
      <c r="K3983" s="2" t="inlineStr">
        <is>
          <t>marker_556_371768.png</t>
        </is>
      </c>
      <c r="L3983" s="11">
        <f>HYPERLINK("5\1\" &amp; K3983, "Ver Imagen")</f>
        <v/>
      </c>
      <c r="M3983" t="inlineStr">
        <is>
          <t>Moda</t>
        </is>
      </c>
    </row>
    <row r="3984">
      <c r="A3984" t="n">
        <v>3985</v>
      </c>
      <c r="B3984" t="inlineStr">
        <is>
          <t>A-497_2C__284</t>
        </is>
      </c>
      <c r="C3984" s="1" t="n">
        <v>37.2524841244</v>
      </c>
      <c r="D3984" s="1" t="n">
        <v>-7.01650618047</v>
      </c>
      <c r="E3984" s="3" t="n">
        <v>5</v>
      </c>
      <c r="F3984" s="2" t="n">
        <v>4</v>
      </c>
      <c r="G3984" s="4" t="n">
        <v>5</v>
      </c>
      <c r="H3984" s="13" t="n"/>
      <c r="I3984" s="15" t="n"/>
      <c r="J3984" s="19" t="n">
        <v>5</v>
      </c>
      <c r="K3984" s="2" t="inlineStr">
        <is>
          <t>marker_763_319925.png</t>
        </is>
      </c>
      <c r="L3984" s="11">
        <f>HYPERLINK("5\1\" &amp; K3984, "Ver Imagen")</f>
        <v/>
      </c>
      <c r="M3984" t="inlineStr">
        <is>
          <t>Moda</t>
        </is>
      </c>
    </row>
    <row r="3985">
      <c r="A3985" t="n">
        <v>3986</v>
      </c>
      <c r="B3985" t="inlineStr">
        <is>
          <t>A-497_2C__286</t>
        </is>
      </c>
      <c r="C3985" s="1" t="n">
        <v>37.2521142363</v>
      </c>
      <c r="D3985" s="1" t="n">
        <v>-7.01674220439</v>
      </c>
      <c r="E3985" s="3" t="n">
        <v>5</v>
      </c>
      <c r="F3985" s="2" t="n">
        <v>4</v>
      </c>
      <c r="G3985" s="4" t="n">
        <v>5</v>
      </c>
      <c r="H3985" s="13" t="n"/>
      <c r="I3985" s="15" t="n"/>
      <c r="J3985" s="19" t="n">
        <v>5</v>
      </c>
      <c r="K3985" s="2" t="inlineStr">
        <is>
          <t>marker_423_320016.png</t>
        </is>
      </c>
      <c r="L3985" s="11">
        <f>HYPERLINK("5\1\" &amp; K3985, "Ver Imagen")</f>
        <v/>
      </c>
      <c r="M3985" t="inlineStr">
        <is>
          <t>Moda</t>
        </is>
      </c>
    </row>
    <row r="3986">
      <c r="A3986" t="n">
        <v>3987</v>
      </c>
      <c r="B3986" t="inlineStr">
        <is>
          <t>A-497__562</t>
        </is>
      </c>
      <c r="C3986" s="1" t="n">
        <v>37.204318274</v>
      </c>
      <c r="D3986" s="1" t="n">
        <v>-7.01209915062</v>
      </c>
      <c r="E3986" s="3" t="n">
        <v>5</v>
      </c>
      <c r="F3986" s="2" t="n">
        <v>4</v>
      </c>
      <c r="G3986" s="4" t="n">
        <v>5</v>
      </c>
      <c r="H3986" s="13" t="n"/>
      <c r="I3986" s="15" t="n"/>
      <c r="J3986" s="19" t="n">
        <v>5</v>
      </c>
      <c r="K3986" s="2" t="inlineStr">
        <is>
          <t>marker_704_372126.png</t>
        </is>
      </c>
      <c r="L3986" s="11">
        <f>HYPERLINK("5\1\" &amp; K3986, "Ver Imagen")</f>
        <v/>
      </c>
      <c r="M3986" t="inlineStr">
        <is>
          <t>Moda</t>
        </is>
      </c>
    </row>
    <row r="3987">
      <c r="A3987" t="n">
        <v>3988</v>
      </c>
      <c r="B3987" t="inlineStr">
        <is>
          <t>A-497_2C__312</t>
        </is>
      </c>
      <c r="C3987" s="1" t="n">
        <v>37.2470794041</v>
      </c>
      <c r="D3987" s="1" t="n">
        <v>-7.01841326557</v>
      </c>
      <c r="E3987" s="3" t="n">
        <v>5</v>
      </c>
      <c r="F3987" s="2" t="n">
        <v>4</v>
      </c>
      <c r="G3987" s="4" t="n">
        <v>5</v>
      </c>
      <c r="H3987" s="13" t="n"/>
      <c r="I3987" s="15" t="n"/>
      <c r="J3987" s="19" t="n">
        <v>5</v>
      </c>
      <c r="K3987" s="2" t="inlineStr">
        <is>
          <t>marker_962_361850.png</t>
        </is>
      </c>
      <c r="L3987" s="11">
        <f>HYPERLINK("5\1\" &amp; K3987, "Ver Imagen")</f>
        <v/>
      </c>
      <c r="M3987" t="inlineStr">
        <is>
          <t>Moda</t>
        </is>
      </c>
    </row>
    <row r="3988">
      <c r="A3988" t="n">
        <v>3989</v>
      </c>
      <c r="B3988" t="inlineStr">
        <is>
          <t>A-497_2C__350</t>
        </is>
      </c>
      <c r="C3988" s="1" t="n">
        <v>37.2394274153</v>
      </c>
      <c r="D3988" s="1" t="n">
        <v>-7.01870019996</v>
      </c>
      <c r="E3988" s="3" t="n">
        <v>5</v>
      </c>
      <c r="F3988" s="2" t="n">
        <v>4</v>
      </c>
      <c r="G3988" s="4" t="n">
        <v>5</v>
      </c>
      <c r="H3988" s="13" t="n"/>
      <c r="I3988" s="15" t="n"/>
      <c r="J3988" s="19" t="n">
        <v>5</v>
      </c>
      <c r="K3988" s="2" t="inlineStr">
        <is>
          <t>marker_497_362231.png</t>
        </is>
      </c>
      <c r="L3988" s="11">
        <f>HYPERLINK("5\1\" &amp; K3988, "Ver Imagen")</f>
        <v/>
      </c>
      <c r="M3988" t="inlineStr">
        <is>
          <t>Moda</t>
        </is>
      </c>
    </row>
    <row r="3989">
      <c r="A3989" t="n">
        <v>3990</v>
      </c>
      <c r="B3989" t="inlineStr">
        <is>
          <t>A-497_2C__395</t>
        </is>
      </c>
      <c r="C3989" s="1" t="n">
        <v>37.2306998346</v>
      </c>
      <c r="D3989" s="1" t="n">
        <v>-7.01993366873</v>
      </c>
      <c r="E3989" s="3" t="n">
        <v>5</v>
      </c>
      <c r="F3989" s="2" t="n">
        <v>4</v>
      </c>
      <c r="G3989" s="4" t="n">
        <v>5</v>
      </c>
      <c r="H3989" s="13" t="n"/>
      <c r="I3989" s="15" t="n"/>
      <c r="J3989" s="19" t="n">
        <v>5</v>
      </c>
      <c r="K3989" s="2" t="inlineStr">
        <is>
          <t>marker_378_362857.png</t>
        </is>
      </c>
      <c r="L3989" s="11">
        <f>HYPERLINK("5\1\" &amp; K3989, "Ver Imagen")</f>
        <v/>
      </c>
      <c r="M3989" t="inlineStr">
        <is>
          <t>Moda</t>
        </is>
      </c>
    </row>
    <row r="3990">
      <c r="A3990" t="n">
        <v>3991</v>
      </c>
      <c r="B3990" t="inlineStr">
        <is>
          <t>A-497__302</t>
        </is>
      </c>
      <c r="C3990" s="1" t="n">
        <v>37.2500446216</v>
      </c>
      <c r="D3990" s="1" t="n">
        <v>-7.0177958552</v>
      </c>
      <c r="E3990" s="3" t="n">
        <v>5</v>
      </c>
      <c r="F3990" s="2" t="n">
        <v>4</v>
      </c>
      <c r="G3990" s="4" t="n">
        <v>5</v>
      </c>
      <c r="H3990" s="13" t="n"/>
      <c r="I3990" s="15" t="n"/>
      <c r="J3990" s="19" t="n">
        <v>5</v>
      </c>
      <c r="K3990" s="2" t="inlineStr">
        <is>
          <t>marker_609_378195.png</t>
        </is>
      </c>
      <c r="L3990" s="11">
        <f>HYPERLINK("5\1\" &amp; K3990, "Ver Imagen")</f>
        <v/>
      </c>
      <c r="M3990" t="inlineStr">
        <is>
          <t>Moda</t>
        </is>
      </c>
    </row>
    <row r="3991">
      <c r="A3991" t="n">
        <v>3992</v>
      </c>
      <c r="B3991" t="inlineStr">
        <is>
          <t>A-497__281</t>
        </is>
      </c>
      <c r="C3991" s="1" t="n">
        <v>37.2537942191</v>
      </c>
      <c r="D3991" s="1" t="n">
        <v>-7.01546273504</v>
      </c>
      <c r="E3991" s="3" t="n">
        <v>5</v>
      </c>
      <c r="F3991" s="2" t="n">
        <v>4</v>
      </c>
      <c r="G3991" s="4" t="n">
        <v>5</v>
      </c>
      <c r="H3991" s="13" t="n"/>
      <c r="I3991" s="15" t="n"/>
      <c r="J3991" s="19" t="n">
        <v>5</v>
      </c>
      <c r="K3991" s="2" t="inlineStr">
        <is>
          <t>marker_454_378457.png</t>
        </is>
      </c>
      <c r="L3991" s="11">
        <f>HYPERLINK("5\1\" &amp; K3991, "Ver Imagen")</f>
        <v/>
      </c>
      <c r="M3991" t="inlineStr">
        <is>
          <t>Moda</t>
        </is>
      </c>
    </row>
    <row r="3992">
      <c r="A3992" t="n">
        <v>3993</v>
      </c>
      <c r="B3992" t="inlineStr">
        <is>
          <t>A-497__236</t>
        </is>
      </c>
      <c r="C3992" s="1" t="n">
        <v>37.2618505128</v>
      </c>
      <c r="D3992" s="1" t="n">
        <v>-7.01019172892</v>
      </c>
      <c r="E3992" s="3" t="n">
        <v>5</v>
      </c>
      <c r="F3992" s="2" t="n">
        <v>4</v>
      </c>
      <c r="G3992" s="4" t="n">
        <v>5</v>
      </c>
      <c r="H3992" s="13" t="n"/>
      <c r="I3992" s="15" t="n"/>
      <c r="J3992" s="19" t="n">
        <v>5</v>
      </c>
      <c r="K3992" s="2" t="inlineStr">
        <is>
          <t>marker_907_378956.png</t>
        </is>
      </c>
      <c r="L3992" s="11">
        <f>HYPERLINK("5\1\" &amp; K3992, "Ver Imagen")</f>
        <v/>
      </c>
      <c r="M3992" t="inlineStr">
        <is>
          <t>Moda</t>
        </is>
      </c>
    </row>
    <row r="3993">
      <c r="A3993" t="n">
        <v>3994</v>
      </c>
      <c r="B3993" t="inlineStr">
        <is>
          <t>A-497__769</t>
        </is>
      </c>
      <c r="C3993" s="1" t="n">
        <v>37.1873817395</v>
      </c>
      <c r="D3993" s="1" t="n">
        <v>-6.97920491697</v>
      </c>
      <c r="E3993" s="3" t="n">
        <v>4</v>
      </c>
      <c r="F3993" s="2" t="n">
        <v>5</v>
      </c>
      <c r="G3993" s="4" t="n">
        <v>5</v>
      </c>
      <c r="H3993" s="13" t="n"/>
      <c r="I3993" s="15" t="n"/>
      <c r="J3993" s="19" t="n">
        <v>5</v>
      </c>
      <c r="K3993" s="2" t="inlineStr">
        <is>
          <t>marker_797_368320.png</t>
        </is>
      </c>
      <c r="L3993" s="11">
        <f>HYPERLINK("5\1\" &amp; K3993, "Ver Imagen")</f>
        <v/>
      </c>
      <c r="M3993" t="inlineStr">
        <is>
          <t>Moda</t>
        </is>
      </c>
    </row>
    <row r="3994">
      <c r="A3994" t="n">
        <v>3995</v>
      </c>
      <c r="B3994" t="inlineStr">
        <is>
          <t>A-497_2C__167</t>
        </is>
      </c>
      <c r="C3994" s="1" t="n">
        <v>37.2657005951</v>
      </c>
      <c r="D3994" s="1" t="n">
        <v>-6.99495312472</v>
      </c>
      <c r="E3994" s="3" t="n">
        <v>5</v>
      </c>
      <c r="F3994" s="2" t="n">
        <v>5</v>
      </c>
      <c r="G3994" s="4" t="n">
        <v>4</v>
      </c>
      <c r="H3994" s="13" t="n"/>
      <c r="I3994" s="15" t="n"/>
      <c r="J3994" s="19" t="n">
        <v>5</v>
      </c>
      <c r="K3994" s="2" t="inlineStr">
        <is>
          <t>marker_418_656170.png</t>
        </is>
      </c>
      <c r="L3994" s="11">
        <f>HYPERLINK("5\1\" &amp; K3994, "Ver Imagen")</f>
        <v/>
      </c>
      <c r="M3994" t="inlineStr">
        <is>
          <t>Moda</t>
        </is>
      </c>
    </row>
    <row r="3995" ht="15.75" customHeight="1" thickBot="1">
      <c r="A3995" t="n">
        <v>3996</v>
      </c>
      <c r="B3995" t="inlineStr">
        <is>
          <t>A-497_2C__394</t>
        </is>
      </c>
      <c r="C3995" s="1" t="n">
        <v>37.230860533</v>
      </c>
      <c r="D3995" s="1" t="n">
        <v>-7.01981149596</v>
      </c>
      <c r="E3995" s="3" t="n">
        <v>5</v>
      </c>
      <c r="F3995" s="2" t="n">
        <v>5</v>
      </c>
      <c r="G3995" s="4" t="n">
        <v>4</v>
      </c>
      <c r="H3995" s="13" t="n"/>
      <c r="I3995" s="15" t="n"/>
      <c r="J3995" s="19" t="n">
        <v>5</v>
      </c>
      <c r="K3995" s="2" t="inlineStr">
        <is>
          <t>marker_416_362846.png</t>
        </is>
      </c>
      <c r="L3995" s="11">
        <f>HYPERLINK("5\1\" &amp; K3995, "Ver Imagen")</f>
        <v/>
      </c>
      <c r="M3995" t="inlineStr">
        <is>
          <t>Moda</t>
        </is>
      </c>
    </row>
    <row r="3996">
      <c r="A3996" s="23" t="n">
        <v>3997</v>
      </c>
      <c r="B3996" s="24" t="inlineStr">
        <is>
          <t>A-490__423</t>
        </is>
      </c>
      <c r="C3996" s="25" t="n">
        <v>37.4829433326</v>
      </c>
      <c r="D3996" s="25" t="n">
        <v>-7.21989853498</v>
      </c>
      <c r="E3996" s="26" t="n">
        <v>1</v>
      </c>
      <c r="F3996" s="27" t="n">
        <v>3</v>
      </c>
      <c r="G3996" s="28" t="n">
        <v>1</v>
      </c>
      <c r="H3996" s="29" t="n">
        <v>2</v>
      </c>
      <c r="I3996" s="30" t="n">
        <v>2</v>
      </c>
      <c r="J3996" s="31" t="n">
        <v>2</v>
      </c>
      <c r="K3996" s="27" t="inlineStr">
        <is>
          <t>marker_539_754345.png</t>
        </is>
      </c>
      <c r="L3996" s="32">
        <f>HYPERLINK("NoConsenso\" &amp; K3996, "Ver Imagen")</f>
        <v/>
      </c>
      <c r="M3996" t="inlineStr">
        <is>
          <t>Mediana</t>
        </is>
      </c>
    </row>
    <row r="3997">
      <c r="A3997" s="33" t="n">
        <v>3998</v>
      </c>
      <c r="B3997" t="inlineStr">
        <is>
          <t>A-490__426</t>
        </is>
      </c>
      <c r="C3997" s="1" t="n">
        <v>37.4831108117</v>
      </c>
      <c r="D3997" s="1" t="n">
        <v>-7.22074436463</v>
      </c>
      <c r="E3997" s="3" t="n">
        <v>1</v>
      </c>
      <c r="F3997" s="2" t="n">
        <v>3</v>
      </c>
      <c r="G3997" s="4" t="n">
        <v>1</v>
      </c>
      <c r="H3997" s="13" t="n">
        <v>2</v>
      </c>
      <c r="I3997" s="34" t="n">
        <v>2</v>
      </c>
      <c r="J3997" s="35" t="n">
        <v>2</v>
      </c>
      <c r="K3997" s="2" t="inlineStr">
        <is>
          <t>marker_436_754397.png</t>
        </is>
      </c>
      <c r="L3997" s="36">
        <f>HYPERLINK("NoConsenso\" &amp; K3997, "Ver Imagen")</f>
        <v/>
      </c>
      <c r="M3997" t="inlineStr">
        <is>
          <t>Mediana</t>
        </is>
      </c>
    </row>
    <row r="3998">
      <c r="A3998" s="33" t="n">
        <v>3999</v>
      </c>
      <c r="B3998" t="inlineStr">
        <is>
          <t>A-490__435</t>
        </is>
      </c>
      <c r="C3998" s="1" t="n">
        <v>37.4835373335</v>
      </c>
      <c r="D3998" s="1" t="n">
        <v>-7.22290859607</v>
      </c>
      <c r="E3998" s="3" t="n">
        <v>1</v>
      </c>
      <c r="F3998" s="2" t="n">
        <v>3</v>
      </c>
      <c r="G3998" s="4" t="n">
        <v>1</v>
      </c>
      <c r="H3998" s="13" t="n">
        <v>1</v>
      </c>
      <c r="I3998" s="34" t="n">
        <v>2</v>
      </c>
      <c r="J3998" s="35" t="n">
        <v>1</v>
      </c>
      <c r="K3998" s="2" t="inlineStr">
        <is>
          <t>marker_737_754574.png</t>
        </is>
      </c>
      <c r="L3998" s="36">
        <f>HYPERLINK("NoConsenso\" &amp; K3998, "Ver Imagen")</f>
        <v/>
      </c>
      <c r="M3998" t="inlineStr">
        <is>
          <t>Mediana</t>
        </is>
      </c>
    </row>
    <row r="3999">
      <c r="A3999" s="33" t="n">
        <v>4000</v>
      </c>
      <c r="B3999" t="inlineStr">
        <is>
          <t>A-490__466</t>
        </is>
      </c>
      <c r="C3999" s="1" t="n">
        <v>37.4850222112</v>
      </c>
      <c r="D3999" s="1" t="n">
        <v>-7.23056489623</v>
      </c>
      <c r="E3999" s="3" t="n">
        <v>1</v>
      </c>
      <c r="F3999" s="2" t="n">
        <v>3</v>
      </c>
      <c r="G3999" s="4" t="n">
        <v>1</v>
      </c>
      <c r="H3999" s="13" t="n">
        <v>2</v>
      </c>
      <c r="I3999" s="34" t="n">
        <v>3</v>
      </c>
      <c r="J3999" s="35" t="n">
        <v>2</v>
      </c>
      <c r="K3999" s="2" t="inlineStr">
        <is>
          <t>marker_781_755321.png</t>
        </is>
      </c>
      <c r="L3999" s="36">
        <f>HYPERLINK("NoConsenso\" &amp; K3999, "Ver Imagen")</f>
        <v/>
      </c>
      <c r="M3999" t="inlineStr">
        <is>
          <t>Mediana</t>
        </is>
      </c>
    </row>
    <row r="4000">
      <c r="A4000" s="33" t="n">
        <v>4001</v>
      </c>
      <c r="B4000" t="inlineStr">
        <is>
          <t>A-490__479</t>
        </is>
      </c>
      <c r="C4000" s="1" t="n">
        <v>37.4856379921</v>
      </c>
      <c r="D4000" s="1" t="n">
        <v>-7.23379292194</v>
      </c>
      <c r="E4000" s="3" t="n">
        <v>1</v>
      </c>
      <c r="F4000" s="2" t="n">
        <v>3</v>
      </c>
      <c r="G4000" s="4" t="n">
        <v>1</v>
      </c>
      <c r="H4000" s="13" t="n">
        <v>2</v>
      </c>
      <c r="I4000" s="34" t="n">
        <v>2</v>
      </c>
      <c r="J4000" s="35" t="n">
        <v>2</v>
      </c>
      <c r="K4000" s="2" t="inlineStr">
        <is>
          <t>marker_677_755566.png</t>
        </is>
      </c>
      <c r="L4000" s="36">
        <f>HYPERLINK("NoConsenso\" &amp; K4000, "Ver Imagen")</f>
        <v/>
      </c>
      <c r="M4000" t="inlineStr">
        <is>
          <t>Mediana</t>
        </is>
      </c>
    </row>
    <row r="4001">
      <c r="A4001" s="33" t="n">
        <v>4002</v>
      </c>
      <c r="B4001" t="inlineStr">
        <is>
          <t>A-490__509</t>
        </is>
      </c>
      <c r="C4001" s="1" t="n">
        <v>37.4870108807</v>
      </c>
      <c r="D4001" s="1" t="n">
        <v>-7.24118307763</v>
      </c>
      <c r="E4001" s="3" t="n">
        <v>1</v>
      </c>
      <c r="F4001" s="2" t="n">
        <v>3</v>
      </c>
      <c r="G4001" s="4" t="n">
        <v>1</v>
      </c>
      <c r="H4001" s="13" t="n">
        <v>2</v>
      </c>
      <c r="I4001" s="34" t="n">
        <v>2</v>
      </c>
      <c r="J4001" s="35" t="n">
        <v>2</v>
      </c>
      <c r="K4001" s="2" t="inlineStr">
        <is>
          <t>marker_233_817756.png</t>
        </is>
      </c>
      <c r="L4001" s="36">
        <f>HYPERLINK("NoConsenso\" &amp; K4001, "Ver Imagen")</f>
        <v/>
      </c>
      <c r="M4001" t="inlineStr">
        <is>
          <t>Mediana</t>
        </is>
      </c>
    </row>
    <row r="4002">
      <c r="A4002" s="33" t="n">
        <v>4003</v>
      </c>
      <c r="B4002" t="inlineStr">
        <is>
          <t>A-490__516</t>
        </is>
      </c>
      <c r="C4002" s="1" t="n">
        <v>37.4871743328</v>
      </c>
      <c r="D4002" s="1" t="n">
        <v>-7.24296249462</v>
      </c>
      <c r="E4002" s="3" t="n">
        <v>1</v>
      </c>
      <c r="F4002" s="2" t="n">
        <v>3</v>
      </c>
      <c r="G4002" s="4" t="n">
        <v>1</v>
      </c>
      <c r="H4002" s="13" t="n">
        <v>2</v>
      </c>
      <c r="I4002" s="34" t="n">
        <v>2</v>
      </c>
      <c r="J4002" s="35" t="n">
        <v>2</v>
      </c>
      <c r="K4002" s="2" t="inlineStr">
        <is>
          <t>marker_213_817917.png</t>
        </is>
      </c>
      <c r="L4002" s="36">
        <f>HYPERLINK("NoConsenso\" &amp; K4002, "Ver Imagen")</f>
        <v/>
      </c>
      <c r="M4002" t="inlineStr">
        <is>
          <t>Mediana</t>
        </is>
      </c>
    </row>
    <row r="4003">
      <c r="A4003" s="33" t="n">
        <v>4004</v>
      </c>
      <c r="B4003" t="inlineStr">
        <is>
          <t>A-492__57</t>
        </is>
      </c>
      <c r="C4003" s="1" t="n">
        <v>37.2796695829</v>
      </c>
      <c r="D4003" s="1" t="n">
        <v>-6.9972994238</v>
      </c>
      <c r="E4003" s="3" t="n">
        <v>1</v>
      </c>
      <c r="F4003" s="2" t="n">
        <v>1</v>
      </c>
      <c r="G4003" s="4" t="n">
        <v>3</v>
      </c>
      <c r="H4003" s="13" t="n">
        <v>2</v>
      </c>
      <c r="I4003" s="34" t="n">
        <v>1</v>
      </c>
      <c r="J4003" s="35" t="n">
        <v>1</v>
      </c>
      <c r="K4003" s="2" t="inlineStr">
        <is>
          <t>marker_906_823095.png</t>
        </is>
      </c>
      <c r="L4003" s="36">
        <f>HYPERLINK("NoConsenso\" &amp; K4003, "Ver Imagen")</f>
        <v/>
      </c>
      <c r="M4003" t="inlineStr">
        <is>
          <t>Mediana</t>
        </is>
      </c>
    </row>
    <row r="4004">
      <c r="A4004" s="33" t="n">
        <v>4005</v>
      </c>
      <c r="B4004" t="inlineStr">
        <is>
          <t>A-497__19</t>
        </is>
      </c>
      <c r="C4004" s="1" t="n">
        <v>37.2673694265</v>
      </c>
      <c r="D4004" s="1" t="n">
        <v>-6.9604849482</v>
      </c>
      <c r="E4004" s="3" t="n">
        <v>1</v>
      </c>
      <c r="F4004" s="2" t="n">
        <v>3</v>
      </c>
      <c r="G4004" s="4" t="n">
        <v>1</v>
      </c>
      <c r="H4004" s="13" t="n">
        <v>2</v>
      </c>
      <c r="I4004" s="34" t="n">
        <v>2</v>
      </c>
      <c r="J4004" s="35" t="n">
        <v>2</v>
      </c>
      <c r="K4004" s="2" t="inlineStr">
        <is>
          <t>marker_891_943786.png</t>
        </is>
      </c>
      <c r="L4004" s="36">
        <f>HYPERLINK("NoConsenso\" &amp; K4004, "Ver Imagen")</f>
        <v/>
      </c>
      <c r="M4004" t="inlineStr">
        <is>
          <t>Mediana</t>
        </is>
      </c>
    </row>
    <row r="4005">
      <c r="A4005" s="33" t="n">
        <v>4006</v>
      </c>
      <c r="B4005" t="inlineStr">
        <is>
          <t>A-5050__184</t>
        </is>
      </c>
      <c r="C4005" s="1" t="n">
        <v>37.1896719951</v>
      </c>
      <c r="D4005" s="1" t="n">
        <v>-6.98808154766</v>
      </c>
      <c r="E4005" s="3" t="n">
        <v>1</v>
      </c>
      <c r="F4005" s="2" t="n">
        <v>3</v>
      </c>
      <c r="G4005" s="4" t="n">
        <v>3</v>
      </c>
      <c r="H4005" s="13" t="n">
        <v>2</v>
      </c>
      <c r="I4005" s="34" t="n">
        <v>1</v>
      </c>
      <c r="J4005" s="35" t="n">
        <v>2</v>
      </c>
      <c r="K4005" s="2" t="inlineStr">
        <is>
          <t>marker_440_944116.png</t>
        </is>
      </c>
      <c r="L4005" s="36">
        <f>HYPERLINK("NoConsenso\" &amp; K4005, "Ver Imagen")</f>
        <v/>
      </c>
      <c r="M4005" t="inlineStr">
        <is>
          <t>Mediana</t>
        </is>
      </c>
    </row>
    <row r="4006">
      <c r="A4006" s="33" t="n">
        <v>4007</v>
      </c>
      <c r="B4006" t="inlineStr">
        <is>
          <t>A-5050__168</t>
        </is>
      </c>
      <c r="C4006" s="1" t="n">
        <v>37.191302991</v>
      </c>
      <c r="D4006" s="1" t="n">
        <v>-6.991618101</v>
      </c>
      <c r="E4006" s="3" t="n">
        <v>1</v>
      </c>
      <c r="F4006" s="2" t="n">
        <v>2</v>
      </c>
      <c r="G4006" s="4" t="n">
        <v>3</v>
      </c>
      <c r="H4006" s="13" t="n">
        <v>1</v>
      </c>
      <c r="I4006" s="34" t="n">
        <v>2</v>
      </c>
      <c r="J4006" s="35" t="n">
        <v>2</v>
      </c>
      <c r="K4006" s="2" t="inlineStr">
        <is>
          <t>marker_973_944309.png</t>
        </is>
      </c>
      <c r="L4006" s="36">
        <f>HYPERLINK("NoConsenso\" &amp; K4006, "Ver Imagen")</f>
        <v/>
      </c>
      <c r="M4006" t="inlineStr">
        <is>
          <t>Mediana</t>
        </is>
      </c>
    </row>
    <row r="4007">
      <c r="A4007" s="33" t="n">
        <v>4008</v>
      </c>
      <c r="B4007" t="inlineStr">
        <is>
          <t>A-5050__138</t>
        </is>
      </c>
      <c r="C4007" s="1" t="n">
        <v>37.1942164398</v>
      </c>
      <c r="D4007" s="1" t="n">
        <v>-6.99823143089</v>
      </c>
      <c r="E4007" s="3" t="n">
        <v>1</v>
      </c>
      <c r="F4007" s="2" t="n">
        <v>3</v>
      </c>
      <c r="G4007" s="4" t="n">
        <v>2</v>
      </c>
      <c r="H4007" s="13" t="n">
        <v>2</v>
      </c>
      <c r="I4007" s="34" t="n">
        <v>2</v>
      </c>
      <c r="J4007" s="35" t="n">
        <v>2</v>
      </c>
      <c r="K4007" s="2" t="inlineStr">
        <is>
          <t>marker_342_945862.png</t>
        </is>
      </c>
      <c r="L4007" s="36">
        <f>HYPERLINK("NoConsenso\" &amp; K4007, "Ver Imagen")</f>
        <v/>
      </c>
      <c r="M4007" t="inlineStr">
        <is>
          <t>Mediana</t>
        </is>
      </c>
    </row>
    <row r="4008">
      <c r="A4008" s="33" t="n">
        <v>4009</v>
      </c>
      <c r="B4008" t="inlineStr">
        <is>
          <t>A-5052__12</t>
        </is>
      </c>
      <c r="C4008" s="1" t="n">
        <v>37.2182086114</v>
      </c>
      <c r="D4008" s="1" t="n">
        <v>-7.12298624689</v>
      </c>
      <c r="E4008" s="3" t="n">
        <v>1</v>
      </c>
      <c r="F4008" s="2" t="n">
        <v>2</v>
      </c>
      <c r="G4008" s="4" t="n">
        <v>3</v>
      </c>
      <c r="H4008" s="13" t="n">
        <v>1</v>
      </c>
      <c r="I4008" s="34" t="n">
        <v>1</v>
      </c>
      <c r="J4008" s="35" t="n">
        <v>1</v>
      </c>
      <c r="K4008" s="2" t="inlineStr">
        <is>
          <t>marker_604_950124.png</t>
        </is>
      </c>
      <c r="L4008" s="36">
        <f>HYPERLINK("NoConsenso\" &amp; K4008, "Ver Imagen")</f>
        <v/>
      </c>
      <c r="M4008" t="inlineStr">
        <is>
          <t>Mediana</t>
        </is>
      </c>
    </row>
    <row r="4009">
      <c r="A4009" s="33" t="n">
        <v>4010</v>
      </c>
      <c r="B4009" t="inlineStr">
        <is>
          <t>A-5052__29</t>
        </is>
      </c>
      <c r="C4009" s="1" t="n">
        <v>37.218126983</v>
      </c>
      <c r="D4009" s="1" t="n">
        <v>-7.11875052399</v>
      </c>
      <c r="E4009" s="3" t="n">
        <v>1</v>
      </c>
      <c r="F4009" s="2" t="n">
        <v>3</v>
      </c>
      <c r="G4009" s="4" t="n">
        <v>3</v>
      </c>
      <c r="H4009" s="13" t="n">
        <v>2</v>
      </c>
      <c r="I4009" s="34" t="n">
        <v>2</v>
      </c>
      <c r="J4009" s="35" t="n">
        <v>2</v>
      </c>
      <c r="K4009" s="2" t="inlineStr">
        <is>
          <t>marker_656_951586.png</t>
        </is>
      </c>
      <c r="L4009" s="36">
        <f>HYPERLINK("NoConsenso\" &amp; K4009, "Ver Imagen")</f>
        <v/>
      </c>
      <c r="M4009" t="inlineStr">
        <is>
          <t>Mediana</t>
        </is>
      </c>
    </row>
    <row r="4010">
      <c r="A4010" s="33" t="n">
        <v>4011</v>
      </c>
      <c r="B4010" t="inlineStr">
        <is>
          <t>A-5052__67</t>
        </is>
      </c>
      <c r="C4010" s="1" t="n">
        <v>37.2176260676</v>
      </c>
      <c r="D4010" s="1" t="n">
        <v>-7.1092040251</v>
      </c>
      <c r="E4010" s="3" t="n">
        <v>1</v>
      </c>
      <c r="F4010" s="2" t="n">
        <v>1</v>
      </c>
      <c r="G4010" s="4" t="n">
        <v>3</v>
      </c>
      <c r="H4010" s="13" t="n">
        <v>1</v>
      </c>
      <c r="I4010" s="34" t="n">
        <v>1</v>
      </c>
      <c r="J4010" s="35" t="n">
        <v>1</v>
      </c>
      <c r="K4010" s="2" t="inlineStr">
        <is>
          <t>marker_838_957138.png</t>
        </is>
      </c>
      <c r="L4010" s="36">
        <f>HYPERLINK("NoConsenso\" &amp; K4010, "Ver Imagen")</f>
        <v/>
      </c>
      <c r="M4010" t="inlineStr">
        <is>
          <t>Mediana</t>
        </is>
      </c>
    </row>
    <row r="4011">
      <c r="A4011" s="33" t="n">
        <v>4012</v>
      </c>
      <c r="B4011" t="inlineStr">
        <is>
          <t>A-5052__71</t>
        </is>
      </c>
      <c r="C4011" s="1" t="n">
        <v>37.2174913772</v>
      </c>
      <c r="D4011" s="1" t="n">
        <v>-7.10821089914</v>
      </c>
      <c r="E4011" s="3" t="n">
        <v>1</v>
      </c>
      <c r="F4011" s="2" t="n">
        <v>2</v>
      </c>
      <c r="G4011" s="4" t="n">
        <v>3</v>
      </c>
      <c r="H4011" s="13" t="n">
        <v>2</v>
      </c>
      <c r="I4011" s="34" t="n">
        <v>2</v>
      </c>
      <c r="J4011" s="35" t="n">
        <v>2</v>
      </c>
      <c r="K4011" s="2" t="inlineStr">
        <is>
          <t>marker_901_957188.png</t>
        </is>
      </c>
      <c r="L4011" s="36">
        <f>HYPERLINK("NoConsenso\" &amp; K4011, "Ver Imagen")</f>
        <v/>
      </c>
      <c r="M4011" t="inlineStr">
        <is>
          <t>Mediana</t>
        </is>
      </c>
    </row>
    <row r="4012">
      <c r="A4012" s="33" t="n">
        <v>4013</v>
      </c>
      <c r="B4012" t="inlineStr">
        <is>
          <t>A-5052__108</t>
        </is>
      </c>
      <c r="C4012" s="1" t="n">
        <v>37.216979223</v>
      </c>
      <c r="D4012" s="1" t="n">
        <v>-7.09889918638</v>
      </c>
      <c r="E4012" s="3" t="n">
        <v>1</v>
      </c>
      <c r="F4012" s="2" t="n">
        <v>1</v>
      </c>
      <c r="G4012" s="4" t="n">
        <v>3</v>
      </c>
      <c r="H4012" s="13" t="n">
        <v>1</v>
      </c>
      <c r="I4012" s="34" t="n">
        <v>1</v>
      </c>
      <c r="J4012" s="35" t="n">
        <v>1</v>
      </c>
      <c r="K4012" s="2" t="inlineStr">
        <is>
          <t>marker_856_957765.png</t>
        </is>
      </c>
      <c r="L4012" s="36">
        <f>HYPERLINK("NoConsenso\" &amp; K4012, "Ver Imagen")</f>
        <v/>
      </c>
      <c r="M4012" t="inlineStr">
        <is>
          <t>Mediana</t>
        </is>
      </c>
    </row>
    <row r="4013">
      <c r="A4013" s="33" t="n">
        <v>4014</v>
      </c>
      <c r="B4013" t="inlineStr">
        <is>
          <t>A-5052__158</t>
        </is>
      </c>
      <c r="C4013" s="1" t="n">
        <v>37.2160334253</v>
      </c>
      <c r="D4013" s="1" t="n">
        <v>-7.08637142532</v>
      </c>
      <c r="E4013" s="3" t="n">
        <v>1</v>
      </c>
      <c r="F4013" s="2" t="n">
        <v>2</v>
      </c>
      <c r="G4013" s="4" t="n">
        <v>3</v>
      </c>
      <c r="H4013" s="13" t="n">
        <v>1</v>
      </c>
      <c r="I4013" s="34" t="n">
        <v>1</v>
      </c>
      <c r="J4013" s="35" t="n">
        <v>1</v>
      </c>
      <c r="K4013" s="2" t="inlineStr">
        <is>
          <t>marker_226_958647.png</t>
        </is>
      </c>
      <c r="L4013" s="36">
        <f>HYPERLINK("NoConsenso\" &amp; K4013, "Ver Imagen")</f>
        <v/>
      </c>
      <c r="M4013" t="inlineStr">
        <is>
          <t>Mediana</t>
        </is>
      </c>
    </row>
    <row r="4014">
      <c r="A4014" s="33" t="n">
        <v>4015</v>
      </c>
      <c r="B4014" t="inlineStr">
        <is>
          <t>A-5052__179</t>
        </is>
      </c>
      <c r="C4014" s="1" t="n">
        <v>37.2154544654</v>
      </c>
      <c r="D4014" s="1" t="n">
        <v>-7.08124272801</v>
      </c>
      <c r="E4014" s="3" t="n">
        <v>1</v>
      </c>
      <c r="F4014" s="2" t="n">
        <v>2</v>
      </c>
      <c r="G4014" s="4" t="n">
        <v>3</v>
      </c>
      <c r="H4014" s="13" t="n">
        <v>2</v>
      </c>
      <c r="I4014" s="34" t="n">
        <v>2</v>
      </c>
      <c r="J4014" s="35" t="n">
        <v>2</v>
      </c>
      <c r="K4014" s="2" t="inlineStr">
        <is>
          <t>marker_597_959071.png</t>
        </is>
      </c>
      <c r="L4014" s="36">
        <f>HYPERLINK("NoConsenso\" &amp; K4014, "Ver Imagen")</f>
        <v/>
      </c>
      <c r="M4014" t="inlineStr">
        <is>
          <t>Mediana</t>
        </is>
      </c>
    </row>
    <row r="4015">
      <c r="A4015" s="33" t="n">
        <v>4016</v>
      </c>
      <c r="B4015" t="inlineStr">
        <is>
          <t>A-5052__180</t>
        </is>
      </c>
      <c r="C4015" s="1" t="n">
        <v>37.2153834325</v>
      </c>
      <c r="D4015" s="1" t="n">
        <v>-7.08100035181</v>
      </c>
      <c r="E4015" s="3" t="n">
        <v>1</v>
      </c>
      <c r="F4015" s="2" t="n">
        <v>2</v>
      </c>
      <c r="G4015" s="4" t="n">
        <v>3</v>
      </c>
      <c r="H4015" s="13" t="n">
        <v>1</v>
      </c>
      <c r="I4015" s="34" t="n">
        <v>2</v>
      </c>
      <c r="J4015" s="35" t="n">
        <v>2</v>
      </c>
      <c r="K4015" s="2" t="inlineStr">
        <is>
          <t>marker_821_959081.png</t>
        </is>
      </c>
      <c r="L4015" s="36">
        <f>HYPERLINK("NoConsenso\" &amp; K4015, "Ver Imagen")</f>
        <v/>
      </c>
      <c r="M4015" t="inlineStr">
        <is>
          <t>Mediana</t>
        </is>
      </c>
    </row>
    <row r="4016">
      <c r="A4016" s="33" t="n">
        <v>4017</v>
      </c>
      <c r="B4016" t="inlineStr">
        <is>
          <t>A-5052__181</t>
        </is>
      </c>
      <c r="C4016" s="1" t="n">
        <v>37.2153049625</v>
      </c>
      <c r="D4016" s="1" t="n">
        <v>-7.08073415139</v>
      </c>
      <c r="E4016" s="3" t="n">
        <v>1</v>
      </c>
      <c r="F4016" s="2" t="n">
        <v>2</v>
      </c>
      <c r="G4016" s="4" t="n">
        <v>3</v>
      </c>
      <c r="H4016" s="13" t="n">
        <v>1</v>
      </c>
      <c r="I4016" s="34" t="n">
        <v>1</v>
      </c>
      <c r="J4016" s="35" t="n">
        <v>1</v>
      </c>
      <c r="K4016" s="2" t="inlineStr">
        <is>
          <t>marker_905_959094.png</t>
        </is>
      </c>
      <c r="L4016" s="36">
        <f>HYPERLINK("NoConsenso\" &amp; K4016, "Ver Imagen")</f>
        <v/>
      </c>
      <c r="M4016" t="inlineStr">
        <is>
          <t>Mediana</t>
        </is>
      </c>
    </row>
    <row r="4017">
      <c r="A4017" s="33" t="n">
        <v>4018</v>
      </c>
      <c r="B4017" t="inlineStr">
        <is>
          <t>A-5052__196</t>
        </is>
      </c>
      <c r="C4017" s="1" t="n">
        <v>37.2145141631</v>
      </c>
      <c r="D4017" s="1" t="n">
        <v>-7.07711094751</v>
      </c>
      <c r="E4017" s="3" t="n">
        <v>1</v>
      </c>
      <c r="F4017" s="2" t="n">
        <v>1</v>
      </c>
      <c r="G4017" s="4" t="n">
        <v>3</v>
      </c>
      <c r="H4017" s="13" t="n">
        <v>1</v>
      </c>
      <c r="I4017" s="34" t="n">
        <v>1</v>
      </c>
      <c r="J4017" s="35" t="n">
        <v>1</v>
      </c>
      <c r="K4017" s="2" t="inlineStr">
        <is>
          <t>marker_681_959411.png</t>
        </is>
      </c>
      <c r="L4017" s="36">
        <f>HYPERLINK("NoConsenso\" &amp; K4017, "Ver Imagen")</f>
        <v/>
      </c>
      <c r="M4017" t="inlineStr">
        <is>
          <t>Mediana</t>
        </is>
      </c>
    </row>
    <row r="4018">
      <c r="A4018" s="33" t="n">
        <v>4019</v>
      </c>
      <c r="B4018" t="inlineStr">
        <is>
          <t>A-5052__214</t>
        </is>
      </c>
      <c r="C4018" s="1" t="n">
        <v>37.213782198</v>
      </c>
      <c r="D4018" s="1" t="n">
        <v>-7.07266645893</v>
      </c>
      <c r="E4018" s="3" t="n">
        <v>1</v>
      </c>
      <c r="F4018" s="2" t="n">
        <v>2</v>
      </c>
      <c r="G4018" s="4" t="n">
        <v>3</v>
      </c>
      <c r="H4018" s="13" t="n">
        <v>2</v>
      </c>
      <c r="I4018" s="34" t="n">
        <v>2</v>
      </c>
      <c r="J4018" s="35" t="n">
        <v>2</v>
      </c>
      <c r="K4018" s="2" t="inlineStr">
        <is>
          <t>marker_586_959632.png</t>
        </is>
      </c>
      <c r="L4018" s="36">
        <f>HYPERLINK("NoConsenso\" &amp; K4018, "Ver Imagen")</f>
        <v/>
      </c>
      <c r="M4018" t="inlineStr">
        <is>
          <t>Mediana</t>
        </is>
      </c>
    </row>
    <row r="4019">
      <c r="A4019" s="33" t="n">
        <v>4020</v>
      </c>
      <c r="B4019" t="inlineStr">
        <is>
          <t>A-5052__257</t>
        </is>
      </c>
      <c r="C4019" s="1" t="n">
        <v>37.2130330677</v>
      </c>
      <c r="D4019" s="1" t="n">
        <v>-7.06193158915</v>
      </c>
      <c r="E4019" s="3" t="n">
        <v>1</v>
      </c>
      <c r="F4019" s="2" t="n">
        <v>2</v>
      </c>
      <c r="G4019" s="4" t="n">
        <v>3</v>
      </c>
      <c r="H4019" s="13" t="n">
        <v>2</v>
      </c>
      <c r="I4019" s="34" t="n">
        <v>3</v>
      </c>
      <c r="J4019" s="37" t="n">
        <v>3</v>
      </c>
      <c r="K4019" s="2" t="inlineStr">
        <is>
          <t>marker_336_960166.png</t>
        </is>
      </c>
      <c r="L4019" s="36">
        <f>HYPERLINK("NoConsenso\" &amp; K4019, "Ver Imagen")</f>
        <v/>
      </c>
      <c r="M4019" s="37" t="inlineStr">
        <is>
          <t>Modificada</t>
        </is>
      </c>
    </row>
    <row r="4020">
      <c r="A4020" s="33" t="n">
        <v>4021</v>
      </c>
      <c r="B4020" t="inlineStr">
        <is>
          <t>A-5052__438</t>
        </is>
      </c>
      <c r="C4020" s="1" t="n">
        <v>37.2015397707</v>
      </c>
      <c r="D4020" s="1" t="n">
        <v>-7.01970437567</v>
      </c>
      <c r="E4020" s="3" t="n">
        <v>1</v>
      </c>
      <c r="F4020" s="2" t="n">
        <v>2</v>
      </c>
      <c r="G4020" s="4" t="n">
        <v>3</v>
      </c>
      <c r="H4020" s="13" t="n">
        <v>2</v>
      </c>
      <c r="I4020" s="34" t="n">
        <v>2</v>
      </c>
      <c r="J4020" s="35" t="n">
        <v>2</v>
      </c>
      <c r="K4020" s="2" t="inlineStr">
        <is>
          <t>marker_475_963057.png</t>
        </is>
      </c>
      <c r="L4020" s="36">
        <f>HYPERLINK("NoConsenso\" &amp; K4020, "Ver Imagen")</f>
        <v/>
      </c>
      <c r="M4020" t="inlineStr">
        <is>
          <t>Mediana</t>
        </is>
      </c>
    </row>
    <row r="4021">
      <c r="A4021" s="33" t="n">
        <v>4022</v>
      </c>
      <c r="B4021" t="inlineStr">
        <is>
          <t>A-5053__376</t>
        </is>
      </c>
      <c r="C4021" s="1" t="n">
        <v>37.2876639037</v>
      </c>
      <c r="D4021" s="1" t="n">
        <v>-7.14124621731</v>
      </c>
      <c r="E4021" s="3" t="n">
        <v>1</v>
      </c>
      <c r="F4021" s="2" t="n">
        <v>2</v>
      </c>
      <c r="G4021" s="4" t="n">
        <v>3</v>
      </c>
      <c r="H4021" s="13" t="n">
        <v>2</v>
      </c>
      <c r="I4021" s="34" t="n">
        <v>2</v>
      </c>
      <c r="J4021" s="35" t="n">
        <v>2</v>
      </c>
      <c r="K4021" s="2" t="inlineStr">
        <is>
          <t>marker_644_963898.png</t>
        </is>
      </c>
      <c r="L4021" s="36">
        <f>HYPERLINK("NoConsenso\" &amp; K4021, "Ver Imagen")</f>
        <v/>
      </c>
      <c r="M4021" t="inlineStr">
        <is>
          <t>Mediana</t>
        </is>
      </c>
    </row>
    <row r="4022">
      <c r="A4022" s="33" t="n">
        <v>4023</v>
      </c>
      <c r="B4022" t="inlineStr">
        <is>
          <t>A-5053__364</t>
        </is>
      </c>
      <c r="C4022" s="1" t="n">
        <v>37.2854720663</v>
      </c>
      <c r="D4022" s="1" t="n">
        <v>-7.14233774282</v>
      </c>
      <c r="E4022" s="3" t="n">
        <v>1</v>
      </c>
      <c r="F4022" s="2" t="n">
        <v>2</v>
      </c>
      <c r="G4022" s="4" t="n">
        <v>3</v>
      </c>
      <c r="H4022" s="13" t="n">
        <v>2</v>
      </c>
      <c r="I4022" s="34" t="n">
        <v>2</v>
      </c>
      <c r="J4022" s="35" t="n">
        <v>2</v>
      </c>
      <c r="K4022" s="2" t="inlineStr">
        <is>
          <t>marker_993_964018.png</t>
        </is>
      </c>
      <c r="L4022" s="36">
        <f>HYPERLINK("NoConsenso\" &amp; K4022, "Ver Imagen")</f>
        <v/>
      </c>
      <c r="M4022" t="inlineStr">
        <is>
          <t>Mediana</t>
        </is>
      </c>
    </row>
    <row r="4023">
      <c r="A4023" s="33" t="n">
        <v>4024</v>
      </c>
      <c r="B4023" t="inlineStr">
        <is>
          <t>A-5053__332</t>
        </is>
      </c>
      <c r="C4023" s="1" t="n">
        <v>37.2799097948</v>
      </c>
      <c r="D4023" s="1" t="n">
        <v>-7.14584596925</v>
      </c>
      <c r="E4023" s="3" t="n">
        <v>1</v>
      </c>
      <c r="F4023" s="2" t="n">
        <v>3</v>
      </c>
      <c r="G4023" s="4" t="n">
        <v>3</v>
      </c>
      <c r="H4023" s="13" t="n">
        <v>2</v>
      </c>
      <c r="I4023" s="34" t="n">
        <v>2</v>
      </c>
      <c r="J4023" s="35" t="n">
        <v>2</v>
      </c>
      <c r="K4023" s="2" t="inlineStr">
        <is>
          <t>marker_496_964437.png</t>
        </is>
      </c>
      <c r="L4023" s="36">
        <f>HYPERLINK("NoConsenso\" &amp; K4023, "Ver Imagen")</f>
        <v/>
      </c>
      <c r="M4023" t="inlineStr">
        <is>
          <t>Mediana</t>
        </is>
      </c>
    </row>
    <row r="4024">
      <c r="A4024" s="33" t="n">
        <v>4025</v>
      </c>
      <c r="B4024" t="inlineStr">
        <is>
          <t>A-5053__65</t>
        </is>
      </c>
      <c r="C4024" s="1" t="n">
        <v>37.2316676353</v>
      </c>
      <c r="D4024" s="1" t="n">
        <v>-7.12711182125</v>
      </c>
      <c r="E4024" s="3" t="n">
        <v>1</v>
      </c>
      <c r="F4024" s="2" t="n">
        <v>2</v>
      </c>
      <c r="G4024" s="4" t="n">
        <v>3</v>
      </c>
      <c r="H4024" s="13" t="n">
        <v>1</v>
      </c>
      <c r="I4024" s="34" t="n">
        <v>2</v>
      </c>
      <c r="J4024" s="35" t="n">
        <v>2</v>
      </c>
      <c r="K4024" s="2" t="inlineStr">
        <is>
          <t>marker_982_020755.png</t>
        </is>
      </c>
      <c r="L4024" s="36">
        <f>HYPERLINK("NoConsenso\" &amp; K4024, "Ver Imagen")</f>
        <v/>
      </c>
      <c r="M4024" t="inlineStr">
        <is>
          <t>Mediana</t>
        </is>
      </c>
    </row>
    <row r="4025">
      <c r="A4025" s="33" t="n">
        <v>4026</v>
      </c>
      <c r="B4025" t="inlineStr">
        <is>
          <t>A-495__62</t>
        </is>
      </c>
      <c r="C4025" s="1" t="n">
        <v>37.4393024031</v>
      </c>
      <c r="D4025" s="1" t="n">
        <v>-7.08618152307</v>
      </c>
      <c r="E4025" s="3" t="n">
        <v>3</v>
      </c>
      <c r="F4025" s="2" t="n">
        <v>2</v>
      </c>
      <c r="G4025" s="4" t="n">
        <v>1</v>
      </c>
      <c r="H4025" s="13" t="n">
        <v>2</v>
      </c>
      <c r="I4025" s="34" t="n">
        <v>2</v>
      </c>
      <c r="J4025" s="35" t="n">
        <v>2</v>
      </c>
      <c r="K4025" s="2" t="inlineStr">
        <is>
          <t>marker_321_381730.png</t>
        </is>
      </c>
      <c r="L4025" s="36">
        <f>HYPERLINK("NoConsenso\" &amp; K4025, "Ver Imagen")</f>
        <v/>
      </c>
      <c r="M4025" t="inlineStr">
        <is>
          <t>Mediana</t>
        </is>
      </c>
    </row>
    <row r="4026">
      <c r="A4026" s="33" t="n">
        <v>4027</v>
      </c>
      <c r="B4026" t="inlineStr">
        <is>
          <t>A-495__111</t>
        </is>
      </c>
      <c r="C4026" s="1" t="n">
        <v>37.4355430817</v>
      </c>
      <c r="D4026" s="1" t="n">
        <v>-7.07530421706</v>
      </c>
      <c r="E4026" s="3" t="n">
        <v>3</v>
      </c>
      <c r="F4026" s="2" t="n">
        <v>3</v>
      </c>
      <c r="G4026" s="4" t="n">
        <v>1</v>
      </c>
      <c r="H4026" s="13" t="n">
        <v>2</v>
      </c>
      <c r="I4026" s="34" t="n">
        <v>3</v>
      </c>
      <c r="J4026" s="35" t="n">
        <v>3</v>
      </c>
      <c r="K4026" s="2" t="inlineStr">
        <is>
          <t>marker_336_382284.png</t>
        </is>
      </c>
      <c r="L4026" s="36">
        <f>HYPERLINK("NoConsenso\" &amp; K4026, "Ver Imagen")</f>
        <v/>
      </c>
      <c r="M4026" t="inlineStr">
        <is>
          <t>Mediana</t>
        </is>
      </c>
    </row>
    <row r="4027">
      <c r="A4027" s="33" t="n">
        <v>4028</v>
      </c>
      <c r="B4027" t="inlineStr">
        <is>
          <t>A-5059__79</t>
        </is>
      </c>
      <c r="C4027" s="1" t="n">
        <v>37.2215401282</v>
      </c>
      <c r="D4027" s="1" t="n">
        <v>-7.05456802011</v>
      </c>
      <c r="E4027" s="3" t="n">
        <v>3</v>
      </c>
      <c r="F4027" s="2" t="n">
        <v>2</v>
      </c>
      <c r="G4027" s="4" t="n">
        <v>1</v>
      </c>
      <c r="H4027" s="13" t="n">
        <v>2</v>
      </c>
      <c r="I4027" s="34" t="n">
        <v>2</v>
      </c>
      <c r="J4027" s="35" t="n">
        <v>2</v>
      </c>
      <c r="K4027" s="2" t="inlineStr">
        <is>
          <t>marker_995_378750.png</t>
        </is>
      </c>
      <c r="L4027" s="36">
        <f>HYPERLINK("NoConsenso\" &amp; K4027, "Ver Imagen")</f>
        <v/>
      </c>
      <c r="M4027" t="inlineStr">
        <is>
          <t>Mediana</t>
        </is>
      </c>
    </row>
    <row r="4028">
      <c r="A4028" s="33" t="n">
        <v>4029</v>
      </c>
      <c r="B4028" t="inlineStr">
        <is>
          <t>A-495__128</t>
        </is>
      </c>
      <c r="C4028" s="1" t="n">
        <v>37.4352097004</v>
      </c>
      <c r="D4028" s="1" t="n">
        <v>-7.07098271716</v>
      </c>
      <c r="E4028" s="3" t="n">
        <v>3</v>
      </c>
      <c r="F4028" s="2" t="n">
        <v>2</v>
      </c>
      <c r="G4028" s="4" t="n">
        <v>1</v>
      </c>
      <c r="H4028" s="13" t="n">
        <v>2</v>
      </c>
      <c r="I4028" s="34" t="n">
        <v>1</v>
      </c>
      <c r="J4028" s="35" t="n">
        <v>2</v>
      </c>
      <c r="K4028" s="2" t="inlineStr">
        <is>
          <t>marker_881_382454.png</t>
        </is>
      </c>
      <c r="L4028" s="36">
        <f>HYPERLINK("NoConsenso\" &amp; K4028, "Ver Imagen")</f>
        <v/>
      </c>
      <c r="M4028" t="inlineStr">
        <is>
          <t>Mediana</t>
        </is>
      </c>
    </row>
    <row r="4029">
      <c r="A4029" s="33" t="n">
        <v>4030</v>
      </c>
      <c r="B4029" t="inlineStr">
        <is>
          <t>A-495__151</t>
        </is>
      </c>
      <c r="C4029" s="1" t="n">
        <v>37.4333164193</v>
      </c>
      <c r="D4029" s="1" t="n">
        <v>-7.06570817326</v>
      </c>
      <c r="E4029" s="3" t="n">
        <v>3</v>
      </c>
      <c r="F4029" s="2" t="n">
        <v>3</v>
      </c>
      <c r="G4029" s="4" t="n">
        <v>1</v>
      </c>
      <c r="H4029" s="13" t="n">
        <v>1</v>
      </c>
      <c r="I4029" s="34" t="n">
        <v>1</v>
      </c>
      <c r="J4029" s="37" t="n">
        <v>2</v>
      </c>
      <c r="K4029" s="2" t="inlineStr">
        <is>
          <t>marker_579_382696.png</t>
        </is>
      </c>
      <c r="L4029" s="36">
        <f>HYPERLINK("NoConsenso\" &amp; K4029, "Ver Imagen")</f>
        <v/>
      </c>
      <c r="M4029" s="37" t="inlineStr">
        <is>
          <t>Modificada</t>
        </is>
      </c>
    </row>
    <row r="4030">
      <c r="A4030" s="33" t="n">
        <v>4031</v>
      </c>
      <c r="B4030" t="inlineStr">
        <is>
          <t>A-495__153</t>
        </is>
      </c>
      <c r="C4030" s="1" t="n">
        <v>37.4331258747</v>
      </c>
      <c r="D4030" s="1" t="n">
        <v>-7.06529395992</v>
      </c>
      <c r="E4030" s="3" t="n">
        <v>2</v>
      </c>
      <c r="F4030" s="2" t="n">
        <v>3</v>
      </c>
      <c r="G4030" s="4" t="n">
        <v>1</v>
      </c>
      <c r="H4030" s="13" t="n">
        <v>3</v>
      </c>
      <c r="I4030" s="34" t="n">
        <v>2</v>
      </c>
      <c r="J4030" s="35" t="n">
        <v>2</v>
      </c>
      <c r="K4030" s="2" t="inlineStr">
        <is>
          <t>marker_795_382714.png</t>
        </is>
      </c>
      <c r="L4030" s="36">
        <f>HYPERLINK("NoConsenso\" &amp; K4030, "Ver Imagen")</f>
        <v/>
      </c>
      <c r="M4030" t="inlineStr">
        <is>
          <t>Mediana</t>
        </is>
      </c>
    </row>
    <row r="4031">
      <c r="A4031" s="33" t="n">
        <v>4032</v>
      </c>
      <c r="B4031" t="inlineStr">
        <is>
          <t>A-497_2C__135</t>
        </is>
      </c>
      <c r="C4031" s="1" t="n">
        <v>37.2701342705</v>
      </c>
      <c r="D4031" s="1" t="n">
        <v>-6.98955356037</v>
      </c>
      <c r="E4031" s="3" t="n">
        <v>1</v>
      </c>
      <c r="F4031" s="2" t="n">
        <v>2</v>
      </c>
      <c r="G4031" s="4" t="n">
        <v>3</v>
      </c>
      <c r="H4031" s="13" t="n">
        <v>2</v>
      </c>
      <c r="I4031" s="34" t="n">
        <v>1</v>
      </c>
      <c r="J4031" s="35" t="n">
        <v>2</v>
      </c>
      <c r="K4031" s="2" t="inlineStr">
        <is>
          <t>marker_642_655817.png</t>
        </is>
      </c>
      <c r="L4031" s="36">
        <f>HYPERLINK("NoConsenso\" &amp; K4031, "Ver Imagen")</f>
        <v/>
      </c>
      <c r="M4031" t="inlineStr">
        <is>
          <t>Mediana</t>
        </is>
      </c>
    </row>
    <row r="4032">
      <c r="A4032" s="33" t="n">
        <v>4033</v>
      </c>
      <c r="B4032" t="inlineStr">
        <is>
          <t>A-497_2C__219</t>
        </is>
      </c>
      <c r="C4032" s="1" t="n">
        <v>37.2633517626</v>
      </c>
      <c r="D4032" s="1" t="n">
        <v>-7.00784774486</v>
      </c>
      <c r="E4032" s="3" t="n">
        <v>1</v>
      </c>
      <c r="F4032" s="2" t="n">
        <v>2</v>
      </c>
      <c r="G4032" s="4" t="n">
        <v>3</v>
      </c>
      <c r="H4032" s="13" t="n">
        <v>1</v>
      </c>
      <c r="I4032" s="34" t="n">
        <v>3</v>
      </c>
      <c r="J4032" s="37" t="n">
        <v>3</v>
      </c>
      <c r="K4032" s="2" t="inlineStr">
        <is>
          <t>marker_526_656757.png</t>
        </is>
      </c>
      <c r="L4032" s="36">
        <f>HYPERLINK("NoConsenso\" &amp; K4032, "Ver Imagen")</f>
        <v/>
      </c>
      <c r="M4032" s="37" t="inlineStr">
        <is>
          <t>Modificada</t>
        </is>
      </c>
    </row>
    <row r="4033">
      <c r="A4033" s="33" t="n">
        <v>4034</v>
      </c>
      <c r="B4033" t="inlineStr">
        <is>
          <t>A-497_2C__220</t>
        </is>
      </c>
      <c r="C4033" s="1" t="n">
        <v>37.2632936953</v>
      </c>
      <c r="D4033" s="1" t="n">
        <v>-7.00803584559</v>
      </c>
      <c r="E4033" s="3" t="n">
        <v>1</v>
      </c>
      <c r="F4033" s="2" t="n">
        <v>2</v>
      </c>
      <c r="G4033" s="4" t="n">
        <v>3</v>
      </c>
      <c r="H4033" s="13" t="n">
        <v>2</v>
      </c>
      <c r="I4033" s="34" t="n">
        <v>1</v>
      </c>
      <c r="J4033" s="35" t="n">
        <v>2</v>
      </c>
      <c r="K4033" s="2" t="inlineStr">
        <is>
          <t>marker_251_656766.png</t>
        </is>
      </c>
      <c r="L4033" s="36">
        <f>HYPERLINK("NoConsenso\" &amp; K4033, "Ver Imagen")</f>
        <v/>
      </c>
      <c r="M4033" t="inlineStr">
        <is>
          <t>Mediana</t>
        </is>
      </c>
    </row>
    <row r="4034">
      <c r="A4034" s="33" t="n">
        <v>4035</v>
      </c>
      <c r="B4034" t="inlineStr">
        <is>
          <t>A-497_2C__221</t>
        </is>
      </c>
      <c r="C4034" s="1" t="n">
        <v>37.2632086226</v>
      </c>
      <c r="D4034" s="1" t="n">
        <v>-7.00828428954</v>
      </c>
      <c r="E4034" s="3" t="n">
        <v>1</v>
      </c>
      <c r="F4034" s="2" t="n">
        <v>2</v>
      </c>
      <c r="G4034" s="4" t="n">
        <v>3</v>
      </c>
      <c r="H4034" s="13" t="n">
        <v>2</v>
      </c>
      <c r="I4034" s="34" t="n">
        <v>2</v>
      </c>
      <c r="J4034" s="35" t="n">
        <v>2</v>
      </c>
      <c r="K4034" s="2" t="inlineStr">
        <is>
          <t>marker_162_656775.png</t>
        </is>
      </c>
      <c r="L4034" s="36">
        <f>HYPERLINK("NoConsenso\" &amp; K4034, "Ver Imagen")</f>
        <v/>
      </c>
      <c r="M4034" t="inlineStr">
        <is>
          <t>Mediana</t>
        </is>
      </c>
    </row>
    <row r="4035">
      <c r="A4035" s="33" t="n">
        <v>4036</v>
      </c>
      <c r="B4035" t="inlineStr">
        <is>
          <t>A-497_2C__223</t>
        </is>
      </c>
      <c r="C4035" s="1" t="n">
        <v>37.263022368</v>
      </c>
      <c r="D4035" s="1" t="n">
        <v>-7.0087419856</v>
      </c>
      <c r="E4035" s="3" t="n">
        <v>1</v>
      </c>
      <c r="F4035" s="2" t="n">
        <v>2</v>
      </c>
      <c r="G4035" s="4" t="n">
        <v>3</v>
      </c>
      <c r="H4035" s="13" t="n">
        <v>2</v>
      </c>
      <c r="I4035" s="34" t="n">
        <v>2</v>
      </c>
      <c r="J4035" s="35" t="n">
        <v>2</v>
      </c>
      <c r="K4035" s="2" t="inlineStr">
        <is>
          <t>marker_989_656793.png</t>
        </is>
      </c>
      <c r="L4035" s="36">
        <f>HYPERLINK("NoConsenso\" &amp; K4035, "Ver Imagen")</f>
        <v/>
      </c>
      <c r="M4035" t="inlineStr">
        <is>
          <t>Mediana</t>
        </is>
      </c>
    </row>
    <row r="4036">
      <c r="A4036" s="33" t="n">
        <v>4037</v>
      </c>
      <c r="B4036" t="inlineStr">
        <is>
          <t>A-497__628</t>
        </is>
      </c>
      <c r="C4036" s="1" t="n">
        <v>37.2020165346</v>
      </c>
      <c r="D4036" s="1" t="n">
        <v>-6.99559220415</v>
      </c>
      <c r="E4036" s="3" t="n">
        <v>1</v>
      </c>
      <c r="F4036" s="2" t="n">
        <v>2</v>
      </c>
      <c r="G4036" s="4" t="n">
        <v>3</v>
      </c>
      <c r="H4036" s="13" t="n">
        <v>2</v>
      </c>
      <c r="I4036" s="34" t="n">
        <v>2</v>
      </c>
      <c r="J4036" s="35" t="n">
        <v>2</v>
      </c>
      <c r="K4036" s="2" t="inlineStr">
        <is>
          <t>marker_953_371449.png</t>
        </is>
      </c>
      <c r="L4036" s="36">
        <f>HYPERLINK("NoConsenso\" &amp; K4036, "Ver Imagen")</f>
        <v/>
      </c>
      <c r="M4036" t="inlineStr">
        <is>
          <t>Mediana</t>
        </is>
      </c>
    </row>
    <row r="4037">
      <c r="A4037" s="33" t="n">
        <v>4038</v>
      </c>
      <c r="B4037" t="inlineStr">
        <is>
          <t>A-497__627</t>
        </is>
      </c>
      <c r="C4037" s="1" t="n">
        <v>37.2020703752</v>
      </c>
      <c r="D4037" s="1" t="n">
        <v>-6.99592415545</v>
      </c>
      <c r="E4037" s="3" t="n">
        <v>1</v>
      </c>
      <c r="F4037" s="2" t="n">
        <v>2</v>
      </c>
      <c r="G4037" s="4" t="n">
        <v>3</v>
      </c>
      <c r="H4037" s="13" t="n">
        <v>2</v>
      </c>
      <c r="I4037" s="34" t="n">
        <v>2</v>
      </c>
      <c r="J4037" s="35" t="n">
        <v>2</v>
      </c>
      <c r="K4037" s="2" t="inlineStr">
        <is>
          <t>marker_268_371459.png</t>
        </is>
      </c>
      <c r="L4037" s="36">
        <f>HYPERLINK("NoConsenso\" &amp; K4037, "Ver Imagen")</f>
        <v/>
      </c>
      <c r="M4037" t="inlineStr">
        <is>
          <t>Mediana</t>
        </is>
      </c>
    </row>
    <row r="4038">
      <c r="A4038" s="33" t="n">
        <v>4039</v>
      </c>
      <c r="B4038" t="inlineStr">
        <is>
          <t>A-497__552</t>
        </is>
      </c>
      <c r="C4038" s="1" t="n">
        <v>37.2047901697</v>
      </c>
      <c r="D4038" s="1" t="n">
        <v>-7.01456583926</v>
      </c>
      <c r="E4038" s="3" t="n">
        <v>1</v>
      </c>
      <c r="F4038" s="2" t="n">
        <v>2</v>
      </c>
      <c r="G4038" s="4" t="n">
        <v>3</v>
      </c>
      <c r="H4038" s="13" t="n">
        <v>2</v>
      </c>
      <c r="I4038" s="34" t="n">
        <v>1</v>
      </c>
      <c r="J4038" s="35" t="n">
        <v>2</v>
      </c>
      <c r="K4038" s="2" t="inlineStr">
        <is>
          <t>marker_763_372242.png</t>
        </is>
      </c>
      <c r="L4038" s="36">
        <f>HYPERLINK("NoConsenso\" &amp; K4038, "Ver Imagen")</f>
        <v/>
      </c>
      <c r="M4038" t="inlineStr">
        <is>
          <t>Mediana</t>
        </is>
      </c>
    </row>
    <row r="4039">
      <c r="A4039" s="33" t="n">
        <v>4040</v>
      </c>
      <c r="B4039" t="inlineStr">
        <is>
          <t>A-497__550</t>
        </is>
      </c>
      <c r="C4039" s="1" t="n">
        <v>37.2048840052</v>
      </c>
      <c r="D4039" s="1" t="n">
        <v>-7.01504154567</v>
      </c>
      <c r="E4039" s="3" t="n">
        <v>1</v>
      </c>
      <c r="F4039" s="2" t="n">
        <v>2</v>
      </c>
      <c r="G4039" s="4" t="n">
        <v>3</v>
      </c>
      <c r="H4039" s="13" t="n">
        <v>2</v>
      </c>
      <c r="I4039" s="34" t="n">
        <v>1</v>
      </c>
      <c r="J4039" s="35" t="n">
        <v>2</v>
      </c>
      <c r="K4039" s="2" t="inlineStr">
        <is>
          <t>marker_415_372264.png</t>
        </is>
      </c>
      <c r="L4039" s="36">
        <f>HYPERLINK("NoConsenso\" &amp; K4039, "Ver Imagen")</f>
        <v/>
      </c>
      <c r="M4039" t="inlineStr">
        <is>
          <t>Mediana</t>
        </is>
      </c>
    </row>
    <row r="4040">
      <c r="A4040" s="33" t="n">
        <v>4041</v>
      </c>
      <c r="B4040" t="inlineStr">
        <is>
          <t>A-497__547</t>
        </is>
      </c>
      <c r="C4040" s="1" t="n">
        <v>37.205027984</v>
      </c>
      <c r="D4040" s="1" t="n">
        <v>-7.01577203718</v>
      </c>
      <c r="E4040" s="3" t="n">
        <v>1</v>
      </c>
      <c r="F4040" s="2" t="n">
        <v>2</v>
      </c>
      <c r="G4040" s="4" t="n">
        <v>3</v>
      </c>
      <c r="H4040" s="13" t="n">
        <v>2</v>
      </c>
      <c r="I4040" s="34" t="n">
        <v>1</v>
      </c>
      <c r="J4040" s="35" t="n">
        <v>2</v>
      </c>
      <c r="K4040" s="2" t="inlineStr">
        <is>
          <t>marker_994_372308.png</t>
        </is>
      </c>
      <c r="L4040" s="36">
        <f>HYPERLINK("NoConsenso\" &amp; K4040, "Ver Imagen")</f>
        <v/>
      </c>
      <c r="M4040" t="inlineStr">
        <is>
          <t>Mediana</t>
        </is>
      </c>
    </row>
    <row r="4041">
      <c r="A4041" s="33" t="n">
        <v>4042</v>
      </c>
      <c r="B4041" t="inlineStr">
        <is>
          <t>A-497__539</t>
        </is>
      </c>
      <c r="C4041" s="1" t="n">
        <v>37.2054792709</v>
      </c>
      <c r="D4041" s="1" t="n">
        <v>-7.01769761582</v>
      </c>
      <c r="E4041" s="3" t="n">
        <v>1</v>
      </c>
      <c r="F4041" s="2" t="n">
        <v>2</v>
      </c>
      <c r="G4041" s="4" t="n">
        <v>3</v>
      </c>
      <c r="H4041" s="13" t="n">
        <v>2</v>
      </c>
      <c r="I4041" s="34" t="n">
        <v>2</v>
      </c>
      <c r="J4041" s="35" t="n">
        <v>2</v>
      </c>
      <c r="K4041" s="2" t="inlineStr">
        <is>
          <t>marker_923_372386.png</t>
        </is>
      </c>
      <c r="L4041" s="36">
        <f>HYPERLINK("NoConsenso\" &amp; K4041, "Ver Imagen")</f>
        <v/>
      </c>
      <c r="M4041" t="inlineStr">
        <is>
          <t>Mediana</t>
        </is>
      </c>
    </row>
    <row r="4042">
      <c r="A4042" s="33" t="n">
        <v>4043</v>
      </c>
      <c r="B4042" t="inlineStr">
        <is>
          <t>A-497_2C__405</t>
        </is>
      </c>
      <c r="C4042" s="1" t="n">
        <v>37.2289104846</v>
      </c>
      <c r="D4042" s="1" t="n">
        <v>-7.0212888107</v>
      </c>
      <c r="E4042" s="3" t="n">
        <v>3</v>
      </c>
      <c r="F4042" s="2" t="n">
        <v>2</v>
      </c>
      <c r="G4042" s="4" t="n">
        <v>1</v>
      </c>
      <c r="H4042" s="13" t="n">
        <v>1</v>
      </c>
      <c r="I4042" s="34" t="n">
        <v>2</v>
      </c>
      <c r="J4042" s="35" t="n">
        <v>2</v>
      </c>
      <c r="K4042" s="2" t="inlineStr">
        <is>
          <t>marker_846_362961.png</t>
        </is>
      </c>
      <c r="L4042" s="36">
        <f>HYPERLINK("NoConsenso\" &amp; K4042, "Ver Imagen")</f>
        <v/>
      </c>
      <c r="M4042" t="inlineStr">
        <is>
          <t>Mediana</t>
        </is>
      </c>
    </row>
    <row r="4043">
      <c r="A4043" s="33" t="n">
        <v>4044</v>
      </c>
      <c r="B4043" t="inlineStr">
        <is>
          <t>A-497_2C__406</t>
        </is>
      </c>
      <c r="C4043" s="1" t="n">
        <v>37.228779005</v>
      </c>
      <c r="D4043" s="1" t="n">
        <v>-7.02138790094</v>
      </c>
      <c r="E4043" s="3" t="n">
        <v>3</v>
      </c>
      <c r="F4043" s="2" t="n">
        <v>2</v>
      </c>
      <c r="G4043" s="4" t="n">
        <v>1</v>
      </c>
      <c r="H4043" s="13" t="n">
        <v>1</v>
      </c>
      <c r="I4043" s="34" t="n">
        <v>2</v>
      </c>
      <c r="J4043" s="35" t="n">
        <v>2</v>
      </c>
      <c r="K4043" s="2" t="inlineStr">
        <is>
          <t>marker_636_362972.png</t>
        </is>
      </c>
      <c r="L4043" s="36">
        <f>HYPERLINK("NoConsenso\" &amp; K4043, "Ver Imagen")</f>
        <v/>
      </c>
      <c r="M4043" t="inlineStr">
        <is>
          <t>Mediana</t>
        </is>
      </c>
    </row>
    <row r="4044">
      <c r="A4044" s="33" t="n">
        <v>4045</v>
      </c>
      <c r="B4044" t="inlineStr">
        <is>
          <t>A-497_2C__438</t>
        </is>
      </c>
      <c r="C4044" s="1" t="n">
        <v>37.2226698235</v>
      </c>
      <c r="D4044" s="1" t="n">
        <v>-7.02321636774</v>
      </c>
      <c r="E4044" s="3" t="n">
        <v>1</v>
      </c>
      <c r="F4044" s="2" t="n">
        <v>2</v>
      </c>
      <c r="G4044" s="4" t="n">
        <v>3</v>
      </c>
      <c r="H4044" s="13" t="n">
        <v>2</v>
      </c>
      <c r="I4044" s="34" t="n">
        <v>2</v>
      </c>
      <c r="J4044" s="35" t="n">
        <v>2</v>
      </c>
      <c r="K4044" s="2" t="inlineStr">
        <is>
          <t>marker_649_363290.png</t>
        </is>
      </c>
      <c r="L4044" s="36">
        <f>HYPERLINK("NoConsenso\" &amp; K4044, "Ver Imagen")</f>
        <v/>
      </c>
      <c r="M4044" t="inlineStr">
        <is>
          <t>Mediana</t>
        </is>
      </c>
    </row>
    <row r="4045">
      <c r="A4045" s="33" t="n">
        <v>4046</v>
      </c>
      <c r="B4045" t="inlineStr">
        <is>
          <t>A-497__456</t>
        </is>
      </c>
      <c r="C4045" s="1" t="n">
        <v>37.2199968786</v>
      </c>
      <c r="D4045" s="1" t="n">
        <v>-7.02278878551</v>
      </c>
      <c r="E4045" s="3" t="n">
        <v>1</v>
      </c>
      <c r="F4045" s="2" t="n">
        <v>2</v>
      </c>
      <c r="G4045" s="4" t="n">
        <v>3</v>
      </c>
      <c r="H4045" s="13" t="n">
        <v>2</v>
      </c>
      <c r="I4045" s="34" t="n">
        <v>1</v>
      </c>
      <c r="J4045" s="35" t="n">
        <v>2</v>
      </c>
      <c r="K4045" s="2" t="inlineStr">
        <is>
          <t>marker_222_376622.png</t>
        </is>
      </c>
      <c r="L4045" s="36">
        <f>HYPERLINK("NoConsenso\" &amp; K4045, "Ver Imagen")</f>
        <v/>
      </c>
      <c r="M4045" t="inlineStr">
        <is>
          <t>Mediana</t>
        </is>
      </c>
    </row>
    <row r="4046">
      <c r="A4046" s="33" t="n">
        <v>4047</v>
      </c>
      <c r="B4046" t="inlineStr">
        <is>
          <t>A-497__451</t>
        </is>
      </c>
      <c r="C4046" s="1" t="n">
        <v>37.2209777846</v>
      </c>
      <c r="D4046" s="1" t="n">
        <v>-7.02286531123</v>
      </c>
      <c r="E4046" s="3" t="n">
        <v>1</v>
      </c>
      <c r="F4046" s="2" t="n">
        <v>2</v>
      </c>
      <c r="G4046" s="4" t="n">
        <v>3</v>
      </c>
      <c r="H4046" s="13" t="n">
        <v>2</v>
      </c>
      <c r="I4046" s="34" t="n">
        <v>1</v>
      </c>
      <c r="J4046" s="35" t="n">
        <v>2</v>
      </c>
      <c r="K4046" s="2" t="inlineStr">
        <is>
          <t>marker_297_376675.png</t>
        </is>
      </c>
      <c r="L4046" s="36">
        <f>HYPERLINK("NoConsenso\" &amp; K4046, "Ver Imagen")</f>
        <v/>
      </c>
      <c r="M4046" t="inlineStr">
        <is>
          <t>Mediana</t>
        </is>
      </c>
    </row>
    <row r="4047">
      <c r="A4047" s="33" t="n">
        <v>4048</v>
      </c>
      <c r="B4047" t="inlineStr">
        <is>
          <t>A-497__450</t>
        </is>
      </c>
      <c r="C4047" s="1" t="n">
        <v>37.2212129971</v>
      </c>
      <c r="D4047" s="1" t="n">
        <v>-7.02288804932</v>
      </c>
      <c r="E4047" s="3" t="n">
        <v>1</v>
      </c>
      <c r="F4047" s="2" t="n">
        <v>2</v>
      </c>
      <c r="G4047" s="4" t="n">
        <v>3</v>
      </c>
      <c r="H4047" s="13" t="n">
        <v>2</v>
      </c>
      <c r="I4047" s="34" t="n">
        <v>1</v>
      </c>
      <c r="J4047" s="35" t="n">
        <v>2</v>
      </c>
      <c r="K4047" s="2" t="inlineStr">
        <is>
          <t>marker_848_376685.png</t>
        </is>
      </c>
      <c r="L4047" s="36">
        <f>HYPERLINK("NoConsenso\" &amp; K4047, "Ver Imagen")</f>
        <v/>
      </c>
      <c r="M4047" t="inlineStr">
        <is>
          <t>Mediana</t>
        </is>
      </c>
    </row>
    <row r="4048">
      <c r="A4048" s="33" t="n">
        <v>4049</v>
      </c>
      <c r="B4048" t="inlineStr">
        <is>
          <t>A-490__28</t>
        </is>
      </c>
      <c r="C4048" s="1" t="n">
        <v>37.4464261925</v>
      </c>
      <c r="D4048" s="1" t="n">
        <v>-7.13323441585</v>
      </c>
      <c r="E4048" s="3" t="n">
        <v>1</v>
      </c>
      <c r="F4048" s="2" t="n">
        <v>3</v>
      </c>
      <c r="G4048" s="4" t="n">
        <v>2</v>
      </c>
      <c r="H4048" s="13" t="n">
        <v>3</v>
      </c>
      <c r="I4048" s="34" t="n">
        <v>2</v>
      </c>
      <c r="J4048" s="37" t="n">
        <v>3</v>
      </c>
      <c r="K4048" s="2" t="inlineStr">
        <is>
          <t>marker_108_730881.png</t>
        </is>
      </c>
      <c r="L4048" s="36">
        <f>HYPERLINK("NoConsenso\" &amp; K4048, "Ver Imagen")</f>
        <v/>
      </c>
      <c r="M4048" s="37" t="inlineStr">
        <is>
          <t>Modificada</t>
        </is>
      </c>
    </row>
    <row r="4049">
      <c r="A4049" s="33" t="n">
        <v>4050</v>
      </c>
      <c r="B4049" t="inlineStr">
        <is>
          <t>A-490__29</t>
        </is>
      </c>
      <c r="C4049" s="1" t="n">
        <v>37.4463886266</v>
      </c>
      <c r="D4049" s="1" t="n">
        <v>-7.13348442413</v>
      </c>
      <c r="E4049" s="3" t="n">
        <v>1</v>
      </c>
      <c r="F4049" s="2" t="n">
        <v>3</v>
      </c>
      <c r="G4049" s="4" t="n">
        <v>2</v>
      </c>
      <c r="H4049" s="13" t="n">
        <v>2</v>
      </c>
      <c r="I4049" s="34" t="n">
        <v>2</v>
      </c>
      <c r="J4049" s="35" t="n">
        <v>2</v>
      </c>
      <c r="K4049" s="2" t="inlineStr">
        <is>
          <t>marker_681_730902.png</t>
        </is>
      </c>
      <c r="L4049" s="36">
        <f>HYPERLINK("NoConsenso\" &amp; K4049, "Ver Imagen")</f>
        <v/>
      </c>
      <c r="M4049" t="inlineStr">
        <is>
          <t>Mediana</t>
        </is>
      </c>
    </row>
    <row r="4050">
      <c r="A4050" s="33" t="n">
        <v>4051</v>
      </c>
      <c r="B4050" t="inlineStr">
        <is>
          <t>A-490__89</t>
        </is>
      </c>
      <c r="C4050" s="1" t="n">
        <v>37.4487252724</v>
      </c>
      <c r="D4050" s="1" t="n">
        <v>-7.14798074678</v>
      </c>
      <c r="E4050" s="3" t="n">
        <v>1</v>
      </c>
      <c r="F4050" s="2" t="n">
        <v>3</v>
      </c>
      <c r="G4050" s="4" t="n">
        <v>2</v>
      </c>
      <c r="H4050" s="13" t="n">
        <v>2</v>
      </c>
      <c r="I4050" s="34" t="n">
        <v>2</v>
      </c>
      <c r="J4050" s="35" t="n">
        <v>2</v>
      </c>
      <c r="K4050" s="2" t="inlineStr">
        <is>
          <t>marker_220_738952.png</t>
        </is>
      </c>
      <c r="L4050" s="36">
        <f>HYPERLINK("NoConsenso\" &amp; K4050, "Ver Imagen")</f>
        <v/>
      </c>
      <c r="M4050" t="inlineStr">
        <is>
          <t>Mediana</t>
        </is>
      </c>
    </row>
    <row r="4051">
      <c r="A4051" s="33" t="n">
        <v>4052</v>
      </c>
      <c r="B4051" t="inlineStr">
        <is>
          <t>A-490__126</t>
        </is>
      </c>
      <c r="C4051" s="1" t="n">
        <v>37.4516119064</v>
      </c>
      <c r="D4051" s="1" t="n">
        <v>-7.15643701792</v>
      </c>
      <c r="E4051" s="3" t="n">
        <v>2</v>
      </c>
      <c r="F4051" s="2" t="n">
        <v>3</v>
      </c>
      <c r="G4051" s="4" t="n">
        <v>4</v>
      </c>
      <c r="H4051" s="13" t="n">
        <v>2</v>
      </c>
      <c r="I4051" s="34" t="n">
        <v>3</v>
      </c>
      <c r="J4051" s="35" t="n">
        <v>3</v>
      </c>
      <c r="K4051" s="2" t="inlineStr">
        <is>
          <t>marker_791_740156.png</t>
        </is>
      </c>
      <c r="L4051" s="36">
        <f>HYPERLINK("NoConsenso\" &amp; K4051, "Ver Imagen")</f>
        <v/>
      </c>
      <c r="M4051" t="inlineStr">
        <is>
          <t>Mediana</t>
        </is>
      </c>
    </row>
    <row r="4052">
      <c r="A4052" s="33" t="n">
        <v>4053</v>
      </c>
      <c r="B4052" t="inlineStr">
        <is>
          <t>A-490__264</t>
        </is>
      </c>
      <c r="C4052" s="1" t="n">
        <v>37.467422612</v>
      </c>
      <c r="D4052" s="1" t="n">
        <v>-7.1848963072</v>
      </c>
      <c r="E4052" s="3" t="n">
        <v>1</v>
      </c>
      <c r="F4052" s="2" t="n">
        <v>3</v>
      </c>
      <c r="G4052" s="4" t="n">
        <v>2</v>
      </c>
      <c r="H4052" s="13" t="n">
        <v>2</v>
      </c>
      <c r="I4052" s="34" t="n">
        <v>2</v>
      </c>
      <c r="J4052" s="35" t="n">
        <v>2</v>
      </c>
      <c r="K4052" s="2" t="inlineStr">
        <is>
          <t>marker_103_749788.png</t>
        </is>
      </c>
      <c r="L4052" s="36">
        <f>HYPERLINK("NoConsenso\" &amp; K4052, "Ver Imagen")</f>
        <v/>
      </c>
      <c r="M4052" t="inlineStr">
        <is>
          <t>Mediana</t>
        </is>
      </c>
    </row>
    <row r="4053">
      <c r="A4053" s="33" t="n">
        <v>4054</v>
      </c>
      <c r="B4053" t="inlineStr">
        <is>
          <t>A-490__452</t>
        </is>
      </c>
      <c r="C4053" s="1" t="n">
        <v>37.4843545798</v>
      </c>
      <c r="D4053" s="1" t="n">
        <v>-7.22714698348</v>
      </c>
      <c r="E4053" s="3" t="n">
        <v>2</v>
      </c>
      <c r="F4053" s="2" t="n">
        <v>1</v>
      </c>
      <c r="G4053" s="4" t="n">
        <v>3</v>
      </c>
      <c r="H4053" s="13" t="n">
        <v>1</v>
      </c>
      <c r="I4053" s="34" t="n">
        <v>1</v>
      </c>
      <c r="J4053" s="35" t="n">
        <v>1</v>
      </c>
      <c r="K4053" s="2" t="inlineStr">
        <is>
          <t>marker_778_755082.png</t>
        </is>
      </c>
      <c r="L4053" s="36">
        <f>HYPERLINK("NoConsenso\" &amp; K4053, "Ver Imagen")</f>
        <v/>
      </c>
      <c r="M4053" t="inlineStr">
        <is>
          <t>Mediana</t>
        </is>
      </c>
    </row>
    <row r="4054">
      <c r="A4054" s="33" t="n">
        <v>4055</v>
      </c>
      <c r="B4054" t="inlineStr">
        <is>
          <t>A-490__604</t>
        </is>
      </c>
      <c r="C4054" s="1" t="n">
        <v>37.4927025023</v>
      </c>
      <c r="D4054" s="1" t="n">
        <v>-7.26233834893</v>
      </c>
      <c r="E4054" s="3" t="n">
        <v>2</v>
      </c>
      <c r="F4054" s="2" t="n">
        <v>3</v>
      </c>
      <c r="G4054" s="4" t="n">
        <v>4</v>
      </c>
      <c r="H4054" s="13" t="n">
        <v>2</v>
      </c>
      <c r="I4054" s="34" t="n">
        <v>3</v>
      </c>
      <c r="J4054" s="35" t="n">
        <v>3</v>
      </c>
      <c r="K4054" s="2" t="inlineStr">
        <is>
          <t>marker_564_820140.png</t>
        </is>
      </c>
      <c r="L4054" s="36">
        <f>HYPERLINK("NoConsenso\" &amp; K4054, "Ver Imagen")</f>
        <v/>
      </c>
      <c r="M4054" t="inlineStr">
        <is>
          <t>Mediana</t>
        </is>
      </c>
    </row>
    <row r="4055">
      <c r="A4055" s="33" t="n">
        <v>4056</v>
      </c>
      <c r="B4055" t="inlineStr">
        <is>
          <t>A-490__623</t>
        </is>
      </c>
      <c r="C4055" s="1" t="n">
        <v>37.4946774872</v>
      </c>
      <c r="D4055" s="1" t="n">
        <v>-7.26644469675</v>
      </c>
      <c r="E4055" s="3" t="n">
        <v>2</v>
      </c>
      <c r="F4055" s="2" t="n">
        <v>4</v>
      </c>
      <c r="G4055" s="4" t="n">
        <v>3</v>
      </c>
      <c r="H4055" s="13" t="n">
        <v>3</v>
      </c>
      <c r="I4055" s="34" t="n">
        <v>2</v>
      </c>
      <c r="J4055" s="35" t="n">
        <v>3</v>
      </c>
      <c r="K4055" s="2" t="inlineStr">
        <is>
          <t>marker_404_820343.png</t>
        </is>
      </c>
      <c r="L4055" s="36">
        <f>HYPERLINK("NoConsenso\" &amp; K4055, "Ver Imagen")</f>
        <v/>
      </c>
      <c r="M4055" t="inlineStr">
        <is>
          <t>Mediana</t>
        </is>
      </c>
    </row>
    <row r="4056">
      <c r="A4056" s="33" t="n">
        <v>4057</v>
      </c>
      <c r="B4056" t="inlineStr">
        <is>
          <t>A-492__93</t>
        </is>
      </c>
      <c r="C4056" s="1" t="n">
        <v>37.2801264032</v>
      </c>
      <c r="D4056" s="1" t="n">
        <v>-7.0056825665</v>
      </c>
      <c r="E4056" s="3" t="n">
        <v>2</v>
      </c>
      <c r="F4056" s="2" t="n">
        <v>2</v>
      </c>
      <c r="G4056" s="4" t="n">
        <v>4</v>
      </c>
      <c r="H4056" s="13" t="n">
        <v>2</v>
      </c>
      <c r="I4056" s="34" t="n">
        <v>2</v>
      </c>
      <c r="J4056" s="35" t="n">
        <v>2</v>
      </c>
      <c r="K4056" s="2" t="inlineStr">
        <is>
          <t>marker_986_823683.png</t>
        </is>
      </c>
      <c r="L4056" s="36">
        <f>HYPERLINK("NoConsenso\" &amp; K4056, "Ver Imagen")</f>
        <v/>
      </c>
      <c r="M4056" t="inlineStr">
        <is>
          <t>Mediana</t>
        </is>
      </c>
    </row>
    <row r="4057">
      <c r="A4057" s="33" t="n">
        <v>4058</v>
      </c>
      <c r="B4057" t="inlineStr">
        <is>
          <t>A-492__111</t>
        </is>
      </c>
      <c r="C4057" s="1" t="n">
        <v>37.2785151109</v>
      </c>
      <c r="D4057" s="1" t="n">
        <v>-7.00973696459</v>
      </c>
      <c r="E4057" s="3" t="n">
        <v>2</v>
      </c>
      <c r="F4057" s="2" t="n">
        <v>3</v>
      </c>
      <c r="G4057" s="4" t="n">
        <v>4</v>
      </c>
      <c r="H4057" s="13" t="n">
        <v>3</v>
      </c>
      <c r="I4057" s="34" t="n">
        <v>3</v>
      </c>
      <c r="J4057" s="35" t="n">
        <v>3</v>
      </c>
      <c r="K4057" s="2" t="inlineStr">
        <is>
          <t>marker_881_824300.png</t>
        </is>
      </c>
      <c r="L4057" s="36">
        <f>HYPERLINK("NoConsenso\" &amp; K4057, "Ver Imagen")</f>
        <v/>
      </c>
      <c r="M4057" t="inlineStr">
        <is>
          <t>Mediana</t>
        </is>
      </c>
    </row>
    <row r="4058">
      <c r="A4058" s="33" t="n">
        <v>4059</v>
      </c>
      <c r="B4058" t="inlineStr">
        <is>
          <t>A-492__129</t>
        </is>
      </c>
      <c r="C4058" s="1" t="n">
        <v>37.2764863053</v>
      </c>
      <c r="D4058" s="1" t="n">
        <v>-7.01353299308</v>
      </c>
      <c r="E4058" s="3" t="n">
        <v>2</v>
      </c>
      <c r="F4058" s="2" t="n">
        <v>3</v>
      </c>
      <c r="G4058" s="4" t="n">
        <v>4</v>
      </c>
      <c r="H4058" s="13" t="n">
        <v>2</v>
      </c>
      <c r="I4058" s="34" t="n">
        <v>3</v>
      </c>
      <c r="J4058" s="35" t="n">
        <v>3</v>
      </c>
      <c r="K4058" s="2" t="inlineStr">
        <is>
          <t>marker_830_824527.png</t>
        </is>
      </c>
      <c r="L4058" s="36">
        <f>HYPERLINK("NoConsenso\" &amp; K4058, "Ver Imagen")</f>
        <v/>
      </c>
      <c r="M4058" t="inlineStr">
        <is>
          <t>Mediana</t>
        </is>
      </c>
    </row>
    <row r="4059">
      <c r="A4059" s="33" t="n">
        <v>4060</v>
      </c>
      <c r="B4059" t="inlineStr">
        <is>
          <t>A-492__130</t>
        </is>
      </c>
      <c r="C4059" s="1" t="n">
        <v>37.2763890826</v>
      </c>
      <c r="D4059" s="1" t="n">
        <v>-7.01373841655</v>
      </c>
      <c r="E4059" s="3" t="n">
        <v>2</v>
      </c>
      <c r="F4059" s="2" t="n">
        <v>3</v>
      </c>
      <c r="G4059" s="4" t="n">
        <v>4</v>
      </c>
      <c r="H4059" s="13" t="n">
        <v>2</v>
      </c>
      <c r="I4059" s="34" t="n">
        <v>3</v>
      </c>
      <c r="J4059" s="35" t="n">
        <v>3</v>
      </c>
      <c r="K4059" s="2" t="inlineStr">
        <is>
          <t>marker_670_824542.png</t>
        </is>
      </c>
      <c r="L4059" s="36">
        <f>HYPERLINK("NoConsenso\" &amp; K4059, "Ver Imagen")</f>
        <v/>
      </c>
      <c r="M4059" t="inlineStr">
        <is>
          <t>Mediana</t>
        </is>
      </c>
    </row>
    <row r="4060">
      <c r="A4060" s="33" t="n">
        <v>4061</v>
      </c>
      <c r="B4060" t="inlineStr">
        <is>
          <t>A-492__174</t>
        </is>
      </c>
      <c r="C4060" s="1" t="n">
        <v>37.2763663539</v>
      </c>
      <c r="D4060" s="1" t="n">
        <v>-7.02423720007</v>
      </c>
      <c r="E4060" s="3" t="n">
        <v>2</v>
      </c>
      <c r="F4060" s="2" t="n">
        <v>3</v>
      </c>
      <c r="G4060" s="4" t="n">
        <v>4</v>
      </c>
      <c r="H4060" s="13" t="n">
        <v>2</v>
      </c>
      <c r="I4060" s="34" t="n">
        <v>2</v>
      </c>
      <c r="J4060" s="35" t="n">
        <v>2</v>
      </c>
      <c r="K4060" s="2" t="inlineStr">
        <is>
          <t>marker_335_831517.png</t>
        </is>
      </c>
      <c r="L4060" s="36">
        <f>HYPERLINK("NoConsenso\" &amp; K4060, "Ver Imagen")</f>
        <v/>
      </c>
      <c r="M4060" t="inlineStr">
        <is>
          <t>Mediana</t>
        </is>
      </c>
    </row>
    <row r="4061">
      <c r="A4061" s="33" t="n">
        <v>4062</v>
      </c>
      <c r="B4061" t="inlineStr">
        <is>
          <t>A-492__180</t>
        </is>
      </c>
      <c r="C4061" s="1" t="n">
        <v>37.2765806325</v>
      </c>
      <c r="D4061" s="1" t="n">
        <v>-7.02572755135</v>
      </c>
      <c r="E4061" s="3" t="n">
        <v>2</v>
      </c>
      <c r="F4061" s="2" t="n">
        <v>3</v>
      </c>
      <c r="G4061" s="4" t="n">
        <v>4</v>
      </c>
      <c r="H4061" s="13" t="n">
        <v>2</v>
      </c>
      <c r="I4061" s="34" t="n">
        <v>2</v>
      </c>
      <c r="J4061" s="35" t="n">
        <v>2</v>
      </c>
      <c r="K4061" s="2" t="inlineStr">
        <is>
          <t>marker_833_831609.png</t>
        </is>
      </c>
      <c r="L4061" s="36">
        <f>HYPERLINK("NoConsenso\" &amp; K4061, "Ver Imagen")</f>
        <v/>
      </c>
      <c r="M4061" t="inlineStr">
        <is>
          <t>Mediana</t>
        </is>
      </c>
    </row>
    <row r="4062">
      <c r="A4062" s="33" t="n">
        <v>4063</v>
      </c>
      <c r="B4062" t="inlineStr">
        <is>
          <t>A-492__181</t>
        </is>
      </c>
      <c r="C4062" s="1" t="n">
        <v>37.2766133045</v>
      </c>
      <c r="D4062" s="1" t="n">
        <v>-7.02596818843</v>
      </c>
      <c r="E4062" s="3" t="n">
        <v>2</v>
      </c>
      <c r="F4062" s="2" t="n">
        <v>3</v>
      </c>
      <c r="G4062" s="4" t="n">
        <v>4</v>
      </c>
      <c r="H4062" s="13" t="n">
        <v>2</v>
      </c>
      <c r="I4062" s="34" t="n">
        <v>3</v>
      </c>
      <c r="J4062" s="35" t="n">
        <v>3</v>
      </c>
      <c r="K4062" s="2" t="inlineStr">
        <is>
          <t>marker_745_831646.png</t>
        </is>
      </c>
      <c r="L4062" s="36">
        <f>HYPERLINK("NoConsenso\" &amp; K4062, "Ver Imagen")</f>
        <v/>
      </c>
      <c r="M4062" t="inlineStr">
        <is>
          <t>Mediana</t>
        </is>
      </c>
    </row>
    <row r="4063">
      <c r="A4063" s="33" t="n">
        <v>4064</v>
      </c>
      <c r="B4063" t="inlineStr">
        <is>
          <t>A-492__255</t>
        </is>
      </c>
      <c r="C4063" s="1" t="n">
        <v>37.2849009613</v>
      </c>
      <c r="D4063" s="1" t="n">
        <v>-7.03995924857</v>
      </c>
      <c r="E4063" s="3" t="n">
        <v>2</v>
      </c>
      <c r="F4063" s="2" t="n">
        <v>3</v>
      </c>
      <c r="G4063" s="4" t="n">
        <v>4</v>
      </c>
      <c r="H4063" s="13" t="n">
        <v>3</v>
      </c>
      <c r="I4063" s="34" t="n">
        <v>3</v>
      </c>
      <c r="J4063" s="35" t="n">
        <v>3</v>
      </c>
      <c r="K4063" s="2" t="inlineStr">
        <is>
          <t>marker_595_836174.png</t>
        </is>
      </c>
      <c r="L4063" s="36">
        <f>HYPERLINK("NoConsenso\" &amp; K4063, "Ver Imagen")</f>
        <v/>
      </c>
      <c r="M4063" t="inlineStr">
        <is>
          <t>Mediana</t>
        </is>
      </c>
    </row>
    <row r="4064">
      <c r="A4064" s="33" t="n">
        <v>4065</v>
      </c>
      <c r="B4064" t="inlineStr">
        <is>
          <t>A-492__266</t>
        </is>
      </c>
      <c r="C4064" s="1" t="n">
        <v>37.2865331859</v>
      </c>
      <c r="D4064" s="1" t="n">
        <v>-7.04173890691</v>
      </c>
      <c r="E4064" s="3" t="n">
        <v>2</v>
      </c>
      <c r="F4064" s="2" t="n">
        <v>2</v>
      </c>
      <c r="G4064" s="4" t="n">
        <v>4</v>
      </c>
      <c r="H4064" s="13" t="n">
        <v>2</v>
      </c>
      <c r="I4064" s="34" t="n">
        <v>2</v>
      </c>
      <c r="J4064" s="35" t="n">
        <v>2</v>
      </c>
      <c r="K4064" s="2" t="inlineStr">
        <is>
          <t>marker_236_836701.png</t>
        </is>
      </c>
      <c r="L4064" s="36">
        <f>HYPERLINK("NoConsenso\" &amp; K4064, "Ver Imagen")</f>
        <v/>
      </c>
      <c r="M4064" t="inlineStr">
        <is>
          <t>Mediana</t>
        </is>
      </c>
    </row>
    <row r="4065">
      <c r="A4065" s="33" t="n">
        <v>4066</v>
      </c>
      <c r="B4065" t="inlineStr">
        <is>
          <t>A-492__267</t>
        </is>
      </c>
      <c r="C4065" s="1" t="n">
        <v>37.2867157616</v>
      </c>
      <c r="D4065" s="1" t="n">
        <v>-7.04183019499</v>
      </c>
      <c r="E4065" s="3" t="n">
        <v>2</v>
      </c>
      <c r="F4065" s="2" t="n">
        <v>2</v>
      </c>
      <c r="G4065" s="4" t="n">
        <v>4</v>
      </c>
      <c r="H4065" s="13" t="n">
        <v>2</v>
      </c>
      <c r="I4065" s="34" t="n">
        <v>1</v>
      </c>
      <c r="J4065" s="35" t="n">
        <v>2</v>
      </c>
      <c r="K4065" s="2" t="inlineStr">
        <is>
          <t>marker_889_836713.png</t>
        </is>
      </c>
      <c r="L4065" s="36">
        <f>HYPERLINK("NoConsenso\" &amp; K4065, "Ver Imagen")</f>
        <v/>
      </c>
      <c r="M4065" t="inlineStr">
        <is>
          <t>Mediana</t>
        </is>
      </c>
    </row>
    <row r="4066">
      <c r="A4066" s="33" t="n">
        <v>4067</v>
      </c>
      <c r="B4066" t="inlineStr">
        <is>
          <t>A-492__282</t>
        </is>
      </c>
      <c r="C4066" s="1" t="n">
        <v>37.2892512427</v>
      </c>
      <c r="D4066" s="1" t="n">
        <v>-7.043839949</v>
      </c>
      <c r="E4066" s="3" t="n">
        <v>2</v>
      </c>
      <c r="F4066" s="2" t="n">
        <v>1</v>
      </c>
      <c r="G4066" s="4" t="n">
        <v>3</v>
      </c>
      <c r="H4066" s="13" t="n">
        <v>2</v>
      </c>
      <c r="I4066" s="34" t="n">
        <v>1</v>
      </c>
      <c r="J4066" s="35" t="n">
        <v>2</v>
      </c>
      <c r="K4066" s="2" t="inlineStr">
        <is>
          <t>marker_453_837329.png</t>
        </is>
      </c>
      <c r="L4066" s="36">
        <f>HYPERLINK("NoConsenso\" &amp; K4066, "Ver Imagen")</f>
        <v/>
      </c>
      <c r="M4066" t="inlineStr">
        <is>
          <t>Mediana</t>
        </is>
      </c>
    </row>
    <row r="4067">
      <c r="A4067" s="33" t="n">
        <v>4068</v>
      </c>
      <c r="B4067" t="inlineStr">
        <is>
          <t>A-492__289</t>
        </is>
      </c>
      <c r="C4067" s="1" t="n">
        <v>37.2902597344</v>
      </c>
      <c r="D4067" s="1" t="n">
        <v>-7.04505791363</v>
      </c>
      <c r="E4067" s="3" t="n">
        <v>2</v>
      </c>
      <c r="F4067" s="2" t="n">
        <v>2</v>
      </c>
      <c r="G4067" s="4" t="n">
        <v>4</v>
      </c>
      <c r="H4067" s="13" t="n">
        <v>2</v>
      </c>
      <c r="I4067" s="34" t="n">
        <v>2</v>
      </c>
      <c r="J4067" s="35" t="n">
        <v>2</v>
      </c>
      <c r="K4067" s="2" t="inlineStr">
        <is>
          <t>marker_423_837407.png</t>
        </is>
      </c>
      <c r="L4067" s="36">
        <f>HYPERLINK("NoConsenso\" &amp; K4067, "Ver Imagen")</f>
        <v/>
      </c>
      <c r="M4067" t="inlineStr">
        <is>
          <t>Mediana</t>
        </is>
      </c>
    </row>
    <row r="4068">
      <c r="A4068" s="33" t="n">
        <v>4069</v>
      </c>
      <c r="B4068" t="inlineStr">
        <is>
          <t>A-492__329</t>
        </is>
      </c>
      <c r="C4068" s="1" t="n">
        <v>37.29666637</v>
      </c>
      <c r="D4068" s="1" t="n">
        <v>-7.05063933633</v>
      </c>
      <c r="E4068" s="3" t="n">
        <v>2</v>
      </c>
      <c r="F4068" s="2" t="n">
        <v>2</v>
      </c>
      <c r="G4068" s="4" t="n">
        <v>4</v>
      </c>
      <c r="H4068" s="13" t="n">
        <v>2</v>
      </c>
      <c r="I4068" s="34" t="n">
        <v>1</v>
      </c>
      <c r="J4068" s="35" t="n">
        <v>2</v>
      </c>
      <c r="K4068" s="2" t="inlineStr">
        <is>
          <t>marker_659_838068.png</t>
        </is>
      </c>
      <c r="L4068" s="36">
        <f>HYPERLINK("NoConsenso\" &amp; K4068, "Ver Imagen")</f>
        <v/>
      </c>
      <c r="M4068" t="inlineStr">
        <is>
          <t>Mediana</t>
        </is>
      </c>
    </row>
    <row r="4069">
      <c r="A4069" s="33" t="n">
        <v>4070</v>
      </c>
      <c r="B4069" t="inlineStr">
        <is>
          <t>A-492__359</t>
        </is>
      </c>
      <c r="C4069" s="1" t="n">
        <v>37.3007105313</v>
      </c>
      <c r="D4069" s="1" t="n">
        <v>-7.05596135321</v>
      </c>
      <c r="E4069" s="3" t="n">
        <v>2</v>
      </c>
      <c r="F4069" s="2" t="n">
        <v>3</v>
      </c>
      <c r="G4069" s="4" t="n">
        <v>4</v>
      </c>
      <c r="H4069" s="13" t="n">
        <v>3</v>
      </c>
      <c r="I4069" s="34" t="n">
        <v>2</v>
      </c>
      <c r="J4069" s="35" t="n">
        <v>3</v>
      </c>
      <c r="K4069" s="2" t="inlineStr">
        <is>
          <t>marker_304_838618.png</t>
        </is>
      </c>
      <c r="L4069" s="36">
        <f>HYPERLINK("NoConsenso\" &amp; K4069, "Ver Imagen")</f>
        <v/>
      </c>
      <c r="M4069" t="inlineStr">
        <is>
          <t>Mediana</t>
        </is>
      </c>
    </row>
    <row r="4070">
      <c r="A4070" s="33" t="n">
        <v>4071</v>
      </c>
      <c r="B4070" t="inlineStr">
        <is>
          <t>A-492__361</t>
        </is>
      </c>
      <c r="C4070" s="1" t="n">
        <v>37.3011079479</v>
      </c>
      <c r="D4070" s="1" t="n">
        <v>-7.05620393248</v>
      </c>
      <c r="E4070" s="3" t="n">
        <v>2</v>
      </c>
      <c r="F4070" s="2" t="n">
        <v>3</v>
      </c>
      <c r="G4070" s="4" t="n">
        <v>4</v>
      </c>
      <c r="H4070" s="13" t="n">
        <v>2</v>
      </c>
      <c r="I4070" s="34" t="n">
        <v>2</v>
      </c>
      <c r="J4070" s="37" t="n">
        <v>3</v>
      </c>
      <c r="K4070" s="2" t="inlineStr">
        <is>
          <t>marker_911_838638.png</t>
        </is>
      </c>
      <c r="L4070" s="36">
        <f>HYPERLINK("NoConsenso\" &amp; K4070, "Ver Imagen")</f>
        <v/>
      </c>
      <c r="M4070" s="37" t="inlineStr">
        <is>
          <t>Modificada</t>
        </is>
      </c>
    </row>
    <row r="4071">
      <c r="A4071" s="33" t="n">
        <v>4072</v>
      </c>
      <c r="B4071" t="inlineStr">
        <is>
          <t>A-492__369</t>
        </is>
      </c>
      <c r="C4071" s="1" t="n">
        <v>37.302661056</v>
      </c>
      <c r="D4071" s="1" t="n">
        <v>-7.05658149962</v>
      </c>
      <c r="E4071" s="3" t="n">
        <v>2</v>
      </c>
      <c r="F4071" s="2" t="n">
        <v>1</v>
      </c>
      <c r="G4071" s="4" t="n">
        <v>3</v>
      </c>
      <c r="H4071" s="13" t="n">
        <v>1</v>
      </c>
      <c r="I4071" s="34" t="n">
        <v>1</v>
      </c>
      <c r="J4071" s="35" t="n">
        <v>1</v>
      </c>
      <c r="K4071" s="2" t="inlineStr">
        <is>
          <t>marker_555_838745.png</t>
        </is>
      </c>
      <c r="L4071" s="36">
        <f>HYPERLINK("NoConsenso\" &amp; K4071, "Ver Imagen")</f>
        <v/>
      </c>
      <c r="M4071" t="inlineStr">
        <is>
          <t>Mediana</t>
        </is>
      </c>
    </row>
    <row r="4072">
      <c r="A4072" s="33" t="n">
        <v>4073</v>
      </c>
      <c r="B4072" t="inlineStr">
        <is>
          <t>A-492__383</t>
        </is>
      </c>
      <c r="C4072" s="1" t="n">
        <v>37.3055094975</v>
      </c>
      <c r="D4072" s="1" t="n">
        <v>-7.05673476698</v>
      </c>
      <c r="E4072" s="3" t="n">
        <v>1</v>
      </c>
      <c r="F4072" s="2" t="n">
        <v>3</v>
      </c>
      <c r="G4072" s="4" t="n">
        <v>2</v>
      </c>
      <c r="H4072" s="13" t="n">
        <v>2</v>
      </c>
      <c r="I4072" s="34" t="n">
        <v>2</v>
      </c>
      <c r="J4072" s="35" t="n">
        <v>2</v>
      </c>
      <c r="K4072" s="2" t="inlineStr">
        <is>
          <t>marker_338_838924.png</t>
        </is>
      </c>
      <c r="L4072" s="36">
        <f>HYPERLINK("NoConsenso\" &amp; K4072, "Ver Imagen")</f>
        <v/>
      </c>
      <c r="M4072" t="inlineStr">
        <is>
          <t>Mediana</t>
        </is>
      </c>
    </row>
    <row r="4073">
      <c r="A4073" s="33" t="n">
        <v>4074</v>
      </c>
      <c r="B4073" t="inlineStr">
        <is>
          <t>A-492__384</t>
        </is>
      </c>
      <c r="C4073" s="1" t="n">
        <v>37.3057140185</v>
      </c>
      <c r="D4073" s="1" t="n">
        <v>-7.0567393988</v>
      </c>
      <c r="E4073" s="3" t="n">
        <v>2</v>
      </c>
      <c r="F4073" s="2" t="n">
        <v>3</v>
      </c>
      <c r="G4073" s="4" t="n">
        <v>4</v>
      </c>
      <c r="H4073" s="13" t="n">
        <v>2</v>
      </c>
      <c r="I4073" s="34" t="n">
        <v>2</v>
      </c>
      <c r="J4073" s="35" t="n">
        <v>2</v>
      </c>
      <c r="K4073" s="2" t="inlineStr">
        <is>
          <t>marker_614_838957.png</t>
        </is>
      </c>
      <c r="L4073" s="36">
        <f>HYPERLINK("NoConsenso\" &amp; K4073, "Ver Imagen")</f>
        <v/>
      </c>
      <c r="M4073" t="inlineStr">
        <is>
          <t>Mediana</t>
        </is>
      </c>
    </row>
    <row r="4074">
      <c r="A4074" s="33" t="n">
        <v>4075</v>
      </c>
      <c r="B4074" t="inlineStr">
        <is>
          <t>A-492__385</t>
        </is>
      </c>
      <c r="C4074" s="1" t="n">
        <v>37.3058822464</v>
      </c>
      <c r="D4074" s="1" t="n">
        <v>-7.05674754605</v>
      </c>
      <c r="E4074" s="3" t="n">
        <v>2</v>
      </c>
      <c r="F4074" s="2" t="n">
        <v>3</v>
      </c>
      <c r="G4074" s="4" t="n">
        <v>4</v>
      </c>
      <c r="H4074" s="13" t="n">
        <v>2</v>
      </c>
      <c r="I4074" s="34" t="n">
        <v>2</v>
      </c>
      <c r="J4074" s="35" t="n">
        <v>2</v>
      </c>
      <c r="K4074" s="2" t="inlineStr">
        <is>
          <t>marker_907_838972.png</t>
        </is>
      </c>
      <c r="L4074" s="36">
        <f>HYPERLINK("NoConsenso\" &amp; K4074, "Ver Imagen")</f>
        <v/>
      </c>
      <c r="M4074" t="inlineStr">
        <is>
          <t>Mediana</t>
        </is>
      </c>
    </row>
    <row r="4075">
      <c r="A4075" s="33" t="n">
        <v>4076</v>
      </c>
      <c r="B4075" t="inlineStr">
        <is>
          <t>A-492__386</t>
        </is>
      </c>
      <c r="C4075" s="1" t="n">
        <v>37.3061011825</v>
      </c>
      <c r="D4075" s="1" t="n">
        <v>-7.05676557353</v>
      </c>
      <c r="E4075" s="3" t="n">
        <v>2</v>
      </c>
      <c r="F4075" s="2" t="n">
        <v>2</v>
      </c>
      <c r="G4075" s="4" t="n">
        <v>4</v>
      </c>
      <c r="H4075" s="13" t="n">
        <v>2</v>
      </c>
      <c r="I4075" s="34" t="n">
        <v>1</v>
      </c>
      <c r="J4075" s="35" t="n">
        <v>2</v>
      </c>
      <c r="K4075" s="2" t="inlineStr">
        <is>
          <t>marker_578_838981.png</t>
        </is>
      </c>
      <c r="L4075" s="36">
        <f>HYPERLINK("NoConsenso\" &amp; K4075, "Ver Imagen")</f>
        <v/>
      </c>
      <c r="M4075" t="inlineStr">
        <is>
          <t>Mediana</t>
        </is>
      </c>
    </row>
    <row r="4076">
      <c r="A4076" s="33" t="n">
        <v>4077</v>
      </c>
      <c r="B4076" t="inlineStr">
        <is>
          <t>A-492__391</t>
        </is>
      </c>
      <c r="C4076" s="1" t="n">
        <v>37.307119094</v>
      </c>
      <c r="D4076" s="1" t="n">
        <v>-7.05689542312</v>
      </c>
      <c r="E4076" s="3" t="n">
        <v>2</v>
      </c>
      <c r="F4076" s="2" t="n">
        <v>2</v>
      </c>
      <c r="G4076" s="4" t="n">
        <v>4</v>
      </c>
      <c r="H4076" s="13" t="n">
        <v>2</v>
      </c>
      <c r="I4076" s="34" t="n">
        <v>2</v>
      </c>
      <c r="J4076" s="35" t="n">
        <v>2</v>
      </c>
      <c r="K4076" s="2" t="inlineStr">
        <is>
          <t>marker_636_839039.png</t>
        </is>
      </c>
      <c r="L4076" s="36">
        <f>HYPERLINK("NoConsenso\" &amp; K4076, "Ver Imagen")</f>
        <v/>
      </c>
      <c r="M4076" t="inlineStr">
        <is>
          <t>Mediana</t>
        </is>
      </c>
    </row>
    <row r="4077">
      <c r="A4077" s="33" t="n">
        <v>4078</v>
      </c>
      <c r="B4077" t="inlineStr">
        <is>
          <t>A-492__396</t>
        </is>
      </c>
      <c r="C4077" s="1" t="n">
        <v>37.3081086613</v>
      </c>
      <c r="D4077" s="1" t="n">
        <v>-7.05712328967</v>
      </c>
      <c r="E4077" s="3" t="n">
        <v>2</v>
      </c>
      <c r="F4077" s="2" t="n">
        <v>2</v>
      </c>
      <c r="G4077" s="4" t="n">
        <v>4</v>
      </c>
      <c r="H4077" s="13" t="n">
        <v>1</v>
      </c>
      <c r="I4077" s="34" t="n">
        <v>1</v>
      </c>
      <c r="J4077" s="37" t="n">
        <v>1</v>
      </c>
      <c r="K4077" s="2" t="inlineStr">
        <is>
          <t>marker_947_839103.png</t>
        </is>
      </c>
      <c r="L4077" s="36">
        <f>HYPERLINK("NoConsenso\" &amp; K4077, "Ver Imagen")</f>
        <v/>
      </c>
      <c r="M4077" s="37" t="inlineStr">
        <is>
          <t>Modificada</t>
        </is>
      </c>
    </row>
    <row r="4078">
      <c r="A4078" s="33" t="n">
        <v>4079</v>
      </c>
      <c r="B4078" t="inlineStr">
        <is>
          <t>A-492__397</t>
        </is>
      </c>
      <c r="C4078" s="1" t="n">
        <v>37.3082986492</v>
      </c>
      <c r="D4078" s="1" t="n">
        <v>-7.05719071372</v>
      </c>
      <c r="E4078" s="3" t="n">
        <v>2</v>
      </c>
      <c r="F4078" s="2" t="n">
        <v>3</v>
      </c>
      <c r="G4078" s="4" t="n">
        <v>4</v>
      </c>
      <c r="H4078" s="13" t="n">
        <v>2</v>
      </c>
      <c r="I4078" s="34" t="n">
        <v>2</v>
      </c>
      <c r="J4078" s="35" t="n">
        <v>2</v>
      </c>
      <c r="K4078" s="2" t="inlineStr">
        <is>
          <t>marker_366_839114.png</t>
        </is>
      </c>
      <c r="L4078" s="36">
        <f>HYPERLINK("NoConsenso\" &amp; K4078, "Ver Imagen")</f>
        <v/>
      </c>
      <c r="M4078" t="inlineStr">
        <is>
          <t>Mediana</t>
        </is>
      </c>
    </row>
    <row r="4079">
      <c r="A4079" s="33" t="n">
        <v>4080</v>
      </c>
      <c r="B4079" t="inlineStr">
        <is>
          <t>A-492__406</t>
        </is>
      </c>
      <c r="C4079" s="1" t="n">
        <v>37.3099271448</v>
      </c>
      <c r="D4079" s="1" t="n">
        <v>-7.05817638463</v>
      </c>
      <c r="E4079" s="3" t="n">
        <v>3</v>
      </c>
      <c r="F4079" s="2" t="n">
        <v>1</v>
      </c>
      <c r="G4079" s="4" t="n">
        <v>2</v>
      </c>
      <c r="H4079" s="13" t="n">
        <v>1</v>
      </c>
      <c r="I4079" s="34" t="n">
        <v>1</v>
      </c>
      <c r="J4079" s="35" t="n">
        <v>1</v>
      </c>
      <c r="K4079" s="2" t="inlineStr">
        <is>
          <t>marker_844_839248.png</t>
        </is>
      </c>
      <c r="L4079" s="36">
        <f>HYPERLINK("NoConsenso\" &amp; K4079, "Ver Imagen")</f>
        <v/>
      </c>
      <c r="M4079" t="inlineStr">
        <is>
          <t>Mediana</t>
        </is>
      </c>
    </row>
    <row r="4080">
      <c r="A4080" s="33" t="n">
        <v>4081</v>
      </c>
      <c r="B4080" t="inlineStr">
        <is>
          <t>A-492__416</t>
        </is>
      </c>
      <c r="C4080" s="1" t="n">
        <v>37.3115985021</v>
      </c>
      <c r="D4080" s="1" t="n">
        <v>-7.05966275789</v>
      </c>
      <c r="E4080" s="3" t="n">
        <v>2</v>
      </c>
      <c r="F4080" s="2" t="n">
        <v>1</v>
      </c>
      <c r="G4080" s="4" t="n">
        <v>3</v>
      </c>
      <c r="H4080" s="13" t="n">
        <v>1</v>
      </c>
      <c r="I4080" s="34" t="n">
        <v>1</v>
      </c>
      <c r="J4080" s="35" t="n">
        <v>1</v>
      </c>
      <c r="K4080" s="2" t="inlineStr">
        <is>
          <t>marker_543_839353.png</t>
        </is>
      </c>
      <c r="L4080" s="36">
        <f>HYPERLINK("NoConsenso\" &amp; K4080, "Ver Imagen")</f>
        <v/>
      </c>
      <c r="M4080" t="inlineStr">
        <is>
          <t>Mediana</t>
        </is>
      </c>
    </row>
    <row r="4081">
      <c r="A4081" s="33" t="n">
        <v>4082</v>
      </c>
      <c r="B4081" t="inlineStr">
        <is>
          <t>A-492__452</t>
        </is>
      </c>
      <c r="C4081" s="1" t="n">
        <v>37.3154744926</v>
      </c>
      <c r="D4081" s="1" t="n">
        <v>-7.06726114723</v>
      </c>
      <c r="E4081" s="3" t="n">
        <v>2</v>
      </c>
      <c r="F4081" s="2" t="n">
        <v>3</v>
      </c>
      <c r="G4081" s="4" t="n">
        <v>4</v>
      </c>
      <c r="H4081" s="13" t="n">
        <v>2</v>
      </c>
      <c r="I4081" s="34" t="n">
        <v>3</v>
      </c>
      <c r="J4081" s="35" t="n">
        <v>3</v>
      </c>
      <c r="K4081" s="2" t="inlineStr">
        <is>
          <t>marker_147_839838.png</t>
        </is>
      </c>
      <c r="L4081" s="36">
        <f>HYPERLINK("NoConsenso\" &amp; K4081, "Ver Imagen")</f>
        <v/>
      </c>
      <c r="M4081" t="inlineStr">
        <is>
          <t>Mediana</t>
        </is>
      </c>
    </row>
    <row r="4082">
      <c r="A4082" s="33" t="n">
        <v>4083</v>
      </c>
      <c r="B4082" t="inlineStr">
        <is>
          <t>A-492__453</t>
        </is>
      </c>
      <c r="C4082" s="1" t="n">
        <v>37.3155380723</v>
      </c>
      <c r="D4082" s="1" t="n">
        <v>-7.06755453299</v>
      </c>
      <c r="E4082" s="3" t="n">
        <v>2</v>
      </c>
      <c r="F4082" s="2" t="n">
        <v>2</v>
      </c>
      <c r="G4082" s="4" t="n">
        <v>4</v>
      </c>
      <c r="H4082" s="13" t="n">
        <v>2</v>
      </c>
      <c r="I4082" s="34" t="n">
        <v>1</v>
      </c>
      <c r="J4082" s="35" t="n">
        <v>2</v>
      </c>
      <c r="K4082" s="2" t="inlineStr">
        <is>
          <t>marker_906_839848.png</t>
        </is>
      </c>
      <c r="L4082" s="36">
        <f>HYPERLINK("NoConsenso\" &amp; K4082, "Ver Imagen")</f>
        <v/>
      </c>
      <c r="M4082" t="inlineStr">
        <is>
          <t>Mediana</t>
        </is>
      </c>
    </row>
    <row r="4083">
      <c r="A4083" s="33" t="n">
        <v>4084</v>
      </c>
      <c r="B4083" t="inlineStr">
        <is>
          <t>A-492__459</t>
        </is>
      </c>
      <c r="C4083" s="1" t="n">
        <v>37.31598556</v>
      </c>
      <c r="D4083" s="1" t="n">
        <v>-7.06893774789</v>
      </c>
      <c r="E4083" s="3" t="n">
        <v>2</v>
      </c>
      <c r="F4083" s="2" t="n">
        <v>3</v>
      </c>
      <c r="G4083" s="4" t="n">
        <v>4</v>
      </c>
      <c r="H4083" s="13" t="n">
        <v>3</v>
      </c>
      <c r="I4083" s="34" t="n">
        <v>3</v>
      </c>
      <c r="J4083" s="35" t="n">
        <v>3</v>
      </c>
      <c r="K4083" s="2" t="inlineStr">
        <is>
          <t>marker_829_839918.png</t>
        </is>
      </c>
      <c r="L4083" s="36">
        <f>HYPERLINK("NoConsenso\" &amp; K4083, "Ver Imagen")</f>
        <v/>
      </c>
      <c r="M4083" t="inlineStr">
        <is>
          <t>Mediana</t>
        </is>
      </c>
    </row>
    <row r="4084">
      <c r="A4084" s="33" t="n">
        <v>4085</v>
      </c>
      <c r="B4084" t="inlineStr">
        <is>
          <t>A-492__462</t>
        </is>
      </c>
      <c r="C4084" s="1" t="n">
        <v>37.3162970344</v>
      </c>
      <c r="D4084" s="1" t="n">
        <v>-7.06960532252</v>
      </c>
      <c r="E4084" s="3" t="n">
        <v>2</v>
      </c>
      <c r="F4084" s="2" t="n">
        <v>3</v>
      </c>
      <c r="G4084" s="4" t="n">
        <v>4</v>
      </c>
      <c r="H4084" s="13" t="n">
        <v>3</v>
      </c>
      <c r="I4084" s="34" t="n">
        <v>3</v>
      </c>
      <c r="J4084" s="35" t="n">
        <v>3</v>
      </c>
      <c r="K4084" s="2" t="inlineStr">
        <is>
          <t>marker_320_839951.png</t>
        </is>
      </c>
      <c r="L4084" s="36">
        <f>HYPERLINK("NoConsenso\" &amp; K4084, "Ver Imagen")</f>
        <v/>
      </c>
      <c r="M4084" t="inlineStr">
        <is>
          <t>Mediana</t>
        </is>
      </c>
    </row>
    <row r="4085">
      <c r="A4085" s="33" t="n">
        <v>4086</v>
      </c>
      <c r="B4085" t="inlineStr">
        <is>
          <t>A-492__463</t>
        </is>
      </c>
      <c r="C4085" s="1" t="n">
        <v>37.3163981512</v>
      </c>
      <c r="D4085" s="1" t="n">
        <v>-7.06980526824</v>
      </c>
      <c r="E4085" s="3" t="n">
        <v>2</v>
      </c>
      <c r="F4085" s="2" t="n">
        <v>3</v>
      </c>
      <c r="G4085" s="4" t="n">
        <v>4</v>
      </c>
      <c r="H4085" s="13" t="n">
        <v>3</v>
      </c>
      <c r="I4085" s="34" t="n">
        <v>3</v>
      </c>
      <c r="J4085" s="35" t="n">
        <v>3</v>
      </c>
      <c r="K4085" s="2" t="inlineStr">
        <is>
          <t>marker_760_839960.png</t>
        </is>
      </c>
      <c r="L4085" s="36">
        <f>HYPERLINK("NoConsenso\" &amp; K4085, "Ver Imagen")</f>
        <v/>
      </c>
      <c r="M4085" t="inlineStr">
        <is>
          <t>Mediana</t>
        </is>
      </c>
    </row>
    <row r="4086">
      <c r="A4086" s="33" t="n">
        <v>4087</v>
      </c>
      <c r="B4086" t="inlineStr">
        <is>
          <t>A-492__467</t>
        </is>
      </c>
      <c r="C4086" s="1" t="n">
        <v>37.3169071355</v>
      </c>
      <c r="D4086" s="1" t="n">
        <v>-7.07057756966</v>
      </c>
      <c r="E4086" s="3" t="n">
        <v>2</v>
      </c>
      <c r="F4086" s="2" t="n">
        <v>2</v>
      </c>
      <c r="G4086" s="4" t="n">
        <v>4</v>
      </c>
      <c r="H4086" s="13" t="n">
        <v>2</v>
      </c>
      <c r="I4086" s="34" t="n">
        <v>2</v>
      </c>
      <c r="J4086" s="35" t="n">
        <v>2</v>
      </c>
      <c r="K4086" s="2" t="inlineStr">
        <is>
          <t>marker_170_840016.png</t>
        </is>
      </c>
      <c r="L4086" s="36">
        <f>HYPERLINK("NoConsenso\" &amp; K4086, "Ver Imagen")</f>
        <v/>
      </c>
      <c r="M4086" t="inlineStr">
        <is>
          <t>Mediana</t>
        </is>
      </c>
    </row>
    <row r="4087">
      <c r="A4087" s="33" t="n">
        <v>4088</v>
      </c>
      <c r="B4087" t="inlineStr">
        <is>
          <t>A-492__468</t>
        </is>
      </c>
      <c r="C4087" s="1" t="n">
        <v>37.3170459732</v>
      </c>
      <c r="D4087" s="1" t="n">
        <v>-7.0707184741</v>
      </c>
      <c r="E4087" s="3" t="n">
        <v>2</v>
      </c>
      <c r="F4087" s="2" t="n">
        <v>3</v>
      </c>
      <c r="G4087" s="4" t="n">
        <v>4</v>
      </c>
      <c r="H4087" s="13" t="n">
        <v>3</v>
      </c>
      <c r="I4087" s="34" t="n">
        <v>3</v>
      </c>
      <c r="J4087" s="35" t="n">
        <v>3</v>
      </c>
      <c r="K4087" s="2" t="inlineStr">
        <is>
          <t>marker_985_840026.png</t>
        </is>
      </c>
      <c r="L4087" s="36">
        <f>HYPERLINK("NoConsenso\" &amp; K4087, "Ver Imagen")</f>
        <v/>
      </c>
      <c r="M4087" t="inlineStr">
        <is>
          <t>Mediana</t>
        </is>
      </c>
    </row>
    <row r="4088">
      <c r="A4088" s="33" t="n">
        <v>4089</v>
      </c>
      <c r="B4088" t="inlineStr">
        <is>
          <t>A-495R__106</t>
        </is>
      </c>
      <c r="C4088" s="1" t="n">
        <v>37.4642338217</v>
      </c>
      <c r="D4088" s="1" t="n">
        <v>-7.1189614474</v>
      </c>
      <c r="E4088" s="3" t="n">
        <v>1</v>
      </c>
      <c r="F4088" s="2" t="n">
        <v>3</v>
      </c>
      <c r="G4088" s="4" t="n">
        <v>2</v>
      </c>
      <c r="H4088" s="13" t="n">
        <v>2</v>
      </c>
      <c r="I4088" s="34" t="n">
        <v>2</v>
      </c>
      <c r="J4088" s="35" t="n">
        <v>2</v>
      </c>
      <c r="K4088" s="2" t="inlineStr">
        <is>
          <t>marker_509_895797.png</t>
        </is>
      </c>
      <c r="L4088" s="36">
        <f>HYPERLINK("NoConsenso\" &amp; K4088, "Ver Imagen")</f>
        <v/>
      </c>
      <c r="M4088" t="inlineStr">
        <is>
          <t>Mediana</t>
        </is>
      </c>
    </row>
    <row r="4089">
      <c r="A4089" s="33" t="n">
        <v>4090</v>
      </c>
      <c r="B4089" t="inlineStr">
        <is>
          <t>A-497__70</t>
        </is>
      </c>
      <c r="C4089" s="1" t="n">
        <v>37.2684257446</v>
      </c>
      <c r="D4089" s="1" t="n">
        <v>-6.97332083241</v>
      </c>
      <c r="E4089" s="3" t="n">
        <v>2</v>
      </c>
      <c r="F4089" s="2" t="n">
        <v>4</v>
      </c>
      <c r="G4089" s="4" t="n">
        <v>2</v>
      </c>
      <c r="H4089" s="13" t="n">
        <v>3</v>
      </c>
      <c r="I4089" s="34" t="n">
        <v>4</v>
      </c>
      <c r="J4089" s="37" t="n">
        <v>4</v>
      </c>
      <c r="K4089" s="2" t="inlineStr">
        <is>
          <t>marker_980_938045.png</t>
        </is>
      </c>
      <c r="L4089" s="36">
        <f>HYPERLINK("NoConsenso\" &amp; K4089, "Ver Imagen")</f>
        <v/>
      </c>
      <c r="M4089" s="37" t="inlineStr">
        <is>
          <t>Modificada</t>
        </is>
      </c>
    </row>
    <row r="4090">
      <c r="A4090" s="33" t="n">
        <v>4091</v>
      </c>
      <c r="B4090" t="inlineStr">
        <is>
          <t>A-497__52</t>
        </is>
      </c>
      <c r="C4090" s="1" t="n">
        <v>37.2677610677</v>
      </c>
      <c r="D4090" s="1" t="n">
        <v>-6.96881587883</v>
      </c>
      <c r="E4090" s="3" t="n">
        <v>2</v>
      </c>
      <c r="F4090" s="2" t="n">
        <v>4</v>
      </c>
      <c r="G4090" s="4" t="n">
        <v>2</v>
      </c>
      <c r="H4090" s="13" t="n">
        <v>3</v>
      </c>
      <c r="I4090" s="34" t="n">
        <v>4</v>
      </c>
      <c r="J4090" s="37" t="n">
        <v>4</v>
      </c>
      <c r="K4090" s="2" t="inlineStr">
        <is>
          <t>marker_840_938366.png</t>
        </is>
      </c>
      <c r="L4090" s="36">
        <f>HYPERLINK("NoConsenso\" &amp; K4090, "Ver Imagen")</f>
        <v/>
      </c>
      <c r="M4090" s="37" t="inlineStr">
        <is>
          <t>Modificada</t>
        </is>
      </c>
    </row>
    <row r="4091">
      <c r="A4091" s="33" t="n">
        <v>4092</v>
      </c>
      <c r="B4091" t="inlineStr">
        <is>
          <t>A-497__47</t>
        </is>
      </c>
      <c r="C4091" s="1" t="n">
        <v>37.2676515756</v>
      </c>
      <c r="D4091" s="1" t="n">
        <v>-6.96755324625</v>
      </c>
      <c r="E4091" s="3" t="n">
        <v>2</v>
      </c>
      <c r="F4091" s="2" t="n">
        <v>4</v>
      </c>
      <c r="G4091" s="4" t="n">
        <v>2</v>
      </c>
      <c r="H4091" s="13" t="n">
        <v>3</v>
      </c>
      <c r="I4091" s="34" t="n">
        <v>3</v>
      </c>
      <c r="J4091" s="37" t="n">
        <v>4</v>
      </c>
      <c r="K4091" s="2" t="inlineStr">
        <is>
          <t>marker_718_938426.png</t>
        </is>
      </c>
      <c r="L4091" s="36">
        <f>HYPERLINK("NoConsenso\" &amp; K4091, "Ver Imagen")</f>
        <v/>
      </c>
      <c r="M4091" s="37" t="inlineStr">
        <is>
          <t>Modificada</t>
        </is>
      </c>
    </row>
    <row r="4092">
      <c r="A4092" s="33" t="n">
        <v>4093</v>
      </c>
      <c r="B4092" t="inlineStr">
        <is>
          <t>A-497__44</t>
        </is>
      </c>
      <c r="C4092" s="1" t="n">
        <v>37.2676047609</v>
      </c>
      <c r="D4092" s="1" t="n">
        <v>-6.96680122779</v>
      </c>
      <c r="E4092" s="3" t="n">
        <v>2</v>
      </c>
      <c r="F4092" s="2" t="n">
        <v>4</v>
      </c>
      <c r="G4092" s="4" t="n">
        <v>2</v>
      </c>
      <c r="H4092" s="13" t="n">
        <v>3</v>
      </c>
      <c r="I4092" s="34" t="n">
        <v>3</v>
      </c>
      <c r="J4092" s="37" t="n">
        <v>4</v>
      </c>
      <c r="K4092" s="2" t="inlineStr">
        <is>
          <t>marker_786_938459.png</t>
        </is>
      </c>
      <c r="L4092" s="36">
        <f>HYPERLINK("NoConsenso\" &amp; K4092, "Ver Imagen")</f>
        <v/>
      </c>
      <c r="M4092" s="37" t="inlineStr">
        <is>
          <t>Modificada</t>
        </is>
      </c>
    </row>
    <row r="4093">
      <c r="A4093" s="33" t="n">
        <v>4094</v>
      </c>
      <c r="B4093" t="inlineStr">
        <is>
          <t>A-497__40</t>
        </is>
      </c>
      <c r="C4093" s="1" t="n">
        <v>37.2675608688</v>
      </c>
      <c r="D4093" s="1" t="n">
        <v>-6.9657946726</v>
      </c>
      <c r="E4093" s="3" t="n">
        <v>2</v>
      </c>
      <c r="F4093" s="2" t="n">
        <v>4</v>
      </c>
      <c r="G4093" s="4" t="n">
        <v>2</v>
      </c>
      <c r="H4093" s="13" t="n">
        <v>3</v>
      </c>
      <c r="I4093" s="34" t="n">
        <v>4</v>
      </c>
      <c r="J4093" s="37" t="n">
        <v>4</v>
      </c>
      <c r="K4093" s="2" t="inlineStr">
        <is>
          <t>marker_813_940280.png</t>
        </is>
      </c>
      <c r="L4093" s="36">
        <f>HYPERLINK("NoConsenso\" &amp; K4093, "Ver Imagen")</f>
        <v/>
      </c>
      <c r="M4093" s="37" t="inlineStr">
        <is>
          <t>Modificada</t>
        </is>
      </c>
    </row>
    <row r="4094">
      <c r="A4094" s="33" t="n">
        <v>4095</v>
      </c>
      <c r="B4094" t="inlineStr">
        <is>
          <t>A-497__36</t>
        </is>
      </c>
      <c r="C4094" s="1" t="n">
        <v>37.2675354141</v>
      </c>
      <c r="D4094" s="1" t="n">
        <v>-6.96477474887</v>
      </c>
      <c r="E4094" s="3" t="n">
        <v>2</v>
      </c>
      <c r="F4094" s="2" t="n">
        <v>4</v>
      </c>
      <c r="G4094" s="4" t="n">
        <v>2</v>
      </c>
      <c r="H4094" s="13" t="n">
        <v>3</v>
      </c>
      <c r="I4094" s="34" t="n">
        <v>3</v>
      </c>
      <c r="J4094" s="35" t="n">
        <v>3</v>
      </c>
      <c r="K4094" s="2" t="inlineStr">
        <is>
          <t>marker_181_940322.png</t>
        </is>
      </c>
      <c r="L4094" s="36">
        <f>HYPERLINK("NoConsenso\" &amp; K4094, "Ver Imagen")</f>
        <v/>
      </c>
      <c r="M4094" t="inlineStr">
        <is>
          <t>Mediana</t>
        </is>
      </c>
    </row>
    <row r="4095">
      <c r="A4095" s="33" t="n">
        <v>4096</v>
      </c>
      <c r="B4095" t="inlineStr">
        <is>
          <t>A-497__21</t>
        </is>
      </c>
      <c r="C4095" s="1" t="n">
        <v>37.2674357363</v>
      </c>
      <c r="D4095" s="1" t="n">
        <v>-6.9609774125</v>
      </c>
      <c r="E4095" s="3" t="n">
        <v>1</v>
      </c>
      <c r="F4095" s="2" t="n">
        <v>3</v>
      </c>
      <c r="G4095" s="4" t="n">
        <v>2</v>
      </c>
      <c r="H4095" s="13" t="n">
        <v>2</v>
      </c>
      <c r="I4095" s="34" t="n">
        <v>2</v>
      </c>
      <c r="J4095" s="35" t="n">
        <v>2</v>
      </c>
      <c r="K4095" s="2" t="inlineStr">
        <is>
          <t>marker_934_943767.png</t>
        </is>
      </c>
      <c r="L4095" s="36">
        <f>HYPERLINK("NoConsenso\" &amp; K4095, "Ver Imagen")</f>
        <v/>
      </c>
      <c r="M4095" t="inlineStr">
        <is>
          <t>Mediana</t>
        </is>
      </c>
    </row>
    <row r="4096">
      <c r="A4096" s="33" t="n">
        <v>4097</v>
      </c>
      <c r="B4096" t="inlineStr">
        <is>
          <t>A-497__4</t>
        </is>
      </c>
      <c r="C4096" s="1" t="n">
        <v>37.2670411948</v>
      </c>
      <c r="D4096" s="1" t="n">
        <v>-6.95723291208</v>
      </c>
      <c r="E4096" s="3" t="n">
        <v>2</v>
      </c>
      <c r="F4096" s="2" t="n">
        <v>2</v>
      </c>
      <c r="G4096" s="4" t="n">
        <v>4</v>
      </c>
      <c r="H4096" s="13" t="n">
        <v>1</v>
      </c>
      <c r="I4096" s="34" t="n">
        <v>1</v>
      </c>
      <c r="J4096" s="35" t="n">
        <v>2</v>
      </c>
      <c r="K4096" s="2" t="inlineStr">
        <is>
          <t>marker_886_944040.png</t>
        </is>
      </c>
      <c r="L4096" s="36">
        <f>HYPERLINK("NoConsenso\" &amp; K4096, "Ver Imagen")</f>
        <v/>
      </c>
      <c r="M4096" t="inlineStr">
        <is>
          <t>Mediana</t>
        </is>
      </c>
    </row>
    <row r="4097">
      <c r="A4097" s="33" t="n">
        <v>4098</v>
      </c>
      <c r="B4097" t="inlineStr">
        <is>
          <t>A-5050__165</t>
        </is>
      </c>
      <c r="C4097" s="1" t="n">
        <v>37.1916270062</v>
      </c>
      <c r="D4097" s="1" t="n">
        <v>-6.99228406273</v>
      </c>
      <c r="E4097" s="3" t="n">
        <v>2</v>
      </c>
      <c r="F4097" s="2" t="n">
        <v>3</v>
      </c>
      <c r="G4097" s="4" t="n">
        <v>4</v>
      </c>
      <c r="H4097" s="13" t="n">
        <v>2</v>
      </c>
      <c r="I4097" s="34" t="n">
        <v>2</v>
      </c>
      <c r="J4097" s="35" t="n">
        <v>2</v>
      </c>
      <c r="K4097" s="2" t="inlineStr">
        <is>
          <t>marker_115_944341.png</t>
        </is>
      </c>
      <c r="L4097" s="36">
        <f>HYPERLINK("NoConsenso\" &amp; K4097, "Ver Imagen")</f>
        <v/>
      </c>
      <c r="M4097" t="inlineStr">
        <is>
          <t>Mediana</t>
        </is>
      </c>
    </row>
    <row r="4098">
      <c r="A4098" s="33" t="n">
        <v>4099</v>
      </c>
      <c r="B4098" t="inlineStr">
        <is>
          <t>A-5050__164</t>
        </is>
      </c>
      <c r="C4098" s="1" t="n">
        <v>37.1917155408</v>
      </c>
      <c r="D4098" s="1" t="n">
        <v>-6.99246925669</v>
      </c>
      <c r="E4098" s="3" t="n">
        <v>2</v>
      </c>
      <c r="F4098" s="2" t="n">
        <v>3</v>
      </c>
      <c r="G4098" s="4" t="n">
        <v>4</v>
      </c>
      <c r="H4098" s="13" t="n">
        <v>2</v>
      </c>
      <c r="I4098" s="34" t="n">
        <v>1</v>
      </c>
      <c r="J4098" s="35" t="n">
        <v>2</v>
      </c>
      <c r="K4098" s="2" t="inlineStr">
        <is>
          <t>marker_175_944349.png</t>
        </is>
      </c>
      <c r="L4098" s="36">
        <f>HYPERLINK("NoConsenso\" &amp; K4098, "Ver Imagen")</f>
        <v/>
      </c>
      <c r="M4098" t="inlineStr">
        <is>
          <t>Mediana</t>
        </is>
      </c>
    </row>
    <row r="4099">
      <c r="A4099" s="33" t="n">
        <v>4100</v>
      </c>
      <c r="B4099" t="inlineStr">
        <is>
          <t>A-5050__160</t>
        </is>
      </c>
      <c r="C4099" s="1" t="n">
        <v>37.1921465161</v>
      </c>
      <c r="D4099" s="1" t="n">
        <v>-6.9933660973</v>
      </c>
      <c r="E4099" s="3" t="n">
        <v>2</v>
      </c>
      <c r="F4099" s="2" t="n">
        <v>3</v>
      </c>
      <c r="G4099" s="4" t="n">
        <v>4</v>
      </c>
      <c r="H4099" s="13" t="n">
        <v>2</v>
      </c>
      <c r="I4099" s="34" t="n">
        <v>1</v>
      </c>
      <c r="J4099" s="35" t="n">
        <v>2</v>
      </c>
      <c r="K4099" s="2" t="inlineStr">
        <is>
          <t>marker_762_944692.png</t>
        </is>
      </c>
      <c r="L4099" s="36">
        <f>HYPERLINK("NoConsenso\" &amp; K4099, "Ver Imagen")</f>
        <v/>
      </c>
      <c r="M4099" t="inlineStr">
        <is>
          <t>Mediana</t>
        </is>
      </c>
    </row>
    <row r="4100">
      <c r="A4100" s="33" t="n">
        <v>4101</v>
      </c>
      <c r="B4100" t="inlineStr">
        <is>
          <t>A-5050__158</t>
        </is>
      </c>
      <c r="C4100" s="1" t="n">
        <v>37.1923441664</v>
      </c>
      <c r="D4100" s="1" t="n">
        <v>-6.99378211061</v>
      </c>
      <c r="E4100" s="3" t="n">
        <v>2</v>
      </c>
      <c r="F4100" s="2" t="n">
        <v>3</v>
      </c>
      <c r="G4100" s="4" t="n">
        <v>4</v>
      </c>
      <c r="H4100" s="13" t="n">
        <v>3</v>
      </c>
      <c r="I4100" s="34" t="n">
        <v>3</v>
      </c>
      <c r="J4100" s="35" t="n">
        <v>3</v>
      </c>
      <c r="K4100" s="2" t="inlineStr">
        <is>
          <t>marker_341_944952.png</t>
        </is>
      </c>
      <c r="L4100" s="36">
        <f>HYPERLINK("NoConsenso\" &amp; K4100, "Ver Imagen")</f>
        <v/>
      </c>
      <c r="M4100" t="inlineStr">
        <is>
          <t>Mediana</t>
        </is>
      </c>
    </row>
    <row r="4101">
      <c r="A4101" s="33" t="n">
        <v>4102</v>
      </c>
      <c r="B4101" t="inlineStr">
        <is>
          <t>A-5050__102</t>
        </is>
      </c>
      <c r="C4101" s="1" t="n">
        <v>37.1975939065</v>
      </c>
      <c r="D4101" s="1" t="n">
        <v>-7.00632487291</v>
      </c>
      <c r="E4101" s="3" t="n">
        <v>2</v>
      </c>
      <c r="F4101" s="2" t="n">
        <v>3</v>
      </c>
      <c r="G4101" s="4" t="n">
        <v>4</v>
      </c>
      <c r="H4101" s="13" t="n">
        <v>2</v>
      </c>
      <c r="I4101" s="34" t="n">
        <v>2</v>
      </c>
      <c r="J4101" s="35" t="n">
        <v>2</v>
      </c>
      <c r="K4101" s="2" t="inlineStr">
        <is>
          <t>marker_537_946781.png</t>
        </is>
      </c>
      <c r="L4101" s="36">
        <f>HYPERLINK("NoConsenso\" &amp; K4101, "Ver Imagen")</f>
        <v/>
      </c>
      <c r="M4101" t="inlineStr">
        <is>
          <t>Mediana</t>
        </is>
      </c>
    </row>
    <row r="4102">
      <c r="A4102" s="33" t="n">
        <v>4103</v>
      </c>
      <c r="B4102" t="inlineStr">
        <is>
          <t>A-5050__54</t>
        </is>
      </c>
      <c r="C4102" s="1" t="n">
        <v>37.2034329715</v>
      </c>
      <c r="D4102" s="1" t="n">
        <v>-7.0160130132</v>
      </c>
      <c r="E4102" s="3" t="n">
        <v>2</v>
      </c>
      <c r="F4102" s="2" t="n">
        <v>3</v>
      </c>
      <c r="G4102" s="4" t="n">
        <v>4</v>
      </c>
      <c r="H4102" s="13" t="n">
        <v>3</v>
      </c>
      <c r="I4102" s="34" t="n">
        <v>4</v>
      </c>
      <c r="J4102" s="37" t="n">
        <v>4</v>
      </c>
      <c r="K4102" s="2" t="inlineStr">
        <is>
          <t>marker_880_949118.png</t>
        </is>
      </c>
      <c r="L4102" s="36">
        <f>HYPERLINK("NoConsenso\" &amp; K4102, "Ver Imagen")</f>
        <v/>
      </c>
      <c r="M4102" s="37" t="inlineStr">
        <is>
          <t>Modificada</t>
        </is>
      </c>
    </row>
    <row r="4103">
      <c r="A4103" s="33" t="n">
        <v>4104</v>
      </c>
      <c r="B4103" t="inlineStr">
        <is>
          <t>A-5050__51</t>
        </is>
      </c>
      <c r="C4103" s="1" t="n">
        <v>37.2038393068</v>
      </c>
      <c r="D4103" s="1" t="n">
        <v>-7.0166422463</v>
      </c>
      <c r="E4103" s="3" t="n">
        <v>2</v>
      </c>
      <c r="F4103" s="2" t="n">
        <v>3</v>
      </c>
      <c r="G4103" s="4" t="n">
        <v>4</v>
      </c>
      <c r="H4103" s="13" t="n">
        <v>3</v>
      </c>
      <c r="I4103" s="34" t="n">
        <v>4</v>
      </c>
      <c r="J4103" s="37" t="n">
        <v>4</v>
      </c>
      <c r="K4103" s="2" t="inlineStr">
        <is>
          <t>marker_219_949147.png</t>
        </is>
      </c>
      <c r="L4103" s="36">
        <f>HYPERLINK("NoConsenso\" &amp; K4103, "Ver Imagen")</f>
        <v/>
      </c>
      <c r="M4103" s="37" t="inlineStr">
        <is>
          <t>Modificada</t>
        </is>
      </c>
    </row>
    <row r="4104">
      <c r="A4104" s="33" t="n">
        <v>4105</v>
      </c>
      <c r="B4104" t="inlineStr">
        <is>
          <t>A-5050__17</t>
        </is>
      </c>
      <c r="C4104" s="1" t="n">
        <v>37.2082001721</v>
      </c>
      <c r="D4104" s="1" t="n">
        <v>-7.0232265818</v>
      </c>
      <c r="E4104" s="3" t="n">
        <v>2</v>
      </c>
      <c r="F4104" s="2" t="n">
        <v>2</v>
      </c>
      <c r="G4104" s="4" t="n">
        <v>4</v>
      </c>
      <c r="H4104" s="13" t="n">
        <v>2</v>
      </c>
      <c r="I4104" s="34" t="n">
        <v>2</v>
      </c>
      <c r="J4104" s="35" t="n">
        <v>2</v>
      </c>
      <c r="K4104" s="2" t="inlineStr">
        <is>
          <t>marker_765_949525.png</t>
        </is>
      </c>
      <c r="L4104" s="36">
        <f>HYPERLINK("NoConsenso\" &amp; K4104, "Ver Imagen")</f>
        <v/>
      </c>
      <c r="M4104" t="inlineStr">
        <is>
          <t>Mediana</t>
        </is>
      </c>
    </row>
    <row r="4105">
      <c r="A4105" s="33" t="n">
        <v>4106</v>
      </c>
      <c r="B4105" t="inlineStr">
        <is>
          <t>A-5052__36</t>
        </is>
      </c>
      <c r="C4105" s="1" t="n">
        <v>37.2178998498</v>
      </c>
      <c r="D4105" s="1" t="n">
        <v>-7.11698312119</v>
      </c>
      <c r="E4105" s="3" t="n">
        <v>3</v>
      </c>
      <c r="F4105" s="2" t="n">
        <v>1</v>
      </c>
      <c r="G4105" s="4" t="n">
        <v>2</v>
      </c>
      <c r="H4105" s="13" t="n">
        <v>2</v>
      </c>
      <c r="I4105" s="34" t="n">
        <v>1</v>
      </c>
      <c r="J4105" s="35" t="n">
        <v>2</v>
      </c>
      <c r="K4105" s="2" t="inlineStr">
        <is>
          <t>marker_506_956756.png</t>
        </is>
      </c>
      <c r="L4105" s="36">
        <f>HYPERLINK("NoConsenso\" &amp; K4105, "Ver Imagen")</f>
        <v/>
      </c>
      <c r="M4105" t="inlineStr">
        <is>
          <t>Mediana</t>
        </is>
      </c>
    </row>
    <row r="4106">
      <c r="A4106" s="33" t="n">
        <v>4107</v>
      </c>
      <c r="B4106" t="inlineStr">
        <is>
          <t>A-5052__272</t>
        </is>
      </c>
      <c r="C4106" s="1" t="n">
        <v>37.2117770102</v>
      </c>
      <c r="D4106" s="1" t="n">
        <v>-7.05845038952</v>
      </c>
      <c r="E4106" s="3" t="n">
        <v>2</v>
      </c>
      <c r="F4106" s="2" t="n">
        <v>4</v>
      </c>
      <c r="G4106" s="4" t="n">
        <v>3</v>
      </c>
      <c r="H4106" s="13" t="n">
        <v>3</v>
      </c>
      <c r="I4106" s="34" t="n">
        <v>4</v>
      </c>
      <c r="J4106" s="35" t="n">
        <v>3</v>
      </c>
      <c r="K4106" s="2" t="inlineStr">
        <is>
          <t>marker_917_960349.png</t>
        </is>
      </c>
      <c r="L4106" s="36">
        <f>HYPERLINK("NoConsenso\" &amp; K4106, "Ver Imagen")</f>
        <v/>
      </c>
      <c r="M4106" t="inlineStr">
        <is>
          <t>Mediana</t>
        </is>
      </c>
    </row>
    <row r="4107">
      <c r="A4107" s="33" t="n">
        <v>4108</v>
      </c>
      <c r="B4107" t="inlineStr">
        <is>
          <t>A-5052__292</t>
        </is>
      </c>
      <c r="C4107" s="1" t="n">
        <v>37.2108546744</v>
      </c>
      <c r="D4107" s="1" t="n">
        <v>-7.05356630981</v>
      </c>
      <c r="E4107" s="3" t="n">
        <v>2</v>
      </c>
      <c r="F4107" s="2" t="n">
        <v>3</v>
      </c>
      <c r="G4107" s="4" t="n">
        <v>4</v>
      </c>
      <c r="H4107" s="13" t="n">
        <v>3</v>
      </c>
      <c r="I4107" s="34" t="n">
        <v>3</v>
      </c>
      <c r="J4107" s="35" t="n">
        <v>3</v>
      </c>
      <c r="K4107" s="2" t="inlineStr">
        <is>
          <t>marker_618_960728.png</t>
        </is>
      </c>
      <c r="L4107" s="36">
        <f>HYPERLINK("NoConsenso\" &amp; K4107, "Ver Imagen")</f>
        <v/>
      </c>
      <c r="M4107" t="inlineStr">
        <is>
          <t>Mediana</t>
        </is>
      </c>
    </row>
    <row r="4108">
      <c r="A4108" s="33" t="n">
        <v>4109</v>
      </c>
      <c r="B4108" t="inlineStr">
        <is>
          <t>A-5052__306</t>
        </is>
      </c>
      <c r="C4108" s="1" t="n">
        <v>37.2112942151</v>
      </c>
      <c r="D4108" s="1" t="n">
        <v>-7.05017618011</v>
      </c>
      <c r="E4108" s="3" t="n">
        <v>2</v>
      </c>
      <c r="F4108" s="2" t="n">
        <v>4</v>
      </c>
      <c r="G4108" s="4" t="n">
        <v>3</v>
      </c>
      <c r="H4108" s="13" t="n">
        <v>3</v>
      </c>
      <c r="I4108" s="34" t="n">
        <v>3</v>
      </c>
      <c r="J4108" s="35" t="n">
        <v>3</v>
      </c>
      <c r="K4108" s="2" t="inlineStr">
        <is>
          <t>marker_792_961038.png</t>
        </is>
      </c>
      <c r="L4108" s="36">
        <f>HYPERLINK("NoConsenso\" &amp; K4108, "Ver Imagen")</f>
        <v/>
      </c>
      <c r="M4108" t="inlineStr">
        <is>
          <t>Mediana</t>
        </is>
      </c>
    </row>
    <row r="4109">
      <c r="A4109" s="33" t="n">
        <v>4110</v>
      </c>
      <c r="B4109" t="inlineStr">
        <is>
          <t>A-5052__313</t>
        </is>
      </c>
      <c r="C4109" s="1" t="n">
        <v>37.2117610015</v>
      </c>
      <c r="D4109" s="1" t="n">
        <v>-7.04848987923</v>
      </c>
      <c r="E4109" s="3" t="n">
        <v>2</v>
      </c>
      <c r="F4109" s="2" t="n">
        <v>2</v>
      </c>
      <c r="G4109" s="4" t="n">
        <v>4</v>
      </c>
      <c r="H4109" s="13" t="n">
        <v>2</v>
      </c>
      <c r="I4109" s="34" t="n">
        <v>2</v>
      </c>
      <c r="J4109" s="35" t="n">
        <v>2</v>
      </c>
      <c r="K4109" s="2" t="inlineStr">
        <is>
          <t>marker_739_961156.png</t>
        </is>
      </c>
      <c r="L4109" s="36">
        <f>HYPERLINK("NoConsenso\" &amp; K4109, "Ver Imagen")</f>
        <v/>
      </c>
      <c r="M4109" t="inlineStr">
        <is>
          <t>Mediana</t>
        </is>
      </c>
    </row>
    <row r="4110">
      <c r="A4110" s="33" t="n">
        <v>4111</v>
      </c>
      <c r="B4110" t="inlineStr">
        <is>
          <t>A-5052__386</t>
        </is>
      </c>
      <c r="C4110" s="1" t="n">
        <v>37.2060678097</v>
      </c>
      <c r="D4110" s="1" t="n">
        <v>-7.03152586362</v>
      </c>
      <c r="E4110" s="3" t="n">
        <v>2</v>
      </c>
      <c r="F4110" s="2" t="n">
        <v>3</v>
      </c>
      <c r="G4110" s="4" t="n">
        <v>4</v>
      </c>
      <c r="H4110" s="13" t="n">
        <v>2</v>
      </c>
      <c r="I4110" s="34" t="n">
        <v>3</v>
      </c>
      <c r="J4110" s="35" t="n">
        <v>3</v>
      </c>
      <c r="K4110" s="2" t="inlineStr">
        <is>
          <t>marker_149_962537.png</t>
        </is>
      </c>
      <c r="L4110" s="36">
        <f>HYPERLINK("NoConsenso\" &amp; K4110, "Ver Imagen")</f>
        <v/>
      </c>
      <c r="M4110" t="inlineStr">
        <is>
          <t>Mediana</t>
        </is>
      </c>
    </row>
    <row r="4111">
      <c r="A4111" s="33" t="n">
        <v>4112</v>
      </c>
      <c r="B4111" t="inlineStr">
        <is>
          <t>A-5052__401</t>
        </is>
      </c>
      <c r="C4111" s="1" t="n">
        <v>37.2047080083</v>
      </c>
      <c r="D4111" s="1" t="n">
        <v>-7.02820765062</v>
      </c>
      <c r="E4111" s="3" t="n">
        <v>2</v>
      </c>
      <c r="F4111" s="2" t="n">
        <v>3</v>
      </c>
      <c r="G4111" s="4" t="n">
        <v>4</v>
      </c>
      <c r="H4111" s="13" t="n">
        <v>3</v>
      </c>
      <c r="I4111" s="34" t="n">
        <v>3</v>
      </c>
      <c r="J4111" s="35" t="n">
        <v>3</v>
      </c>
      <c r="K4111" s="2" t="inlineStr">
        <is>
          <t>marker_849_962677.png</t>
        </is>
      </c>
      <c r="L4111" s="36">
        <f>HYPERLINK("NoConsenso\" &amp; K4111, "Ver Imagen")</f>
        <v/>
      </c>
      <c r="M4111" t="inlineStr">
        <is>
          <t>Mediana</t>
        </is>
      </c>
    </row>
    <row r="4112">
      <c r="A4112" s="33" t="n">
        <v>4113</v>
      </c>
      <c r="B4112" t="inlineStr">
        <is>
          <t>A-5052__447</t>
        </is>
      </c>
      <c r="C4112" s="1" t="n">
        <v>37.2007476903</v>
      </c>
      <c r="D4112" s="1" t="n">
        <v>-7.01764312312</v>
      </c>
      <c r="E4112" s="3" t="n">
        <v>1</v>
      </c>
      <c r="F4112" s="2" t="n">
        <v>3</v>
      </c>
      <c r="G4112" s="4" t="n">
        <v>2</v>
      </c>
      <c r="H4112" s="13" t="n">
        <v>2</v>
      </c>
      <c r="I4112" s="34" t="n">
        <v>1</v>
      </c>
      <c r="J4112" s="35" t="n">
        <v>2</v>
      </c>
      <c r="K4112" s="2" t="inlineStr">
        <is>
          <t>marker_414_963147.png</t>
        </is>
      </c>
      <c r="L4112" s="36">
        <f>HYPERLINK("NoConsenso\" &amp; K4112, "Ver Imagen")</f>
        <v/>
      </c>
      <c r="M4112" t="inlineStr">
        <is>
          <t>Mediana</t>
        </is>
      </c>
    </row>
    <row r="4113">
      <c r="A4113" s="33" t="n">
        <v>4114</v>
      </c>
      <c r="B4113" t="inlineStr">
        <is>
          <t>A-5053__381</t>
        </is>
      </c>
      <c r="C4113" s="1" t="n">
        <v>37.2884389569</v>
      </c>
      <c r="D4113" s="1" t="n">
        <v>-7.14147154412</v>
      </c>
      <c r="E4113" s="3" t="n">
        <v>2</v>
      </c>
      <c r="F4113" s="2" t="n">
        <v>4</v>
      </c>
      <c r="G4113" s="4" t="n">
        <v>3</v>
      </c>
      <c r="H4113" s="13" t="n">
        <v>3</v>
      </c>
      <c r="I4113" s="34" t="n">
        <v>4</v>
      </c>
      <c r="J4113" s="35" t="n">
        <v>3</v>
      </c>
      <c r="K4113" s="2" t="inlineStr">
        <is>
          <t>marker_163_963839.png</t>
        </is>
      </c>
      <c r="L4113" s="36">
        <f>HYPERLINK("NoConsenso\" &amp; K4113, "Ver Imagen")</f>
        <v/>
      </c>
      <c r="M4113" t="inlineStr">
        <is>
          <t>Mediana</t>
        </is>
      </c>
    </row>
    <row r="4114">
      <c r="A4114" s="33" t="n">
        <v>4115</v>
      </c>
      <c r="B4114" t="inlineStr">
        <is>
          <t>A-5053__380</t>
        </is>
      </c>
      <c r="C4114" s="1" t="n">
        <v>37.2882996341</v>
      </c>
      <c r="D4114" s="1" t="n">
        <v>-7.14167918192</v>
      </c>
      <c r="E4114" s="3" t="n">
        <v>2</v>
      </c>
      <c r="F4114" s="2" t="n">
        <v>4</v>
      </c>
      <c r="G4114" s="4" t="n">
        <v>3</v>
      </c>
      <c r="H4114" s="13" t="n">
        <v>3</v>
      </c>
      <c r="I4114" s="34" t="n">
        <v>4</v>
      </c>
      <c r="J4114" s="35" t="n">
        <v>3</v>
      </c>
      <c r="K4114" s="2" t="inlineStr">
        <is>
          <t>marker_867_963850.png</t>
        </is>
      </c>
      <c r="L4114" s="36">
        <f>HYPERLINK("NoConsenso\" &amp; K4114, "Ver Imagen")</f>
        <v/>
      </c>
      <c r="M4114" t="inlineStr">
        <is>
          <t>Mediana</t>
        </is>
      </c>
    </row>
    <row r="4115">
      <c r="A4115" s="33" t="n">
        <v>4116</v>
      </c>
      <c r="B4115" t="inlineStr">
        <is>
          <t>A-5053__379</t>
        </is>
      </c>
      <c r="C4115" s="1" t="n">
        <v>37.2881220667</v>
      </c>
      <c r="D4115" s="1" t="n">
        <v>-7.14173698724</v>
      </c>
      <c r="E4115" s="3" t="n">
        <v>2</v>
      </c>
      <c r="F4115" s="2" t="n">
        <v>4</v>
      </c>
      <c r="G4115" s="4" t="n">
        <v>3</v>
      </c>
      <c r="H4115" s="13" t="n">
        <v>3</v>
      </c>
      <c r="I4115" s="34" t="n">
        <v>3</v>
      </c>
      <c r="J4115" s="35" t="n">
        <v>3</v>
      </c>
      <c r="K4115" s="2" t="inlineStr">
        <is>
          <t>marker_556_963863.png</t>
        </is>
      </c>
      <c r="L4115" s="36">
        <f>HYPERLINK("NoConsenso\" &amp; K4115, "Ver Imagen")</f>
        <v/>
      </c>
      <c r="M4115" t="inlineStr">
        <is>
          <t>Mediana</t>
        </is>
      </c>
    </row>
    <row r="4116">
      <c r="A4116" s="33" t="n">
        <v>4117</v>
      </c>
      <c r="B4116" t="inlineStr">
        <is>
          <t>A-5053__361</t>
        </is>
      </c>
      <c r="C4116" s="1" t="n">
        <v>37.2851298169</v>
      </c>
      <c r="D4116" s="1" t="n">
        <v>-7.14292231496</v>
      </c>
      <c r="E4116" s="3" t="n">
        <v>2</v>
      </c>
      <c r="F4116" s="2" t="n">
        <v>4</v>
      </c>
      <c r="G4116" s="4" t="n">
        <v>3</v>
      </c>
      <c r="H4116" s="13" t="n">
        <v>2</v>
      </c>
      <c r="I4116" s="34" t="n">
        <v>3</v>
      </c>
      <c r="J4116" s="35" t="n">
        <v>3</v>
      </c>
      <c r="K4116" s="2" t="inlineStr">
        <is>
          <t>marker_101_964051.png</t>
        </is>
      </c>
      <c r="L4116" s="36">
        <f>HYPERLINK("NoConsenso\" &amp; K4116, "Ver Imagen")</f>
        <v/>
      </c>
      <c r="M4116" t="inlineStr">
        <is>
          <t>Mediana</t>
        </is>
      </c>
    </row>
    <row r="4117">
      <c r="A4117" s="33" t="n">
        <v>4118</v>
      </c>
      <c r="B4117" t="inlineStr">
        <is>
          <t>A-5053__359</t>
        </is>
      </c>
      <c r="C4117" s="1" t="n">
        <v>37.2847787008</v>
      </c>
      <c r="D4117" s="1" t="n">
        <v>-7.14308285773</v>
      </c>
      <c r="E4117" s="3" t="n">
        <v>2</v>
      </c>
      <c r="F4117" s="2" t="n">
        <v>4</v>
      </c>
      <c r="G4117" s="4" t="n">
        <v>2</v>
      </c>
      <c r="H4117" s="13" t="n">
        <v>2</v>
      </c>
      <c r="I4117" s="34" t="n">
        <v>3</v>
      </c>
      <c r="J4117" s="35" t="n">
        <v>2</v>
      </c>
      <c r="K4117" s="2" t="inlineStr">
        <is>
          <t>marker_631_964077.png</t>
        </is>
      </c>
      <c r="L4117" s="36">
        <f>HYPERLINK("NoConsenso\" &amp; K4117, "Ver Imagen")</f>
        <v/>
      </c>
      <c r="M4117" t="inlineStr">
        <is>
          <t>Mediana</t>
        </is>
      </c>
    </row>
    <row r="4118">
      <c r="A4118" s="33" t="n">
        <v>4119</v>
      </c>
      <c r="B4118" t="inlineStr">
        <is>
          <t>A-5053__298</t>
        </is>
      </c>
      <c r="C4118" s="1" t="n">
        <v>37.2738713235</v>
      </c>
      <c r="D4118" s="1" t="n">
        <v>-7.14216858807</v>
      </c>
      <c r="E4118" s="3" t="n">
        <v>3</v>
      </c>
      <c r="F4118" s="2" t="n">
        <v>4</v>
      </c>
      <c r="G4118" s="4" t="n">
        <v>2</v>
      </c>
      <c r="H4118" s="13" t="n">
        <v>3</v>
      </c>
      <c r="I4118" s="34" t="n">
        <v>3</v>
      </c>
      <c r="J4118" s="35" t="n">
        <v>3</v>
      </c>
      <c r="K4118" s="2" t="inlineStr">
        <is>
          <t>marker_347_964884.png</t>
        </is>
      </c>
      <c r="L4118" s="36">
        <f>HYPERLINK("NoConsenso\" &amp; K4118, "Ver Imagen")</f>
        <v/>
      </c>
      <c r="M4118" t="inlineStr">
        <is>
          <t>Mediana</t>
        </is>
      </c>
    </row>
    <row r="4119">
      <c r="A4119" s="33" t="n">
        <v>4120</v>
      </c>
      <c r="B4119" t="inlineStr">
        <is>
          <t>A-5053__271</t>
        </is>
      </c>
      <c r="C4119" s="1" t="n">
        <v>37.2691980879</v>
      </c>
      <c r="D4119" s="1" t="n">
        <v>-7.13876805038</v>
      </c>
      <c r="E4119" s="3" t="n">
        <v>2</v>
      </c>
      <c r="F4119" s="2" t="n">
        <v>2</v>
      </c>
      <c r="G4119" s="4" t="n">
        <v>4</v>
      </c>
      <c r="H4119" s="13" t="n">
        <v>2</v>
      </c>
      <c r="I4119" s="34" t="n">
        <v>2</v>
      </c>
      <c r="J4119" s="35" t="n">
        <v>2</v>
      </c>
      <c r="K4119" s="2" t="inlineStr">
        <is>
          <t>marker_680_965139.png</t>
        </is>
      </c>
      <c r="L4119" s="36">
        <f>HYPERLINK("NoConsenso\" &amp; K4119, "Ver Imagen")</f>
        <v/>
      </c>
      <c r="M4119" t="inlineStr">
        <is>
          <t>Mediana</t>
        </is>
      </c>
    </row>
    <row r="4120">
      <c r="A4120" s="33" t="n">
        <v>4121</v>
      </c>
      <c r="B4120" t="inlineStr">
        <is>
          <t>A-5053__245</t>
        </is>
      </c>
      <c r="C4120" s="1" t="n">
        <v>37.2666732106</v>
      </c>
      <c r="D4120" s="1" t="n">
        <v>-7.13328695205</v>
      </c>
      <c r="E4120" s="3" t="n">
        <v>4</v>
      </c>
      <c r="F4120" s="2" t="n">
        <v>2</v>
      </c>
      <c r="G4120" s="4" t="n">
        <v>2</v>
      </c>
      <c r="H4120" s="13" t="n">
        <v>2</v>
      </c>
      <c r="I4120" s="34" t="n">
        <v>2</v>
      </c>
      <c r="J4120" s="35" t="n">
        <v>2</v>
      </c>
      <c r="K4120" s="2" t="inlineStr">
        <is>
          <t>marker_307_965455.png</t>
        </is>
      </c>
      <c r="L4120" s="36">
        <f>HYPERLINK("NoConsenso\" &amp; K4120, "Ver Imagen")</f>
        <v/>
      </c>
      <c r="M4120" t="inlineStr">
        <is>
          <t>Mediana</t>
        </is>
      </c>
    </row>
    <row r="4121">
      <c r="A4121" s="33" t="n">
        <v>4122</v>
      </c>
      <c r="B4121" t="inlineStr">
        <is>
          <t>A-5053__203</t>
        </is>
      </c>
      <c r="C4121" s="1" t="n">
        <v>37.2590618754</v>
      </c>
      <c r="D4121" s="1" t="n">
        <v>-7.12849630517</v>
      </c>
      <c r="E4121" s="3" t="n">
        <v>4</v>
      </c>
      <c r="F4121" s="2" t="n">
        <v>3</v>
      </c>
      <c r="G4121" s="4" t="n">
        <v>2</v>
      </c>
      <c r="H4121" s="13" t="n">
        <v>2</v>
      </c>
      <c r="I4121" s="34" t="n">
        <v>2</v>
      </c>
      <c r="J4121" s="35" t="n">
        <v>2</v>
      </c>
      <c r="K4121" s="2" t="inlineStr">
        <is>
          <t>marker_548_965860.png</t>
        </is>
      </c>
      <c r="L4121" s="36">
        <f>HYPERLINK("NoConsenso\" &amp; K4121, "Ver Imagen")</f>
        <v/>
      </c>
      <c r="M4121" t="inlineStr">
        <is>
          <t>Mediana</t>
        </is>
      </c>
    </row>
    <row r="4122">
      <c r="A4122" s="33" t="n">
        <v>4123</v>
      </c>
      <c r="B4122" t="inlineStr">
        <is>
          <t>A-495__51</t>
        </is>
      </c>
      <c r="C4122" s="1" t="n">
        <v>37.4404530679</v>
      </c>
      <c r="D4122" s="1" t="n">
        <v>-7.08859268385</v>
      </c>
      <c r="E4122" s="3" t="n">
        <v>4</v>
      </c>
      <c r="F4122" s="2" t="n">
        <v>4</v>
      </c>
      <c r="G4122" s="4" t="n">
        <v>2</v>
      </c>
      <c r="H4122" s="13" t="n">
        <v>3</v>
      </c>
      <c r="I4122" s="34" t="n">
        <v>3</v>
      </c>
      <c r="J4122" s="35" t="n">
        <v>3</v>
      </c>
      <c r="K4122" s="2" t="inlineStr">
        <is>
          <t>marker_853_381625.png</t>
        </is>
      </c>
      <c r="L4122" s="36">
        <f>HYPERLINK("NoConsenso\" &amp; K4122, "Ver Imagen")</f>
        <v/>
      </c>
      <c r="M4122" t="inlineStr">
        <is>
          <t>Mediana</t>
        </is>
      </c>
    </row>
    <row r="4123">
      <c r="A4123" s="33" t="n">
        <v>4124</v>
      </c>
      <c r="B4123" t="inlineStr">
        <is>
          <t>A-495__61</t>
        </is>
      </c>
      <c r="C4123" s="1" t="n">
        <v>37.4394066588</v>
      </c>
      <c r="D4123" s="1" t="n">
        <v>-7.08640329216</v>
      </c>
      <c r="E4123" s="3" t="n">
        <v>4</v>
      </c>
      <c r="F4123" s="2" t="n">
        <v>3</v>
      </c>
      <c r="G4123" s="4" t="n">
        <v>2</v>
      </c>
      <c r="H4123" s="13" t="n">
        <v>3</v>
      </c>
      <c r="I4123" s="34" t="n">
        <v>3</v>
      </c>
      <c r="J4123" s="35" t="n">
        <v>3</v>
      </c>
      <c r="K4123" s="2" t="inlineStr">
        <is>
          <t>marker_109_381719.png</t>
        </is>
      </c>
      <c r="L4123" s="36">
        <f>HYPERLINK("NoConsenso\" &amp; K4123, "Ver Imagen")</f>
        <v/>
      </c>
      <c r="M4123" t="inlineStr">
        <is>
          <t>Mediana</t>
        </is>
      </c>
    </row>
    <row r="4124">
      <c r="A4124" s="33" t="n">
        <v>4125</v>
      </c>
      <c r="B4124" t="inlineStr">
        <is>
          <t>A-495__84</t>
        </is>
      </c>
      <c r="C4124" s="1" t="n">
        <v>37.4374609787</v>
      </c>
      <c r="D4124" s="1" t="n">
        <v>-7.08116429735</v>
      </c>
      <c r="E4124" s="3" t="n">
        <v>2</v>
      </c>
      <c r="F4124" s="2" t="n">
        <v>3</v>
      </c>
      <c r="G4124" s="4" t="n">
        <v>4</v>
      </c>
      <c r="H4124" s="13" t="n">
        <v>2</v>
      </c>
      <c r="I4124" s="34" t="n">
        <v>3</v>
      </c>
      <c r="J4124" s="35" t="n">
        <v>3</v>
      </c>
      <c r="K4124" s="2" t="inlineStr">
        <is>
          <t>marker_227_381977.png</t>
        </is>
      </c>
      <c r="L4124" s="36">
        <f>HYPERLINK("NoConsenso\" &amp; K4124, "Ver Imagen")</f>
        <v/>
      </c>
      <c r="M4124" t="inlineStr">
        <is>
          <t>Mediana</t>
        </is>
      </c>
    </row>
    <row r="4125">
      <c r="A4125" s="33" t="n">
        <v>4126</v>
      </c>
      <c r="B4125" t="inlineStr">
        <is>
          <t>A-495__107</t>
        </is>
      </c>
      <c r="C4125" s="1" t="n">
        <v>37.4353961756</v>
      </c>
      <c r="D4125" s="1" t="n">
        <v>-7.07635035625</v>
      </c>
      <c r="E4125" s="3" t="n">
        <v>2</v>
      </c>
      <c r="F4125" s="2" t="n">
        <v>3</v>
      </c>
      <c r="G4125" s="4" t="n">
        <v>1</v>
      </c>
      <c r="H4125" s="13" t="n">
        <v>2</v>
      </c>
      <c r="I4125" s="34" t="n">
        <v>2</v>
      </c>
      <c r="J4125" s="35" t="n">
        <v>2</v>
      </c>
      <c r="K4125" s="2" t="inlineStr">
        <is>
          <t>marker_368_382240.png</t>
        </is>
      </c>
      <c r="L4125" s="36">
        <f>HYPERLINK("NoConsenso\" &amp; K4125, "Ver Imagen")</f>
        <v/>
      </c>
      <c r="M4125" t="inlineStr">
        <is>
          <t>Mediana</t>
        </is>
      </c>
    </row>
    <row r="4126">
      <c r="A4126" s="33" t="n">
        <v>4127</v>
      </c>
      <c r="B4126" t="inlineStr">
        <is>
          <t>A-495__147</t>
        </is>
      </c>
      <c r="C4126" s="1" t="n">
        <v>37.433716659</v>
      </c>
      <c r="D4126" s="1" t="n">
        <v>-7.06658755776</v>
      </c>
      <c r="E4126" s="3" t="n">
        <v>2</v>
      </c>
      <c r="F4126" s="2" t="n">
        <v>3</v>
      </c>
      <c r="G4126" s="4" t="n">
        <v>1</v>
      </c>
      <c r="H4126" s="13" t="n">
        <v>2</v>
      </c>
      <c r="I4126" s="34" t="n">
        <v>2</v>
      </c>
      <c r="J4126" s="35" t="n">
        <v>2</v>
      </c>
      <c r="K4126" s="2" t="inlineStr">
        <is>
          <t>marker_987_382654.png</t>
        </is>
      </c>
      <c r="L4126" s="36">
        <f>HYPERLINK("NoConsenso\" &amp; K4126, "Ver Imagen")</f>
        <v/>
      </c>
      <c r="M4126" t="inlineStr">
        <is>
          <t>Mediana</t>
        </is>
      </c>
    </row>
    <row r="4127">
      <c r="A4127" s="33" t="n">
        <v>4128</v>
      </c>
      <c r="B4127" t="inlineStr">
        <is>
          <t>A-495__160</t>
        </is>
      </c>
      <c r="C4127" s="1" t="n">
        <v>37.4324004344</v>
      </c>
      <c r="D4127" s="1" t="n">
        <v>-7.06372319226</v>
      </c>
      <c r="E4127" s="3" t="n">
        <v>2</v>
      </c>
      <c r="F4127" s="2" t="n">
        <v>3</v>
      </c>
      <c r="G4127" s="4" t="n">
        <v>1</v>
      </c>
      <c r="H4127" s="13" t="n">
        <v>2</v>
      </c>
      <c r="I4127" s="34" t="n">
        <v>2</v>
      </c>
      <c r="J4127" s="35" t="n">
        <v>2</v>
      </c>
      <c r="K4127" s="2" t="inlineStr">
        <is>
          <t>marker_565_382803.png</t>
        </is>
      </c>
      <c r="L4127" s="36">
        <f>HYPERLINK("NoConsenso\" &amp; K4127, "Ver Imagen")</f>
        <v/>
      </c>
      <c r="M4127" t="inlineStr">
        <is>
          <t>Mediana</t>
        </is>
      </c>
    </row>
    <row r="4128">
      <c r="A4128" s="33" t="n">
        <v>4129</v>
      </c>
      <c r="B4128" t="inlineStr">
        <is>
          <t>A-495_1__136</t>
        </is>
      </c>
      <c r="C4128" s="1" t="n">
        <v>37.4741448546</v>
      </c>
      <c r="D4128" s="1" t="n">
        <v>-7.12619107499</v>
      </c>
      <c r="E4128" s="3" t="n">
        <v>4</v>
      </c>
      <c r="F4128" s="2" t="n">
        <v>3</v>
      </c>
      <c r="G4128" s="4" t="n">
        <v>2</v>
      </c>
      <c r="H4128" s="13" t="n">
        <v>2</v>
      </c>
      <c r="I4128" s="34" t="n">
        <v>2</v>
      </c>
      <c r="J4128" s="35" t="n">
        <v>2</v>
      </c>
      <c r="K4128" s="2" t="inlineStr">
        <is>
          <t>marker_321_384413.png</t>
        </is>
      </c>
      <c r="L4128" s="36">
        <f>HYPERLINK("NoConsenso\" &amp; K4128, "Ver Imagen")</f>
        <v/>
      </c>
      <c r="M4128" t="inlineStr">
        <is>
          <t>Mediana</t>
        </is>
      </c>
    </row>
    <row r="4129">
      <c r="A4129" s="33" t="n">
        <v>4130</v>
      </c>
      <c r="B4129" t="inlineStr">
        <is>
          <t>A-495_1__3</t>
        </is>
      </c>
      <c r="C4129" s="1" t="n">
        <v>37.4486140361</v>
      </c>
      <c r="D4129" s="1" t="n">
        <v>-7.12679257117</v>
      </c>
      <c r="E4129" s="3" t="n">
        <v>2</v>
      </c>
      <c r="F4129" s="2" t="n">
        <v>3</v>
      </c>
      <c r="G4129" s="4" t="n">
        <v>4</v>
      </c>
      <c r="H4129" s="13" t="n">
        <v>3</v>
      </c>
      <c r="I4129" s="34" t="n">
        <v>3</v>
      </c>
      <c r="J4129" s="35" t="n">
        <v>3</v>
      </c>
      <c r="K4129" s="2" t="inlineStr">
        <is>
          <t>marker_340_386296.png</t>
        </is>
      </c>
      <c r="L4129" s="36">
        <f>HYPERLINK("NoConsenso\" &amp; K4129, "Ver Imagen")</f>
        <v/>
      </c>
      <c r="M4129" t="inlineStr">
        <is>
          <t>Mediana</t>
        </is>
      </c>
    </row>
    <row r="4130">
      <c r="A4130" s="33" t="n">
        <v>4131</v>
      </c>
      <c r="B4130" t="inlineStr">
        <is>
          <t>A-499__45</t>
        </is>
      </c>
      <c r="C4130" s="1" t="n">
        <v>37.4952757885</v>
      </c>
      <c r="D4130" s="1" t="n">
        <v>-7.27644438321</v>
      </c>
      <c r="E4130" s="3" t="n">
        <v>4</v>
      </c>
      <c r="F4130" s="2" t="n">
        <v>2</v>
      </c>
      <c r="G4130" s="4" t="n">
        <v>2</v>
      </c>
      <c r="H4130" s="13" t="n">
        <v>2</v>
      </c>
      <c r="I4130" s="34" t="n">
        <v>2</v>
      </c>
      <c r="J4130" s="35" t="n">
        <v>2</v>
      </c>
      <c r="K4130" s="2" t="inlineStr">
        <is>
          <t>marker_303_534812.png</t>
        </is>
      </c>
      <c r="L4130" s="36">
        <f>HYPERLINK("NoConsenso\" &amp; K4130, "Ver Imagen")</f>
        <v/>
      </c>
      <c r="M4130" t="inlineStr">
        <is>
          <t>Mediana</t>
        </is>
      </c>
    </row>
    <row r="4131">
      <c r="A4131" s="33" t="n">
        <v>4132</v>
      </c>
      <c r="B4131" t="inlineStr">
        <is>
          <t>A-499__111</t>
        </is>
      </c>
      <c r="C4131" s="1" t="n">
        <v>37.5009716544</v>
      </c>
      <c r="D4131" s="1" t="n">
        <v>-7.2667677661</v>
      </c>
      <c r="E4131" s="3" t="n">
        <v>3</v>
      </c>
      <c r="F4131" s="2" t="n">
        <v>1</v>
      </c>
      <c r="G4131" s="4" t="n">
        <v>2</v>
      </c>
      <c r="H4131" s="13" t="n">
        <v>1</v>
      </c>
      <c r="I4131" s="34" t="n">
        <v>1</v>
      </c>
      <c r="J4131" s="35" t="n">
        <v>1</v>
      </c>
      <c r="K4131" s="2" t="inlineStr">
        <is>
          <t>marker_548_793416.png</t>
        </is>
      </c>
      <c r="L4131" s="36">
        <f>HYPERLINK("NoConsenso\" &amp; K4131, "Ver Imagen")</f>
        <v/>
      </c>
      <c r="M4131" t="inlineStr">
        <is>
          <t>Mediana</t>
        </is>
      </c>
    </row>
    <row r="4132">
      <c r="A4132" s="33" t="n">
        <v>4133</v>
      </c>
      <c r="B4132" t="inlineStr">
        <is>
          <t>A-499__165</t>
        </is>
      </c>
      <c r="C4132" s="1" t="n">
        <v>37.5111839326</v>
      </c>
      <c r="D4132" s="1" t="n">
        <v>-7.26802653509</v>
      </c>
      <c r="E4132" s="3" t="n">
        <v>2</v>
      </c>
      <c r="F4132" s="2" t="n">
        <v>1</v>
      </c>
      <c r="G4132" s="4" t="n">
        <v>3</v>
      </c>
      <c r="H4132" s="13" t="n">
        <v>1</v>
      </c>
      <c r="I4132" s="34" t="n">
        <v>1</v>
      </c>
      <c r="J4132" s="35" t="n">
        <v>1</v>
      </c>
      <c r="K4132" s="2" t="inlineStr">
        <is>
          <t>marker_637_794689.png</t>
        </is>
      </c>
      <c r="L4132" s="36">
        <f>HYPERLINK("NoConsenso\" &amp; K4132, "Ver Imagen")</f>
        <v/>
      </c>
      <c r="M4132" t="inlineStr">
        <is>
          <t>Mediana</t>
        </is>
      </c>
    </row>
    <row r="4133">
      <c r="A4133" s="33" t="n">
        <v>4134</v>
      </c>
      <c r="B4133" t="inlineStr">
        <is>
          <t>A-499__166</t>
        </is>
      </c>
      <c r="C4133" s="1" t="n">
        <v>37.5114096858</v>
      </c>
      <c r="D4133" s="1" t="n">
        <v>-7.26812424395</v>
      </c>
      <c r="E4133" s="3" t="n">
        <v>2</v>
      </c>
      <c r="F4133" s="2" t="n">
        <v>1</v>
      </c>
      <c r="G4133" s="4" t="n">
        <v>3</v>
      </c>
      <c r="H4133" s="13" t="n">
        <v>1</v>
      </c>
      <c r="I4133" s="34" t="n">
        <v>1</v>
      </c>
      <c r="J4133" s="35" t="n">
        <v>1</v>
      </c>
      <c r="K4133" s="2" t="inlineStr">
        <is>
          <t>marker_271_794702.png</t>
        </is>
      </c>
      <c r="L4133" s="36">
        <f>HYPERLINK("NoConsenso\" &amp; K4133, "Ver Imagen")</f>
        <v/>
      </c>
      <c r="M4133" t="inlineStr">
        <is>
          <t>Mediana</t>
        </is>
      </c>
    </row>
    <row r="4134">
      <c r="A4134" s="33" t="n">
        <v>4135</v>
      </c>
      <c r="B4134" t="inlineStr">
        <is>
          <t>A-499__188</t>
        </is>
      </c>
      <c r="C4134" s="1" t="n">
        <v>37.5156046122</v>
      </c>
      <c r="D4134" s="1" t="n">
        <v>-7.26824560795</v>
      </c>
      <c r="E4134" s="3" t="n">
        <v>2</v>
      </c>
      <c r="F4134" s="2" t="n">
        <v>1</v>
      </c>
      <c r="G4134" s="4" t="n">
        <v>3</v>
      </c>
      <c r="H4134" s="13" t="n">
        <v>2</v>
      </c>
      <c r="I4134" s="34" t="n">
        <v>1</v>
      </c>
      <c r="J4134" s="37" t="n">
        <v>1</v>
      </c>
      <c r="K4134" s="2" t="inlineStr">
        <is>
          <t>marker_198_795779.png</t>
        </is>
      </c>
      <c r="L4134" s="36">
        <f>HYPERLINK("NoConsenso\" &amp; K4134, "Ver Imagen")</f>
        <v/>
      </c>
      <c r="M4134" s="37" t="inlineStr">
        <is>
          <t>Modificada</t>
        </is>
      </c>
    </row>
    <row r="4135">
      <c r="A4135" s="33" t="n">
        <v>4136</v>
      </c>
      <c r="B4135" t="inlineStr">
        <is>
          <t>A-499__196</t>
        </is>
      </c>
      <c r="C4135" s="1" t="n">
        <v>37.5166264947</v>
      </c>
      <c r="D4135" s="1" t="n">
        <v>-7.26659176607</v>
      </c>
      <c r="E4135" s="3" t="n">
        <v>2</v>
      </c>
      <c r="F4135" s="2" t="n">
        <v>1</v>
      </c>
      <c r="G4135" s="4" t="n">
        <v>3</v>
      </c>
      <c r="H4135" s="13" t="n">
        <v>1</v>
      </c>
      <c r="I4135" s="34" t="n">
        <v>1</v>
      </c>
      <c r="J4135" s="35" t="n">
        <v>1</v>
      </c>
      <c r="K4135" s="2" t="inlineStr">
        <is>
          <t>marker_366_795913.png</t>
        </is>
      </c>
      <c r="L4135" s="36">
        <f>HYPERLINK("NoConsenso\" &amp; K4135, "Ver Imagen")</f>
        <v/>
      </c>
      <c r="M4135" t="inlineStr">
        <is>
          <t>Mediana</t>
        </is>
      </c>
    </row>
    <row r="4136">
      <c r="A4136" s="33" t="n">
        <v>4137</v>
      </c>
      <c r="B4136" t="inlineStr">
        <is>
          <t>A-499__232</t>
        </is>
      </c>
      <c r="C4136" s="1" t="n">
        <v>37.5214024548</v>
      </c>
      <c r="D4136" s="1" t="n">
        <v>-7.25995736544</v>
      </c>
      <c r="E4136" s="3" t="n">
        <v>2</v>
      </c>
      <c r="F4136" s="2" t="n">
        <v>1</v>
      </c>
      <c r="G4136" s="4" t="n">
        <v>3</v>
      </c>
      <c r="H4136" s="13" t="n">
        <v>1</v>
      </c>
      <c r="I4136" s="34" t="n">
        <v>1</v>
      </c>
      <c r="J4136" s="35" t="n">
        <v>1</v>
      </c>
      <c r="K4136" s="2" t="inlineStr">
        <is>
          <t>marker_585_796669.png</t>
        </is>
      </c>
      <c r="L4136" s="36">
        <f>HYPERLINK("NoConsenso\" &amp; K4136, "Ver Imagen")</f>
        <v/>
      </c>
      <c r="M4136" t="inlineStr">
        <is>
          <t>Mediana</t>
        </is>
      </c>
    </row>
    <row r="4137">
      <c r="A4137" s="33" t="n">
        <v>4138</v>
      </c>
      <c r="B4137" t="inlineStr">
        <is>
          <t>A-499__235</t>
        </is>
      </c>
      <c r="C4137" s="1" t="n">
        <v>37.5219339301</v>
      </c>
      <c r="D4137" s="1" t="n">
        <v>-7.25959687495</v>
      </c>
      <c r="E4137" s="3" t="n">
        <v>2</v>
      </c>
      <c r="F4137" s="2" t="n">
        <v>1</v>
      </c>
      <c r="G4137" s="4" t="n">
        <v>3</v>
      </c>
      <c r="H4137" s="13" t="n">
        <v>2</v>
      </c>
      <c r="I4137" s="34" t="n">
        <v>1</v>
      </c>
      <c r="J4137" s="37" t="n">
        <v>1</v>
      </c>
      <c r="K4137" s="2" t="inlineStr">
        <is>
          <t>marker_142_796711.png</t>
        </is>
      </c>
      <c r="L4137" s="36">
        <f>HYPERLINK("NoConsenso\" &amp; K4137, "Ver Imagen")</f>
        <v/>
      </c>
      <c r="M4137" s="37" t="inlineStr">
        <is>
          <t>Modificada</t>
        </is>
      </c>
    </row>
    <row r="4138">
      <c r="A4138" s="33" t="n">
        <v>4139</v>
      </c>
      <c r="B4138" t="inlineStr">
        <is>
          <t>A-499__240</t>
        </is>
      </c>
      <c r="C4138" s="1" t="n">
        <v>37.5228959709</v>
      </c>
      <c r="D4138" s="1" t="n">
        <v>-7.25919965467</v>
      </c>
      <c r="E4138" s="3" t="n">
        <v>2</v>
      </c>
      <c r="F4138" s="2" t="n">
        <v>1</v>
      </c>
      <c r="G4138" s="4" t="n">
        <v>3</v>
      </c>
      <c r="H4138" s="13" t="n">
        <v>1</v>
      </c>
      <c r="I4138" s="34" t="n">
        <v>2</v>
      </c>
      <c r="J4138" s="35" t="n">
        <v>2</v>
      </c>
      <c r="K4138" s="2" t="inlineStr">
        <is>
          <t>marker_711_796871.png</t>
        </is>
      </c>
      <c r="L4138" s="36">
        <f>HYPERLINK("NoConsenso\" &amp; K4138, "Ver Imagen")</f>
        <v/>
      </c>
      <c r="M4138" t="inlineStr">
        <is>
          <t>Mediana</t>
        </is>
      </c>
    </row>
    <row r="4139">
      <c r="A4139" s="33" t="n">
        <v>4140</v>
      </c>
      <c r="B4139" t="inlineStr">
        <is>
          <t>A-499__266</t>
        </is>
      </c>
      <c r="C4139" s="1" t="n">
        <v>37.5268523561</v>
      </c>
      <c r="D4139" s="1" t="n">
        <v>-7.25505453511</v>
      </c>
      <c r="E4139" s="3" t="n">
        <v>2</v>
      </c>
      <c r="F4139" s="2" t="n">
        <v>1</v>
      </c>
      <c r="G4139" s="4" t="n">
        <v>3</v>
      </c>
      <c r="H4139" s="13" t="n">
        <v>1</v>
      </c>
      <c r="I4139" s="34" t="n">
        <v>1</v>
      </c>
      <c r="J4139" s="35" t="n">
        <v>1</v>
      </c>
      <c r="K4139" s="2" t="inlineStr">
        <is>
          <t>marker_556_797341.png</t>
        </is>
      </c>
      <c r="L4139" s="36">
        <f>HYPERLINK("NoConsenso\" &amp; K4139, "Ver Imagen")</f>
        <v/>
      </c>
      <c r="M4139" t="inlineStr">
        <is>
          <t>Mediana</t>
        </is>
      </c>
    </row>
    <row r="4140">
      <c r="A4140" s="33" t="n">
        <v>4141</v>
      </c>
      <c r="B4140" t="inlineStr">
        <is>
          <t>A-497__670</t>
        </is>
      </c>
      <c r="C4140" s="1" t="n">
        <v>37.1998794016</v>
      </c>
      <c r="D4140" s="1" t="n">
        <v>-6.9853686468</v>
      </c>
      <c r="E4140" s="3" t="n">
        <v>2</v>
      </c>
      <c r="F4140" s="2" t="n">
        <v>3</v>
      </c>
      <c r="G4140" s="4" t="n">
        <v>4</v>
      </c>
      <c r="H4140" s="13" t="n">
        <v>2</v>
      </c>
      <c r="I4140" s="34" t="n">
        <v>3</v>
      </c>
      <c r="J4140" s="35" t="n">
        <v>3</v>
      </c>
      <c r="K4140" s="2" t="inlineStr">
        <is>
          <t>marker_957_371025.png</t>
        </is>
      </c>
      <c r="L4140" s="36">
        <f>HYPERLINK("NoConsenso\" &amp; K4140, "Ver Imagen")</f>
        <v/>
      </c>
      <c r="M4140" t="inlineStr">
        <is>
          <t>Mediana</t>
        </is>
      </c>
    </row>
    <row r="4141">
      <c r="A4141" s="33" t="n">
        <v>4142</v>
      </c>
      <c r="B4141" t="inlineStr">
        <is>
          <t>A-497_2C__273</t>
        </is>
      </c>
      <c r="C4141" s="1" t="n">
        <v>37.2544758003</v>
      </c>
      <c r="D4141" s="1" t="n">
        <v>-7.01522936411</v>
      </c>
      <c r="E4141" s="3" t="n">
        <v>2</v>
      </c>
      <c r="F4141" s="2" t="n">
        <v>3</v>
      </c>
      <c r="G4141" s="4" t="n">
        <v>4</v>
      </c>
      <c r="H4141" s="13" t="n">
        <v>2</v>
      </c>
      <c r="I4141" s="34" t="n">
        <v>2</v>
      </c>
      <c r="J4141" s="35" t="n">
        <v>2</v>
      </c>
      <c r="K4141" s="2" t="inlineStr">
        <is>
          <t>marker_114_319772.png</t>
        </is>
      </c>
      <c r="L4141" s="36">
        <f>HYPERLINK("NoConsenso\" &amp; K4141, "Ver Imagen")</f>
        <v/>
      </c>
      <c r="M4141" t="inlineStr">
        <is>
          <t>Mediana</t>
        </is>
      </c>
    </row>
    <row r="4142">
      <c r="A4142" s="33" t="n">
        <v>4143</v>
      </c>
      <c r="B4142" t="inlineStr">
        <is>
          <t>A-497__563</t>
        </is>
      </c>
      <c r="C4142" s="1" t="n">
        <v>37.2042771314</v>
      </c>
      <c r="D4142" s="1" t="n">
        <v>-7.01186446553</v>
      </c>
      <c r="E4142" s="3" t="n">
        <v>2</v>
      </c>
      <c r="F4142" s="2" t="n">
        <v>4</v>
      </c>
      <c r="G4142" s="4" t="n">
        <v>4</v>
      </c>
      <c r="H4142" s="13" t="n">
        <v>3</v>
      </c>
      <c r="I4142" s="34" t="n">
        <v>4</v>
      </c>
      <c r="J4142" s="35" t="n">
        <v>4</v>
      </c>
      <c r="K4142" s="2" t="inlineStr">
        <is>
          <t>marker_835_372116.png</t>
        </is>
      </c>
      <c r="L4142" s="36">
        <f>HYPERLINK("NoConsenso\" &amp; K4142, "Ver Imagen")</f>
        <v/>
      </c>
      <c r="M4142" t="inlineStr">
        <is>
          <t>Mediana</t>
        </is>
      </c>
    </row>
    <row r="4143">
      <c r="A4143" s="33" t="n">
        <v>4144</v>
      </c>
      <c r="B4143" t="inlineStr">
        <is>
          <t>A-497__342</t>
        </is>
      </c>
      <c r="C4143" s="1" t="n">
        <v>37.2419537781</v>
      </c>
      <c r="D4143" s="1" t="n">
        <v>-7.01841279537</v>
      </c>
      <c r="E4143" s="3" t="n">
        <v>4</v>
      </c>
      <c r="F4143" s="2" t="n">
        <v>3</v>
      </c>
      <c r="G4143" s="4" t="n">
        <v>2</v>
      </c>
      <c r="H4143" s="13" t="n">
        <v>2</v>
      </c>
      <c r="I4143" s="34" t="n">
        <v>2</v>
      </c>
      <c r="J4143" s="35" t="n">
        <v>2</v>
      </c>
      <c r="K4143" s="2" t="inlineStr">
        <is>
          <t>marker_609_377750.png</t>
        </is>
      </c>
      <c r="L4143" s="36">
        <f>HYPERLINK("NoConsenso\" &amp; K4143, "Ver Imagen")</f>
        <v/>
      </c>
      <c r="M4143" t="inlineStr">
        <is>
          <t>Mediana</t>
        </is>
      </c>
    </row>
    <row r="4144">
      <c r="A4144" s="33" t="n">
        <v>4145</v>
      </c>
      <c r="B4144" t="inlineStr">
        <is>
          <t>A-497__177</t>
        </is>
      </c>
      <c r="C4144" s="1" t="n">
        <v>37.2653782949</v>
      </c>
      <c r="D4144" s="1" t="n">
        <v>-6.99613198015</v>
      </c>
      <c r="E4144" s="3" t="n">
        <v>2</v>
      </c>
      <c r="F4144" s="2" t="n">
        <v>3</v>
      </c>
      <c r="G4144" s="4" t="n">
        <v>1</v>
      </c>
      <c r="H4144" s="13" t="n">
        <v>2</v>
      </c>
      <c r="I4144" s="34" t="n">
        <v>1</v>
      </c>
      <c r="J4144" s="35" t="n">
        <v>2</v>
      </c>
      <c r="K4144" s="2" t="inlineStr">
        <is>
          <t>marker_912_379675.png</t>
        </is>
      </c>
      <c r="L4144" s="36">
        <f>HYPERLINK("NoConsenso\" &amp; K4144, "Ver Imagen")</f>
        <v/>
      </c>
      <c r="M4144" t="inlineStr">
        <is>
          <t>Mediana</t>
        </is>
      </c>
    </row>
    <row r="4145">
      <c r="A4145" s="33" t="n">
        <v>4146</v>
      </c>
      <c r="B4145" t="inlineStr">
        <is>
          <t>A-497__175</t>
        </is>
      </c>
      <c r="C4145" s="1" t="n">
        <v>37.2654682877</v>
      </c>
      <c r="D4145" s="1" t="n">
        <v>-6.99560992789</v>
      </c>
      <c r="E4145" s="3" t="n">
        <v>2</v>
      </c>
      <c r="F4145" s="2" t="n">
        <v>3</v>
      </c>
      <c r="G4145" s="4" t="n">
        <v>1</v>
      </c>
      <c r="H4145" s="13" t="n">
        <v>2</v>
      </c>
      <c r="I4145" s="34" t="n">
        <v>2</v>
      </c>
      <c r="J4145" s="35" t="n">
        <v>2</v>
      </c>
      <c r="K4145" s="2" t="inlineStr">
        <is>
          <t>marker_893_379698.png</t>
        </is>
      </c>
      <c r="L4145" s="36">
        <f>HYPERLINK("NoConsenso\" &amp; K4145, "Ver Imagen")</f>
        <v/>
      </c>
      <c r="M4145" t="inlineStr">
        <is>
          <t>Mediana</t>
        </is>
      </c>
    </row>
    <row r="4146">
      <c r="A4146" s="33" t="n">
        <v>4147</v>
      </c>
      <c r="B4146" t="inlineStr">
        <is>
          <t>A-490__17</t>
        </is>
      </c>
      <c r="C4146" s="1" t="n">
        <v>37.4469101342</v>
      </c>
      <c r="D4146" s="1" t="n">
        <v>-7.13049698055</v>
      </c>
      <c r="E4146" s="3" t="n">
        <v>2</v>
      </c>
      <c r="F4146" s="2" t="n">
        <v>4</v>
      </c>
      <c r="G4146" s="4" t="n">
        <v>3</v>
      </c>
      <c r="H4146" s="13" t="n">
        <v>3</v>
      </c>
      <c r="I4146" s="34" t="n">
        <v>3</v>
      </c>
      <c r="J4146" s="35" t="n">
        <v>3</v>
      </c>
      <c r="K4146" s="2" t="inlineStr">
        <is>
          <t>marker_949_730502.png</t>
        </is>
      </c>
      <c r="L4146" s="36">
        <f>HYPERLINK("NoConsenso\" &amp; K4146, "Ver Imagen")</f>
        <v/>
      </c>
      <c r="M4146" t="inlineStr">
        <is>
          <t>Mediana</t>
        </is>
      </c>
    </row>
    <row r="4147">
      <c r="A4147" s="33" t="n">
        <v>4148</v>
      </c>
      <c r="B4147" t="inlineStr">
        <is>
          <t>A-490__21</t>
        </is>
      </c>
      <c r="C4147" s="1" t="n">
        <v>37.4466928366</v>
      </c>
      <c r="D4147" s="1" t="n">
        <v>-7.13149375018</v>
      </c>
      <c r="E4147" s="3" t="n">
        <v>2</v>
      </c>
      <c r="F4147" s="2" t="n">
        <v>4</v>
      </c>
      <c r="G4147" s="4" t="n">
        <v>3</v>
      </c>
      <c r="H4147" s="13" t="n">
        <v>3</v>
      </c>
      <c r="I4147" s="34" t="n">
        <v>3</v>
      </c>
      <c r="J4147" s="35" t="n">
        <v>3</v>
      </c>
      <c r="K4147" s="2" t="inlineStr">
        <is>
          <t>marker_527_730685.png</t>
        </is>
      </c>
      <c r="L4147" s="36">
        <f>HYPERLINK("NoConsenso\" &amp; K4147, "Ver Imagen")</f>
        <v/>
      </c>
      <c r="M4147" t="inlineStr">
        <is>
          <t>Mediana</t>
        </is>
      </c>
    </row>
    <row r="4148">
      <c r="A4148" s="33" t="n">
        <v>4149</v>
      </c>
      <c r="B4148" t="inlineStr">
        <is>
          <t>A-490__32</t>
        </is>
      </c>
      <c r="C4148" s="1" t="n">
        <v>37.4462860037</v>
      </c>
      <c r="D4148" s="1" t="n">
        <v>-7.13425114353</v>
      </c>
      <c r="E4148" s="3" t="n">
        <v>2</v>
      </c>
      <c r="F4148" s="2" t="n">
        <v>4</v>
      </c>
      <c r="G4148" s="4" t="n">
        <v>3</v>
      </c>
      <c r="H4148" s="13" t="n">
        <v>3</v>
      </c>
      <c r="I4148" s="34" t="n">
        <v>3</v>
      </c>
      <c r="J4148" s="35" t="n">
        <v>3</v>
      </c>
      <c r="K4148" s="2" t="inlineStr">
        <is>
          <t>marker_517_730986.png</t>
        </is>
      </c>
      <c r="L4148" s="36">
        <f>HYPERLINK("NoConsenso\" &amp; K4148, "Ver Imagen")</f>
        <v/>
      </c>
      <c r="M4148" t="inlineStr">
        <is>
          <t>Mediana</t>
        </is>
      </c>
    </row>
    <row r="4149">
      <c r="A4149" s="33" t="n">
        <v>4150</v>
      </c>
      <c r="B4149" t="inlineStr">
        <is>
          <t>A-490__35</t>
        </is>
      </c>
      <c r="C4149" s="1" t="n">
        <v>37.4462140922</v>
      </c>
      <c r="D4149" s="1" t="n">
        <v>-7.13496879759</v>
      </c>
      <c r="E4149" s="3" t="n">
        <v>2</v>
      </c>
      <c r="F4149" s="2" t="n">
        <v>4</v>
      </c>
      <c r="G4149" s="4" t="n">
        <v>3</v>
      </c>
      <c r="H4149" s="13" t="n">
        <v>3</v>
      </c>
      <c r="I4149" s="34" t="n">
        <v>3</v>
      </c>
      <c r="J4149" s="35" t="n">
        <v>3</v>
      </c>
      <c r="K4149" s="2" t="inlineStr">
        <is>
          <t>marker_681_731056.png</t>
        </is>
      </c>
      <c r="L4149" s="36">
        <f>HYPERLINK("NoConsenso\" &amp; K4149, "Ver Imagen")</f>
        <v/>
      </c>
      <c r="M4149" t="inlineStr">
        <is>
          <t>Mediana</t>
        </is>
      </c>
    </row>
    <row r="4150">
      <c r="A4150" s="33" t="n">
        <v>4151</v>
      </c>
      <c r="B4150" t="inlineStr">
        <is>
          <t>A-490__38</t>
        </is>
      </c>
      <c r="C4150" s="1" t="n">
        <v>37.4461568406</v>
      </c>
      <c r="D4150" s="1" t="n">
        <v>-7.13570271563</v>
      </c>
      <c r="E4150" s="3" t="n">
        <v>2</v>
      </c>
      <c r="F4150" s="2" t="n">
        <v>4</v>
      </c>
      <c r="G4150" s="4" t="n">
        <v>3</v>
      </c>
      <c r="H4150" s="13" t="n">
        <v>3</v>
      </c>
      <c r="I4150" s="34" t="n">
        <v>3</v>
      </c>
      <c r="J4150" s="35" t="n">
        <v>3</v>
      </c>
      <c r="K4150" s="2" t="inlineStr">
        <is>
          <t>marker_562_731121.png</t>
        </is>
      </c>
      <c r="L4150" s="36">
        <f>HYPERLINK("NoConsenso\" &amp; K4150, "Ver Imagen")</f>
        <v/>
      </c>
      <c r="M4150" t="inlineStr">
        <is>
          <t>Mediana</t>
        </is>
      </c>
    </row>
    <row r="4151">
      <c r="A4151" s="33" t="n">
        <v>4152</v>
      </c>
      <c r="B4151" t="inlineStr">
        <is>
          <t>A-490__50</t>
        </is>
      </c>
      <c r="C4151" s="1" t="n">
        <v>37.4467937662</v>
      </c>
      <c r="D4151" s="1" t="n">
        <v>-7.13861265071</v>
      </c>
      <c r="E4151" s="3" t="n">
        <v>2</v>
      </c>
      <c r="F4151" s="2" t="n">
        <v>4</v>
      </c>
      <c r="G4151" s="4" t="n">
        <v>3</v>
      </c>
      <c r="H4151" s="13" t="n">
        <v>3</v>
      </c>
      <c r="I4151" s="34" t="n">
        <v>3</v>
      </c>
      <c r="J4151" s="35" t="n">
        <v>3</v>
      </c>
      <c r="K4151" s="2" t="inlineStr">
        <is>
          <t>marker_693_732289.png</t>
        </is>
      </c>
      <c r="L4151" s="36">
        <f>HYPERLINK("NoConsenso\" &amp; K4151, "Ver Imagen")</f>
        <v/>
      </c>
      <c r="M4151" t="inlineStr">
        <is>
          <t>Mediana</t>
        </is>
      </c>
    </row>
    <row r="4152">
      <c r="A4152" s="33" t="n">
        <v>4153</v>
      </c>
      <c r="B4152" t="inlineStr">
        <is>
          <t>A-490__58</t>
        </is>
      </c>
      <c r="C4152" s="1" t="n">
        <v>37.4474628616</v>
      </c>
      <c r="D4152" s="1" t="n">
        <v>-7.1404376163</v>
      </c>
      <c r="E4152" s="3" t="n">
        <v>2</v>
      </c>
      <c r="F4152" s="2" t="n">
        <v>4</v>
      </c>
      <c r="G4152" s="4" t="n">
        <v>3</v>
      </c>
      <c r="H4152" s="13" t="n">
        <v>3</v>
      </c>
      <c r="I4152" s="34" t="n">
        <v>3</v>
      </c>
      <c r="J4152" s="35" t="n">
        <v>3</v>
      </c>
      <c r="K4152" s="2" t="inlineStr">
        <is>
          <t>marker_762_737851.png</t>
        </is>
      </c>
      <c r="L4152" s="36">
        <f>HYPERLINK("NoConsenso\" &amp; K4152, "Ver Imagen")</f>
        <v/>
      </c>
      <c r="M4152" t="inlineStr">
        <is>
          <t>Mediana</t>
        </is>
      </c>
    </row>
    <row r="4153">
      <c r="A4153" s="33" t="n">
        <v>4154</v>
      </c>
      <c r="B4153" t="inlineStr">
        <is>
          <t>A-490__65</t>
        </is>
      </c>
      <c r="C4153" s="1" t="n">
        <v>37.4481983624</v>
      </c>
      <c r="D4153" s="1" t="n">
        <v>-7.14201586725</v>
      </c>
      <c r="E4153" s="3" t="n">
        <v>1</v>
      </c>
      <c r="F4153" s="2" t="n">
        <v>3</v>
      </c>
      <c r="G4153" s="4" t="n">
        <v>3</v>
      </c>
      <c r="H4153" s="13" t="n">
        <v>2</v>
      </c>
      <c r="I4153" s="34" t="n">
        <v>2</v>
      </c>
      <c r="J4153" s="35" t="n">
        <v>2</v>
      </c>
      <c r="K4153" s="2" t="inlineStr">
        <is>
          <t>marker_793_738024.png</t>
        </is>
      </c>
      <c r="L4153" s="36">
        <f>HYPERLINK("NoConsenso\" &amp; K4153, "Ver Imagen")</f>
        <v/>
      </c>
      <c r="M4153" t="inlineStr">
        <is>
          <t>Mediana</t>
        </is>
      </c>
    </row>
    <row r="4154">
      <c r="A4154" s="33" t="n">
        <v>4155</v>
      </c>
      <c r="B4154" t="inlineStr">
        <is>
          <t>A-490__81</t>
        </is>
      </c>
      <c r="C4154" s="1" t="n">
        <v>37.4486290896</v>
      </c>
      <c r="D4154" s="1" t="n">
        <v>-7.14595383318</v>
      </c>
      <c r="E4154" s="3" t="n">
        <v>3</v>
      </c>
      <c r="F4154" s="2" t="n">
        <v>4</v>
      </c>
      <c r="G4154" s="4" t="n">
        <v>5</v>
      </c>
      <c r="H4154" s="13" t="n">
        <v>3</v>
      </c>
      <c r="I4154" s="34" t="n">
        <v>3</v>
      </c>
      <c r="J4154" s="35" t="n">
        <v>3</v>
      </c>
      <c r="K4154" s="2" t="inlineStr">
        <is>
          <t>marker_719_738677.png</t>
        </is>
      </c>
      <c r="L4154" s="36">
        <f>HYPERLINK("NoConsenso\" &amp; K4154, "Ver Imagen")</f>
        <v/>
      </c>
      <c r="M4154" t="inlineStr">
        <is>
          <t>Mediana</t>
        </is>
      </c>
    </row>
    <row r="4155">
      <c r="A4155" s="33" t="n">
        <v>4156</v>
      </c>
      <c r="B4155" t="inlineStr">
        <is>
          <t>A-490__86</t>
        </is>
      </c>
      <c r="C4155" s="1" t="n">
        <v>37.4486986966</v>
      </c>
      <c r="D4155" s="1" t="n">
        <v>-7.14745074331</v>
      </c>
      <c r="E4155" s="3" t="n">
        <v>1</v>
      </c>
      <c r="F4155" s="2" t="n">
        <v>3</v>
      </c>
      <c r="G4155" s="4" t="n">
        <v>3</v>
      </c>
      <c r="H4155" s="13" t="n">
        <v>3</v>
      </c>
      <c r="I4155" s="34" t="n">
        <v>2</v>
      </c>
      <c r="J4155" s="35" t="n">
        <v>3</v>
      </c>
      <c r="K4155" s="2" t="inlineStr">
        <is>
          <t>marker_916_738820.png</t>
        </is>
      </c>
      <c r="L4155" s="36">
        <f>HYPERLINK("NoConsenso\" &amp; K4155, "Ver Imagen")</f>
        <v/>
      </c>
      <c r="M4155" t="inlineStr">
        <is>
          <t>Mediana</t>
        </is>
      </c>
    </row>
    <row r="4156">
      <c r="A4156" s="33" t="n">
        <v>4157</v>
      </c>
      <c r="B4156" t="inlineStr">
        <is>
          <t>A-490__88</t>
        </is>
      </c>
      <c r="C4156" s="1" t="n">
        <v>37.4487141888</v>
      </c>
      <c r="D4156" s="1" t="n">
        <v>-7.14774036323</v>
      </c>
      <c r="E4156" s="3" t="n">
        <v>2</v>
      </c>
      <c r="F4156" s="2" t="n">
        <v>4</v>
      </c>
      <c r="G4156" s="4" t="n">
        <v>3</v>
      </c>
      <c r="H4156" s="13" t="n">
        <v>3</v>
      </c>
      <c r="I4156" s="34" t="n">
        <v>3</v>
      </c>
      <c r="J4156" s="35" t="n">
        <v>3</v>
      </c>
      <c r="K4156" s="2" t="inlineStr">
        <is>
          <t>marker_536_738935.png</t>
        </is>
      </c>
      <c r="L4156" s="36">
        <f>HYPERLINK("NoConsenso\" &amp; K4156, "Ver Imagen")</f>
        <v/>
      </c>
      <c r="M4156" t="inlineStr">
        <is>
          <t>Mediana</t>
        </is>
      </c>
    </row>
    <row r="4157">
      <c r="A4157" s="33" t="n">
        <v>4158</v>
      </c>
      <c r="B4157" t="inlineStr">
        <is>
          <t>A-490__99</t>
        </is>
      </c>
      <c r="C4157" s="1" t="n">
        <v>37.4491360978</v>
      </c>
      <c r="D4157" s="1" t="n">
        <v>-7.15046214545</v>
      </c>
      <c r="E4157" s="3" t="n">
        <v>1</v>
      </c>
      <c r="F4157" s="2" t="n">
        <v>3</v>
      </c>
      <c r="G4157" s="4" t="n">
        <v>3</v>
      </c>
      <c r="H4157" s="13" t="n">
        <v>2</v>
      </c>
      <c r="I4157" s="34" t="n">
        <v>2</v>
      </c>
      <c r="J4157" s="35" t="n">
        <v>2</v>
      </c>
      <c r="K4157" s="2" t="inlineStr">
        <is>
          <t>marker_350_739146.png</t>
        </is>
      </c>
      <c r="L4157" s="36">
        <f>HYPERLINK("NoConsenso\" &amp; K4157, "Ver Imagen")</f>
        <v/>
      </c>
      <c r="M4157" t="inlineStr">
        <is>
          <t>Mediana</t>
        </is>
      </c>
    </row>
    <row r="4158">
      <c r="A4158" s="33" t="n">
        <v>4159</v>
      </c>
      <c r="B4158" t="inlineStr">
        <is>
          <t>A-490__110</t>
        </is>
      </c>
      <c r="C4158" s="1" t="n">
        <v>37.4503379079</v>
      </c>
      <c r="D4158" s="1" t="n">
        <v>-7.15281040668</v>
      </c>
      <c r="E4158" s="3" t="n">
        <v>2</v>
      </c>
      <c r="F4158" s="2" t="n">
        <v>4</v>
      </c>
      <c r="G4158" s="4" t="n">
        <v>3</v>
      </c>
      <c r="H4158" s="13" t="n">
        <v>3</v>
      </c>
      <c r="I4158" s="34" t="n">
        <v>3</v>
      </c>
      <c r="J4158" s="35" t="n">
        <v>3</v>
      </c>
      <c r="K4158" s="2" t="inlineStr">
        <is>
          <t>marker_630_739762.png</t>
        </is>
      </c>
      <c r="L4158" s="36">
        <f>HYPERLINK("NoConsenso\" &amp; K4158, "Ver Imagen")</f>
        <v/>
      </c>
      <c r="M4158" t="inlineStr">
        <is>
          <t>Mediana</t>
        </is>
      </c>
    </row>
    <row r="4159">
      <c r="A4159" s="33" t="n">
        <v>4160</v>
      </c>
      <c r="B4159" t="inlineStr">
        <is>
          <t>A-490__147</t>
        </is>
      </c>
      <c r="C4159" s="1" t="n">
        <v>37.4528740032</v>
      </c>
      <c r="D4159" s="1" t="n">
        <v>-7.16154819668</v>
      </c>
      <c r="E4159" s="3" t="n">
        <v>1</v>
      </c>
      <c r="F4159" s="2" t="n">
        <v>3</v>
      </c>
      <c r="G4159" s="4" t="n">
        <v>3</v>
      </c>
      <c r="H4159" s="13" t="n">
        <v>3</v>
      </c>
      <c r="I4159" s="34" t="n">
        <v>3</v>
      </c>
      <c r="J4159" s="35" t="n">
        <v>3</v>
      </c>
      <c r="K4159" s="2" t="inlineStr">
        <is>
          <t>marker_821_740698.png</t>
        </is>
      </c>
      <c r="L4159" s="36">
        <f>HYPERLINK("NoConsenso\" &amp; K4159, "Ver Imagen")</f>
        <v/>
      </c>
      <c r="M4159" t="inlineStr">
        <is>
          <t>Mediana</t>
        </is>
      </c>
    </row>
    <row r="4160">
      <c r="A4160" s="33" t="n">
        <v>4161</v>
      </c>
      <c r="B4160" t="inlineStr">
        <is>
          <t>A-490__150</t>
        </is>
      </c>
      <c r="C4160" s="1" t="n">
        <v>37.4531782231</v>
      </c>
      <c r="D4160" s="1" t="n">
        <v>-7.16214286032</v>
      </c>
      <c r="E4160" s="3" t="n">
        <v>2</v>
      </c>
      <c r="F4160" s="2" t="n">
        <v>4</v>
      </c>
      <c r="G4160" s="4" t="n">
        <v>3</v>
      </c>
      <c r="H4160" s="13" t="n">
        <v>3</v>
      </c>
      <c r="I4160" s="34" t="n">
        <v>3</v>
      </c>
      <c r="J4160" s="35" t="n">
        <v>3</v>
      </c>
      <c r="K4160" s="2" t="inlineStr">
        <is>
          <t>marker_638_740755.png</t>
        </is>
      </c>
      <c r="L4160" s="36">
        <f>HYPERLINK("NoConsenso\" &amp; K4160, "Ver Imagen")</f>
        <v/>
      </c>
      <c r="M4160" t="inlineStr">
        <is>
          <t>Mediana</t>
        </is>
      </c>
    </row>
    <row r="4161">
      <c r="A4161" s="33" t="n">
        <v>4162</v>
      </c>
      <c r="B4161" t="inlineStr">
        <is>
          <t>A-490__153</t>
        </is>
      </c>
      <c r="C4161" s="1" t="n">
        <v>37.4535113882</v>
      </c>
      <c r="D4161" s="1" t="n">
        <v>-7.16280797464</v>
      </c>
      <c r="E4161" s="3" t="n">
        <v>2</v>
      </c>
      <c r="F4161" s="2" t="n">
        <v>4</v>
      </c>
      <c r="G4161" s="4" t="n">
        <v>3</v>
      </c>
      <c r="H4161" s="13" t="n">
        <v>3</v>
      </c>
      <c r="I4161" s="34" t="n">
        <v>3</v>
      </c>
      <c r="J4161" s="35" t="n">
        <v>3</v>
      </c>
      <c r="K4161" s="2" t="inlineStr">
        <is>
          <t>marker_567_740841.png</t>
        </is>
      </c>
      <c r="L4161" s="36">
        <f>HYPERLINK("NoConsenso\" &amp; K4161, "Ver Imagen")</f>
        <v/>
      </c>
      <c r="M4161" t="inlineStr">
        <is>
          <t>Mediana</t>
        </is>
      </c>
    </row>
    <row r="4162">
      <c r="A4162" s="33" t="n">
        <v>4163</v>
      </c>
      <c r="B4162" t="inlineStr">
        <is>
          <t>A-490__156</t>
        </is>
      </c>
      <c r="C4162" s="1" t="n">
        <v>37.453853381</v>
      </c>
      <c r="D4162" s="1" t="n">
        <v>-7.16347369157</v>
      </c>
      <c r="E4162" s="3" t="n">
        <v>2</v>
      </c>
      <c r="F4162" s="2" t="n">
        <v>4</v>
      </c>
      <c r="G4162" s="4" t="n">
        <v>3</v>
      </c>
      <c r="H4162" s="13" t="n">
        <v>2</v>
      </c>
      <c r="I4162" s="34" t="n">
        <v>2</v>
      </c>
      <c r="J4162" s="35" t="n">
        <v>2</v>
      </c>
      <c r="K4162" s="2" t="inlineStr">
        <is>
          <t>marker_774_740894.png</t>
        </is>
      </c>
      <c r="L4162" s="36">
        <f>HYPERLINK("NoConsenso\" &amp; K4162, "Ver Imagen")</f>
        <v/>
      </c>
      <c r="M4162" t="inlineStr">
        <is>
          <t>Mediana</t>
        </is>
      </c>
    </row>
    <row r="4163">
      <c r="A4163" s="33" t="n">
        <v>4164</v>
      </c>
      <c r="B4163" t="inlineStr">
        <is>
          <t>A-490__158</t>
        </is>
      </c>
      <c r="C4163" s="1" t="n">
        <v>37.4540471836</v>
      </c>
      <c r="D4163" s="1" t="n">
        <v>-7.1638608332</v>
      </c>
      <c r="E4163" s="3" t="n">
        <v>2</v>
      </c>
      <c r="F4163" s="2" t="n">
        <v>4</v>
      </c>
      <c r="G4163" s="4" t="n">
        <v>3</v>
      </c>
      <c r="H4163" s="13" t="n">
        <v>3</v>
      </c>
      <c r="I4163" s="34" t="n">
        <v>2</v>
      </c>
      <c r="J4163" s="35" t="n">
        <v>3</v>
      </c>
      <c r="K4163" s="2" t="inlineStr">
        <is>
          <t>marker_370_741171.png</t>
        </is>
      </c>
      <c r="L4163" s="36">
        <f>HYPERLINK("NoConsenso\" &amp; K4163, "Ver Imagen")</f>
        <v/>
      </c>
      <c r="M4163" t="inlineStr">
        <is>
          <t>Mediana</t>
        </is>
      </c>
    </row>
    <row r="4164">
      <c r="A4164" s="33" t="n">
        <v>4165</v>
      </c>
      <c r="B4164" t="inlineStr">
        <is>
          <t>A-490__165</t>
        </is>
      </c>
      <c r="C4164" s="1" t="n">
        <v>37.4548390575</v>
      </c>
      <c r="D4164" s="1" t="n">
        <v>-7.16534634287</v>
      </c>
      <c r="E4164" s="3" t="n">
        <v>1</v>
      </c>
      <c r="F4164" s="2" t="n">
        <v>3</v>
      </c>
      <c r="G4164" s="4" t="n">
        <v>3</v>
      </c>
      <c r="H4164" s="13" t="n">
        <v>2</v>
      </c>
      <c r="I4164" s="34" t="n">
        <v>2</v>
      </c>
      <c r="J4164" s="35" t="n">
        <v>2</v>
      </c>
      <c r="K4164" s="2" t="inlineStr">
        <is>
          <t>marker_754_741353.png</t>
        </is>
      </c>
      <c r="L4164" s="36">
        <f>HYPERLINK("NoConsenso\" &amp; K4164, "Ver Imagen")</f>
        <v/>
      </c>
      <c r="M4164" t="inlineStr">
        <is>
          <t>Mediana</t>
        </is>
      </c>
    </row>
    <row r="4165">
      <c r="A4165" s="33" t="n">
        <v>4166</v>
      </c>
      <c r="B4165" t="inlineStr">
        <is>
          <t>A-490__169</t>
        </is>
      </c>
      <c r="C4165" s="1" t="n">
        <v>37.4554176892</v>
      </c>
      <c r="D4165" s="1" t="n">
        <v>-7.16608629489</v>
      </c>
      <c r="E4165" s="3" t="n">
        <v>1</v>
      </c>
      <c r="F4165" s="2" t="n">
        <v>3</v>
      </c>
      <c r="G4165" s="4" t="n">
        <v>3</v>
      </c>
      <c r="H4165" s="13" t="n">
        <v>3</v>
      </c>
      <c r="I4165" s="34" t="n">
        <v>2</v>
      </c>
      <c r="J4165" s="37" t="n">
        <v>2</v>
      </c>
      <c r="K4165" s="2" t="inlineStr">
        <is>
          <t>marker_338_741459.png</t>
        </is>
      </c>
      <c r="L4165" s="36">
        <f>HYPERLINK("NoConsenso\" &amp; K4165, "Ver Imagen")</f>
        <v/>
      </c>
      <c r="M4165" s="37" t="inlineStr">
        <is>
          <t>Modificada</t>
        </is>
      </c>
    </row>
    <row r="4166">
      <c r="A4166" s="33" t="n">
        <v>4167</v>
      </c>
      <c r="B4166" t="inlineStr">
        <is>
          <t>A-490__184</t>
        </is>
      </c>
      <c r="C4166" s="1" t="n">
        <v>37.4575546104</v>
      </c>
      <c r="D4166" s="1" t="n">
        <v>-7.16871864739</v>
      </c>
      <c r="E4166" s="3" t="n">
        <v>2</v>
      </c>
      <c r="F4166" s="2" t="n">
        <v>1</v>
      </c>
      <c r="G4166" s="4" t="n">
        <v>3</v>
      </c>
      <c r="H4166" s="13" t="n">
        <v>3</v>
      </c>
      <c r="I4166" s="34" t="n">
        <v>2</v>
      </c>
      <c r="J4166" s="35" t="n">
        <v>2</v>
      </c>
      <c r="K4166" s="2" t="inlineStr">
        <is>
          <t>marker_102_741894.png</t>
        </is>
      </c>
      <c r="L4166" s="36">
        <f>HYPERLINK("NoConsenso\" &amp; K4166, "Ver Imagen")</f>
        <v/>
      </c>
      <c r="M4166" t="inlineStr">
        <is>
          <t>Mediana</t>
        </is>
      </c>
    </row>
    <row r="4167">
      <c r="A4167" s="33" t="n">
        <v>4168</v>
      </c>
      <c r="B4167" t="inlineStr">
        <is>
          <t>A-490__187</t>
        </is>
      </c>
      <c r="C4167" s="1" t="n">
        <v>37.457999748</v>
      </c>
      <c r="D4167" s="1" t="n">
        <v>-7.16926526896</v>
      </c>
      <c r="E4167" s="3" t="n">
        <v>2</v>
      </c>
      <c r="F4167" s="2" t="n">
        <v>4</v>
      </c>
      <c r="G4167" s="4" t="n">
        <v>3</v>
      </c>
      <c r="H4167" s="13" t="n">
        <v>3</v>
      </c>
      <c r="I4167" s="34" t="n">
        <v>2</v>
      </c>
      <c r="J4167" s="35" t="n">
        <v>3</v>
      </c>
      <c r="K4167" s="2" t="inlineStr">
        <is>
          <t>marker_844_741980.png</t>
        </is>
      </c>
      <c r="L4167" s="36">
        <f>HYPERLINK("NoConsenso\" &amp; K4167, "Ver Imagen")</f>
        <v/>
      </c>
      <c r="M4167" t="inlineStr">
        <is>
          <t>Mediana</t>
        </is>
      </c>
    </row>
    <row r="4168">
      <c r="A4168" s="33" t="n">
        <v>4169</v>
      </c>
      <c r="B4168" t="inlineStr">
        <is>
          <t>A-490__203</t>
        </is>
      </c>
      <c r="C4168" s="1" t="n">
        <v>37.4602175778</v>
      </c>
      <c r="D4168" s="1" t="n">
        <v>-7.17219582723</v>
      </c>
      <c r="E4168" s="3" t="n">
        <v>1</v>
      </c>
      <c r="F4168" s="2" t="n">
        <v>2</v>
      </c>
      <c r="G4168" s="4" t="n">
        <v>3</v>
      </c>
      <c r="H4168" s="13" t="n">
        <v>2</v>
      </c>
      <c r="I4168" s="34" t="n">
        <v>2</v>
      </c>
      <c r="J4168" s="35" t="n">
        <v>2</v>
      </c>
      <c r="K4168" s="2" t="inlineStr">
        <is>
          <t>marker_112_742441.png</t>
        </is>
      </c>
      <c r="L4168" s="36">
        <f>HYPERLINK("NoConsenso\" &amp; K4168, "Ver Imagen")</f>
        <v/>
      </c>
      <c r="M4168" t="inlineStr">
        <is>
          <t>Mediana</t>
        </is>
      </c>
    </row>
    <row r="4169">
      <c r="A4169" s="33" t="n">
        <v>4170</v>
      </c>
      <c r="B4169" t="inlineStr">
        <is>
          <t>A-490__208</t>
        </is>
      </c>
      <c r="C4169" s="1" t="n">
        <v>37.4608440027</v>
      </c>
      <c r="D4169" s="1" t="n">
        <v>-7.17322332256</v>
      </c>
      <c r="E4169" s="3" t="n">
        <v>1</v>
      </c>
      <c r="F4169" s="2" t="n">
        <v>3</v>
      </c>
      <c r="G4169" s="4" t="n">
        <v>3</v>
      </c>
      <c r="H4169" s="13" t="n">
        <v>2</v>
      </c>
      <c r="I4169" s="34" t="n">
        <v>2</v>
      </c>
      <c r="J4169" s="35" t="n">
        <v>2</v>
      </c>
      <c r="K4169" s="2" t="inlineStr">
        <is>
          <t>marker_402_742625.png</t>
        </is>
      </c>
      <c r="L4169" s="36">
        <f>HYPERLINK("NoConsenso\" &amp; K4169, "Ver Imagen")</f>
        <v/>
      </c>
      <c r="M4169" t="inlineStr">
        <is>
          <t>Mediana</t>
        </is>
      </c>
    </row>
    <row r="4170">
      <c r="A4170" s="33" t="n">
        <v>4171</v>
      </c>
      <c r="B4170" t="inlineStr">
        <is>
          <t>A-490__235</t>
        </is>
      </c>
      <c r="C4170" s="1" t="n">
        <v>37.4641052377</v>
      </c>
      <c r="D4170" s="1" t="n">
        <v>-7.17871342501</v>
      </c>
      <c r="E4170" s="3" t="n">
        <v>2</v>
      </c>
      <c r="F4170" s="2" t="n">
        <v>4</v>
      </c>
      <c r="G4170" s="4" t="n">
        <v>3</v>
      </c>
      <c r="H4170" s="13" t="n">
        <v>3</v>
      </c>
      <c r="I4170" s="34" t="n">
        <v>3</v>
      </c>
      <c r="J4170" s="35" t="n">
        <v>3</v>
      </c>
      <c r="K4170" s="2" t="inlineStr">
        <is>
          <t>marker_840_743985.png</t>
        </is>
      </c>
      <c r="L4170" s="36">
        <f>HYPERLINK("NoConsenso\" &amp; K4170, "Ver Imagen")</f>
        <v/>
      </c>
      <c r="M4170" t="inlineStr">
        <is>
          <t>Mediana</t>
        </is>
      </c>
    </row>
    <row r="4171">
      <c r="A4171" s="33" t="n">
        <v>4172</v>
      </c>
      <c r="B4171" t="inlineStr">
        <is>
          <t>A-490__263</t>
        </is>
      </c>
      <c r="C4171" s="1" t="n">
        <v>37.4672974381</v>
      </c>
      <c r="D4171" s="1" t="n">
        <v>-7.18466287265</v>
      </c>
      <c r="E4171" s="3" t="n">
        <v>1</v>
      </c>
      <c r="F4171" s="2" t="n">
        <v>2</v>
      </c>
      <c r="G4171" s="4" t="n">
        <v>3</v>
      </c>
      <c r="H4171" s="13" t="n">
        <v>2</v>
      </c>
      <c r="I4171" s="34" t="n">
        <v>1</v>
      </c>
      <c r="J4171" s="35" t="n">
        <v>2</v>
      </c>
      <c r="K4171" s="2" t="inlineStr">
        <is>
          <t>marker_738_749769.png</t>
        </is>
      </c>
      <c r="L4171" s="36">
        <f>HYPERLINK("NoConsenso\" &amp; K4171, "Ver Imagen")</f>
        <v/>
      </c>
      <c r="M4171" t="inlineStr">
        <is>
          <t>Mediana</t>
        </is>
      </c>
    </row>
    <row r="4172">
      <c r="A4172" s="33" t="n">
        <v>4173</v>
      </c>
      <c r="B4172" t="inlineStr">
        <is>
          <t>A-490__105</t>
        </is>
      </c>
      <c r="C4172" s="1" t="n">
        <v>37.449703218</v>
      </c>
      <c r="D4172" s="1" t="n">
        <v>-7.15177574362</v>
      </c>
      <c r="E4172" s="3" t="n">
        <v>3</v>
      </c>
      <c r="F4172" s="2" t="n">
        <v>3</v>
      </c>
      <c r="G4172" s="4" t="n">
        <v>5</v>
      </c>
      <c r="H4172" s="13" t="n">
        <v>3</v>
      </c>
      <c r="I4172" s="34" t="n">
        <v>3</v>
      </c>
      <c r="J4172" s="35" t="n">
        <v>3</v>
      </c>
      <c r="K4172" s="2" t="inlineStr">
        <is>
          <t>marker_720_739654.png</t>
        </is>
      </c>
      <c r="L4172" s="36">
        <f>HYPERLINK("NoConsenso\" &amp; K4172, "Ver Imagen")</f>
        <v/>
      </c>
      <c r="M4172" t="inlineStr">
        <is>
          <t>Mediana</t>
        </is>
      </c>
    </row>
    <row r="4173">
      <c r="A4173" s="33" t="n">
        <v>4174</v>
      </c>
      <c r="B4173" t="inlineStr">
        <is>
          <t>A-490__346</t>
        </is>
      </c>
      <c r="C4173" s="1" t="n">
        <v>37.4765022551</v>
      </c>
      <c r="D4173" s="1" t="n">
        <v>-7.20223048773</v>
      </c>
      <c r="E4173" s="3" t="n">
        <v>1</v>
      </c>
      <c r="F4173" s="2" t="n">
        <v>3</v>
      </c>
      <c r="G4173" s="4" t="n">
        <v>3</v>
      </c>
      <c r="H4173" s="13" t="n">
        <v>2</v>
      </c>
      <c r="I4173" s="34" t="n">
        <v>1</v>
      </c>
      <c r="J4173" s="35" t="n">
        <v>2</v>
      </c>
      <c r="K4173" s="2" t="inlineStr">
        <is>
          <t>marker_777_751614.png</t>
        </is>
      </c>
      <c r="L4173" s="36">
        <f>HYPERLINK("NoConsenso\" &amp; K4173, "Ver Imagen")</f>
        <v/>
      </c>
      <c r="M4173" t="inlineStr">
        <is>
          <t>Mediana</t>
        </is>
      </c>
    </row>
    <row r="4174">
      <c r="A4174" s="33" t="n">
        <v>4175</v>
      </c>
      <c r="B4174" t="inlineStr">
        <is>
          <t>A-490__355</t>
        </is>
      </c>
      <c r="C4174" s="1" t="n">
        <v>37.4773933772</v>
      </c>
      <c r="D4174" s="1" t="n">
        <v>-7.20430459655</v>
      </c>
      <c r="E4174" s="3" t="n">
        <v>1</v>
      </c>
      <c r="F4174" s="2" t="n">
        <v>2</v>
      </c>
      <c r="G4174" s="4" t="n">
        <v>3</v>
      </c>
      <c r="H4174" s="13" t="n">
        <v>2</v>
      </c>
      <c r="I4174" s="34" t="n">
        <v>1</v>
      </c>
      <c r="J4174" s="35" t="n">
        <v>2</v>
      </c>
      <c r="K4174" s="2" t="inlineStr">
        <is>
          <t>marker_190_751773.png</t>
        </is>
      </c>
      <c r="L4174" s="36">
        <f>HYPERLINK("NoConsenso\" &amp; K4174, "Ver Imagen")</f>
        <v/>
      </c>
      <c r="M4174" t="inlineStr">
        <is>
          <t>Mediana</t>
        </is>
      </c>
    </row>
    <row r="4175">
      <c r="A4175" s="33" t="n">
        <v>4176</v>
      </c>
      <c r="B4175" t="inlineStr">
        <is>
          <t>A-490__356</t>
        </is>
      </c>
      <c r="C4175" s="1" t="n">
        <v>37.4774692399</v>
      </c>
      <c r="D4175" s="1" t="n">
        <v>-7.20447831661</v>
      </c>
      <c r="E4175" s="3" t="n">
        <v>1</v>
      </c>
      <c r="F4175" s="2" t="n">
        <v>3</v>
      </c>
      <c r="G4175" s="4" t="n">
        <v>3</v>
      </c>
      <c r="H4175" s="13" t="n">
        <v>2</v>
      </c>
      <c r="I4175" s="34" t="n">
        <v>2</v>
      </c>
      <c r="J4175" s="35" t="n">
        <v>2</v>
      </c>
      <c r="K4175" s="2" t="inlineStr">
        <is>
          <t>marker_158_751789.png</t>
        </is>
      </c>
      <c r="L4175" s="36">
        <f>HYPERLINK("NoConsenso\" &amp; K4175, "Ver Imagen")</f>
        <v/>
      </c>
      <c r="M4175" t="inlineStr">
        <is>
          <t>Mediana</t>
        </is>
      </c>
    </row>
    <row r="4176">
      <c r="A4176" s="33" t="n">
        <v>4177</v>
      </c>
      <c r="B4176" t="inlineStr">
        <is>
          <t>A-490__357</t>
        </is>
      </c>
      <c r="C4176" s="1" t="n">
        <v>37.4775653863</v>
      </c>
      <c r="D4176" s="1" t="n">
        <v>-7.20469763154</v>
      </c>
      <c r="E4176" s="3" t="n">
        <v>1</v>
      </c>
      <c r="F4176" s="2" t="n">
        <v>3</v>
      </c>
      <c r="G4176" s="4" t="n">
        <v>3</v>
      </c>
      <c r="H4176" s="13" t="n">
        <v>2</v>
      </c>
      <c r="I4176" s="34" t="n">
        <v>1</v>
      </c>
      <c r="J4176" s="35" t="n">
        <v>2</v>
      </c>
      <c r="K4176" s="2" t="inlineStr">
        <is>
          <t>marker_355_751809.png</t>
        </is>
      </c>
      <c r="L4176" s="36">
        <f>HYPERLINK("NoConsenso\" &amp; K4176, "Ver Imagen")</f>
        <v/>
      </c>
      <c r="M4176" t="inlineStr">
        <is>
          <t>Mediana</t>
        </is>
      </c>
    </row>
    <row r="4177">
      <c r="A4177" s="33" t="n">
        <v>4178</v>
      </c>
      <c r="B4177" t="inlineStr">
        <is>
          <t>A-490__365</t>
        </is>
      </c>
      <c r="C4177" s="1" t="n">
        <v>37.4783296233</v>
      </c>
      <c r="D4177" s="1" t="n">
        <v>-7.20647456673</v>
      </c>
      <c r="E4177" s="3" t="n">
        <v>1</v>
      </c>
      <c r="F4177" s="2" t="n">
        <v>3</v>
      </c>
      <c r="G4177" s="4" t="n">
        <v>3</v>
      </c>
      <c r="H4177" s="13" t="n">
        <v>2</v>
      </c>
      <c r="I4177" s="34" t="n">
        <v>2</v>
      </c>
      <c r="J4177" s="35" t="n">
        <v>2</v>
      </c>
      <c r="K4177" s="2" t="inlineStr">
        <is>
          <t>marker_939_751997.png</t>
        </is>
      </c>
      <c r="L4177" s="36">
        <f>HYPERLINK("NoConsenso\" &amp; K4177, "Ver Imagen")</f>
        <v/>
      </c>
      <c r="M4177" t="inlineStr">
        <is>
          <t>Mediana</t>
        </is>
      </c>
    </row>
    <row r="4178">
      <c r="A4178" s="33" t="n">
        <v>4179</v>
      </c>
      <c r="B4178" t="inlineStr">
        <is>
          <t>A-490__372</t>
        </is>
      </c>
      <c r="C4178" s="1" t="n">
        <v>37.4790074386</v>
      </c>
      <c r="D4178" s="1" t="n">
        <v>-7.20804441331</v>
      </c>
      <c r="E4178" s="3" t="n">
        <v>1</v>
      </c>
      <c r="F4178" s="2" t="n">
        <v>3</v>
      </c>
      <c r="G4178" s="4" t="n">
        <v>3</v>
      </c>
      <c r="H4178" s="13" t="n">
        <v>2</v>
      </c>
      <c r="I4178" s="34" t="n">
        <v>2</v>
      </c>
      <c r="J4178" s="35" t="n">
        <v>2</v>
      </c>
      <c r="K4178" s="2" t="inlineStr">
        <is>
          <t>marker_842_752141.png</t>
        </is>
      </c>
      <c r="L4178" s="36">
        <f>HYPERLINK("NoConsenso\" &amp; K4178, "Ver Imagen")</f>
        <v/>
      </c>
      <c r="M4178" t="inlineStr">
        <is>
          <t>Mediana</t>
        </is>
      </c>
    </row>
    <row r="4179">
      <c r="A4179" s="33" t="n">
        <v>4180</v>
      </c>
      <c r="B4179" t="inlineStr">
        <is>
          <t>A-490__375</t>
        </is>
      </c>
      <c r="C4179" s="1" t="n">
        <v>37.4792968396</v>
      </c>
      <c r="D4179" s="1" t="n">
        <v>-7.20875237993</v>
      </c>
      <c r="E4179" s="3" t="n">
        <v>1</v>
      </c>
      <c r="F4179" s="2" t="n">
        <v>3</v>
      </c>
      <c r="G4179" s="4" t="n">
        <v>3</v>
      </c>
      <c r="H4179" s="13" t="n">
        <v>2</v>
      </c>
      <c r="I4179" s="34" t="n">
        <v>2</v>
      </c>
      <c r="J4179" s="35" t="n">
        <v>2</v>
      </c>
      <c r="K4179" s="2" t="inlineStr">
        <is>
          <t>marker_389_752208.png</t>
        </is>
      </c>
      <c r="L4179" s="36">
        <f>HYPERLINK("NoConsenso\" &amp; K4179, "Ver Imagen")</f>
        <v/>
      </c>
      <c r="M4179" t="inlineStr">
        <is>
          <t>Mediana</t>
        </is>
      </c>
    </row>
    <row r="4180">
      <c r="A4180" s="33" t="n">
        <v>4181</v>
      </c>
      <c r="B4180" t="inlineStr">
        <is>
          <t>A-490__395</t>
        </is>
      </c>
      <c r="C4180" s="1" t="n">
        <v>37.4811390634</v>
      </c>
      <c r="D4180" s="1" t="n">
        <v>-7.21322992376</v>
      </c>
      <c r="E4180" s="3" t="n">
        <v>1</v>
      </c>
      <c r="F4180" s="2" t="n">
        <v>3</v>
      </c>
      <c r="G4180" s="4" t="n">
        <v>3</v>
      </c>
      <c r="H4180" s="13" t="n">
        <v>1</v>
      </c>
      <c r="I4180" s="34" t="n">
        <v>2</v>
      </c>
      <c r="J4180" s="35" t="n">
        <v>2</v>
      </c>
      <c r="K4180" s="2" t="inlineStr">
        <is>
          <t>marker_290_752909.png</t>
        </is>
      </c>
      <c r="L4180" s="36">
        <f>HYPERLINK("NoConsenso\" &amp; K4180, "Ver Imagen")</f>
        <v/>
      </c>
      <c r="M4180" t="inlineStr">
        <is>
          <t>Mediana</t>
        </is>
      </c>
    </row>
    <row r="4181">
      <c r="A4181" s="33" t="n">
        <v>4182</v>
      </c>
      <c r="B4181" t="inlineStr">
        <is>
          <t>A-490__397</t>
        </is>
      </c>
      <c r="C4181" s="1" t="n">
        <v>37.4812955634</v>
      </c>
      <c r="D4181" s="1" t="n">
        <v>-7.21366010865</v>
      </c>
      <c r="E4181" s="3" t="n">
        <v>1</v>
      </c>
      <c r="F4181" s="2" t="n">
        <v>2</v>
      </c>
      <c r="G4181" s="4" t="n">
        <v>3</v>
      </c>
      <c r="H4181" s="13" t="n">
        <v>2</v>
      </c>
      <c r="I4181" s="34" t="n">
        <v>2</v>
      </c>
      <c r="J4181" s="35" t="n">
        <v>2</v>
      </c>
      <c r="K4181" s="2" t="inlineStr">
        <is>
          <t>marker_732_752962.png</t>
        </is>
      </c>
      <c r="L4181" s="36">
        <f>HYPERLINK("NoConsenso\" &amp; K4181, "Ver Imagen")</f>
        <v/>
      </c>
      <c r="M4181" t="inlineStr">
        <is>
          <t>Mediana</t>
        </is>
      </c>
    </row>
    <row r="4182">
      <c r="A4182" s="33" t="n">
        <v>4183</v>
      </c>
      <c r="B4182" t="inlineStr">
        <is>
          <t>A-490__399</t>
        </is>
      </c>
      <c r="C4182" s="1" t="n">
        <v>37.4814856757</v>
      </c>
      <c r="D4182" s="1" t="n">
        <v>-7.21417335388</v>
      </c>
      <c r="E4182" s="3" t="n">
        <v>1</v>
      </c>
      <c r="F4182" s="2" t="n">
        <v>3</v>
      </c>
      <c r="G4182" s="4" t="n">
        <v>3</v>
      </c>
      <c r="H4182" s="13" t="n">
        <v>2</v>
      </c>
      <c r="I4182" s="34" t="n">
        <v>2</v>
      </c>
      <c r="J4182" s="35" t="n">
        <v>2</v>
      </c>
      <c r="K4182" s="2" t="inlineStr">
        <is>
          <t>marker_514_753000.png</t>
        </is>
      </c>
      <c r="L4182" s="36">
        <f>HYPERLINK("NoConsenso\" &amp; K4182, "Ver Imagen")</f>
        <v/>
      </c>
      <c r="M4182" t="inlineStr">
        <is>
          <t>Mediana</t>
        </is>
      </c>
    </row>
    <row r="4183">
      <c r="A4183" s="33" t="n">
        <v>4184</v>
      </c>
      <c r="B4183" t="inlineStr">
        <is>
          <t>A-490__411</t>
        </is>
      </c>
      <c r="C4183" s="1" t="n">
        <v>37.4823637115</v>
      </c>
      <c r="D4183" s="1" t="n">
        <v>-7.2169523132</v>
      </c>
      <c r="E4183" s="3" t="n">
        <v>1</v>
      </c>
      <c r="F4183" s="2" t="n">
        <v>2</v>
      </c>
      <c r="G4183" s="4" t="n">
        <v>3</v>
      </c>
      <c r="H4183" s="13" t="n">
        <v>1</v>
      </c>
      <c r="I4183" s="34" t="n">
        <v>2</v>
      </c>
      <c r="J4183" s="35" t="n">
        <v>2</v>
      </c>
      <c r="K4183" s="2" t="inlineStr">
        <is>
          <t>marker_975_754140.png</t>
        </is>
      </c>
      <c r="L4183" s="36">
        <f>HYPERLINK("NoConsenso\" &amp; K4183, "Ver Imagen")</f>
        <v/>
      </c>
      <c r="M4183" t="inlineStr">
        <is>
          <t>Mediana</t>
        </is>
      </c>
    </row>
    <row r="4184">
      <c r="A4184" s="33" t="n">
        <v>4185</v>
      </c>
      <c r="B4184" t="inlineStr">
        <is>
          <t>A-490__413</t>
        </is>
      </c>
      <c r="C4184" s="1" t="n">
        <v>37.4824632656</v>
      </c>
      <c r="D4184" s="1" t="n">
        <v>-7.21744801446</v>
      </c>
      <c r="E4184" s="3" t="n">
        <v>1</v>
      </c>
      <c r="F4184" s="2" t="n">
        <v>2</v>
      </c>
      <c r="G4184" s="4" t="n">
        <v>3</v>
      </c>
      <c r="H4184" s="13" t="n">
        <v>1</v>
      </c>
      <c r="I4184" s="34" t="n">
        <v>1</v>
      </c>
      <c r="J4184" s="35" t="n">
        <v>1</v>
      </c>
      <c r="K4184" s="2" t="inlineStr">
        <is>
          <t>marker_369_754176.png</t>
        </is>
      </c>
      <c r="L4184" s="36">
        <f>HYPERLINK("NoConsenso\" &amp; K4184, "Ver Imagen")</f>
        <v/>
      </c>
      <c r="M4184" t="inlineStr">
        <is>
          <t>Mediana</t>
        </is>
      </c>
    </row>
    <row r="4185">
      <c r="A4185" s="33" t="n">
        <v>4186</v>
      </c>
      <c r="B4185" t="inlineStr">
        <is>
          <t>A-490__427</t>
        </is>
      </c>
      <c r="C4185" s="1" t="n">
        <v>37.4831586417</v>
      </c>
      <c r="D4185" s="1" t="n">
        <v>-7.22097998652</v>
      </c>
      <c r="E4185" s="3" t="n">
        <v>1</v>
      </c>
      <c r="F4185" s="2" t="n">
        <v>2</v>
      </c>
      <c r="G4185" s="4" t="n">
        <v>3</v>
      </c>
      <c r="H4185" s="13" t="n">
        <v>2</v>
      </c>
      <c r="I4185" s="34" t="n">
        <v>2</v>
      </c>
      <c r="J4185" s="35" t="n">
        <v>2</v>
      </c>
      <c r="K4185" s="2" t="inlineStr">
        <is>
          <t>marker_932_754411.png</t>
        </is>
      </c>
      <c r="L4185" s="36">
        <f>HYPERLINK("NoConsenso\" &amp; K4185, "Ver Imagen")</f>
        <v/>
      </c>
      <c r="M4185" t="inlineStr">
        <is>
          <t>Mediana</t>
        </is>
      </c>
    </row>
    <row r="4186">
      <c r="A4186" s="33" t="n">
        <v>4187</v>
      </c>
      <c r="B4186" t="inlineStr">
        <is>
          <t>A-490__518</t>
        </is>
      </c>
      <c r="C4186" s="1" t="n">
        <v>37.4872618997</v>
      </c>
      <c r="D4186" s="1" t="n">
        <v>-7.24344998226</v>
      </c>
      <c r="E4186" s="3" t="n">
        <v>1</v>
      </c>
      <c r="F4186" s="2" t="n">
        <v>3</v>
      </c>
      <c r="G4186" s="4" t="n">
        <v>3</v>
      </c>
      <c r="H4186" s="13" t="n">
        <v>3</v>
      </c>
      <c r="I4186" s="34" t="n">
        <v>3</v>
      </c>
      <c r="J4186" s="35" t="n">
        <v>3</v>
      </c>
      <c r="K4186" s="2" t="inlineStr">
        <is>
          <t>marker_337_817944.png</t>
        </is>
      </c>
      <c r="L4186" s="36">
        <f>HYPERLINK("NoConsenso\" &amp; K4186, "Ver Imagen")</f>
        <v/>
      </c>
      <c r="M4186" t="inlineStr">
        <is>
          <t>Mediana</t>
        </is>
      </c>
    </row>
    <row r="4187">
      <c r="A4187" s="33" t="n">
        <v>4188</v>
      </c>
      <c r="B4187" t="inlineStr">
        <is>
          <t>A-490__520</t>
        </is>
      </c>
      <c r="C4187" s="1" t="n">
        <v>37.4874120252</v>
      </c>
      <c r="D4187" s="1" t="n">
        <v>-7.24391299313</v>
      </c>
      <c r="E4187" s="3" t="n">
        <v>1</v>
      </c>
      <c r="F4187" s="2" t="n">
        <v>3</v>
      </c>
      <c r="G4187" s="4" t="n">
        <v>3</v>
      </c>
      <c r="H4187" s="13" t="n">
        <v>3</v>
      </c>
      <c r="I4187" s="34" t="n">
        <v>2</v>
      </c>
      <c r="J4187" s="35" t="n">
        <v>3</v>
      </c>
      <c r="K4187" s="2" t="inlineStr">
        <is>
          <t>marker_109_818057.png</t>
        </is>
      </c>
      <c r="L4187" s="36">
        <f>HYPERLINK("NoConsenso\" &amp; K4187, "Ver Imagen")</f>
        <v/>
      </c>
      <c r="M4187" t="inlineStr">
        <is>
          <t>Mediana</t>
        </is>
      </c>
    </row>
    <row r="4188">
      <c r="A4188" s="33" t="n">
        <v>4189</v>
      </c>
      <c r="B4188" t="inlineStr">
        <is>
          <t>A-490__546</t>
        </is>
      </c>
      <c r="C4188" s="1" t="n">
        <v>37.4904093253</v>
      </c>
      <c r="D4188" s="1" t="n">
        <v>-7.24926535212</v>
      </c>
      <c r="E4188" s="3" t="n">
        <v>1</v>
      </c>
      <c r="F4188" s="2" t="n">
        <v>2</v>
      </c>
      <c r="G4188" s="4" t="n">
        <v>3</v>
      </c>
      <c r="H4188" s="13" t="n">
        <v>2</v>
      </c>
      <c r="I4188" s="34" t="n">
        <v>2</v>
      </c>
      <c r="J4188" s="35" t="n">
        <v>2</v>
      </c>
      <c r="K4188" s="2" t="inlineStr">
        <is>
          <t>marker_794_818465.png</t>
        </is>
      </c>
      <c r="L4188" s="36">
        <f>HYPERLINK("NoConsenso\" &amp; K4188, "Ver Imagen")</f>
        <v/>
      </c>
      <c r="M4188" t="inlineStr">
        <is>
          <t>Mediana</t>
        </is>
      </c>
    </row>
    <row r="4189">
      <c r="A4189" s="33" t="n">
        <v>4190</v>
      </c>
      <c r="B4189" t="inlineStr">
        <is>
          <t>A-490__550</t>
        </is>
      </c>
      <c r="C4189" s="1" t="n">
        <v>37.4907191073</v>
      </c>
      <c r="D4189" s="1" t="n">
        <v>-7.2501749411</v>
      </c>
      <c r="E4189" s="3" t="n">
        <v>1</v>
      </c>
      <c r="F4189" s="2" t="n">
        <v>3</v>
      </c>
      <c r="G4189" s="4" t="n">
        <v>3</v>
      </c>
      <c r="H4189" s="13" t="n">
        <v>2</v>
      </c>
      <c r="I4189" s="34" t="n">
        <v>2</v>
      </c>
      <c r="J4189" s="35" t="n">
        <v>2</v>
      </c>
      <c r="K4189" s="2" t="inlineStr">
        <is>
          <t>marker_349_818583.png</t>
        </is>
      </c>
      <c r="L4189" s="36">
        <f>HYPERLINK("NoConsenso\" &amp; K4189, "Ver Imagen")</f>
        <v/>
      </c>
      <c r="M4189" t="inlineStr">
        <is>
          <t>Mediana</t>
        </is>
      </c>
    </row>
    <row r="4190">
      <c r="A4190" s="33" t="n">
        <v>4191</v>
      </c>
      <c r="B4190" t="inlineStr">
        <is>
          <t>A-490__551</t>
        </is>
      </c>
      <c r="C4190" s="1" t="n">
        <v>37.4907265643</v>
      </c>
      <c r="D4190" s="1" t="n">
        <v>-7.2503986873</v>
      </c>
      <c r="E4190" s="3" t="n">
        <v>1</v>
      </c>
      <c r="F4190" s="2" t="n">
        <v>3</v>
      </c>
      <c r="G4190" s="4" t="n">
        <v>3</v>
      </c>
      <c r="H4190" s="13" t="n">
        <v>2</v>
      </c>
      <c r="I4190" s="34" t="n">
        <v>2</v>
      </c>
      <c r="J4190" s="35" t="n">
        <v>2</v>
      </c>
      <c r="K4190" s="2" t="inlineStr">
        <is>
          <t>marker_517_818620.png</t>
        </is>
      </c>
      <c r="L4190" s="36">
        <f>HYPERLINK("NoConsenso\" &amp; K4190, "Ver Imagen")</f>
        <v/>
      </c>
      <c r="M4190" t="inlineStr">
        <is>
          <t>Mediana</t>
        </is>
      </c>
    </row>
    <row r="4191">
      <c r="A4191" s="33" t="n">
        <v>4192</v>
      </c>
      <c r="B4191" t="inlineStr">
        <is>
          <t>A-490__552</t>
        </is>
      </c>
      <c r="C4191" s="1" t="n">
        <v>37.490723829</v>
      </c>
      <c r="D4191" s="1" t="n">
        <v>-7.25070210136</v>
      </c>
      <c r="E4191" s="3" t="n">
        <v>1</v>
      </c>
      <c r="F4191" s="2" t="n">
        <v>3</v>
      </c>
      <c r="G4191" s="4" t="n">
        <v>3</v>
      </c>
      <c r="H4191" s="13" t="n">
        <v>3</v>
      </c>
      <c r="I4191" s="34" t="n">
        <v>2</v>
      </c>
      <c r="J4191" s="35" t="n">
        <v>3</v>
      </c>
      <c r="K4191" s="2" t="inlineStr">
        <is>
          <t>marker_941_818633.png</t>
        </is>
      </c>
      <c r="L4191" s="36">
        <f>HYPERLINK("NoConsenso\" &amp; K4191, "Ver Imagen")</f>
        <v/>
      </c>
      <c r="M4191" t="inlineStr">
        <is>
          <t>Mediana</t>
        </is>
      </c>
    </row>
    <row r="4192">
      <c r="A4192" s="33" t="n">
        <v>4193</v>
      </c>
      <c r="B4192" t="inlineStr">
        <is>
          <t>A-490__588</t>
        </is>
      </c>
      <c r="C4192" s="1" t="n">
        <v>37.4902634263</v>
      </c>
      <c r="D4192" s="1" t="n">
        <v>-7.25966374009</v>
      </c>
      <c r="E4192" s="3" t="n">
        <v>1</v>
      </c>
      <c r="F4192" s="2" t="n">
        <v>3</v>
      </c>
      <c r="G4192" s="4" t="n">
        <v>3</v>
      </c>
      <c r="H4192" s="13" t="n">
        <v>2</v>
      </c>
      <c r="I4192" s="34" t="n">
        <v>2</v>
      </c>
      <c r="J4192" s="35" t="n">
        <v>2</v>
      </c>
      <c r="K4192" s="2" t="inlineStr">
        <is>
          <t>marker_957_819600.png</t>
        </is>
      </c>
      <c r="L4192" s="36">
        <f>HYPERLINK("NoConsenso\" &amp; K4192, "Ver Imagen")</f>
        <v/>
      </c>
      <c r="M4192" t="inlineStr">
        <is>
          <t>Mediana</t>
        </is>
      </c>
    </row>
    <row r="4193">
      <c r="A4193" s="33" t="n">
        <v>4194</v>
      </c>
      <c r="B4193" t="inlineStr">
        <is>
          <t>A-490__595</t>
        </is>
      </c>
      <c r="C4193" s="1" t="n">
        <v>37.4913352977</v>
      </c>
      <c r="D4193" s="1" t="n">
        <v>-7.26085115518</v>
      </c>
      <c r="E4193" s="3" t="n">
        <v>1</v>
      </c>
      <c r="F4193" s="2" t="n">
        <v>3</v>
      </c>
      <c r="G4193" s="4" t="n">
        <v>3</v>
      </c>
      <c r="H4193" s="13" t="n">
        <v>3</v>
      </c>
      <c r="I4193" s="34" t="n">
        <v>2</v>
      </c>
      <c r="J4193" s="35" t="n">
        <v>3</v>
      </c>
      <c r="K4193" s="2" t="inlineStr">
        <is>
          <t>marker_988_819694.png</t>
        </is>
      </c>
      <c r="L4193" s="36">
        <f>HYPERLINK("NoConsenso\" &amp; K4193, "Ver Imagen")</f>
        <v/>
      </c>
      <c r="M4193" t="inlineStr">
        <is>
          <t>Mediana</t>
        </is>
      </c>
    </row>
    <row r="4194">
      <c r="A4194" s="33" t="n">
        <v>4195</v>
      </c>
      <c r="B4194" t="inlineStr">
        <is>
          <t>A-490__601</t>
        </is>
      </c>
      <c r="C4194" s="1" t="n">
        <v>37.4922821455</v>
      </c>
      <c r="D4194" s="1" t="n">
        <v>-7.26178364191</v>
      </c>
      <c r="E4194" s="3" t="n">
        <v>1</v>
      </c>
      <c r="F4194" s="2" t="n">
        <v>2</v>
      </c>
      <c r="G4194" s="4" t="n">
        <v>3</v>
      </c>
      <c r="H4194" s="13" t="n">
        <v>2</v>
      </c>
      <c r="I4194" s="34" t="n">
        <v>2</v>
      </c>
      <c r="J4194" s="35" t="n">
        <v>2</v>
      </c>
      <c r="K4194" s="2" t="inlineStr">
        <is>
          <t>marker_186_819883.png</t>
        </is>
      </c>
      <c r="L4194" s="36">
        <f>HYPERLINK("NoConsenso\" &amp; K4194, "Ver Imagen")</f>
        <v/>
      </c>
      <c r="M4194" t="inlineStr">
        <is>
          <t>Mediana</t>
        </is>
      </c>
    </row>
    <row r="4195">
      <c r="A4195" s="33" t="n">
        <v>4196</v>
      </c>
      <c r="B4195" t="inlineStr">
        <is>
          <t>A-490__602</t>
        </is>
      </c>
      <c r="C4195" s="1" t="n">
        <v>37.4924183122</v>
      </c>
      <c r="D4195" s="1" t="n">
        <v>-7.26193183171</v>
      </c>
      <c r="E4195" s="3" t="n">
        <v>1</v>
      </c>
      <c r="F4195" s="2" t="n">
        <v>2</v>
      </c>
      <c r="G4195" s="4" t="n">
        <v>3</v>
      </c>
      <c r="H4195" s="13" t="n">
        <v>2</v>
      </c>
      <c r="I4195" s="34" t="n">
        <v>2</v>
      </c>
      <c r="J4195" s="35" t="n">
        <v>2</v>
      </c>
      <c r="K4195" s="2" t="inlineStr">
        <is>
          <t>marker_727_820116.png</t>
        </is>
      </c>
      <c r="L4195" s="36">
        <f>HYPERLINK("NoConsenso\" &amp; K4195, "Ver Imagen")</f>
        <v/>
      </c>
      <c r="M4195" t="inlineStr">
        <is>
          <t>Mediana</t>
        </is>
      </c>
    </row>
    <row r="4196">
      <c r="A4196" s="33" t="n">
        <v>4197</v>
      </c>
      <c r="B4196" t="inlineStr">
        <is>
          <t>A-490__615</t>
        </is>
      </c>
      <c r="C4196" s="1" t="n">
        <v>37.4936792264</v>
      </c>
      <c r="D4196" s="1" t="n">
        <v>-7.26483256528</v>
      </c>
      <c r="E4196" s="3" t="n">
        <v>1</v>
      </c>
      <c r="F4196" s="2" t="n">
        <v>3</v>
      </c>
      <c r="G4196" s="4" t="n">
        <v>3</v>
      </c>
      <c r="H4196" s="13" t="n">
        <v>3</v>
      </c>
      <c r="I4196" s="34" t="n">
        <v>2</v>
      </c>
      <c r="J4196" s="35" t="n">
        <v>3</v>
      </c>
      <c r="K4196" s="2" t="inlineStr">
        <is>
          <t>marker_354_820254.png</t>
        </is>
      </c>
      <c r="L4196" s="36">
        <f>HYPERLINK("NoConsenso\" &amp; K4196, "Ver Imagen")</f>
        <v/>
      </c>
      <c r="M4196" t="inlineStr">
        <is>
          <t>Mediana</t>
        </is>
      </c>
    </row>
    <row r="4197">
      <c r="A4197" s="33" t="n">
        <v>4198</v>
      </c>
      <c r="B4197" t="inlineStr">
        <is>
          <t>A-490__616</t>
        </is>
      </c>
      <c r="C4197" s="1" t="n">
        <v>37.4937909384</v>
      </c>
      <c r="D4197" s="1" t="n">
        <v>-7.26504942717</v>
      </c>
      <c r="E4197" s="3" t="n">
        <v>1</v>
      </c>
      <c r="F4197" s="2" t="n">
        <v>3</v>
      </c>
      <c r="G4197" s="4" t="n">
        <v>3</v>
      </c>
      <c r="H4197" s="13" t="n">
        <v>3</v>
      </c>
      <c r="I4197" s="34" t="n">
        <v>3</v>
      </c>
      <c r="J4197" s="35" t="n">
        <v>3</v>
      </c>
      <c r="K4197" s="2" t="inlineStr">
        <is>
          <t>marker_694_820265.png</t>
        </is>
      </c>
      <c r="L4197" s="36">
        <f>HYPERLINK("NoConsenso\" &amp; K4197, "Ver Imagen")</f>
        <v/>
      </c>
      <c r="M4197" t="inlineStr">
        <is>
          <t>Mediana</t>
        </is>
      </c>
    </row>
    <row r="4198">
      <c r="A4198" s="33" t="n">
        <v>4199</v>
      </c>
      <c r="B4198" t="inlineStr">
        <is>
          <t>A-490__619</t>
        </is>
      </c>
      <c r="C4198" s="1" t="n">
        <v>37.4941662336</v>
      </c>
      <c r="D4198" s="1" t="n">
        <v>-7.26564329185</v>
      </c>
      <c r="E4198" s="3" t="n">
        <v>1</v>
      </c>
      <c r="F4198" s="2" t="n">
        <v>3</v>
      </c>
      <c r="G4198" s="4" t="n">
        <v>3</v>
      </c>
      <c r="H4198" s="13" t="n">
        <v>3</v>
      </c>
      <c r="I4198" s="34" t="n">
        <v>2</v>
      </c>
      <c r="J4198" s="35" t="n">
        <v>3</v>
      </c>
      <c r="K4198" s="2" t="inlineStr">
        <is>
          <t>marker_206_820296.png</t>
        </is>
      </c>
      <c r="L4198" s="36">
        <f>HYPERLINK("NoConsenso\" &amp; K4198, "Ver Imagen")</f>
        <v/>
      </c>
      <c r="M4198" t="inlineStr">
        <is>
          <t>Mediana</t>
        </is>
      </c>
    </row>
    <row r="4199">
      <c r="A4199" s="33" t="n">
        <v>4200</v>
      </c>
      <c r="B4199" t="inlineStr">
        <is>
          <t>A-490__622</t>
        </is>
      </c>
      <c r="C4199" s="1" t="n">
        <v>37.4945537552</v>
      </c>
      <c r="D4199" s="1" t="n">
        <v>-7.2662345513</v>
      </c>
      <c r="E4199" s="3" t="n">
        <v>1</v>
      </c>
      <c r="F4199" s="2" t="n">
        <v>3</v>
      </c>
      <c r="G4199" s="4" t="n">
        <v>3</v>
      </c>
      <c r="H4199" s="13" t="n">
        <v>3</v>
      </c>
      <c r="I4199" s="34" t="n">
        <v>2</v>
      </c>
      <c r="J4199" s="35" t="n">
        <v>3</v>
      </c>
      <c r="K4199" s="2" t="inlineStr">
        <is>
          <t>marker_779_820331.png</t>
        </is>
      </c>
      <c r="L4199" s="36">
        <f>HYPERLINK("NoConsenso\" &amp; K4199, "Ver Imagen")</f>
        <v/>
      </c>
      <c r="M4199" t="inlineStr">
        <is>
          <t>Mediana</t>
        </is>
      </c>
    </row>
    <row r="4200">
      <c r="A4200" s="33" t="n">
        <v>4201</v>
      </c>
      <c r="B4200" t="inlineStr">
        <is>
          <t>A-492__98</t>
        </is>
      </c>
      <c r="C4200" s="1" t="n">
        <v>37.2796831867</v>
      </c>
      <c r="D4200" s="1" t="n">
        <v>-7.00681331947</v>
      </c>
      <c r="E4200" s="3" t="n">
        <v>1</v>
      </c>
      <c r="F4200" s="2" t="n">
        <v>3</v>
      </c>
      <c r="G4200" s="4" t="n">
        <v>3</v>
      </c>
      <c r="H4200" s="13" t="n">
        <v>2</v>
      </c>
      <c r="I4200" s="34" t="n">
        <v>2</v>
      </c>
      <c r="J4200" s="35" t="n">
        <v>2</v>
      </c>
      <c r="K4200" s="2" t="inlineStr">
        <is>
          <t>marker_650_823736.png</t>
        </is>
      </c>
      <c r="L4200" s="36">
        <f>HYPERLINK("NoConsenso\" &amp; K4200, "Ver Imagen")</f>
        <v/>
      </c>
      <c r="M4200" t="inlineStr">
        <is>
          <t>Mediana</t>
        </is>
      </c>
    </row>
    <row r="4201">
      <c r="A4201" s="33" t="n">
        <v>4202</v>
      </c>
      <c r="B4201" t="inlineStr">
        <is>
          <t>A-492__99</t>
        </is>
      </c>
      <c r="C4201" s="1" t="n">
        <v>37.279596014</v>
      </c>
      <c r="D4201" s="1" t="n">
        <v>-7.00703726148</v>
      </c>
      <c r="E4201" s="3" t="n">
        <v>1</v>
      </c>
      <c r="F4201" s="2" t="n">
        <v>1</v>
      </c>
      <c r="G4201" s="4" t="n">
        <v>3</v>
      </c>
      <c r="H4201" s="13" t="n">
        <v>3</v>
      </c>
      <c r="I4201" s="34" t="n">
        <v>2</v>
      </c>
      <c r="J4201" s="35" t="n">
        <v>2</v>
      </c>
      <c r="K4201" s="2" t="inlineStr">
        <is>
          <t>marker_578_823746.png</t>
        </is>
      </c>
      <c r="L4201" s="36">
        <f>HYPERLINK("NoConsenso\" &amp; K4201, "Ver Imagen")</f>
        <v/>
      </c>
      <c r="M4201" t="inlineStr">
        <is>
          <t>Mediana</t>
        </is>
      </c>
    </row>
    <row r="4202">
      <c r="A4202" s="33" t="n">
        <v>4203</v>
      </c>
      <c r="B4202" t="inlineStr">
        <is>
          <t>A-492__100</t>
        </is>
      </c>
      <c r="C4202" s="1" t="n">
        <v>37.2795040542</v>
      </c>
      <c r="D4202" s="1" t="n">
        <v>-7.00727374153</v>
      </c>
      <c r="E4202" s="3" t="n">
        <v>1</v>
      </c>
      <c r="F4202" s="2" t="n">
        <v>2</v>
      </c>
      <c r="G4202" s="4" t="n">
        <v>3</v>
      </c>
      <c r="H4202" s="13" t="n">
        <v>2</v>
      </c>
      <c r="I4202" s="34" t="n">
        <v>2</v>
      </c>
      <c r="J4202" s="35" t="n">
        <v>2</v>
      </c>
      <c r="K4202" s="2" t="inlineStr">
        <is>
          <t>marker_319_823762.png</t>
        </is>
      </c>
      <c r="L4202" s="36">
        <f>HYPERLINK("NoConsenso\" &amp; K4202, "Ver Imagen")</f>
        <v/>
      </c>
      <c r="M4202" t="inlineStr">
        <is>
          <t>Mediana</t>
        </is>
      </c>
    </row>
    <row r="4203">
      <c r="A4203" s="33" t="n">
        <v>4204</v>
      </c>
      <c r="B4203" t="inlineStr">
        <is>
          <t>A-492__102</t>
        </is>
      </c>
      <c r="C4203" s="1" t="n">
        <v>37.2793175806</v>
      </c>
      <c r="D4203" s="1" t="n">
        <v>-7.00775130675</v>
      </c>
      <c r="E4203" s="3" t="n">
        <v>1</v>
      </c>
      <c r="F4203" s="2" t="n">
        <v>3</v>
      </c>
      <c r="G4203" s="4" t="n">
        <v>3</v>
      </c>
      <c r="H4203" s="13" t="n">
        <v>3</v>
      </c>
      <c r="I4203" s="34" t="n">
        <v>2</v>
      </c>
      <c r="J4203" s="37" t="n">
        <v>2</v>
      </c>
      <c r="K4203" s="2" t="inlineStr">
        <is>
          <t>marker_822_823784.png</t>
        </is>
      </c>
      <c r="L4203" s="36">
        <f>HYPERLINK("NoConsenso\" &amp; K4203, "Ver Imagen")</f>
        <v/>
      </c>
      <c r="M4203" s="37" t="inlineStr">
        <is>
          <t>Modificada</t>
        </is>
      </c>
    </row>
    <row r="4204">
      <c r="A4204" s="33" t="n">
        <v>4205</v>
      </c>
      <c r="B4204" t="inlineStr">
        <is>
          <t>A-492__103</t>
        </is>
      </c>
      <c r="C4204" s="1" t="n">
        <v>37.2792495324</v>
      </c>
      <c r="D4204" s="1" t="n">
        <v>-7.0079239662</v>
      </c>
      <c r="E4204" s="3" t="n">
        <v>1</v>
      </c>
      <c r="F4204" s="2" t="n">
        <v>2</v>
      </c>
      <c r="G4204" s="4" t="n">
        <v>3</v>
      </c>
      <c r="H4204" s="13" t="n">
        <v>2</v>
      </c>
      <c r="I4204" s="34" t="n">
        <v>2</v>
      </c>
      <c r="J4204" s="35" t="n">
        <v>2</v>
      </c>
      <c r="K4204" s="2" t="inlineStr">
        <is>
          <t>marker_222_823795.png</t>
        </is>
      </c>
      <c r="L4204" s="36">
        <f>HYPERLINK("NoConsenso\" &amp; K4204, "Ver Imagen")</f>
        <v/>
      </c>
      <c r="M4204" t="inlineStr">
        <is>
          <t>Mediana</t>
        </is>
      </c>
    </row>
    <row r="4205">
      <c r="A4205" s="33" t="n">
        <v>4206</v>
      </c>
      <c r="B4205" t="inlineStr">
        <is>
          <t>A-492__112</t>
        </is>
      </c>
      <c r="C4205" s="1" t="n">
        <v>37.2784074826</v>
      </c>
      <c r="D4205" s="1" t="n">
        <v>-7.00996167541</v>
      </c>
      <c r="E4205" s="3" t="n">
        <v>2</v>
      </c>
      <c r="F4205" s="2" t="n">
        <v>4</v>
      </c>
      <c r="G4205" s="4" t="n">
        <v>3</v>
      </c>
      <c r="H4205" s="13" t="n">
        <v>3</v>
      </c>
      <c r="I4205" s="34" t="n">
        <v>3</v>
      </c>
      <c r="J4205" s="35" t="n">
        <v>3</v>
      </c>
      <c r="K4205" s="2" t="inlineStr">
        <is>
          <t>marker_419_824313.png</t>
        </is>
      </c>
      <c r="L4205" s="36">
        <f>HYPERLINK("NoConsenso\" &amp; K4205, "Ver Imagen")</f>
        <v/>
      </c>
      <c r="M4205" t="inlineStr">
        <is>
          <t>Mediana</t>
        </is>
      </c>
    </row>
    <row r="4206">
      <c r="A4206" s="33" t="n">
        <v>4207</v>
      </c>
      <c r="B4206" t="inlineStr">
        <is>
          <t>A-492__132</t>
        </is>
      </c>
      <c r="C4206" s="1" t="n">
        <v>37.2761965827</v>
      </c>
      <c r="D4206" s="1" t="n">
        <v>-7.01417126114</v>
      </c>
      <c r="E4206" s="3" t="n">
        <v>3</v>
      </c>
      <c r="F4206" s="2" t="n">
        <v>2</v>
      </c>
      <c r="G4206" s="4" t="n">
        <v>4</v>
      </c>
      <c r="H4206" s="13" t="n">
        <v>3</v>
      </c>
      <c r="I4206" s="34" t="n">
        <v>3</v>
      </c>
      <c r="J4206" s="35" t="n">
        <v>3</v>
      </c>
      <c r="K4206" s="2" t="inlineStr">
        <is>
          <t>marker_271_824565.png</t>
        </is>
      </c>
      <c r="L4206" s="36">
        <f>HYPERLINK("NoConsenso\" &amp; K4206, "Ver Imagen")</f>
        <v/>
      </c>
      <c r="M4206" t="inlineStr">
        <is>
          <t>Mediana</t>
        </is>
      </c>
    </row>
    <row r="4207">
      <c r="A4207" s="33" t="n">
        <v>4208</v>
      </c>
      <c r="B4207" t="inlineStr">
        <is>
          <t>A-492__139</t>
        </is>
      </c>
      <c r="C4207" s="1" t="n">
        <v>37.2756161601</v>
      </c>
      <c r="D4207" s="1" t="n">
        <v>-7.01561164286</v>
      </c>
      <c r="E4207" s="3" t="n">
        <v>3</v>
      </c>
      <c r="F4207" s="2" t="n">
        <v>2</v>
      </c>
      <c r="G4207" s="4" t="n">
        <v>4</v>
      </c>
      <c r="H4207" s="13" t="n">
        <v>2</v>
      </c>
      <c r="I4207" s="34" t="n">
        <v>3</v>
      </c>
      <c r="J4207" s="37" t="n">
        <v>2</v>
      </c>
      <c r="K4207" s="2" t="inlineStr">
        <is>
          <t>marker_746_824661.png</t>
        </is>
      </c>
      <c r="L4207" s="36">
        <f>HYPERLINK("NoConsenso\" &amp; K4207, "Ver Imagen")</f>
        <v/>
      </c>
      <c r="M4207" s="37" t="inlineStr">
        <is>
          <t>Modificada</t>
        </is>
      </c>
    </row>
    <row r="4208">
      <c r="A4208" s="33" t="n">
        <v>4209</v>
      </c>
      <c r="B4208" t="inlineStr">
        <is>
          <t>A-492__158</t>
        </is>
      </c>
      <c r="C4208" s="1" t="n">
        <v>37.2758184153</v>
      </c>
      <c r="D4208" s="1" t="n">
        <v>-7.02025871643</v>
      </c>
      <c r="E4208" s="3" t="n">
        <v>1</v>
      </c>
      <c r="F4208" s="2" t="n">
        <v>2</v>
      </c>
      <c r="G4208" s="4" t="n">
        <v>3</v>
      </c>
      <c r="H4208" s="13" t="n">
        <v>2</v>
      </c>
      <c r="I4208" s="34" t="n">
        <v>1</v>
      </c>
      <c r="J4208" s="35" t="n">
        <v>2</v>
      </c>
      <c r="K4208" s="2" t="inlineStr">
        <is>
          <t>marker_494_824929.png</t>
        </is>
      </c>
      <c r="L4208" s="36">
        <f>HYPERLINK("NoConsenso\" &amp; K4208, "Ver Imagen")</f>
        <v/>
      </c>
      <c r="M4208" t="inlineStr">
        <is>
          <t>Mediana</t>
        </is>
      </c>
    </row>
    <row r="4209">
      <c r="A4209" s="33" t="n">
        <v>4210</v>
      </c>
      <c r="B4209" t="inlineStr">
        <is>
          <t>A-492__165</t>
        </is>
      </c>
      <c r="C4209" s="1" t="n">
        <v>37.2760512738</v>
      </c>
      <c r="D4209" s="1" t="n">
        <v>-7.02200994889</v>
      </c>
      <c r="E4209" s="3" t="n">
        <v>1</v>
      </c>
      <c r="F4209" s="2" t="n">
        <v>3</v>
      </c>
      <c r="G4209" s="4" t="n">
        <v>3</v>
      </c>
      <c r="H4209" s="13" t="n">
        <v>3</v>
      </c>
      <c r="I4209" s="34" t="n">
        <v>3</v>
      </c>
      <c r="J4209" s="35" t="n">
        <v>3</v>
      </c>
      <c r="K4209" s="2" t="inlineStr">
        <is>
          <t>marker_968_831380.png</t>
        </is>
      </c>
      <c r="L4209" s="36">
        <f>HYPERLINK("NoConsenso\" &amp; K4209, "Ver Imagen")</f>
        <v/>
      </c>
      <c r="M4209" t="inlineStr">
        <is>
          <t>Mediana</t>
        </is>
      </c>
    </row>
    <row r="4210">
      <c r="A4210" s="33" t="n">
        <v>4211</v>
      </c>
      <c r="B4210" t="inlineStr">
        <is>
          <t>A-492__168</t>
        </is>
      </c>
      <c r="C4210" s="1" t="n">
        <v>37.2761613926</v>
      </c>
      <c r="D4210" s="1" t="n">
        <v>-7.02277515416</v>
      </c>
      <c r="E4210" s="3" t="n">
        <v>3</v>
      </c>
      <c r="F4210" s="2" t="n">
        <v>1</v>
      </c>
      <c r="G4210" s="4" t="n">
        <v>3</v>
      </c>
      <c r="H4210" s="13" t="n">
        <v>2</v>
      </c>
      <c r="I4210" s="34" t="n">
        <v>1</v>
      </c>
      <c r="J4210" s="37" t="n">
        <v>1</v>
      </c>
      <c r="K4210" s="2" t="inlineStr">
        <is>
          <t>marker_533_831425.png</t>
        </is>
      </c>
      <c r="L4210" s="36">
        <f>HYPERLINK("NoConsenso\" &amp; K4210, "Ver Imagen")</f>
        <v/>
      </c>
      <c r="M4210" s="37" t="inlineStr">
        <is>
          <t>Modificada</t>
        </is>
      </c>
    </row>
    <row r="4211">
      <c r="A4211" s="33" t="n">
        <v>4212</v>
      </c>
      <c r="B4211" t="inlineStr">
        <is>
          <t>A-492__189</t>
        </is>
      </c>
      <c r="C4211" s="1" t="n">
        <v>37.2770514012</v>
      </c>
      <c r="D4211" s="1" t="n">
        <v>-7.02794018428</v>
      </c>
      <c r="E4211" s="3" t="n">
        <v>1</v>
      </c>
      <c r="F4211" s="2" t="n">
        <v>3</v>
      </c>
      <c r="G4211" s="4" t="n">
        <v>3</v>
      </c>
      <c r="H4211" s="13" t="n">
        <v>3</v>
      </c>
      <c r="I4211" s="34" t="n">
        <v>2</v>
      </c>
      <c r="J4211" s="35" t="n">
        <v>3</v>
      </c>
      <c r="K4211" s="2" t="inlineStr">
        <is>
          <t>marker_139_831790.png</t>
        </is>
      </c>
      <c r="L4211" s="36">
        <f>HYPERLINK("NoConsenso\" &amp; K4211, "Ver Imagen")</f>
        <v/>
      </c>
      <c r="M4211" t="inlineStr">
        <is>
          <t>Mediana</t>
        </is>
      </c>
    </row>
    <row r="4212">
      <c r="A4212" s="33" t="n">
        <v>4213</v>
      </c>
      <c r="B4212" t="inlineStr">
        <is>
          <t>A-492__218</t>
        </is>
      </c>
      <c r="C4212" s="1" t="n">
        <v>37.2816588588</v>
      </c>
      <c r="D4212" s="1" t="n">
        <v>-7.03221795849</v>
      </c>
      <c r="E4212" s="3" t="n">
        <v>1</v>
      </c>
      <c r="F4212" s="2" t="n">
        <v>3</v>
      </c>
      <c r="G4212" s="4" t="n">
        <v>3</v>
      </c>
      <c r="H4212" s="13" t="n">
        <v>2</v>
      </c>
      <c r="I4212" s="34" t="n">
        <v>2</v>
      </c>
      <c r="J4212" s="35" t="n">
        <v>2</v>
      </c>
      <c r="K4212" s="2" t="inlineStr">
        <is>
          <t>marker_360_832790.png</t>
        </is>
      </c>
      <c r="L4212" s="36">
        <f>HYPERLINK("NoConsenso\" &amp; K4212, "Ver Imagen")</f>
        <v/>
      </c>
      <c r="M4212" t="inlineStr">
        <is>
          <t>Mediana</t>
        </is>
      </c>
    </row>
    <row r="4213">
      <c r="A4213" s="33" t="n">
        <v>4214</v>
      </c>
      <c r="B4213" t="inlineStr">
        <is>
          <t>A-492__231</t>
        </is>
      </c>
      <c r="C4213" s="1" t="n">
        <v>37.2837302185</v>
      </c>
      <c r="D4213" s="1" t="n">
        <v>-7.03414425341</v>
      </c>
      <c r="E4213" s="3" t="n">
        <v>1</v>
      </c>
      <c r="F4213" s="2" t="n">
        <v>3</v>
      </c>
      <c r="G4213" s="4" t="n">
        <v>3</v>
      </c>
      <c r="H4213" s="13" t="n">
        <v>2</v>
      </c>
      <c r="I4213" s="34" t="n">
        <v>1</v>
      </c>
      <c r="J4213" s="35" t="n">
        <v>2</v>
      </c>
      <c r="K4213" s="2" t="inlineStr">
        <is>
          <t>marker_654_835828.png</t>
        </is>
      </c>
      <c r="L4213" s="36">
        <f>HYPERLINK("NoConsenso\" &amp; K4213, "Ver Imagen")</f>
        <v/>
      </c>
      <c r="M4213" t="inlineStr">
        <is>
          <t>Mediana</t>
        </is>
      </c>
    </row>
    <row r="4214">
      <c r="A4214" s="33" t="n">
        <v>4215</v>
      </c>
      <c r="B4214" t="inlineStr">
        <is>
          <t>A-492__269</t>
        </is>
      </c>
      <c r="C4214" s="1" t="n">
        <v>37.2871388577</v>
      </c>
      <c r="D4214" s="1" t="n">
        <v>-7.04202278312</v>
      </c>
      <c r="E4214" s="3" t="n">
        <v>1</v>
      </c>
      <c r="F4214" s="2" t="n">
        <v>2</v>
      </c>
      <c r="G4214" s="4" t="n">
        <v>3</v>
      </c>
      <c r="H4214" s="13" t="n">
        <v>2</v>
      </c>
      <c r="I4214" s="34" t="n">
        <v>2</v>
      </c>
      <c r="J4214" s="35" t="n">
        <v>2</v>
      </c>
      <c r="K4214" s="2" t="inlineStr">
        <is>
          <t>marker_617_836739.png</t>
        </is>
      </c>
      <c r="L4214" s="36">
        <f>HYPERLINK("NoConsenso\" &amp; K4214, "Ver Imagen")</f>
        <v/>
      </c>
      <c r="M4214" t="inlineStr">
        <is>
          <t>Mediana</t>
        </is>
      </c>
    </row>
    <row r="4215">
      <c r="A4215" s="33" t="n">
        <v>4216</v>
      </c>
      <c r="B4215" t="inlineStr">
        <is>
          <t>A-492__271</t>
        </is>
      </c>
      <c r="C4215" s="1" t="n">
        <v>37.2874597839</v>
      </c>
      <c r="D4215" s="1" t="n">
        <v>-7.04216881736</v>
      </c>
      <c r="E4215" s="3" t="n">
        <v>1</v>
      </c>
      <c r="F4215" s="2" t="n">
        <v>2</v>
      </c>
      <c r="G4215" s="4" t="n">
        <v>3</v>
      </c>
      <c r="H4215" s="13" t="n">
        <v>2</v>
      </c>
      <c r="I4215" s="34" t="n">
        <v>2</v>
      </c>
      <c r="J4215" s="35" t="n">
        <v>2</v>
      </c>
      <c r="K4215" s="2" t="inlineStr">
        <is>
          <t>marker_297_836795.png</t>
        </is>
      </c>
      <c r="L4215" s="36">
        <f>HYPERLINK("NoConsenso\" &amp; K4215, "Ver Imagen")</f>
        <v/>
      </c>
      <c r="M4215" t="inlineStr">
        <is>
          <t>Mediana</t>
        </is>
      </c>
    </row>
    <row r="4216">
      <c r="A4216" s="33" t="n">
        <v>4217</v>
      </c>
      <c r="B4216" t="inlineStr">
        <is>
          <t>A-492__275</t>
        </is>
      </c>
      <c r="C4216" s="1" t="n">
        <v>37.2882232109</v>
      </c>
      <c r="D4216" s="1" t="n">
        <v>-7.04258399885</v>
      </c>
      <c r="E4216" s="3" t="n">
        <v>1</v>
      </c>
      <c r="F4216" s="2" t="n">
        <v>2</v>
      </c>
      <c r="G4216" s="4" t="n">
        <v>3</v>
      </c>
      <c r="H4216" s="13" t="n">
        <v>2</v>
      </c>
      <c r="I4216" s="34" t="n">
        <v>2</v>
      </c>
      <c r="J4216" s="35" t="n">
        <v>2</v>
      </c>
      <c r="K4216" s="2" t="inlineStr">
        <is>
          <t>marker_547_836855.png</t>
        </is>
      </c>
      <c r="L4216" s="36">
        <f>HYPERLINK("NoConsenso\" &amp; K4216, "Ver Imagen")</f>
        <v/>
      </c>
      <c r="M4216" t="inlineStr">
        <is>
          <t>Mediana</t>
        </is>
      </c>
    </row>
    <row r="4217">
      <c r="A4217" s="33" t="n">
        <v>4218</v>
      </c>
      <c r="B4217" t="inlineStr">
        <is>
          <t>A-492__276</t>
        </is>
      </c>
      <c r="C4217" s="1" t="n">
        <v>37.2883960812</v>
      </c>
      <c r="D4217" s="1" t="n">
        <v>-7.04272226298</v>
      </c>
      <c r="E4217" s="3" t="n">
        <v>1</v>
      </c>
      <c r="F4217" s="2" t="n">
        <v>2</v>
      </c>
      <c r="G4217" s="4" t="n">
        <v>3</v>
      </c>
      <c r="H4217" s="13" t="n">
        <v>2</v>
      </c>
      <c r="I4217" s="34" t="n">
        <v>1</v>
      </c>
      <c r="J4217" s="35" t="n">
        <v>2</v>
      </c>
      <c r="K4217" s="2" t="inlineStr">
        <is>
          <t>marker_782_836865.png</t>
        </is>
      </c>
      <c r="L4217" s="36">
        <f>HYPERLINK("NoConsenso\" &amp; K4217, "Ver Imagen")</f>
        <v/>
      </c>
      <c r="M4217" t="inlineStr">
        <is>
          <t>Mediana</t>
        </is>
      </c>
    </row>
    <row r="4218">
      <c r="A4218" s="33" t="n">
        <v>4219</v>
      </c>
      <c r="B4218" t="inlineStr">
        <is>
          <t>A-492__287</t>
        </is>
      </c>
      <c r="C4218" s="1" t="n">
        <v>37.2899326883</v>
      </c>
      <c r="D4218" s="1" t="n">
        <v>-7.04477131076</v>
      </c>
      <c r="E4218" s="3" t="n">
        <v>1</v>
      </c>
      <c r="F4218" s="2" t="n">
        <v>2</v>
      </c>
      <c r="G4218" s="4" t="n">
        <v>3</v>
      </c>
      <c r="H4218" s="13" t="n">
        <v>2</v>
      </c>
      <c r="I4218" s="34" t="n">
        <v>1</v>
      </c>
      <c r="J4218" s="35" t="n">
        <v>2</v>
      </c>
      <c r="K4218" s="2" t="inlineStr">
        <is>
          <t>marker_213_837381.png</t>
        </is>
      </c>
      <c r="L4218" s="36">
        <f>HYPERLINK("NoConsenso\" &amp; K4218, "Ver Imagen")</f>
        <v/>
      </c>
      <c r="M4218" t="inlineStr">
        <is>
          <t>Mediana</t>
        </is>
      </c>
    </row>
    <row r="4219">
      <c r="A4219" s="33" t="n">
        <v>4220</v>
      </c>
      <c r="B4219" t="inlineStr">
        <is>
          <t>A-492__360</t>
        </is>
      </c>
      <c r="C4219" s="1" t="n">
        <v>37.3008802251</v>
      </c>
      <c r="D4219" s="1" t="n">
        <v>-7.05607795337</v>
      </c>
      <c r="E4219" s="3" t="n">
        <v>3</v>
      </c>
      <c r="F4219" s="2" t="n">
        <v>2</v>
      </c>
      <c r="G4219" s="4" t="n">
        <v>4</v>
      </c>
      <c r="H4219" s="13" t="n">
        <v>3</v>
      </c>
      <c r="I4219" s="34" t="n">
        <v>3</v>
      </c>
      <c r="J4219" s="35" t="n">
        <v>3</v>
      </c>
      <c r="K4219" s="2" t="inlineStr">
        <is>
          <t>marker_125_838628.png</t>
        </is>
      </c>
      <c r="L4219" s="36">
        <f>HYPERLINK("NoConsenso\" &amp; K4219, "Ver Imagen")</f>
        <v/>
      </c>
      <c r="M4219" t="inlineStr">
        <is>
          <t>Mediana</t>
        </is>
      </c>
    </row>
    <row r="4220">
      <c r="A4220" s="33" t="n">
        <v>4221</v>
      </c>
      <c r="B4220" t="inlineStr">
        <is>
          <t>A-492__421</t>
        </is>
      </c>
      <c r="C4220" s="1" t="n">
        <v>37.3122825968</v>
      </c>
      <c r="D4220" s="1" t="n">
        <v>-7.06061671691</v>
      </c>
      <c r="E4220" s="3" t="n">
        <v>1</v>
      </c>
      <c r="F4220" s="2" t="n">
        <v>3</v>
      </c>
      <c r="G4220" s="4" t="n">
        <v>3</v>
      </c>
      <c r="H4220" s="13" t="n">
        <v>2</v>
      </c>
      <c r="I4220" s="34" t="n">
        <v>2</v>
      </c>
      <c r="J4220" s="35" t="n">
        <v>2</v>
      </c>
      <c r="K4220" s="2" t="inlineStr">
        <is>
          <t>marker_798_839426.png</t>
        </is>
      </c>
      <c r="L4220" s="36">
        <f>HYPERLINK("NoConsenso\" &amp; K4220, "Ver Imagen")</f>
        <v/>
      </c>
      <c r="M4220" t="inlineStr">
        <is>
          <t>Mediana</t>
        </is>
      </c>
    </row>
    <row r="4221">
      <c r="A4221" s="33" t="n">
        <v>4222</v>
      </c>
      <c r="B4221" t="inlineStr">
        <is>
          <t>A-492__431</t>
        </is>
      </c>
      <c r="C4221" s="1" t="n">
        <v>37.313469113</v>
      </c>
      <c r="D4221" s="1" t="n">
        <v>-7.06259714696</v>
      </c>
      <c r="E4221" s="3" t="n">
        <v>1</v>
      </c>
      <c r="F4221" s="2" t="n">
        <v>2</v>
      </c>
      <c r="G4221" s="4" t="n">
        <v>3</v>
      </c>
      <c r="H4221" s="13" t="n">
        <v>2</v>
      </c>
      <c r="I4221" s="34" t="n">
        <v>1</v>
      </c>
      <c r="J4221" s="35" t="n">
        <v>2</v>
      </c>
      <c r="K4221" s="2" t="inlineStr">
        <is>
          <t>marker_969_839538.png</t>
        </is>
      </c>
      <c r="L4221" s="36">
        <f>HYPERLINK("NoConsenso\" &amp; K4221, "Ver Imagen")</f>
        <v/>
      </c>
      <c r="M4221" t="inlineStr">
        <is>
          <t>Mediana</t>
        </is>
      </c>
    </row>
    <row r="4222">
      <c r="A4222" s="33" t="n">
        <v>4224</v>
      </c>
      <c r="B4222" t="inlineStr">
        <is>
          <t>A-497__29</t>
        </is>
      </c>
      <c r="C4222" s="1" t="n">
        <v>37.2674988355</v>
      </c>
      <c r="D4222" s="1" t="n">
        <v>-6.96300693076</v>
      </c>
      <c r="E4222" s="3" t="n">
        <v>2</v>
      </c>
      <c r="F4222" s="2" t="n">
        <v>4</v>
      </c>
      <c r="G4222" s="4" t="n">
        <v>3</v>
      </c>
      <c r="H4222" s="13" t="n">
        <v>3</v>
      </c>
      <c r="I4222" s="34" t="n">
        <v>4</v>
      </c>
      <c r="J4222" s="35" t="n">
        <v>3</v>
      </c>
      <c r="K4222" s="2" t="inlineStr">
        <is>
          <t>marker_793_940881.png</t>
        </is>
      </c>
      <c r="L4222" s="36">
        <f>HYPERLINK("NoConsenso\" &amp; K4222, "Ver Imagen")</f>
        <v/>
      </c>
      <c r="M4222" t="inlineStr">
        <is>
          <t>Mediana</t>
        </is>
      </c>
    </row>
    <row r="4223">
      <c r="A4223" s="33" t="n">
        <v>4225</v>
      </c>
      <c r="B4223" t="inlineStr">
        <is>
          <t>A-497__28</t>
        </is>
      </c>
      <c r="C4223" s="1" t="n">
        <v>37.2674934602</v>
      </c>
      <c r="D4223" s="1" t="n">
        <v>-6.96276168285</v>
      </c>
      <c r="E4223" s="3" t="n">
        <v>2</v>
      </c>
      <c r="F4223" s="2" t="n">
        <v>4</v>
      </c>
      <c r="G4223" s="4" t="n">
        <v>3</v>
      </c>
      <c r="H4223" s="13" t="n">
        <v>4</v>
      </c>
      <c r="I4223" s="34" t="n">
        <v>4</v>
      </c>
      <c r="J4223" s="35" t="n">
        <v>4</v>
      </c>
      <c r="K4223" s="2" t="inlineStr">
        <is>
          <t>marker_401_940890.png</t>
        </is>
      </c>
      <c r="L4223" s="36">
        <f>HYPERLINK("NoConsenso\" &amp; K4223, "Ver Imagen")</f>
        <v/>
      </c>
      <c r="M4223" t="inlineStr">
        <is>
          <t>Mediana</t>
        </is>
      </c>
    </row>
    <row r="4224">
      <c r="A4224" s="33" t="n">
        <v>4226</v>
      </c>
      <c r="B4224" t="inlineStr">
        <is>
          <t>A-5050__172</t>
        </is>
      </c>
      <c r="C4224" s="1" t="n">
        <v>37.1908928269</v>
      </c>
      <c r="D4224" s="1" t="n">
        <v>-6.99077082497</v>
      </c>
      <c r="E4224" s="3" t="n">
        <v>1</v>
      </c>
      <c r="F4224" s="2" t="n">
        <v>3</v>
      </c>
      <c r="G4224" s="4" t="n">
        <v>3</v>
      </c>
      <c r="H4224" s="13" t="n">
        <v>2</v>
      </c>
      <c r="I4224" s="34" t="n">
        <v>2</v>
      </c>
      <c r="J4224" s="35" t="n">
        <v>2</v>
      </c>
      <c r="K4224" s="2" t="inlineStr">
        <is>
          <t>marker_878_944262.png</t>
        </is>
      </c>
      <c r="L4224" s="36">
        <f>HYPERLINK("NoConsenso\" &amp; K4224, "Ver Imagen")</f>
        <v/>
      </c>
      <c r="M4224" t="inlineStr">
        <is>
          <t>Mediana</t>
        </is>
      </c>
    </row>
    <row r="4225">
      <c r="A4225" s="33" t="n">
        <v>4227</v>
      </c>
      <c r="B4225" t="inlineStr">
        <is>
          <t>A-5050__157</t>
        </is>
      </c>
      <c r="C4225" s="1" t="n">
        <v>37.1924475628</v>
      </c>
      <c r="D4225" s="1" t="n">
        <v>-6.99400389229</v>
      </c>
      <c r="E4225" s="3" t="n">
        <v>2</v>
      </c>
      <c r="F4225" s="2" t="n">
        <v>4</v>
      </c>
      <c r="G4225" s="4" t="n">
        <v>3</v>
      </c>
      <c r="H4225" s="13" t="n">
        <v>3</v>
      </c>
      <c r="I4225" s="34" t="n">
        <v>4</v>
      </c>
      <c r="J4225" s="35" t="n">
        <v>3</v>
      </c>
      <c r="K4225" s="2" t="inlineStr">
        <is>
          <t>marker_264_945291.png</t>
        </is>
      </c>
      <c r="L4225" s="36">
        <f>HYPERLINK("NoConsenso\" &amp; K4225, "Ver Imagen")</f>
        <v/>
      </c>
      <c r="M4225" t="inlineStr">
        <is>
          <t>Mediana</t>
        </is>
      </c>
    </row>
    <row r="4226">
      <c r="A4226" s="33" t="n">
        <v>4228</v>
      </c>
      <c r="B4226" t="inlineStr">
        <is>
          <t>A-5052__139</t>
        </is>
      </c>
      <c r="C4226" s="1" t="n">
        <v>37.2162632909</v>
      </c>
      <c r="D4226" s="1" t="n">
        <v>-7.09118486984</v>
      </c>
      <c r="E4226" s="3" t="n">
        <v>2</v>
      </c>
      <c r="F4226" s="2" t="n">
        <v>4</v>
      </c>
      <c r="G4226" s="4" t="n">
        <v>3</v>
      </c>
      <c r="H4226" s="13" t="n">
        <v>3</v>
      </c>
      <c r="I4226" s="34" t="n">
        <v>3</v>
      </c>
      <c r="J4226" s="35" t="n">
        <v>3</v>
      </c>
      <c r="K4226" s="2" t="inlineStr">
        <is>
          <t>marker_241_958219.png</t>
        </is>
      </c>
      <c r="L4226" s="36">
        <f>HYPERLINK("NoConsenso\" &amp; K4226, "Ver Imagen")</f>
        <v/>
      </c>
      <c r="M4226" t="inlineStr">
        <is>
          <t>Mediana</t>
        </is>
      </c>
    </row>
    <row r="4227">
      <c r="A4227" s="33" t="n">
        <v>4229</v>
      </c>
      <c r="B4227" t="inlineStr">
        <is>
          <t>A-5052__279</t>
        </is>
      </c>
      <c r="C4227" s="1" t="n">
        <v>37.2113174485</v>
      </c>
      <c r="D4227" s="1" t="n">
        <v>-7.05677582557</v>
      </c>
      <c r="E4227" s="3" t="n">
        <v>2</v>
      </c>
      <c r="F4227" s="2" t="n">
        <v>4</v>
      </c>
      <c r="G4227" s="4" t="n">
        <v>3</v>
      </c>
      <c r="H4227" s="13" t="n">
        <v>3</v>
      </c>
      <c r="I4227" s="34" t="n">
        <v>3</v>
      </c>
      <c r="J4227" s="35" t="n">
        <v>3</v>
      </c>
      <c r="K4227" s="2" t="inlineStr">
        <is>
          <t>marker_614_960507.png</t>
        </is>
      </c>
      <c r="L4227" s="36">
        <f>HYPERLINK("NoConsenso\" &amp; K4227, "Ver Imagen")</f>
        <v/>
      </c>
      <c r="M4227" t="inlineStr">
        <is>
          <t>Mediana</t>
        </is>
      </c>
    </row>
    <row r="4228">
      <c r="A4228" s="33" t="n">
        <v>4230</v>
      </c>
      <c r="B4228" t="inlineStr">
        <is>
          <t>A-5052__296</t>
        </is>
      </c>
      <c r="C4228" s="1" t="n">
        <v>37.2107889284</v>
      </c>
      <c r="D4228" s="1" t="n">
        <v>-7.05254965021</v>
      </c>
      <c r="E4228" s="3" t="n">
        <v>2</v>
      </c>
      <c r="F4228" s="2" t="n">
        <v>4</v>
      </c>
      <c r="G4228" s="4" t="n">
        <v>3</v>
      </c>
      <c r="H4228" s="13" t="n">
        <v>3</v>
      </c>
      <c r="I4228" s="34" t="n">
        <v>3</v>
      </c>
      <c r="J4228" s="35" t="n">
        <v>3</v>
      </c>
      <c r="K4228" s="2" t="inlineStr">
        <is>
          <t>marker_990_960779.png</t>
        </is>
      </c>
      <c r="L4228" s="36">
        <f>HYPERLINK("NoConsenso\" &amp; K4228, "Ver Imagen")</f>
        <v/>
      </c>
      <c r="M4228" t="inlineStr">
        <is>
          <t>Mediana</t>
        </is>
      </c>
    </row>
    <row r="4229">
      <c r="A4229" s="33" t="n">
        <v>4231</v>
      </c>
      <c r="B4229" t="inlineStr">
        <is>
          <t>A-5052__299</t>
        </is>
      </c>
      <c r="C4229" s="1" t="n">
        <v>37.2108140904</v>
      </c>
      <c r="D4229" s="1" t="n">
        <v>-7.05180267578</v>
      </c>
      <c r="E4229" s="3" t="n">
        <v>2</v>
      </c>
      <c r="F4229" s="2" t="n">
        <v>4</v>
      </c>
      <c r="G4229" s="4" t="n">
        <v>3</v>
      </c>
      <c r="H4229" s="13" t="n">
        <v>3</v>
      </c>
      <c r="I4229" s="34" t="n">
        <v>4</v>
      </c>
      <c r="J4229" s="37" t="n">
        <v>4</v>
      </c>
      <c r="K4229" s="2" t="inlineStr">
        <is>
          <t>marker_156_960898.png</t>
        </is>
      </c>
      <c r="L4229" s="36">
        <f>HYPERLINK("NoConsenso\" &amp; K4229, "Ver Imagen")</f>
        <v/>
      </c>
      <c r="M4229" s="37" t="inlineStr">
        <is>
          <t>Modificada</t>
        </is>
      </c>
    </row>
    <row r="4230">
      <c r="A4230" s="33" t="n">
        <v>4232</v>
      </c>
      <c r="B4230" t="inlineStr">
        <is>
          <t>A-5052__300</t>
        </is>
      </c>
      <c r="C4230" s="1" t="n">
        <v>37.2108399171</v>
      </c>
      <c r="D4230" s="1" t="n">
        <v>-7.0515339725</v>
      </c>
      <c r="E4230" s="3" t="n">
        <v>2</v>
      </c>
      <c r="F4230" s="2" t="n">
        <v>4</v>
      </c>
      <c r="G4230" s="4" t="n">
        <v>3</v>
      </c>
      <c r="H4230" s="13" t="n">
        <v>3</v>
      </c>
      <c r="I4230" s="34" t="n">
        <v>3</v>
      </c>
      <c r="J4230" s="35" t="n">
        <v>3</v>
      </c>
      <c r="K4230" s="2" t="inlineStr">
        <is>
          <t>marker_259_960909.png</t>
        </is>
      </c>
      <c r="L4230" s="36">
        <f>HYPERLINK("NoConsenso\" &amp; K4230, "Ver Imagen")</f>
        <v/>
      </c>
      <c r="M4230" t="inlineStr">
        <is>
          <t>Mediana</t>
        </is>
      </c>
    </row>
    <row r="4231">
      <c r="A4231" s="33" t="n">
        <v>4233</v>
      </c>
      <c r="B4231" t="inlineStr">
        <is>
          <t>A-5052__408</t>
        </is>
      </c>
      <c r="C4231" s="1" t="n">
        <v>37.2041468612</v>
      </c>
      <c r="D4231" s="1" t="n">
        <v>-7.02656262825</v>
      </c>
      <c r="E4231" s="3" t="n">
        <v>5</v>
      </c>
      <c r="F4231" s="2" t="n">
        <v>4</v>
      </c>
      <c r="G4231" s="4" t="n">
        <v>3</v>
      </c>
      <c r="H4231" s="13" t="n">
        <v>3</v>
      </c>
      <c r="I4231" s="34" t="n">
        <v>3</v>
      </c>
      <c r="J4231" s="35" t="n">
        <v>3</v>
      </c>
      <c r="K4231" s="2" t="inlineStr">
        <is>
          <t>marker_340_962755.png</t>
        </is>
      </c>
      <c r="L4231" s="36">
        <f>HYPERLINK("NoConsenso\" &amp; K4231, "Ver Imagen")</f>
        <v/>
      </c>
      <c r="M4231" t="inlineStr">
        <is>
          <t>Mediana</t>
        </is>
      </c>
    </row>
    <row r="4232">
      <c r="A4232" s="33" t="n">
        <v>4234</v>
      </c>
      <c r="B4232" t="inlineStr">
        <is>
          <t>A-5053__251</t>
        </is>
      </c>
      <c r="C4232" s="1" t="n">
        <v>37.2675996782</v>
      </c>
      <c r="D4232" s="1" t="n">
        <v>-7.13418204295</v>
      </c>
      <c r="E4232" s="3" t="n">
        <v>5</v>
      </c>
      <c r="F4232" s="2" t="n">
        <v>4</v>
      </c>
      <c r="G4232" s="4" t="n">
        <v>3</v>
      </c>
      <c r="H4232" s="13" t="n">
        <v>4</v>
      </c>
      <c r="I4232" s="34" t="n">
        <v>4</v>
      </c>
      <c r="J4232" s="35" t="n">
        <v>4</v>
      </c>
      <c r="K4232" s="2" t="inlineStr">
        <is>
          <t>marker_472_965341.png</t>
        </is>
      </c>
      <c r="L4232" s="36">
        <f>HYPERLINK("NoConsenso\" &amp; K4232, "Ver Imagen")</f>
        <v/>
      </c>
      <c r="M4232" t="inlineStr">
        <is>
          <t>Mediana</t>
        </is>
      </c>
    </row>
    <row r="4233">
      <c r="A4233" s="33" t="n">
        <v>4235</v>
      </c>
      <c r="B4233" t="inlineStr">
        <is>
          <t>A-495__77</t>
        </is>
      </c>
      <c r="C4233" s="1" t="n">
        <v>37.4379935426</v>
      </c>
      <c r="D4233" s="1" t="n">
        <v>-7.08269907644</v>
      </c>
      <c r="E4233" s="3" t="n">
        <v>3</v>
      </c>
      <c r="F4233" s="2" t="n">
        <v>3</v>
      </c>
      <c r="G4233" s="4" t="n">
        <v>5</v>
      </c>
      <c r="H4233" s="13" t="n">
        <v>3</v>
      </c>
      <c r="I4233" s="34" t="n">
        <v>4</v>
      </c>
      <c r="J4233" s="35" t="n">
        <v>3</v>
      </c>
      <c r="K4233" s="2" t="inlineStr">
        <is>
          <t>marker_516_381900.png</t>
        </is>
      </c>
      <c r="L4233" s="36">
        <f>HYPERLINK("NoConsenso\" &amp; K4233, "Ver Imagen")</f>
        <v/>
      </c>
      <c r="M4233" t="inlineStr">
        <is>
          <t>Mediana</t>
        </is>
      </c>
    </row>
    <row r="4234">
      <c r="A4234" s="33" t="n">
        <v>4236</v>
      </c>
      <c r="B4234" t="inlineStr">
        <is>
          <t>A-5058__48</t>
        </is>
      </c>
      <c r="C4234" s="1" t="n">
        <v>37.2247535008</v>
      </c>
      <c r="D4234" s="1" t="n">
        <v>-7.03900807395</v>
      </c>
      <c r="E4234" s="3" t="n">
        <v>3</v>
      </c>
      <c r="F4234" s="2" t="n">
        <v>1</v>
      </c>
      <c r="G4234" s="4" t="n">
        <v>3</v>
      </c>
      <c r="H4234" s="13" t="n">
        <v>2</v>
      </c>
      <c r="I4234" s="34" t="n">
        <v>2</v>
      </c>
      <c r="J4234" s="35" t="n">
        <v>2</v>
      </c>
      <c r="K4234" s="2" t="inlineStr">
        <is>
          <t>marker_100_380512.png</t>
        </is>
      </c>
      <c r="L4234" s="36">
        <f>HYPERLINK("NoConsenso\" &amp; K4234, "Ver Imagen")</f>
        <v/>
      </c>
      <c r="M4234" t="inlineStr">
        <is>
          <t>Mediana</t>
        </is>
      </c>
    </row>
    <row r="4235">
      <c r="A4235" s="33" t="n">
        <v>4237</v>
      </c>
      <c r="B4235" t="inlineStr">
        <is>
          <t>A-5058__106</t>
        </is>
      </c>
      <c r="C4235" s="1" t="n">
        <v>37.2312785491</v>
      </c>
      <c r="D4235" s="1" t="n">
        <v>-7.05094470035</v>
      </c>
      <c r="E4235" s="3" t="n">
        <v>3</v>
      </c>
      <c r="F4235" s="2" t="n">
        <v>1</v>
      </c>
      <c r="G4235" s="4" t="n">
        <v>3</v>
      </c>
      <c r="H4235" s="13" t="n">
        <v>2</v>
      </c>
      <c r="I4235" s="34" t="n">
        <v>2</v>
      </c>
      <c r="J4235" s="35" t="n">
        <v>2</v>
      </c>
      <c r="K4235" s="2" t="inlineStr">
        <is>
          <t>marker_547_381200.png</t>
        </is>
      </c>
      <c r="L4235" s="36">
        <f>HYPERLINK("NoConsenso\" &amp; K4235, "Ver Imagen")</f>
        <v/>
      </c>
      <c r="M4235" t="inlineStr">
        <is>
          <t>Mediana</t>
        </is>
      </c>
    </row>
    <row r="4236">
      <c r="A4236" s="33" t="n">
        <v>4238</v>
      </c>
      <c r="B4236" t="inlineStr">
        <is>
          <t>A-5058__144</t>
        </is>
      </c>
      <c r="C4236" s="1" t="n">
        <v>37.2341375328</v>
      </c>
      <c r="D4236" s="1" t="n">
        <v>-7.05974339607</v>
      </c>
      <c r="E4236" s="3" t="n">
        <v>3</v>
      </c>
      <c r="F4236" s="2" t="n">
        <v>1</v>
      </c>
      <c r="G4236" s="4" t="n">
        <v>3</v>
      </c>
      <c r="H4236" s="13" t="n">
        <v>2</v>
      </c>
      <c r="I4236" s="34" t="n">
        <v>1</v>
      </c>
      <c r="J4236" s="35" t="n">
        <v>2</v>
      </c>
      <c r="K4236" s="2" t="inlineStr">
        <is>
          <t>marker_164_381631.png</t>
        </is>
      </c>
      <c r="L4236" s="36">
        <f>HYPERLINK("NoConsenso\" &amp; K4236, "Ver Imagen")</f>
        <v/>
      </c>
      <c r="M4236" t="inlineStr">
        <is>
          <t>Mediana</t>
        </is>
      </c>
    </row>
    <row r="4237">
      <c r="A4237" s="33" t="n">
        <v>4239</v>
      </c>
      <c r="B4237" t="inlineStr">
        <is>
          <t>A-5058__331</t>
        </is>
      </c>
      <c r="C4237" s="1" t="n">
        <v>37.2481019737</v>
      </c>
      <c r="D4237" s="1" t="n">
        <v>-7.10156740511</v>
      </c>
      <c r="E4237" s="3" t="n">
        <v>3</v>
      </c>
      <c r="F4237" s="2" t="n">
        <v>1</v>
      </c>
      <c r="G4237" s="4" t="n">
        <v>3</v>
      </c>
      <c r="H4237" s="13" t="n">
        <v>2</v>
      </c>
      <c r="I4237" s="34" t="n">
        <v>2</v>
      </c>
      <c r="J4237" s="35" t="n">
        <v>2</v>
      </c>
      <c r="K4237" s="2" t="inlineStr">
        <is>
          <t>marker_526_384645.png</t>
        </is>
      </c>
      <c r="L4237" s="36">
        <f>HYPERLINK("NoConsenso\" &amp; K4237, "Ver Imagen")</f>
        <v/>
      </c>
      <c r="M4237" t="inlineStr">
        <is>
          <t>Mediana</t>
        </is>
      </c>
    </row>
    <row r="4238">
      <c r="A4238" s="33" t="n">
        <v>4240</v>
      </c>
      <c r="B4238" t="inlineStr">
        <is>
          <t>A-5058__341</t>
        </is>
      </c>
      <c r="C4238" s="1" t="n">
        <v>37.2498528155</v>
      </c>
      <c r="D4238" s="1" t="n">
        <v>-7.10274843141</v>
      </c>
      <c r="E4238" s="3" t="n">
        <v>3</v>
      </c>
      <c r="F4238" s="2" t="n">
        <v>1</v>
      </c>
      <c r="G4238" s="4" t="n">
        <v>3</v>
      </c>
      <c r="H4238" s="13" t="n">
        <v>2</v>
      </c>
      <c r="I4238" s="34" t="n">
        <v>1</v>
      </c>
      <c r="J4238" s="35" t="n">
        <v>2</v>
      </c>
      <c r="K4238" s="2" t="inlineStr">
        <is>
          <t>marker_314_384775.png</t>
        </is>
      </c>
      <c r="L4238" s="36">
        <f>HYPERLINK("NoConsenso\" &amp; K4238, "Ver Imagen")</f>
        <v/>
      </c>
      <c r="M4238" t="inlineStr">
        <is>
          <t>Mediana</t>
        </is>
      </c>
    </row>
    <row r="4239">
      <c r="A4239" s="33" t="n">
        <v>4241</v>
      </c>
      <c r="B4239" t="inlineStr">
        <is>
          <t>A-5058__358</t>
        </is>
      </c>
      <c r="C4239" s="1" t="n">
        <v>37.2526786751</v>
      </c>
      <c r="D4239" s="1" t="n">
        <v>-7.10509057539</v>
      </c>
      <c r="E4239" s="3" t="n">
        <v>3</v>
      </c>
      <c r="F4239" s="2" t="n">
        <v>1</v>
      </c>
      <c r="G4239" s="4" t="n">
        <v>3</v>
      </c>
      <c r="H4239" s="13" t="n">
        <v>2</v>
      </c>
      <c r="I4239" s="34" t="n">
        <v>2</v>
      </c>
      <c r="J4239" s="35" t="n">
        <v>2</v>
      </c>
      <c r="K4239" s="2" t="inlineStr">
        <is>
          <t>marker_681_384946.png</t>
        </is>
      </c>
      <c r="L4239" s="36">
        <f>HYPERLINK("NoConsenso\" &amp; K4239, "Ver Imagen")</f>
        <v/>
      </c>
      <c r="M4239" t="inlineStr">
        <is>
          <t>Mediana</t>
        </is>
      </c>
    </row>
    <row r="4240">
      <c r="A4240" s="33" t="n">
        <v>4242</v>
      </c>
      <c r="B4240" t="inlineStr">
        <is>
          <t>A-5058__366</t>
        </is>
      </c>
      <c r="C4240" s="1" t="n">
        <v>37.2534456376</v>
      </c>
      <c r="D4240" s="1" t="n">
        <v>-7.10687757457</v>
      </c>
      <c r="E4240" s="3" t="n">
        <v>3</v>
      </c>
      <c r="F4240" s="2" t="n">
        <v>1</v>
      </c>
      <c r="G4240" s="4" t="n">
        <v>3</v>
      </c>
      <c r="H4240" s="13" t="n">
        <v>2</v>
      </c>
      <c r="I4240" s="34" t="n">
        <v>1</v>
      </c>
      <c r="J4240" s="37" t="n">
        <v>1</v>
      </c>
      <c r="K4240" s="2" t="inlineStr">
        <is>
          <t>marker_448_385035.png</t>
        </is>
      </c>
      <c r="L4240" s="36">
        <f>HYPERLINK("NoConsenso\" &amp; K4240, "Ver Imagen")</f>
        <v/>
      </c>
      <c r="M4240" s="37" t="inlineStr">
        <is>
          <t>Modificada</t>
        </is>
      </c>
    </row>
    <row r="4241">
      <c r="A4241" s="33" t="n">
        <v>4243</v>
      </c>
      <c r="B4241" t="inlineStr">
        <is>
          <t>A-5058__367</t>
        </is>
      </c>
      <c r="C4241" s="1" t="n">
        <v>37.2535572184</v>
      </c>
      <c r="D4241" s="1" t="n">
        <v>-7.10706753444</v>
      </c>
      <c r="E4241" s="3" t="n">
        <v>3</v>
      </c>
      <c r="F4241" s="2" t="n">
        <v>1</v>
      </c>
      <c r="G4241" s="4" t="n">
        <v>3</v>
      </c>
      <c r="H4241" s="13" t="n">
        <v>2</v>
      </c>
      <c r="I4241" s="34" t="n">
        <v>1</v>
      </c>
      <c r="J4241" s="37" t="n">
        <v>1</v>
      </c>
      <c r="K4241" s="2" t="inlineStr">
        <is>
          <t>marker_232_385044.png</t>
        </is>
      </c>
      <c r="L4241" s="36">
        <f>HYPERLINK("NoConsenso\" &amp; K4241, "Ver Imagen")</f>
        <v/>
      </c>
      <c r="M4241" s="37" t="inlineStr">
        <is>
          <t>Modificada</t>
        </is>
      </c>
    </row>
    <row r="4242">
      <c r="A4242" s="33" t="n">
        <v>4244</v>
      </c>
      <c r="B4242" t="inlineStr">
        <is>
          <t>A-5058__377</t>
        </is>
      </c>
      <c r="C4242" s="1" t="n">
        <v>37.2549618647</v>
      </c>
      <c r="D4242" s="1" t="n">
        <v>-7.10877665718</v>
      </c>
      <c r="E4242" s="3" t="n">
        <v>3</v>
      </c>
      <c r="F4242" s="2" t="n">
        <v>1</v>
      </c>
      <c r="G4242" s="4" t="n">
        <v>3</v>
      </c>
      <c r="H4242" s="13" t="n">
        <v>1</v>
      </c>
      <c r="I4242" s="34" t="n">
        <v>1</v>
      </c>
      <c r="J4242" s="35" t="n">
        <v>1</v>
      </c>
      <c r="K4242" s="2" t="inlineStr">
        <is>
          <t>marker_802_385156.png</t>
        </is>
      </c>
      <c r="L4242" s="36">
        <f>HYPERLINK("NoConsenso\" &amp; K4242, "Ver Imagen")</f>
        <v/>
      </c>
      <c r="M4242" t="inlineStr">
        <is>
          <t>Mediana</t>
        </is>
      </c>
    </row>
    <row r="4243">
      <c r="A4243" s="33" t="n">
        <v>4245</v>
      </c>
      <c r="B4243" t="inlineStr">
        <is>
          <t>A-5058__379</t>
        </is>
      </c>
      <c r="C4243" s="1" t="n">
        <v>37.2550567832</v>
      </c>
      <c r="D4243" s="1" t="n">
        <v>-7.10925967448</v>
      </c>
      <c r="E4243" s="3" t="n">
        <v>3</v>
      </c>
      <c r="F4243" s="2" t="n">
        <v>1</v>
      </c>
      <c r="G4243" s="4" t="n">
        <v>3</v>
      </c>
      <c r="H4243" s="13" t="n">
        <v>2</v>
      </c>
      <c r="I4243" s="34" t="n">
        <v>2</v>
      </c>
      <c r="J4243" s="35" t="n">
        <v>2</v>
      </c>
      <c r="K4243" s="2" t="inlineStr">
        <is>
          <t>marker_840_385185.png</t>
        </is>
      </c>
      <c r="L4243" s="36">
        <f>HYPERLINK("NoConsenso\" &amp; K4243, "Ver Imagen")</f>
        <v/>
      </c>
      <c r="M4243" t="inlineStr">
        <is>
          <t>Mediana</t>
        </is>
      </c>
    </row>
    <row r="4244">
      <c r="A4244" s="33" t="n">
        <v>4246</v>
      </c>
      <c r="B4244" t="inlineStr">
        <is>
          <t>A-5058__415</t>
        </is>
      </c>
      <c r="C4244" s="1" t="n">
        <v>37.2553786832</v>
      </c>
      <c r="D4244" s="1" t="n">
        <v>-7.11781814538</v>
      </c>
      <c r="E4244" s="3" t="n">
        <v>3</v>
      </c>
      <c r="F4244" s="2" t="n">
        <v>1</v>
      </c>
      <c r="G4244" s="4" t="n">
        <v>3</v>
      </c>
      <c r="H4244" s="13" t="n">
        <v>2</v>
      </c>
      <c r="I4244" s="34" t="n">
        <v>2</v>
      </c>
      <c r="J4244" s="35" t="n">
        <v>2</v>
      </c>
      <c r="K4244" s="2" t="inlineStr">
        <is>
          <t>marker_147_388697.png</t>
        </is>
      </c>
      <c r="L4244" s="36">
        <f>HYPERLINK("NoConsenso\" &amp; K4244, "Ver Imagen")</f>
        <v/>
      </c>
      <c r="M4244" t="inlineStr">
        <is>
          <t>Mediana</t>
        </is>
      </c>
    </row>
    <row r="4245">
      <c r="A4245" s="33" t="n">
        <v>4247</v>
      </c>
      <c r="B4245" t="inlineStr">
        <is>
          <t>A-495__1</t>
        </is>
      </c>
      <c r="C4245" s="1" t="n">
        <v>37.4441055761</v>
      </c>
      <c r="D4245" s="1" t="n">
        <v>-7.10019786222</v>
      </c>
      <c r="E4245" s="3" t="n">
        <v>3</v>
      </c>
      <c r="F4245" s="2" t="n">
        <v>1</v>
      </c>
      <c r="G4245" s="4" t="n">
        <v>3</v>
      </c>
      <c r="H4245" s="13" t="n">
        <v>3</v>
      </c>
      <c r="I4245" s="34" t="n">
        <v>2</v>
      </c>
      <c r="J4245" s="38" t="n">
        <v>3</v>
      </c>
      <c r="K4245" s="2" t="inlineStr">
        <is>
          <t>marker_723_380965.png</t>
        </is>
      </c>
      <c r="L4245" s="36">
        <f>HYPERLINK("NoConsenso\" &amp; K4245, "Ver Imagen")</f>
        <v/>
      </c>
      <c r="M4245" t="inlineStr">
        <is>
          <t>Mediana</t>
        </is>
      </c>
    </row>
    <row r="4246">
      <c r="A4246" s="33" t="n">
        <v>4248</v>
      </c>
      <c r="B4246" t="inlineStr">
        <is>
          <t>A-499__43</t>
        </is>
      </c>
      <c r="C4246" s="1" t="n">
        <v>37.4949649942</v>
      </c>
      <c r="D4246" s="1" t="n">
        <v>-7.27666860145</v>
      </c>
      <c r="E4246" s="3" t="n">
        <v>3</v>
      </c>
      <c r="F4246" s="2" t="n">
        <v>1</v>
      </c>
      <c r="G4246" s="4" t="n">
        <v>3</v>
      </c>
      <c r="H4246" s="13" t="n">
        <v>2</v>
      </c>
      <c r="I4246" s="34" t="n">
        <v>2</v>
      </c>
      <c r="J4246" s="35" t="n">
        <v>2</v>
      </c>
      <c r="K4246" s="2" t="inlineStr">
        <is>
          <t>marker_542_534614.png</t>
        </is>
      </c>
      <c r="L4246" s="36">
        <f>HYPERLINK("NoConsenso\" &amp; K4246, "Ver Imagen")</f>
        <v/>
      </c>
      <c r="M4246" t="inlineStr">
        <is>
          <t>Mediana</t>
        </is>
      </c>
    </row>
    <row r="4247">
      <c r="A4247" s="33" t="n">
        <v>4249</v>
      </c>
      <c r="B4247" t="inlineStr">
        <is>
          <t>A-499__94</t>
        </is>
      </c>
      <c r="C4247" s="1" t="n">
        <v>37.4976382379</v>
      </c>
      <c r="D4247" s="1" t="n">
        <v>-7.2679107884</v>
      </c>
      <c r="E4247" s="3" t="n">
        <v>3</v>
      </c>
      <c r="F4247" s="2" t="n">
        <v>4</v>
      </c>
      <c r="G4247" s="4" t="n">
        <v>2</v>
      </c>
      <c r="H4247" s="13" t="n">
        <v>4</v>
      </c>
      <c r="I4247" s="34" t="n">
        <v>1</v>
      </c>
      <c r="J4247" s="37" t="n">
        <v>2</v>
      </c>
      <c r="K4247" s="2" t="inlineStr">
        <is>
          <t>marker_950_793121.png</t>
        </is>
      </c>
      <c r="L4247" s="36">
        <f>HYPERLINK("NoConsenso\" &amp; K4247, "Ver Imagen")</f>
        <v/>
      </c>
      <c r="M4247" s="37" t="inlineStr">
        <is>
          <t>Modificada</t>
        </is>
      </c>
    </row>
    <row r="4248">
      <c r="A4248" s="33" t="n">
        <v>4250</v>
      </c>
      <c r="B4248" t="inlineStr">
        <is>
          <t>A-497_2C__1</t>
        </is>
      </c>
      <c r="C4248" s="1" t="n">
        <v>37.2676533788</v>
      </c>
      <c r="D4248" s="1" t="n">
        <v>-6.95728339968</v>
      </c>
      <c r="E4248" s="3" t="n">
        <v>2</v>
      </c>
      <c r="F4248" s="2" t="n">
        <v>4</v>
      </c>
      <c r="G4248" s="4" t="n">
        <v>3</v>
      </c>
      <c r="H4248" s="13" t="n">
        <v>3</v>
      </c>
      <c r="I4248" s="34" t="n">
        <v>4</v>
      </c>
      <c r="J4248" s="35" t="n">
        <v>3</v>
      </c>
      <c r="K4248" s="2" t="inlineStr">
        <is>
          <t>marker_500_653725.png</t>
        </is>
      </c>
      <c r="L4248" s="36">
        <f>HYPERLINK("NoConsenso\" &amp; K4248, "Ver Imagen")</f>
        <v/>
      </c>
      <c r="M4248" t="inlineStr">
        <is>
          <t>Mediana</t>
        </is>
      </c>
    </row>
    <row r="4249">
      <c r="A4249" s="33" t="n">
        <v>4251</v>
      </c>
      <c r="B4249" t="inlineStr">
        <is>
          <t>A-499__198</t>
        </is>
      </c>
      <c r="C4249" s="1" t="n">
        <v>37.5168084288</v>
      </c>
      <c r="D4249" s="1" t="n">
        <v>-7.26623906682</v>
      </c>
      <c r="E4249" s="3" t="n">
        <v>2</v>
      </c>
      <c r="F4249" s="2" t="n">
        <v>1</v>
      </c>
      <c r="G4249" s="4" t="n">
        <v>3</v>
      </c>
      <c r="H4249" s="13" t="n">
        <v>2</v>
      </c>
      <c r="I4249" s="34" t="n">
        <v>1</v>
      </c>
      <c r="J4249" s="35" t="n">
        <v>2</v>
      </c>
      <c r="K4249" s="2" t="inlineStr">
        <is>
          <t>marker_522_796059.png</t>
        </is>
      </c>
      <c r="L4249" s="36">
        <f>HYPERLINK("NoConsenso\" &amp; K4249, "Ver Imagen")</f>
        <v/>
      </c>
      <c r="M4249" t="inlineStr">
        <is>
          <t>Mediana</t>
        </is>
      </c>
    </row>
    <row r="4250">
      <c r="A4250" s="33" t="n">
        <v>4252</v>
      </c>
      <c r="B4250" t="inlineStr">
        <is>
          <t>A-497_2C__116</t>
        </is>
      </c>
      <c r="C4250" s="1" t="n">
        <v>37.27179477</v>
      </c>
      <c r="D4250" s="1" t="n">
        <v>-6.98560046351</v>
      </c>
      <c r="E4250" s="3" t="n">
        <v>3</v>
      </c>
      <c r="F4250" s="2" t="n">
        <v>1</v>
      </c>
      <c r="G4250" s="4" t="n">
        <v>3</v>
      </c>
      <c r="H4250" s="13" t="n">
        <v>2</v>
      </c>
      <c r="I4250" s="34" t="n">
        <v>2</v>
      </c>
      <c r="J4250" s="35" t="n">
        <v>2</v>
      </c>
      <c r="K4250" s="2" t="inlineStr">
        <is>
          <t>marker_603_655646.png</t>
        </is>
      </c>
      <c r="L4250" s="36">
        <f>HYPERLINK("NoConsenso\" &amp; K4250, "Ver Imagen")</f>
        <v/>
      </c>
      <c r="M4250" t="inlineStr">
        <is>
          <t>Mediana</t>
        </is>
      </c>
    </row>
    <row r="4251">
      <c r="A4251" s="33" t="n">
        <v>4253</v>
      </c>
      <c r="B4251" t="inlineStr">
        <is>
          <t>A-497__529</t>
        </is>
      </c>
      <c r="C4251" s="1" t="n">
        <v>37.2063644429</v>
      </c>
      <c r="D4251" s="1" t="n">
        <v>-7.02006543344</v>
      </c>
      <c r="E4251" s="3" t="n">
        <v>3</v>
      </c>
      <c r="F4251" s="2" t="n">
        <v>1</v>
      </c>
      <c r="G4251" s="4" t="n">
        <v>3</v>
      </c>
      <c r="H4251" s="13" t="n">
        <v>1</v>
      </c>
      <c r="I4251" s="34" t="n">
        <v>1</v>
      </c>
      <c r="J4251" s="35" t="n">
        <v>1</v>
      </c>
      <c r="K4251" s="2" t="inlineStr">
        <is>
          <t>marker_548_372511.png</t>
        </is>
      </c>
      <c r="L4251" s="36">
        <f>HYPERLINK("NoConsenso\" &amp; K4251, "Ver Imagen")</f>
        <v/>
      </c>
      <c r="M4251" t="inlineStr">
        <is>
          <t>Mediana</t>
        </is>
      </c>
    </row>
    <row r="4252">
      <c r="A4252" s="33" t="n">
        <v>4254</v>
      </c>
      <c r="B4252" t="inlineStr">
        <is>
          <t>A-497__521</t>
        </is>
      </c>
      <c r="C4252" s="1" t="n">
        <v>37.207348985</v>
      </c>
      <c r="D4252" s="1" t="n">
        <v>-7.02157464857</v>
      </c>
      <c r="E4252" s="3" t="n">
        <v>3</v>
      </c>
      <c r="F4252" s="2" t="n">
        <v>1</v>
      </c>
      <c r="G4252" s="4" t="n">
        <v>3</v>
      </c>
      <c r="H4252" s="13" t="n">
        <v>2</v>
      </c>
      <c r="I4252" s="34" t="n">
        <v>2</v>
      </c>
      <c r="J4252" s="35" t="n">
        <v>2</v>
      </c>
      <c r="K4252" s="2" t="inlineStr">
        <is>
          <t>marker_579_372584.png</t>
        </is>
      </c>
      <c r="L4252" s="36">
        <f>HYPERLINK("NoConsenso\" &amp; K4252, "Ver Imagen")</f>
        <v/>
      </c>
      <c r="M4252" t="inlineStr">
        <is>
          <t>Mediana</t>
        </is>
      </c>
    </row>
    <row r="4253">
      <c r="A4253" s="33" t="n">
        <v>4255</v>
      </c>
      <c r="B4253" t="inlineStr">
        <is>
          <t>A-497_2C__378</t>
        </is>
      </c>
      <c r="C4253" s="1" t="n">
        <v>37.2337808787</v>
      </c>
      <c r="D4253" s="1" t="n">
        <v>-7.01818606614</v>
      </c>
      <c r="E4253" s="3" t="n">
        <v>3</v>
      </c>
      <c r="F4253" s="2" t="n">
        <v>1</v>
      </c>
      <c r="G4253" s="4" t="n">
        <v>3</v>
      </c>
      <c r="H4253" s="13" t="n">
        <v>2</v>
      </c>
      <c r="I4253" s="34" t="n">
        <v>1</v>
      </c>
      <c r="J4253" s="37" t="n">
        <v>1</v>
      </c>
      <c r="K4253" s="2" t="inlineStr">
        <is>
          <t>marker_704_362605.png</t>
        </is>
      </c>
      <c r="L4253" s="36">
        <f>HYPERLINK("NoConsenso\" &amp; K4253, "Ver Imagen")</f>
        <v/>
      </c>
      <c r="M4253" s="37" t="inlineStr">
        <is>
          <t>Modificada</t>
        </is>
      </c>
    </row>
    <row r="4254">
      <c r="A4254" s="33" t="n">
        <v>4256</v>
      </c>
      <c r="B4254" t="inlineStr">
        <is>
          <t>A-497__500</t>
        </is>
      </c>
      <c r="C4254" s="1" t="n">
        <v>37.2111560707</v>
      </c>
      <c r="D4254" s="1" t="n">
        <v>-7.0238089637</v>
      </c>
      <c r="E4254" s="3" t="n">
        <v>3</v>
      </c>
      <c r="F4254" s="2" t="n">
        <v>1</v>
      </c>
      <c r="G4254" s="4" t="n">
        <v>3</v>
      </c>
      <c r="H4254" s="13" t="n">
        <v>2</v>
      </c>
      <c r="I4254" s="34" t="n">
        <v>3</v>
      </c>
      <c r="J4254" s="37" t="n">
        <v>2</v>
      </c>
      <c r="K4254" s="2" t="inlineStr">
        <is>
          <t>marker_534_376098.png</t>
        </is>
      </c>
      <c r="L4254" s="36">
        <f>HYPERLINK("NoConsenso\" &amp; K4254, "Ver Imagen")</f>
        <v/>
      </c>
      <c r="M4254" s="37" t="inlineStr">
        <is>
          <t>Modificada</t>
        </is>
      </c>
    </row>
    <row r="4255">
      <c r="A4255" s="33" t="n">
        <v>4257</v>
      </c>
      <c r="B4255" t="inlineStr">
        <is>
          <t>A-497__249</t>
        </is>
      </c>
      <c r="C4255" s="1" t="n">
        <v>37.2595676116</v>
      </c>
      <c r="D4255" s="1" t="n">
        <v>-7.01178140935</v>
      </c>
      <c r="E4255" s="3" t="n">
        <v>3</v>
      </c>
      <c r="F4255" s="2" t="n">
        <v>1</v>
      </c>
      <c r="G4255" s="4" t="n">
        <v>3</v>
      </c>
      <c r="H4255" s="13" t="n">
        <v>1</v>
      </c>
      <c r="I4255" s="34" t="n">
        <v>2</v>
      </c>
      <c r="J4255" s="35" t="n">
        <v>2</v>
      </c>
      <c r="K4255" s="2" t="inlineStr">
        <is>
          <t>marker_192_378791.png</t>
        </is>
      </c>
      <c r="L4255" s="36">
        <f>HYPERLINK("NoConsenso\" &amp; K4255, "Ver Imagen")</f>
        <v/>
      </c>
      <c r="M4255" t="inlineStr">
        <is>
          <t>Mediana</t>
        </is>
      </c>
    </row>
    <row r="4256">
      <c r="A4256" s="33" t="n">
        <v>4258</v>
      </c>
      <c r="B4256" t="inlineStr">
        <is>
          <t>A-490__20</t>
        </is>
      </c>
      <c r="C4256" s="1" t="n">
        <v>37.4467321157</v>
      </c>
      <c r="D4256" s="1" t="n">
        <v>-7.13126886902</v>
      </c>
      <c r="E4256" s="3" t="n">
        <v>2</v>
      </c>
      <c r="F4256" s="2" t="n">
        <v>4</v>
      </c>
      <c r="G4256" s="4" t="n">
        <v>4</v>
      </c>
      <c r="H4256" s="13" t="n">
        <v>4</v>
      </c>
      <c r="I4256" s="34" t="n">
        <v>4</v>
      </c>
      <c r="J4256" s="35" t="n">
        <v>4</v>
      </c>
      <c r="K4256" s="2" t="inlineStr">
        <is>
          <t>marker_812_730666.png</t>
        </is>
      </c>
      <c r="L4256" s="36">
        <f>HYPERLINK("NoConsenso\" &amp; K4256, "Ver Imagen")</f>
        <v/>
      </c>
      <c r="M4256" t="inlineStr">
        <is>
          <t>Mediana</t>
        </is>
      </c>
    </row>
    <row r="4257">
      <c r="A4257" s="33" t="n">
        <v>4259</v>
      </c>
      <c r="B4257" t="inlineStr">
        <is>
          <t>A-490__33</t>
        </is>
      </c>
      <c r="C4257" s="1" t="n">
        <v>37.4462610945</v>
      </c>
      <c r="D4257" s="1" t="n">
        <v>-7.13447958234</v>
      </c>
      <c r="E4257" s="3" t="n">
        <v>2</v>
      </c>
      <c r="F4257" s="2" t="n">
        <v>4</v>
      </c>
      <c r="G4257" s="4" t="n">
        <v>4</v>
      </c>
      <c r="H4257" s="13" t="n">
        <v>4</v>
      </c>
      <c r="I4257" s="34" t="n">
        <v>4</v>
      </c>
      <c r="J4257" s="35" t="n">
        <v>4</v>
      </c>
      <c r="K4257" s="2" t="inlineStr">
        <is>
          <t>marker_703_731013.png</t>
        </is>
      </c>
      <c r="L4257" s="36">
        <f>HYPERLINK("NoConsenso\" &amp; K4257, "Ver Imagen")</f>
        <v/>
      </c>
      <c r="M4257" t="inlineStr">
        <is>
          <t>Mediana</t>
        </is>
      </c>
    </row>
    <row r="4258">
      <c r="A4258" s="33" t="n">
        <v>4260</v>
      </c>
      <c r="B4258" t="inlineStr">
        <is>
          <t>A-490__48</t>
        </is>
      </c>
      <c r="C4258" s="1" t="n">
        <v>37.4466478556</v>
      </c>
      <c r="D4258" s="1" t="n">
        <v>-7.1381317957</v>
      </c>
      <c r="E4258" s="3" t="n">
        <v>2</v>
      </c>
      <c r="F4258" s="2" t="n">
        <v>4</v>
      </c>
      <c r="G4258" s="4" t="n">
        <v>4</v>
      </c>
      <c r="H4258" s="13" t="n">
        <v>4</v>
      </c>
      <c r="I4258" s="34" t="n">
        <v>5</v>
      </c>
      <c r="J4258" s="35" t="n">
        <v>4</v>
      </c>
      <c r="K4258" s="2" t="inlineStr">
        <is>
          <t>marker_138_731408.png</t>
        </is>
      </c>
      <c r="L4258" s="36">
        <f>HYPERLINK("NoConsenso\" &amp; K4258, "Ver Imagen")</f>
        <v/>
      </c>
      <c r="M4258" t="inlineStr">
        <is>
          <t>Mediana</t>
        </is>
      </c>
    </row>
    <row r="4259">
      <c r="A4259" s="33" t="n">
        <v>4261</v>
      </c>
      <c r="B4259" t="inlineStr">
        <is>
          <t>A-490__53</t>
        </is>
      </c>
      <c r="C4259" s="1" t="n">
        <v>37.4469984994</v>
      </c>
      <c r="D4259" s="1" t="n">
        <v>-7.13928850498</v>
      </c>
      <c r="E4259" s="3" t="n">
        <v>2</v>
      </c>
      <c r="F4259" s="2" t="n">
        <v>3</v>
      </c>
      <c r="G4259" s="4" t="n">
        <v>4</v>
      </c>
      <c r="H4259" s="13" t="n">
        <v>4</v>
      </c>
      <c r="I4259" s="34" t="n">
        <v>4</v>
      </c>
      <c r="J4259" s="35" t="n">
        <v>4</v>
      </c>
      <c r="K4259" s="2" t="inlineStr">
        <is>
          <t>marker_865_732363.png</t>
        </is>
      </c>
      <c r="L4259" s="36">
        <f>HYPERLINK("NoConsenso\" &amp; K4259, "Ver Imagen")</f>
        <v/>
      </c>
      <c r="M4259" t="inlineStr">
        <is>
          <t>Mediana</t>
        </is>
      </c>
    </row>
    <row r="4260">
      <c r="A4260" s="33" t="n">
        <v>4262</v>
      </c>
      <c r="B4260" t="inlineStr">
        <is>
          <t>A-490__61</t>
        </is>
      </c>
      <c r="C4260" s="1" t="n">
        <v>37.4477772112</v>
      </c>
      <c r="D4260" s="1" t="n">
        <v>-7.14111973869</v>
      </c>
      <c r="E4260" s="3" t="n">
        <v>2</v>
      </c>
      <c r="F4260" s="2" t="n">
        <v>3</v>
      </c>
      <c r="G4260" s="4" t="n">
        <v>4</v>
      </c>
      <c r="H4260" s="13" t="n">
        <v>4</v>
      </c>
      <c r="I4260" s="34" t="n">
        <v>4</v>
      </c>
      <c r="J4260" s="35" t="n">
        <v>4</v>
      </c>
      <c r="K4260" s="2" t="inlineStr">
        <is>
          <t>marker_117_737930.png</t>
        </is>
      </c>
      <c r="L4260" s="36">
        <f>HYPERLINK("NoConsenso\" &amp; K4260, "Ver Imagen")</f>
        <v/>
      </c>
      <c r="M4260" t="inlineStr">
        <is>
          <t>Mediana</t>
        </is>
      </c>
    </row>
    <row r="4261">
      <c r="A4261" s="33" t="n">
        <v>4263</v>
      </c>
      <c r="B4261" t="inlineStr">
        <is>
          <t>A-490__62</t>
        </is>
      </c>
      <c r="C4261" s="1" t="n">
        <v>37.4478746438</v>
      </c>
      <c r="D4261" s="1" t="n">
        <v>-7.14132947062</v>
      </c>
      <c r="E4261" s="3" t="n">
        <v>2</v>
      </c>
      <c r="F4261" s="2" t="n">
        <v>3</v>
      </c>
      <c r="G4261" s="4" t="n">
        <v>4</v>
      </c>
      <c r="H4261" s="13" t="n">
        <v>4</v>
      </c>
      <c r="I4261" s="34" t="n">
        <v>4</v>
      </c>
      <c r="J4261" s="35" t="n">
        <v>4</v>
      </c>
      <c r="K4261" s="2" t="inlineStr">
        <is>
          <t>marker_655_737950.png</t>
        </is>
      </c>
      <c r="L4261" s="36">
        <f>HYPERLINK("NoConsenso\" &amp; K4261, "Ver Imagen")</f>
        <v/>
      </c>
      <c r="M4261" t="inlineStr">
        <is>
          <t>Mediana</t>
        </is>
      </c>
    </row>
    <row r="4262">
      <c r="A4262" s="33" t="n">
        <v>4264</v>
      </c>
      <c r="B4262" t="inlineStr">
        <is>
          <t>A-490__64</t>
        </is>
      </c>
      <c r="C4262" s="1" t="n">
        <v>37.4480969235</v>
      </c>
      <c r="D4262" s="1" t="n">
        <v>-7.14180151892</v>
      </c>
      <c r="E4262" s="3" t="n">
        <v>2</v>
      </c>
      <c r="F4262" s="2" t="n">
        <v>4</v>
      </c>
      <c r="G4262" s="4" t="n">
        <v>4</v>
      </c>
      <c r="H4262" s="13" t="n">
        <v>4</v>
      </c>
      <c r="I4262" s="34" t="n">
        <v>3</v>
      </c>
      <c r="J4262" s="35" t="n">
        <v>4</v>
      </c>
      <c r="K4262" s="2" t="inlineStr">
        <is>
          <t>marker_585_738000.png</t>
        </is>
      </c>
      <c r="L4262" s="36">
        <f>HYPERLINK("NoConsenso\" &amp; K4262, "Ver Imagen")</f>
        <v/>
      </c>
      <c r="M4262" t="inlineStr">
        <is>
          <t>Mediana</t>
        </is>
      </c>
    </row>
    <row r="4263">
      <c r="A4263" s="33" t="n">
        <v>4265</v>
      </c>
      <c r="B4263" t="inlineStr">
        <is>
          <t>A-490__98</t>
        </is>
      </c>
      <c r="C4263" s="1" t="n">
        <v>37.4490721472</v>
      </c>
      <c r="D4263" s="1" t="n">
        <v>-7.15021552077</v>
      </c>
      <c r="E4263" s="3" t="n">
        <v>2</v>
      </c>
      <c r="F4263" s="2" t="n">
        <v>3</v>
      </c>
      <c r="G4263" s="4" t="n">
        <v>4</v>
      </c>
      <c r="H4263" s="13" t="n">
        <v>3</v>
      </c>
      <c r="I4263" s="34" t="n">
        <v>3</v>
      </c>
      <c r="J4263" s="35" t="n">
        <v>3</v>
      </c>
      <c r="K4263" s="2" t="inlineStr">
        <is>
          <t>marker_340_739129.png</t>
        </is>
      </c>
      <c r="L4263" s="36">
        <f>HYPERLINK("NoConsenso\" &amp; K4263, "Ver Imagen")</f>
        <v/>
      </c>
      <c r="M4263" t="inlineStr">
        <is>
          <t>Mediana</t>
        </is>
      </c>
    </row>
    <row r="4264">
      <c r="A4264" s="33" t="n">
        <v>4266</v>
      </c>
      <c r="B4264" t="inlineStr">
        <is>
          <t>A-490__100</t>
        </is>
      </c>
      <c r="C4264" s="1" t="n">
        <v>37.4491930554</v>
      </c>
      <c r="D4264" s="1" t="n">
        <v>-7.15067141587</v>
      </c>
      <c r="E4264" s="3" t="n">
        <v>2</v>
      </c>
      <c r="F4264" s="2" t="n">
        <v>4</v>
      </c>
      <c r="G4264" s="4" t="n">
        <v>4</v>
      </c>
      <c r="H4264" s="13" t="n">
        <v>3</v>
      </c>
      <c r="I4264" s="34" t="n">
        <v>4</v>
      </c>
      <c r="J4264" s="37" t="n">
        <v>3</v>
      </c>
      <c r="K4264" s="2" t="inlineStr">
        <is>
          <t>marker_401_739162.png</t>
        </is>
      </c>
      <c r="L4264" s="36">
        <f>HYPERLINK("NoConsenso\" &amp; K4264, "Ver Imagen")</f>
        <v/>
      </c>
      <c r="M4264" s="37" t="inlineStr">
        <is>
          <t>Modificada</t>
        </is>
      </c>
    </row>
    <row r="4265">
      <c r="A4265" s="33" t="n">
        <v>4267</v>
      </c>
      <c r="B4265" t="inlineStr">
        <is>
          <t>A-490__113</t>
        </is>
      </c>
      <c r="C4265" s="1" t="n">
        <v>37.4506940003</v>
      </c>
      <c r="D4265" s="1" t="n">
        <v>-7.15338723849</v>
      </c>
      <c r="E4265" s="3" t="n">
        <v>2</v>
      </c>
      <c r="F4265" s="2" t="n">
        <v>3</v>
      </c>
      <c r="G4265" s="4" t="n">
        <v>4</v>
      </c>
      <c r="H4265" s="13" t="n">
        <v>3</v>
      </c>
      <c r="I4265" s="34" t="n">
        <v>3</v>
      </c>
      <c r="J4265" s="35" t="n">
        <v>3</v>
      </c>
      <c r="K4265" s="2" t="inlineStr">
        <is>
          <t>marker_207_739826.png</t>
        </is>
      </c>
      <c r="L4265" s="36">
        <f>HYPERLINK("NoConsenso\" &amp; K4265, "Ver Imagen")</f>
        <v/>
      </c>
      <c r="M4265" t="inlineStr">
        <is>
          <t>Mediana</t>
        </is>
      </c>
    </row>
    <row r="4266">
      <c r="A4266" s="33" t="n">
        <v>4268</v>
      </c>
      <c r="B4266" t="inlineStr">
        <is>
          <t>A-490__143</t>
        </is>
      </c>
      <c r="C4266" s="1" t="n">
        <v>37.4524942529</v>
      </c>
      <c r="D4266" s="1" t="n">
        <v>-7.16057975818</v>
      </c>
      <c r="E4266" s="3" t="n">
        <v>2</v>
      </c>
      <c r="F4266" s="2" t="n">
        <v>4</v>
      </c>
      <c r="G4266" s="4" t="n">
        <v>4</v>
      </c>
      <c r="H4266" s="13" t="n">
        <v>4</v>
      </c>
      <c r="I4266" s="34" t="n">
        <v>4</v>
      </c>
      <c r="J4266" s="35" t="n">
        <v>4</v>
      </c>
      <c r="K4266" s="2" t="inlineStr">
        <is>
          <t>marker_431_740593.png</t>
        </is>
      </c>
      <c r="L4266" s="36">
        <f>HYPERLINK("NoConsenso\" &amp; K4266, "Ver Imagen")</f>
        <v/>
      </c>
      <c r="M4266" t="inlineStr">
        <is>
          <t>Mediana</t>
        </is>
      </c>
    </row>
    <row r="4267">
      <c r="A4267" s="33" t="n">
        <v>4269</v>
      </c>
      <c r="B4267" t="inlineStr">
        <is>
          <t>A-490__144</t>
        </is>
      </c>
      <c r="C4267" s="1" t="n">
        <v>37.452568619</v>
      </c>
      <c r="D4267" s="1" t="n">
        <v>-7.16082954612</v>
      </c>
      <c r="E4267" s="3" t="n">
        <v>2</v>
      </c>
      <c r="F4267" s="2" t="n">
        <v>4</v>
      </c>
      <c r="G4267" s="4" t="n">
        <v>4</v>
      </c>
      <c r="H4267" s="13" t="n">
        <v>4</v>
      </c>
      <c r="I4267" s="34" t="n">
        <v>4</v>
      </c>
      <c r="J4267" s="35" t="n">
        <v>4</v>
      </c>
      <c r="K4267" s="2" t="inlineStr">
        <is>
          <t>marker_163_740611.png</t>
        </is>
      </c>
      <c r="L4267" s="36">
        <f>HYPERLINK("NoConsenso\" &amp; K4267, "Ver Imagen")</f>
        <v/>
      </c>
      <c r="M4267" t="inlineStr">
        <is>
          <t>Mediana</t>
        </is>
      </c>
    </row>
    <row r="4268">
      <c r="A4268" s="33" t="n">
        <v>4270</v>
      </c>
      <c r="B4268" t="inlineStr">
        <is>
          <t>A-490__173</t>
        </is>
      </c>
      <c r="C4268" s="1" t="n">
        <v>37.4559715439</v>
      </c>
      <c r="D4268" s="1" t="n">
        <v>-7.16676302319</v>
      </c>
      <c r="E4268" s="3" t="n">
        <v>2</v>
      </c>
      <c r="F4268" s="2" t="n">
        <v>4</v>
      </c>
      <c r="G4268" s="4" t="n">
        <v>4</v>
      </c>
      <c r="H4268" s="13" t="n">
        <v>3</v>
      </c>
      <c r="I4268" s="34" t="n">
        <v>3</v>
      </c>
      <c r="J4268" s="35" t="n">
        <v>3</v>
      </c>
      <c r="K4268" s="2" t="inlineStr">
        <is>
          <t>marker_602_741551.png</t>
        </is>
      </c>
      <c r="L4268" s="36">
        <f>HYPERLINK("NoConsenso\" &amp; K4268, "Ver Imagen")</f>
        <v/>
      </c>
      <c r="M4268" t="inlineStr">
        <is>
          <t>Mediana</t>
        </is>
      </c>
    </row>
    <row r="4269">
      <c r="A4269" s="33" t="n">
        <v>4271</v>
      </c>
      <c r="B4269" t="inlineStr">
        <is>
          <t>A-490__175</t>
        </is>
      </c>
      <c r="C4269" s="1" t="n">
        <v>37.45628314</v>
      </c>
      <c r="D4269" s="1" t="n">
        <v>-7.16714607513</v>
      </c>
      <c r="E4269" s="3" t="n">
        <v>2</v>
      </c>
      <c r="F4269" s="2" t="n">
        <v>4</v>
      </c>
      <c r="G4269" s="4" t="n">
        <v>4</v>
      </c>
      <c r="H4269" s="13" t="n">
        <v>4</v>
      </c>
      <c r="I4269" s="34" t="n">
        <v>4</v>
      </c>
      <c r="J4269" s="35" t="n">
        <v>4</v>
      </c>
      <c r="K4269" s="2" t="inlineStr">
        <is>
          <t>marker_360_741609.png</t>
        </is>
      </c>
      <c r="L4269" s="36">
        <f>HYPERLINK("NoConsenso\" &amp; K4269, "Ver Imagen")</f>
        <v/>
      </c>
      <c r="M4269" t="inlineStr">
        <is>
          <t>Mediana</t>
        </is>
      </c>
    </row>
    <row r="4270">
      <c r="A4270" s="33" t="n">
        <v>4272</v>
      </c>
      <c r="B4270" t="inlineStr">
        <is>
          <t>A-490__186</t>
        </is>
      </c>
      <c r="C4270" s="1" t="n">
        <v>37.4578516695</v>
      </c>
      <c r="D4270" s="1" t="n">
        <v>-7.16908299217</v>
      </c>
      <c r="E4270" s="3" t="n">
        <v>2</v>
      </c>
      <c r="F4270" s="2" t="n">
        <v>4</v>
      </c>
      <c r="G4270" s="4" t="n">
        <v>4</v>
      </c>
      <c r="H4270" s="13" t="n">
        <v>4</v>
      </c>
      <c r="I4270" s="34" t="n">
        <v>4</v>
      </c>
      <c r="J4270" s="35" t="n">
        <v>4</v>
      </c>
      <c r="K4270" s="2" t="inlineStr">
        <is>
          <t>marker_825_741952.png</t>
        </is>
      </c>
      <c r="L4270" s="36">
        <f>HYPERLINK("NoConsenso\" &amp; K4270, "Ver Imagen")</f>
        <v/>
      </c>
      <c r="M4270" t="inlineStr">
        <is>
          <t>Mediana</t>
        </is>
      </c>
    </row>
    <row r="4271">
      <c r="A4271" s="33" t="n">
        <v>4273</v>
      </c>
      <c r="B4271" t="inlineStr">
        <is>
          <t>A-490__190</t>
        </is>
      </c>
      <c r="C4271" s="1" t="n">
        <v>37.4584382252</v>
      </c>
      <c r="D4271" s="1" t="n">
        <v>-7.16980185305</v>
      </c>
      <c r="E4271" s="3" t="n">
        <v>2</v>
      </c>
      <c r="F4271" s="2" t="n">
        <v>4</v>
      </c>
      <c r="G4271" s="4" t="n">
        <v>4</v>
      </c>
      <c r="H4271" s="13" t="n">
        <v>4</v>
      </c>
      <c r="I4271" s="34" t="n">
        <v>4</v>
      </c>
      <c r="J4271" s="35" t="n">
        <v>4</v>
      </c>
      <c r="K4271" s="2" t="inlineStr">
        <is>
          <t>marker_942_742047.png</t>
        </is>
      </c>
      <c r="L4271" s="36">
        <f>HYPERLINK("NoConsenso\" &amp; K4271, "Ver Imagen")</f>
        <v/>
      </c>
      <c r="M4271" t="inlineStr">
        <is>
          <t>Mediana</t>
        </is>
      </c>
    </row>
    <row r="4272">
      <c r="A4272" s="33" t="n">
        <v>4274</v>
      </c>
      <c r="B4272" t="inlineStr">
        <is>
          <t>A-490__191</t>
        </is>
      </c>
      <c r="C4272" s="1" t="n">
        <v>37.4585738479</v>
      </c>
      <c r="D4272" s="1" t="n">
        <v>-7.1699683627</v>
      </c>
      <c r="E4272" s="3" t="n">
        <v>2</v>
      </c>
      <c r="F4272" s="2" t="n">
        <v>4</v>
      </c>
      <c r="G4272" s="4" t="n">
        <v>4</v>
      </c>
      <c r="H4272" s="13" t="n">
        <v>4</v>
      </c>
      <c r="I4272" s="34" t="n">
        <v>4</v>
      </c>
      <c r="J4272" s="35" t="n">
        <v>4</v>
      </c>
      <c r="K4272" s="2" t="inlineStr">
        <is>
          <t>marker_108_742082.png</t>
        </is>
      </c>
      <c r="L4272" s="36">
        <f>HYPERLINK("NoConsenso\" &amp; K4272, "Ver Imagen")</f>
        <v/>
      </c>
      <c r="M4272" t="inlineStr">
        <is>
          <t>Mediana</t>
        </is>
      </c>
    </row>
    <row r="4273">
      <c r="A4273" s="33" t="n">
        <v>4275</v>
      </c>
      <c r="B4273" t="inlineStr">
        <is>
          <t>A-490__192</t>
        </is>
      </c>
      <c r="C4273" s="1" t="n">
        <v>37.4587276846</v>
      </c>
      <c r="D4273" s="1" t="n">
        <v>-7.17015708934</v>
      </c>
      <c r="E4273" s="3" t="n">
        <v>2</v>
      </c>
      <c r="F4273" s="2" t="n">
        <v>4</v>
      </c>
      <c r="G4273" s="4" t="n">
        <v>4</v>
      </c>
      <c r="H4273" s="13" t="n">
        <v>4</v>
      </c>
      <c r="I4273" s="34" t="n">
        <v>4</v>
      </c>
      <c r="J4273" s="35" t="n">
        <v>4</v>
      </c>
      <c r="K4273" s="2" t="inlineStr">
        <is>
          <t>marker_139_742103.png</t>
        </is>
      </c>
      <c r="L4273" s="36">
        <f>HYPERLINK("NoConsenso\" &amp; K4273, "Ver Imagen")</f>
        <v/>
      </c>
      <c r="M4273" t="inlineStr">
        <is>
          <t>Mediana</t>
        </is>
      </c>
    </row>
    <row r="4274">
      <c r="A4274" s="33" t="n">
        <v>4276</v>
      </c>
      <c r="B4274" t="inlineStr">
        <is>
          <t>A-490__193</t>
        </is>
      </c>
      <c r="C4274" s="1" t="n">
        <v>37.4588641875</v>
      </c>
      <c r="D4274" s="1" t="n">
        <v>-7.17032407784</v>
      </c>
      <c r="E4274" s="3" t="n">
        <v>2</v>
      </c>
      <c r="F4274" s="2" t="n">
        <v>3</v>
      </c>
      <c r="G4274" s="4" t="n">
        <v>4</v>
      </c>
      <c r="H4274" s="13" t="n">
        <v>4</v>
      </c>
      <c r="I4274" s="34" t="n">
        <v>4</v>
      </c>
      <c r="J4274" s="35" t="n">
        <v>4</v>
      </c>
      <c r="K4274" s="2" t="inlineStr">
        <is>
          <t>marker_116_742118.png</t>
        </is>
      </c>
      <c r="L4274" s="36">
        <f>HYPERLINK("NoConsenso\" &amp; K4274, "Ver Imagen")</f>
        <v/>
      </c>
      <c r="M4274" t="inlineStr">
        <is>
          <t>Mediana</t>
        </is>
      </c>
    </row>
    <row r="4275">
      <c r="A4275" s="33" t="n">
        <v>4277</v>
      </c>
      <c r="B4275" t="inlineStr">
        <is>
          <t>A-490__194</t>
        </is>
      </c>
      <c r="C4275" s="1" t="n">
        <v>37.4590122105</v>
      </c>
      <c r="D4275" s="1" t="n">
        <v>-7.17050355554</v>
      </c>
      <c r="E4275" s="3" t="n">
        <v>2</v>
      </c>
      <c r="F4275" s="2" t="n">
        <v>4</v>
      </c>
      <c r="G4275" s="4" t="n">
        <v>4</v>
      </c>
      <c r="H4275" s="13" t="n">
        <v>4</v>
      </c>
      <c r="I4275" s="34" t="n">
        <v>4</v>
      </c>
      <c r="J4275" s="35" t="n">
        <v>4</v>
      </c>
      <c r="K4275" s="2" t="inlineStr">
        <is>
          <t>marker_679_742139.png</t>
        </is>
      </c>
      <c r="L4275" s="36">
        <f>HYPERLINK("NoConsenso\" &amp; K4275, "Ver Imagen")</f>
        <v/>
      </c>
      <c r="M4275" t="inlineStr">
        <is>
          <t>Mediana</t>
        </is>
      </c>
    </row>
    <row r="4276">
      <c r="A4276" s="33" t="n">
        <v>4278</v>
      </c>
      <c r="B4276" t="inlineStr">
        <is>
          <t>A-490__195</t>
        </is>
      </c>
      <c r="C4276" s="1" t="n">
        <v>37.4591635166</v>
      </c>
      <c r="D4276" s="1" t="n">
        <v>-7.17068697759</v>
      </c>
      <c r="E4276" s="3" t="n">
        <v>2</v>
      </c>
      <c r="F4276" s="2" t="n">
        <v>4</v>
      </c>
      <c r="G4276" s="4" t="n">
        <v>4</v>
      </c>
      <c r="H4276" s="13" t="n">
        <v>4</v>
      </c>
      <c r="I4276" s="34" t="n">
        <v>4</v>
      </c>
      <c r="J4276" s="35" t="n">
        <v>4</v>
      </c>
      <c r="K4276" s="2" t="inlineStr">
        <is>
          <t>marker_710_742167.png</t>
        </is>
      </c>
      <c r="L4276" s="36">
        <f>HYPERLINK("NoConsenso\" &amp; K4276, "Ver Imagen")</f>
        <v/>
      </c>
      <c r="M4276" t="inlineStr">
        <is>
          <t>Mediana</t>
        </is>
      </c>
    </row>
    <row r="4277">
      <c r="A4277" s="33" t="n">
        <v>4279</v>
      </c>
      <c r="B4277" t="inlineStr">
        <is>
          <t>A-490__196</t>
        </is>
      </c>
      <c r="C4277" s="1" t="n">
        <v>37.4593490963</v>
      </c>
      <c r="D4277" s="1" t="n">
        <v>-7.17091608826</v>
      </c>
      <c r="E4277" s="3" t="n">
        <v>2</v>
      </c>
      <c r="F4277" s="2" t="n">
        <v>3</v>
      </c>
      <c r="G4277" s="4" t="n">
        <v>4</v>
      </c>
      <c r="H4277" s="13" t="n">
        <v>3</v>
      </c>
      <c r="I4277" s="34" t="n">
        <v>4</v>
      </c>
      <c r="J4277" s="37" t="n">
        <v>4</v>
      </c>
      <c r="K4277" s="2" t="inlineStr">
        <is>
          <t>marker_686_742189.png</t>
        </is>
      </c>
      <c r="L4277" s="36">
        <f>HYPERLINK("NoConsenso\" &amp; K4277, "Ver Imagen")</f>
        <v/>
      </c>
      <c r="M4277" s="37" t="inlineStr">
        <is>
          <t>Modificada</t>
        </is>
      </c>
    </row>
    <row r="4278">
      <c r="A4278" s="33" t="n">
        <v>4280</v>
      </c>
      <c r="B4278" t="inlineStr">
        <is>
          <t>A-490__199</t>
        </is>
      </c>
      <c r="C4278" s="1" t="n">
        <v>37.459708779</v>
      </c>
      <c r="D4278" s="1" t="n">
        <v>-7.17139827166</v>
      </c>
      <c r="E4278" s="3" t="n">
        <v>2</v>
      </c>
      <c r="F4278" s="2" t="n">
        <v>4</v>
      </c>
      <c r="G4278" s="4" t="n">
        <v>4</v>
      </c>
      <c r="H4278" s="13" t="n">
        <v>4</v>
      </c>
      <c r="I4278" s="34" t="n">
        <v>4</v>
      </c>
      <c r="J4278" s="35" t="n">
        <v>4</v>
      </c>
      <c r="K4278" s="2" t="inlineStr">
        <is>
          <t>marker_470_742325.png</t>
        </is>
      </c>
      <c r="L4278" s="36">
        <f>HYPERLINK("NoConsenso\" &amp; K4278, "Ver Imagen")</f>
        <v/>
      </c>
      <c r="M4278" t="inlineStr">
        <is>
          <t>Mediana</t>
        </is>
      </c>
    </row>
    <row r="4279">
      <c r="A4279" s="33" t="n">
        <v>4281</v>
      </c>
      <c r="B4279" t="inlineStr">
        <is>
          <t>A-490__209</t>
        </is>
      </c>
      <c r="C4279" s="1" t="n">
        <v>37.4609580392</v>
      </c>
      <c r="D4279" s="1" t="n">
        <v>-7.1734112662</v>
      </c>
      <c r="E4279" s="3" t="n">
        <v>2</v>
      </c>
      <c r="F4279" s="2" t="n">
        <v>4</v>
      </c>
      <c r="G4279" s="4" t="n">
        <v>4</v>
      </c>
      <c r="H4279" s="13" t="n">
        <v>4</v>
      </c>
      <c r="I4279" s="34" t="n">
        <v>3</v>
      </c>
      <c r="J4279" s="35" t="n">
        <v>4</v>
      </c>
      <c r="K4279" s="2" t="inlineStr">
        <is>
          <t>marker_301_742643.png</t>
        </is>
      </c>
      <c r="L4279" s="36">
        <f>HYPERLINK("NoConsenso\" &amp; K4279, "Ver Imagen")</f>
        <v/>
      </c>
      <c r="M4279" t="inlineStr">
        <is>
          <t>Mediana</t>
        </is>
      </c>
    </row>
    <row r="4280">
      <c r="A4280" s="33" t="n">
        <v>4282</v>
      </c>
      <c r="B4280" t="inlineStr">
        <is>
          <t>A-490__251</t>
        </is>
      </c>
      <c r="C4280" s="1" t="n">
        <v>37.465960205</v>
      </c>
      <c r="D4280" s="1" t="n">
        <v>-7.18210224676</v>
      </c>
      <c r="E4280" s="3" t="n">
        <v>3</v>
      </c>
      <c r="F4280" s="2" t="n">
        <v>5</v>
      </c>
      <c r="G4280" s="4" t="n">
        <v>4</v>
      </c>
      <c r="H4280" s="13" t="n">
        <v>4</v>
      </c>
      <c r="I4280" s="34" t="n">
        <v>4</v>
      </c>
      <c r="J4280" s="35" t="n">
        <v>4</v>
      </c>
      <c r="K4280" s="2" t="inlineStr">
        <is>
          <t>marker_124_749514.png</t>
        </is>
      </c>
      <c r="L4280" s="36">
        <f>HYPERLINK("NoConsenso\" &amp; K4280, "Ver Imagen")</f>
        <v/>
      </c>
      <c r="M4280" t="inlineStr">
        <is>
          <t>Mediana</t>
        </is>
      </c>
    </row>
    <row r="4281">
      <c r="A4281" s="33" t="n">
        <v>4283</v>
      </c>
      <c r="B4281" t="inlineStr">
        <is>
          <t>A-490__256</t>
        </is>
      </c>
      <c r="C4281" s="1" t="n">
        <v>37.4665176902</v>
      </c>
      <c r="D4281" s="1" t="n">
        <v>-7.18313911321</v>
      </c>
      <c r="E4281" s="3" t="n">
        <v>2</v>
      </c>
      <c r="F4281" s="2" t="n">
        <v>3</v>
      </c>
      <c r="G4281" s="4" t="n">
        <v>4</v>
      </c>
      <c r="H4281" s="13" t="n">
        <v>3</v>
      </c>
      <c r="I4281" s="34" t="n">
        <v>3</v>
      </c>
      <c r="J4281" s="35" t="n">
        <v>3</v>
      </c>
      <c r="K4281" s="2" t="inlineStr">
        <is>
          <t>marker_319_749629.png</t>
        </is>
      </c>
      <c r="L4281" s="36">
        <f>HYPERLINK("NoConsenso\" &amp; K4281, "Ver Imagen")</f>
        <v/>
      </c>
      <c r="M4281" t="inlineStr">
        <is>
          <t>Mediana</t>
        </is>
      </c>
    </row>
    <row r="4282">
      <c r="A4282" s="33" t="n">
        <v>4284</v>
      </c>
      <c r="B4282" t="inlineStr">
        <is>
          <t>A-490__349</t>
        </is>
      </c>
      <c r="C4282" s="1" t="n">
        <v>37.476808483</v>
      </c>
      <c r="D4282" s="1" t="n">
        <v>-7.20294609998</v>
      </c>
      <c r="E4282" s="3" t="n">
        <v>2</v>
      </c>
      <c r="F4282" s="2" t="n">
        <v>4</v>
      </c>
      <c r="G4282" s="4" t="n">
        <v>4</v>
      </c>
      <c r="H4282" s="13" t="n">
        <v>3</v>
      </c>
      <c r="I4282" s="34" t="n">
        <v>3</v>
      </c>
      <c r="J4282" s="35" t="n">
        <v>3</v>
      </c>
      <c r="K4282" s="2" t="inlineStr">
        <is>
          <t>marker_428_751662.png</t>
        </is>
      </c>
      <c r="L4282" s="36">
        <f>HYPERLINK("NoConsenso\" &amp; K4282, "Ver Imagen")</f>
        <v/>
      </c>
      <c r="M4282" t="inlineStr">
        <is>
          <t>Mediana</t>
        </is>
      </c>
    </row>
    <row r="4283">
      <c r="A4283" s="33" t="n">
        <v>4285</v>
      </c>
      <c r="B4283" t="inlineStr">
        <is>
          <t>A-490__351</t>
        </is>
      </c>
      <c r="C4283" s="1" t="n">
        <v>37.476974776</v>
      </c>
      <c r="D4283" s="1" t="n">
        <v>-7.20333145295</v>
      </c>
      <c r="E4283" s="3" t="n">
        <v>2</v>
      </c>
      <c r="F4283" s="2" t="n">
        <v>3</v>
      </c>
      <c r="G4283" s="4" t="n">
        <v>4</v>
      </c>
      <c r="H4283" s="13" t="n">
        <v>3</v>
      </c>
      <c r="I4283" s="34" t="n">
        <v>3</v>
      </c>
      <c r="J4283" s="35" t="n">
        <v>3</v>
      </c>
      <c r="K4283" s="2" t="inlineStr">
        <is>
          <t>marker_266_751693.png</t>
        </is>
      </c>
      <c r="L4283" s="36">
        <f>HYPERLINK("NoConsenso\" &amp; K4283, "Ver Imagen")</f>
        <v/>
      </c>
      <c r="M4283" t="inlineStr">
        <is>
          <t>Mediana</t>
        </is>
      </c>
    </row>
    <row r="4284">
      <c r="A4284" s="33" t="n">
        <v>4286</v>
      </c>
      <c r="B4284" t="inlineStr">
        <is>
          <t>A-490__380</t>
        </is>
      </c>
      <c r="C4284" s="1" t="n">
        <v>37.4797668716</v>
      </c>
      <c r="D4284" s="1" t="n">
        <v>-7.20981104793</v>
      </c>
      <c r="E4284" s="3" t="n">
        <v>2</v>
      </c>
      <c r="F4284" s="2" t="n">
        <v>3</v>
      </c>
      <c r="G4284" s="4" t="n">
        <v>4</v>
      </c>
      <c r="H4284" s="13" t="n">
        <v>3</v>
      </c>
      <c r="I4284" s="34" t="n">
        <v>3</v>
      </c>
      <c r="J4284" s="35" t="n">
        <v>3</v>
      </c>
      <c r="K4284" s="2" t="inlineStr">
        <is>
          <t>marker_169_752333.png</t>
        </is>
      </c>
      <c r="L4284" s="36">
        <f>HYPERLINK("NoConsenso\" &amp; K4284, "Ver Imagen")</f>
        <v/>
      </c>
      <c r="M4284" t="inlineStr">
        <is>
          <t>Mediana</t>
        </is>
      </c>
    </row>
    <row r="4285">
      <c r="A4285" s="33" t="n">
        <v>4287</v>
      </c>
      <c r="B4285" t="inlineStr">
        <is>
          <t>A-490__548</t>
        </is>
      </c>
      <c r="C4285" s="1" t="n">
        <v>37.4906176055</v>
      </c>
      <c r="D4285" s="1" t="n">
        <v>-7.24966322604</v>
      </c>
      <c r="E4285" s="3" t="n">
        <v>2</v>
      </c>
      <c r="F4285" s="2" t="n">
        <v>3</v>
      </c>
      <c r="G4285" s="4" t="n">
        <v>4</v>
      </c>
      <c r="H4285" s="13" t="n">
        <v>3</v>
      </c>
      <c r="I4285" s="34" t="n">
        <v>3</v>
      </c>
      <c r="J4285" s="35" t="n">
        <v>3</v>
      </c>
      <c r="K4285" s="2" t="inlineStr">
        <is>
          <t>marker_125_818497.png</t>
        </is>
      </c>
      <c r="L4285" s="36">
        <f>HYPERLINK("NoConsenso\" &amp; K4285, "Ver Imagen")</f>
        <v/>
      </c>
      <c r="M4285" t="inlineStr">
        <is>
          <t>Mediana</t>
        </is>
      </c>
    </row>
    <row r="4286">
      <c r="A4286" s="33" t="n">
        <v>4288</v>
      </c>
      <c r="B4286" t="inlineStr">
        <is>
          <t>A-490__598</t>
        </is>
      </c>
      <c r="C4286" s="1" t="n">
        <v>37.4917591405</v>
      </c>
      <c r="D4286" s="1" t="n">
        <v>-7.26126842694</v>
      </c>
      <c r="E4286" s="3" t="n">
        <v>2</v>
      </c>
      <c r="F4286" s="2" t="n">
        <v>4</v>
      </c>
      <c r="G4286" s="4" t="n">
        <v>4</v>
      </c>
      <c r="H4286" s="13" t="n">
        <v>3</v>
      </c>
      <c r="I4286" s="34" t="n">
        <v>4</v>
      </c>
      <c r="J4286" s="35" t="n">
        <v>4</v>
      </c>
      <c r="K4286" s="2" t="inlineStr">
        <is>
          <t>marker_928_819737.png</t>
        </is>
      </c>
      <c r="L4286" s="36">
        <f>HYPERLINK("NoConsenso\" &amp; K4286, "Ver Imagen")</f>
        <v/>
      </c>
      <c r="M4286" t="inlineStr">
        <is>
          <t>Mediana</t>
        </is>
      </c>
    </row>
    <row r="4287">
      <c r="A4287" s="33" t="n">
        <v>4289</v>
      </c>
      <c r="B4287" t="inlineStr">
        <is>
          <t>A-490__627</t>
        </is>
      </c>
      <c r="C4287" s="1" t="n">
        <v>37.4949984504</v>
      </c>
      <c r="D4287" s="1" t="n">
        <v>-7.26733666174</v>
      </c>
      <c r="E4287" s="3" t="n">
        <v>2</v>
      </c>
      <c r="F4287" s="2" t="n">
        <v>3</v>
      </c>
      <c r="G4287" s="4" t="n">
        <v>4</v>
      </c>
      <c r="H4287" s="13" t="n">
        <v>2</v>
      </c>
      <c r="I4287" s="34" t="n">
        <v>3</v>
      </c>
      <c r="J4287" s="35" t="n">
        <v>3</v>
      </c>
      <c r="K4287" s="2" t="inlineStr">
        <is>
          <t>marker_613_820389.png</t>
        </is>
      </c>
      <c r="L4287" s="36">
        <f>HYPERLINK("NoConsenso\" &amp; K4287, "Ver Imagen")</f>
        <v/>
      </c>
      <c r="M4287" t="inlineStr">
        <is>
          <t>Mediana</t>
        </is>
      </c>
    </row>
    <row r="4288">
      <c r="A4288" s="33" t="n">
        <v>4290</v>
      </c>
      <c r="B4288" t="inlineStr">
        <is>
          <t>A-492__6</t>
        </is>
      </c>
      <c r="C4288" s="1" t="n">
        <v>37.2725971646</v>
      </c>
      <c r="D4288" s="1" t="n">
        <v>-6.99110387591</v>
      </c>
      <c r="E4288" s="3" t="n">
        <v>2</v>
      </c>
      <c r="F4288" s="2" t="n">
        <v>3</v>
      </c>
      <c r="G4288" s="4" t="n">
        <v>4</v>
      </c>
      <c r="H4288" s="13" t="n">
        <v>3</v>
      </c>
      <c r="I4288" s="34" t="n">
        <v>4</v>
      </c>
      <c r="J4288" s="35" t="n">
        <v>3</v>
      </c>
      <c r="K4288" s="2" t="inlineStr">
        <is>
          <t>marker_501_821562.png</t>
        </is>
      </c>
      <c r="L4288" s="36">
        <f>HYPERLINK("NoConsenso\" &amp; K4288, "Ver Imagen")</f>
        <v/>
      </c>
      <c r="M4288" t="inlineStr">
        <is>
          <t>Mediana</t>
        </is>
      </c>
    </row>
    <row r="4289">
      <c r="A4289" s="33" t="n">
        <v>4291</v>
      </c>
      <c r="B4289" t="inlineStr">
        <is>
          <t>A-492__7</t>
        </is>
      </c>
      <c r="C4289" s="1" t="n">
        <v>37.2728202554</v>
      </c>
      <c r="D4289" s="1" t="n">
        <v>-6.99121747029</v>
      </c>
      <c r="E4289" s="3" t="n">
        <v>2</v>
      </c>
      <c r="F4289" s="2" t="n">
        <v>3</v>
      </c>
      <c r="G4289" s="4" t="n">
        <v>4</v>
      </c>
      <c r="H4289" s="13" t="n">
        <v>3</v>
      </c>
      <c r="I4289" s="34" t="n">
        <v>4</v>
      </c>
      <c r="J4289" s="35" t="n">
        <v>3</v>
      </c>
      <c r="K4289" s="2" t="inlineStr">
        <is>
          <t>marker_265_821575.png</t>
        </is>
      </c>
      <c r="L4289" s="36">
        <f>HYPERLINK("NoConsenso\" &amp; K4289, "Ver Imagen")</f>
        <v/>
      </c>
      <c r="M4289" t="inlineStr">
        <is>
          <t>Mediana</t>
        </is>
      </c>
    </row>
    <row r="4290">
      <c r="A4290" s="33" t="n">
        <v>4292</v>
      </c>
      <c r="B4290" t="inlineStr">
        <is>
          <t>A-492__16</t>
        </is>
      </c>
      <c r="C4290" s="1" t="n">
        <v>37.2745687026</v>
      </c>
      <c r="D4290" s="1" t="n">
        <v>-6.99125307453</v>
      </c>
      <c r="E4290" s="3" t="n">
        <v>2</v>
      </c>
      <c r="F4290" s="2" t="n">
        <v>4</v>
      </c>
      <c r="G4290" s="4" t="n">
        <v>4</v>
      </c>
      <c r="H4290" s="13" t="n">
        <v>3</v>
      </c>
      <c r="I4290" s="34" t="n">
        <v>4</v>
      </c>
      <c r="J4290" s="35" t="n">
        <v>4</v>
      </c>
      <c r="K4290" s="2" t="inlineStr">
        <is>
          <t>marker_114_821971.png</t>
        </is>
      </c>
      <c r="L4290" s="36">
        <f>HYPERLINK("NoConsenso\" &amp; K4290, "Ver Imagen")</f>
        <v/>
      </c>
      <c r="M4290" t="inlineStr">
        <is>
          <t>Mediana</t>
        </is>
      </c>
    </row>
    <row r="4291">
      <c r="A4291" s="33" t="n">
        <v>4293</v>
      </c>
      <c r="B4291" t="inlineStr">
        <is>
          <t>A-492__29</t>
        </is>
      </c>
      <c r="C4291" s="1" t="n">
        <v>37.2767608199</v>
      </c>
      <c r="D4291" s="1" t="n">
        <v>-6.99155434357</v>
      </c>
      <c r="E4291" s="3" t="n">
        <v>2</v>
      </c>
      <c r="F4291" s="2" t="n">
        <v>3</v>
      </c>
      <c r="G4291" s="4" t="n">
        <v>4</v>
      </c>
      <c r="H4291" s="13" t="n">
        <v>3</v>
      </c>
      <c r="I4291" s="34" t="n">
        <v>4</v>
      </c>
      <c r="J4291" s="37" t="n">
        <v>4</v>
      </c>
      <c r="K4291" s="2" t="inlineStr">
        <is>
          <t>marker_401_822297.png</t>
        </is>
      </c>
      <c r="L4291" s="36">
        <f>HYPERLINK("NoConsenso\" &amp; K4291, "Ver Imagen")</f>
        <v/>
      </c>
      <c r="M4291" s="37" t="inlineStr">
        <is>
          <t>Modificada</t>
        </is>
      </c>
    </row>
    <row r="4292">
      <c r="A4292" s="33" t="n">
        <v>4294</v>
      </c>
      <c r="B4292" t="inlineStr">
        <is>
          <t>A-492__84</t>
        </is>
      </c>
      <c r="C4292" s="1" t="n">
        <v>37.280702718</v>
      </c>
      <c r="D4292" s="1" t="n">
        <v>-7.00351023706</v>
      </c>
      <c r="E4292" s="3" t="n">
        <v>4</v>
      </c>
      <c r="F4292" s="2" t="n">
        <v>2</v>
      </c>
      <c r="G4292" s="4" t="n">
        <v>4</v>
      </c>
      <c r="H4292" s="13" t="n">
        <v>2</v>
      </c>
      <c r="I4292" s="34" t="n">
        <v>1</v>
      </c>
      <c r="J4292" s="35" t="n">
        <v>2</v>
      </c>
      <c r="K4292" s="2" t="inlineStr">
        <is>
          <t>marker_739_823543.png</t>
        </is>
      </c>
      <c r="L4292" s="36">
        <f>HYPERLINK("NoConsenso\" &amp; K4292, "Ver Imagen")</f>
        <v/>
      </c>
      <c r="M4292" t="inlineStr">
        <is>
          <t>Mediana</t>
        </is>
      </c>
    </row>
    <row r="4293">
      <c r="A4293" s="33" t="n">
        <v>4295</v>
      </c>
      <c r="B4293" t="inlineStr">
        <is>
          <t>A-492__138</t>
        </is>
      </c>
      <c r="C4293" s="1" t="n">
        <v>37.2757974875</v>
      </c>
      <c r="D4293" s="1" t="n">
        <v>-7.01545150247</v>
      </c>
      <c r="E4293" s="3" t="n">
        <v>2</v>
      </c>
      <c r="F4293" s="2" t="n">
        <v>4</v>
      </c>
      <c r="G4293" s="4" t="n">
        <v>4</v>
      </c>
      <c r="H4293" s="13" t="n">
        <v>3</v>
      </c>
      <c r="I4293" s="34" t="n">
        <v>2</v>
      </c>
      <c r="J4293" s="35" t="n">
        <v>3</v>
      </c>
      <c r="K4293" s="2" t="inlineStr">
        <is>
          <t>marker_840_824643.png</t>
        </is>
      </c>
      <c r="L4293" s="36">
        <f>HYPERLINK("NoConsenso\" &amp; K4293, "Ver Imagen")</f>
        <v/>
      </c>
      <c r="M4293" t="inlineStr">
        <is>
          <t>Mediana</t>
        </is>
      </c>
    </row>
    <row r="4294">
      <c r="A4294" s="33" t="n">
        <v>4296</v>
      </c>
      <c r="B4294" t="inlineStr">
        <is>
          <t>A-492__414</t>
        </is>
      </c>
      <c r="C4294" s="1" t="n">
        <v>37.3112675325</v>
      </c>
      <c r="D4294" s="1" t="n">
        <v>-7.05932149383</v>
      </c>
      <c r="E4294" s="3" t="n">
        <v>2</v>
      </c>
      <c r="F4294" s="2" t="n">
        <v>3</v>
      </c>
      <c r="G4294" s="4" t="n">
        <v>4</v>
      </c>
      <c r="H4294" s="13" t="n">
        <v>3</v>
      </c>
      <c r="I4294" s="34" t="n">
        <v>3</v>
      </c>
      <c r="J4294" s="35" t="n">
        <v>3</v>
      </c>
      <c r="K4294" s="2" t="inlineStr">
        <is>
          <t>marker_787_839331.png</t>
        </is>
      </c>
      <c r="L4294" s="36">
        <f>HYPERLINK("NoConsenso\" &amp; K4294, "Ver Imagen")</f>
        <v/>
      </c>
      <c r="M4294" t="inlineStr">
        <is>
          <t>Mediana</t>
        </is>
      </c>
    </row>
    <row r="4295">
      <c r="A4295" s="33" t="n">
        <v>4297</v>
      </c>
      <c r="B4295" t="inlineStr">
        <is>
          <t>A-492__456</t>
        </is>
      </c>
      <c r="C4295" s="1" t="n">
        <v>37.3157216183</v>
      </c>
      <c r="D4295" s="1" t="n">
        <v>-7.06825555239</v>
      </c>
      <c r="E4295" s="3" t="n">
        <v>2</v>
      </c>
      <c r="F4295" s="2" t="n">
        <v>3</v>
      </c>
      <c r="G4295" s="4" t="n">
        <v>4</v>
      </c>
      <c r="H4295" s="13" t="n">
        <v>3</v>
      </c>
      <c r="I4295" s="34" t="n">
        <v>4</v>
      </c>
      <c r="J4295" s="35" t="n">
        <v>3</v>
      </c>
      <c r="K4295" s="2" t="inlineStr">
        <is>
          <t>marker_353_839879.png</t>
        </is>
      </c>
      <c r="L4295" s="36">
        <f>HYPERLINK("NoConsenso\" &amp; K4295, "Ver Imagen")</f>
        <v/>
      </c>
      <c r="M4295" t="inlineStr">
        <is>
          <t>Mediana</t>
        </is>
      </c>
    </row>
    <row r="4296">
      <c r="A4296" s="33" t="n">
        <v>4298</v>
      </c>
      <c r="B4296" t="inlineStr">
        <is>
          <t>A-492__474</t>
        </is>
      </c>
      <c r="C4296" s="1" t="n">
        <v>37.3181879276</v>
      </c>
      <c r="D4296" s="1" t="n">
        <v>-7.07128492463</v>
      </c>
      <c r="E4296" s="3" t="n">
        <v>4</v>
      </c>
      <c r="F4296" s="2" t="n">
        <v>2</v>
      </c>
      <c r="G4296" s="4" t="n">
        <v>4</v>
      </c>
      <c r="H4296" s="13" t="n">
        <v>2</v>
      </c>
      <c r="I4296" s="34" t="n">
        <v>1</v>
      </c>
      <c r="J4296" s="35" t="n">
        <v>2</v>
      </c>
      <c r="K4296" s="2" t="inlineStr">
        <is>
          <t>marker_216_840092.png</t>
        </is>
      </c>
      <c r="L4296" s="36">
        <f>HYPERLINK("NoConsenso\" &amp; K4296, "Ver Imagen")</f>
        <v/>
      </c>
      <c r="M4296" t="inlineStr">
        <is>
          <t>Mediana</t>
        </is>
      </c>
    </row>
    <row r="4297">
      <c r="A4297" s="33" t="n">
        <v>4299</v>
      </c>
      <c r="B4297" t="inlineStr">
        <is>
          <t>A-495R__67</t>
        </is>
      </c>
      <c r="C4297" s="1" t="n">
        <v>37.457519638</v>
      </c>
      <c r="D4297" s="1" t="n">
        <v>-7.11409879255</v>
      </c>
      <c r="E4297" s="3" t="n">
        <v>3</v>
      </c>
      <c r="F4297" s="2" t="n">
        <v>5</v>
      </c>
      <c r="G4297" s="4" t="n">
        <v>4</v>
      </c>
      <c r="H4297" s="13" t="n">
        <v>3</v>
      </c>
      <c r="I4297" s="34" t="n">
        <v>4</v>
      </c>
      <c r="J4297" s="35" t="n">
        <v>4</v>
      </c>
      <c r="K4297" s="2" t="inlineStr">
        <is>
          <t>marker_252_935280.png</t>
        </is>
      </c>
      <c r="L4297" s="36">
        <f>HYPERLINK("NoConsenso\" &amp; K4297, "Ver Imagen")</f>
        <v/>
      </c>
      <c r="M4297" t="inlineStr">
        <is>
          <t>Mediana</t>
        </is>
      </c>
    </row>
    <row r="4298">
      <c r="A4298" s="33" t="n">
        <v>4300</v>
      </c>
      <c r="B4298" t="inlineStr">
        <is>
          <t>A-497__87</t>
        </is>
      </c>
      <c r="C4298" s="1" t="n">
        <v>37.2694194334</v>
      </c>
      <c r="D4298" s="1" t="n">
        <v>-6.97743778854</v>
      </c>
      <c r="E4298" s="3" t="n">
        <v>2</v>
      </c>
      <c r="F4298" s="2" t="n">
        <v>4</v>
      </c>
      <c r="G4298" s="4" t="n">
        <v>4</v>
      </c>
      <c r="H4298" s="13" t="n">
        <v>3</v>
      </c>
      <c r="I4298" s="34" t="n">
        <v>4</v>
      </c>
      <c r="J4298" s="35" t="n">
        <v>4</v>
      </c>
      <c r="K4298" s="2" t="inlineStr">
        <is>
          <t>marker_460_937382.png</t>
        </is>
      </c>
      <c r="L4298" s="36">
        <f>HYPERLINK("NoConsenso\" &amp; K4298, "Ver Imagen")</f>
        <v/>
      </c>
      <c r="M4298" t="inlineStr">
        <is>
          <t>Mediana</t>
        </is>
      </c>
    </row>
    <row r="4299">
      <c r="A4299" s="33" t="n">
        <v>4301</v>
      </c>
      <c r="B4299" t="inlineStr">
        <is>
          <t>A-497__2</t>
        </is>
      </c>
      <c r="C4299" s="1" t="n">
        <v>37.2673092948</v>
      </c>
      <c r="D4299" s="1" t="n">
        <v>-6.95749509357</v>
      </c>
      <c r="E4299" s="3" t="n">
        <v>2</v>
      </c>
      <c r="F4299" s="2" t="n">
        <v>4</v>
      </c>
      <c r="G4299" s="4" t="n">
        <v>4</v>
      </c>
      <c r="H4299" s="13" t="n">
        <v>3</v>
      </c>
      <c r="I4299" s="34" t="n">
        <v>3</v>
      </c>
      <c r="J4299" s="35" t="n">
        <v>3</v>
      </c>
      <c r="K4299" s="2" t="inlineStr">
        <is>
          <t>marker_643_944060.png</t>
        </is>
      </c>
      <c r="L4299" s="36">
        <f>HYPERLINK("NoConsenso\" &amp; K4299, "Ver Imagen")</f>
        <v/>
      </c>
      <c r="M4299" t="inlineStr">
        <is>
          <t>Mediana</t>
        </is>
      </c>
    </row>
    <row r="4300">
      <c r="A4300" s="33" t="n">
        <v>4302</v>
      </c>
      <c r="B4300" t="inlineStr">
        <is>
          <t>A-5050__171</t>
        </is>
      </c>
      <c r="C4300" s="1" t="n">
        <v>37.1909948555</v>
      </c>
      <c r="D4300" s="1" t="n">
        <v>-6.99098168087</v>
      </c>
      <c r="E4300" s="3" t="n">
        <v>2</v>
      </c>
      <c r="F4300" s="2" t="n">
        <v>3</v>
      </c>
      <c r="G4300" s="4" t="n">
        <v>4</v>
      </c>
      <c r="H4300" s="13" t="n">
        <v>3</v>
      </c>
      <c r="I4300" s="34" t="n">
        <v>4</v>
      </c>
      <c r="J4300" s="35" t="n">
        <v>3</v>
      </c>
      <c r="K4300" s="2" t="inlineStr">
        <is>
          <t>marker_117_944273.png</t>
        </is>
      </c>
      <c r="L4300" s="36">
        <f>HYPERLINK("NoConsenso\" &amp; K4300, "Ver Imagen")</f>
        <v/>
      </c>
      <c r="M4300" t="inlineStr">
        <is>
          <t>Mediana</t>
        </is>
      </c>
    </row>
    <row r="4301">
      <c r="A4301" s="33" t="n">
        <v>4303</v>
      </c>
      <c r="B4301" t="inlineStr">
        <is>
          <t>A-5050__170</t>
        </is>
      </c>
      <c r="C4301" s="1" t="n">
        <v>37.191097422</v>
      </c>
      <c r="D4301" s="1" t="n">
        <v>-6.99119152039</v>
      </c>
      <c r="E4301" s="3" t="n">
        <v>2</v>
      </c>
      <c r="F4301" s="2" t="n">
        <v>3</v>
      </c>
      <c r="G4301" s="4" t="n">
        <v>4</v>
      </c>
      <c r="H4301" s="13" t="n">
        <v>3</v>
      </c>
      <c r="I4301" s="34" t="n">
        <v>4</v>
      </c>
      <c r="J4301" s="35" t="n">
        <v>3</v>
      </c>
      <c r="K4301" s="2" t="inlineStr">
        <is>
          <t>marker_693_944287.png</t>
        </is>
      </c>
      <c r="L4301" s="36">
        <f>HYPERLINK("NoConsenso\" &amp; K4301, "Ver Imagen")</f>
        <v/>
      </c>
      <c r="M4301" t="inlineStr">
        <is>
          <t>Mediana</t>
        </is>
      </c>
    </row>
    <row r="4302">
      <c r="A4302" s="33" t="n">
        <v>4304</v>
      </c>
      <c r="B4302" t="inlineStr">
        <is>
          <t>A-5052__19</t>
        </is>
      </c>
      <c r="C4302" s="1" t="n">
        <v>37.2179662255</v>
      </c>
      <c r="D4302" s="1" t="n">
        <v>-7.12128775492</v>
      </c>
      <c r="E4302" s="3" t="n">
        <v>5</v>
      </c>
      <c r="F4302" s="2" t="n">
        <v>3</v>
      </c>
      <c r="G4302" s="4" t="n">
        <v>4</v>
      </c>
      <c r="H4302" s="13" t="n">
        <v>4</v>
      </c>
      <c r="I4302" s="34" t="n">
        <v>4</v>
      </c>
      <c r="J4302" s="35" t="n">
        <v>4</v>
      </c>
      <c r="K4302" s="2" t="inlineStr">
        <is>
          <t>marker_254_950289.png</t>
        </is>
      </c>
      <c r="L4302" s="36">
        <f>HYPERLINK("NoConsenso\" &amp; K4302, "Ver Imagen")</f>
        <v/>
      </c>
      <c r="M4302" t="inlineStr">
        <is>
          <t>Mediana</t>
        </is>
      </c>
    </row>
    <row r="4303">
      <c r="A4303" s="33" t="n">
        <v>4305</v>
      </c>
      <c r="B4303" t="inlineStr">
        <is>
          <t>A-5058__207</t>
        </is>
      </c>
      <c r="C4303" s="1" t="n">
        <v>37.2359923304</v>
      </c>
      <c r="D4303" s="1" t="n">
        <v>-7.07479097954</v>
      </c>
      <c r="E4303" s="3" t="n">
        <v>4</v>
      </c>
      <c r="F4303" s="2" t="n">
        <v>2</v>
      </c>
      <c r="G4303" s="4" t="n">
        <v>4</v>
      </c>
      <c r="H4303" s="13" t="n">
        <v>2</v>
      </c>
      <c r="I4303" s="34" t="n">
        <v>3</v>
      </c>
      <c r="J4303" s="35" t="n">
        <v>3</v>
      </c>
      <c r="K4303" s="2" t="inlineStr">
        <is>
          <t>marker_395_382979.png</t>
        </is>
      </c>
      <c r="L4303" s="36">
        <f>HYPERLINK("NoConsenso\" &amp; K4303, "Ver Imagen")</f>
        <v/>
      </c>
      <c r="M4303" t="inlineStr">
        <is>
          <t>Mediana</t>
        </is>
      </c>
    </row>
    <row r="4304">
      <c r="A4304" s="33" t="n">
        <v>4306</v>
      </c>
      <c r="B4304" t="inlineStr">
        <is>
          <t>A-5058__292</t>
        </is>
      </c>
      <c r="C4304" s="1" t="n">
        <v>37.2452487614</v>
      </c>
      <c r="D4304" s="1" t="n">
        <v>-7.09270327231</v>
      </c>
      <c r="E4304" s="3" t="n">
        <v>4</v>
      </c>
      <c r="F4304" s="2" t="n">
        <v>2</v>
      </c>
      <c r="G4304" s="4" t="n">
        <v>4</v>
      </c>
      <c r="H4304" s="13" t="n">
        <v>3</v>
      </c>
      <c r="I4304" s="34" t="n">
        <v>3</v>
      </c>
      <c r="J4304" s="35" t="n">
        <v>3</v>
      </c>
      <c r="K4304" s="2" t="inlineStr">
        <is>
          <t>marker_197_384170.png</t>
        </is>
      </c>
      <c r="L4304" s="36">
        <f>HYPERLINK("NoConsenso\" &amp; K4304, "Ver Imagen")</f>
        <v/>
      </c>
      <c r="M4304" t="inlineStr">
        <is>
          <t>Mediana</t>
        </is>
      </c>
    </row>
    <row r="4305">
      <c r="A4305" s="33" t="n">
        <v>4307</v>
      </c>
      <c r="B4305" t="inlineStr">
        <is>
          <t>A-5058__303</t>
        </is>
      </c>
      <c r="C4305" s="1" t="n">
        <v>37.2455477796</v>
      </c>
      <c r="D4305" s="1" t="n">
        <v>-7.09547145897</v>
      </c>
      <c r="E4305" s="3" t="n">
        <v>4</v>
      </c>
      <c r="F4305" s="2" t="n">
        <v>2</v>
      </c>
      <c r="G4305" s="4" t="n">
        <v>4</v>
      </c>
      <c r="H4305" s="13" t="n">
        <v>2</v>
      </c>
      <c r="I4305" s="34" t="n">
        <v>3</v>
      </c>
      <c r="J4305" s="35" t="n">
        <v>3</v>
      </c>
      <c r="K4305" s="2" t="inlineStr">
        <is>
          <t>marker_335_384312.png</t>
        </is>
      </c>
      <c r="L4305" s="36">
        <f>HYPERLINK("NoConsenso\" &amp; K4305, "Ver Imagen")</f>
        <v/>
      </c>
      <c r="M4305" t="inlineStr">
        <is>
          <t>Mediana</t>
        </is>
      </c>
    </row>
    <row r="4306">
      <c r="A4306" s="33" t="n">
        <v>4308</v>
      </c>
      <c r="B4306" t="inlineStr">
        <is>
          <t>A-5058__441</t>
        </is>
      </c>
      <c r="C4306" s="1" t="n">
        <v>37.2587932558</v>
      </c>
      <c r="D4306" s="1" t="n">
        <v>-7.122306901</v>
      </c>
      <c r="E4306" s="3" t="n">
        <v>4</v>
      </c>
      <c r="F4306" s="2" t="n">
        <v>2</v>
      </c>
      <c r="G4306" s="4" t="n">
        <v>4</v>
      </c>
      <c r="H4306" s="13" t="n">
        <v>3</v>
      </c>
      <c r="I4306" s="34" t="n">
        <v>3</v>
      </c>
      <c r="J4306" s="35" t="n">
        <v>3</v>
      </c>
      <c r="K4306" s="2" t="inlineStr">
        <is>
          <t>marker_763_388984.png</t>
        </is>
      </c>
      <c r="L4306" s="36">
        <f>HYPERLINK("NoConsenso\" &amp; K4306, "Ver Imagen")</f>
        <v/>
      </c>
      <c r="M4306" t="inlineStr">
        <is>
          <t>Mediana</t>
        </is>
      </c>
    </row>
    <row r="4307">
      <c r="A4307" s="33" t="n">
        <v>4309</v>
      </c>
      <c r="B4307" t="inlineStr">
        <is>
          <t>A-495_1__158</t>
        </is>
      </c>
      <c r="C4307" s="1" t="n">
        <v>37.4780921745</v>
      </c>
      <c r="D4307" s="1" t="n">
        <v>-7.12739463089</v>
      </c>
      <c r="E4307" s="3" t="n">
        <v>4</v>
      </c>
      <c r="F4307" s="2" t="n">
        <v>2</v>
      </c>
      <c r="G4307" s="4" t="n">
        <v>4</v>
      </c>
      <c r="H4307" s="13" t="n">
        <v>3</v>
      </c>
      <c r="I4307" s="34" t="n">
        <v>3</v>
      </c>
      <c r="J4307" s="35" t="n">
        <v>3</v>
      </c>
      <c r="K4307" s="2" t="inlineStr">
        <is>
          <t>marker_336_384111.png</t>
        </is>
      </c>
      <c r="L4307" s="36">
        <f>HYPERLINK("NoConsenso\" &amp; K4307, "Ver Imagen")</f>
        <v/>
      </c>
      <c r="M4307" t="inlineStr">
        <is>
          <t>Mediana</t>
        </is>
      </c>
    </row>
    <row r="4308">
      <c r="A4308" s="33" t="n">
        <v>4310</v>
      </c>
      <c r="B4308" t="inlineStr">
        <is>
          <t>A-495_1__131</t>
        </is>
      </c>
      <c r="C4308" s="1" t="n">
        <v>37.4731595006</v>
      </c>
      <c r="D4308" s="1" t="n">
        <v>-7.12638660446</v>
      </c>
      <c r="E4308" s="3" t="n">
        <v>4</v>
      </c>
      <c r="F4308" s="2" t="n">
        <v>2</v>
      </c>
      <c r="G4308" s="4" t="n">
        <v>4</v>
      </c>
      <c r="H4308" s="13" t="n">
        <v>3</v>
      </c>
      <c r="I4308" s="34" t="n">
        <v>3</v>
      </c>
      <c r="J4308" s="35" t="n">
        <v>3</v>
      </c>
      <c r="K4308" s="2" t="inlineStr">
        <is>
          <t>marker_943_384467.png</t>
        </is>
      </c>
      <c r="L4308" s="36">
        <f>HYPERLINK("NoConsenso\" &amp; K4308, "Ver Imagen")</f>
        <v/>
      </c>
      <c r="M4308" t="inlineStr">
        <is>
          <t>Mediana</t>
        </is>
      </c>
    </row>
    <row r="4309">
      <c r="A4309" s="33" t="n">
        <v>4311</v>
      </c>
      <c r="B4309" t="inlineStr">
        <is>
          <t>A-495_1__129</t>
        </is>
      </c>
      <c r="C4309" s="1" t="n">
        <v>37.472764194</v>
      </c>
      <c r="D4309" s="1" t="n">
        <v>-7.12641339481</v>
      </c>
      <c r="E4309" s="3" t="n">
        <v>4</v>
      </c>
      <c r="F4309" s="2" t="n">
        <v>2</v>
      </c>
      <c r="G4309" s="4" t="n">
        <v>4</v>
      </c>
      <c r="H4309" s="13" t="n">
        <v>3</v>
      </c>
      <c r="I4309" s="34" t="n">
        <v>3</v>
      </c>
      <c r="J4309" s="35" t="n">
        <v>3</v>
      </c>
      <c r="K4309" s="2" t="inlineStr">
        <is>
          <t>marker_565_384484.png</t>
        </is>
      </c>
      <c r="L4309" s="36">
        <f>HYPERLINK("NoConsenso\" &amp; K4309, "Ver Imagen")</f>
        <v/>
      </c>
      <c r="M4309" t="inlineStr">
        <is>
          <t>Mediana</t>
        </is>
      </c>
    </row>
    <row r="4310">
      <c r="A4310" s="33" t="n">
        <v>4312</v>
      </c>
      <c r="B4310" t="inlineStr">
        <is>
          <t>A-495_1__124</t>
        </is>
      </c>
      <c r="C4310" s="1" t="n">
        <v>37.4718145799</v>
      </c>
      <c r="D4310" s="1" t="n">
        <v>-7.12606449124</v>
      </c>
      <c r="E4310" s="3" t="n">
        <v>4</v>
      </c>
      <c r="F4310" s="2" t="n">
        <v>2</v>
      </c>
      <c r="G4310" s="4" t="n">
        <v>4</v>
      </c>
      <c r="H4310" s="13" t="n">
        <v>3</v>
      </c>
      <c r="I4310" s="34" t="n">
        <v>3</v>
      </c>
      <c r="J4310" s="35" t="n">
        <v>3</v>
      </c>
      <c r="K4310" s="2" t="inlineStr">
        <is>
          <t>marker_383_384530.png</t>
        </is>
      </c>
      <c r="L4310" s="36">
        <f>HYPERLINK("NoConsenso\" &amp; K4310, "Ver Imagen")</f>
        <v/>
      </c>
      <c r="M4310" t="inlineStr">
        <is>
          <t>Mediana</t>
        </is>
      </c>
    </row>
    <row r="4311">
      <c r="A4311" s="33" t="n">
        <v>4313</v>
      </c>
      <c r="B4311" t="inlineStr">
        <is>
          <t>A-499__68</t>
        </is>
      </c>
      <c r="C4311" s="1" t="n">
        <v>37.4953877031</v>
      </c>
      <c r="D4311" s="1" t="n">
        <v>-7.27079252214</v>
      </c>
      <c r="E4311" s="3" t="n">
        <v>4</v>
      </c>
      <c r="F4311" s="2" t="n">
        <v>2</v>
      </c>
      <c r="G4311" s="4" t="n">
        <v>4</v>
      </c>
      <c r="H4311" s="13" t="n">
        <v>2</v>
      </c>
      <c r="I4311" s="34" t="n">
        <v>2</v>
      </c>
      <c r="J4311" s="35" t="n">
        <v>2</v>
      </c>
      <c r="K4311" s="2" t="inlineStr">
        <is>
          <t>marker_182_535153.png</t>
        </is>
      </c>
      <c r="L4311" s="36">
        <f>HYPERLINK("NoConsenso\" &amp; K4311, "Ver Imagen")</f>
        <v/>
      </c>
      <c r="M4311" t="inlineStr">
        <is>
          <t>Mediana</t>
        </is>
      </c>
    </row>
    <row r="4312">
      <c r="A4312" s="33" t="n">
        <v>4314</v>
      </c>
      <c r="B4312" t="inlineStr">
        <is>
          <t>A-499__69</t>
        </is>
      </c>
      <c r="C4312" s="1" t="n">
        <v>37.4954168096</v>
      </c>
      <c r="D4312" s="1" t="n">
        <v>-7.27051888667</v>
      </c>
      <c r="E4312" s="3" t="n">
        <v>4</v>
      </c>
      <c r="F4312" s="2" t="n">
        <v>2</v>
      </c>
      <c r="G4312" s="4" t="n">
        <v>4</v>
      </c>
      <c r="H4312" s="13" t="n">
        <v>2</v>
      </c>
      <c r="I4312" s="34" t="n">
        <v>3</v>
      </c>
      <c r="J4312" s="35" t="n">
        <v>3</v>
      </c>
      <c r="K4312" s="2" t="inlineStr">
        <is>
          <t>marker_244_535167.png</t>
        </is>
      </c>
      <c r="L4312" s="36">
        <f>HYPERLINK("NoConsenso\" &amp; K4312, "Ver Imagen")</f>
        <v/>
      </c>
      <c r="M4312" t="inlineStr">
        <is>
          <t>Mediana</t>
        </is>
      </c>
    </row>
    <row r="4313">
      <c r="A4313" s="33" t="n">
        <v>4315</v>
      </c>
      <c r="B4313" t="inlineStr">
        <is>
          <t>A-499__84</t>
        </is>
      </c>
      <c r="C4313" s="1" t="n">
        <v>37.4956381153</v>
      </c>
      <c r="D4313" s="1" t="n">
        <v>-7.2680389755</v>
      </c>
      <c r="E4313" s="3" t="n">
        <v>4</v>
      </c>
      <c r="F4313" s="2" t="n">
        <v>3</v>
      </c>
      <c r="G4313" s="4" t="n">
        <v>5</v>
      </c>
      <c r="H4313" s="13" t="n">
        <v>3</v>
      </c>
      <c r="I4313" s="34" t="n">
        <v>4</v>
      </c>
      <c r="J4313" s="35" t="n">
        <v>4</v>
      </c>
      <c r="K4313" s="2" t="inlineStr">
        <is>
          <t>marker_815_789375.png</t>
        </is>
      </c>
      <c r="L4313" s="36">
        <f>HYPERLINK("NoConsenso\" &amp; K4313, "Ver Imagen")</f>
        <v/>
      </c>
      <c r="M4313" t="inlineStr">
        <is>
          <t>Mediana</t>
        </is>
      </c>
    </row>
    <row r="4314">
      <c r="A4314" s="33" t="n">
        <v>4316</v>
      </c>
      <c r="B4314" t="inlineStr">
        <is>
          <t>A-497__709</t>
        </is>
      </c>
      <c r="C4314" s="1" t="n">
        <v>37.1951487636</v>
      </c>
      <c r="D4314" s="1" t="n">
        <v>-6.97795630043</v>
      </c>
      <c r="E4314" s="3" t="n">
        <v>4</v>
      </c>
      <c r="F4314" s="2" t="n">
        <v>2</v>
      </c>
      <c r="G4314" s="4" t="n">
        <v>4</v>
      </c>
      <c r="H4314" s="13" t="n">
        <v>3</v>
      </c>
      <c r="I4314" s="34" t="n">
        <v>3</v>
      </c>
      <c r="J4314" s="35" t="n">
        <v>3</v>
      </c>
      <c r="K4314" s="2" t="inlineStr">
        <is>
          <t>marker_399_370288.png</t>
        </is>
      </c>
      <c r="L4314" s="36">
        <f>HYPERLINK("NoConsenso\" &amp; K4314, "Ver Imagen")</f>
        <v/>
      </c>
      <c r="M4314" t="inlineStr">
        <is>
          <t>Mediana</t>
        </is>
      </c>
    </row>
    <row r="4315">
      <c r="A4315" s="33" t="n">
        <v>4317</v>
      </c>
      <c r="B4315" t="inlineStr">
        <is>
          <t>A-497__669</t>
        </is>
      </c>
      <c r="C4315" s="1" t="n">
        <v>37.1999319458</v>
      </c>
      <c r="D4315" s="1" t="n">
        <v>-6.98557370737</v>
      </c>
      <c r="E4315" s="3" t="n">
        <v>4</v>
      </c>
      <c r="F4315" s="2" t="n">
        <v>2</v>
      </c>
      <c r="G4315" s="4" t="n">
        <v>4</v>
      </c>
      <c r="H4315" s="13" t="n">
        <v>2</v>
      </c>
      <c r="I4315" s="34" t="n">
        <v>2</v>
      </c>
      <c r="J4315" s="35" t="n">
        <v>2</v>
      </c>
      <c r="K4315" s="2" t="inlineStr">
        <is>
          <t>marker_111_371034.png</t>
        </is>
      </c>
      <c r="L4315" s="36">
        <f>HYPERLINK("NoConsenso\" &amp; K4315, "Ver Imagen")</f>
        <v/>
      </c>
      <c r="M4315" t="inlineStr">
        <is>
          <t>Mediana</t>
        </is>
      </c>
    </row>
    <row r="4316">
      <c r="A4316" s="33" t="n">
        <v>4318</v>
      </c>
      <c r="B4316" t="inlineStr">
        <is>
          <t>A-497__659</t>
        </is>
      </c>
      <c r="C4316" s="1" t="n">
        <v>37.2005253429</v>
      </c>
      <c r="D4316" s="1" t="n">
        <v>-6.9880467531</v>
      </c>
      <c r="E4316" s="3" t="n">
        <v>4</v>
      </c>
      <c r="F4316" s="2" t="n">
        <v>2</v>
      </c>
      <c r="G4316" s="4" t="n">
        <v>4</v>
      </c>
      <c r="H4316" s="13" t="n">
        <v>2</v>
      </c>
      <c r="I4316" s="34" t="n">
        <v>1</v>
      </c>
      <c r="J4316" s="35" t="n">
        <v>2</v>
      </c>
      <c r="K4316" s="2" t="inlineStr">
        <is>
          <t>marker_529_371156.png</t>
        </is>
      </c>
      <c r="L4316" s="36">
        <f>HYPERLINK("NoConsenso\" &amp; K4316, "Ver Imagen")</f>
        <v/>
      </c>
      <c r="M4316" t="inlineStr">
        <is>
          <t>Mediana</t>
        </is>
      </c>
    </row>
    <row r="4317">
      <c r="A4317" s="33" t="n">
        <v>4319</v>
      </c>
      <c r="B4317" t="inlineStr">
        <is>
          <t>A-497__651</t>
        </is>
      </c>
      <c r="C4317" s="1" t="n">
        <v>37.2009630074</v>
      </c>
      <c r="D4317" s="1" t="n">
        <v>-6.98998699498</v>
      </c>
      <c r="E4317" s="3" t="n">
        <v>4</v>
      </c>
      <c r="F4317" s="2" t="n">
        <v>2</v>
      </c>
      <c r="G4317" s="4" t="n">
        <v>4</v>
      </c>
      <c r="H4317" s="13" t="n">
        <v>2</v>
      </c>
      <c r="I4317" s="34" t="n">
        <v>1</v>
      </c>
      <c r="J4317" s="35" t="n">
        <v>2</v>
      </c>
      <c r="K4317" s="2" t="inlineStr">
        <is>
          <t>marker_664_371226.png</t>
        </is>
      </c>
      <c r="L4317" s="36">
        <f>HYPERLINK("NoConsenso\" &amp; K4317, "Ver Imagen")</f>
        <v/>
      </c>
      <c r="M4317" t="inlineStr">
        <is>
          <t>Mediana</t>
        </is>
      </c>
    </row>
    <row r="4318">
      <c r="A4318" s="33" t="n">
        <v>4320</v>
      </c>
      <c r="B4318" t="inlineStr">
        <is>
          <t>A-497__602</t>
        </is>
      </c>
      <c r="C4318" s="1" t="n">
        <v>37.2029150381</v>
      </c>
      <c r="D4318" s="1" t="n">
        <v>-7.00214693618</v>
      </c>
      <c r="E4318" s="3" t="n">
        <v>4</v>
      </c>
      <c r="F4318" s="2" t="n">
        <v>2</v>
      </c>
      <c r="G4318" s="4" t="n">
        <v>4</v>
      </c>
      <c r="H4318" s="13" t="n">
        <v>2</v>
      </c>
      <c r="I4318" s="34" t="n">
        <v>2</v>
      </c>
      <c r="J4318" s="35" t="n">
        <v>2</v>
      </c>
      <c r="K4318" s="2" t="inlineStr">
        <is>
          <t>marker_182_371696.png</t>
        </is>
      </c>
      <c r="L4318" s="36">
        <f>HYPERLINK("NoConsenso\" &amp; K4318, "Ver Imagen")</f>
        <v/>
      </c>
      <c r="M4318" t="inlineStr">
        <is>
          <t>Mediana</t>
        </is>
      </c>
    </row>
    <row r="4319">
      <c r="A4319" s="33" t="n">
        <v>4321</v>
      </c>
      <c r="B4319" t="inlineStr">
        <is>
          <t>A-497__536</t>
        </is>
      </c>
      <c r="C4319" s="1" t="n">
        <v>37.2056973029</v>
      </c>
      <c r="D4319" s="1" t="n">
        <v>-7.0184244718</v>
      </c>
      <c r="E4319" s="3" t="n">
        <v>4</v>
      </c>
      <c r="F4319" s="2" t="n">
        <v>2</v>
      </c>
      <c r="G4319" s="4" t="n">
        <v>4</v>
      </c>
      <c r="H4319" s="13" t="n">
        <v>1</v>
      </c>
      <c r="I4319" s="34" t="n">
        <v>2</v>
      </c>
      <c r="J4319" s="35" t="n">
        <v>2</v>
      </c>
      <c r="K4319" s="2" t="inlineStr">
        <is>
          <t>marker_539_372431.png</t>
        </is>
      </c>
      <c r="L4319" s="36">
        <f>HYPERLINK("NoConsenso\" &amp; K4319, "Ver Imagen")</f>
        <v/>
      </c>
      <c r="M4319" t="inlineStr">
        <is>
          <t>Mediana</t>
        </is>
      </c>
    </row>
    <row r="4320">
      <c r="A4320" s="33" t="n">
        <v>4322</v>
      </c>
      <c r="B4320" t="inlineStr">
        <is>
          <t>A-497__525</t>
        </is>
      </c>
      <c r="C4320" s="1" t="n">
        <v>37.2067984984</v>
      </c>
      <c r="D4320" s="1" t="n">
        <v>-7.0208330473</v>
      </c>
      <c r="E4320" s="3" t="n">
        <v>4</v>
      </c>
      <c r="F4320" s="2" t="n">
        <v>2</v>
      </c>
      <c r="G4320" s="4" t="n">
        <v>4</v>
      </c>
      <c r="H4320" s="13" t="n">
        <v>2</v>
      </c>
      <c r="I4320" s="34" t="n">
        <v>2</v>
      </c>
      <c r="J4320" s="35" t="n">
        <v>2</v>
      </c>
      <c r="K4320" s="2" t="inlineStr">
        <is>
          <t>marker_750_372548.png</t>
        </is>
      </c>
      <c r="L4320" s="36">
        <f>HYPERLINK("NoConsenso\" &amp; K4320, "Ver Imagen")</f>
        <v/>
      </c>
      <c r="M4320" t="inlineStr">
        <is>
          <t>Mediana</t>
        </is>
      </c>
    </row>
    <row r="4321">
      <c r="A4321" s="33" t="n">
        <v>4323</v>
      </c>
      <c r="B4321" t="inlineStr">
        <is>
          <t>A-497_2C__579</t>
        </is>
      </c>
      <c r="C4321" s="1" t="n">
        <v>37.2033658465</v>
      </c>
      <c r="D4321" s="1" t="n">
        <v>-7.00704948733</v>
      </c>
      <c r="E4321" s="3" t="n">
        <v>4</v>
      </c>
      <c r="F4321" s="2" t="n">
        <v>2</v>
      </c>
      <c r="G4321" s="4" t="n">
        <v>4</v>
      </c>
      <c r="H4321" s="13" t="n">
        <v>2</v>
      </c>
      <c r="I4321" s="34" t="n">
        <v>3</v>
      </c>
      <c r="J4321" s="37" t="n">
        <v>2</v>
      </c>
      <c r="K4321" s="2" t="inlineStr">
        <is>
          <t>marker_157_366562.png</t>
        </is>
      </c>
      <c r="L4321" s="36">
        <f>HYPERLINK("NoConsenso\" &amp; K4321, "Ver Imagen")</f>
        <v/>
      </c>
      <c r="M4321" s="37" t="inlineStr">
        <is>
          <t>Modificada</t>
        </is>
      </c>
    </row>
    <row r="4322">
      <c r="A4322" s="33" t="n">
        <v>4324</v>
      </c>
      <c r="B4322" t="inlineStr">
        <is>
          <t>A-497__331</t>
        </is>
      </c>
      <c r="C4322" s="1" t="n">
        <v>37.2441885503</v>
      </c>
      <c r="D4322" s="1" t="n">
        <v>-7.01832637551</v>
      </c>
      <c r="E4322" s="3" t="n">
        <v>4</v>
      </c>
      <c r="F4322" s="2" t="n">
        <v>2</v>
      </c>
      <c r="G4322" s="4" t="n">
        <v>4</v>
      </c>
      <c r="H4322" s="13" t="n">
        <v>2</v>
      </c>
      <c r="I4322" s="34" t="n">
        <v>3</v>
      </c>
      <c r="J4322" s="35" t="n">
        <v>3</v>
      </c>
      <c r="K4322" s="2" t="inlineStr">
        <is>
          <t>marker_115_377862.png</t>
        </is>
      </c>
      <c r="L4322" s="36">
        <f>HYPERLINK("NoConsenso\" &amp; K4322, "Ver Imagen")</f>
        <v/>
      </c>
      <c r="M4322" t="inlineStr">
        <is>
          <t>Mediana</t>
        </is>
      </c>
    </row>
    <row r="4323">
      <c r="A4323" s="33" t="n">
        <v>4325</v>
      </c>
      <c r="B4323" t="inlineStr">
        <is>
          <t>A-497__329</t>
        </is>
      </c>
      <c r="C4323" s="1" t="n">
        <v>37.2445895653</v>
      </c>
      <c r="D4323" s="1" t="n">
        <v>-7.01831521792</v>
      </c>
      <c r="E4323" s="3" t="n">
        <v>4</v>
      </c>
      <c r="F4323" s="2" t="n">
        <v>2</v>
      </c>
      <c r="G4323" s="4" t="n">
        <v>4</v>
      </c>
      <c r="H4323" s="13" t="n">
        <v>2</v>
      </c>
      <c r="I4323" s="34" t="n">
        <v>3</v>
      </c>
      <c r="J4323" s="35" t="n">
        <v>3</v>
      </c>
      <c r="K4323" s="2" t="inlineStr">
        <is>
          <t>marker_708_377881.png</t>
        </is>
      </c>
      <c r="L4323" s="36">
        <f>HYPERLINK("NoConsenso\" &amp; K4323, "Ver Imagen")</f>
        <v/>
      </c>
      <c r="M4323" t="inlineStr">
        <is>
          <t>Mediana</t>
        </is>
      </c>
    </row>
    <row r="4324">
      <c r="A4324" s="33" t="n">
        <v>4326</v>
      </c>
      <c r="B4324" t="inlineStr">
        <is>
          <t>A-490__55</t>
        </is>
      </c>
      <c r="C4324" s="1" t="n">
        <v>37.4471556087</v>
      </c>
      <c r="D4324" s="1" t="n">
        <v>-7.13975225371</v>
      </c>
      <c r="E4324" s="3" t="n">
        <v>3</v>
      </c>
      <c r="F4324" s="2" t="n">
        <v>5</v>
      </c>
      <c r="G4324" s="4" t="n">
        <v>5</v>
      </c>
      <c r="H4324" s="13" t="n">
        <v>4</v>
      </c>
      <c r="I4324" s="34" t="n">
        <v>5</v>
      </c>
      <c r="J4324" s="35" t="n">
        <v>5</v>
      </c>
      <c r="K4324" s="2" t="inlineStr">
        <is>
          <t>marker_877_732399.png</t>
        </is>
      </c>
      <c r="L4324" s="36">
        <f>HYPERLINK("NoConsenso\" &amp; K4324, "Ver Imagen")</f>
        <v/>
      </c>
      <c r="M4324" t="inlineStr">
        <is>
          <t>Mediana</t>
        </is>
      </c>
    </row>
    <row r="4325">
      <c r="A4325" s="33" t="n">
        <v>4327</v>
      </c>
      <c r="B4325" t="inlineStr">
        <is>
          <t>A-490__73</t>
        </is>
      </c>
      <c r="C4325" s="1" t="n">
        <v>37.4485191701</v>
      </c>
      <c r="D4325" s="1" t="n">
        <v>-7.1439212494</v>
      </c>
      <c r="E4325" s="3" t="n">
        <v>3</v>
      </c>
      <c r="F4325" s="2" t="n">
        <v>5</v>
      </c>
      <c r="G4325" s="4" t="n">
        <v>5</v>
      </c>
      <c r="H4325" s="13" t="n">
        <v>5</v>
      </c>
      <c r="I4325" s="34" t="n">
        <v>4</v>
      </c>
      <c r="J4325" s="35" t="n">
        <v>5</v>
      </c>
      <c r="K4325" s="2" t="inlineStr">
        <is>
          <t>marker_200_738234.png</t>
        </is>
      </c>
      <c r="L4325" s="36">
        <f>HYPERLINK("NoConsenso\" &amp; K4325, "Ver Imagen")</f>
        <v/>
      </c>
      <c r="M4325" t="inlineStr">
        <is>
          <t>Mediana</t>
        </is>
      </c>
    </row>
    <row r="4326">
      <c r="A4326" s="33" t="n">
        <v>4328</v>
      </c>
      <c r="B4326" t="inlineStr">
        <is>
          <t>A-490__74</t>
        </is>
      </c>
      <c r="C4326" s="1" t="n">
        <v>37.4485358277</v>
      </c>
      <c r="D4326" s="1" t="n">
        <v>-7.1442132694</v>
      </c>
      <c r="E4326" s="3" t="n">
        <v>3</v>
      </c>
      <c r="F4326" s="2" t="n">
        <v>5</v>
      </c>
      <c r="G4326" s="4" t="n">
        <v>5</v>
      </c>
      <c r="H4326" s="13" t="n">
        <v>5</v>
      </c>
      <c r="I4326" s="34" t="n">
        <v>5</v>
      </c>
      <c r="J4326" s="35" t="n">
        <v>5</v>
      </c>
      <c r="K4326" s="2" t="inlineStr">
        <is>
          <t>marker_833_738417.png</t>
        </is>
      </c>
      <c r="L4326" s="36">
        <f>HYPERLINK("NoConsenso\" &amp; K4326, "Ver Imagen")</f>
        <v/>
      </c>
      <c r="M4326" t="inlineStr">
        <is>
          <t>Mediana</t>
        </is>
      </c>
    </row>
    <row r="4327">
      <c r="A4327" s="33" t="n">
        <v>4329</v>
      </c>
      <c r="B4327" t="inlineStr">
        <is>
          <t>A-492__12</t>
        </is>
      </c>
      <c r="C4327" s="1" t="n">
        <v>37.2737900796</v>
      </c>
      <c r="D4327" s="1" t="n">
        <v>-6.99123157434</v>
      </c>
      <c r="E4327" s="3" t="n">
        <v>4</v>
      </c>
      <c r="F4327" s="2" t="n">
        <v>3</v>
      </c>
      <c r="G4327" s="4" t="n">
        <v>5</v>
      </c>
      <c r="H4327" s="13" t="n">
        <v>3</v>
      </c>
      <c r="I4327" s="34" t="n">
        <v>4</v>
      </c>
      <c r="J4327" s="35" t="n">
        <v>4</v>
      </c>
      <c r="K4327" s="2" t="inlineStr">
        <is>
          <t>marker_349_821916.png</t>
        </is>
      </c>
      <c r="L4327" s="36">
        <f>HYPERLINK("NoConsenso\" &amp; K4327, "Ver Imagen")</f>
        <v/>
      </c>
      <c r="M4327" t="inlineStr">
        <is>
          <t>Mediana</t>
        </is>
      </c>
    </row>
    <row r="4328">
      <c r="A4328" s="33" t="n">
        <v>4330</v>
      </c>
      <c r="B4328" t="inlineStr">
        <is>
          <t>A-495R__71</t>
        </is>
      </c>
      <c r="C4328" s="1" t="n">
        <v>37.4583192989</v>
      </c>
      <c r="D4328" s="1" t="n">
        <v>-7.11445895212</v>
      </c>
      <c r="E4328" s="3" t="n">
        <v>3</v>
      </c>
      <c r="F4328" s="2" t="n">
        <v>4</v>
      </c>
      <c r="G4328" s="4" t="n">
        <v>5</v>
      </c>
      <c r="H4328" s="13" t="n">
        <v>5</v>
      </c>
      <c r="I4328" s="34" t="n">
        <v>5</v>
      </c>
      <c r="J4328" s="35" t="n">
        <v>5</v>
      </c>
      <c r="K4328" s="2" t="inlineStr">
        <is>
          <t>marker_680_935211.png</t>
        </is>
      </c>
      <c r="L4328" s="36">
        <f>HYPERLINK("NoConsenso\" &amp; K4328, "Ver Imagen")</f>
        <v/>
      </c>
      <c r="M4328" t="inlineStr">
        <is>
          <t>Mediana</t>
        </is>
      </c>
    </row>
    <row r="4329">
      <c r="A4329" s="33" t="n">
        <v>4331</v>
      </c>
      <c r="B4329" t="inlineStr">
        <is>
          <t>A-495R__54</t>
        </is>
      </c>
      <c r="C4329" s="1" t="n">
        <v>37.4549981027</v>
      </c>
      <c r="D4329" s="1" t="n">
        <v>-7.11312718979</v>
      </c>
      <c r="E4329" s="3" t="n">
        <v>5</v>
      </c>
      <c r="F4329" s="2" t="n">
        <v>3</v>
      </c>
      <c r="G4329" s="4" t="n">
        <v>5</v>
      </c>
      <c r="H4329" s="13" t="n">
        <v>4</v>
      </c>
      <c r="I4329" s="34" t="n">
        <v>4</v>
      </c>
      <c r="J4329" s="35" t="n">
        <v>4</v>
      </c>
      <c r="K4329" s="2" t="inlineStr">
        <is>
          <t>marker_652_935620.png</t>
        </is>
      </c>
      <c r="L4329" s="36">
        <f>HYPERLINK("NoConsenso\" &amp; K4329, "Ver Imagen")</f>
        <v/>
      </c>
      <c r="M4329" t="inlineStr">
        <is>
          <t>Mediana</t>
        </is>
      </c>
    </row>
    <row r="4330">
      <c r="A4330" s="33" t="n">
        <v>4332</v>
      </c>
      <c r="B4330" t="inlineStr">
        <is>
          <t>A-495R__35</t>
        </is>
      </c>
      <c r="C4330" s="1" t="n">
        <v>37.4514993268</v>
      </c>
      <c r="D4330" s="1" t="n">
        <v>-7.11121133451</v>
      </c>
      <c r="E4330" s="3" t="n">
        <v>3</v>
      </c>
      <c r="F4330" s="2" t="n">
        <v>4</v>
      </c>
      <c r="G4330" s="4" t="n">
        <v>5</v>
      </c>
      <c r="H4330" s="13" t="n">
        <v>4</v>
      </c>
      <c r="I4330" s="34" t="n">
        <v>5</v>
      </c>
      <c r="J4330" s="37" t="n">
        <v>5</v>
      </c>
      <c r="K4330" s="2" t="inlineStr">
        <is>
          <t>marker_935_936572.png</t>
        </is>
      </c>
      <c r="L4330" s="36">
        <f>HYPERLINK("NoConsenso\" &amp; K4330, "Ver Imagen")</f>
        <v/>
      </c>
      <c r="M4330" s="37" t="inlineStr">
        <is>
          <t>Modificada</t>
        </is>
      </c>
    </row>
    <row r="4331">
      <c r="A4331" s="33" t="n">
        <v>4333</v>
      </c>
      <c r="B4331" t="inlineStr">
        <is>
          <t>A-495R__24</t>
        </is>
      </c>
      <c r="C4331" s="1" t="n">
        <v>37.4494597167</v>
      </c>
      <c r="D4331" s="1" t="n">
        <v>-7.11013082356</v>
      </c>
      <c r="E4331" s="3" t="n">
        <v>3</v>
      </c>
      <c r="F4331" s="2" t="n">
        <v>4</v>
      </c>
      <c r="G4331" s="4" t="n">
        <v>5</v>
      </c>
      <c r="H4331" s="13" t="n">
        <v>4</v>
      </c>
      <c r="I4331" s="34" t="n">
        <v>5</v>
      </c>
      <c r="J4331" s="37" t="n">
        <v>5</v>
      </c>
      <c r="K4331" s="2" t="inlineStr">
        <is>
          <t>marker_985_936688.png</t>
        </is>
      </c>
      <c r="L4331" s="36">
        <f>HYPERLINK("NoConsenso\" &amp; K4331, "Ver Imagen")</f>
        <v/>
      </c>
      <c r="M4331" s="37" t="inlineStr">
        <is>
          <t>Modificada</t>
        </is>
      </c>
    </row>
    <row r="4332">
      <c r="A4332" s="33" t="n">
        <v>4335</v>
      </c>
      <c r="B4332" t="inlineStr">
        <is>
          <t>A-497__82</t>
        </is>
      </c>
      <c r="C4332" s="1" t="n">
        <v>37.2690995848</v>
      </c>
      <c r="D4332" s="1" t="n">
        <v>-6.97627510693</v>
      </c>
      <c r="E4332" s="3" t="n">
        <v>3</v>
      </c>
      <c r="F4332" s="2" t="n">
        <v>4</v>
      </c>
      <c r="G4332" s="4" t="n">
        <v>5</v>
      </c>
      <c r="H4332" s="13" t="n">
        <v>4</v>
      </c>
      <c r="I4332" s="34" t="n">
        <v>4</v>
      </c>
      <c r="J4332" s="35" t="n">
        <v>4</v>
      </c>
      <c r="K4332" s="2" t="inlineStr">
        <is>
          <t>marker_122_937440.png</t>
        </is>
      </c>
      <c r="L4332" s="36">
        <f>HYPERLINK("NoConsenso\" &amp; K4332, "Ver Imagen")</f>
        <v/>
      </c>
      <c r="M4332" t="inlineStr">
        <is>
          <t>Mediana</t>
        </is>
      </c>
    </row>
    <row r="4333">
      <c r="A4333" s="33" t="n">
        <v>4336</v>
      </c>
      <c r="B4333" t="inlineStr">
        <is>
          <t>A-497__81</t>
        </is>
      </c>
      <c r="C4333" s="1" t="n">
        <v>37.2690234047</v>
      </c>
      <c r="D4333" s="1" t="n">
        <v>-6.97598184973</v>
      </c>
      <c r="E4333" s="3" t="n">
        <v>3</v>
      </c>
      <c r="F4333" s="2" t="n">
        <v>4</v>
      </c>
      <c r="G4333" s="4" t="n">
        <v>5</v>
      </c>
      <c r="H4333" s="13" t="n">
        <v>3</v>
      </c>
      <c r="I4333" s="34" t="n">
        <v>4</v>
      </c>
      <c r="J4333" s="35" t="n">
        <v>4</v>
      </c>
      <c r="K4333" s="2" t="inlineStr">
        <is>
          <t>marker_706_937449.png</t>
        </is>
      </c>
      <c r="L4333" s="36">
        <f>HYPERLINK("NoConsenso\" &amp; K4333, "Ver Imagen")</f>
        <v/>
      </c>
      <c r="M4333" t="inlineStr">
        <is>
          <t>Mediana</t>
        </is>
      </c>
    </row>
    <row r="4334">
      <c r="A4334" s="33" t="n">
        <v>4337</v>
      </c>
      <c r="B4334" t="inlineStr">
        <is>
          <t>A-497__75</t>
        </is>
      </c>
      <c r="C4334" s="1" t="n">
        <v>37.2686797757</v>
      </c>
      <c r="D4334" s="1" t="n">
        <v>-6.97452664457</v>
      </c>
      <c r="E4334" s="3" t="n">
        <v>3</v>
      </c>
      <c r="F4334" s="2" t="n">
        <v>3</v>
      </c>
      <c r="G4334" s="4" t="n">
        <v>5</v>
      </c>
      <c r="H4334" s="13" t="n">
        <v>3</v>
      </c>
      <c r="I4334" s="34" t="n">
        <v>4</v>
      </c>
      <c r="J4334" s="35" t="n">
        <v>3</v>
      </c>
      <c r="K4334" s="2" t="inlineStr">
        <is>
          <t>marker_733_937988.png</t>
        </is>
      </c>
      <c r="L4334" s="36">
        <f>HYPERLINK("NoConsenso\" &amp; K4334, "Ver Imagen")</f>
        <v/>
      </c>
      <c r="M4334" t="inlineStr">
        <is>
          <t>Mediana</t>
        </is>
      </c>
    </row>
    <row r="4335">
      <c r="A4335" s="33" t="n">
        <v>4338</v>
      </c>
      <c r="B4335" t="inlineStr">
        <is>
          <t>A-495__113</t>
        </is>
      </c>
      <c r="C4335" s="1" t="n">
        <v>37.43555014</v>
      </c>
      <c r="D4335" s="1" t="n">
        <v>-7.07476292182</v>
      </c>
      <c r="E4335" s="3" t="n">
        <v>5</v>
      </c>
      <c r="F4335" s="2" t="n">
        <v>3</v>
      </c>
      <c r="G4335" s="4" t="n">
        <v>5</v>
      </c>
      <c r="H4335" s="13" t="n">
        <v>4</v>
      </c>
      <c r="I4335" s="34" t="n">
        <v>3</v>
      </c>
      <c r="J4335" s="35" t="n">
        <v>4</v>
      </c>
      <c r="K4335" s="2" t="inlineStr">
        <is>
          <t>marker_747_382303.png</t>
        </is>
      </c>
      <c r="L4335" s="36">
        <f>HYPERLINK("NoConsenso\" &amp; K4335, "Ver Imagen")</f>
        <v/>
      </c>
      <c r="M4335" t="inlineStr">
        <is>
          <t>Mediana</t>
        </is>
      </c>
    </row>
    <row r="4336">
      <c r="A4336" s="33" t="n">
        <v>4339</v>
      </c>
      <c r="B4336" t="inlineStr">
        <is>
          <t>A-497__761</t>
        </is>
      </c>
      <c r="C4336" s="1" t="n">
        <v>37.1862073352</v>
      </c>
      <c r="D4336" s="1" t="n">
        <v>-6.98050689665</v>
      </c>
      <c r="E4336" s="3" t="n">
        <v>5</v>
      </c>
      <c r="F4336" s="2" t="n">
        <v>3</v>
      </c>
      <c r="G4336" s="4" t="n">
        <v>5</v>
      </c>
      <c r="H4336" s="13" t="n">
        <v>3</v>
      </c>
      <c r="I4336" s="34" t="n">
        <v>4</v>
      </c>
      <c r="J4336" s="35" t="n">
        <v>4</v>
      </c>
      <c r="K4336" s="2" t="inlineStr">
        <is>
          <t>marker_716_368557.png</t>
        </is>
      </c>
      <c r="L4336" s="36">
        <f>HYPERLINK("NoConsenso\" &amp; K4336, "Ver Imagen")</f>
        <v/>
      </c>
      <c r="M4336" t="inlineStr">
        <is>
          <t>Mediana</t>
        </is>
      </c>
    </row>
    <row r="4337">
      <c r="A4337" s="33" t="n">
        <v>4340</v>
      </c>
      <c r="B4337" t="inlineStr">
        <is>
          <t>A-497__759</t>
        </is>
      </c>
      <c r="C4337" s="1" t="n">
        <v>37.1858638767</v>
      </c>
      <c r="D4337" s="1" t="n">
        <v>-6.98024621981</v>
      </c>
      <c r="E4337" s="3" t="n">
        <v>5</v>
      </c>
      <c r="F4337" s="2" t="n">
        <v>3</v>
      </c>
      <c r="G4337" s="4" t="n">
        <v>5</v>
      </c>
      <c r="H4337" s="13" t="n">
        <v>3</v>
      </c>
      <c r="I4337" s="34" t="n">
        <v>3</v>
      </c>
      <c r="J4337" s="35" t="n">
        <v>3</v>
      </c>
      <c r="K4337" s="2" t="inlineStr">
        <is>
          <t>marker_331_368580.png</t>
        </is>
      </c>
      <c r="L4337" s="36">
        <f>HYPERLINK("NoConsenso\" &amp; K4337, "Ver Imagen")</f>
        <v/>
      </c>
      <c r="M4337" t="inlineStr">
        <is>
          <t>Mediana</t>
        </is>
      </c>
    </row>
    <row r="4338">
      <c r="A4338" s="33" t="n">
        <v>4341</v>
      </c>
      <c r="B4338" t="inlineStr">
        <is>
          <t>A-497__753</t>
        </is>
      </c>
      <c r="C4338" s="1" t="n">
        <v>37.1867368681</v>
      </c>
      <c r="D4338" s="1" t="n">
        <v>-6.97951327358</v>
      </c>
      <c r="E4338" s="3" t="n">
        <v>5</v>
      </c>
      <c r="F4338" s="2" t="n">
        <v>3</v>
      </c>
      <c r="G4338" s="4" t="n">
        <v>5</v>
      </c>
      <c r="H4338" s="13" t="n">
        <v>3</v>
      </c>
      <c r="I4338" s="34" t="n">
        <v>4</v>
      </c>
      <c r="J4338" s="35" t="n">
        <v>4</v>
      </c>
      <c r="K4338" s="2" t="inlineStr">
        <is>
          <t>marker_576_368650.png</t>
        </is>
      </c>
      <c r="L4338" s="36">
        <f>HYPERLINK("NoConsenso\" &amp; K4338, "Ver Imagen")</f>
        <v/>
      </c>
      <c r="M4338" t="inlineStr">
        <is>
          <t>Mediana</t>
        </is>
      </c>
    </row>
    <row r="4339">
      <c r="A4339" s="33" t="n">
        <v>4342</v>
      </c>
      <c r="B4339" t="inlineStr">
        <is>
          <t>A-497_2C__19</t>
        </is>
      </c>
      <c r="C4339" s="1" t="n">
        <v>37.267588447</v>
      </c>
      <c r="D4339" s="1" t="n">
        <v>-6.9618002267</v>
      </c>
      <c r="E4339" s="3" t="n">
        <v>5</v>
      </c>
      <c r="F4339" s="2" t="n">
        <v>3</v>
      </c>
      <c r="G4339" s="4" t="n">
        <v>5</v>
      </c>
      <c r="H4339" s="13" t="n">
        <v>3</v>
      </c>
      <c r="I4339" s="34" t="n">
        <v>4</v>
      </c>
      <c r="J4339" s="35" t="n">
        <v>4</v>
      </c>
      <c r="K4339" s="2" t="inlineStr">
        <is>
          <t>marker_792_654378.png</t>
        </is>
      </c>
      <c r="L4339" s="36">
        <f>HYPERLINK("NoConsenso\" &amp; K4339, "Ver Imagen")</f>
        <v/>
      </c>
      <c r="M4339" t="inlineStr">
        <is>
          <t>Mediana</t>
        </is>
      </c>
    </row>
    <row r="4340">
      <c r="A4340" s="33" t="n">
        <v>4343</v>
      </c>
      <c r="B4340" t="inlineStr">
        <is>
          <t>A-497__595</t>
        </is>
      </c>
      <c r="C4340" s="1" t="n">
        <v>37.2031091966</v>
      </c>
      <c r="D4340" s="1" t="n">
        <v>-7.00392028411</v>
      </c>
      <c r="E4340" s="3" t="n">
        <v>5</v>
      </c>
      <c r="F4340" s="2" t="n">
        <v>3</v>
      </c>
      <c r="G4340" s="4" t="n">
        <v>5</v>
      </c>
      <c r="H4340" s="13" t="n">
        <v>3</v>
      </c>
      <c r="I4340" s="34" t="n">
        <v>4</v>
      </c>
      <c r="J4340" s="37" t="n">
        <v>3</v>
      </c>
      <c r="K4340" s="2" t="inlineStr">
        <is>
          <t>marker_310_371761.png</t>
        </is>
      </c>
      <c r="L4340" s="36">
        <f>HYPERLINK("NoConsenso\" &amp; K4340, "Ver Imagen")</f>
        <v/>
      </c>
      <c r="M4340" s="37" t="inlineStr">
        <is>
          <t>Modificada</t>
        </is>
      </c>
    </row>
    <row r="4341">
      <c r="A4341" s="33" t="n">
        <v>4344</v>
      </c>
      <c r="B4341" t="inlineStr">
        <is>
          <t>A-497__571</t>
        </is>
      </c>
      <c r="C4341" s="1" t="n">
        <v>37.203939104</v>
      </c>
      <c r="D4341" s="1" t="n">
        <v>-7.00987795945</v>
      </c>
      <c r="E4341" s="3" t="n">
        <v>5</v>
      </c>
      <c r="F4341" s="2" t="n">
        <v>3</v>
      </c>
      <c r="G4341" s="4" t="n">
        <v>5</v>
      </c>
      <c r="H4341" s="13" t="n">
        <v>4</v>
      </c>
      <c r="I4341" s="34" t="n">
        <v>4</v>
      </c>
      <c r="J4341" s="35" t="n">
        <v>4</v>
      </c>
      <c r="K4341" s="2" t="inlineStr">
        <is>
          <t>marker_239_372016.png</t>
        </is>
      </c>
      <c r="L4341" s="36">
        <f>HYPERLINK("NoConsenso\" &amp; K4341, "Ver Imagen")</f>
        <v/>
      </c>
      <c r="M4341" t="inlineStr">
        <is>
          <t>Mediana</t>
        </is>
      </c>
    </row>
    <row r="4342">
      <c r="A4342" s="33" t="n">
        <v>4345</v>
      </c>
      <c r="B4342" t="inlineStr">
        <is>
          <t>A-497__568</t>
        </is>
      </c>
      <c r="C4342" s="1" t="n">
        <v>37.2040580135</v>
      </c>
      <c r="D4342" s="1" t="n">
        <v>-7.0105954238</v>
      </c>
      <c r="E4342" s="3" t="n">
        <v>5</v>
      </c>
      <c r="F4342" s="2" t="n">
        <v>3</v>
      </c>
      <c r="G4342" s="4" t="n">
        <v>5</v>
      </c>
      <c r="H4342" s="13" t="n">
        <v>4</v>
      </c>
      <c r="I4342" s="34" t="n">
        <v>4</v>
      </c>
      <c r="J4342" s="35" t="n">
        <v>4</v>
      </c>
      <c r="K4342" s="2" t="inlineStr">
        <is>
          <t>marker_360_372059.png</t>
        </is>
      </c>
      <c r="L4342" s="36">
        <f>HYPERLINK("NoConsenso\" &amp; K4342, "Ver Imagen")</f>
        <v/>
      </c>
      <c r="M4342" t="inlineStr">
        <is>
          <t>Mediana</t>
        </is>
      </c>
    </row>
    <row r="4343">
      <c r="A4343" s="33" t="n">
        <v>4346</v>
      </c>
      <c r="B4343" t="inlineStr">
        <is>
          <t>A-497__229</t>
        </is>
      </c>
      <c r="C4343" s="1" t="n">
        <v>37.2628035172</v>
      </c>
      <c r="D4343" s="1" t="n">
        <v>-7.00888097709</v>
      </c>
      <c r="E4343" s="3" t="n">
        <v>5</v>
      </c>
      <c r="F4343" s="2" t="n">
        <v>3</v>
      </c>
      <c r="G4343" s="4" t="n">
        <v>5</v>
      </c>
      <c r="H4343" s="13" t="n">
        <v>2</v>
      </c>
      <c r="I4343" s="34" t="n">
        <v>3</v>
      </c>
      <c r="J4343" s="35" t="n">
        <v>3</v>
      </c>
      <c r="K4343" s="2" t="inlineStr">
        <is>
          <t>marker_497_379048.png</t>
        </is>
      </c>
      <c r="L4343" s="36">
        <f>HYPERLINK("NoConsenso\" &amp; K4343, "Ver Imagen")</f>
        <v/>
      </c>
      <c r="M4343" t="inlineStr">
        <is>
          <t>Mediana</t>
        </is>
      </c>
    </row>
    <row r="4344">
      <c r="A4344" s="33" t="n">
        <v>4347</v>
      </c>
      <c r="B4344" t="inlineStr">
        <is>
          <t>A-490__19</t>
        </is>
      </c>
      <c r="C4344" s="1" t="n">
        <v>37.4467830994</v>
      </c>
      <c r="D4344" s="1" t="n">
        <v>-7.13100858202</v>
      </c>
      <c r="E4344" s="3" t="n">
        <v>2</v>
      </c>
      <c r="F4344" s="2" t="n">
        <v>4</v>
      </c>
      <c r="G4344" s="4" t="n">
        <v>3</v>
      </c>
      <c r="H4344" s="13" t="n">
        <v>3</v>
      </c>
      <c r="I4344" s="34" t="n">
        <v>4</v>
      </c>
      <c r="J4344" s="35" t="n">
        <v>3</v>
      </c>
      <c r="K4344" s="2" t="inlineStr">
        <is>
          <t>marker_830_730626.png</t>
        </is>
      </c>
      <c r="L4344" s="36">
        <f>HYPERLINK("NoConsenso\" &amp; K4344, "Ver Imagen")</f>
        <v/>
      </c>
      <c r="M4344" t="inlineStr">
        <is>
          <t>Mediana</t>
        </is>
      </c>
    </row>
    <row r="4345">
      <c r="A4345" s="33" t="n">
        <v>4348</v>
      </c>
      <c r="B4345" t="inlineStr">
        <is>
          <t>A-490__26</t>
        </is>
      </c>
      <c r="C4345" s="1" t="n">
        <v>37.4465074472</v>
      </c>
      <c r="D4345" s="1" t="n">
        <v>-7.13268403363</v>
      </c>
      <c r="E4345" s="3" t="n">
        <v>3</v>
      </c>
      <c r="F4345" s="2" t="n">
        <v>4</v>
      </c>
      <c r="G4345" s="4" t="n">
        <v>5</v>
      </c>
      <c r="H4345" s="13" t="n">
        <v>4</v>
      </c>
      <c r="I4345" s="34" t="n">
        <v>4</v>
      </c>
      <c r="J4345" s="35" t="n">
        <v>4</v>
      </c>
      <c r="K4345" s="2" t="inlineStr">
        <is>
          <t>marker_240_730823.png</t>
        </is>
      </c>
      <c r="L4345" s="36">
        <f>HYPERLINK("NoConsenso\" &amp; K4345, "Ver Imagen")</f>
        <v/>
      </c>
      <c r="M4345" t="inlineStr">
        <is>
          <t>Mediana</t>
        </is>
      </c>
    </row>
    <row r="4346">
      <c r="A4346" s="33" t="n">
        <v>4349</v>
      </c>
      <c r="B4346" t="inlineStr">
        <is>
          <t>A-490__30</t>
        </is>
      </c>
      <c r="C4346" s="1" t="n">
        <v>37.4463473932</v>
      </c>
      <c r="D4346" s="1" t="n">
        <v>-7.1337630319</v>
      </c>
      <c r="E4346" s="3" t="n">
        <v>2</v>
      </c>
      <c r="F4346" s="2" t="n">
        <v>4</v>
      </c>
      <c r="G4346" s="4" t="n">
        <v>3</v>
      </c>
      <c r="H4346" s="13" t="n">
        <v>4</v>
      </c>
      <c r="I4346" s="34" t="n">
        <v>4</v>
      </c>
      <c r="J4346" s="35" t="n">
        <v>4</v>
      </c>
      <c r="K4346" s="2" t="inlineStr">
        <is>
          <t>marker_928_730925.png</t>
        </is>
      </c>
      <c r="L4346" s="36">
        <f>HYPERLINK("NoConsenso\" &amp; K4346, "Ver Imagen")</f>
        <v/>
      </c>
      <c r="M4346" t="inlineStr">
        <is>
          <t>Mediana</t>
        </is>
      </c>
    </row>
    <row r="4347">
      <c r="A4347" s="33" t="n">
        <v>4350</v>
      </c>
      <c r="B4347" t="inlineStr">
        <is>
          <t>A-490__36</t>
        </is>
      </c>
      <c r="C4347" s="1" t="n">
        <v>37.4461915125</v>
      </c>
      <c r="D4347" s="1" t="n">
        <v>-7.13523063442</v>
      </c>
      <c r="E4347" s="3" t="n">
        <v>2</v>
      </c>
      <c r="F4347" s="2" t="n">
        <v>3</v>
      </c>
      <c r="G4347" s="4" t="n">
        <v>4</v>
      </c>
      <c r="H4347" s="13" t="n">
        <v>3</v>
      </c>
      <c r="I4347" s="34" t="n">
        <v>3</v>
      </c>
      <c r="J4347" s="35" t="n">
        <v>3</v>
      </c>
      <c r="K4347" s="2" t="inlineStr">
        <is>
          <t>marker_869_731078.png</t>
        </is>
      </c>
      <c r="L4347" s="36">
        <f>HYPERLINK("NoConsenso\" &amp; K4347, "Ver Imagen")</f>
        <v/>
      </c>
      <c r="M4347" t="inlineStr">
        <is>
          <t>Mediana</t>
        </is>
      </c>
    </row>
    <row r="4348">
      <c r="A4348" s="33" t="n">
        <v>4351</v>
      </c>
      <c r="B4348" t="inlineStr">
        <is>
          <t>A-490__40</t>
        </is>
      </c>
      <c r="C4348" s="1" t="n">
        <v>37.4461513749</v>
      </c>
      <c r="D4348" s="1" t="n">
        <v>-7.13622232819</v>
      </c>
      <c r="E4348" s="3" t="n">
        <v>2</v>
      </c>
      <c r="F4348" s="2" t="n">
        <v>4</v>
      </c>
      <c r="G4348" s="4" t="n">
        <v>4</v>
      </c>
      <c r="H4348" s="13" t="n">
        <v>4</v>
      </c>
      <c r="I4348" s="34" t="n">
        <v>4</v>
      </c>
      <c r="J4348" s="35" t="n">
        <v>4</v>
      </c>
      <c r="K4348" s="2" t="inlineStr">
        <is>
          <t>marker_921_731166.png</t>
        </is>
      </c>
      <c r="L4348" s="36">
        <f>HYPERLINK("NoConsenso\" &amp; K4348, "Ver Imagen")</f>
        <v/>
      </c>
      <c r="M4348" t="inlineStr">
        <is>
          <t>Mediana</t>
        </is>
      </c>
    </row>
    <row r="4349">
      <c r="A4349" s="33" t="n">
        <v>4352</v>
      </c>
      <c r="B4349" t="inlineStr">
        <is>
          <t>A-490__42</t>
        </is>
      </c>
      <c r="C4349" s="1" t="n">
        <v>37.4462379281</v>
      </c>
      <c r="D4349" s="1" t="n">
        <v>-7.13670655037</v>
      </c>
      <c r="E4349" s="3" t="n">
        <v>2</v>
      </c>
      <c r="F4349" s="2" t="n">
        <v>4</v>
      </c>
      <c r="G4349" s="4" t="n">
        <v>4</v>
      </c>
      <c r="H4349" s="13" t="n">
        <v>4</v>
      </c>
      <c r="I4349" s="34" t="n">
        <v>3</v>
      </c>
      <c r="J4349" s="35" t="n">
        <v>4</v>
      </c>
      <c r="K4349" s="2" t="inlineStr">
        <is>
          <t>marker_997_731241.png</t>
        </is>
      </c>
      <c r="L4349" s="36">
        <f>HYPERLINK("NoConsenso\" &amp; K4349, "Ver Imagen")</f>
        <v/>
      </c>
      <c r="M4349" t="inlineStr">
        <is>
          <t>Mediana</t>
        </is>
      </c>
    </row>
    <row r="4350">
      <c r="A4350" s="33" t="n">
        <v>4353</v>
      </c>
      <c r="B4350" t="inlineStr">
        <is>
          <t>A-490__51</t>
        </is>
      </c>
      <c r="C4350" s="1" t="n">
        <v>37.4468632702</v>
      </c>
      <c r="D4350" s="1" t="n">
        <v>-7.13884157222</v>
      </c>
      <c r="E4350" s="3" t="n">
        <v>2</v>
      </c>
      <c r="F4350" s="2" t="n">
        <v>4</v>
      </c>
      <c r="G4350" s="4" t="n">
        <v>3</v>
      </c>
      <c r="H4350" s="13" t="n">
        <v>4</v>
      </c>
      <c r="I4350" s="34" t="n">
        <v>3</v>
      </c>
      <c r="J4350" s="35" t="n">
        <v>3</v>
      </c>
      <c r="K4350" s="2" t="inlineStr">
        <is>
          <t>marker_426_732318.png</t>
        </is>
      </c>
      <c r="L4350" s="36">
        <f>HYPERLINK("NoConsenso\" &amp; K4350, "Ver Imagen")</f>
        <v/>
      </c>
      <c r="M4350" t="inlineStr">
        <is>
          <t>Mediana</t>
        </is>
      </c>
    </row>
    <row r="4351">
      <c r="A4351" s="33" t="n">
        <v>4354</v>
      </c>
      <c r="B4351" t="inlineStr">
        <is>
          <t>A-490__56</t>
        </is>
      </c>
      <c r="C4351" s="1" t="n">
        <v>37.4472605564</v>
      </c>
      <c r="D4351" s="1" t="n">
        <v>-7.13999728038</v>
      </c>
      <c r="E4351" s="3" t="n">
        <v>2</v>
      </c>
      <c r="F4351" s="2" t="n">
        <v>3</v>
      </c>
      <c r="G4351" s="4" t="n">
        <v>4</v>
      </c>
      <c r="H4351" s="13" t="n">
        <v>4</v>
      </c>
      <c r="I4351" s="34" t="n">
        <v>4</v>
      </c>
      <c r="J4351" s="35" t="n">
        <v>4</v>
      </c>
      <c r="K4351" s="2" t="inlineStr">
        <is>
          <t>marker_113_737798.png</t>
        </is>
      </c>
      <c r="L4351" s="36">
        <f>HYPERLINK("NoConsenso\" &amp; K4351, "Ver Imagen")</f>
        <v/>
      </c>
      <c r="M4351" t="inlineStr">
        <is>
          <t>Mediana</t>
        </is>
      </c>
    </row>
    <row r="4352">
      <c r="A4352" s="33" t="n">
        <v>4355</v>
      </c>
      <c r="B4352" t="inlineStr">
        <is>
          <t>A-490__59</t>
        </is>
      </c>
      <c r="C4352" s="1" t="n">
        <v>37.4476413978</v>
      </c>
      <c r="D4352" s="1" t="n">
        <v>-7.1408249214</v>
      </c>
      <c r="E4352" s="3" t="n">
        <v>2</v>
      </c>
      <c r="F4352" s="2" t="n">
        <v>4</v>
      </c>
      <c r="G4352" s="4" t="n">
        <v>3</v>
      </c>
      <c r="H4352" s="13" t="n">
        <v>4</v>
      </c>
      <c r="I4352" s="34" t="n">
        <v>4</v>
      </c>
      <c r="J4352" s="35" t="n">
        <v>4</v>
      </c>
      <c r="K4352" s="2" t="inlineStr">
        <is>
          <t>marker_468_737902.png</t>
        </is>
      </c>
      <c r="L4352" s="36">
        <f>HYPERLINK("NoConsenso\" &amp; K4352, "Ver Imagen")</f>
        <v/>
      </c>
      <c r="M4352" t="inlineStr">
        <is>
          <t>Mediana</t>
        </is>
      </c>
    </row>
    <row r="4353">
      <c r="A4353" s="33" t="n">
        <v>4356</v>
      </c>
      <c r="B4353" t="inlineStr">
        <is>
          <t>A-490__71</t>
        </is>
      </c>
      <c r="C4353" s="1" t="n">
        <v>37.4484942571</v>
      </c>
      <c r="D4353" s="1" t="n">
        <v>-7.14342111573</v>
      </c>
      <c r="E4353" s="3" t="n">
        <v>2</v>
      </c>
      <c r="F4353" s="2" t="n">
        <v>4</v>
      </c>
      <c r="G4353" s="4" t="n">
        <v>4</v>
      </c>
      <c r="H4353" s="13" t="n">
        <v>4</v>
      </c>
      <c r="I4353" s="34" t="n">
        <v>4</v>
      </c>
      <c r="J4353" s="35" t="n">
        <v>4</v>
      </c>
      <c r="K4353" s="2" t="inlineStr">
        <is>
          <t>marker_833_738189.png</t>
        </is>
      </c>
      <c r="L4353" s="36">
        <f>HYPERLINK("NoConsenso\" &amp; K4353, "Ver Imagen")</f>
        <v/>
      </c>
      <c r="M4353" t="inlineStr">
        <is>
          <t>Mediana</t>
        </is>
      </c>
    </row>
    <row r="4354">
      <c r="A4354" s="33" t="n">
        <v>4357</v>
      </c>
      <c r="B4354" t="inlineStr">
        <is>
          <t>A-490__80</t>
        </is>
      </c>
      <c r="C4354" s="1" t="n">
        <v>37.4486191563</v>
      </c>
      <c r="D4354" s="1" t="n">
        <v>-7.14573899088</v>
      </c>
      <c r="E4354" s="3" t="n">
        <v>3</v>
      </c>
      <c r="F4354" s="2" t="n">
        <v>4</v>
      </c>
      <c r="G4354" s="4" t="n">
        <v>5</v>
      </c>
      <c r="H4354" s="13" t="n">
        <v>4</v>
      </c>
      <c r="I4354" s="34" t="n">
        <v>4</v>
      </c>
      <c r="J4354" s="35" t="n">
        <v>4</v>
      </c>
      <c r="K4354" s="2" t="inlineStr">
        <is>
          <t>marker_789_738603.png</t>
        </is>
      </c>
      <c r="L4354" s="36">
        <f>HYPERLINK("NoConsenso\" &amp; K4354, "Ver Imagen")</f>
        <v/>
      </c>
      <c r="M4354" t="inlineStr">
        <is>
          <t>Mediana</t>
        </is>
      </c>
    </row>
    <row r="4355">
      <c r="A4355" s="33" t="n">
        <v>4358</v>
      </c>
      <c r="B4355" t="inlineStr">
        <is>
          <t>A-490__82</t>
        </is>
      </c>
      <c r="C4355" s="1" t="n">
        <v>37.4486397866</v>
      </c>
      <c r="D4355" s="1" t="n">
        <v>-7.14622096527</v>
      </c>
      <c r="E4355" s="3" t="n">
        <v>3</v>
      </c>
      <c r="F4355" s="2" t="n">
        <v>5</v>
      </c>
      <c r="G4355" s="4" t="n">
        <v>5</v>
      </c>
      <c r="H4355" s="13" t="n">
        <v>5</v>
      </c>
      <c r="I4355" s="34" t="n">
        <v>5</v>
      </c>
      <c r="J4355" s="35" t="n">
        <v>5</v>
      </c>
      <c r="K4355" s="2" t="inlineStr">
        <is>
          <t>marker_164_738698.png</t>
        </is>
      </c>
      <c r="L4355" s="36">
        <f>HYPERLINK("NoConsenso\" &amp; K4355, "Ver Imagen")</f>
        <v/>
      </c>
      <c r="M4355" t="inlineStr">
        <is>
          <t>Mediana</t>
        </is>
      </c>
    </row>
    <row r="4356">
      <c r="A4356" s="33" t="n">
        <v>4359</v>
      </c>
      <c r="B4356" t="inlineStr">
        <is>
          <t>A-490__83</t>
        </is>
      </c>
      <c r="C4356" s="1" t="n">
        <v>37.4486491211</v>
      </c>
      <c r="D4356" s="1" t="n">
        <v>-7.14644664032</v>
      </c>
      <c r="E4356" s="3" t="n">
        <v>2</v>
      </c>
      <c r="F4356" s="2" t="n">
        <v>2</v>
      </c>
      <c r="G4356" s="4" t="n">
        <v>4</v>
      </c>
      <c r="H4356" s="13" t="n">
        <v>3</v>
      </c>
      <c r="I4356" s="34" t="n">
        <v>3</v>
      </c>
      <c r="J4356" s="35" t="n">
        <v>3</v>
      </c>
      <c r="K4356" s="2" t="inlineStr">
        <is>
          <t>marker_165_738734.png</t>
        </is>
      </c>
      <c r="L4356" s="36">
        <f>HYPERLINK("NoConsenso\" &amp; K4356, "Ver Imagen")</f>
        <v/>
      </c>
      <c r="M4356" t="inlineStr">
        <is>
          <t>Mediana</t>
        </is>
      </c>
    </row>
    <row r="4357">
      <c r="A4357" s="33" t="n">
        <v>4360</v>
      </c>
      <c r="B4357" t="inlineStr">
        <is>
          <t>A-490__93</t>
        </is>
      </c>
      <c r="C4357" s="1" t="n">
        <v>37.4487967227</v>
      </c>
      <c r="D4357" s="1" t="n">
        <v>-7.14902038827</v>
      </c>
      <c r="E4357" s="3" t="n">
        <v>2</v>
      </c>
      <c r="F4357" s="2" t="n">
        <v>4</v>
      </c>
      <c r="G4357" s="4" t="n">
        <v>4</v>
      </c>
      <c r="H4357" s="13" t="n">
        <v>4</v>
      </c>
      <c r="I4357" s="34" t="n">
        <v>3</v>
      </c>
      <c r="J4357" s="35" t="n">
        <v>4</v>
      </c>
      <c r="K4357" s="2" t="inlineStr">
        <is>
          <t>marker_444_739032.png</t>
        </is>
      </c>
      <c r="L4357" s="36">
        <f>HYPERLINK("NoConsenso\" &amp; K4357, "Ver Imagen")</f>
        <v/>
      </c>
      <c r="M4357" t="inlineStr">
        <is>
          <t>Mediana</t>
        </is>
      </c>
    </row>
    <row r="4358">
      <c r="A4358" s="33" t="n">
        <v>4361</v>
      </c>
      <c r="B4358" t="inlineStr">
        <is>
          <t>A-490__128</t>
        </is>
      </c>
      <c r="C4358" s="1" t="n">
        <v>37.4517235199</v>
      </c>
      <c r="D4358" s="1" t="n">
        <v>-7.15697614618</v>
      </c>
      <c r="E4358" s="3" t="n">
        <v>2</v>
      </c>
      <c r="F4358" s="2" t="n">
        <v>4</v>
      </c>
      <c r="G4358" s="4" t="n">
        <v>4</v>
      </c>
      <c r="H4358" s="13" t="n">
        <v>3</v>
      </c>
      <c r="I4358" s="34" t="n">
        <v>3</v>
      </c>
      <c r="J4358" s="35" t="n">
        <v>3</v>
      </c>
      <c r="K4358" s="2" t="inlineStr">
        <is>
          <t>marker_771_740188.png</t>
        </is>
      </c>
      <c r="L4358" s="36">
        <f>HYPERLINK("NoConsenso\" &amp; K4358, "Ver Imagen")</f>
        <v/>
      </c>
      <c r="M4358" t="inlineStr">
        <is>
          <t>Mediana</t>
        </is>
      </c>
    </row>
    <row r="4359">
      <c r="A4359" s="33" t="n">
        <v>4362</v>
      </c>
      <c r="B4359" t="inlineStr">
        <is>
          <t>A-490__106</t>
        </is>
      </c>
      <c r="C4359" s="1" t="n">
        <v>37.4498258137</v>
      </c>
      <c r="D4359" s="1" t="n">
        <v>-7.1519762085</v>
      </c>
      <c r="E4359" s="3" t="n">
        <v>1</v>
      </c>
      <c r="F4359" s="2" t="n">
        <v>3</v>
      </c>
      <c r="G4359" s="4" t="n">
        <v>2</v>
      </c>
      <c r="H4359" s="13" t="n">
        <v>2</v>
      </c>
      <c r="I4359" s="34" t="n">
        <v>2</v>
      </c>
      <c r="J4359" s="35" t="n">
        <v>2</v>
      </c>
      <c r="K4359" s="2" t="inlineStr">
        <is>
          <t>marker_189_739673.png</t>
        </is>
      </c>
      <c r="L4359" s="36">
        <f>HYPERLINK("NoConsenso\" &amp; K4359, "Ver Imagen")</f>
        <v/>
      </c>
      <c r="M4359" t="inlineStr">
        <is>
          <t>Mediana</t>
        </is>
      </c>
    </row>
    <row r="4360">
      <c r="A4360" s="33" t="n">
        <v>4363</v>
      </c>
      <c r="B4360" t="inlineStr">
        <is>
          <t>A-490__109</t>
        </is>
      </c>
      <c r="C4360" s="1" t="n">
        <v>37.4501934767</v>
      </c>
      <c r="D4360" s="1" t="n">
        <v>-7.15257492999</v>
      </c>
      <c r="E4360" s="3" t="n">
        <v>1</v>
      </c>
      <c r="F4360" s="2" t="n">
        <v>3</v>
      </c>
      <c r="G4360" s="4" t="n">
        <v>3</v>
      </c>
      <c r="H4360" s="13" t="n">
        <v>2</v>
      </c>
      <c r="I4360" s="34" t="n">
        <v>2</v>
      </c>
      <c r="J4360" s="35" t="n">
        <v>2</v>
      </c>
      <c r="K4360" s="2" t="inlineStr">
        <is>
          <t>marker_291_739744.png</t>
        </is>
      </c>
      <c r="L4360" s="36">
        <f>HYPERLINK("NoConsenso\" &amp; K4360, "Ver Imagen")</f>
        <v/>
      </c>
      <c r="M4360" t="inlineStr">
        <is>
          <t>Mediana</t>
        </is>
      </c>
    </row>
    <row r="4361">
      <c r="A4361" s="33" t="n">
        <v>4364</v>
      </c>
      <c r="B4361" t="inlineStr">
        <is>
          <t>A-490__111</t>
        </is>
      </c>
      <c r="C4361" s="1" t="n">
        <v>37.4504376382</v>
      </c>
      <c r="D4361" s="1" t="n">
        <v>-7.15297265188</v>
      </c>
      <c r="E4361" s="3" t="n">
        <v>2</v>
      </c>
      <c r="F4361" s="2" t="n">
        <v>3</v>
      </c>
      <c r="G4361" s="4" t="n">
        <v>4</v>
      </c>
      <c r="H4361" s="13" t="n">
        <v>3</v>
      </c>
      <c r="I4361" s="34" t="n">
        <v>3</v>
      </c>
      <c r="J4361" s="35" t="n">
        <v>3</v>
      </c>
      <c r="K4361" s="2" t="inlineStr">
        <is>
          <t>marker_932_739783.png</t>
        </is>
      </c>
      <c r="L4361" s="36">
        <f>HYPERLINK("NoConsenso\" &amp; K4361, "Ver Imagen")</f>
        <v/>
      </c>
      <c r="M4361" t="inlineStr">
        <is>
          <t>Mediana</t>
        </is>
      </c>
    </row>
    <row r="4362">
      <c r="A4362" s="33" t="n">
        <v>4365</v>
      </c>
      <c r="B4362" t="inlineStr">
        <is>
          <t>A-490__112</t>
        </is>
      </c>
      <c r="C4362" s="1" t="n">
        <v>37.4505677745</v>
      </c>
      <c r="D4362" s="1" t="n">
        <v>-7.15318360493</v>
      </c>
      <c r="E4362" s="3" t="n">
        <v>2</v>
      </c>
      <c r="F4362" s="2" t="n">
        <v>3</v>
      </c>
      <c r="G4362" s="4" t="n">
        <v>4</v>
      </c>
      <c r="H4362" s="13" t="n">
        <v>3</v>
      </c>
      <c r="I4362" s="34" t="n">
        <v>2</v>
      </c>
      <c r="J4362" s="35" t="n">
        <v>3</v>
      </c>
      <c r="K4362" s="2" t="inlineStr">
        <is>
          <t>marker_160_739800.png</t>
        </is>
      </c>
      <c r="L4362" s="36">
        <f>HYPERLINK("NoConsenso\" &amp; K4362, "Ver Imagen")</f>
        <v/>
      </c>
      <c r="M4362" t="inlineStr">
        <is>
          <t>Mediana</t>
        </is>
      </c>
    </row>
    <row r="4363">
      <c r="A4363" s="33" t="n">
        <v>4366</v>
      </c>
      <c r="B4363" t="inlineStr">
        <is>
          <t>A-490__115</t>
        </is>
      </c>
      <c r="C4363" s="1" t="n">
        <v>37.4509713557</v>
      </c>
      <c r="D4363" s="1" t="n">
        <v>-7.15386627781</v>
      </c>
      <c r="E4363" s="3" t="n">
        <v>2</v>
      </c>
      <c r="F4363" s="2" t="n">
        <v>3</v>
      </c>
      <c r="G4363" s="4" t="n">
        <v>4</v>
      </c>
      <c r="H4363" s="13" t="n">
        <v>3</v>
      </c>
      <c r="I4363" s="34" t="n">
        <v>3</v>
      </c>
      <c r="J4363" s="35" t="n">
        <v>3</v>
      </c>
      <c r="K4363" s="2" t="inlineStr">
        <is>
          <t>marker_371_739880.png</t>
        </is>
      </c>
      <c r="L4363" s="36">
        <f>HYPERLINK("NoConsenso\" &amp; K4363, "Ver Imagen")</f>
        <v/>
      </c>
      <c r="M4363" t="inlineStr">
        <is>
          <t>Mediana</t>
        </is>
      </c>
    </row>
    <row r="4364">
      <c r="A4364" s="33" t="n">
        <v>4367</v>
      </c>
      <c r="B4364" t="inlineStr">
        <is>
          <t>A-490__121</t>
        </is>
      </c>
      <c r="C4364" s="1" t="n">
        <v>37.4513549669</v>
      </c>
      <c r="D4364" s="1" t="n">
        <v>-7.15523651392</v>
      </c>
      <c r="E4364" s="3" t="n">
        <v>2</v>
      </c>
      <c r="F4364" s="2" t="n">
        <v>4</v>
      </c>
      <c r="G4364" s="4" t="n">
        <v>4</v>
      </c>
      <c r="H4364" s="13" t="n">
        <v>3</v>
      </c>
      <c r="I4364" s="34" t="n">
        <v>3</v>
      </c>
      <c r="J4364" s="35" t="n">
        <v>3</v>
      </c>
      <c r="K4364" s="2" t="inlineStr">
        <is>
          <t>marker_857_740038.png</t>
        </is>
      </c>
      <c r="L4364" s="36">
        <f>HYPERLINK("NoConsenso\" &amp; K4364, "Ver Imagen")</f>
        <v/>
      </c>
      <c r="M4364" t="inlineStr">
        <is>
          <t>Mediana</t>
        </is>
      </c>
    </row>
    <row r="4365">
      <c r="A4365" s="33" t="n">
        <v>4368</v>
      </c>
      <c r="B4365" t="inlineStr">
        <is>
          <t>A-490__122</t>
        </is>
      </c>
      <c r="C4365" s="1" t="n">
        <v>37.4514482334</v>
      </c>
      <c r="D4365" s="1" t="n">
        <v>-7.15567107061</v>
      </c>
      <c r="E4365" s="3" t="n">
        <v>3</v>
      </c>
      <c r="F4365" s="2" t="n">
        <v>4</v>
      </c>
      <c r="G4365" s="4" t="n">
        <v>5</v>
      </c>
      <c r="H4365" s="13" t="n">
        <v>5</v>
      </c>
      <c r="I4365" s="34" t="n">
        <v>4</v>
      </c>
      <c r="J4365" s="35" t="n">
        <v>4</v>
      </c>
      <c r="K4365" s="2" t="inlineStr">
        <is>
          <t>marker_411_740073.png</t>
        </is>
      </c>
      <c r="L4365" s="36">
        <f>HYPERLINK("NoConsenso\" &amp; K4365, "Ver Imagen")</f>
        <v/>
      </c>
      <c r="M4365" t="inlineStr">
        <is>
          <t>Mediana</t>
        </is>
      </c>
    </row>
    <row r="4366">
      <c r="A4366" s="33" t="n">
        <v>4369</v>
      </c>
      <c r="B4366" t="inlineStr">
        <is>
          <t>A-490__124</t>
        </is>
      </c>
      <c r="C4366" s="1" t="n">
        <v>37.4515032991</v>
      </c>
      <c r="D4366" s="1" t="n">
        <v>-7.15593909632</v>
      </c>
      <c r="E4366" s="3" t="n">
        <v>2</v>
      </c>
      <c r="F4366" s="2" t="n">
        <v>4</v>
      </c>
      <c r="G4366" s="4" t="n">
        <v>4</v>
      </c>
      <c r="H4366" s="13" t="n">
        <v>4</v>
      </c>
      <c r="I4366" s="34" t="n">
        <v>4</v>
      </c>
      <c r="J4366" s="35" t="n">
        <v>4</v>
      </c>
      <c r="K4366" s="2" t="inlineStr">
        <is>
          <t>marker_225_740097.png</t>
        </is>
      </c>
      <c r="L4366" s="36">
        <f>HYPERLINK("NoConsenso\" &amp; K4366, "Ver Imagen")</f>
        <v/>
      </c>
      <c r="M4366" t="inlineStr">
        <is>
          <t>Mediana</t>
        </is>
      </c>
    </row>
    <row r="4367">
      <c r="A4367" s="33" t="n">
        <v>4370</v>
      </c>
      <c r="B4367" t="inlineStr">
        <is>
          <t>A-490__125</t>
        </is>
      </c>
      <c r="C4367" s="1" t="n">
        <v>37.4515574094</v>
      </c>
      <c r="D4367" s="1" t="n">
        <v>-7.15619007005</v>
      </c>
      <c r="E4367" s="3" t="n">
        <v>2</v>
      </c>
      <c r="F4367" s="2" t="n">
        <v>4</v>
      </c>
      <c r="G4367" s="4" t="n">
        <v>4</v>
      </c>
      <c r="H4367" s="13" t="n">
        <v>3</v>
      </c>
      <c r="I4367" s="34" t="n">
        <v>3</v>
      </c>
      <c r="J4367" s="35" t="n">
        <v>3</v>
      </c>
      <c r="K4367" s="2" t="inlineStr">
        <is>
          <t>marker_559_740122.png</t>
        </is>
      </c>
      <c r="L4367" s="36">
        <f>HYPERLINK("NoConsenso\" &amp; K4367, "Ver Imagen")</f>
        <v/>
      </c>
      <c r="M4367" t="inlineStr">
        <is>
          <t>Mediana</t>
        </is>
      </c>
    </row>
    <row r="4368">
      <c r="A4368" s="33" t="n">
        <v>4371</v>
      </c>
      <c r="B4368" t="inlineStr">
        <is>
          <t>A-490__127</t>
        </is>
      </c>
      <c r="C4368" s="1" t="n">
        <v>37.4516671601</v>
      </c>
      <c r="D4368" s="1" t="n">
        <v>-7.15670199244</v>
      </c>
      <c r="E4368" s="3" t="n">
        <v>2</v>
      </c>
      <c r="F4368" s="2" t="n">
        <v>4</v>
      </c>
      <c r="G4368" s="4" t="n">
        <v>4</v>
      </c>
      <c r="H4368" s="13" t="n">
        <v>3</v>
      </c>
      <c r="I4368" s="34" t="n">
        <v>3</v>
      </c>
      <c r="J4368" s="35" t="n">
        <v>3</v>
      </c>
      <c r="K4368" s="2" t="inlineStr">
        <is>
          <t>marker_859_740172.png</t>
        </is>
      </c>
      <c r="L4368" s="36">
        <f>HYPERLINK("NoConsenso\" &amp; K4368, "Ver Imagen")</f>
        <v/>
      </c>
      <c r="M4368" t="inlineStr">
        <is>
          <t>Mediana</t>
        </is>
      </c>
    </row>
    <row r="4369">
      <c r="A4369" s="33" t="n">
        <v>4372</v>
      </c>
      <c r="B4369" t="inlineStr">
        <is>
          <t>A-490__129</t>
        </is>
      </c>
      <c r="C4369" s="1" t="n">
        <v>37.4517712559</v>
      </c>
      <c r="D4369" s="1" t="n">
        <v>-7.15720352309</v>
      </c>
      <c r="E4369" s="3" t="n">
        <v>2</v>
      </c>
      <c r="F4369" s="2" t="n">
        <v>3</v>
      </c>
      <c r="G4369" s="4" t="n">
        <v>4</v>
      </c>
      <c r="H4369" s="13" t="n">
        <v>2</v>
      </c>
      <c r="I4369" s="34" t="n">
        <v>3</v>
      </c>
      <c r="J4369" s="37" t="n">
        <v>2</v>
      </c>
      <c r="K4369" s="2" t="inlineStr">
        <is>
          <t>marker_845_740224.png</t>
        </is>
      </c>
      <c r="L4369" s="36">
        <f>HYPERLINK("NoConsenso\" &amp; K4369, "Ver Imagen")</f>
        <v/>
      </c>
      <c r="M4369" s="37" t="inlineStr">
        <is>
          <t>Modificada</t>
        </is>
      </c>
    </row>
    <row r="4370">
      <c r="A4370" s="33" t="n">
        <v>4373</v>
      </c>
      <c r="B4370" t="inlineStr">
        <is>
          <t>A-490__130</t>
        </is>
      </c>
      <c r="C4370" s="1" t="n">
        <v>37.4518295212</v>
      </c>
      <c r="D4370" s="1" t="n">
        <v>-7.15747761838</v>
      </c>
      <c r="E4370" s="3" t="n">
        <v>1</v>
      </c>
      <c r="F4370" s="2" t="n">
        <v>2</v>
      </c>
      <c r="G4370" s="4" t="n">
        <v>3</v>
      </c>
      <c r="H4370" s="13" t="n">
        <v>2</v>
      </c>
      <c r="I4370" s="34" t="n">
        <v>2</v>
      </c>
      <c r="J4370" s="35" t="n">
        <v>2</v>
      </c>
      <c r="K4370" s="2" t="inlineStr">
        <is>
          <t>marker_714_740241.png</t>
        </is>
      </c>
      <c r="L4370" s="36">
        <f>HYPERLINK("NoConsenso\" &amp; K4370, "Ver Imagen")</f>
        <v/>
      </c>
      <c r="M4370" t="inlineStr">
        <is>
          <t>Mediana</t>
        </is>
      </c>
    </row>
    <row r="4371">
      <c r="A4371" s="33" t="n">
        <v>4374</v>
      </c>
      <c r="B4371" t="inlineStr">
        <is>
          <t>A-490__132</t>
        </is>
      </c>
      <c r="C4371" s="1" t="n">
        <v>37.4519278878</v>
      </c>
      <c r="D4371" s="1" t="n">
        <v>-7.15794693461</v>
      </c>
      <c r="E4371" s="3" t="n">
        <v>1</v>
      </c>
      <c r="F4371" s="2" t="n">
        <v>3</v>
      </c>
      <c r="G4371" s="4" t="n">
        <v>3</v>
      </c>
      <c r="H4371" s="13" t="n">
        <v>2</v>
      </c>
      <c r="I4371" s="34" t="n">
        <v>2</v>
      </c>
      <c r="J4371" s="35" t="n">
        <v>2</v>
      </c>
      <c r="K4371" s="2" t="inlineStr">
        <is>
          <t>marker_207_740288.png</t>
        </is>
      </c>
      <c r="L4371" s="36">
        <f>HYPERLINK("NoConsenso\" &amp; K4371, "Ver Imagen")</f>
        <v/>
      </c>
      <c r="M4371" t="inlineStr">
        <is>
          <t>Mediana</t>
        </is>
      </c>
    </row>
    <row r="4372">
      <c r="A4372" s="33" t="n">
        <v>4375</v>
      </c>
      <c r="B4372" t="inlineStr">
        <is>
          <t>A-490__137</t>
        </is>
      </c>
      <c r="C4372" s="1" t="n">
        <v>37.4521810187</v>
      </c>
      <c r="D4372" s="1" t="n">
        <v>-7.15913281674</v>
      </c>
      <c r="E4372" s="3" t="n">
        <v>2</v>
      </c>
      <c r="F4372" s="2" t="n">
        <v>3</v>
      </c>
      <c r="G4372" s="4" t="n">
        <v>4</v>
      </c>
      <c r="H4372" s="13" t="n">
        <v>3</v>
      </c>
      <c r="I4372" s="34" t="n">
        <v>3</v>
      </c>
      <c r="J4372" s="35" t="n">
        <v>3</v>
      </c>
      <c r="K4372" s="2" t="inlineStr">
        <is>
          <t>marker_540_740452.png</t>
        </is>
      </c>
      <c r="L4372" s="36">
        <f>HYPERLINK("NoConsenso\" &amp; K4372, "Ver Imagen")</f>
        <v/>
      </c>
      <c r="M4372" t="inlineStr">
        <is>
          <t>Mediana</t>
        </is>
      </c>
    </row>
    <row r="4373">
      <c r="A4373" s="33" t="n">
        <v>4376</v>
      </c>
      <c r="B4373" t="inlineStr">
        <is>
          <t>A-490__138</t>
        </is>
      </c>
      <c r="C4373" s="1" t="n">
        <v>37.4522286331</v>
      </c>
      <c r="D4373" s="1" t="n">
        <v>-7.15935791192</v>
      </c>
      <c r="E4373" s="3" t="n">
        <v>3</v>
      </c>
      <c r="F4373" s="2" t="n">
        <v>2</v>
      </c>
      <c r="G4373" s="4" t="n">
        <v>4</v>
      </c>
      <c r="H4373" s="13" t="n">
        <v>2</v>
      </c>
      <c r="I4373" s="34" t="n">
        <v>2</v>
      </c>
      <c r="J4373" s="35" t="n">
        <v>2</v>
      </c>
      <c r="K4373" s="2" t="inlineStr">
        <is>
          <t>marker_762_740472.png</t>
        </is>
      </c>
      <c r="L4373" s="36">
        <f>HYPERLINK("NoConsenso\" &amp; K4373, "Ver Imagen")</f>
        <v/>
      </c>
      <c r="M4373" t="inlineStr">
        <is>
          <t>Mediana</t>
        </is>
      </c>
    </row>
    <row r="4374">
      <c r="A4374" s="33" t="n">
        <v>4377</v>
      </c>
      <c r="B4374" t="inlineStr">
        <is>
          <t>A-490__139</t>
        </is>
      </c>
      <c r="C4374" s="1" t="n">
        <v>37.452280452</v>
      </c>
      <c r="D4374" s="1" t="n">
        <v>-7.15960304009</v>
      </c>
      <c r="E4374" s="3" t="n">
        <v>3</v>
      </c>
      <c r="F4374" s="2" t="n">
        <v>4</v>
      </c>
      <c r="G4374" s="4" t="n">
        <v>5</v>
      </c>
      <c r="H4374" s="13" t="n">
        <v>4</v>
      </c>
      <c r="I4374" s="34" t="n">
        <v>4</v>
      </c>
      <c r="J4374" s="35" t="n">
        <v>4</v>
      </c>
      <c r="K4374" s="2" t="inlineStr">
        <is>
          <t>marker_378_740490.png</t>
        </is>
      </c>
      <c r="L4374" s="36">
        <f>HYPERLINK("NoConsenso\" &amp; K4374, "Ver Imagen")</f>
        <v/>
      </c>
      <c r="M4374" t="inlineStr">
        <is>
          <t>Mediana</t>
        </is>
      </c>
    </row>
    <row r="4375">
      <c r="A4375" s="33" t="n">
        <v>4378</v>
      </c>
      <c r="B4375" t="inlineStr">
        <is>
          <t>A-490__145</t>
        </is>
      </c>
      <c r="C4375" s="1" t="n">
        <v>37.4526643043</v>
      </c>
      <c r="D4375" s="1" t="n">
        <v>-7.16108830659</v>
      </c>
      <c r="E4375" s="3" t="n">
        <v>2</v>
      </c>
      <c r="F4375" s="2" t="n">
        <v>3</v>
      </c>
      <c r="G4375" s="4" t="n">
        <v>4</v>
      </c>
      <c r="H4375" s="13" t="n">
        <v>3</v>
      </c>
      <c r="I4375" s="34" t="n">
        <v>4</v>
      </c>
      <c r="J4375" s="35" t="n">
        <v>3</v>
      </c>
      <c r="K4375" s="2" t="inlineStr">
        <is>
          <t>marker_442_740639.png</t>
        </is>
      </c>
      <c r="L4375" s="36">
        <f>HYPERLINK("NoConsenso\" &amp; K4375, "Ver Imagen")</f>
        <v/>
      </c>
      <c r="M4375" t="inlineStr">
        <is>
          <t>Mediana</t>
        </is>
      </c>
    </row>
    <row r="4376">
      <c r="A4376" s="33" t="n">
        <v>4379</v>
      </c>
      <c r="B4376" t="inlineStr">
        <is>
          <t>A-490__148</t>
        </is>
      </c>
      <c r="C4376" s="1" t="n">
        <v>37.4529905875</v>
      </c>
      <c r="D4376" s="1" t="n">
        <v>-7.16177723004</v>
      </c>
      <c r="E4376" s="3" t="n">
        <v>1</v>
      </c>
      <c r="F4376" s="2" t="n">
        <v>3</v>
      </c>
      <c r="G4376" s="4" t="n">
        <v>3</v>
      </c>
      <c r="H4376" s="13" t="n">
        <v>2</v>
      </c>
      <c r="I4376" s="34" t="n">
        <v>1</v>
      </c>
      <c r="J4376" s="35" t="n">
        <v>2</v>
      </c>
      <c r="K4376" s="2" t="inlineStr">
        <is>
          <t>marker_875_740718.png</t>
        </is>
      </c>
      <c r="L4376" s="36">
        <f>HYPERLINK("NoConsenso\" &amp; K4376, "Ver Imagen")</f>
        <v/>
      </c>
      <c r="M4376" t="inlineStr">
        <is>
          <t>Mediana</t>
        </is>
      </c>
    </row>
    <row r="4377">
      <c r="A4377" s="33" t="n">
        <v>4380</v>
      </c>
      <c r="B4377" t="inlineStr">
        <is>
          <t>A-490__149</t>
        </is>
      </c>
      <c r="C4377" s="1" t="n">
        <v>37.4531007653</v>
      </c>
      <c r="D4377" s="1" t="n">
        <v>-7.16199089361</v>
      </c>
      <c r="E4377" s="3" t="n">
        <v>1</v>
      </c>
      <c r="F4377" s="2" t="n">
        <v>3</v>
      </c>
      <c r="G4377" s="4" t="n">
        <v>2</v>
      </c>
      <c r="H4377" s="13" t="n">
        <v>2</v>
      </c>
      <c r="I4377" s="34" t="n">
        <v>2</v>
      </c>
      <c r="J4377" s="35" t="n">
        <v>2</v>
      </c>
      <c r="K4377" s="2" t="inlineStr">
        <is>
          <t>marker_145_740737.png</t>
        </is>
      </c>
      <c r="L4377" s="36">
        <f>HYPERLINK("NoConsenso\" &amp; K4377, "Ver Imagen")</f>
        <v/>
      </c>
      <c r="M4377" t="inlineStr">
        <is>
          <t>Mediana</t>
        </is>
      </c>
    </row>
    <row r="4378">
      <c r="A4378" s="33" t="n">
        <v>4381</v>
      </c>
      <c r="B4378" t="inlineStr">
        <is>
          <t>A-490__159</t>
        </is>
      </c>
      <c r="C4378" s="1" t="n">
        <v>37.4541701596</v>
      </c>
      <c r="D4378" s="1" t="n">
        <v>-7.16410897441</v>
      </c>
      <c r="E4378" s="3" t="n">
        <v>1</v>
      </c>
      <c r="F4378" s="2" t="n">
        <v>3</v>
      </c>
      <c r="G4378" s="4" t="n">
        <v>3</v>
      </c>
      <c r="H4378" s="13" t="n">
        <v>1</v>
      </c>
      <c r="I4378" s="34" t="n">
        <v>1</v>
      </c>
      <c r="J4378" s="35" t="n">
        <v>1</v>
      </c>
      <c r="K4378" s="2" t="inlineStr">
        <is>
          <t>marker_517_741201.png</t>
        </is>
      </c>
      <c r="L4378" s="36">
        <f>HYPERLINK("NoConsenso\" &amp; K4378, "Ver Imagen")</f>
        <v/>
      </c>
      <c r="M4378" t="inlineStr">
        <is>
          <t>Mediana</t>
        </is>
      </c>
    </row>
    <row r="4379">
      <c r="A4379" s="33" t="n">
        <v>4382</v>
      </c>
      <c r="B4379" t="inlineStr">
        <is>
          <t>A-490__162</t>
        </is>
      </c>
      <c r="C4379" s="1" t="n">
        <v>37.4544893984</v>
      </c>
      <c r="D4379" s="1" t="n">
        <v>-7.16474057277</v>
      </c>
      <c r="E4379" s="3" t="n">
        <v>1</v>
      </c>
      <c r="F4379" s="2" t="n">
        <v>3</v>
      </c>
      <c r="G4379" s="4" t="n">
        <v>3</v>
      </c>
      <c r="H4379" s="13" t="n">
        <v>2</v>
      </c>
      <c r="I4379" s="34" t="n">
        <v>1</v>
      </c>
      <c r="J4379" s="35" t="n">
        <v>2</v>
      </c>
      <c r="K4379" s="2" t="inlineStr">
        <is>
          <t>marker_639_741279.png</t>
        </is>
      </c>
      <c r="L4379" s="36">
        <f>HYPERLINK("NoConsenso\" &amp; K4379, "Ver Imagen")</f>
        <v/>
      </c>
      <c r="M4379" t="inlineStr">
        <is>
          <t>Mediana</t>
        </is>
      </c>
    </row>
    <row r="4380">
      <c r="A4380" s="33" t="n">
        <v>4383</v>
      </c>
      <c r="B4380" t="inlineStr">
        <is>
          <t>A-490__163</t>
        </is>
      </c>
      <c r="C4380" s="1" t="n">
        <v>37.4546129467</v>
      </c>
      <c r="D4380" s="1" t="n">
        <v>-7.16497358412</v>
      </c>
      <c r="E4380" s="3" t="n">
        <v>2</v>
      </c>
      <c r="F4380" s="2" t="n">
        <v>4</v>
      </c>
      <c r="G4380" s="4" t="n">
        <v>3</v>
      </c>
      <c r="H4380" s="13" t="n">
        <v>3</v>
      </c>
      <c r="I4380" s="34" t="n">
        <v>4</v>
      </c>
      <c r="J4380" s="35" t="n">
        <v>3</v>
      </c>
      <c r="K4380" s="2" t="inlineStr">
        <is>
          <t>marker_935_741303.png</t>
        </is>
      </c>
      <c r="L4380" s="36">
        <f>HYPERLINK("NoConsenso\" &amp; K4380, "Ver Imagen")</f>
        <v/>
      </c>
      <c r="M4380" t="inlineStr">
        <is>
          <t>Mediana</t>
        </is>
      </c>
    </row>
    <row r="4381">
      <c r="A4381" s="33" t="n">
        <v>4384</v>
      </c>
      <c r="B4381" t="inlineStr">
        <is>
          <t>A-490__166</t>
        </is>
      </c>
      <c r="C4381" s="1" t="n">
        <v>37.4549707146</v>
      </c>
      <c r="D4381" s="1" t="n">
        <v>-7.1655314371</v>
      </c>
      <c r="E4381" s="3" t="n">
        <v>2</v>
      </c>
      <c r="F4381" s="2" t="n">
        <v>3</v>
      </c>
      <c r="G4381" s="4" t="n">
        <v>4</v>
      </c>
      <c r="H4381" s="13" t="n">
        <v>3</v>
      </c>
      <c r="I4381" s="34" t="n">
        <v>3</v>
      </c>
      <c r="J4381" s="35" t="n">
        <v>3</v>
      </c>
      <c r="K4381" s="2" t="inlineStr">
        <is>
          <t>marker_621_741379.png</t>
        </is>
      </c>
      <c r="L4381" s="36">
        <f>HYPERLINK("NoConsenso\" &amp; K4381, "Ver Imagen")</f>
        <v/>
      </c>
      <c r="M4381" t="inlineStr">
        <is>
          <t>Mediana</t>
        </is>
      </c>
    </row>
    <row r="4382">
      <c r="A4382" s="33" t="n">
        <v>4385</v>
      </c>
      <c r="B4382" t="inlineStr">
        <is>
          <t>A-490__174</t>
        </is>
      </c>
      <c r="C4382" s="1" t="n">
        <v>37.4561405207</v>
      </c>
      <c r="D4382" s="1" t="n">
        <v>-7.16697078682</v>
      </c>
      <c r="E4382" s="3" t="n">
        <v>2</v>
      </c>
      <c r="F4382" s="2" t="n">
        <v>4</v>
      </c>
      <c r="G4382" s="4" t="n">
        <v>3</v>
      </c>
      <c r="H4382" s="13" t="n">
        <v>3</v>
      </c>
      <c r="I4382" s="34" t="n">
        <v>3</v>
      </c>
      <c r="J4382" s="35" t="n">
        <v>3</v>
      </c>
      <c r="K4382" s="2" t="inlineStr">
        <is>
          <t>marker_955_741587.png</t>
        </is>
      </c>
      <c r="L4382" s="36">
        <f>HYPERLINK("NoConsenso\" &amp; K4382, "Ver Imagen")</f>
        <v/>
      </c>
      <c r="M4382" t="inlineStr">
        <is>
          <t>Mediana</t>
        </is>
      </c>
    </row>
    <row r="4383">
      <c r="A4383" s="33" t="n">
        <v>4386</v>
      </c>
      <c r="B4383" t="inlineStr">
        <is>
          <t>A-490__178</t>
        </is>
      </c>
      <c r="C4383" s="1" t="n">
        <v>37.4567588142</v>
      </c>
      <c r="D4383" s="1" t="n">
        <v>-7.16773783315</v>
      </c>
      <c r="E4383" s="3" t="n">
        <v>1</v>
      </c>
      <c r="F4383" s="2" t="n">
        <v>3</v>
      </c>
      <c r="G4383" s="4" t="n">
        <v>3</v>
      </c>
      <c r="H4383" s="13" t="n">
        <v>3</v>
      </c>
      <c r="I4383" s="34" t="n">
        <v>3</v>
      </c>
      <c r="J4383" s="35" t="n">
        <v>3</v>
      </c>
      <c r="K4383" s="2" t="inlineStr">
        <is>
          <t>marker_687_741721.png</t>
        </is>
      </c>
      <c r="L4383" s="36">
        <f>HYPERLINK("NoConsenso\" &amp; K4383, "Ver Imagen")</f>
        <v/>
      </c>
      <c r="M4383" t="inlineStr">
        <is>
          <t>Mediana</t>
        </is>
      </c>
    </row>
    <row r="4384">
      <c r="A4384" s="33" t="n">
        <v>4387</v>
      </c>
      <c r="B4384" t="inlineStr">
        <is>
          <t>A-490__179</t>
        </is>
      </c>
      <c r="C4384" s="1" t="n">
        <v>37.4568450044</v>
      </c>
      <c r="D4384" s="1" t="n">
        <v>-7.167845819</v>
      </c>
      <c r="E4384" s="3" t="n">
        <v>2</v>
      </c>
      <c r="F4384" s="2" t="n">
        <v>3</v>
      </c>
      <c r="G4384" s="4" t="n">
        <v>4</v>
      </c>
      <c r="H4384" s="13" t="n">
        <v>3</v>
      </c>
      <c r="I4384" s="34" t="n">
        <v>3</v>
      </c>
      <c r="J4384" s="35" t="n">
        <v>3</v>
      </c>
      <c r="K4384" s="2" t="inlineStr">
        <is>
          <t>marker_374_741761.png</t>
        </is>
      </c>
      <c r="L4384" s="36">
        <f>HYPERLINK("NoConsenso\" &amp; K4384, "Ver Imagen")</f>
        <v/>
      </c>
      <c r="M4384" t="inlineStr">
        <is>
          <t>Mediana</t>
        </is>
      </c>
    </row>
    <row r="4385">
      <c r="A4385" s="33" t="n">
        <v>4388</v>
      </c>
      <c r="B4385" t="inlineStr">
        <is>
          <t>A-490__183</t>
        </is>
      </c>
      <c r="C4385" s="1" t="n">
        <v>37.457414289</v>
      </c>
      <c r="D4385" s="1" t="n">
        <v>-7.16854702135</v>
      </c>
      <c r="E4385" s="3" t="n">
        <v>2</v>
      </c>
      <c r="F4385" s="2" t="n">
        <v>4</v>
      </c>
      <c r="G4385" s="4" t="n">
        <v>3</v>
      </c>
      <c r="H4385" s="13" t="n">
        <v>3</v>
      </c>
      <c r="I4385" s="34" t="n">
        <v>3</v>
      </c>
      <c r="J4385" s="35" t="n">
        <v>3</v>
      </c>
      <c r="K4385" s="2" t="inlineStr">
        <is>
          <t>marker_584_741872.png</t>
        </is>
      </c>
      <c r="L4385" s="36">
        <f>HYPERLINK("NoConsenso\" &amp; K4385, "Ver Imagen")</f>
        <v/>
      </c>
      <c r="M4385" t="inlineStr">
        <is>
          <t>Mediana</t>
        </is>
      </c>
    </row>
    <row r="4386">
      <c r="A4386" s="33" t="n">
        <v>4389</v>
      </c>
      <c r="B4386" t="inlineStr">
        <is>
          <t>A-490__198</t>
        </is>
      </c>
      <c r="C4386" s="1" t="n">
        <v>37.4595804907</v>
      </c>
      <c r="D4386" s="1" t="n">
        <v>-7.17121708106</v>
      </c>
      <c r="E4386" s="3" t="n">
        <v>2</v>
      </c>
      <c r="F4386" s="2" t="n">
        <v>4</v>
      </c>
      <c r="G4386" s="4" t="n">
        <v>3</v>
      </c>
      <c r="H4386" s="13" t="n">
        <v>3</v>
      </c>
      <c r="I4386" s="34" t="n">
        <v>4</v>
      </c>
      <c r="J4386" s="35" t="n">
        <v>3</v>
      </c>
      <c r="K4386" s="2" t="inlineStr">
        <is>
          <t>marker_546_742299.png</t>
        </is>
      </c>
      <c r="L4386" s="36">
        <f>HYPERLINK("NoConsenso\" &amp; K4386, "Ver Imagen")</f>
        <v/>
      </c>
      <c r="M4386" t="inlineStr">
        <is>
          <t>Mediana</t>
        </is>
      </c>
    </row>
    <row r="4387">
      <c r="A4387" s="33" t="n">
        <v>4390</v>
      </c>
      <c r="B4387" t="inlineStr">
        <is>
          <t>A-490__200</t>
        </is>
      </c>
      <c r="C4387" s="1" t="n">
        <v>37.4598497992</v>
      </c>
      <c r="D4387" s="1" t="n">
        <v>-7.17160969412</v>
      </c>
      <c r="E4387" s="3" t="n">
        <v>1</v>
      </c>
      <c r="F4387" s="2" t="n">
        <v>3</v>
      </c>
      <c r="G4387" s="4" t="n">
        <v>2</v>
      </c>
      <c r="H4387" s="13" t="n">
        <v>2</v>
      </c>
      <c r="I4387" s="34" t="n">
        <v>3</v>
      </c>
      <c r="J4387" s="35" t="n">
        <v>2</v>
      </c>
      <c r="K4387" s="2" t="inlineStr">
        <is>
          <t>marker_399_742352.png</t>
        </is>
      </c>
      <c r="L4387" s="36">
        <f>HYPERLINK("NoConsenso\" &amp; K4387, "Ver Imagen")</f>
        <v/>
      </c>
      <c r="M4387" t="inlineStr">
        <is>
          <t>Mediana</t>
        </is>
      </c>
    </row>
    <row r="4388">
      <c r="A4388" s="33" t="n">
        <v>4391</v>
      </c>
      <c r="B4388" t="inlineStr">
        <is>
          <t>A-490__201</t>
        </is>
      </c>
      <c r="C4388" s="1" t="n">
        <v>37.4600188476</v>
      </c>
      <c r="D4388" s="1" t="n">
        <v>-7.17187392805</v>
      </c>
      <c r="E4388" s="3" t="n">
        <v>1</v>
      </c>
      <c r="F4388" s="2" t="n">
        <v>3</v>
      </c>
      <c r="G4388" s="4" t="n">
        <v>2</v>
      </c>
      <c r="H4388" s="13" t="n">
        <v>2</v>
      </c>
      <c r="I4388" s="34" t="n">
        <v>2</v>
      </c>
      <c r="J4388" s="35" t="n">
        <v>2</v>
      </c>
      <c r="K4388" s="2" t="inlineStr">
        <is>
          <t>marker_773_742374.png</t>
        </is>
      </c>
      <c r="L4388" s="36">
        <f>HYPERLINK("NoConsenso\" &amp; K4388, "Ver Imagen")</f>
        <v/>
      </c>
      <c r="M4388" t="inlineStr">
        <is>
          <t>Mediana</t>
        </is>
      </c>
    </row>
    <row r="4389">
      <c r="A4389" s="33" t="n">
        <v>4392</v>
      </c>
      <c r="B4389" t="inlineStr">
        <is>
          <t>A-490__202</t>
        </is>
      </c>
      <c r="C4389" s="1" t="n">
        <v>37.4600985667</v>
      </c>
      <c r="D4389" s="1" t="n">
        <v>-7.17200205255</v>
      </c>
      <c r="E4389" s="3" t="n">
        <v>2</v>
      </c>
      <c r="F4389" s="2" t="n">
        <v>4</v>
      </c>
      <c r="G4389" s="4" t="n">
        <v>4</v>
      </c>
      <c r="H4389" s="13" t="n">
        <v>2</v>
      </c>
      <c r="I4389" s="34" t="n">
        <v>3</v>
      </c>
      <c r="J4389" s="35" t="n">
        <v>3</v>
      </c>
      <c r="K4389" s="2" t="inlineStr">
        <is>
          <t>marker_286_742423.png</t>
        </is>
      </c>
      <c r="L4389" s="36">
        <f>HYPERLINK("NoConsenso\" &amp; K4389, "Ver Imagen")</f>
        <v/>
      </c>
      <c r="M4389" t="inlineStr">
        <is>
          <t>Mediana</t>
        </is>
      </c>
    </row>
    <row r="4390">
      <c r="A4390" s="33" t="n">
        <v>4393</v>
      </c>
      <c r="B4390" t="inlineStr">
        <is>
          <t>A-490__215</t>
        </is>
      </c>
      <c r="C4390" s="1" t="n">
        <v>37.4617056457</v>
      </c>
      <c r="D4390" s="1" t="n">
        <v>-7.17464999961</v>
      </c>
      <c r="E4390" s="3" t="n">
        <v>2</v>
      </c>
      <c r="F4390" s="2" t="n">
        <v>4</v>
      </c>
      <c r="G4390" s="4" t="n">
        <v>3</v>
      </c>
      <c r="H4390" s="13" t="n">
        <v>3</v>
      </c>
      <c r="I4390" s="34" t="n">
        <v>4</v>
      </c>
      <c r="J4390" s="35" t="n">
        <v>3</v>
      </c>
      <c r="K4390" s="2" t="inlineStr">
        <is>
          <t>marker_634_743083.png</t>
        </is>
      </c>
      <c r="L4390" s="36">
        <f>HYPERLINK("NoConsenso\" &amp; K4390, "Ver Imagen")</f>
        <v/>
      </c>
      <c r="M4390" t="inlineStr">
        <is>
          <t>Mediana</t>
        </is>
      </c>
    </row>
    <row r="4391">
      <c r="A4391" s="33" t="n">
        <v>4394</v>
      </c>
      <c r="B4391" t="inlineStr">
        <is>
          <t>A-490__227</t>
        </is>
      </c>
      <c r="C4391" s="1" t="n">
        <v>37.4631647884</v>
      </c>
      <c r="D4391" s="1" t="n">
        <v>-7.17703448571</v>
      </c>
      <c r="E4391" s="3" t="n">
        <v>1</v>
      </c>
      <c r="F4391" s="2" t="n">
        <v>3</v>
      </c>
      <c r="G4391" s="4" t="n">
        <v>2</v>
      </c>
      <c r="H4391" s="13" t="n">
        <v>2</v>
      </c>
      <c r="I4391" s="34" t="n">
        <v>2</v>
      </c>
      <c r="J4391" s="35" t="n">
        <v>2</v>
      </c>
      <c r="K4391" s="2" t="inlineStr">
        <is>
          <t>marker_354_743756.png</t>
        </is>
      </c>
      <c r="L4391" s="36">
        <f>HYPERLINK("NoConsenso\" &amp; K4391, "Ver Imagen")</f>
        <v/>
      </c>
      <c r="M4391" t="inlineStr">
        <is>
          <t>Mediana</t>
        </is>
      </c>
    </row>
    <row r="4392">
      <c r="A4392" s="33" t="n">
        <v>4395</v>
      </c>
      <c r="B4392" t="inlineStr">
        <is>
          <t>A-490__228</t>
        </is>
      </c>
      <c r="C4392" s="1" t="n">
        <v>37.4633086154</v>
      </c>
      <c r="D4392" s="1" t="n">
        <v>-7.17726927032</v>
      </c>
      <c r="E4392" s="3" t="n">
        <v>2</v>
      </c>
      <c r="F4392" s="2" t="n">
        <v>3</v>
      </c>
      <c r="G4392" s="4" t="n">
        <v>1</v>
      </c>
      <c r="H4392" s="13" t="n">
        <v>2</v>
      </c>
      <c r="I4392" s="34" t="n">
        <v>2</v>
      </c>
      <c r="J4392" s="35" t="n">
        <v>2</v>
      </c>
      <c r="K4392" s="2" t="inlineStr">
        <is>
          <t>marker_445_743786.png</t>
        </is>
      </c>
      <c r="L4392" s="36">
        <f>HYPERLINK("NoConsenso\" &amp; K4392, "Ver Imagen")</f>
        <v/>
      </c>
      <c r="M4392" t="inlineStr">
        <is>
          <t>Mediana</t>
        </is>
      </c>
    </row>
    <row r="4393">
      <c r="A4393" s="33" t="n">
        <v>4396</v>
      </c>
      <c r="B4393" t="inlineStr">
        <is>
          <t>A-490__236</t>
        </is>
      </c>
      <c r="C4393" s="1" t="n">
        <v>37.4642460513</v>
      </c>
      <c r="D4393" s="1" t="n">
        <v>-7.17897794555</v>
      </c>
      <c r="E4393" s="3" t="n">
        <v>2</v>
      </c>
      <c r="F4393" s="2" t="n">
        <v>3</v>
      </c>
      <c r="G4393" s="4" t="n">
        <v>4</v>
      </c>
      <c r="H4393" s="13" t="n">
        <v>2</v>
      </c>
      <c r="I4393" s="34" t="n">
        <v>2</v>
      </c>
      <c r="J4393" s="35" t="n">
        <v>2</v>
      </c>
      <c r="K4393" s="2" t="inlineStr">
        <is>
          <t>marker_226_744014.png</t>
        </is>
      </c>
      <c r="L4393" s="36">
        <f>HYPERLINK("NoConsenso\" &amp; K4393, "Ver Imagen")</f>
        <v/>
      </c>
      <c r="M4393" t="inlineStr">
        <is>
          <t>Mediana</t>
        </is>
      </c>
    </row>
    <row r="4394">
      <c r="A4394" s="33" t="n">
        <v>4397</v>
      </c>
      <c r="B4394" t="inlineStr">
        <is>
          <t>A-490__240</t>
        </is>
      </c>
      <c r="C4394" s="1" t="n">
        <v>37.4647332406</v>
      </c>
      <c r="D4394" s="1" t="n">
        <v>-7.17982576636</v>
      </c>
      <c r="E4394" s="3" t="n">
        <v>3</v>
      </c>
      <c r="F4394" s="2" t="n">
        <v>4</v>
      </c>
      <c r="G4394" s="4" t="n">
        <v>5</v>
      </c>
      <c r="H4394" s="13" t="n">
        <v>4</v>
      </c>
      <c r="I4394" s="34" t="n">
        <v>4</v>
      </c>
      <c r="J4394" s="35" t="n">
        <v>4</v>
      </c>
      <c r="K4394" s="2" t="inlineStr">
        <is>
          <t>marker_865_749166.png</t>
        </is>
      </c>
      <c r="L4394" s="36">
        <f>HYPERLINK("NoConsenso\" &amp; K4394, "Ver Imagen")</f>
        <v/>
      </c>
      <c r="M4394" t="inlineStr">
        <is>
          <t>Mediana</t>
        </is>
      </c>
    </row>
    <row r="4395">
      <c r="A4395" s="33" t="n">
        <v>4398</v>
      </c>
      <c r="B4395" t="inlineStr">
        <is>
          <t>A-490__243</t>
        </is>
      </c>
      <c r="C4395" s="1" t="n">
        <v>37.4650485714</v>
      </c>
      <c r="D4395" s="1" t="n">
        <v>-7.18039723651</v>
      </c>
      <c r="E4395" s="3" t="n">
        <v>2</v>
      </c>
      <c r="F4395" s="2" t="n">
        <v>3</v>
      </c>
      <c r="G4395" s="4" t="n">
        <v>4</v>
      </c>
      <c r="H4395" s="13" t="n">
        <v>3</v>
      </c>
      <c r="I4395" s="34" t="n">
        <v>3</v>
      </c>
      <c r="J4395" s="35" t="n">
        <v>3</v>
      </c>
      <c r="K4395" s="2" t="inlineStr">
        <is>
          <t>marker_473_749351.png</t>
        </is>
      </c>
      <c r="L4395" s="36">
        <f>HYPERLINK("NoConsenso\" &amp; K4395, "Ver Imagen")</f>
        <v/>
      </c>
      <c r="M4395" t="inlineStr">
        <is>
          <t>Mediana</t>
        </is>
      </c>
    </row>
    <row r="4396">
      <c r="A4396" s="33" t="n">
        <v>4399</v>
      </c>
      <c r="B4396" t="inlineStr">
        <is>
          <t>A-490__247</t>
        </is>
      </c>
      <c r="C4396" s="1" t="n">
        <v>37.4654954533</v>
      </c>
      <c r="D4396" s="1" t="n">
        <v>-7.18123758249</v>
      </c>
      <c r="E4396" s="3" t="n">
        <v>3</v>
      </c>
      <c r="F4396" s="2" t="n">
        <v>4</v>
      </c>
      <c r="G4396" s="4" t="n">
        <v>5</v>
      </c>
      <c r="H4396" s="13" t="n">
        <v>4</v>
      </c>
      <c r="I4396" s="34" t="n">
        <v>4</v>
      </c>
      <c r="J4396" s="35" t="n">
        <v>4</v>
      </c>
      <c r="K4396" s="2" t="inlineStr">
        <is>
          <t>marker_430_749441.png</t>
        </is>
      </c>
      <c r="L4396" s="36">
        <f>HYPERLINK("NoConsenso\" &amp; K4396, "Ver Imagen")</f>
        <v/>
      </c>
      <c r="M4396" t="inlineStr">
        <is>
          <t>Mediana</t>
        </is>
      </c>
    </row>
    <row r="4397">
      <c r="A4397" s="33" t="n">
        <v>4400</v>
      </c>
      <c r="B4397" t="inlineStr">
        <is>
          <t>A-490__249</t>
        </is>
      </c>
      <c r="C4397" s="1" t="n">
        <v>37.4657160408</v>
      </c>
      <c r="D4397" s="1" t="n">
        <v>-7.18165073699</v>
      </c>
      <c r="E4397" s="3" t="n">
        <v>3</v>
      </c>
      <c r="F4397" s="2" t="n">
        <v>3</v>
      </c>
      <c r="G4397" s="4" t="n">
        <v>5</v>
      </c>
      <c r="H4397" s="13" t="n">
        <v>3</v>
      </c>
      <c r="I4397" s="34" t="n">
        <v>4</v>
      </c>
      <c r="J4397" s="35" t="n">
        <v>3</v>
      </c>
      <c r="K4397" s="2" t="inlineStr">
        <is>
          <t>marker_675_749478.png</t>
        </is>
      </c>
      <c r="L4397" s="36">
        <f>HYPERLINK("NoConsenso\" &amp; K4397, "Ver Imagen")</f>
        <v/>
      </c>
      <c r="M4397" t="inlineStr">
        <is>
          <t>Mediana</t>
        </is>
      </c>
    </row>
    <row r="4398">
      <c r="A4398" s="33" t="n">
        <v>4401</v>
      </c>
      <c r="B4398" t="inlineStr">
        <is>
          <t>A-490__262</t>
        </is>
      </c>
      <c r="C4398" s="1" t="n">
        <v>37.4671830547</v>
      </c>
      <c r="D4398" s="1" t="n">
        <v>-7.18444872456</v>
      </c>
      <c r="E4398" s="3" t="n">
        <v>2</v>
      </c>
      <c r="F4398" s="2" t="n">
        <v>2</v>
      </c>
      <c r="G4398" s="4" t="n">
        <v>4</v>
      </c>
      <c r="H4398" s="13" t="n">
        <v>2</v>
      </c>
      <c r="I4398" s="34" t="n">
        <v>1</v>
      </c>
      <c r="J4398" s="35" t="n">
        <v>2</v>
      </c>
      <c r="K4398" s="2" t="inlineStr">
        <is>
          <t>marker_577_749750.png</t>
        </is>
      </c>
      <c r="L4398" s="36">
        <f>HYPERLINK("NoConsenso\" &amp; K4398, "Ver Imagen")</f>
        <v/>
      </c>
      <c r="M4398" t="inlineStr">
        <is>
          <t>Mediana</t>
        </is>
      </c>
    </row>
    <row r="4399">
      <c r="A4399" s="33" t="n">
        <v>4402</v>
      </c>
      <c r="B4399" t="inlineStr">
        <is>
          <t>A-490__101</t>
        </is>
      </c>
      <c r="C4399" s="1" t="n">
        <v>37.4492767741</v>
      </c>
      <c r="D4399" s="1" t="n">
        <v>-7.15093574827</v>
      </c>
      <c r="E4399" s="3" t="n">
        <v>3</v>
      </c>
      <c r="F4399" s="2" t="n">
        <v>4</v>
      </c>
      <c r="G4399" s="4" t="n">
        <v>5</v>
      </c>
      <c r="H4399" s="13" t="n">
        <v>4</v>
      </c>
      <c r="I4399" s="34" t="n">
        <v>4</v>
      </c>
      <c r="J4399" s="35" t="n">
        <v>4</v>
      </c>
      <c r="K4399" s="2" t="inlineStr">
        <is>
          <t>marker_347_739180.png</t>
        </is>
      </c>
      <c r="L4399" s="36">
        <f>HYPERLINK("NoConsenso\" &amp; K4399, "Ver Imagen")</f>
        <v/>
      </c>
      <c r="M4399" t="inlineStr">
        <is>
          <t>Mediana</t>
        </is>
      </c>
    </row>
    <row r="4400">
      <c r="A4400" s="33" t="n">
        <v>4403</v>
      </c>
      <c r="B4400" t="inlineStr">
        <is>
          <t>A-490__352</t>
        </is>
      </c>
      <c r="C4400" s="1" t="n">
        <v>37.4770721792</v>
      </c>
      <c r="D4400" s="1" t="n">
        <v>-7.20355790635</v>
      </c>
      <c r="E4400" s="3" t="n">
        <v>2</v>
      </c>
      <c r="F4400" s="2" t="n">
        <v>2</v>
      </c>
      <c r="G4400" s="4" t="n">
        <v>4</v>
      </c>
      <c r="H4400" s="13" t="n">
        <v>2</v>
      </c>
      <c r="I4400" s="34" t="n">
        <v>2</v>
      </c>
      <c r="J4400" s="35" t="n">
        <v>2</v>
      </c>
      <c r="K4400" s="2" t="inlineStr">
        <is>
          <t>marker_755_751711.png</t>
        </is>
      </c>
      <c r="L4400" s="36">
        <f>HYPERLINK("NoConsenso\" &amp; K4400, "Ver Imagen")</f>
        <v/>
      </c>
      <c r="M4400" t="inlineStr">
        <is>
          <t>Mediana</t>
        </is>
      </c>
    </row>
    <row r="4401">
      <c r="A4401" s="33" t="n">
        <v>4404</v>
      </c>
      <c r="B4401" t="inlineStr">
        <is>
          <t>A-490__364</t>
        </is>
      </c>
      <c r="C4401" s="1" t="n">
        <v>37.4782500125</v>
      </c>
      <c r="D4401" s="1" t="n">
        <v>-7.20628775171</v>
      </c>
      <c r="E4401" s="3" t="n">
        <v>1</v>
      </c>
      <c r="F4401" s="2" t="n">
        <v>3</v>
      </c>
      <c r="G4401" s="4" t="n">
        <v>2</v>
      </c>
      <c r="H4401" s="13" t="n">
        <v>1</v>
      </c>
      <c r="I4401" s="34" t="n">
        <v>1</v>
      </c>
      <c r="J4401" s="35" t="n">
        <v>1</v>
      </c>
      <c r="K4401" s="2" t="inlineStr">
        <is>
          <t>marker_607_751979.png</t>
        </is>
      </c>
      <c r="L4401" s="36">
        <f>HYPERLINK("NoConsenso\" &amp; K4401, "Ver Imagen")</f>
        <v/>
      </c>
      <c r="M4401" t="inlineStr">
        <is>
          <t>Mediana</t>
        </is>
      </c>
    </row>
    <row r="4402">
      <c r="A4402" s="33" t="n">
        <v>4405</v>
      </c>
      <c r="B4402" t="inlineStr">
        <is>
          <t>A-490__366</t>
        </is>
      </c>
      <c r="C4402" s="1" t="n">
        <v>37.4784288226</v>
      </c>
      <c r="D4402" s="1" t="n">
        <v>-7.2067080813</v>
      </c>
      <c r="E4402" s="3" t="n">
        <v>1</v>
      </c>
      <c r="F4402" s="2" t="n">
        <v>3</v>
      </c>
      <c r="G4402" s="4" t="n">
        <v>2</v>
      </c>
      <c r="H4402" s="13" t="n">
        <v>1</v>
      </c>
      <c r="I4402" s="34" t="n">
        <v>1</v>
      </c>
      <c r="J4402" s="35" t="n">
        <v>1</v>
      </c>
      <c r="K4402" s="2" t="inlineStr">
        <is>
          <t>marker_243_752013.png</t>
        </is>
      </c>
      <c r="L4402" s="36">
        <f>HYPERLINK("NoConsenso\" &amp; K4402, "Ver Imagen")</f>
        <v/>
      </c>
      <c r="M4402" t="inlineStr">
        <is>
          <t>Mediana</t>
        </is>
      </c>
    </row>
    <row r="4403">
      <c r="A4403" s="33" t="n">
        <v>4406</v>
      </c>
      <c r="B4403" t="inlineStr">
        <is>
          <t>A-490__371</t>
        </is>
      </c>
      <c r="C4403" s="1" t="n">
        <v>37.4789036571</v>
      </c>
      <c r="D4403" s="1" t="n">
        <v>-7.20780186937</v>
      </c>
      <c r="E4403" s="3" t="n">
        <v>1</v>
      </c>
      <c r="F4403" s="2" t="n">
        <v>3</v>
      </c>
      <c r="G4403" s="4" t="n">
        <v>2</v>
      </c>
      <c r="H4403" s="13" t="n">
        <v>2</v>
      </c>
      <c r="I4403" s="34" t="n">
        <v>2</v>
      </c>
      <c r="J4403" s="35" t="n">
        <v>2</v>
      </c>
      <c r="K4403" s="2" t="inlineStr">
        <is>
          <t>marker_893_752122.png</t>
        </is>
      </c>
      <c r="L4403" s="36">
        <f>HYPERLINK("NoConsenso\" &amp; K4403, "Ver Imagen")</f>
        <v/>
      </c>
      <c r="M4403" t="inlineStr">
        <is>
          <t>Mediana</t>
        </is>
      </c>
    </row>
    <row r="4404">
      <c r="A4404" s="33" t="n">
        <v>4407</v>
      </c>
      <c r="B4404" t="inlineStr">
        <is>
          <t>A-490__378</t>
        </is>
      </c>
      <c r="C4404" s="1" t="n">
        <v>37.4795749918</v>
      </c>
      <c r="D4404" s="1" t="n">
        <v>-7.20937986188</v>
      </c>
      <c r="E4404" s="3" t="n">
        <v>2</v>
      </c>
      <c r="F4404" s="2" t="n">
        <v>4</v>
      </c>
      <c r="G4404" s="4" t="n">
        <v>3</v>
      </c>
      <c r="H4404" s="13" t="n">
        <v>3</v>
      </c>
      <c r="I4404" s="34" t="n">
        <v>4</v>
      </c>
      <c r="J4404" s="35" t="n">
        <v>3</v>
      </c>
      <c r="K4404" s="2" t="inlineStr">
        <is>
          <t>marker_566_752289.png</t>
        </is>
      </c>
      <c r="L4404" s="36">
        <f>HYPERLINK("NoConsenso\" &amp; K4404, "Ver Imagen")</f>
        <v/>
      </c>
      <c r="M4404" t="inlineStr">
        <is>
          <t>Mediana</t>
        </is>
      </c>
    </row>
    <row r="4405">
      <c r="A4405" s="33" t="n">
        <v>4408</v>
      </c>
      <c r="B4405" t="inlineStr">
        <is>
          <t>A-490__386</t>
        </is>
      </c>
      <c r="C4405" s="1" t="n">
        <v>37.4803374413</v>
      </c>
      <c r="D4405" s="1" t="n">
        <v>-7.21114025556</v>
      </c>
      <c r="E4405" s="3" t="n">
        <v>1</v>
      </c>
      <c r="F4405" s="2" t="n">
        <v>3</v>
      </c>
      <c r="G4405" s="4" t="n">
        <v>2</v>
      </c>
      <c r="H4405" s="13" t="n">
        <v>2</v>
      </c>
      <c r="I4405" s="34" t="n">
        <v>2</v>
      </c>
      <c r="J4405" s="35" t="n">
        <v>2</v>
      </c>
      <c r="K4405" s="2" t="inlineStr">
        <is>
          <t>marker_428_752462.png</t>
        </is>
      </c>
      <c r="L4405" s="36">
        <f>HYPERLINK("NoConsenso\" &amp; K4405, "Ver Imagen")</f>
        <v/>
      </c>
      <c r="M4405" t="inlineStr">
        <is>
          <t>Mediana</t>
        </is>
      </c>
    </row>
    <row r="4406">
      <c r="A4406" s="33" t="n">
        <v>4409</v>
      </c>
      <c r="B4406" t="inlineStr">
        <is>
          <t>A-490__390</t>
        </is>
      </c>
      <c r="C4406" s="1" t="n">
        <v>37.4807173929</v>
      </c>
      <c r="D4406" s="1" t="n">
        <v>-7.21208298345</v>
      </c>
      <c r="E4406" s="3" t="n">
        <v>1</v>
      </c>
      <c r="F4406" s="2" t="n">
        <v>3</v>
      </c>
      <c r="G4406" s="4" t="n">
        <v>2</v>
      </c>
      <c r="H4406" s="13" t="n">
        <v>2</v>
      </c>
      <c r="I4406" s="34" t="n">
        <v>1</v>
      </c>
      <c r="J4406" s="35" t="n">
        <v>2</v>
      </c>
      <c r="K4406" s="2" t="inlineStr">
        <is>
          <t>marker_530_752550.png</t>
        </is>
      </c>
      <c r="L4406" s="36">
        <f>HYPERLINK("NoConsenso\" &amp; K4406, "Ver Imagen")</f>
        <v/>
      </c>
      <c r="M4406" t="inlineStr">
        <is>
          <t>Mediana</t>
        </is>
      </c>
    </row>
    <row r="4407">
      <c r="A4407" s="33" t="n">
        <v>4410</v>
      </c>
      <c r="B4407" t="inlineStr">
        <is>
          <t>A-490__391</t>
        </is>
      </c>
      <c r="C4407" s="1" t="n">
        <v>37.4808033427</v>
      </c>
      <c r="D4407" s="1" t="n">
        <v>-7.21231540898</v>
      </c>
      <c r="E4407" s="3" t="n">
        <v>2</v>
      </c>
      <c r="F4407" s="2" t="n">
        <v>4</v>
      </c>
      <c r="G4407" s="4" t="n">
        <v>3</v>
      </c>
      <c r="H4407" s="13" t="n">
        <v>3</v>
      </c>
      <c r="I4407" s="34" t="n">
        <v>3</v>
      </c>
      <c r="J4407" s="35" t="n">
        <v>3</v>
      </c>
      <c r="K4407" s="2" t="inlineStr">
        <is>
          <t>marker_581_752572.png</t>
        </is>
      </c>
      <c r="L4407" s="36">
        <f>HYPERLINK("NoConsenso\" &amp; K4407, "Ver Imagen")</f>
        <v/>
      </c>
      <c r="M4407" t="inlineStr">
        <is>
          <t>Mediana</t>
        </is>
      </c>
    </row>
    <row r="4408">
      <c r="A4408" s="33" t="n">
        <v>4411</v>
      </c>
      <c r="B4408" t="inlineStr">
        <is>
          <t>A-490__393</t>
        </is>
      </c>
      <c r="C4408" s="1" t="n">
        <v>37.4809945057</v>
      </c>
      <c r="D4408" s="1" t="n">
        <v>-7.21283438437</v>
      </c>
      <c r="E4408" s="3" t="n">
        <v>1</v>
      </c>
      <c r="F4408" s="2" t="n">
        <v>3</v>
      </c>
      <c r="G4408" s="4" t="n">
        <v>2</v>
      </c>
      <c r="H4408" s="13" t="n">
        <v>3</v>
      </c>
      <c r="I4408" s="34" t="n">
        <v>3</v>
      </c>
      <c r="J4408" s="35" t="n">
        <v>3</v>
      </c>
      <c r="K4408" s="2" t="inlineStr">
        <is>
          <t>marker_889_752710.png</t>
        </is>
      </c>
      <c r="L4408" s="36">
        <f>HYPERLINK("NoConsenso\" &amp; K4408, "Ver Imagen")</f>
        <v/>
      </c>
      <c r="M4408" t="inlineStr">
        <is>
          <t>Mediana</t>
        </is>
      </c>
    </row>
    <row r="4409">
      <c r="A4409" s="33" t="n">
        <v>4412</v>
      </c>
      <c r="B4409" t="inlineStr">
        <is>
          <t>A-490__400</t>
        </is>
      </c>
      <c r="C4409" s="1" t="n">
        <v>37.4815547931</v>
      </c>
      <c r="D4409" s="1" t="n">
        <v>-7.21436128547</v>
      </c>
      <c r="E4409" s="3" t="n">
        <v>1</v>
      </c>
      <c r="F4409" s="2" t="n">
        <v>3</v>
      </c>
      <c r="G4409" s="4" t="n">
        <v>2</v>
      </c>
      <c r="H4409" s="13" t="n">
        <v>2</v>
      </c>
      <c r="I4409" s="34" t="n">
        <v>2</v>
      </c>
      <c r="J4409" s="35" t="n">
        <v>2</v>
      </c>
      <c r="K4409" s="2" t="inlineStr">
        <is>
          <t>marker_898_753017.png</t>
        </is>
      </c>
      <c r="L4409" s="36">
        <f>HYPERLINK("NoConsenso\" &amp; K4409, "Ver Imagen")</f>
        <v/>
      </c>
      <c r="M4409" t="inlineStr">
        <is>
          <t>Mediana</t>
        </is>
      </c>
    </row>
    <row r="4410">
      <c r="A4410" s="33" t="n">
        <v>4413</v>
      </c>
      <c r="B4410" t="inlineStr">
        <is>
          <t>A-490__402</t>
        </is>
      </c>
      <c r="C4410" s="1" t="n">
        <v>37.4817502895</v>
      </c>
      <c r="D4410" s="1" t="n">
        <v>-7.21489145227</v>
      </c>
      <c r="E4410" s="3" t="n">
        <v>3</v>
      </c>
      <c r="F4410" s="2" t="n">
        <v>4</v>
      </c>
      <c r="G4410" s="4" t="n">
        <v>2</v>
      </c>
      <c r="H4410" s="13" t="n">
        <v>2</v>
      </c>
      <c r="I4410" s="34" t="n">
        <v>2</v>
      </c>
      <c r="J4410" s="35" t="n">
        <v>2</v>
      </c>
      <c r="K4410" s="2" t="inlineStr">
        <is>
          <t>marker_264_753075.png</t>
        </is>
      </c>
      <c r="L4410" s="36">
        <f>HYPERLINK("NoConsenso\" &amp; K4410, "Ver Imagen")</f>
        <v/>
      </c>
      <c r="M4410" t="inlineStr">
        <is>
          <t>Mediana</t>
        </is>
      </c>
    </row>
    <row r="4411">
      <c r="A4411" s="33" t="n">
        <v>4414</v>
      </c>
      <c r="B4411" t="inlineStr">
        <is>
          <t>A-490__403</t>
        </is>
      </c>
      <c r="C4411" s="1" t="n">
        <v>37.4818333801</v>
      </c>
      <c r="D4411" s="1" t="n">
        <v>-7.21511559845</v>
      </c>
      <c r="E4411" s="3" t="n">
        <v>2</v>
      </c>
      <c r="F4411" s="2" t="n">
        <v>3</v>
      </c>
      <c r="G4411" s="4" t="n">
        <v>1</v>
      </c>
      <c r="H4411" s="13" t="n">
        <v>2</v>
      </c>
      <c r="I4411" s="34" t="n">
        <v>2</v>
      </c>
      <c r="J4411" s="35" t="n">
        <v>2</v>
      </c>
      <c r="K4411" s="2" t="inlineStr">
        <is>
          <t>marker_902_753092.png</t>
        </is>
      </c>
      <c r="L4411" s="36">
        <f>HYPERLINK("NoConsenso\" &amp; K4411, "Ver Imagen")</f>
        <v/>
      </c>
      <c r="M4411" t="inlineStr">
        <is>
          <t>Mediana</t>
        </is>
      </c>
    </row>
    <row r="4412">
      <c r="A4412" s="33" t="n">
        <v>4415</v>
      </c>
      <c r="B4412" t="inlineStr">
        <is>
          <t>A-490__404</t>
        </is>
      </c>
      <c r="C4412" s="1" t="n">
        <v>37.481898612</v>
      </c>
      <c r="D4412" s="1" t="n">
        <v>-7.21529113093</v>
      </c>
      <c r="E4412" s="3" t="n">
        <v>2</v>
      </c>
      <c r="F4412" s="2" t="n">
        <v>3</v>
      </c>
      <c r="G4412" s="4" t="n">
        <v>1</v>
      </c>
      <c r="H4412" s="13" t="n">
        <v>2</v>
      </c>
      <c r="I4412" s="34" t="n">
        <v>2</v>
      </c>
      <c r="J4412" s="35" t="n">
        <v>2</v>
      </c>
      <c r="K4412" s="2" t="inlineStr">
        <is>
          <t>marker_395_753109.png</t>
        </is>
      </c>
      <c r="L4412" s="36">
        <f>HYPERLINK("NoConsenso\" &amp; K4412, "Ver Imagen")</f>
        <v/>
      </c>
      <c r="M4412" t="inlineStr">
        <is>
          <t>Mediana</t>
        </is>
      </c>
    </row>
    <row r="4413">
      <c r="A4413" s="33" t="n">
        <v>4416</v>
      </c>
      <c r="B4413" t="inlineStr">
        <is>
          <t>A-490__407</t>
        </is>
      </c>
      <c r="C4413" s="1" t="n">
        <v>37.4821500628</v>
      </c>
      <c r="D4413" s="1" t="n">
        <v>-7.21601935352</v>
      </c>
      <c r="E4413" s="3" t="n">
        <v>1</v>
      </c>
      <c r="F4413" s="2" t="n">
        <v>3</v>
      </c>
      <c r="G4413" s="4" t="n">
        <v>2</v>
      </c>
      <c r="H4413" s="13" t="n">
        <v>1</v>
      </c>
      <c r="I4413" s="34" t="n">
        <v>1</v>
      </c>
      <c r="J4413" s="35" t="n">
        <v>1</v>
      </c>
      <c r="K4413" s="2" t="inlineStr">
        <is>
          <t>marker_772_753889.png</t>
        </is>
      </c>
      <c r="L4413" s="36">
        <f>HYPERLINK("NoConsenso\" &amp; K4413, "Ver Imagen")</f>
        <v/>
      </c>
      <c r="M4413" t="inlineStr">
        <is>
          <t>Mediana</t>
        </is>
      </c>
    </row>
    <row r="4414">
      <c r="A4414" s="33" t="n">
        <v>4417</v>
      </c>
      <c r="B4414" t="inlineStr">
        <is>
          <t>A-490__408</t>
        </is>
      </c>
      <c r="C4414" s="1" t="n">
        <v>37.4822197089</v>
      </c>
      <c r="D4414" s="1" t="n">
        <v>-7.21628629579</v>
      </c>
      <c r="E4414" s="3" t="n">
        <v>1</v>
      </c>
      <c r="F4414" s="2" t="n">
        <v>3</v>
      </c>
      <c r="G4414" s="4" t="n">
        <v>2</v>
      </c>
      <c r="H4414" s="13" t="n">
        <v>2</v>
      </c>
      <c r="I4414" s="34" t="n">
        <v>2</v>
      </c>
      <c r="J4414" s="35" t="n">
        <v>2</v>
      </c>
      <c r="K4414" s="2" t="inlineStr">
        <is>
          <t>marker_716_754088.png</t>
        </is>
      </c>
      <c r="L4414" s="36">
        <f>HYPERLINK("NoConsenso\" &amp; K4414, "Ver Imagen")</f>
        <v/>
      </c>
      <c r="M4414" t="inlineStr">
        <is>
          <t>Mediana</t>
        </is>
      </c>
    </row>
    <row r="4415">
      <c r="A4415" s="33" t="n">
        <v>4418</v>
      </c>
      <c r="B4415" t="inlineStr">
        <is>
          <t>A-490__409</t>
        </is>
      </c>
      <c r="C4415" s="1" t="n">
        <v>37.4822723097</v>
      </c>
      <c r="D4415" s="1" t="n">
        <v>-7.21651474777</v>
      </c>
      <c r="E4415" s="3" t="n">
        <v>1</v>
      </c>
      <c r="F4415" s="2" t="n">
        <v>3</v>
      </c>
      <c r="G4415" s="4" t="n">
        <v>2</v>
      </c>
      <c r="H4415" s="13" t="n">
        <v>2</v>
      </c>
      <c r="I4415" s="34" t="n">
        <v>2</v>
      </c>
      <c r="J4415" s="35" t="n">
        <v>2</v>
      </c>
      <c r="K4415" s="2" t="inlineStr">
        <is>
          <t>marker_677_754106.png</t>
        </is>
      </c>
      <c r="L4415" s="36">
        <f>HYPERLINK("NoConsenso\" &amp; K4415, "Ver Imagen")</f>
        <v/>
      </c>
      <c r="M4415" t="inlineStr">
        <is>
          <t>Mediana</t>
        </is>
      </c>
    </row>
    <row r="4416">
      <c r="A4416" s="33" t="n">
        <v>4419</v>
      </c>
      <c r="B4416" t="inlineStr">
        <is>
          <t>A-490__412</t>
        </is>
      </c>
      <c r="C4416" s="1" t="n">
        <v>37.4824256085</v>
      </c>
      <c r="D4416" s="1" t="n">
        <v>-7.21725906542</v>
      </c>
      <c r="E4416" s="3" t="n">
        <v>1</v>
      </c>
      <c r="F4416" s="2" t="n">
        <v>3</v>
      </c>
      <c r="G4416" s="4" t="n">
        <v>3</v>
      </c>
      <c r="H4416" s="13" t="n">
        <v>3</v>
      </c>
      <c r="I4416" s="34" t="n">
        <v>3</v>
      </c>
      <c r="J4416" s="35" t="n">
        <v>3</v>
      </c>
      <c r="K4416" s="2" t="inlineStr">
        <is>
          <t>marker_334_754158.png</t>
        </is>
      </c>
      <c r="L4416" s="36">
        <f>HYPERLINK("NoConsenso\" &amp; K4416, "Ver Imagen")</f>
        <v/>
      </c>
      <c r="M4416" t="inlineStr">
        <is>
          <t>Mediana</t>
        </is>
      </c>
    </row>
    <row r="4417">
      <c r="A4417" s="33" t="n">
        <v>4420</v>
      </c>
      <c r="B4417" t="inlineStr">
        <is>
          <t>A-490__421</t>
        </is>
      </c>
      <c r="C4417" s="1" t="n">
        <v>37.4828612867</v>
      </c>
      <c r="D4417" s="1" t="n">
        <v>-7.21946788251</v>
      </c>
      <c r="E4417" s="3" t="n">
        <v>1</v>
      </c>
      <c r="F4417" s="2" t="n">
        <v>3</v>
      </c>
      <c r="G4417" s="4" t="n">
        <v>2</v>
      </c>
      <c r="H4417" s="13" t="n">
        <v>2</v>
      </c>
      <c r="I4417" s="34" t="n">
        <v>2</v>
      </c>
      <c r="J4417" s="35" t="n">
        <v>2</v>
      </c>
      <c r="K4417" s="2" t="inlineStr">
        <is>
          <t>marker_627_754307.png</t>
        </is>
      </c>
      <c r="L4417" s="36">
        <f>HYPERLINK("NoConsenso\" &amp; K4417, "Ver Imagen")</f>
        <v/>
      </c>
      <c r="M4417" t="inlineStr">
        <is>
          <t>Mediana</t>
        </is>
      </c>
    </row>
    <row r="4418">
      <c r="A4418" s="33" t="n">
        <v>4421</v>
      </c>
      <c r="B4418" t="inlineStr">
        <is>
          <t>A-490__424</t>
        </is>
      </c>
      <c r="C4418" s="1" t="n">
        <v>37.4830037354</v>
      </c>
      <c r="D4418" s="1" t="n">
        <v>-7.22020906699</v>
      </c>
      <c r="E4418" s="3" t="n">
        <v>1</v>
      </c>
      <c r="F4418" s="2" t="n">
        <v>2</v>
      </c>
      <c r="G4418" s="4" t="n">
        <v>3</v>
      </c>
      <c r="H4418" s="13" t="n">
        <v>2</v>
      </c>
      <c r="I4418" s="34" t="n">
        <v>2</v>
      </c>
      <c r="J4418" s="35" t="n">
        <v>2</v>
      </c>
      <c r="K4418" s="2" t="inlineStr">
        <is>
          <t>marker_661_754363.png</t>
        </is>
      </c>
      <c r="L4418" s="36">
        <f>HYPERLINK("NoConsenso\" &amp; K4418, "Ver Imagen")</f>
        <v/>
      </c>
      <c r="M4418" t="inlineStr">
        <is>
          <t>Mediana</t>
        </is>
      </c>
    </row>
    <row r="4419">
      <c r="A4419" s="33" t="n">
        <v>4422</v>
      </c>
      <c r="B4419" t="inlineStr">
        <is>
          <t>A-490__438</t>
        </is>
      </c>
      <c r="C4419" s="1" t="n">
        <v>37.4836788127</v>
      </c>
      <c r="D4419" s="1" t="n">
        <v>-7.22363804937</v>
      </c>
      <c r="E4419" s="3" t="n">
        <v>1</v>
      </c>
      <c r="F4419" s="2" t="n">
        <v>3</v>
      </c>
      <c r="G4419" s="4" t="n">
        <v>2</v>
      </c>
      <c r="H4419" s="13" t="n">
        <v>2</v>
      </c>
      <c r="I4419" s="34" t="n">
        <v>2</v>
      </c>
      <c r="J4419" s="35" t="n">
        <v>2</v>
      </c>
      <c r="K4419" s="2" t="inlineStr">
        <is>
          <t>marker_805_754620.png</t>
        </is>
      </c>
      <c r="L4419" s="36">
        <f>HYPERLINK("NoConsenso\" &amp; K4419, "Ver Imagen")</f>
        <v/>
      </c>
      <c r="M4419" t="inlineStr">
        <is>
          <t>Mediana</t>
        </is>
      </c>
    </row>
    <row r="4420">
      <c r="A4420" s="33" t="n">
        <v>4423</v>
      </c>
      <c r="B4420" t="inlineStr">
        <is>
          <t>A-490__440</t>
        </is>
      </c>
      <c r="C4420" s="1" t="n">
        <v>37.4837751322</v>
      </c>
      <c r="D4420" s="1" t="n">
        <v>-7.22414611991</v>
      </c>
      <c r="E4420" s="3" t="n">
        <v>1</v>
      </c>
      <c r="F4420" s="2" t="n">
        <v>3</v>
      </c>
      <c r="G4420" s="4" t="n">
        <v>3</v>
      </c>
      <c r="H4420" s="13" t="n">
        <v>2</v>
      </c>
      <c r="I4420" s="34" t="n">
        <v>1</v>
      </c>
      <c r="J4420" s="35" t="n">
        <v>2</v>
      </c>
      <c r="K4420" s="2" t="inlineStr">
        <is>
          <t>marker_881_754656.png</t>
        </is>
      </c>
      <c r="L4420" s="36">
        <f>HYPERLINK("NoConsenso\" &amp; K4420, "Ver Imagen")</f>
        <v/>
      </c>
      <c r="M4420" t="inlineStr">
        <is>
          <t>Mediana</t>
        </is>
      </c>
    </row>
    <row r="4421">
      <c r="A4421" s="33" t="n">
        <v>4424</v>
      </c>
      <c r="B4421" t="inlineStr">
        <is>
          <t>A-490__441</t>
        </is>
      </c>
      <c r="C4421" s="1" t="n">
        <v>37.4838216708</v>
      </c>
      <c r="D4421" s="1" t="n">
        <v>-7.22439097795</v>
      </c>
      <c r="E4421" s="3" t="n">
        <v>1</v>
      </c>
      <c r="F4421" s="2" t="n">
        <v>2</v>
      </c>
      <c r="G4421" s="4" t="n">
        <v>3</v>
      </c>
      <c r="H4421" s="13" t="n">
        <v>2</v>
      </c>
      <c r="I4421" s="34" t="n">
        <v>2</v>
      </c>
      <c r="J4421" s="35" t="n">
        <v>2</v>
      </c>
      <c r="K4421" s="2" t="inlineStr">
        <is>
          <t>marker_563_754671.png</t>
        </is>
      </c>
      <c r="L4421" s="36">
        <f>HYPERLINK("NoConsenso\" &amp; K4421, "Ver Imagen")</f>
        <v/>
      </c>
      <c r="M4421" t="inlineStr">
        <is>
          <t>Mediana</t>
        </is>
      </c>
    </row>
    <row r="4422">
      <c r="A4422" s="33" t="n">
        <v>4425</v>
      </c>
      <c r="B4422" t="inlineStr">
        <is>
          <t>A-490__454</t>
        </is>
      </c>
      <c r="C4422" s="1" t="n">
        <v>37.4844481603</v>
      </c>
      <c r="D4422" s="1" t="n">
        <v>-7.22762011365</v>
      </c>
      <c r="E4422" s="3" t="n">
        <v>1</v>
      </c>
      <c r="F4422" s="2" t="n">
        <v>3</v>
      </c>
      <c r="G4422" s="4" t="n">
        <v>2</v>
      </c>
      <c r="H4422" s="13" t="n">
        <v>2</v>
      </c>
      <c r="I4422" s="34" t="n">
        <v>2</v>
      </c>
      <c r="J4422" s="35" t="n">
        <v>2</v>
      </c>
      <c r="K4422" s="2" t="inlineStr">
        <is>
          <t>marker_772_755113.png</t>
        </is>
      </c>
      <c r="L4422" s="36">
        <f>HYPERLINK("NoConsenso\" &amp; K4422, "Ver Imagen")</f>
        <v/>
      </c>
      <c r="M4422" t="inlineStr">
        <is>
          <t>Mediana</t>
        </is>
      </c>
    </row>
    <row r="4423">
      <c r="A4423" s="33" t="n">
        <v>4426</v>
      </c>
      <c r="B4423" t="inlineStr">
        <is>
          <t>A-490__467</t>
        </is>
      </c>
      <c r="C4423" s="1" t="n">
        <v>37.4850672396</v>
      </c>
      <c r="D4423" s="1" t="n">
        <v>-7.23079662581</v>
      </c>
      <c r="E4423" s="3" t="n">
        <v>1</v>
      </c>
      <c r="F4423" s="2" t="n">
        <v>3</v>
      </c>
      <c r="G4423" s="4" t="n">
        <v>2</v>
      </c>
      <c r="H4423" s="13" t="n">
        <v>2</v>
      </c>
      <c r="I4423" s="34" t="n">
        <v>1</v>
      </c>
      <c r="J4423" s="35" t="n">
        <v>2</v>
      </c>
      <c r="K4423" s="2" t="inlineStr">
        <is>
          <t>marker_695_755339.png</t>
        </is>
      </c>
      <c r="L4423" s="36">
        <f>HYPERLINK("NoConsenso\" &amp; K4423, "Ver Imagen")</f>
        <v/>
      </c>
      <c r="M4423" t="inlineStr">
        <is>
          <t>Mediana</t>
        </is>
      </c>
    </row>
    <row r="4424">
      <c r="A4424" s="33" t="n">
        <v>4427</v>
      </c>
      <c r="B4424" t="inlineStr">
        <is>
          <t>A-490__472</t>
        </is>
      </c>
      <c r="C4424" s="1" t="n">
        <v>37.4853142147</v>
      </c>
      <c r="D4424" s="1" t="n">
        <v>-7.23208881229</v>
      </c>
      <c r="E4424" s="3" t="n">
        <v>1</v>
      </c>
      <c r="F4424" s="2" t="n">
        <v>3</v>
      </c>
      <c r="G4424" s="4" t="n">
        <v>2</v>
      </c>
      <c r="H4424" s="13" t="n">
        <v>2</v>
      </c>
      <c r="I4424" s="34" t="n">
        <v>1</v>
      </c>
      <c r="J4424" s="35" t="n">
        <v>2</v>
      </c>
      <c r="K4424" s="2" t="inlineStr">
        <is>
          <t>marker_385_755431.png</t>
        </is>
      </c>
      <c r="L4424" s="36">
        <f>HYPERLINK("NoConsenso\" &amp; K4424, "Ver Imagen")</f>
        <v/>
      </c>
      <c r="M4424" t="inlineStr">
        <is>
          <t>Mediana</t>
        </is>
      </c>
    </row>
    <row r="4425">
      <c r="A4425" s="33" t="n">
        <v>4428</v>
      </c>
      <c r="B4425" t="inlineStr">
        <is>
          <t>A-490__487</t>
        </is>
      </c>
      <c r="C4425" s="1" t="n">
        <v>37.4860190948</v>
      </c>
      <c r="D4425" s="1" t="n">
        <v>-7.23576288109</v>
      </c>
      <c r="E4425" s="3" t="n">
        <v>1</v>
      </c>
      <c r="F4425" s="2" t="n">
        <v>3</v>
      </c>
      <c r="G4425" s="4" t="n">
        <v>2</v>
      </c>
      <c r="H4425" s="13" t="n">
        <v>2</v>
      </c>
      <c r="I4425" s="34" t="n">
        <v>1</v>
      </c>
      <c r="J4425" s="35" t="n">
        <v>2</v>
      </c>
      <c r="K4425" s="2" t="inlineStr">
        <is>
          <t>marker_348_755711.png</t>
        </is>
      </c>
      <c r="L4425" s="36">
        <f>HYPERLINK("NoConsenso\" &amp; K4425, "Ver Imagen")</f>
        <v/>
      </c>
      <c r="M4425" t="inlineStr">
        <is>
          <t>Mediana</t>
        </is>
      </c>
    </row>
    <row r="4426">
      <c r="A4426" s="33" t="n">
        <v>4429</v>
      </c>
      <c r="B4426" t="inlineStr">
        <is>
          <t>A-490__489</t>
        </is>
      </c>
      <c r="C4426" s="1" t="n">
        <v>37.4861116403</v>
      </c>
      <c r="D4426" s="1" t="n">
        <v>-7.23623948115</v>
      </c>
      <c r="E4426" s="3" t="n">
        <v>1</v>
      </c>
      <c r="F4426" s="2" t="n">
        <v>3</v>
      </c>
      <c r="G4426" s="4" t="n">
        <v>2</v>
      </c>
      <c r="H4426" s="13" t="n">
        <v>2</v>
      </c>
      <c r="I4426" s="34" t="n">
        <v>1</v>
      </c>
      <c r="J4426" s="35" t="n">
        <v>2</v>
      </c>
      <c r="K4426" s="2" t="inlineStr">
        <is>
          <t>marker_960_755750.png</t>
        </is>
      </c>
      <c r="L4426" s="36">
        <f>HYPERLINK("NoConsenso\" &amp; K4426, "Ver Imagen")</f>
        <v/>
      </c>
      <c r="M4426" t="inlineStr">
        <is>
          <t>Mediana</t>
        </is>
      </c>
    </row>
    <row r="4427">
      <c r="A4427" s="33" t="n">
        <v>4430</v>
      </c>
      <c r="B4427" t="inlineStr">
        <is>
          <t>A-490__490</t>
        </is>
      </c>
      <c r="C4427" s="1" t="n">
        <v>37.4861591364</v>
      </c>
      <c r="D4427" s="1" t="n">
        <v>-7.23648395913</v>
      </c>
      <c r="E4427" s="3" t="n">
        <v>1</v>
      </c>
      <c r="F4427" s="2" t="n">
        <v>3</v>
      </c>
      <c r="G4427" s="4" t="n">
        <v>2</v>
      </c>
      <c r="H4427" s="13" t="n">
        <v>2</v>
      </c>
      <c r="I4427" s="34" t="n">
        <v>1</v>
      </c>
      <c r="J4427" s="35" t="n">
        <v>2</v>
      </c>
      <c r="K4427" s="2" t="inlineStr">
        <is>
          <t>marker_136_755765.png</t>
        </is>
      </c>
      <c r="L4427" s="36">
        <f>HYPERLINK("NoConsenso\" &amp; K4427, "Ver Imagen")</f>
        <v/>
      </c>
      <c r="M4427" t="inlineStr">
        <is>
          <t>Mediana</t>
        </is>
      </c>
    </row>
    <row r="4428">
      <c r="A4428" s="33" t="n">
        <v>4431</v>
      </c>
      <c r="B4428" t="inlineStr">
        <is>
          <t>A-490__494</t>
        </is>
      </c>
      <c r="C4428" s="1" t="n">
        <v>37.4863464153</v>
      </c>
      <c r="D4428" s="1" t="n">
        <v>-7.2374524664</v>
      </c>
      <c r="E4428" s="3" t="n">
        <v>1</v>
      </c>
      <c r="F4428" s="2" t="n">
        <v>3</v>
      </c>
      <c r="G4428" s="4" t="n">
        <v>3</v>
      </c>
      <c r="H4428" s="13" t="n">
        <v>1</v>
      </c>
      <c r="I4428" s="34" t="n">
        <v>1</v>
      </c>
      <c r="J4428" s="35" t="n">
        <v>1</v>
      </c>
      <c r="K4428" s="2" t="inlineStr">
        <is>
          <t>marker_350_755860.png</t>
        </is>
      </c>
      <c r="L4428" s="36">
        <f>HYPERLINK("NoConsenso\" &amp; K4428, "Ver Imagen")</f>
        <v/>
      </c>
      <c r="M4428" t="inlineStr">
        <is>
          <t>Mediana</t>
        </is>
      </c>
    </row>
    <row r="4429">
      <c r="A4429" s="33" t="n">
        <v>4432</v>
      </c>
      <c r="B4429" t="inlineStr">
        <is>
          <t>A-490__495</t>
        </is>
      </c>
      <c r="C4429" s="1" t="n">
        <v>37.4864015216</v>
      </c>
      <c r="D4429" s="1" t="n">
        <v>-7.2377429063</v>
      </c>
      <c r="E4429" s="3" t="n">
        <v>1</v>
      </c>
      <c r="F4429" s="2" t="n">
        <v>3</v>
      </c>
      <c r="G4429" s="4" t="n">
        <v>2</v>
      </c>
      <c r="H4429" s="13" t="n">
        <v>2</v>
      </c>
      <c r="I4429" s="34" t="n">
        <v>1</v>
      </c>
      <c r="J4429" s="35" t="n">
        <v>2</v>
      </c>
      <c r="K4429" s="2" t="inlineStr">
        <is>
          <t>marker_235_755880.png</t>
        </is>
      </c>
      <c r="L4429" s="36">
        <f>HYPERLINK("NoConsenso\" &amp; K4429, "Ver Imagen")</f>
        <v/>
      </c>
      <c r="M4429" t="inlineStr">
        <is>
          <t>Mediana</t>
        </is>
      </c>
    </row>
    <row r="4430">
      <c r="A4430" s="33" t="n">
        <v>4433</v>
      </c>
      <c r="B4430" t="inlineStr">
        <is>
          <t>A-490__500</t>
        </is>
      </c>
      <c r="C4430" s="1" t="n">
        <v>37.4866339121</v>
      </c>
      <c r="D4430" s="1" t="n">
        <v>-7.2389676938</v>
      </c>
      <c r="E4430" s="3" t="n">
        <v>1</v>
      </c>
      <c r="F4430" s="2" t="n">
        <v>3</v>
      </c>
      <c r="G4430" s="4" t="n">
        <v>3</v>
      </c>
      <c r="H4430" s="13" t="n">
        <v>2</v>
      </c>
      <c r="I4430" s="34" t="n">
        <v>3</v>
      </c>
      <c r="J4430" s="37" t="n">
        <v>2</v>
      </c>
      <c r="K4430" s="2" t="inlineStr">
        <is>
          <t>marker_712_817588.png</t>
        </is>
      </c>
      <c r="L4430" s="36">
        <f>HYPERLINK("NoConsenso\" &amp; K4430, "Ver Imagen")</f>
        <v/>
      </c>
      <c r="M4430" s="37" t="inlineStr">
        <is>
          <t>Modificada</t>
        </is>
      </c>
    </row>
    <row r="4431">
      <c r="A4431" s="33" t="n">
        <v>4434</v>
      </c>
      <c r="B4431" t="inlineStr">
        <is>
          <t>A-490__504</t>
        </is>
      </c>
      <c r="C4431" s="1" t="n">
        <v>37.4868290035</v>
      </c>
      <c r="D4431" s="1" t="n">
        <v>-7.23995053213</v>
      </c>
      <c r="E4431" s="3" t="n">
        <v>1</v>
      </c>
      <c r="F4431" s="2" t="n">
        <v>3</v>
      </c>
      <c r="G4431" s="4" t="n">
        <v>3</v>
      </c>
      <c r="H4431" s="13" t="n">
        <v>2</v>
      </c>
      <c r="I4431" s="34" t="n">
        <v>1</v>
      </c>
      <c r="J4431" s="35" t="n">
        <v>2</v>
      </c>
      <c r="K4431" s="2" t="inlineStr">
        <is>
          <t>marker_262_817657.png</t>
        </is>
      </c>
      <c r="L4431" s="36">
        <f>HYPERLINK("NoConsenso\" &amp; K4431, "Ver Imagen")</f>
        <v/>
      </c>
      <c r="M4431" t="inlineStr">
        <is>
          <t>Mediana</t>
        </is>
      </c>
    </row>
    <row r="4432">
      <c r="A4432" s="33" t="n">
        <v>4435</v>
      </c>
      <c r="B4432" t="inlineStr">
        <is>
          <t>A-490__505</t>
        </is>
      </c>
      <c r="C4432" s="1" t="n">
        <v>37.4868780398</v>
      </c>
      <c r="D4432" s="1" t="n">
        <v>-7.24020377405</v>
      </c>
      <c r="E4432" s="3" t="n">
        <v>1</v>
      </c>
      <c r="F4432" s="2" t="n">
        <v>3</v>
      </c>
      <c r="G4432" s="4" t="n">
        <v>3</v>
      </c>
      <c r="H4432" s="13" t="n">
        <v>3</v>
      </c>
      <c r="I4432" s="34" t="n">
        <v>3</v>
      </c>
      <c r="J4432" s="35" t="n">
        <v>3</v>
      </c>
      <c r="K4432" s="2" t="inlineStr">
        <is>
          <t>marker_787_817671.png</t>
        </is>
      </c>
      <c r="L4432" s="36">
        <f>HYPERLINK("NoConsenso\" &amp; K4432, "Ver Imagen")</f>
        <v/>
      </c>
      <c r="M4432" t="inlineStr">
        <is>
          <t>Mediana</t>
        </is>
      </c>
    </row>
    <row r="4433">
      <c r="A4433" s="33" t="n">
        <v>4436</v>
      </c>
      <c r="B4433" t="inlineStr">
        <is>
          <t>A-490__508</t>
        </is>
      </c>
      <c r="C4433" s="1" t="n">
        <v>37.4869891929</v>
      </c>
      <c r="D4433" s="1" t="n">
        <v>-7.24094878638</v>
      </c>
      <c r="E4433" s="3" t="n">
        <v>1</v>
      </c>
      <c r="F4433" s="2" t="n">
        <v>3</v>
      </c>
      <c r="G4433" s="4" t="n">
        <v>2</v>
      </c>
      <c r="H4433" s="13" t="n">
        <v>2</v>
      </c>
      <c r="I4433" s="34" t="n">
        <v>1</v>
      </c>
      <c r="J4433" s="35" t="n">
        <v>2</v>
      </c>
      <c r="K4433" s="2" t="inlineStr">
        <is>
          <t>marker_474_817736.png</t>
        </is>
      </c>
      <c r="L4433" s="36">
        <f>HYPERLINK("NoConsenso\" &amp; K4433, "Ver Imagen")</f>
        <v/>
      </c>
      <c r="M4433" t="inlineStr">
        <is>
          <t>Mediana</t>
        </is>
      </c>
    </row>
    <row r="4434">
      <c r="A4434" s="33" t="n">
        <v>4437</v>
      </c>
      <c r="B4434" t="inlineStr">
        <is>
          <t>A-490__511</t>
        </is>
      </c>
      <c r="C4434" s="1" t="n">
        <v>37.4870568275</v>
      </c>
      <c r="D4434" s="1" t="n">
        <v>-7.24172533574</v>
      </c>
      <c r="E4434" s="3" t="n">
        <v>1</v>
      </c>
      <c r="F4434" s="2" t="n">
        <v>3</v>
      </c>
      <c r="G4434" s="4" t="n">
        <v>3</v>
      </c>
      <c r="H4434" s="13" t="n">
        <v>2</v>
      </c>
      <c r="I4434" s="34" t="n">
        <v>2</v>
      </c>
      <c r="J4434" s="35" t="n">
        <v>2</v>
      </c>
      <c r="K4434" s="2" t="inlineStr">
        <is>
          <t>marker_838_817833.png</t>
        </is>
      </c>
      <c r="L4434" s="36">
        <f>HYPERLINK("NoConsenso\" &amp; K4434, "Ver Imagen")</f>
        <v/>
      </c>
      <c r="M4434" t="inlineStr">
        <is>
          <t>Mediana</t>
        </is>
      </c>
    </row>
    <row r="4435">
      <c r="A4435" s="33" t="n">
        <v>4438</v>
      </c>
      <c r="B4435" t="inlineStr">
        <is>
          <t>A-490__514</t>
        </is>
      </c>
      <c r="C4435" s="1" t="n">
        <v>37.4871242707</v>
      </c>
      <c r="D4435" s="1" t="n">
        <v>-7.24245847974</v>
      </c>
      <c r="E4435" s="3" t="n">
        <v>1</v>
      </c>
      <c r="F4435" s="2" t="n">
        <v>2</v>
      </c>
      <c r="G4435" s="4" t="n">
        <v>3</v>
      </c>
      <c r="H4435" s="13" t="n">
        <v>2</v>
      </c>
      <c r="I4435" s="34" t="n">
        <v>2</v>
      </c>
      <c r="J4435" s="35" t="n">
        <v>2</v>
      </c>
      <c r="K4435" s="2" t="inlineStr">
        <is>
          <t>marker_513_817884.png</t>
        </is>
      </c>
      <c r="L4435" s="36">
        <f>HYPERLINK("NoConsenso\" &amp; K4435, "Ver Imagen")</f>
        <v/>
      </c>
      <c r="M4435" t="inlineStr">
        <is>
          <t>Mediana</t>
        </is>
      </c>
    </row>
    <row r="4436">
      <c r="A4436" s="33" t="n">
        <v>4439</v>
      </c>
      <c r="B4436" t="inlineStr">
        <is>
          <t>A-490__517</t>
        </is>
      </c>
      <c r="C4436" s="1" t="n">
        <v>37.4872128669</v>
      </c>
      <c r="D4436" s="1" t="n">
        <v>-7.24322294556</v>
      </c>
      <c r="E4436" s="3" t="n">
        <v>1</v>
      </c>
      <c r="F4436" s="2" t="n">
        <v>2</v>
      </c>
      <c r="G4436" s="4" t="n">
        <v>3</v>
      </c>
      <c r="H4436" s="13" t="n">
        <v>2</v>
      </c>
      <c r="I4436" s="34" t="n">
        <v>2</v>
      </c>
      <c r="J4436" s="35" t="n">
        <v>2</v>
      </c>
      <c r="K4436" s="2" t="inlineStr">
        <is>
          <t>marker_821_817931.png</t>
        </is>
      </c>
      <c r="L4436" s="36">
        <f>HYPERLINK("NoConsenso\" &amp; K4436, "Ver Imagen")</f>
        <v/>
      </c>
      <c r="M4436" t="inlineStr">
        <is>
          <t>Mediana</t>
        </is>
      </c>
    </row>
    <row r="4437">
      <c r="A4437" s="33" t="n">
        <v>4440</v>
      </c>
      <c r="B4437" t="inlineStr">
        <is>
          <t>A-490__523</t>
        </is>
      </c>
      <c r="C4437" s="1" t="n">
        <v>37.487679749</v>
      </c>
      <c r="D4437" s="1" t="n">
        <v>-7.24459453499</v>
      </c>
      <c r="E4437" s="3" t="n">
        <v>1</v>
      </c>
      <c r="F4437" s="2" t="n">
        <v>3</v>
      </c>
      <c r="G4437" s="4" t="n">
        <v>2</v>
      </c>
      <c r="H4437" s="13" t="n">
        <v>3</v>
      </c>
      <c r="I4437" s="34" t="n">
        <v>2</v>
      </c>
      <c r="J4437" s="35" t="n">
        <v>2</v>
      </c>
      <c r="K4437" s="2" t="inlineStr">
        <is>
          <t>marker_138_818098.png</t>
        </is>
      </c>
      <c r="L4437" s="36">
        <f>HYPERLINK("NoConsenso\" &amp; K4437, "Ver Imagen")</f>
        <v/>
      </c>
      <c r="M4437" t="inlineStr">
        <is>
          <t>Mediana</t>
        </is>
      </c>
    </row>
    <row r="4438">
      <c r="A4438" s="33" t="n">
        <v>4441</v>
      </c>
      <c r="B4438" t="inlineStr">
        <is>
          <t>A-490__537</t>
        </is>
      </c>
      <c r="C4438" s="1" t="n">
        <v>37.4890402881</v>
      </c>
      <c r="D4438" s="1" t="n">
        <v>-7.24767819682</v>
      </c>
      <c r="E4438" s="3" t="n">
        <v>1</v>
      </c>
      <c r="F4438" s="2" t="n">
        <v>3</v>
      </c>
      <c r="G4438" s="4" t="n">
        <v>3</v>
      </c>
      <c r="H4438" s="13" t="n">
        <v>2</v>
      </c>
      <c r="I4438" s="34" t="n">
        <v>1</v>
      </c>
      <c r="J4438" s="35" t="n">
        <v>2</v>
      </c>
      <c r="K4438" s="2" t="inlineStr">
        <is>
          <t>marker_951_818305.png</t>
        </is>
      </c>
      <c r="L4438" s="36">
        <f>HYPERLINK("NoConsenso\" &amp; K4438, "Ver Imagen")</f>
        <v/>
      </c>
      <c r="M4438" t="inlineStr">
        <is>
          <t>Mediana</t>
        </is>
      </c>
    </row>
    <row r="4439">
      <c r="A4439" s="33" t="n">
        <v>4442</v>
      </c>
      <c r="B4439" t="inlineStr">
        <is>
          <t>A-490__542</t>
        </is>
      </c>
      <c r="C4439" s="1" t="n">
        <v>37.4898052202</v>
      </c>
      <c r="D4439" s="1" t="n">
        <v>-7.24855845635</v>
      </c>
      <c r="E4439" s="3" t="n">
        <v>1</v>
      </c>
      <c r="F4439" s="2" t="n">
        <v>3</v>
      </c>
      <c r="G4439" s="4" t="n">
        <v>2</v>
      </c>
      <c r="H4439" s="13" t="n">
        <v>2</v>
      </c>
      <c r="I4439" s="34" t="n">
        <v>1</v>
      </c>
      <c r="J4439" s="35" t="n">
        <v>2</v>
      </c>
      <c r="K4439" s="2" t="inlineStr">
        <is>
          <t>marker_929_818374.png</t>
        </is>
      </c>
      <c r="L4439" s="36">
        <f>HYPERLINK("NoConsenso\" &amp; K4439, "Ver Imagen")</f>
        <v/>
      </c>
      <c r="M4439" t="inlineStr">
        <is>
          <t>Mediana</t>
        </is>
      </c>
    </row>
    <row r="4440">
      <c r="A4440" s="33" t="n">
        <v>4443</v>
      </c>
      <c r="B4440" t="inlineStr">
        <is>
          <t>A-490__543</t>
        </is>
      </c>
      <c r="C4440" s="1" t="n">
        <v>37.4899427462</v>
      </c>
      <c r="D4440" s="1" t="n">
        <v>-7.24871455548</v>
      </c>
      <c r="E4440" s="3" t="n">
        <v>1</v>
      </c>
      <c r="F4440" s="2" t="n">
        <v>3</v>
      </c>
      <c r="G4440" s="4" t="n">
        <v>2</v>
      </c>
      <c r="H4440" s="13" t="n">
        <v>2</v>
      </c>
      <c r="I4440" s="34" t="n">
        <v>2</v>
      </c>
      <c r="J4440" s="35" t="n">
        <v>2</v>
      </c>
      <c r="K4440" s="2" t="inlineStr">
        <is>
          <t>marker_179_818390.png</t>
        </is>
      </c>
      <c r="L4440" s="36">
        <f>HYPERLINK("NoConsenso\" &amp; K4440, "Ver Imagen")</f>
        <v/>
      </c>
      <c r="M4440" t="inlineStr">
        <is>
          <t>Mediana</t>
        </is>
      </c>
    </row>
    <row r="4441">
      <c r="A4441" s="33" t="n">
        <v>4444</v>
      </c>
      <c r="B4441" t="inlineStr">
        <is>
          <t>A-490__545</t>
        </is>
      </c>
      <c r="C4441" s="1" t="n">
        <v>37.4902600033</v>
      </c>
      <c r="D4441" s="1" t="n">
        <v>-7.24907663843</v>
      </c>
      <c r="E4441" s="3" t="n">
        <v>1</v>
      </c>
      <c r="F4441" s="2" t="n">
        <v>3</v>
      </c>
      <c r="G4441" s="4" t="n">
        <v>2</v>
      </c>
      <c r="H4441" s="13" t="n">
        <v>3</v>
      </c>
      <c r="I4441" s="34" t="n">
        <v>3</v>
      </c>
      <c r="J4441" s="37" t="n">
        <v>2</v>
      </c>
      <c r="K4441" s="2" t="inlineStr">
        <is>
          <t>marker_587_818414.png</t>
        </is>
      </c>
      <c r="L4441" s="36">
        <f>HYPERLINK("NoConsenso\" &amp; K4441, "Ver Imagen")</f>
        <v/>
      </c>
      <c r="M4441" s="37" t="inlineStr">
        <is>
          <t>Modificada</t>
        </is>
      </c>
    </row>
    <row r="4442">
      <c r="A4442" s="33" t="n">
        <v>4445</v>
      </c>
      <c r="B4442" t="inlineStr">
        <is>
          <t>A-490__553</t>
        </is>
      </c>
      <c r="C4442" s="1" t="n">
        <v>37.4907183863</v>
      </c>
      <c r="D4442" s="1" t="n">
        <v>-7.25094613529</v>
      </c>
      <c r="E4442" s="3" t="n">
        <v>1</v>
      </c>
      <c r="F4442" s="2" t="n">
        <v>3</v>
      </c>
      <c r="G4442" s="4" t="n">
        <v>2</v>
      </c>
      <c r="H4442" s="13" t="n">
        <v>2</v>
      </c>
      <c r="I4442" s="34" t="n">
        <v>1</v>
      </c>
      <c r="J4442" s="35" t="n">
        <v>2</v>
      </c>
      <c r="K4442" s="2" t="inlineStr">
        <is>
          <t>marker_778_818647.png</t>
        </is>
      </c>
      <c r="L4442" s="36">
        <f>HYPERLINK("NoConsenso\" &amp; K4442, "Ver Imagen")</f>
        <v/>
      </c>
      <c r="M4442" t="inlineStr">
        <is>
          <t>Mediana</t>
        </is>
      </c>
    </row>
    <row r="4443">
      <c r="A4443" s="33" t="n">
        <v>4446</v>
      </c>
      <c r="B4443" t="inlineStr">
        <is>
          <t>A-490__554</t>
        </is>
      </c>
      <c r="C4443" s="1" t="n">
        <v>37.4907124642</v>
      </c>
      <c r="D4443" s="1" t="n">
        <v>-7.25118161908</v>
      </c>
      <c r="E4443" s="3" t="n">
        <v>1</v>
      </c>
      <c r="F4443" s="2" t="n">
        <v>3</v>
      </c>
      <c r="G4443" s="4" t="n">
        <v>2</v>
      </c>
      <c r="H4443" s="13" t="n">
        <v>2</v>
      </c>
      <c r="I4443" s="34" t="n">
        <v>3</v>
      </c>
      <c r="J4443" s="35" t="n">
        <v>2</v>
      </c>
      <c r="K4443" s="2" t="inlineStr">
        <is>
          <t>marker_953_818660.png</t>
        </is>
      </c>
      <c r="L4443" s="36">
        <f>HYPERLINK("NoConsenso\" &amp; K4443, "Ver Imagen")</f>
        <v/>
      </c>
      <c r="M4443" t="inlineStr">
        <is>
          <t>Mediana</t>
        </is>
      </c>
    </row>
    <row r="4444">
      <c r="A4444" s="33" t="n">
        <v>4447</v>
      </c>
      <c r="B4444" t="inlineStr">
        <is>
          <t>A-490__560</t>
        </is>
      </c>
      <c r="C4444" s="1" t="n">
        <v>37.4906560147</v>
      </c>
      <c r="D4444" s="1" t="n">
        <v>-7.25273619797</v>
      </c>
      <c r="E4444" s="3" t="n">
        <v>1</v>
      </c>
      <c r="F4444" s="2" t="n">
        <v>3</v>
      </c>
      <c r="G4444" s="4" t="n">
        <v>2</v>
      </c>
      <c r="H4444" s="13" t="n">
        <v>2</v>
      </c>
      <c r="I4444" s="34" t="n">
        <v>1</v>
      </c>
      <c r="J4444" s="35" t="n">
        <v>2</v>
      </c>
      <c r="K4444" s="2" t="inlineStr">
        <is>
          <t>marker_903_819175.png</t>
        </is>
      </c>
      <c r="L4444" s="36">
        <f>HYPERLINK("NoConsenso\" &amp; K4444, "Ver Imagen")</f>
        <v/>
      </c>
      <c r="M4444" t="inlineStr">
        <is>
          <t>Mediana</t>
        </is>
      </c>
    </row>
    <row r="4445">
      <c r="A4445" s="33" t="n">
        <v>4448</v>
      </c>
      <c r="B4445" t="inlineStr">
        <is>
          <t>A-490__573</t>
        </is>
      </c>
      <c r="C4445" s="1" t="n">
        <v>37.4903880445</v>
      </c>
      <c r="D4445" s="1" t="n">
        <v>-7.25596807374</v>
      </c>
      <c r="E4445" s="3" t="n">
        <v>1</v>
      </c>
      <c r="F4445" s="2" t="n">
        <v>3</v>
      </c>
      <c r="G4445" s="4" t="n">
        <v>2</v>
      </c>
      <c r="H4445" s="13" t="n">
        <v>2</v>
      </c>
      <c r="I4445" s="34" t="n">
        <v>2</v>
      </c>
      <c r="J4445" s="35" t="n">
        <v>2</v>
      </c>
      <c r="K4445" s="2" t="inlineStr">
        <is>
          <t>marker_998_819375.png</t>
        </is>
      </c>
      <c r="L4445" s="36">
        <f>HYPERLINK("NoConsenso\" &amp; K4445, "Ver Imagen")</f>
        <v/>
      </c>
      <c r="M4445" t="inlineStr">
        <is>
          <t>Mediana</t>
        </is>
      </c>
    </row>
    <row r="4446">
      <c r="A4446" s="33" t="n">
        <v>4449</v>
      </c>
      <c r="B4446" t="inlineStr">
        <is>
          <t>A-490__589</t>
        </is>
      </c>
      <c r="C4446" s="1" t="n">
        <v>37.4904114518</v>
      </c>
      <c r="D4446" s="1" t="n">
        <v>-7.25989274574</v>
      </c>
      <c r="E4446" s="3" t="n">
        <v>1</v>
      </c>
      <c r="F4446" s="2" t="n">
        <v>2</v>
      </c>
      <c r="G4446" s="4" t="n">
        <v>3</v>
      </c>
      <c r="H4446" s="13" t="n">
        <v>2</v>
      </c>
      <c r="I4446" s="34" t="n">
        <v>2</v>
      </c>
      <c r="J4446" s="35" t="n">
        <v>2</v>
      </c>
      <c r="K4446" s="2" t="inlineStr">
        <is>
          <t>marker_159_819614.png</t>
        </is>
      </c>
      <c r="L4446" s="36">
        <f>HYPERLINK("NoConsenso\" &amp; K4446, "Ver Imagen")</f>
        <v/>
      </c>
      <c r="M4446" t="inlineStr">
        <is>
          <t>Mediana</t>
        </is>
      </c>
    </row>
    <row r="4447">
      <c r="A4447" s="33" t="n">
        <v>4450</v>
      </c>
      <c r="B4447" t="inlineStr">
        <is>
          <t>A-490__590</t>
        </is>
      </c>
      <c r="C4447" s="1" t="n">
        <v>37.4905380275</v>
      </c>
      <c r="D4447" s="1" t="n">
        <v>-7.26004519725</v>
      </c>
      <c r="E4447" s="3" t="n">
        <v>1</v>
      </c>
      <c r="F4447" s="2" t="n">
        <v>3</v>
      </c>
      <c r="G4447" s="4" t="n">
        <v>3</v>
      </c>
      <c r="H4447" s="13" t="n">
        <v>2</v>
      </c>
      <c r="I4447" s="34" t="n">
        <v>1</v>
      </c>
      <c r="J4447" s="37" t="n">
        <v>1</v>
      </c>
      <c r="K4447" s="2" t="inlineStr">
        <is>
          <t>marker_976_819627.png</t>
        </is>
      </c>
      <c r="L4447" s="36">
        <f>HYPERLINK("NoConsenso\" &amp; K4447, "Ver Imagen")</f>
        <v/>
      </c>
      <c r="M4447" s="37" t="inlineStr">
        <is>
          <t>Modificada</t>
        </is>
      </c>
    </row>
    <row r="4448">
      <c r="A4448" s="33" t="n">
        <v>4451</v>
      </c>
      <c r="B4448" t="inlineStr">
        <is>
          <t>A-490__592</t>
        </is>
      </c>
      <c r="C4448" s="1" t="n">
        <v>37.4908546396</v>
      </c>
      <c r="D4448" s="1" t="n">
        <v>-7.26037738632</v>
      </c>
      <c r="E4448" s="3" t="n">
        <v>1</v>
      </c>
      <c r="F4448" s="2" t="n">
        <v>2</v>
      </c>
      <c r="G4448" s="4" t="n">
        <v>3</v>
      </c>
      <c r="H4448" s="13" t="n">
        <v>2</v>
      </c>
      <c r="I4448" s="34" t="n">
        <v>2</v>
      </c>
      <c r="J4448" s="35" t="n">
        <v>2</v>
      </c>
      <c r="K4448" s="2" t="inlineStr">
        <is>
          <t>marker_586_819653.png</t>
        </is>
      </c>
      <c r="L4448" s="36">
        <f>HYPERLINK("NoConsenso\" &amp; K4448, "Ver Imagen")</f>
        <v/>
      </c>
      <c r="M4448" t="inlineStr">
        <is>
          <t>Mediana</t>
        </is>
      </c>
    </row>
    <row r="4449">
      <c r="A4449" s="33" t="n">
        <v>4452</v>
      </c>
      <c r="B4449" t="inlineStr">
        <is>
          <t>A-490__596</t>
        </is>
      </c>
      <c r="C4449" s="1" t="n">
        <v>37.4914492304</v>
      </c>
      <c r="D4449" s="1" t="n">
        <v>-7.26096308834</v>
      </c>
      <c r="E4449" s="3" t="n">
        <v>2</v>
      </c>
      <c r="F4449" s="2" t="n">
        <v>4</v>
      </c>
      <c r="G4449" s="4" t="n">
        <v>3</v>
      </c>
      <c r="H4449" s="13" t="n">
        <v>3</v>
      </c>
      <c r="I4449" s="34" t="n">
        <v>4</v>
      </c>
      <c r="J4449" s="35" t="n">
        <v>3</v>
      </c>
      <c r="K4449" s="2" t="inlineStr">
        <is>
          <t>marker_537_819709.png</t>
        </is>
      </c>
      <c r="L4449" s="36">
        <f>HYPERLINK("NoConsenso\" &amp; K4449, "Ver Imagen")</f>
        <v/>
      </c>
      <c r="M4449" t="inlineStr">
        <is>
          <t>Mediana</t>
        </is>
      </c>
    </row>
    <row r="4450">
      <c r="A4450" s="33" t="n">
        <v>4453</v>
      </c>
      <c r="B4450" t="inlineStr">
        <is>
          <t>A-490__597</t>
        </is>
      </c>
      <c r="C4450" s="1" t="n">
        <v>37.4916092694</v>
      </c>
      <c r="D4450" s="1" t="n">
        <v>-7.26112074552</v>
      </c>
      <c r="E4450" s="3" t="n">
        <v>2</v>
      </c>
      <c r="F4450" s="2" t="n">
        <v>4</v>
      </c>
      <c r="G4450" s="4" t="n">
        <v>3</v>
      </c>
      <c r="H4450" s="13" t="n">
        <v>3</v>
      </c>
      <c r="I4450" s="34" t="n">
        <v>4</v>
      </c>
      <c r="J4450" s="35" t="n">
        <v>3</v>
      </c>
      <c r="K4450" s="2" t="inlineStr">
        <is>
          <t>marker_344_819723.png</t>
        </is>
      </c>
      <c r="L4450" s="36">
        <f>HYPERLINK("NoConsenso\" &amp; K4450, "Ver Imagen")</f>
        <v/>
      </c>
      <c r="M4450" t="inlineStr">
        <is>
          <t>Mediana</t>
        </is>
      </c>
    </row>
    <row r="4451">
      <c r="A4451" s="33" t="n">
        <v>4454</v>
      </c>
      <c r="B4451" t="inlineStr">
        <is>
          <t>A-490__599</t>
        </is>
      </c>
      <c r="C4451" s="1" t="n">
        <v>37.4919376158</v>
      </c>
      <c r="D4451" s="1" t="n">
        <v>-7.26144353318</v>
      </c>
      <c r="E4451" s="3" t="n">
        <v>2</v>
      </c>
      <c r="F4451" s="2" t="n">
        <v>4</v>
      </c>
      <c r="G4451" s="4" t="n">
        <v>3</v>
      </c>
      <c r="H4451" s="13" t="n">
        <v>3</v>
      </c>
      <c r="I4451" s="34" t="n">
        <v>3</v>
      </c>
      <c r="J4451" s="35" t="n">
        <v>3</v>
      </c>
      <c r="K4451" s="2" t="inlineStr">
        <is>
          <t>marker_348_819813.png</t>
        </is>
      </c>
      <c r="L4451" s="36">
        <f>HYPERLINK("NoConsenso\" &amp; K4451, "Ver Imagen")</f>
        <v/>
      </c>
      <c r="M4451" t="inlineStr">
        <is>
          <t>Mediana</t>
        </is>
      </c>
    </row>
    <row r="4452">
      <c r="A4452" s="33" t="n">
        <v>4455</v>
      </c>
      <c r="B4452" t="inlineStr">
        <is>
          <t>A-490__600</t>
        </is>
      </c>
      <c r="C4452" s="1" t="n">
        <v>37.4920886399</v>
      </c>
      <c r="D4452" s="1" t="n">
        <v>-7.2615908256</v>
      </c>
      <c r="E4452" s="3" t="n">
        <v>2</v>
      </c>
      <c r="F4452" s="2" t="n">
        <v>1</v>
      </c>
      <c r="G4452" s="4" t="n">
        <v>3</v>
      </c>
      <c r="H4452" s="13" t="n">
        <v>3</v>
      </c>
      <c r="I4452" s="34" t="n">
        <v>2</v>
      </c>
      <c r="J4452" s="35" t="n">
        <v>2</v>
      </c>
      <c r="K4452" s="2" t="inlineStr">
        <is>
          <t>marker_101_819828.png</t>
        </is>
      </c>
      <c r="L4452" s="36">
        <f>HYPERLINK("NoConsenso\" &amp; K4452, "Ver Imagen")</f>
        <v/>
      </c>
      <c r="M4452" t="inlineStr">
        <is>
          <t>Mediana</t>
        </is>
      </c>
    </row>
    <row r="4453">
      <c r="A4453" s="33" t="n">
        <v>4456</v>
      </c>
      <c r="B4453" t="inlineStr">
        <is>
          <t>A-490__606</t>
        </is>
      </c>
      <c r="C4453" s="1" t="n">
        <v>37.4928970295</v>
      </c>
      <c r="D4453" s="1" t="n">
        <v>-7.2628089264</v>
      </c>
      <c r="E4453" s="3" t="n">
        <v>1</v>
      </c>
      <c r="F4453" s="2" t="n">
        <v>3</v>
      </c>
      <c r="G4453" s="4" t="n">
        <v>2</v>
      </c>
      <c r="H4453" s="13" t="n">
        <v>1</v>
      </c>
      <c r="I4453" s="34" t="n">
        <v>2</v>
      </c>
      <c r="J4453" s="37" t="n">
        <v>1</v>
      </c>
      <c r="K4453" s="2" t="inlineStr">
        <is>
          <t>marker_723_820163.png</t>
        </is>
      </c>
      <c r="L4453" s="36">
        <f>HYPERLINK("NoConsenso\" &amp; K4453, "Ver Imagen")</f>
        <v/>
      </c>
      <c r="M4453" s="37" t="inlineStr">
        <is>
          <t>Modificada</t>
        </is>
      </c>
    </row>
    <row r="4454">
      <c r="A4454" s="33" t="n">
        <v>4457</v>
      </c>
      <c r="B4454" t="inlineStr">
        <is>
          <t>A-490__607</t>
        </is>
      </c>
      <c r="C4454" s="1" t="n">
        <v>37.4929746442</v>
      </c>
      <c r="D4454" s="1" t="n">
        <v>-7.26303110884</v>
      </c>
      <c r="E4454" s="3" t="n">
        <v>1</v>
      </c>
      <c r="F4454" s="2" t="n">
        <v>3</v>
      </c>
      <c r="G4454" s="4" t="n">
        <v>2</v>
      </c>
      <c r="H4454" s="13" t="n">
        <v>1</v>
      </c>
      <c r="I4454" s="34" t="n">
        <v>1</v>
      </c>
      <c r="J4454" s="35" t="n">
        <v>1</v>
      </c>
      <c r="K4454" s="2" t="inlineStr">
        <is>
          <t>marker_797_820174.png</t>
        </is>
      </c>
      <c r="L4454" s="36">
        <f>HYPERLINK("NoConsenso\" &amp; K4454, "Ver Imagen")</f>
        <v/>
      </c>
      <c r="M4454" t="inlineStr">
        <is>
          <t>Mediana</t>
        </is>
      </c>
    </row>
    <row r="4455">
      <c r="A4455" s="33" t="n">
        <v>4458</v>
      </c>
      <c r="B4455" t="inlineStr">
        <is>
          <t>A-490__611</t>
        </is>
      </c>
      <c r="C4455" s="1" t="n">
        <v>37.4933058779</v>
      </c>
      <c r="D4455" s="1" t="n">
        <v>-7.26392608293</v>
      </c>
      <c r="E4455" s="3" t="n">
        <v>1</v>
      </c>
      <c r="F4455" s="2" t="n">
        <v>2</v>
      </c>
      <c r="G4455" s="4" t="n">
        <v>3</v>
      </c>
      <c r="H4455" s="13" t="n">
        <v>2</v>
      </c>
      <c r="I4455" s="34" t="n">
        <v>2</v>
      </c>
      <c r="J4455" s="35" t="n">
        <v>2</v>
      </c>
      <c r="K4455" s="2" t="inlineStr">
        <is>
          <t>marker_234_820214.png</t>
        </is>
      </c>
      <c r="L4455" s="36">
        <f>HYPERLINK("NoConsenso\" &amp; K4455, "Ver Imagen")</f>
        <v/>
      </c>
      <c r="M4455" t="inlineStr">
        <is>
          <t>Mediana</t>
        </is>
      </c>
    </row>
    <row r="4456">
      <c r="A4456" s="33" t="n">
        <v>4459</v>
      </c>
      <c r="B4456" t="inlineStr">
        <is>
          <t>A-490__614</t>
        </is>
      </c>
      <c r="C4456" s="1" t="n">
        <v>37.4935946501</v>
      </c>
      <c r="D4456" s="1" t="n">
        <v>-7.26464475604</v>
      </c>
      <c r="E4456" s="3" t="n">
        <v>1</v>
      </c>
      <c r="F4456" s="2" t="n">
        <v>3</v>
      </c>
      <c r="G4456" s="4" t="n">
        <v>2</v>
      </c>
      <c r="H4456" s="13" t="n">
        <v>2</v>
      </c>
      <c r="I4456" s="34" t="n">
        <v>2</v>
      </c>
      <c r="J4456" s="35" t="n">
        <v>2</v>
      </c>
      <c r="K4456" s="2" t="inlineStr">
        <is>
          <t>marker_624_820243.png</t>
        </is>
      </c>
      <c r="L4456" s="36">
        <f>HYPERLINK("NoConsenso\" &amp; K4456, "Ver Imagen")</f>
        <v/>
      </c>
      <c r="M4456" t="inlineStr">
        <is>
          <t>Mediana</t>
        </is>
      </c>
    </row>
    <row r="4457">
      <c r="A4457" s="33" t="n">
        <v>4460</v>
      </c>
      <c r="B4457" t="inlineStr">
        <is>
          <t>A-490__625</t>
        </is>
      </c>
      <c r="C4457" s="1" t="n">
        <v>37.494850928</v>
      </c>
      <c r="D4457" s="1" t="n">
        <v>-7.2668701104</v>
      </c>
      <c r="E4457" s="3" t="n">
        <v>2</v>
      </c>
      <c r="F4457" s="2" t="n">
        <v>2</v>
      </c>
      <c r="G4457" s="4" t="n">
        <v>4</v>
      </c>
      <c r="H4457" s="13" t="n">
        <v>3</v>
      </c>
      <c r="I4457" s="34" t="n">
        <v>4</v>
      </c>
      <c r="J4457" s="35" t="n">
        <v>3</v>
      </c>
      <c r="K4457" s="2" t="inlineStr">
        <is>
          <t>marker_571_820366.png</t>
        </is>
      </c>
      <c r="L4457" s="36">
        <f>HYPERLINK("NoConsenso\" &amp; K4457, "Ver Imagen")</f>
        <v/>
      </c>
      <c r="M4457" t="inlineStr">
        <is>
          <t>Mediana</t>
        </is>
      </c>
    </row>
    <row r="4458">
      <c r="A4458" s="33" t="n">
        <v>4461</v>
      </c>
      <c r="B4458" t="inlineStr">
        <is>
          <t>A-490__626</t>
        </is>
      </c>
      <c r="C4458" s="1" t="n">
        <v>37.4949195937</v>
      </c>
      <c r="D4458" s="1" t="n">
        <v>-7.26708769898</v>
      </c>
      <c r="E4458" s="3" t="n">
        <v>2</v>
      </c>
      <c r="F4458" s="2" t="n">
        <v>3</v>
      </c>
      <c r="G4458" s="4" t="n">
        <v>4</v>
      </c>
      <c r="H4458" s="13" t="n">
        <v>3</v>
      </c>
      <c r="I4458" s="34" t="n">
        <v>3</v>
      </c>
      <c r="J4458" s="35" t="n">
        <v>3</v>
      </c>
      <c r="K4458" s="2" t="inlineStr">
        <is>
          <t>marker_106_820377.png</t>
        </is>
      </c>
      <c r="L4458" s="36">
        <f>HYPERLINK("NoConsenso\" &amp; K4458, "Ver Imagen")</f>
        <v/>
      </c>
      <c r="M4458" t="inlineStr">
        <is>
          <t>Mediana</t>
        </is>
      </c>
    </row>
    <row r="4459">
      <c r="A4459" s="33" t="n">
        <v>4462</v>
      </c>
      <c r="B4459" t="inlineStr">
        <is>
          <t>A-492__5</t>
        </is>
      </c>
      <c r="C4459" s="1" t="n">
        <v>37.2724365146</v>
      </c>
      <c r="D4459" s="1" t="n">
        <v>-6.99100143001</v>
      </c>
      <c r="E4459" s="3" t="n">
        <v>2</v>
      </c>
      <c r="F4459" s="2" t="n">
        <v>3</v>
      </c>
      <c r="G4459" s="4" t="n">
        <v>4</v>
      </c>
      <c r="H4459" s="13" t="n">
        <v>3</v>
      </c>
      <c r="I4459" s="34" t="n">
        <v>4</v>
      </c>
      <c r="J4459" s="35" t="n">
        <v>3</v>
      </c>
      <c r="K4459" s="2" t="inlineStr">
        <is>
          <t>marker_872_821549.png</t>
        </is>
      </c>
      <c r="L4459" s="36">
        <f>HYPERLINK("NoConsenso\" &amp; K4459, "Ver Imagen")</f>
        <v/>
      </c>
      <c r="M4459" t="inlineStr">
        <is>
          <t>Mediana</t>
        </is>
      </c>
    </row>
    <row r="4460">
      <c r="A4460" s="33" t="n">
        <v>4463</v>
      </c>
      <c r="B4460" t="inlineStr">
        <is>
          <t>A-492__15</t>
        </is>
      </c>
      <c r="C4460" s="1" t="n">
        <v>37.2743845877</v>
      </c>
      <c r="D4460" s="1" t="n">
        <v>-6.99127950746</v>
      </c>
      <c r="E4460" s="3" t="n">
        <v>2</v>
      </c>
      <c r="F4460" s="2" t="n">
        <v>3</v>
      </c>
      <c r="G4460" s="4" t="n">
        <v>4</v>
      </c>
      <c r="H4460" s="13" t="n">
        <v>3</v>
      </c>
      <c r="I4460" s="34" t="n">
        <v>4</v>
      </c>
      <c r="J4460" s="35" t="n">
        <v>3</v>
      </c>
      <c r="K4460" s="2" t="inlineStr">
        <is>
          <t>marker_553_821957.png</t>
        </is>
      </c>
      <c r="L4460" s="36">
        <f>HYPERLINK("NoConsenso\" &amp; K4460, "Ver Imagen")</f>
        <v/>
      </c>
      <c r="M4460" t="inlineStr">
        <is>
          <t>Mediana</t>
        </is>
      </c>
    </row>
    <row r="4461">
      <c r="A4461" s="33" t="n">
        <v>4464</v>
      </c>
      <c r="B4461" t="inlineStr">
        <is>
          <t>A-492__17</t>
        </is>
      </c>
      <c r="C4461" s="1" t="n">
        <v>37.2747888132</v>
      </c>
      <c r="D4461" s="1" t="n">
        <v>-6.99122182202</v>
      </c>
      <c r="E4461" s="3" t="n">
        <v>2</v>
      </c>
      <c r="F4461" s="2" t="n">
        <v>3</v>
      </c>
      <c r="G4461" s="4" t="n">
        <v>4</v>
      </c>
      <c r="H4461" s="13" t="n">
        <v>4</v>
      </c>
      <c r="I4461" s="34" t="n">
        <v>4</v>
      </c>
      <c r="J4461" s="35" t="n">
        <v>4</v>
      </c>
      <c r="K4461" s="2" t="inlineStr">
        <is>
          <t>marker_788_821984.png</t>
        </is>
      </c>
      <c r="L4461" s="36">
        <f>HYPERLINK("NoConsenso\" &amp; K4461, "Ver Imagen")</f>
        <v/>
      </c>
      <c r="M4461" t="inlineStr">
        <is>
          <t>Mediana</t>
        </is>
      </c>
    </row>
    <row r="4462">
      <c r="A4462" s="33" t="n">
        <v>4465</v>
      </c>
      <c r="B4462" t="inlineStr">
        <is>
          <t>A-492__25</t>
        </is>
      </c>
      <c r="C4462" s="1" t="n">
        <v>37.2762405699</v>
      </c>
      <c r="D4462" s="1" t="n">
        <v>-6.99093363428</v>
      </c>
      <c r="E4462" s="3" t="n">
        <v>2</v>
      </c>
      <c r="F4462" s="2" t="n">
        <v>4</v>
      </c>
      <c r="G4462" s="4" t="n">
        <v>4</v>
      </c>
      <c r="H4462" s="13" t="n">
        <v>4</v>
      </c>
      <c r="I4462" s="34" t="n">
        <v>4</v>
      </c>
      <c r="J4462" s="35" t="n">
        <v>4</v>
      </c>
      <c r="K4462" s="2" t="inlineStr">
        <is>
          <t>marker_542_822223.png</t>
        </is>
      </c>
      <c r="L4462" s="36">
        <f>HYPERLINK("NoConsenso\" &amp; K4462, "Ver Imagen")</f>
        <v/>
      </c>
      <c r="M4462" t="inlineStr">
        <is>
          <t>Mediana</t>
        </is>
      </c>
    </row>
    <row r="4463">
      <c r="A4463" s="33" t="n">
        <v>4466</v>
      </c>
      <c r="B4463" t="inlineStr">
        <is>
          <t>A-492__27</t>
        </is>
      </c>
      <c r="C4463" s="1" t="n">
        <v>37.2764203426</v>
      </c>
      <c r="D4463" s="1" t="n">
        <v>-6.99127650104</v>
      </c>
      <c r="E4463" s="3" t="n">
        <v>2</v>
      </c>
      <c r="F4463" s="2" t="n">
        <v>4</v>
      </c>
      <c r="G4463" s="4" t="n">
        <v>4</v>
      </c>
      <c r="H4463" s="13" t="n">
        <v>4</v>
      </c>
      <c r="I4463" s="34" t="n">
        <v>5</v>
      </c>
      <c r="J4463" s="37" t="n">
        <v>5</v>
      </c>
      <c r="K4463" s="2" t="inlineStr">
        <is>
          <t>marker_429_822248.png</t>
        </is>
      </c>
      <c r="L4463" s="36">
        <f>HYPERLINK("NoConsenso\" &amp; K4463, "Ver Imagen")</f>
        <v/>
      </c>
      <c r="M4463" s="37" t="inlineStr">
        <is>
          <t>Modificada</t>
        </is>
      </c>
    </row>
    <row r="4464">
      <c r="A4464" s="33" t="n">
        <v>4467</v>
      </c>
      <c r="B4464" t="inlineStr">
        <is>
          <t>A-492__37</t>
        </is>
      </c>
      <c r="C4464" s="1" t="n">
        <v>37.2780544075</v>
      </c>
      <c r="D4464" s="1" t="n">
        <v>-6.99274153576</v>
      </c>
      <c r="E4464" s="3" t="n">
        <v>3</v>
      </c>
      <c r="F4464" s="2" t="n">
        <v>5</v>
      </c>
      <c r="G4464" s="4" t="n">
        <v>4</v>
      </c>
      <c r="H4464" s="13" t="n">
        <v>4</v>
      </c>
      <c r="I4464" s="34" t="n">
        <v>4</v>
      </c>
      <c r="J4464" s="35" t="n">
        <v>4</v>
      </c>
      <c r="K4464" s="2" t="inlineStr">
        <is>
          <t>marker_157_822818.png</t>
        </is>
      </c>
      <c r="L4464" s="36">
        <f>HYPERLINK("NoConsenso\" &amp; K4464, "Ver Imagen")</f>
        <v/>
      </c>
      <c r="M4464" t="inlineStr">
        <is>
          <t>Mediana</t>
        </is>
      </c>
    </row>
    <row r="4465">
      <c r="A4465" s="33" t="n">
        <v>4468</v>
      </c>
      <c r="B4465" t="inlineStr">
        <is>
          <t>A-492__50</t>
        </is>
      </c>
      <c r="C4465" s="1" t="n">
        <v>37.2792905531</v>
      </c>
      <c r="D4465" s="1" t="n">
        <v>-6.99558197789</v>
      </c>
      <c r="E4465" s="3" t="n">
        <v>3</v>
      </c>
      <c r="F4465" s="2" t="n">
        <v>2</v>
      </c>
      <c r="G4465" s="4" t="n">
        <v>4</v>
      </c>
      <c r="H4465" s="13" t="n">
        <v>1</v>
      </c>
      <c r="I4465" s="34" t="n">
        <v>1</v>
      </c>
      <c r="J4465" s="37" t="n">
        <v>1</v>
      </c>
      <c r="K4465" s="2" t="inlineStr">
        <is>
          <t>marker_459_823004.png</t>
        </is>
      </c>
      <c r="L4465" s="36">
        <f>HYPERLINK("NoConsenso\" &amp; K4465, "Ver Imagen")</f>
        <v/>
      </c>
      <c r="M4465" s="37" t="inlineStr">
        <is>
          <t>Modificada</t>
        </is>
      </c>
    </row>
    <row r="4466">
      <c r="A4466" s="33" t="n">
        <v>4469</v>
      </c>
      <c r="B4466" t="inlineStr">
        <is>
          <t>A-492__51</t>
        </is>
      </c>
      <c r="C4466" s="1" t="n">
        <v>37.2793536791</v>
      </c>
      <c r="D4466" s="1" t="n">
        <v>-6.99584761047</v>
      </c>
      <c r="E4466" s="3" t="n">
        <v>2</v>
      </c>
      <c r="F4466" s="2" t="n">
        <v>1</v>
      </c>
      <c r="G4466" s="4" t="n">
        <v>3</v>
      </c>
      <c r="H4466" s="13" t="n">
        <v>1</v>
      </c>
      <c r="I4466" s="34" t="n">
        <v>1</v>
      </c>
      <c r="J4466" s="35" t="n">
        <v>1</v>
      </c>
      <c r="K4466" s="2" t="inlineStr">
        <is>
          <t>marker_642_823016.png</t>
        </is>
      </c>
      <c r="L4466" s="36">
        <f>HYPERLINK("NoConsenso\" &amp; K4466, "Ver Imagen")</f>
        <v/>
      </c>
      <c r="M4466" t="inlineStr">
        <is>
          <t>Mediana</t>
        </is>
      </c>
    </row>
    <row r="4467">
      <c r="A4467" s="33" t="n">
        <v>4470</v>
      </c>
      <c r="B4467" t="inlineStr">
        <is>
          <t>A-492__85</t>
        </is>
      </c>
      <c r="C4467" s="1" t="n">
        <v>37.2806855398</v>
      </c>
      <c r="D4467" s="1" t="n">
        <v>-7.00378119714</v>
      </c>
      <c r="E4467" s="3" t="n">
        <v>3</v>
      </c>
      <c r="F4467" s="2" t="n">
        <v>2</v>
      </c>
      <c r="G4467" s="4" t="n">
        <v>4</v>
      </c>
      <c r="H4467" s="13" t="n">
        <v>2</v>
      </c>
      <c r="I4467" s="34" t="n">
        <v>3</v>
      </c>
      <c r="J4467" s="37" t="n">
        <v>2</v>
      </c>
      <c r="K4467" s="2" t="inlineStr">
        <is>
          <t>marker_422_823556.png</t>
        </is>
      </c>
      <c r="L4467" s="36">
        <f>HYPERLINK("NoConsenso\" &amp; K4467, "Ver Imagen")</f>
        <v/>
      </c>
      <c r="M4467" s="37" t="inlineStr">
        <is>
          <t>Modificada</t>
        </is>
      </c>
    </row>
    <row r="4468">
      <c r="A4468" s="33" t="n">
        <v>4471</v>
      </c>
      <c r="B4468" t="inlineStr">
        <is>
          <t>A-492__96</t>
        </is>
      </c>
      <c r="C4468" s="1" t="n">
        <v>37.2798677695</v>
      </c>
      <c r="D4468" s="1" t="n">
        <v>-7.00634118049</v>
      </c>
      <c r="E4468" s="3" t="n">
        <v>1</v>
      </c>
      <c r="F4468" s="2" t="n">
        <v>3</v>
      </c>
      <c r="G4468" s="4" t="n">
        <v>3</v>
      </c>
      <c r="H4468" s="13" t="n">
        <v>2</v>
      </c>
      <c r="I4468" s="34" t="n">
        <v>2</v>
      </c>
      <c r="J4468" s="35" t="n">
        <v>2</v>
      </c>
      <c r="K4468" s="2" t="inlineStr">
        <is>
          <t>marker_980_823715.png</t>
        </is>
      </c>
      <c r="L4468" s="36">
        <f>HYPERLINK("NoConsenso\" &amp; K4468, "Ver Imagen")</f>
        <v/>
      </c>
      <c r="M4468" t="inlineStr">
        <is>
          <t>Mediana</t>
        </is>
      </c>
    </row>
    <row r="4469">
      <c r="A4469" s="33" t="n">
        <v>4472</v>
      </c>
      <c r="B4469" t="inlineStr">
        <is>
          <t>A-492__101</t>
        </is>
      </c>
      <c r="C4469" s="1" t="n">
        <v>37.2794361971</v>
      </c>
      <c r="D4469" s="1" t="n">
        <v>-7.00744810952</v>
      </c>
      <c r="E4469" s="3" t="n">
        <v>1</v>
      </c>
      <c r="F4469" s="2" t="n">
        <v>3</v>
      </c>
      <c r="G4469" s="4" t="n">
        <v>3</v>
      </c>
      <c r="H4469" s="13" t="n">
        <v>2</v>
      </c>
      <c r="I4469" s="34" t="n">
        <v>1</v>
      </c>
      <c r="J4469" s="35" t="n">
        <v>2</v>
      </c>
      <c r="K4469" s="2" t="inlineStr">
        <is>
          <t>marker_798_823773.png</t>
        </is>
      </c>
      <c r="L4469" s="36">
        <f>HYPERLINK("NoConsenso\" &amp; K4469, "Ver Imagen")</f>
        <v/>
      </c>
      <c r="M4469" t="inlineStr">
        <is>
          <t>Mediana</t>
        </is>
      </c>
    </row>
    <row r="4470">
      <c r="A4470" s="33" t="n">
        <v>4473</v>
      </c>
      <c r="B4470" t="inlineStr">
        <is>
          <t>A-492__122</t>
        </is>
      </c>
      <c r="C4470" s="1" t="n">
        <v>37.2772783423</v>
      </c>
      <c r="D4470" s="1" t="n">
        <v>-7.01204535668</v>
      </c>
      <c r="E4470" s="3" t="n">
        <v>2</v>
      </c>
      <c r="F4470" s="2" t="n">
        <v>3</v>
      </c>
      <c r="G4470" s="4" t="n">
        <v>4</v>
      </c>
      <c r="H4470" s="13" t="n">
        <v>2</v>
      </c>
      <c r="I4470" s="34" t="n">
        <v>2</v>
      </c>
      <c r="J4470" s="35" t="n">
        <v>2</v>
      </c>
      <c r="K4470" s="2" t="inlineStr">
        <is>
          <t>marker_887_824442.png</t>
        </is>
      </c>
      <c r="L4470" s="36">
        <f>HYPERLINK("NoConsenso\" &amp; K4470, "Ver Imagen")</f>
        <v/>
      </c>
      <c r="M4470" t="inlineStr">
        <is>
          <t>Mediana</t>
        </is>
      </c>
    </row>
    <row r="4471">
      <c r="A4471" s="33" t="n">
        <v>4474</v>
      </c>
      <c r="B4471" t="inlineStr">
        <is>
          <t>A-492__124</t>
        </is>
      </c>
      <c r="C4471" s="1" t="n">
        <v>37.2770383431</v>
      </c>
      <c r="D4471" s="1" t="n">
        <v>-7.0124783125</v>
      </c>
      <c r="E4471" s="3" t="n">
        <v>2</v>
      </c>
      <c r="F4471" s="2" t="n">
        <v>3</v>
      </c>
      <c r="G4471" s="4" t="n">
        <v>4</v>
      </c>
      <c r="H4471" s="13" t="n">
        <v>3</v>
      </c>
      <c r="I4471" s="34" t="n">
        <v>3</v>
      </c>
      <c r="J4471" s="35" t="n">
        <v>3</v>
      </c>
      <c r="K4471" s="2" t="inlineStr">
        <is>
          <t>marker_748_824468.png</t>
        </is>
      </c>
      <c r="L4471" s="36">
        <f>HYPERLINK("NoConsenso\" &amp; K4471, "Ver Imagen")</f>
        <v/>
      </c>
      <c r="M4471" t="inlineStr">
        <is>
          <t>Mediana</t>
        </is>
      </c>
    </row>
    <row r="4472">
      <c r="A4472" s="33" t="n">
        <v>4475</v>
      </c>
      <c r="B4472" t="inlineStr">
        <is>
          <t>A-492__133</t>
        </is>
      </c>
      <c r="C4472" s="1" t="n">
        <v>37.2760942508</v>
      </c>
      <c r="D4472" s="1" t="n">
        <v>-7.01441395708</v>
      </c>
      <c r="E4472" s="3" t="n">
        <v>2</v>
      </c>
      <c r="F4472" s="2" t="n">
        <v>3</v>
      </c>
      <c r="G4472" s="4" t="n">
        <v>4</v>
      </c>
      <c r="H4472" s="13" t="n">
        <v>2</v>
      </c>
      <c r="I4472" s="34" t="n">
        <v>2</v>
      </c>
      <c r="J4472" s="35" t="n">
        <v>2</v>
      </c>
      <c r="K4472" s="2" t="inlineStr">
        <is>
          <t>marker_155_824574.png</t>
        </is>
      </c>
      <c r="L4472" s="36">
        <f>HYPERLINK("NoConsenso\" &amp; K4472, "Ver Imagen")</f>
        <v/>
      </c>
      <c r="M4472" t="inlineStr">
        <is>
          <t>Mediana</t>
        </is>
      </c>
    </row>
    <row r="4473">
      <c r="A4473" s="33" t="n">
        <v>4476</v>
      </c>
      <c r="B4473" t="inlineStr">
        <is>
          <t>A-492__137</t>
        </is>
      </c>
      <c r="C4473" s="1" t="n">
        <v>37.2759227785</v>
      </c>
      <c r="D4473" s="1" t="n">
        <v>-7.01525624738</v>
      </c>
      <c r="E4473" s="3" t="n">
        <v>2</v>
      </c>
      <c r="F4473" s="2" t="n">
        <v>3</v>
      </c>
      <c r="G4473" s="4" t="n">
        <v>4</v>
      </c>
      <c r="H4473" s="13" t="n">
        <v>4</v>
      </c>
      <c r="I4473" s="34" t="n">
        <v>3</v>
      </c>
      <c r="J4473" s="35" t="n">
        <v>3</v>
      </c>
      <c r="K4473" s="2" t="inlineStr">
        <is>
          <t>marker_639_824630.png</t>
        </is>
      </c>
      <c r="L4473" s="36">
        <f>HYPERLINK("NoConsenso\" &amp; K4473, "Ver Imagen")</f>
        <v/>
      </c>
      <c r="M4473" t="inlineStr">
        <is>
          <t>Mediana</t>
        </is>
      </c>
    </row>
    <row r="4474">
      <c r="A4474" s="33" t="n">
        <v>4477</v>
      </c>
      <c r="B4474" t="inlineStr">
        <is>
          <t>A-492__152</t>
        </is>
      </c>
      <c r="C4474" s="1" t="n">
        <v>37.2756179577</v>
      </c>
      <c r="D4474" s="1" t="n">
        <v>-7.01876428854</v>
      </c>
      <c r="E4474" s="3" t="n">
        <v>1</v>
      </c>
      <c r="F4474" s="2" t="n">
        <v>2</v>
      </c>
      <c r="G4474" s="4" t="n">
        <v>3</v>
      </c>
      <c r="H4474" s="13" t="n">
        <v>1</v>
      </c>
      <c r="I4474" s="34" t="n">
        <v>1</v>
      </c>
      <c r="J4474" s="35" t="n">
        <v>1</v>
      </c>
      <c r="K4474" s="2" t="inlineStr">
        <is>
          <t>marker_661_824829.png</t>
        </is>
      </c>
      <c r="L4474" s="36">
        <f>HYPERLINK("NoConsenso\" &amp; K4474, "Ver Imagen")</f>
        <v/>
      </c>
      <c r="M4474" t="inlineStr">
        <is>
          <t>Mediana</t>
        </is>
      </c>
    </row>
    <row r="4475">
      <c r="A4475" s="33" t="n">
        <v>4478</v>
      </c>
      <c r="B4475" t="inlineStr">
        <is>
          <t>A-492__153</t>
        </is>
      </c>
      <c r="C4475" s="1" t="n">
        <v>37.2756513608</v>
      </c>
      <c r="D4475" s="1" t="n">
        <v>-7.01901084733</v>
      </c>
      <c r="E4475" s="3" t="n">
        <v>1</v>
      </c>
      <c r="F4475" s="2" t="n">
        <v>2</v>
      </c>
      <c r="G4475" s="4" t="n">
        <v>3</v>
      </c>
      <c r="H4475" s="13" t="n">
        <v>1</v>
      </c>
      <c r="I4475" s="34" t="n">
        <v>1</v>
      </c>
      <c r="J4475" s="35" t="n">
        <v>1</v>
      </c>
      <c r="K4475" s="2" t="inlineStr">
        <is>
          <t>marker_242_824839.png</t>
        </is>
      </c>
      <c r="L4475" s="36">
        <f>HYPERLINK("NoConsenso\" &amp; K4475, "Ver Imagen")</f>
        <v/>
      </c>
      <c r="M4475" t="inlineStr">
        <is>
          <t>Mediana</t>
        </is>
      </c>
    </row>
    <row r="4476">
      <c r="A4476" s="33" t="n">
        <v>4479</v>
      </c>
      <c r="B4476" t="inlineStr">
        <is>
          <t>A-492__154</t>
        </is>
      </c>
      <c r="C4476" s="1" t="n">
        <v>37.2756864688</v>
      </c>
      <c r="D4476" s="1" t="n">
        <v>-7.01927299808</v>
      </c>
      <c r="E4476" s="3" t="n">
        <v>1</v>
      </c>
      <c r="F4476" s="2" t="n">
        <v>2</v>
      </c>
      <c r="G4476" s="4" t="n">
        <v>3</v>
      </c>
      <c r="H4476" s="13" t="n">
        <v>1</v>
      </c>
      <c r="I4476" s="34" t="n">
        <v>1</v>
      </c>
      <c r="J4476" s="35" t="n">
        <v>1</v>
      </c>
      <c r="K4476" s="2" t="inlineStr">
        <is>
          <t>marker_188_824885.png</t>
        </is>
      </c>
      <c r="L4476" s="36">
        <f>HYPERLINK("NoConsenso\" &amp; K4476, "Ver Imagen")</f>
        <v/>
      </c>
      <c r="M4476" t="inlineStr">
        <is>
          <t>Mediana</t>
        </is>
      </c>
    </row>
    <row r="4477">
      <c r="A4477" s="33" t="n">
        <v>4480</v>
      </c>
      <c r="B4477" t="inlineStr">
        <is>
          <t>A-492__155</t>
        </is>
      </c>
      <c r="C4477" s="1" t="n">
        <v>37.27571627</v>
      </c>
      <c r="D4477" s="1" t="n">
        <v>-7.01949688418</v>
      </c>
      <c r="E4477" s="3" t="n">
        <v>1</v>
      </c>
      <c r="F4477" s="2" t="n">
        <v>2</v>
      </c>
      <c r="G4477" s="4" t="n">
        <v>3</v>
      </c>
      <c r="H4477" s="13" t="n">
        <v>2</v>
      </c>
      <c r="I4477" s="34" t="n">
        <v>2</v>
      </c>
      <c r="J4477" s="35" t="n">
        <v>2</v>
      </c>
      <c r="K4477" s="2" t="inlineStr">
        <is>
          <t>marker_224_824897.png</t>
        </is>
      </c>
      <c r="L4477" s="36">
        <f>HYPERLINK("NoConsenso\" &amp; K4477, "Ver Imagen")</f>
        <v/>
      </c>
      <c r="M4477" t="inlineStr">
        <is>
          <t>Mediana</t>
        </is>
      </c>
    </row>
    <row r="4478">
      <c r="A4478" s="33" t="n">
        <v>4481</v>
      </c>
      <c r="B4478" t="inlineStr">
        <is>
          <t>A-492__156</t>
        </is>
      </c>
      <c r="C4478" s="1" t="n">
        <v>37.2757591115</v>
      </c>
      <c r="D4478" s="1" t="n">
        <v>-7.01981766009</v>
      </c>
      <c r="E4478" s="3" t="n">
        <v>1</v>
      </c>
      <c r="F4478" s="2" t="n">
        <v>3</v>
      </c>
      <c r="G4478" s="4" t="n">
        <v>3</v>
      </c>
      <c r="H4478" s="13" t="n">
        <v>2</v>
      </c>
      <c r="I4478" s="34" t="n">
        <v>2</v>
      </c>
      <c r="J4478" s="35" t="n">
        <v>2</v>
      </c>
      <c r="K4478" s="2" t="inlineStr">
        <is>
          <t>marker_818_824908.png</t>
        </is>
      </c>
      <c r="L4478" s="36">
        <f>HYPERLINK("NoConsenso\" &amp; K4478, "Ver Imagen")</f>
        <v/>
      </c>
      <c r="M4478" t="inlineStr">
        <is>
          <t>Mediana</t>
        </is>
      </c>
    </row>
    <row r="4479">
      <c r="A4479" s="33" t="n">
        <v>4482</v>
      </c>
      <c r="B4479" t="inlineStr">
        <is>
          <t>A-492__157</t>
        </is>
      </c>
      <c r="C4479" s="1" t="n">
        <v>37.2757839801</v>
      </c>
      <c r="D4479" s="1" t="n">
        <v>-7.02000424152</v>
      </c>
      <c r="E4479" s="3" t="n">
        <v>1</v>
      </c>
      <c r="F4479" s="2" t="n">
        <v>2</v>
      </c>
      <c r="G4479" s="4" t="n">
        <v>3</v>
      </c>
      <c r="H4479" s="13" t="n">
        <v>1</v>
      </c>
      <c r="I4479" s="34" t="n">
        <v>2</v>
      </c>
      <c r="J4479" s="35" t="n">
        <v>2</v>
      </c>
      <c r="K4479" s="2" t="inlineStr">
        <is>
          <t>marker_687_824918.png</t>
        </is>
      </c>
      <c r="L4479" s="36">
        <f>HYPERLINK("NoConsenso\" &amp; K4479, "Ver Imagen")</f>
        <v/>
      </c>
      <c r="M4479" t="inlineStr">
        <is>
          <t>Mediana</t>
        </is>
      </c>
    </row>
    <row r="4480">
      <c r="A4480" s="33" t="n">
        <v>4483</v>
      </c>
      <c r="B4480" t="inlineStr">
        <is>
          <t>A-492__159</t>
        </is>
      </c>
      <c r="C4480" s="1" t="n">
        <v>37.2758563045</v>
      </c>
      <c r="D4480" s="1" t="n">
        <v>-7.02053638602</v>
      </c>
      <c r="E4480" s="3" t="n">
        <v>1</v>
      </c>
      <c r="F4480" s="2" t="n">
        <v>2</v>
      </c>
      <c r="G4480" s="4" t="n">
        <v>3</v>
      </c>
      <c r="H4480" s="13" t="n">
        <v>2</v>
      </c>
      <c r="I4480" s="34" t="n">
        <v>2</v>
      </c>
      <c r="J4480" s="35" t="n">
        <v>2</v>
      </c>
      <c r="K4480" s="2" t="inlineStr">
        <is>
          <t>marker_582_824942.png</t>
        </is>
      </c>
      <c r="L4480" s="36">
        <f>HYPERLINK("NoConsenso\" &amp; K4480, "Ver Imagen")</f>
        <v/>
      </c>
      <c r="M4480" t="inlineStr">
        <is>
          <t>Mediana</t>
        </is>
      </c>
    </row>
    <row r="4481">
      <c r="A4481" s="33" t="n">
        <v>4484</v>
      </c>
      <c r="B4481" t="inlineStr">
        <is>
          <t>A-492__162</t>
        </is>
      </c>
      <c r="C4481" s="1" t="n">
        <v>37.2759494125</v>
      </c>
      <c r="D4481" s="1" t="n">
        <v>-7.02123840212</v>
      </c>
      <c r="E4481" s="3" t="n">
        <v>1</v>
      </c>
      <c r="F4481" s="2" t="n">
        <v>2</v>
      </c>
      <c r="G4481" s="4" t="n">
        <v>3</v>
      </c>
      <c r="H4481" s="13" t="n">
        <v>2</v>
      </c>
      <c r="I4481" s="34" t="n">
        <v>2</v>
      </c>
      <c r="J4481" s="35" t="n">
        <v>2</v>
      </c>
      <c r="K4481" s="2" t="inlineStr">
        <is>
          <t>marker_556_831344.png</t>
        </is>
      </c>
      <c r="L4481" s="36">
        <f>HYPERLINK("NoConsenso\" &amp; K4481, "Ver Imagen")</f>
        <v/>
      </c>
      <c r="M4481" t="inlineStr">
        <is>
          <t>Mediana</t>
        </is>
      </c>
    </row>
    <row r="4482">
      <c r="A4482" s="33" t="n">
        <v>4485</v>
      </c>
      <c r="B4482" t="inlineStr">
        <is>
          <t>A-492__164</t>
        </is>
      </c>
      <c r="C4482" s="1" t="n">
        <v>37.2760147814</v>
      </c>
      <c r="D4482" s="1" t="n">
        <v>-7.02174560117</v>
      </c>
      <c r="E4482" s="3" t="n">
        <v>1</v>
      </c>
      <c r="F4482" s="2" t="n">
        <v>2</v>
      </c>
      <c r="G4482" s="4" t="n">
        <v>3</v>
      </c>
      <c r="H4482" s="13" t="n">
        <v>1</v>
      </c>
      <c r="I4482" s="34" t="n">
        <v>2</v>
      </c>
      <c r="J4482" s="35" t="n">
        <v>2</v>
      </c>
      <c r="K4482" s="2" t="inlineStr">
        <is>
          <t>marker_385_831366.png</t>
        </is>
      </c>
      <c r="L4482" s="36">
        <f>HYPERLINK("NoConsenso\" &amp; K4482, "Ver Imagen")</f>
        <v/>
      </c>
      <c r="M4482" t="inlineStr">
        <is>
          <t>Mediana</t>
        </is>
      </c>
    </row>
    <row r="4483">
      <c r="A4483" s="33" t="n">
        <v>4486</v>
      </c>
      <c r="B4483" t="inlineStr">
        <is>
          <t>A-492__167</t>
        </is>
      </c>
      <c r="C4483" s="1" t="n">
        <v>37.2761214019</v>
      </c>
      <c r="D4483" s="1" t="n">
        <v>-7.02249796901</v>
      </c>
      <c r="E4483" s="3" t="n">
        <v>2</v>
      </c>
      <c r="F4483" s="2" t="n">
        <v>3</v>
      </c>
      <c r="G4483" s="4" t="n">
        <v>4</v>
      </c>
      <c r="H4483" s="13" t="n">
        <v>2</v>
      </c>
      <c r="I4483" s="34" t="n">
        <v>3</v>
      </c>
      <c r="J4483" s="35" t="n">
        <v>3</v>
      </c>
      <c r="K4483" s="2" t="inlineStr">
        <is>
          <t>marker_925_831405.png</t>
        </is>
      </c>
      <c r="L4483" s="36">
        <f>HYPERLINK("NoConsenso\" &amp; K4483, "Ver Imagen")</f>
        <v/>
      </c>
      <c r="M4483" t="inlineStr">
        <is>
          <t>Mediana</t>
        </is>
      </c>
    </row>
    <row r="4484">
      <c r="A4484" s="33" t="n">
        <v>4487</v>
      </c>
      <c r="B4484" t="inlineStr">
        <is>
          <t>A-492__169</t>
        </is>
      </c>
      <c r="C4484" s="1" t="n">
        <v>37.2761989443</v>
      </c>
      <c r="D4484" s="1" t="n">
        <v>-7.02303679997</v>
      </c>
      <c r="E4484" s="3" t="n">
        <v>1</v>
      </c>
      <c r="F4484" s="2" t="n">
        <v>2</v>
      </c>
      <c r="G4484" s="4" t="n">
        <v>3</v>
      </c>
      <c r="H4484" s="13" t="n">
        <v>2</v>
      </c>
      <c r="I4484" s="34" t="n">
        <v>2</v>
      </c>
      <c r="J4484" s="35" t="n">
        <v>2</v>
      </c>
      <c r="K4484" s="2" t="inlineStr">
        <is>
          <t>marker_225_831440.png</t>
        </is>
      </c>
      <c r="L4484" s="36">
        <f>HYPERLINK("NoConsenso\" &amp; K4484, "Ver Imagen")</f>
        <v/>
      </c>
      <c r="M4484" t="inlineStr">
        <is>
          <t>Mediana</t>
        </is>
      </c>
    </row>
    <row r="4485">
      <c r="A4485" s="33" t="n">
        <v>4488</v>
      </c>
      <c r="B4485" t="inlineStr">
        <is>
          <t>A-492__175</t>
        </is>
      </c>
      <c r="C4485" s="1" t="n">
        <v>37.2764015902</v>
      </c>
      <c r="D4485" s="1" t="n">
        <v>-7.02447961241</v>
      </c>
      <c r="E4485" s="3" t="n">
        <v>1</v>
      </c>
      <c r="F4485" s="2" t="n">
        <v>2</v>
      </c>
      <c r="G4485" s="4" t="n">
        <v>3</v>
      </c>
      <c r="H4485" s="13" t="n">
        <v>2</v>
      </c>
      <c r="I4485" s="34" t="n">
        <v>1</v>
      </c>
      <c r="J4485" s="35" t="n">
        <v>2</v>
      </c>
      <c r="K4485" s="2" t="inlineStr">
        <is>
          <t>marker_587_831529.png</t>
        </is>
      </c>
      <c r="L4485" s="36">
        <f>HYPERLINK("NoConsenso\" &amp; K4485, "Ver Imagen")</f>
        <v/>
      </c>
      <c r="M4485" t="inlineStr">
        <is>
          <t>Mediana</t>
        </is>
      </c>
    </row>
    <row r="4486">
      <c r="A4486" s="33" t="n">
        <v>4489</v>
      </c>
      <c r="B4486" t="inlineStr">
        <is>
          <t>A-492__182</t>
        </is>
      </c>
      <c r="C4486" s="1" t="n">
        <v>37.2766513476</v>
      </c>
      <c r="D4486" s="1" t="n">
        <v>-7.02624839933</v>
      </c>
      <c r="E4486" s="3" t="n">
        <v>1</v>
      </c>
      <c r="F4486" s="2" t="n">
        <v>2</v>
      </c>
      <c r="G4486" s="4" t="n">
        <v>3</v>
      </c>
      <c r="H4486" s="13" t="n">
        <v>2</v>
      </c>
      <c r="I4486" s="34" t="n">
        <v>2</v>
      </c>
      <c r="J4486" s="35" t="n">
        <v>2</v>
      </c>
      <c r="K4486" s="2" t="inlineStr">
        <is>
          <t>marker_745_831660.png</t>
        </is>
      </c>
      <c r="L4486" s="36">
        <f>HYPERLINK("NoConsenso\" &amp; K4486, "Ver Imagen")</f>
        <v/>
      </c>
      <c r="M4486" t="inlineStr">
        <is>
          <t>Mediana</t>
        </is>
      </c>
    </row>
    <row r="4487">
      <c r="A4487" s="33" t="n">
        <v>4490</v>
      </c>
      <c r="B4487" t="inlineStr">
        <is>
          <t>A-492__187</t>
        </is>
      </c>
      <c r="C4487" s="1" t="n">
        <v>37.2768918233</v>
      </c>
      <c r="D4487" s="1" t="n">
        <v>-7.02746276517</v>
      </c>
      <c r="E4487" s="3" t="n">
        <v>1</v>
      </c>
      <c r="F4487" s="2" t="n">
        <v>3</v>
      </c>
      <c r="G4487" s="4" t="n">
        <v>3</v>
      </c>
      <c r="H4487" s="13" t="n">
        <v>2</v>
      </c>
      <c r="I4487" s="34" t="n">
        <v>1</v>
      </c>
      <c r="J4487" s="35" t="n">
        <v>2</v>
      </c>
      <c r="K4487" s="2" t="inlineStr">
        <is>
          <t>marker_606_831754.png</t>
        </is>
      </c>
      <c r="L4487" s="36">
        <f>HYPERLINK("NoConsenso\" &amp; K4487, "Ver Imagen")</f>
        <v/>
      </c>
      <c r="M4487" t="inlineStr">
        <is>
          <t>Mediana</t>
        </is>
      </c>
    </row>
    <row r="4488">
      <c r="A4488" s="33" t="n">
        <v>4491</v>
      </c>
      <c r="B4488" t="inlineStr">
        <is>
          <t>A-492__188</t>
        </is>
      </c>
      <c r="C4488" s="1" t="n">
        <v>37.2769611481</v>
      </c>
      <c r="D4488" s="1" t="n">
        <v>-7.0276874273</v>
      </c>
      <c r="E4488" s="3" t="n">
        <v>1</v>
      </c>
      <c r="F4488" s="2" t="n">
        <v>2</v>
      </c>
      <c r="G4488" s="4" t="n">
        <v>3</v>
      </c>
      <c r="H4488" s="13" t="n">
        <v>2</v>
      </c>
      <c r="I4488" s="34" t="n">
        <v>1</v>
      </c>
      <c r="J4488" s="35" t="n">
        <v>2</v>
      </c>
      <c r="K4488" s="2" t="inlineStr">
        <is>
          <t>marker_544_831773.png</t>
        </is>
      </c>
      <c r="L4488" s="36">
        <f>HYPERLINK("NoConsenso\" &amp; K4488, "Ver Imagen")</f>
        <v/>
      </c>
      <c r="M4488" t="inlineStr">
        <is>
          <t>Mediana</t>
        </is>
      </c>
    </row>
    <row r="4489">
      <c r="A4489" s="33" t="n">
        <v>4492</v>
      </c>
      <c r="B4489" t="inlineStr">
        <is>
          <t>A-492__191</t>
        </is>
      </c>
      <c r="C4489" s="1" t="n">
        <v>37.2772518306</v>
      </c>
      <c r="D4489" s="1" t="n">
        <v>-7.02839661256</v>
      </c>
      <c r="E4489" s="3" t="n">
        <v>1</v>
      </c>
      <c r="F4489" s="2" t="n">
        <v>2</v>
      </c>
      <c r="G4489" s="4" t="n">
        <v>3</v>
      </c>
      <c r="H4489" s="13" t="n">
        <v>2</v>
      </c>
      <c r="I4489" s="34" t="n">
        <v>1</v>
      </c>
      <c r="J4489" s="35" t="n">
        <v>2</v>
      </c>
      <c r="K4489" s="2" t="inlineStr">
        <is>
          <t>marker_116_831815.png</t>
        </is>
      </c>
      <c r="L4489" s="36">
        <f>HYPERLINK("NoConsenso\" &amp; K4489, "Ver Imagen")</f>
        <v/>
      </c>
      <c r="M4489" t="inlineStr">
        <is>
          <t>Mediana</t>
        </is>
      </c>
    </row>
    <row r="4490">
      <c r="A4490" s="33" t="n">
        <v>4493</v>
      </c>
      <c r="B4490" t="inlineStr">
        <is>
          <t>A-492__192</t>
        </is>
      </c>
      <c r="C4490" s="1" t="n">
        <v>37.2773498519</v>
      </c>
      <c r="D4490" s="1" t="n">
        <v>-7.02858154645</v>
      </c>
      <c r="E4490" s="3" t="n">
        <v>1</v>
      </c>
      <c r="F4490" s="2" t="n">
        <v>2</v>
      </c>
      <c r="G4490" s="4" t="n">
        <v>3</v>
      </c>
      <c r="H4490" s="13" t="n">
        <v>2</v>
      </c>
      <c r="I4490" s="34" t="n">
        <v>1</v>
      </c>
      <c r="J4490" s="35" t="n">
        <v>2</v>
      </c>
      <c r="K4490" s="2" t="inlineStr">
        <is>
          <t>marker_146_831827.png</t>
        </is>
      </c>
      <c r="L4490" s="36">
        <f>HYPERLINK("NoConsenso\" &amp; K4490, "Ver Imagen")</f>
        <v/>
      </c>
      <c r="M4490" t="inlineStr">
        <is>
          <t>Mediana</t>
        </is>
      </c>
    </row>
    <row r="4491">
      <c r="A4491" s="33" t="n">
        <v>4494</v>
      </c>
      <c r="B4491" t="inlineStr">
        <is>
          <t>A-492__199</t>
        </is>
      </c>
      <c r="C4491" s="1" t="n">
        <v>37.2783343866</v>
      </c>
      <c r="D4491" s="1" t="n">
        <v>-7.02981799647</v>
      </c>
      <c r="E4491" s="3" t="n">
        <v>1</v>
      </c>
      <c r="F4491" s="2" t="n">
        <v>3</v>
      </c>
      <c r="G4491" s="4" t="n">
        <v>3</v>
      </c>
      <c r="H4491" s="13" t="n">
        <v>1</v>
      </c>
      <c r="I4491" s="34" t="n">
        <v>1</v>
      </c>
      <c r="J4491" s="35" t="n">
        <v>1</v>
      </c>
      <c r="K4491" s="2" t="inlineStr">
        <is>
          <t>marker_916_831907.png</t>
        </is>
      </c>
      <c r="L4491" s="36">
        <f>HYPERLINK("NoConsenso\" &amp; K4491, "Ver Imagen")</f>
        <v/>
      </c>
      <c r="M4491" t="inlineStr">
        <is>
          <t>Mediana</t>
        </is>
      </c>
    </row>
    <row r="4492">
      <c r="A4492" s="33" t="n">
        <v>4495</v>
      </c>
      <c r="B4492" t="inlineStr">
        <is>
          <t>A-492__200</t>
        </is>
      </c>
      <c r="C4492" s="1" t="n">
        <v>37.2785011687</v>
      </c>
      <c r="D4492" s="1" t="n">
        <v>-7.02997186184</v>
      </c>
      <c r="E4492" s="3" t="n">
        <v>1</v>
      </c>
      <c r="F4492" s="2" t="n">
        <v>3</v>
      </c>
      <c r="G4492" s="4" t="n">
        <v>3</v>
      </c>
      <c r="H4492" s="13" t="n">
        <v>2</v>
      </c>
      <c r="I4492" s="34" t="n">
        <v>1</v>
      </c>
      <c r="J4492" s="35" t="n">
        <v>2</v>
      </c>
      <c r="K4492" s="2" t="inlineStr">
        <is>
          <t>marker_507_831920.png</t>
        </is>
      </c>
      <c r="L4492" s="36">
        <f>HYPERLINK("NoConsenso\" &amp; K4492, "Ver Imagen")</f>
        <v/>
      </c>
      <c r="M4492" t="inlineStr">
        <is>
          <t>Mediana</t>
        </is>
      </c>
    </row>
    <row r="4493">
      <c r="A4493" s="33" t="n">
        <v>4496</v>
      </c>
      <c r="B4493" t="inlineStr">
        <is>
          <t>A-492__201</t>
        </is>
      </c>
      <c r="C4493" s="1" t="n">
        <v>37.2786650539</v>
      </c>
      <c r="D4493" s="1" t="n">
        <v>-7.03012298267</v>
      </c>
      <c r="E4493" s="3" t="n">
        <v>1</v>
      </c>
      <c r="F4493" s="2" t="n">
        <v>2</v>
      </c>
      <c r="G4493" s="4" t="n">
        <v>3</v>
      </c>
      <c r="H4493" s="13" t="n">
        <v>2</v>
      </c>
      <c r="I4493" s="34" t="n">
        <v>1</v>
      </c>
      <c r="J4493" s="35" t="n">
        <v>2</v>
      </c>
      <c r="K4493" s="2" t="inlineStr">
        <is>
          <t>marker_190_831935.png</t>
        </is>
      </c>
      <c r="L4493" s="36">
        <f>HYPERLINK("NoConsenso\" &amp; K4493, "Ver Imagen")</f>
        <v/>
      </c>
      <c r="M4493" t="inlineStr">
        <is>
          <t>Mediana</t>
        </is>
      </c>
    </row>
    <row r="4494">
      <c r="A4494" s="33" t="n">
        <v>4497</v>
      </c>
      <c r="B4494" t="inlineStr">
        <is>
          <t>A-492__210</t>
        </is>
      </c>
      <c r="C4494" s="1" t="n">
        <v>37.2801409657</v>
      </c>
      <c r="D4494" s="1" t="n">
        <v>-7.03142870707</v>
      </c>
      <c r="E4494" s="3" t="n">
        <v>2</v>
      </c>
      <c r="F4494" s="2" t="n">
        <v>4</v>
      </c>
      <c r="G4494" s="4" t="n">
        <v>4</v>
      </c>
      <c r="H4494" s="13" t="n">
        <v>3</v>
      </c>
      <c r="I4494" s="34" t="n">
        <v>4</v>
      </c>
      <c r="J4494" s="35" t="n">
        <v>4</v>
      </c>
      <c r="K4494" s="2" t="inlineStr">
        <is>
          <t>marker_817_832075.png</t>
        </is>
      </c>
      <c r="L4494" s="36">
        <f>HYPERLINK("NoConsenso\" &amp; K4494, "Ver Imagen")</f>
        <v/>
      </c>
      <c r="M4494" t="inlineStr">
        <is>
          <t>Mediana</t>
        </is>
      </c>
    </row>
    <row r="4495">
      <c r="A4495" s="33" t="n">
        <v>4498</v>
      </c>
      <c r="B4495" t="inlineStr">
        <is>
          <t>A-492__215</t>
        </is>
      </c>
      <c r="C4495" s="1" t="n">
        <v>37.2810712492</v>
      </c>
      <c r="D4495" s="1" t="n">
        <v>-7.0319227961</v>
      </c>
      <c r="E4495" s="3" t="n">
        <v>1</v>
      </c>
      <c r="F4495" s="2" t="n">
        <v>2</v>
      </c>
      <c r="G4495" s="4" t="n">
        <v>3</v>
      </c>
      <c r="H4495" s="13" t="n">
        <v>2</v>
      </c>
      <c r="I4495" s="34" t="n">
        <v>1</v>
      </c>
      <c r="J4495" s="35" t="n">
        <v>2</v>
      </c>
      <c r="K4495" s="2" t="inlineStr">
        <is>
          <t>marker_225_832722.png</t>
        </is>
      </c>
      <c r="L4495" s="36">
        <f>HYPERLINK("NoConsenso\" &amp; K4495, "Ver Imagen")</f>
        <v/>
      </c>
      <c r="M4495" t="inlineStr">
        <is>
          <t>Mediana</t>
        </is>
      </c>
    </row>
    <row r="4496">
      <c r="A4496" s="33" t="n">
        <v>4499</v>
      </c>
      <c r="B4496" t="inlineStr">
        <is>
          <t>A-492__216</t>
        </is>
      </c>
      <c r="C4496" s="1" t="n">
        <v>37.2812746482</v>
      </c>
      <c r="D4496" s="1" t="n">
        <v>-7.03202118122</v>
      </c>
      <c r="E4496" s="3" t="n">
        <v>1</v>
      </c>
      <c r="F4496" s="2" t="n">
        <v>3</v>
      </c>
      <c r="G4496" s="4" t="n">
        <v>3</v>
      </c>
      <c r="H4496" s="13" t="n">
        <v>2</v>
      </c>
      <c r="I4496" s="34" t="n">
        <v>1</v>
      </c>
      <c r="J4496" s="35" t="n">
        <v>2</v>
      </c>
      <c r="K4496" s="2" t="inlineStr">
        <is>
          <t>marker_928_832749.png</t>
        </is>
      </c>
      <c r="L4496" s="36">
        <f>HYPERLINK("NoConsenso\" &amp; K4496, "Ver Imagen")</f>
        <v/>
      </c>
      <c r="M4496" t="inlineStr">
        <is>
          <t>Mediana</t>
        </is>
      </c>
    </row>
    <row r="4497">
      <c r="A4497" s="33" t="n">
        <v>4500</v>
      </c>
      <c r="B4497" t="inlineStr">
        <is>
          <t>A-492__219</t>
        </is>
      </c>
      <c r="C4497" s="1" t="n">
        <v>37.2818442854</v>
      </c>
      <c r="D4497" s="1" t="n">
        <v>-7.0323192332</v>
      </c>
      <c r="E4497" s="3" t="n">
        <v>1</v>
      </c>
      <c r="F4497" s="2" t="n">
        <v>1</v>
      </c>
      <c r="G4497" s="4" t="n">
        <v>3</v>
      </c>
      <c r="H4497" s="13" t="n">
        <v>2</v>
      </c>
      <c r="I4497" s="34" t="n">
        <v>1</v>
      </c>
      <c r="J4497" s="35" t="n">
        <v>1</v>
      </c>
      <c r="K4497" s="2" t="inlineStr">
        <is>
          <t>marker_529_832800.png</t>
        </is>
      </c>
      <c r="L4497" s="36">
        <f>HYPERLINK("NoConsenso\" &amp; K4497, "Ver Imagen")</f>
        <v/>
      </c>
      <c r="M4497" t="inlineStr">
        <is>
          <t>Mediana</t>
        </is>
      </c>
    </row>
    <row r="4498">
      <c r="A4498" s="33" t="n">
        <v>4501</v>
      </c>
      <c r="B4498" t="inlineStr">
        <is>
          <t>A-492__220</t>
        </is>
      </c>
      <c r="C4498" s="1" t="n">
        <v>37.2820142818</v>
      </c>
      <c r="D4498" s="1" t="n">
        <v>-7.03241638224</v>
      </c>
      <c r="E4498" s="3" t="n">
        <v>1</v>
      </c>
      <c r="F4498" s="2" t="n">
        <v>2</v>
      </c>
      <c r="G4498" s="4" t="n">
        <v>3</v>
      </c>
      <c r="H4498" s="13" t="n">
        <v>2</v>
      </c>
      <c r="I4498" s="34" t="n">
        <v>1</v>
      </c>
      <c r="J4498" s="35" t="n">
        <v>2</v>
      </c>
      <c r="K4498" s="2" t="inlineStr">
        <is>
          <t>marker_439_835660.png</t>
        </is>
      </c>
      <c r="L4498" s="36">
        <f>HYPERLINK("NoConsenso\" &amp; K4498, "Ver Imagen")</f>
        <v/>
      </c>
      <c r="M4498" t="inlineStr">
        <is>
          <t>Mediana</t>
        </is>
      </c>
    </row>
    <row r="4499">
      <c r="A4499" s="33" t="n">
        <v>4502</v>
      </c>
      <c r="B4499" t="inlineStr">
        <is>
          <t>A-492__223</t>
        </is>
      </c>
      <c r="C4499" s="1" t="n">
        <v>37.2825427356</v>
      </c>
      <c r="D4499" s="1" t="n">
        <v>-7.03274529902</v>
      </c>
      <c r="E4499" s="3" t="n">
        <v>1</v>
      </c>
      <c r="F4499" s="2" t="n">
        <v>2</v>
      </c>
      <c r="G4499" s="4" t="n">
        <v>3</v>
      </c>
      <c r="H4499" s="13" t="n">
        <v>1</v>
      </c>
      <c r="I4499" s="34" t="n">
        <v>1</v>
      </c>
      <c r="J4499" s="35" t="n">
        <v>1</v>
      </c>
      <c r="K4499" s="2" t="inlineStr">
        <is>
          <t>marker_362_835693.png</t>
        </is>
      </c>
      <c r="L4499" s="36">
        <f>HYPERLINK("NoConsenso\" &amp; K4499, "Ver Imagen")</f>
        <v/>
      </c>
      <c r="M4499" t="inlineStr">
        <is>
          <t>Mediana</t>
        </is>
      </c>
    </row>
    <row r="4500">
      <c r="A4500" s="33" t="n">
        <v>4503</v>
      </c>
      <c r="B4500" t="inlineStr">
        <is>
          <t>A-492__235</t>
        </is>
      </c>
      <c r="C4500" s="1" t="n">
        <v>37.284030827</v>
      </c>
      <c r="D4500" s="1" t="n">
        <v>-7.03507287904</v>
      </c>
      <c r="E4500" s="3" t="n">
        <v>1</v>
      </c>
      <c r="F4500" s="2" t="n">
        <v>2</v>
      </c>
      <c r="G4500" s="4" t="n">
        <v>3</v>
      </c>
      <c r="H4500" s="13" t="n">
        <v>2</v>
      </c>
      <c r="I4500" s="34" t="n">
        <v>1</v>
      </c>
      <c r="J4500" s="35" t="n">
        <v>2</v>
      </c>
      <c r="K4500" s="2" t="inlineStr">
        <is>
          <t>marker_997_835878.png</t>
        </is>
      </c>
      <c r="L4500" s="36">
        <f>HYPERLINK("NoConsenso\" &amp; K4500, "Ver Imagen")</f>
        <v/>
      </c>
      <c r="M4500" t="inlineStr">
        <is>
          <t>Mediana</t>
        </is>
      </c>
    </row>
    <row r="4501">
      <c r="A4501" s="33" t="n">
        <v>4504</v>
      </c>
      <c r="B4501" t="inlineStr">
        <is>
          <t>A-492__236</t>
        </is>
      </c>
      <c r="C4501" s="1" t="n">
        <v>37.2840686306</v>
      </c>
      <c r="D4501" s="1" t="n">
        <v>-7.03531604299</v>
      </c>
      <c r="E4501" s="3" t="n">
        <v>1</v>
      </c>
      <c r="F4501" s="2" t="n">
        <v>2</v>
      </c>
      <c r="G4501" s="4" t="n">
        <v>3</v>
      </c>
      <c r="H4501" s="13" t="n">
        <v>2</v>
      </c>
      <c r="I4501" s="34" t="n">
        <v>1</v>
      </c>
      <c r="J4501" s="35" t="n">
        <v>2</v>
      </c>
      <c r="K4501" s="2" t="inlineStr">
        <is>
          <t>marker_270_835889.png</t>
        </is>
      </c>
      <c r="L4501" s="36">
        <f>HYPERLINK("NoConsenso\" &amp; K4501, "Ver Imagen")</f>
        <v/>
      </c>
      <c r="M4501" t="inlineStr">
        <is>
          <t>Mediana</t>
        </is>
      </c>
    </row>
    <row r="4502">
      <c r="A4502" s="33" t="n">
        <v>4505</v>
      </c>
      <c r="B4502" t="inlineStr">
        <is>
          <t>A-492__237</t>
        </is>
      </c>
      <c r="C4502" s="1" t="n">
        <v>37.2840930463</v>
      </c>
      <c r="D4502" s="1" t="n">
        <v>-7.03557668609</v>
      </c>
      <c r="E4502" s="3" t="n">
        <v>1</v>
      </c>
      <c r="F4502" s="2" t="n">
        <v>2</v>
      </c>
      <c r="G4502" s="4" t="n">
        <v>3</v>
      </c>
      <c r="H4502" s="13" t="n">
        <v>2</v>
      </c>
      <c r="I4502" s="34" t="n">
        <v>1</v>
      </c>
      <c r="J4502" s="35" t="n">
        <v>2</v>
      </c>
      <c r="K4502" s="2" t="inlineStr">
        <is>
          <t>marker_540_835904.png</t>
        </is>
      </c>
      <c r="L4502" s="36">
        <f>HYPERLINK("NoConsenso\" &amp; K4502, "Ver Imagen")</f>
        <v/>
      </c>
      <c r="M4502" t="inlineStr">
        <is>
          <t>Mediana</t>
        </is>
      </c>
    </row>
    <row r="4503">
      <c r="A4503" s="33" t="n">
        <v>4506</v>
      </c>
      <c r="B4503" t="inlineStr">
        <is>
          <t>A-492__239</t>
        </is>
      </c>
      <c r="C4503" s="1" t="n">
        <v>37.2841058416</v>
      </c>
      <c r="D4503" s="1" t="n">
        <v>-7.03611481993</v>
      </c>
      <c r="E4503" s="3" t="n">
        <v>1</v>
      </c>
      <c r="F4503" s="2" t="n">
        <v>2</v>
      </c>
      <c r="G4503" s="4" t="n">
        <v>3</v>
      </c>
      <c r="H4503" s="13" t="n">
        <v>2</v>
      </c>
      <c r="I4503" s="34" t="n">
        <v>1</v>
      </c>
      <c r="J4503" s="35" t="n">
        <v>2</v>
      </c>
      <c r="K4503" s="2" t="inlineStr">
        <is>
          <t>marker_334_835933.png</t>
        </is>
      </c>
      <c r="L4503" s="36">
        <f>HYPERLINK("NoConsenso\" &amp; K4503, "Ver Imagen")</f>
        <v/>
      </c>
      <c r="M4503" t="inlineStr">
        <is>
          <t>Mediana</t>
        </is>
      </c>
    </row>
    <row r="4504">
      <c r="A4504" s="33" t="n">
        <v>4507</v>
      </c>
      <c r="B4504" t="inlineStr">
        <is>
          <t>A-492__240</t>
        </is>
      </c>
      <c r="C4504" s="1" t="n">
        <v>37.2841040739</v>
      </c>
      <c r="D4504" s="1" t="n">
        <v>-7.03634993228</v>
      </c>
      <c r="E4504" s="3" t="n">
        <v>1</v>
      </c>
      <c r="F4504" s="2" t="n">
        <v>3</v>
      </c>
      <c r="G4504" s="4" t="n">
        <v>3</v>
      </c>
      <c r="H4504" s="13" t="n">
        <v>2</v>
      </c>
      <c r="I4504" s="34" t="n">
        <v>1</v>
      </c>
      <c r="J4504" s="35" t="n">
        <v>2</v>
      </c>
      <c r="K4504" s="2" t="inlineStr">
        <is>
          <t>marker_890_835943.png</t>
        </is>
      </c>
      <c r="L4504" s="36">
        <f>HYPERLINK("NoConsenso\" &amp; K4504, "Ver Imagen")</f>
        <v/>
      </c>
      <c r="M4504" t="inlineStr">
        <is>
          <t>Mediana</t>
        </is>
      </c>
    </row>
    <row r="4505">
      <c r="A4505" s="33" t="n">
        <v>4508</v>
      </c>
      <c r="B4505" t="inlineStr">
        <is>
          <t>A-492__243</t>
        </is>
      </c>
      <c r="C4505" s="1" t="n">
        <v>37.2841383386</v>
      </c>
      <c r="D4505" s="1" t="n">
        <v>-7.03710343953</v>
      </c>
      <c r="E4505" s="3" t="n">
        <v>1</v>
      </c>
      <c r="F4505" s="2" t="n">
        <v>2</v>
      </c>
      <c r="G4505" s="4" t="n">
        <v>3</v>
      </c>
      <c r="H4505" s="13" t="n">
        <v>2</v>
      </c>
      <c r="I4505" s="34" t="n">
        <v>1</v>
      </c>
      <c r="J4505" s="35" t="n">
        <v>2</v>
      </c>
      <c r="K4505" s="2" t="inlineStr">
        <is>
          <t>marker_391_835987.png</t>
        </is>
      </c>
      <c r="L4505" s="36">
        <f>HYPERLINK("NoConsenso\" &amp; K4505, "Ver Imagen")</f>
        <v/>
      </c>
      <c r="M4505" t="inlineStr">
        <is>
          <t>Mediana</t>
        </is>
      </c>
    </row>
    <row r="4506">
      <c r="A4506" s="33" t="n">
        <v>4509</v>
      </c>
      <c r="B4506" t="inlineStr">
        <is>
          <t>A-492__244</t>
        </is>
      </c>
      <c r="C4506" s="1" t="n">
        <v>37.2841716313</v>
      </c>
      <c r="D4506" s="1" t="n">
        <v>-7.03732344836</v>
      </c>
      <c r="E4506" s="3" t="n">
        <v>1</v>
      </c>
      <c r="F4506" s="2" t="n">
        <v>2</v>
      </c>
      <c r="G4506" s="4" t="n">
        <v>3</v>
      </c>
      <c r="H4506" s="13" t="n">
        <v>2</v>
      </c>
      <c r="I4506" s="34" t="n">
        <v>1</v>
      </c>
      <c r="J4506" s="35" t="n">
        <v>2</v>
      </c>
      <c r="K4506" s="2" t="inlineStr">
        <is>
          <t>marker_505_836019.png</t>
        </is>
      </c>
      <c r="L4506" s="36">
        <f>HYPERLINK("NoConsenso\" &amp; K4506, "Ver Imagen")</f>
        <v/>
      </c>
      <c r="M4506" t="inlineStr">
        <is>
          <t>Mediana</t>
        </is>
      </c>
    </row>
    <row r="4507">
      <c r="A4507" s="33" t="n">
        <v>4510</v>
      </c>
      <c r="B4507" t="inlineStr">
        <is>
          <t>A-492__253</t>
        </is>
      </c>
      <c r="C4507" s="1" t="n">
        <v>37.2847279594</v>
      </c>
      <c r="D4507" s="1" t="n">
        <v>-7.0395154637</v>
      </c>
      <c r="E4507" s="3" t="n">
        <v>2</v>
      </c>
      <c r="F4507" s="2" t="n">
        <v>2</v>
      </c>
      <c r="G4507" s="4" t="n">
        <v>4</v>
      </c>
      <c r="H4507" s="13" t="n">
        <v>2</v>
      </c>
      <c r="I4507" s="34" t="n">
        <v>1</v>
      </c>
      <c r="J4507" s="35" t="n">
        <v>2</v>
      </c>
      <c r="K4507" s="2" t="inlineStr">
        <is>
          <t>marker_444_836139.png</t>
        </is>
      </c>
      <c r="L4507" s="36">
        <f>HYPERLINK("NoConsenso\" &amp; K4507, "Ver Imagen")</f>
        <v/>
      </c>
      <c r="M4507" t="inlineStr">
        <is>
          <t>Mediana</t>
        </is>
      </c>
    </row>
    <row r="4508">
      <c r="A4508" s="33" t="n">
        <v>4511</v>
      </c>
      <c r="B4508" t="inlineStr">
        <is>
          <t>A-492__259</t>
        </is>
      </c>
      <c r="C4508" s="1" t="n">
        <v>37.2853664237</v>
      </c>
      <c r="D4508" s="1" t="n">
        <v>-7.04075361379</v>
      </c>
      <c r="E4508" s="3" t="n">
        <v>1</v>
      </c>
      <c r="F4508" s="2" t="n">
        <v>2</v>
      </c>
      <c r="G4508" s="4" t="n">
        <v>3</v>
      </c>
      <c r="H4508" s="13" t="n">
        <v>3</v>
      </c>
      <c r="I4508" s="34" t="n">
        <v>2</v>
      </c>
      <c r="J4508" s="35" t="n">
        <v>2</v>
      </c>
      <c r="K4508" s="2" t="inlineStr">
        <is>
          <t>marker_504_836573.png</t>
        </is>
      </c>
      <c r="L4508" s="36">
        <f>HYPERLINK("NoConsenso\" &amp; K4508, "Ver Imagen")</f>
        <v/>
      </c>
      <c r="M4508" t="inlineStr">
        <is>
          <t>Mediana</t>
        </is>
      </c>
    </row>
    <row r="4509">
      <c r="A4509" s="33" t="n">
        <v>4512</v>
      </c>
      <c r="B4509" t="inlineStr">
        <is>
          <t>A-492__265</t>
        </is>
      </c>
      <c r="C4509" s="1" t="n">
        <v>37.2863684062</v>
      </c>
      <c r="D4509" s="1" t="n">
        <v>-7.04164891698</v>
      </c>
      <c r="E4509" s="3" t="n">
        <v>1</v>
      </c>
      <c r="F4509" s="2" t="n">
        <v>2</v>
      </c>
      <c r="G4509" s="4" t="n">
        <v>3</v>
      </c>
      <c r="H4509" s="13" t="n">
        <v>2</v>
      </c>
      <c r="I4509" s="34" t="n">
        <v>2</v>
      </c>
      <c r="J4509" s="35" t="n">
        <v>2</v>
      </c>
      <c r="K4509" s="2" t="inlineStr">
        <is>
          <t>marker_776_836690.png</t>
        </is>
      </c>
      <c r="L4509" s="36">
        <f>HYPERLINK("NoConsenso\" &amp; K4509, "Ver Imagen")</f>
        <v/>
      </c>
      <c r="M4509" t="inlineStr">
        <is>
          <t>Mediana</t>
        </is>
      </c>
    </row>
    <row r="4510">
      <c r="A4510" s="33" t="n">
        <v>4513</v>
      </c>
      <c r="B4510" t="inlineStr">
        <is>
          <t>A-492__280</t>
        </is>
      </c>
      <c r="C4510" s="1" t="n">
        <v>37.2889811644</v>
      </c>
      <c r="D4510" s="1" t="n">
        <v>-7.04341930082</v>
      </c>
      <c r="E4510" s="3" t="n">
        <v>1</v>
      </c>
      <c r="F4510" s="2" t="n">
        <v>3</v>
      </c>
      <c r="G4510" s="4" t="n">
        <v>3</v>
      </c>
      <c r="H4510" s="13" t="n">
        <v>2</v>
      </c>
      <c r="I4510" s="34" t="n">
        <v>1</v>
      </c>
      <c r="J4510" s="35" t="n">
        <v>2</v>
      </c>
      <c r="K4510" s="2" t="inlineStr">
        <is>
          <t>marker_269_836914.png</t>
        </is>
      </c>
      <c r="L4510" s="36">
        <f>HYPERLINK("NoConsenso\" &amp; K4510, "Ver Imagen")</f>
        <v/>
      </c>
      <c r="M4510" t="inlineStr">
        <is>
          <t>Mediana</t>
        </is>
      </c>
    </row>
    <row r="4511">
      <c r="A4511" s="33" t="n">
        <v>4514</v>
      </c>
      <c r="B4511" t="inlineStr">
        <is>
          <t>A-492__284</t>
        </is>
      </c>
      <c r="C4511" s="1" t="n">
        <v>37.2894921303</v>
      </c>
      <c r="D4511" s="1" t="n">
        <v>-7.04421616087</v>
      </c>
      <c r="E4511" s="3" t="n">
        <v>1</v>
      </c>
      <c r="F4511" s="2" t="n">
        <v>2</v>
      </c>
      <c r="G4511" s="4" t="n">
        <v>3</v>
      </c>
      <c r="H4511" s="13" t="n">
        <v>2</v>
      </c>
      <c r="I4511" s="34" t="n">
        <v>1</v>
      </c>
      <c r="J4511" s="35" t="n">
        <v>2</v>
      </c>
      <c r="K4511" s="2" t="inlineStr">
        <is>
          <t>marker_294_837348.png</t>
        </is>
      </c>
      <c r="L4511" s="36">
        <f>HYPERLINK("NoConsenso\" &amp; K4511, "Ver Imagen")</f>
        <v/>
      </c>
      <c r="M4511" t="inlineStr">
        <is>
          <t>Mediana</t>
        </is>
      </c>
    </row>
    <row r="4512">
      <c r="A4512" s="33" t="n">
        <v>4515</v>
      </c>
      <c r="B4512" t="inlineStr">
        <is>
          <t>A-492__285</t>
        </is>
      </c>
      <c r="C4512" s="1" t="n">
        <v>37.2896461831</v>
      </c>
      <c r="D4512" s="1" t="n">
        <v>-7.04443131563</v>
      </c>
      <c r="E4512" s="3" t="n">
        <v>1</v>
      </c>
      <c r="F4512" s="2" t="n">
        <v>1</v>
      </c>
      <c r="G4512" s="4" t="n">
        <v>3</v>
      </c>
      <c r="H4512" s="13" t="n">
        <v>2</v>
      </c>
      <c r="I4512" s="34" t="n">
        <v>2</v>
      </c>
      <c r="J4512" s="35" t="n">
        <v>2</v>
      </c>
      <c r="K4512" s="2" t="inlineStr">
        <is>
          <t>marker_437_837359.png</t>
        </is>
      </c>
      <c r="L4512" s="36">
        <f>HYPERLINK("NoConsenso\" &amp; K4512, "Ver Imagen")</f>
        <v/>
      </c>
      <c r="M4512" t="inlineStr">
        <is>
          <t>Mediana</t>
        </is>
      </c>
    </row>
    <row r="4513">
      <c r="A4513" s="33" t="n">
        <v>4516</v>
      </c>
      <c r="B4513" t="inlineStr">
        <is>
          <t>A-492__290</t>
        </is>
      </c>
      <c r="C4513" s="1" t="n">
        <v>37.290426994</v>
      </c>
      <c r="D4513" s="1" t="n">
        <v>-7.04516755541</v>
      </c>
      <c r="E4513" s="3" t="n">
        <v>1</v>
      </c>
      <c r="F4513" s="2" t="n">
        <v>2</v>
      </c>
      <c r="G4513" s="4" t="n">
        <v>3</v>
      </c>
      <c r="H4513" s="13" t="n">
        <v>3</v>
      </c>
      <c r="I4513" s="34" t="n">
        <v>2</v>
      </c>
      <c r="J4513" s="35" t="n">
        <v>2</v>
      </c>
      <c r="K4513" s="2" t="inlineStr">
        <is>
          <t>marker_557_837418.png</t>
        </is>
      </c>
      <c r="L4513" s="36">
        <f>HYPERLINK("NoConsenso\" &amp; K4513, "Ver Imagen")</f>
        <v/>
      </c>
      <c r="M4513" t="inlineStr">
        <is>
          <t>Mediana</t>
        </is>
      </c>
    </row>
    <row r="4514">
      <c r="A4514" s="33" t="n">
        <v>4517</v>
      </c>
      <c r="B4514" t="inlineStr">
        <is>
          <t>A-492__292</t>
        </is>
      </c>
      <c r="C4514" s="1" t="n">
        <v>37.2908096975</v>
      </c>
      <c r="D4514" s="1" t="n">
        <v>-7.04533188808</v>
      </c>
      <c r="E4514" s="3" t="n">
        <v>1</v>
      </c>
      <c r="F4514" s="2" t="n">
        <v>2</v>
      </c>
      <c r="G4514" s="4" t="n">
        <v>3</v>
      </c>
      <c r="H4514" s="13" t="n">
        <v>2</v>
      </c>
      <c r="I4514" s="34" t="n">
        <v>1</v>
      </c>
      <c r="J4514" s="35" t="n">
        <v>2</v>
      </c>
      <c r="K4514" s="2" t="inlineStr">
        <is>
          <t>marker_199_837446.png</t>
        </is>
      </c>
      <c r="L4514" s="36">
        <f>HYPERLINK("NoConsenso\" &amp; K4514, "Ver Imagen")</f>
        <v/>
      </c>
      <c r="M4514" t="inlineStr">
        <is>
          <t>Mediana</t>
        </is>
      </c>
    </row>
    <row r="4515">
      <c r="A4515" s="33" t="n">
        <v>4518</v>
      </c>
      <c r="B4515" t="inlineStr">
        <is>
          <t>A-492__293</t>
        </is>
      </c>
      <c r="C4515" s="1" t="n">
        <v>37.2909991491</v>
      </c>
      <c r="D4515" s="1" t="n">
        <v>-7.04538004247</v>
      </c>
      <c r="E4515" s="3" t="n">
        <v>1</v>
      </c>
      <c r="F4515" s="2" t="n">
        <v>2</v>
      </c>
      <c r="G4515" s="4" t="n">
        <v>3</v>
      </c>
      <c r="H4515" s="13" t="n">
        <v>2</v>
      </c>
      <c r="I4515" s="34" t="n">
        <v>1</v>
      </c>
      <c r="J4515" s="35" t="n">
        <v>2</v>
      </c>
      <c r="K4515" s="2" t="inlineStr">
        <is>
          <t>marker_862_837458.png</t>
        </is>
      </c>
      <c r="L4515" s="36">
        <f>HYPERLINK("NoConsenso\" &amp; K4515, "Ver Imagen")</f>
        <v/>
      </c>
      <c r="M4515" t="inlineStr">
        <is>
          <t>Mediana</t>
        </is>
      </c>
    </row>
    <row r="4516">
      <c r="A4516" s="33" t="n">
        <v>4519</v>
      </c>
      <c r="B4516" t="inlineStr">
        <is>
          <t>A-492__295</t>
        </is>
      </c>
      <c r="C4516" s="1" t="n">
        <v>37.291393483</v>
      </c>
      <c r="D4516" s="1" t="n">
        <v>-7.04544511471</v>
      </c>
      <c r="E4516" s="3" t="n">
        <v>1</v>
      </c>
      <c r="F4516" s="2" t="n">
        <v>2</v>
      </c>
      <c r="G4516" s="4" t="n">
        <v>3</v>
      </c>
      <c r="H4516" s="13" t="n">
        <v>3</v>
      </c>
      <c r="I4516" s="34" t="n">
        <v>2</v>
      </c>
      <c r="J4516" s="37" t="n">
        <v>3</v>
      </c>
      <c r="K4516" s="2" t="inlineStr">
        <is>
          <t>marker_692_837482.png</t>
        </is>
      </c>
      <c r="L4516" s="36">
        <f>HYPERLINK("NoConsenso\" &amp; K4516, "Ver Imagen")</f>
        <v/>
      </c>
      <c r="M4516" s="37" t="inlineStr">
        <is>
          <t>Modificada</t>
        </is>
      </c>
    </row>
    <row r="4517">
      <c r="A4517" s="33" t="n">
        <v>4520</v>
      </c>
      <c r="B4517" t="inlineStr">
        <is>
          <t>A-492__296</t>
        </is>
      </c>
      <c r="C4517" s="1" t="n">
        <v>37.2915831622</v>
      </c>
      <c r="D4517" s="1" t="n">
        <v>-7.0454714113</v>
      </c>
      <c r="E4517" s="3" t="n">
        <v>1</v>
      </c>
      <c r="F4517" s="2" t="n">
        <v>3</v>
      </c>
      <c r="G4517" s="4" t="n">
        <v>2</v>
      </c>
      <c r="H4517" s="13" t="n">
        <v>2</v>
      </c>
      <c r="I4517" s="34" t="n">
        <v>1</v>
      </c>
      <c r="J4517" s="35" t="n">
        <v>2</v>
      </c>
      <c r="K4517" s="2" t="inlineStr">
        <is>
          <t>marker_918_837492.png</t>
        </is>
      </c>
      <c r="L4517" s="36">
        <f>HYPERLINK("NoConsenso\" &amp; K4517, "Ver Imagen")</f>
        <v/>
      </c>
      <c r="M4517" t="inlineStr">
        <is>
          <t>Mediana</t>
        </is>
      </c>
    </row>
    <row r="4518">
      <c r="A4518" s="33" t="n">
        <v>4521</v>
      </c>
      <c r="B4518" t="inlineStr">
        <is>
          <t>A-492__297</t>
        </is>
      </c>
      <c r="C4518" s="1" t="n">
        <v>37.2917957688</v>
      </c>
      <c r="D4518" s="1" t="n">
        <v>-7.0455052102</v>
      </c>
      <c r="E4518" s="3" t="n">
        <v>1</v>
      </c>
      <c r="F4518" s="2" t="n">
        <v>3</v>
      </c>
      <c r="G4518" s="4" t="n">
        <v>3</v>
      </c>
      <c r="H4518" s="13" t="n">
        <v>2</v>
      </c>
      <c r="I4518" s="34" t="n">
        <v>2</v>
      </c>
      <c r="J4518" s="35" t="n">
        <v>2</v>
      </c>
      <c r="K4518" s="2" t="inlineStr">
        <is>
          <t>marker_874_837517.png</t>
        </is>
      </c>
      <c r="L4518" s="36">
        <f>HYPERLINK("NoConsenso\" &amp; K4518, "Ver Imagen")</f>
        <v/>
      </c>
      <c r="M4518" t="inlineStr">
        <is>
          <t>Mediana</t>
        </is>
      </c>
    </row>
    <row r="4519">
      <c r="A4519" s="33" t="n">
        <v>4522</v>
      </c>
      <c r="B4519" t="inlineStr">
        <is>
          <t>A-492__298</t>
        </is>
      </c>
      <c r="C4519" s="1" t="n">
        <v>37.2920205712</v>
      </c>
      <c r="D4519" s="1" t="n">
        <v>-7.04555054337</v>
      </c>
      <c r="E4519" s="3" t="n">
        <v>1</v>
      </c>
      <c r="F4519" s="2" t="n">
        <v>2</v>
      </c>
      <c r="G4519" s="4" t="n">
        <v>3</v>
      </c>
      <c r="H4519" s="13" t="n">
        <v>2</v>
      </c>
      <c r="I4519" s="34" t="n">
        <v>1</v>
      </c>
      <c r="J4519" s="35" t="n">
        <v>2</v>
      </c>
      <c r="K4519" s="2" t="inlineStr">
        <is>
          <t>marker_131_837526.png</t>
        </is>
      </c>
      <c r="L4519" s="36">
        <f>HYPERLINK("NoConsenso\" &amp; K4519, "Ver Imagen")</f>
        <v/>
      </c>
      <c r="M4519" t="inlineStr">
        <is>
          <t>Mediana</t>
        </is>
      </c>
    </row>
    <row r="4520">
      <c r="A4520" s="33" t="n">
        <v>4523</v>
      </c>
      <c r="B4520" t="inlineStr">
        <is>
          <t>A-492__299</t>
        </is>
      </c>
      <c r="C4520" s="1" t="n">
        <v>37.2922293887</v>
      </c>
      <c r="D4520" s="1" t="n">
        <v>-7.04560656931</v>
      </c>
      <c r="E4520" s="3" t="n">
        <v>1</v>
      </c>
      <c r="F4520" s="2" t="n">
        <v>2</v>
      </c>
      <c r="G4520" s="4" t="n">
        <v>3</v>
      </c>
      <c r="H4520" s="13" t="n">
        <v>2</v>
      </c>
      <c r="I4520" s="34" t="n">
        <v>1</v>
      </c>
      <c r="J4520" s="35" t="n">
        <v>2</v>
      </c>
      <c r="K4520" s="2" t="inlineStr">
        <is>
          <t>marker_755_837542.png</t>
        </is>
      </c>
      <c r="L4520" s="36">
        <f>HYPERLINK("NoConsenso\" &amp; K4520, "Ver Imagen")</f>
        <v/>
      </c>
      <c r="M4520" t="inlineStr">
        <is>
          <t>Mediana</t>
        </is>
      </c>
    </row>
    <row r="4521">
      <c r="A4521" s="33" t="n">
        <v>4524</v>
      </c>
      <c r="B4521" t="inlineStr">
        <is>
          <t>A-492__300</t>
        </is>
      </c>
      <c r="C4521" s="1" t="n">
        <v>37.2924142318</v>
      </c>
      <c r="D4521" s="1" t="n">
        <v>-7.04567380672</v>
      </c>
      <c r="E4521" s="3" t="n">
        <v>2</v>
      </c>
      <c r="F4521" s="2" t="n">
        <v>2</v>
      </c>
      <c r="G4521" s="4" t="n">
        <v>4</v>
      </c>
      <c r="H4521" s="13" t="n">
        <v>2</v>
      </c>
      <c r="I4521" s="34" t="n">
        <v>2</v>
      </c>
      <c r="J4521" s="35" t="n">
        <v>2</v>
      </c>
      <c r="K4521" s="2" t="inlineStr">
        <is>
          <t>marker_223_837551.png</t>
        </is>
      </c>
      <c r="L4521" s="36">
        <f>HYPERLINK("NoConsenso\" &amp; K4521, "Ver Imagen")</f>
        <v/>
      </c>
      <c r="M4521" t="inlineStr">
        <is>
          <t>Mediana</t>
        </is>
      </c>
    </row>
    <row r="4522">
      <c r="A4522" s="33" t="n">
        <v>4525</v>
      </c>
      <c r="B4522" t="inlineStr">
        <is>
          <t>A-492__302</t>
        </is>
      </c>
      <c r="C4522" s="1" t="n">
        <v>37.2927437815</v>
      </c>
      <c r="D4522" s="1" t="n">
        <v>-7.04584862788</v>
      </c>
      <c r="E4522" s="3" t="n">
        <v>1</v>
      </c>
      <c r="F4522" s="2" t="n">
        <v>2</v>
      </c>
      <c r="G4522" s="4" t="n">
        <v>3</v>
      </c>
      <c r="H4522" s="13" t="n">
        <v>2</v>
      </c>
      <c r="I4522" s="34" t="n">
        <v>1</v>
      </c>
      <c r="J4522" s="35" t="n">
        <v>2</v>
      </c>
      <c r="K4522" s="2" t="inlineStr">
        <is>
          <t>marker_611_837578.png</t>
        </is>
      </c>
      <c r="L4522" s="36">
        <f>HYPERLINK("NoConsenso\" &amp; K4522, "Ver Imagen")</f>
        <v/>
      </c>
      <c r="M4522" t="inlineStr">
        <is>
          <t>Mediana</t>
        </is>
      </c>
    </row>
    <row r="4523">
      <c r="A4523" s="33" t="n">
        <v>4526</v>
      </c>
      <c r="B4523" t="inlineStr">
        <is>
          <t>A-492__303</t>
        </is>
      </c>
      <c r="C4523" s="1" t="n">
        <v>37.2929384449</v>
      </c>
      <c r="D4523" s="1" t="n">
        <v>-7.04599182194</v>
      </c>
      <c r="E4523" s="3" t="n">
        <v>1</v>
      </c>
      <c r="F4523" s="2" t="n">
        <v>3</v>
      </c>
      <c r="G4523" s="4" t="n">
        <v>3</v>
      </c>
      <c r="H4523" s="13" t="n">
        <v>2</v>
      </c>
      <c r="I4523" s="34" t="n">
        <v>1</v>
      </c>
      <c r="J4523" s="35" t="n">
        <v>2</v>
      </c>
      <c r="K4523" s="2" t="inlineStr">
        <is>
          <t>marker_825_837589.png</t>
        </is>
      </c>
      <c r="L4523" s="36">
        <f>HYPERLINK("NoConsenso\" &amp; K4523, "Ver Imagen")</f>
        <v/>
      </c>
      <c r="M4523" t="inlineStr">
        <is>
          <t>Mediana</t>
        </is>
      </c>
    </row>
    <row r="4524">
      <c r="A4524" s="33" t="n">
        <v>4527</v>
      </c>
      <c r="B4524" t="inlineStr">
        <is>
          <t>A-492__318</t>
        </is>
      </c>
      <c r="C4524" s="1" t="n">
        <v>37.2950772699</v>
      </c>
      <c r="D4524" s="1" t="n">
        <v>-7.04872048584</v>
      </c>
      <c r="E4524" s="3" t="n">
        <v>2</v>
      </c>
      <c r="F4524" s="2" t="n">
        <v>3</v>
      </c>
      <c r="G4524" s="4" t="n">
        <v>4</v>
      </c>
      <c r="H4524" s="13" t="n">
        <v>3</v>
      </c>
      <c r="I4524" s="34" t="n">
        <v>3</v>
      </c>
      <c r="J4524" s="35" t="n">
        <v>3</v>
      </c>
      <c r="K4524" s="2" t="inlineStr">
        <is>
          <t>marker_757_837928.png</t>
        </is>
      </c>
      <c r="L4524" s="36">
        <f>HYPERLINK("NoConsenso\" &amp; K4524, "Ver Imagen")</f>
        <v/>
      </c>
      <c r="M4524" t="inlineStr">
        <is>
          <t>Mediana</t>
        </is>
      </c>
    </row>
    <row r="4525">
      <c r="A4525" s="33" t="n">
        <v>4528</v>
      </c>
      <c r="B4525" t="inlineStr">
        <is>
          <t>A-492__319</t>
        </is>
      </c>
      <c r="C4525" s="1" t="n">
        <v>37.2952043232</v>
      </c>
      <c r="D4525" s="1" t="n">
        <v>-7.04887666985</v>
      </c>
      <c r="E4525" s="3" t="n">
        <v>2</v>
      </c>
      <c r="F4525" s="2" t="n">
        <v>2</v>
      </c>
      <c r="G4525" s="4" t="n">
        <v>4</v>
      </c>
      <c r="H4525" s="13" t="n">
        <v>3</v>
      </c>
      <c r="I4525" s="34" t="n">
        <v>2</v>
      </c>
      <c r="J4525" s="35" t="n">
        <v>2</v>
      </c>
      <c r="K4525" s="2" t="inlineStr">
        <is>
          <t>marker_370_837937.png</t>
        </is>
      </c>
      <c r="L4525" s="36">
        <f>HYPERLINK("NoConsenso\" &amp; K4525, "Ver Imagen")</f>
        <v/>
      </c>
      <c r="M4525" t="inlineStr">
        <is>
          <t>Mediana</t>
        </is>
      </c>
    </row>
    <row r="4526">
      <c r="A4526" s="33" t="n">
        <v>4529</v>
      </c>
      <c r="B4526" t="inlineStr">
        <is>
          <t>A-492__328</t>
        </is>
      </c>
      <c r="C4526" s="1" t="n">
        <v>37.2965488221</v>
      </c>
      <c r="D4526" s="1" t="n">
        <v>-7.05045731807</v>
      </c>
      <c r="E4526" s="3" t="n">
        <v>1</v>
      </c>
      <c r="F4526" s="2" t="n">
        <v>2</v>
      </c>
      <c r="G4526" s="4" t="n">
        <v>3</v>
      </c>
      <c r="H4526" s="13" t="n">
        <v>2</v>
      </c>
      <c r="I4526" s="34" t="n">
        <v>2</v>
      </c>
      <c r="J4526" s="35" t="n">
        <v>2</v>
      </c>
      <c r="K4526" s="2" t="inlineStr">
        <is>
          <t>marker_253_838056.png</t>
        </is>
      </c>
      <c r="L4526" s="36">
        <f>HYPERLINK("NoConsenso\" &amp; K4526, "Ver Imagen")</f>
        <v/>
      </c>
      <c r="M4526" t="inlineStr">
        <is>
          <t>Mediana</t>
        </is>
      </c>
    </row>
    <row r="4527">
      <c r="A4527" s="33" t="n">
        <v>4530</v>
      </c>
      <c r="B4527" t="inlineStr">
        <is>
          <t>A-492__335</t>
        </is>
      </c>
      <c r="C4527" s="1" t="n">
        <v>37.2972310384</v>
      </c>
      <c r="D4527" s="1" t="n">
        <v>-7.05197720613</v>
      </c>
      <c r="E4527" s="3" t="n">
        <v>1</v>
      </c>
      <c r="F4527" s="2" t="n">
        <v>3</v>
      </c>
      <c r="G4527" s="4" t="n">
        <v>3</v>
      </c>
      <c r="H4527" s="13" t="n">
        <v>2</v>
      </c>
      <c r="I4527" s="34" t="n">
        <v>1</v>
      </c>
      <c r="J4527" s="35" t="n">
        <v>2</v>
      </c>
      <c r="K4527" s="2" t="inlineStr">
        <is>
          <t>marker_910_838148.png</t>
        </is>
      </c>
      <c r="L4527" s="36">
        <f>HYPERLINK("NoConsenso\" &amp; K4527, "Ver Imagen")</f>
        <v/>
      </c>
      <c r="M4527" t="inlineStr">
        <is>
          <t>Mediana</t>
        </is>
      </c>
    </row>
    <row r="4528">
      <c r="A4528" s="33" t="n">
        <v>4531</v>
      </c>
      <c r="B4528" t="inlineStr">
        <is>
          <t>A-492__338</t>
        </is>
      </c>
      <c r="C4528" s="1" t="n">
        <v>37.29748493</v>
      </c>
      <c r="D4528" s="1" t="n">
        <v>-7.05271621717</v>
      </c>
      <c r="E4528" s="3" t="n">
        <v>1</v>
      </c>
      <c r="F4528" s="2" t="n">
        <v>1</v>
      </c>
      <c r="G4528" s="4" t="n">
        <v>3</v>
      </c>
      <c r="H4528" s="13" t="n">
        <v>2</v>
      </c>
      <c r="I4528" s="34" t="n">
        <v>1</v>
      </c>
      <c r="J4528" s="35" t="n">
        <v>1</v>
      </c>
      <c r="K4528" s="2" t="inlineStr">
        <is>
          <t>marker_640_838181.png</t>
        </is>
      </c>
      <c r="L4528" s="36">
        <f>HYPERLINK("NoConsenso\" &amp; K4528, "Ver Imagen")</f>
        <v/>
      </c>
      <c r="M4528" t="inlineStr">
        <is>
          <t>Mediana</t>
        </is>
      </c>
    </row>
    <row r="4529">
      <c r="A4529" s="33" t="n">
        <v>4532</v>
      </c>
      <c r="B4529" t="inlineStr">
        <is>
          <t>A-492__343</t>
        </is>
      </c>
      <c r="C4529" s="1" t="n">
        <v>37.2981098392</v>
      </c>
      <c r="D4529" s="1" t="n">
        <v>-7.05366969797</v>
      </c>
      <c r="E4529" s="3" t="n">
        <v>1</v>
      </c>
      <c r="F4529" s="2" t="n">
        <v>3</v>
      </c>
      <c r="G4529" s="4" t="n">
        <v>3</v>
      </c>
      <c r="H4529" s="13" t="n">
        <v>2</v>
      </c>
      <c r="I4529" s="34" t="n">
        <v>1</v>
      </c>
      <c r="J4529" s="35" t="n">
        <v>2</v>
      </c>
      <c r="K4529" s="2" t="inlineStr">
        <is>
          <t>marker_872_838257.png</t>
        </is>
      </c>
      <c r="L4529" s="36">
        <f>HYPERLINK("NoConsenso\" &amp; K4529, "Ver Imagen")</f>
        <v/>
      </c>
      <c r="M4529" t="inlineStr">
        <is>
          <t>Mediana</t>
        </is>
      </c>
    </row>
    <row r="4530">
      <c r="A4530" s="33" t="n">
        <v>4533</v>
      </c>
      <c r="B4530" t="inlineStr">
        <is>
          <t>A-492__344</t>
        </is>
      </c>
      <c r="C4530" s="1" t="n">
        <v>37.2982879412</v>
      </c>
      <c r="D4530" s="1" t="n">
        <v>-7.05382536757</v>
      </c>
      <c r="E4530" s="3" t="n">
        <v>1</v>
      </c>
      <c r="F4530" s="2" t="n">
        <v>2</v>
      </c>
      <c r="G4530" s="4" t="n">
        <v>3</v>
      </c>
      <c r="H4530" s="13" t="n">
        <v>2</v>
      </c>
      <c r="I4530" s="34" t="n">
        <v>1</v>
      </c>
      <c r="J4530" s="35" t="n">
        <v>2</v>
      </c>
      <c r="K4530" s="2" t="inlineStr">
        <is>
          <t>marker_688_838267.png</t>
        </is>
      </c>
      <c r="L4530" s="36">
        <f>HYPERLINK("NoConsenso\" &amp; K4530, "Ver Imagen")</f>
        <v/>
      </c>
      <c r="M4530" t="inlineStr">
        <is>
          <t>Mediana</t>
        </is>
      </c>
    </row>
    <row r="4531">
      <c r="A4531" s="33" t="n">
        <v>4534</v>
      </c>
      <c r="B4531" t="inlineStr">
        <is>
          <t>A-492__346</t>
        </is>
      </c>
      <c r="C4531" s="1" t="n">
        <v>37.2986297556</v>
      </c>
      <c r="D4531" s="1" t="n">
        <v>-7.05406729509</v>
      </c>
      <c r="E4531" s="3" t="n">
        <v>1</v>
      </c>
      <c r="F4531" s="2" t="n">
        <v>2</v>
      </c>
      <c r="G4531" s="4" t="n">
        <v>3</v>
      </c>
      <c r="H4531" s="13" t="n">
        <v>2</v>
      </c>
      <c r="I4531" s="34" t="n">
        <v>1</v>
      </c>
      <c r="J4531" s="35" t="n">
        <v>2</v>
      </c>
      <c r="K4531" s="2" t="inlineStr">
        <is>
          <t>marker_745_838313.png</t>
        </is>
      </c>
      <c r="L4531" s="36">
        <f>HYPERLINK("NoConsenso\" &amp; K4531, "Ver Imagen")</f>
        <v/>
      </c>
      <c r="M4531" t="inlineStr">
        <is>
          <t>Mediana</t>
        </is>
      </c>
    </row>
    <row r="4532">
      <c r="A4532" s="33" t="n">
        <v>4535</v>
      </c>
      <c r="B4532" t="inlineStr">
        <is>
          <t>A-492__349</t>
        </is>
      </c>
      <c r="C4532" s="1" t="n">
        <v>37.2991536036</v>
      </c>
      <c r="D4532" s="1" t="n">
        <v>-7.05439289032</v>
      </c>
      <c r="E4532" s="3" t="n">
        <v>1</v>
      </c>
      <c r="F4532" s="2" t="n">
        <v>2</v>
      </c>
      <c r="G4532" s="4" t="n">
        <v>3</v>
      </c>
      <c r="H4532" s="13" t="n">
        <v>2</v>
      </c>
      <c r="I4532" s="34" t="n">
        <v>1</v>
      </c>
      <c r="J4532" s="35" t="n">
        <v>2</v>
      </c>
      <c r="K4532" s="2" t="inlineStr">
        <is>
          <t>marker_571_838351.png</t>
        </is>
      </c>
      <c r="L4532" s="36">
        <f>HYPERLINK("NoConsenso\" &amp; K4532, "Ver Imagen")</f>
        <v/>
      </c>
      <c r="M4532" t="inlineStr">
        <is>
          <t>Mediana</t>
        </is>
      </c>
    </row>
    <row r="4533">
      <c r="A4533" s="33" t="n">
        <v>4536</v>
      </c>
      <c r="B4533" t="inlineStr">
        <is>
          <t>A-492__390</t>
        </is>
      </c>
      <c r="C4533" s="1" t="n">
        <v>37.3069231762</v>
      </c>
      <c r="D4533" s="1" t="n">
        <v>-7.05686693179</v>
      </c>
      <c r="E4533" s="3" t="n">
        <v>1</v>
      </c>
      <c r="F4533" s="2" t="n">
        <v>2</v>
      </c>
      <c r="G4533" s="4" t="n">
        <v>3</v>
      </c>
      <c r="H4533" s="13" t="n">
        <v>1</v>
      </c>
      <c r="I4533" s="34" t="n">
        <v>1</v>
      </c>
      <c r="J4533" s="35" t="n">
        <v>1</v>
      </c>
      <c r="K4533" s="2" t="inlineStr">
        <is>
          <t>marker_782_839028.png</t>
        </is>
      </c>
      <c r="L4533" s="36">
        <f>HYPERLINK("NoConsenso\" &amp; K4533, "Ver Imagen")</f>
        <v/>
      </c>
      <c r="M4533" t="inlineStr">
        <is>
          <t>Mediana</t>
        </is>
      </c>
    </row>
    <row r="4534">
      <c r="A4534" s="33" t="n">
        <v>4537</v>
      </c>
      <c r="B4534" t="inlineStr">
        <is>
          <t>A-492__409</t>
        </is>
      </c>
      <c r="C4534" s="1" t="n">
        <v>37.3104460974</v>
      </c>
      <c r="D4534" s="1" t="n">
        <v>-7.05861310468</v>
      </c>
      <c r="E4534" s="3" t="n">
        <v>1</v>
      </c>
      <c r="F4534" s="2" t="n">
        <v>2</v>
      </c>
      <c r="G4534" s="4" t="n">
        <v>3</v>
      </c>
      <c r="H4534" s="13" t="n">
        <v>1</v>
      </c>
      <c r="I4534" s="34" t="n">
        <v>1</v>
      </c>
      <c r="J4534" s="35" t="n">
        <v>1</v>
      </c>
      <c r="K4534" s="2" t="inlineStr">
        <is>
          <t>marker_316_839280.png</t>
        </is>
      </c>
      <c r="L4534" s="36">
        <f>HYPERLINK("NoConsenso\" &amp; K4534, "Ver Imagen")</f>
        <v/>
      </c>
      <c r="M4534" t="inlineStr">
        <is>
          <t>Mediana</t>
        </is>
      </c>
    </row>
    <row r="4535">
      <c r="A4535" s="33" t="n">
        <v>4538</v>
      </c>
      <c r="B4535" t="inlineStr">
        <is>
          <t>A-492__413</t>
        </is>
      </c>
      <c r="C4535" s="1" t="n">
        <v>37.3111229731</v>
      </c>
      <c r="D4535" s="1" t="n">
        <v>-7.05919033483</v>
      </c>
      <c r="E4535" s="3" t="n">
        <v>1</v>
      </c>
      <c r="F4535" s="2" t="n">
        <v>2</v>
      </c>
      <c r="G4535" s="4" t="n">
        <v>3</v>
      </c>
      <c r="H4535" s="13" t="n">
        <v>1</v>
      </c>
      <c r="I4535" s="34" t="n">
        <v>2</v>
      </c>
      <c r="J4535" s="37" t="n">
        <v>1</v>
      </c>
      <c r="K4535" s="2" t="inlineStr">
        <is>
          <t>marker_427_839322.png</t>
        </is>
      </c>
      <c r="L4535" s="36">
        <f>HYPERLINK("NoConsenso\" &amp; K4535, "Ver Imagen")</f>
        <v/>
      </c>
      <c r="M4535" s="37" t="inlineStr">
        <is>
          <t>Modificada</t>
        </is>
      </c>
    </row>
    <row r="4536">
      <c r="A4536" s="33" t="n">
        <v>4539</v>
      </c>
      <c r="B4536" t="inlineStr">
        <is>
          <t>A-492__422</t>
        </is>
      </c>
      <c r="C4536" s="1" t="n">
        <v>37.3124163453</v>
      </c>
      <c r="D4536" s="1" t="n">
        <v>-7.0608249296</v>
      </c>
      <c r="E4536" s="3" t="n">
        <v>1</v>
      </c>
      <c r="F4536" s="2" t="n">
        <v>2</v>
      </c>
      <c r="G4536" s="4" t="n">
        <v>3</v>
      </c>
      <c r="H4536" s="13" t="n">
        <v>1</v>
      </c>
      <c r="I4536" s="34" t="n">
        <v>1</v>
      </c>
      <c r="J4536" s="35" t="n">
        <v>1</v>
      </c>
      <c r="K4536" s="2" t="inlineStr">
        <is>
          <t>marker_947_839437.png</t>
        </is>
      </c>
      <c r="L4536" s="36">
        <f>HYPERLINK("NoConsenso\" &amp; K4536, "Ver Imagen")</f>
        <v/>
      </c>
      <c r="M4536" t="inlineStr">
        <is>
          <t>Mediana</t>
        </is>
      </c>
    </row>
    <row r="4537">
      <c r="A4537" s="33" t="n">
        <v>4540</v>
      </c>
      <c r="B4537" t="inlineStr">
        <is>
          <t>A-492__432</t>
        </is>
      </c>
      <c r="C4537" s="1" t="n">
        <v>37.3136047268</v>
      </c>
      <c r="D4537" s="1" t="n">
        <v>-7.0628514659</v>
      </c>
      <c r="E4537" s="3" t="n">
        <v>2</v>
      </c>
      <c r="F4537" s="2" t="n">
        <v>4</v>
      </c>
      <c r="G4537" s="4" t="n">
        <v>3</v>
      </c>
      <c r="H4537" s="13" t="n">
        <v>3</v>
      </c>
      <c r="I4537" s="34" t="n">
        <v>2</v>
      </c>
      <c r="J4537" s="35" t="n">
        <v>3</v>
      </c>
      <c r="K4537" s="2" t="inlineStr">
        <is>
          <t>marker_803_839550.png</t>
        </is>
      </c>
      <c r="L4537" s="36">
        <f>HYPERLINK("NoConsenso\" &amp; K4537, "Ver Imagen")</f>
        <v/>
      </c>
      <c r="M4537" t="inlineStr">
        <is>
          <t>Mediana</t>
        </is>
      </c>
    </row>
    <row r="4538">
      <c r="A4538" s="33" t="n">
        <v>4541</v>
      </c>
      <c r="B4538" t="inlineStr">
        <is>
          <t>A-492__433</t>
        </is>
      </c>
      <c r="C4538" s="1" t="n">
        <v>37.3137174864</v>
      </c>
      <c r="D4538" s="1" t="n">
        <v>-7.06306327845</v>
      </c>
      <c r="E4538" s="3" t="n">
        <v>2</v>
      </c>
      <c r="F4538" s="2" t="n">
        <v>2</v>
      </c>
      <c r="G4538" s="4" t="n">
        <v>4</v>
      </c>
      <c r="H4538" s="13" t="n">
        <v>2</v>
      </c>
      <c r="I4538" s="34" t="n">
        <v>1</v>
      </c>
      <c r="J4538" s="35" t="n">
        <v>2</v>
      </c>
      <c r="K4538" s="2" t="inlineStr">
        <is>
          <t>marker_549_839564.png</t>
        </is>
      </c>
      <c r="L4538" s="36">
        <f>HYPERLINK("NoConsenso\" &amp; K4538, "Ver Imagen")</f>
        <v/>
      </c>
      <c r="M4538" t="inlineStr">
        <is>
          <t>Mediana</t>
        </is>
      </c>
    </row>
    <row r="4539">
      <c r="A4539" s="33" t="n">
        <v>4542</v>
      </c>
      <c r="B4539" t="inlineStr">
        <is>
          <t>A-492__454</t>
        </is>
      </c>
      <c r="C4539" s="1" t="n">
        <v>37.3155852415</v>
      </c>
      <c r="D4539" s="1" t="n">
        <v>-7.06776416375</v>
      </c>
      <c r="E4539" s="3" t="n">
        <v>2</v>
      </c>
      <c r="F4539" s="2" t="n">
        <v>4</v>
      </c>
      <c r="G4539" s="4" t="n">
        <v>4</v>
      </c>
      <c r="H4539" s="13" t="n">
        <v>3</v>
      </c>
      <c r="I4539" s="34" t="n">
        <v>3</v>
      </c>
      <c r="J4539" s="35" t="n">
        <v>3</v>
      </c>
      <c r="K4539" s="2" t="inlineStr">
        <is>
          <t>marker_972_839857.png</t>
        </is>
      </c>
      <c r="L4539" s="36">
        <f>HYPERLINK("NoConsenso\" &amp; K4539, "Ver Imagen")</f>
        <v/>
      </c>
      <c r="M4539" t="inlineStr">
        <is>
          <t>Mediana</t>
        </is>
      </c>
    </row>
    <row r="4540">
      <c r="A4540" s="33" t="n">
        <v>4543</v>
      </c>
      <c r="B4540" t="inlineStr">
        <is>
          <t>A-492__457</t>
        </is>
      </c>
      <c r="C4540" s="1" t="n">
        <v>37.3158016052</v>
      </c>
      <c r="D4540" s="1" t="n">
        <v>-7.0684868284</v>
      </c>
      <c r="E4540" s="3" t="n">
        <v>2</v>
      </c>
      <c r="F4540" s="2" t="n">
        <v>3</v>
      </c>
      <c r="G4540" s="4" t="n">
        <v>4</v>
      </c>
      <c r="H4540" s="13" t="n">
        <v>3</v>
      </c>
      <c r="I4540" s="34" t="n">
        <v>3</v>
      </c>
      <c r="J4540" s="35" t="n">
        <v>3</v>
      </c>
      <c r="K4540" s="2" t="inlineStr">
        <is>
          <t>marker_227_839896.png</t>
        </is>
      </c>
      <c r="L4540" s="36">
        <f>HYPERLINK("NoConsenso\" &amp; K4540, "Ver Imagen")</f>
        <v/>
      </c>
      <c r="M4540" t="inlineStr">
        <is>
          <t>Mediana</t>
        </is>
      </c>
    </row>
    <row r="4541">
      <c r="A4541" s="33" t="n">
        <v>4544</v>
      </c>
      <c r="B4541" t="inlineStr">
        <is>
          <t>A-492__466</t>
        </is>
      </c>
      <c r="C4541" s="1" t="n">
        <v>37.3167544733</v>
      </c>
      <c r="D4541" s="1" t="n">
        <v>-7.07039477272</v>
      </c>
      <c r="E4541" s="3" t="n">
        <v>3</v>
      </c>
      <c r="F4541" s="2" t="n">
        <v>2</v>
      </c>
      <c r="G4541" s="4" t="n">
        <v>4</v>
      </c>
      <c r="H4541" s="13" t="n">
        <v>2</v>
      </c>
      <c r="I4541" s="34" t="n">
        <v>2</v>
      </c>
      <c r="J4541" s="35" t="n">
        <v>2</v>
      </c>
      <c r="K4541" s="2" t="inlineStr">
        <is>
          <t>marker_736_839992.png</t>
        </is>
      </c>
      <c r="L4541" s="36">
        <f>HYPERLINK("NoConsenso\" &amp; K4541, "Ver Imagen")</f>
        <v/>
      </c>
      <c r="M4541" t="inlineStr">
        <is>
          <t>Mediana</t>
        </is>
      </c>
    </row>
    <row r="4542">
      <c r="A4542" s="33" t="n">
        <v>4545</v>
      </c>
      <c r="B4542" t="inlineStr">
        <is>
          <t>A-492__469</t>
        </is>
      </c>
      <c r="C4542" s="1" t="n">
        <v>37.3172244102</v>
      </c>
      <c r="D4542" s="1" t="n">
        <v>-7.07087016844</v>
      </c>
      <c r="E4542" s="3" t="n">
        <v>3</v>
      </c>
      <c r="F4542" s="2" t="n">
        <v>2</v>
      </c>
      <c r="G4542" s="4" t="n">
        <v>4</v>
      </c>
      <c r="H4542" s="13" t="n">
        <v>2</v>
      </c>
      <c r="I4542" s="34" t="n">
        <v>3</v>
      </c>
      <c r="J4542" s="35" t="n">
        <v>3</v>
      </c>
      <c r="K4542" s="2" t="inlineStr">
        <is>
          <t>marker_772_840035.png</t>
        </is>
      </c>
      <c r="L4542" s="36">
        <f>HYPERLINK("NoConsenso\" &amp; K4542, "Ver Imagen")</f>
        <v/>
      </c>
      <c r="M4542" t="inlineStr">
        <is>
          <t>Mediana</t>
        </is>
      </c>
    </row>
    <row r="4543">
      <c r="A4543" s="33" t="n">
        <v>4546</v>
      </c>
      <c r="B4543" t="inlineStr">
        <is>
          <t>A-492__473</t>
        </is>
      </c>
      <c r="C4543" s="1" t="n">
        <v>37.3179807243</v>
      </c>
      <c r="D4543" s="1" t="n">
        <v>-7.07123689379</v>
      </c>
      <c r="E4543" s="3" t="n">
        <v>2</v>
      </c>
      <c r="F4543" s="2" t="n">
        <v>3</v>
      </c>
      <c r="G4543" s="4" t="n">
        <v>4</v>
      </c>
      <c r="H4543" s="13" t="n">
        <v>3</v>
      </c>
      <c r="I4543" s="34" t="n">
        <v>2</v>
      </c>
      <c r="J4543" s="35" t="n">
        <v>3</v>
      </c>
      <c r="K4543" s="2" t="inlineStr">
        <is>
          <t>marker_907_840079.png</t>
        </is>
      </c>
      <c r="L4543" s="36">
        <f>HYPERLINK("NoConsenso\" &amp; K4543, "Ver Imagen")</f>
        <v/>
      </c>
      <c r="M4543" t="inlineStr">
        <is>
          <t>Mediana</t>
        </is>
      </c>
    </row>
    <row r="4544">
      <c r="A4544" s="33" t="n">
        <v>4547</v>
      </c>
      <c r="B4544" t="inlineStr">
        <is>
          <t>A-495R__68</t>
        </is>
      </c>
      <c r="C4544" s="1" t="n">
        <v>37.4577202957</v>
      </c>
      <c r="D4544" s="1" t="n">
        <v>-7.11417340093</v>
      </c>
      <c r="E4544" s="3" t="n">
        <v>3</v>
      </c>
      <c r="F4544" s="2" t="n">
        <v>4</v>
      </c>
      <c r="G4544" s="4" t="n">
        <v>5</v>
      </c>
      <c r="H4544" s="13" t="n">
        <v>5</v>
      </c>
      <c r="I4544" s="34" t="n">
        <v>4</v>
      </c>
      <c r="J4544" s="35" t="n">
        <v>4</v>
      </c>
      <c r="K4544" s="2" t="inlineStr">
        <is>
          <t>marker_574_935258.png</t>
        </is>
      </c>
      <c r="L4544" s="36">
        <f>HYPERLINK("NoConsenso\" &amp; K4544, "Ver Imagen")</f>
        <v/>
      </c>
      <c r="M4544" t="inlineStr">
        <is>
          <t>Mediana</t>
        </is>
      </c>
    </row>
    <row r="4545">
      <c r="A4545" s="33" t="n">
        <v>4548</v>
      </c>
      <c r="B4545" t="inlineStr">
        <is>
          <t>A-495R__66</t>
        </is>
      </c>
      <c r="C4545" s="1" t="n">
        <v>37.4573728994</v>
      </c>
      <c r="D4545" s="1" t="n">
        <v>-7.11404524631</v>
      </c>
      <c r="E4545" s="3" t="n">
        <v>3</v>
      </c>
      <c r="F4545" s="2" t="n">
        <v>5</v>
      </c>
      <c r="G4545" s="4" t="n">
        <v>4</v>
      </c>
      <c r="H4545" s="13" t="n">
        <v>5</v>
      </c>
      <c r="I4545" s="34" t="n">
        <v>5</v>
      </c>
      <c r="J4545" s="35" t="n">
        <v>5</v>
      </c>
      <c r="K4545" s="2" t="inlineStr">
        <is>
          <t>marker_310_935374.png</t>
        </is>
      </c>
      <c r="L4545" s="36">
        <f>HYPERLINK("NoConsenso\" &amp; K4545, "Ver Imagen")</f>
        <v/>
      </c>
      <c r="M4545" t="inlineStr">
        <is>
          <t>Mediana</t>
        </is>
      </c>
    </row>
    <row r="4546">
      <c r="A4546" s="33" t="n">
        <v>4549</v>
      </c>
      <c r="B4546" t="inlineStr">
        <is>
          <t>A-495R__37</t>
        </is>
      </c>
      <c r="C4546" s="1" t="n">
        <v>37.4518731728</v>
      </c>
      <c r="D4546" s="1" t="n">
        <v>-7.11145028374</v>
      </c>
      <c r="E4546" s="3" t="n">
        <v>3</v>
      </c>
      <c r="F4546" s="2" t="n">
        <v>5</v>
      </c>
      <c r="G4546" s="4" t="n">
        <v>4</v>
      </c>
      <c r="H4546" s="13" t="n">
        <v>4</v>
      </c>
      <c r="I4546" s="34" t="n">
        <v>4</v>
      </c>
      <c r="J4546" s="35" t="n">
        <v>4</v>
      </c>
      <c r="K4546" s="2" t="inlineStr">
        <is>
          <t>marker_924_936552.png</t>
        </is>
      </c>
      <c r="L4546" s="36">
        <f>HYPERLINK("NoConsenso\" &amp; K4546, "Ver Imagen")</f>
        <v/>
      </c>
      <c r="M4546" t="inlineStr">
        <is>
          <t>Mediana</t>
        </is>
      </c>
    </row>
    <row r="4547">
      <c r="A4547" s="33" t="n">
        <v>4550</v>
      </c>
      <c r="B4547" t="inlineStr">
        <is>
          <t>A-495R__33</t>
        </is>
      </c>
      <c r="C4547" s="1" t="n">
        <v>37.451131753</v>
      </c>
      <c r="D4547" s="1" t="n">
        <v>-7.1109211431</v>
      </c>
      <c r="E4547" s="3" t="n">
        <v>3</v>
      </c>
      <c r="F4547" s="2" t="n">
        <v>5</v>
      </c>
      <c r="G4547" s="4" t="n">
        <v>4</v>
      </c>
      <c r="H4547" s="13" t="n">
        <v>5</v>
      </c>
      <c r="I4547" s="34" t="n">
        <v>4</v>
      </c>
      <c r="J4547" s="37" t="n">
        <v>5</v>
      </c>
      <c r="K4547" s="2" t="inlineStr">
        <is>
          <t>marker_302_936591.png</t>
        </is>
      </c>
      <c r="L4547" s="36">
        <f>HYPERLINK("NoConsenso\" &amp; K4547, "Ver Imagen")</f>
        <v/>
      </c>
      <c r="M4547" s="37" t="inlineStr">
        <is>
          <t>Modificada</t>
        </is>
      </c>
    </row>
    <row r="4548">
      <c r="A4548" s="33" t="n">
        <v>4551</v>
      </c>
      <c r="B4548" t="inlineStr">
        <is>
          <t>A-495R__21</t>
        </is>
      </c>
      <c r="C4548" s="1" t="n">
        <v>37.4488866663</v>
      </c>
      <c r="D4548" s="1" t="n">
        <v>-7.10981227104</v>
      </c>
      <c r="E4548" s="3" t="n">
        <v>1</v>
      </c>
      <c r="F4548" s="2" t="n">
        <v>3</v>
      </c>
      <c r="G4548" s="4" t="n">
        <v>3</v>
      </c>
      <c r="H4548" s="13" t="n">
        <v>2</v>
      </c>
      <c r="I4548" s="34" t="n">
        <v>2</v>
      </c>
      <c r="J4548" s="35" t="n">
        <v>2</v>
      </c>
      <c r="K4548" s="2" t="inlineStr">
        <is>
          <t>marker_477_936719.png</t>
        </is>
      </c>
      <c r="L4548" s="36">
        <f>HYPERLINK("NoConsenso\" &amp; K4548, "Ver Imagen")</f>
        <v/>
      </c>
      <c r="M4548" t="inlineStr">
        <is>
          <t>Mediana</t>
        </is>
      </c>
    </row>
    <row r="4549">
      <c r="A4549" s="33" t="n">
        <v>4552</v>
      </c>
      <c r="B4549" t="inlineStr">
        <is>
          <t>A-495R__17</t>
        </is>
      </c>
      <c r="C4549" s="1" t="n">
        <v>37.4481697047</v>
      </c>
      <c r="D4549" s="1" t="n">
        <v>-7.10941500152</v>
      </c>
      <c r="E4549" s="3" t="n">
        <v>2</v>
      </c>
      <c r="F4549" s="2" t="n">
        <v>3</v>
      </c>
      <c r="G4549" s="4" t="n">
        <v>4</v>
      </c>
      <c r="H4549" s="13" t="n">
        <v>3</v>
      </c>
      <c r="I4549" s="34" t="n">
        <v>3</v>
      </c>
      <c r="J4549" s="35" t="n">
        <v>3</v>
      </c>
      <c r="K4549" s="2" t="inlineStr">
        <is>
          <t>marker_647_936823.png</t>
        </is>
      </c>
      <c r="L4549" s="36">
        <f>HYPERLINK("NoConsenso\" &amp; K4549, "Ver Imagen")</f>
        <v/>
      </c>
      <c r="M4549" t="inlineStr">
        <is>
          <t>Mediana</t>
        </is>
      </c>
    </row>
    <row r="4550">
      <c r="A4550" s="33" t="n">
        <v>4553</v>
      </c>
      <c r="B4550" t="inlineStr">
        <is>
          <t>A-497__89</t>
        </is>
      </c>
      <c r="C4550" s="1" t="n">
        <v>37.2695534905</v>
      </c>
      <c r="D4550" s="1" t="n">
        <v>-6.97790516807</v>
      </c>
      <c r="E4550" s="3" t="n">
        <v>2</v>
      </c>
      <c r="F4550" s="2" t="n">
        <v>3</v>
      </c>
      <c r="G4550" s="4" t="n">
        <v>4</v>
      </c>
      <c r="H4550" s="13" t="n">
        <v>3</v>
      </c>
      <c r="I4550" s="34" t="n">
        <v>4</v>
      </c>
      <c r="J4550" s="35" t="n">
        <v>3</v>
      </c>
      <c r="K4550" s="2" t="inlineStr">
        <is>
          <t>marker_775_937358.png</t>
        </is>
      </c>
      <c r="L4550" s="36">
        <f>HYPERLINK("NoConsenso\" &amp; K4550, "Ver Imagen")</f>
        <v/>
      </c>
      <c r="M4550" t="inlineStr">
        <is>
          <t>Mediana</t>
        </is>
      </c>
    </row>
    <row r="4551">
      <c r="A4551" s="33" t="n">
        <v>4554</v>
      </c>
      <c r="B4551" t="inlineStr">
        <is>
          <t>A-497__88</t>
        </is>
      </c>
      <c r="C4551" s="1" t="n">
        <v>37.2695000223</v>
      </c>
      <c r="D4551" s="1" t="n">
        <v>-6.97771977107</v>
      </c>
      <c r="E4551" s="3" t="n">
        <v>3</v>
      </c>
      <c r="F4551" s="2" t="n">
        <v>4</v>
      </c>
      <c r="G4551" s="4" t="n">
        <v>5</v>
      </c>
      <c r="H4551" s="13" t="n">
        <v>3</v>
      </c>
      <c r="I4551" s="34" t="n">
        <v>4</v>
      </c>
      <c r="J4551" s="35" t="n">
        <v>4</v>
      </c>
      <c r="K4551" s="2" t="inlineStr">
        <is>
          <t>marker_461_937373.png</t>
        </is>
      </c>
      <c r="L4551" s="36">
        <f>HYPERLINK("NoConsenso\" &amp; K4551, "Ver Imagen")</f>
        <v/>
      </c>
      <c r="M4551" t="inlineStr">
        <is>
          <t>Mediana</t>
        </is>
      </c>
    </row>
    <row r="4552">
      <c r="A4552" s="33" t="n">
        <v>4555</v>
      </c>
      <c r="B4552" t="inlineStr">
        <is>
          <t>A-497__85</t>
        </is>
      </c>
      <c r="C4552" s="1" t="n">
        <v>37.2692825511</v>
      </c>
      <c r="D4552" s="1" t="n">
        <v>-6.97694645269</v>
      </c>
      <c r="E4552" s="3" t="n">
        <v>3</v>
      </c>
      <c r="F4552" s="2" t="n">
        <v>4</v>
      </c>
      <c r="G4552" s="4" t="n">
        <v>5</v>
      </c>
      <c r="H4552" s="13" t="n">
        <v>3</v>
      </c>
      <c r="I4552" s="34" t="n">
        <v>4</v>
      </c>
      <c r="J4552" s="35" t="n">
        <v>4</v>
      </c>
      <c r="K4552" s="2" t="inlineStr">
        <is>
          <t>marker_529_937406.png</t>
        </is>
      </c>
      <c r="L4552" s="36">
        <f>HYPERLINK("NoConsenso\" &amp; K4552, "Ver Imagen")</f>
        <v/>
      </c>
      <c r="M4552" t="inlineStr">
        <is>
          <t>Mediana</t>
        </is>
      </c>
    </row>
    <row r="4553">
      <c r="A4553" s="33" t="n">
        <v>4556</v>
      </c>
      <c r="B4553" t="inlineStr">
        <is>
          <t>A-497__84</t>
        </is>
      </c>
      <c r="C4553" s="1" t="n">
        <v>37.2692177351</v>
      </c>
      <c r="D4553" s="1" t="n">
        <v>-6.97671266731</v>
      </c>
      <c r="E4553" s="3" t="n">
        <v>3</v>
      </c>
      <c r="F4553" s="2" t="n">
        <v>4</v>
      </c>
      <c r="G4553" s="4" t="n">
        <v>5</v>
      </c>
      <c r="H4553" s="13" t="n">
        <v>3</v>
      </c>
      <c r="I4553" s="34" t="n">
        <v>4</v>
      </c>
      <c r="J4553" s="35" t="n">
        <v>4</v>
      </c>
      <c r="K4553" s="2" t="inlineStr">
        <is>
          <t>marker_539_937421.png</t>
        </is>
      </c>
      <c r="L4553" s="36">
        <f>HYPERLINK("NoConsenso\" &amp; K4553, "Ver Imagen")</f>
        <v/>
      </c>
      <c r="M4553" t="inlineStr">
        <is>
          <t>Mediana</t>
        </is>
      </c>
    </row>
    <row r="4554">
      <c r="A4554" s="33" t="n">
        <v>4557</v>
      </c>
      <c r="B4554" t="inlineStr">
        <is>
          <t>A-497__83</t>
        </is>
      </c>
      <c r="C4554" s="1" t="n">
        <v>37.2691533086</v>
      </c>
      <c r="D4554" s="1" t="n">
        <v>-6.97647627162</v>
      </c>
      <c r="E4554" s="3" t="n">
        <v>3</v>
      </c>
      <c r="F4554" s="2" t="n">
        <v>4</v>
      </c>
      <c r="G4554" s="4" t="n">
        <v>5</v>
      </c>
      <c r="H4554" s="13" t="n">
        <v>3</v>
      </c>
      <c r="I4554" s="34" t="n">
        <v>4</v>
      </c>
      <c r="J4554" s="35" t="n">
        <v>4</v>
      </c>
      <c r="K4554" s="2" t="inlineStr">
        <is>
          <t>marker_223_937430.png</t>
        </is>
      </c>
      <c r="L4554" s="36">
        <f>HYPERLINK("NoConsenso\" &amp; K4554, "Ver Imagen")</f>
        <v/>
      </c>
      <c r="M4554" t="inlineStr">
        <is>
          <t>Mediana</t>
        </is>
      </c>
    </row>
    <row r="4555">
      <c r="A4555" s="33" t="n">
        <v>4558</v>
      </c>
      <c r="B4555" t="inlineStr">
        <is>
          <t>A-497__78</t>
        </is>
      </c>
      <c r="C4555" s="1" t="n">
        <v>37.2688531743</v>
      </c>
      <c r="D4555" s="1" t="n">
        <v>-6.97528654602</v>
      </c>
      <c r="E4555" s="3" t="n">
        <v>3</v>
      </c>
      <c r="F4555" s="2" t="n">
        <v>3</v>
      </c>
      <c r="G4555" s="4" t="n">
        <v>5</v>
      </c>
      <c r="H4555" s="13" t="n">
        <v>3</v>
      </c>
      <c r="I4555" s="34" t="n">
        <v>4</v>
      </c>
      <c r="J4555" s="35" t="n">
        <v>3</v>
      </c>
      <c r="K4555" s="2" t="inlineStr">
        <is>
          <t>marker_292_937953.png</t>
        </is>
      </c>
      <c r="L4555" s="36">
        <f>HYPERLINK("NoConsenso\" &amp; K4555, "Ver Imagen")</f>
        <v/>
      </c>
      <c r="M4555" t="inlineStr">
        <is>
          <t>Mediana</t>
        </is>
      </c>
    </row>
    <row r="4556">
      <c r="A4556" s="33" t="n">
        <v>4559</v>
      </c>
      <c r="B4556" t="inlineStr">
        <is>
          <t>A-497__73</t>
        </is>
      </c>
      <c r="C4556" s="1" t="n">
        <v>37.2685734775</v>
      </c>
      <c r="D4556" s="1" t="n">
        <v>-6.97404115027</v>
      </c>
      <c r="E4556" s="3" t="n">
        <v>2</v>
      </c>
      <c r="F4556" s="2" t="n">
        <v>4</v>
      </c>
      <c r="G4556" s="4" t="n">
        <v>4</v>
      </c>
      <c r="H4556" s="13" t="n">
        <v>3</v>
      </c>
      <c r="I4556" s="34" t="n">
        <v>3</v>
      </c>
      <c r="J4556" s="35" t="n">
        <v>3</v>
      </c>
      <c r="K4556" s="2" t="inlineStr">
        <is>
          <t>marker_551_938017.png</t>
        </is>
      </c>
      <c r="L4556" s="36">
        <f>HYPERLINK("NoConsenso\" &amp; K4556, "Ver Imagen")</f>
        <v/>
      </c>
      <c r="M4556" t="inlineStr">
        <is>
          <t>Mediana</t>
        </is>
      </c>
    </row>
    <row r="4557">
      <c r="A4557" s="33" t="n">
        <v>4560</v>
      </c>
      <c r="B4557" t="inlineStr">
        <is>
          <t>A-497__67</t>
        </is>
      </c>
      <c r="C4557" s="1" t="n">
        <v>37.2682875989</v>
      </c>
      <c r="D4557" s="1" t="n">
        <v>-6.9725889455</v>
      </c>
      <c r="E4557" s="3" t="n">
        <v>3</v>
      </c>
      <c r="F4557" s="2" t="n">
        <v>4</v>
      </c>
      <c r="G4557" s="4" t="n">
        <v>2</v>
      </c>
      <c r="H4557" s="13" t="n">
        <v>3</v>
      </c>
      <c r="I4557" s="34" t="n">
        <v>4</v>
      </c>
      <c r="J4557" s="35" t="n">
        <v>3</v>
      </c>
      <c r="K4557" s="2" t="inlineStr">
        <is>
          <t>marker_142_938182.png</t>
        </is>
      </c>
      <c r="L4557" s="36">
        <f>HYPERLINK("NoConsenso\" &amp; K4557, "Ver Imagen")</f>
        <v/>
      </c>
      <c r="M4557" t="inlineStr">
        <is>
          <t>Mediana</t>
        </is>
      </c>
    </row>
    <row r="4558">
      <c r="A4558" s="33" t="n">
        <v>4561</v>
      </c>
      <c r="B4558" t="inlineStr">
        <is>
          <t>A-497__60</t>
        </is>
      </c>
      <c r="C4558" s="1" t="n">
        <v>37.268008813</v>
      </c>
      <c r="D4558" s="1" t="n">
        <v>-6.97084976767</v>
      </c>
      <c r="E4558" s="3" t="n">
        <v>2</v>
      </c>
      <c r="F4558" s="2" t="n">
        <v>4</v>
      </c>
      <c r="G4558" s="4" t="n">
        <v>3</v>
      </c>
      <c r="H4558" s="13" t="n">
        <v>3</v>
      </c>
      <c r="I4558" s="34" t="n">
        <v>4</v>
      </c>
      <c r="J4558" s="35" t="n">
        <v>3</v>
      </c>
      <c r="K4558" s="2" t="inlineStr">
        <is>
          <t>marker_461_938261.png</t>
        </is>
      </c>
      <c r="L4558" s="36">
        <f>HYPERLINK("NoConsenso\" &amp; K4558, "Ver Imagen")</f>
        <v/>
      </c>
      <c r="M4558" t="inlineStr">
        <is>
          <t>Mediana</t>
        </is>
      </c>
    </row>
    <row r="4559">
      <c r="A4559" s="33" t="n">
        <v>4562</v>
      </c>
      <c r="B4559" t="inlineStr">
        <is>
          <t>A-497__59</t>
        </is>
      </c>
      <c r="C4559" s="1" t="n">
        <v>37.2679740517</v>
      </c>
      <c r="D4559" s="1" t="n">
        <v>-6.97060516232</v>
      </c>
      <c r="E4559" s="3" t="n">
        <v>2</v>
      </c>
      <c r="F4559" s="2" t="n">
        <v>4</v>
      </c>
      <c r="G4559" s="4" t="n">
        <v>3</v>
      </c>
      <c r="H4559" s="13" t="n">
        <v>3</v>
      </c>
      <c r="I4559" s="34" t="n">
        <v>4</v>
      </c>
      <c r="J4559" s="35" t="n">
        <v>3</v>
      </c>
      <c r="K4559" s="2" t="inlineStr">
        <is>
          <t>marker_232_938274.png</t>
        </is>
      </c>
      <c r="L4559" s="36">
        <f>HYPERLINK("NoConsenso\" &amp; K4559, "Ver Imagen")</f>
        <v/>
      </c>
      <c r="M4559" t="inlineStr">
        <is>
          <t>Mediana</t>
        </is>
      </c>
    </row>
    <row r="4560">
      <c r="A4560" s="33" t="n">
        <v>4563</v>
      </c>
      <c r="B4560" t="inlineStr">
        <is>
          <t>A-497__56</t>
        </is>
      </c>
      <c r="C4560" s="1" t="n">
        <v>37.2678720114</v>
      </c>
      <c r="D4560" s="1" t="n">
        <v>-6.96981995256</v>
      </c>
      <c r="E4560" s="3" t="n">
        <v>2</v>
      </c>
      <c r="F4560" s="2" t="n">
        <v>4</v>
      </c>
      <c r="G4560" s="4" t="n">
        <v>3</v>
      </c>
      <c r="H4560" s="13" t="n">
        <v>3</v>
      </c>
      <c r="I4560" s="34" t="n">
        <v>4</v>
      </c>
      <c r="J4560" s="35" t="n">
        <v>3</v>
      </c>
      <c r="K4560" s="2" t="inlineStr">
        <is>
          <t>marker_411_938306.png</t>
        </is>
      </c>
      <c r="L4560" s="36">
        <f>HYPERLINK("NoConsenso\" &amp; K4560, "Ver Imagen")</f>
        <v/>
      </c>
      <c r="M4560" t="inlineStr">
        <is>
          <t>Mediana</t>
        </is>
      </c>
    </row>
    <row r="4561">
      <c r="A4561" s="33" t="n">
        <v>4564</v>
      </c>
      <c r="B4561" t="inlineStr">
        <is>
          <t>A-497__55</t>
        </is>
      </c>
      <c r="C4561" s="1" t="n">
        <v>37.2678384503</v>
      </c>
      <c r="D4561" s="1" t="n">
        <v>-6.9695412238</v>
      </c>
      <c r="E4561" s="3" t="n">
        <v>2</v>
      </c>
      <c r="F4561" s="2" t="n">
        <v>4</v>
      </c>
      <c r="G4561" s="4" t="n">
        <v>4</v>
      </c>
      <c r="H4561" s="13" t="n">
        <v>3</v>
      </c>
      <c r="I4561" s="34" t="n">
        <v>3</v>
      </c>
      <c r="J4561" s="35" t="n">
        <v>3</v>
      </c>
      <c r="K4561" s="2" t="inlineStr">
        <is>
          <t>marker_946_938322.png</t>
        </is>
      </c>
      <c r="L4561" s="36">
        <f>HYPERLINK("NoConsenso\" &amp; K4561, "Ver Imagen")</f>
        <v/>
      </c>
      <c r="M4561" t="inlineStr">
        <is>
          <t>Mediana</t>
        </is>
      </c>
    </row>
    <row r="4562">
      <c r="A4562" s="33" t="n">
        <v>4565</v>
      </c>
      <c r="B4562" t="inlineStr">
        <is>
          <t>A-497__53</t>
        </is>
      </c>
      <c r="C4562" s="1" t="n">
        <v>37.2677847846</v>
      </c>
      <c r="D4562" s="1" t="n">
        <v>-6.96905074516</v>
      </c>
      <c r="E4562" s="3" t="n">
        <v>2</v>
      </c>
      <c r="F4562" s="2" t="n">
        <v>4</v>
      </c>
      <c r="G4562" s="4" t="n">
        <v>3</v>
      </c>
      <c r="H4562" s="13" t="n">
        <v>3</v>
      </c>
      <c r="I4562" s="34" t="n">
        <v>3</v>
      </c>
      <c r="J4562" s="35" t="n">
        <v>3</v>
      </c>
      <c r="K4562" s="2" t="inlineStr">
        <is>
          <t>marker_448_938356.png</t>
        </is>
      </c>
      <c r="L4562" s="36">
        <f>HYPERLINK("NoConsenso\" &amp; K4562, "Ver Imagen")</f>
        <v/>
      </c>
      <c r="M4562" t="inlineStr">
        <is>
          <t>Mediana</t>
        </is>
      </c>
    </row>
    <row r="4563">
      <c r="A4563" s="33" t="n">
        <v>4566</v>
      </c>
      <c r="B4563" t="inlineStr">
        <is>
          <t>A-497__48</t>
        </is>
      </c>
      <c r="C4563" s="1" t="n">
        <v>37.267671501</v>
      </c>
      <c r="D4563" s="1" t="n">
        <v>-6.96781374016</v>
      </c>
      <c r="E4563" s="3" t="n">
        <v>2</v>
      </c>
      <c r="F4563" s="2" t="n">
        <v>4</v>
      </c>
      <c r="G4563" s="4" t="n">
        <v>3</v>
      </c>
      <c r="H4563" s="13" t="n">
        <v>3</v>
      </c>
      <c r="I4563" s="34" t="n">
        <v>4</v>
      </c>
      <c r="J4563" s="35" t="n">
        <v>3</v>
      </c>
      <c r="K4563" s="2" t="inlineStr">
        <is>
          <t>marker_695_938417.png</t>
        </is>
      </c>
      <c r="L4563" s="36">
        <f>HYPERLINK("NoConsenso\" &amp; K4563, "Ver Imagen")</f>
        <v/>
      </c>
      <c r="M4563" t="inlineStr">
        <is>
          <t>Mediana</t>
        </is>
      </c>
    </row>
    <row r="4564">
      <c r="A4564" s="33" t="n">
        <v>4567</v>
      </c>
      <c r="B4564" t="inlineStr">
        <is>
          <t>A-497__43</t>
        </is>
      </c>
      <c r="C4564" s="1" t="n">
        <v>37.2675912532</v>
      </c>
      <c r="D4564" s="1" t="n">
        <v>-6.96654117066</v>
      </c>
      <c r="E4564" s="3" t="n">
        <v>2</v>
      </c>
      <c r="F4564" s="2" t="n">
        <v>3</v>
      </c>
      <c r="G4564" s="4" t="n">
        <v>4</v>
      </c>
      <c r="H4564" s="13" t="n">
        <v>3</v>
      </c>
      <c r="I4564" s="34" t="n">
        <v>4</v>
      </c>
      <c r="J4564" s="35" t="n">
        <v>3</v>
      </c>
      <c r="K4564" s="2" t="inlineStr">
        <is>
          <t>marker_299_938469.png</t>
        </is>
      </c>
      <c r="L4564" s="36">
        <f>HYPERLINK("NoConsenso\" &amp; K4564, "Ver Imagen")</f>
        <v/>
      </c>
      <c r="M4564" t="inlineStr">
        <is>
          <t>Mediana</t>
        </is>
      </c>
    </row>
    <row r="4565">
      <c r="A4565" s="33" t="n">
        <v>4568</v>
      </c>
      <c r="B4565" t="inlineStr">
        <is>
          <t>A-497__41</t>
        </is>
      </c>
      <c r="C4565" s="1" t="n">
        <v>37.2675687331</v>
      </c>
      <c r="D4565" s="1" t="n">
        <v>-6.96601845293</v>
      </c>
      <c r="E4565" s="3" t="n">
        <v>2</v>
      </c>
      <c r="F4565" s="2" t="n">
        <v>4</v>
      </c>
      <c r="G4565" s="4" t="n">
        <v>3</v>
      </c>
      <c r="H4565" s="13" t="n">
        <v>3</v>
      </c>
      <c r="I4565" s="34" t="n">
        <v>3</v>
      </c>
      <c r="J4565" s="35" t="n">
        <v>3</v>
      </c>
      <c r="K4565" s="2" t="inlineStr">
        <is>
          <t>marker_573_940267.png</t>
        </is>
      </c>
      <c r="L4565" s="36">
        <f>HYPERLINK("NoConsenso\" &amp; K4565, "Ver Imagen")</f>
        <v/>
      </c>
      <c r="M4565" t="inlineStr">
        <is>
          <t>Mediana</t>
        </is>
      </c>
    </row>
    <row r="4566">
      <c r="A4566" s="33" t="n">
        <v>4569</v>
      </c>
      <c r="B4566" t="inlineStr">
        <is>
          <t>A-497__39</t>
        </is>
      </c>
      <c r="C4566" s="1" t="n">
        <v>37.267553317</v>
      </c>
      <c r="D4566" s="1" t="n">
        <v>-6.96555610921</v>
      </c>
      <c r="E4566" s="3" t="n">
        <v>3</v>
      </c>
      <c r="F4566" s="2" t="n">
        <v>4</v>
      </c>
      <c r="G4566" s="4" t="n">
        <v>2</v>
      </c>
      <c r="H4566" s="13" t="n">
        <v>3</v>
      </c>
      <c r="I4566" s="34" t="n">
        <v>4</v>
      </c>
      <c r="J4566" s="35" t="n">
        <v>3</v>
      </c>
      <c r="K4566" s="2" t="inlineStr">
        <is>
          <t>marker_438_940290.png</t>
        </is>
      </c>
      <c r="L4566" s="36">
        <f>HYPERLINK("NoConsenso\" &amp; K4566, "Ver Imagen")</f>
        <v/>
      </c>
      <c r="M4566" t="inlineStr">
        <is>
          <t>Mediana</t>
        </is>
      </c>
    </row>
    <row r="4567">
      <c r="A4567" s="33" t="n">
        <v>4570</v>
      </c>
      <c r="B4567" t="inlineStr">
        <is>
          <t>A-497__37</t>
        </is>
      </c>
      <c r="C4567" s="1" t="n">
        <v>37.2675404285</v>
      </c>
      <c r="D4567" s="1" t="n">
        <v>-6.965040396</v>
      </c>
      <c r="E4567" s="3" t="n">
        <v>2</v>
      </c>
      <c r="F4567" s="2" t="n">
        <v>4</v>
      </c>
      <c r="G4567" s="4" t="n">
        <v>3</v>
      </c>
      <c r="H4567" s="13" t="n">
        <v>3</v>
      </c>
      <c r="I4567" s="34" t="n">
        <v>4</v>
      </c>
      <c r="J4567" s="35" t="n">
        <v>3</v>
      </c>
      <c r="K4567" s="2" t="inlineStr">
        <is>
          <t>marker_876_940312.png</t>
        </is>
      </c>
      <c r="L4567" s="36">
        <f>HYPERLINK("NoConsenso\" &amp; K4567, "Ver Imagen")</f>
        <v/>
      </c>
      <c r="M4567" t="inlineStr">
        <is>
          <t>Mediana</t>
        </is>
      </c>
    </row>
    <row r="4568">
      <c r="A4568" s="33" t="n">
        <v>4571</v>
      </c>
      <c r="B4568" t="inlineStr">
        <is>
          <t>A-497__32</t>
        </is>
      </c>
      <c r="C4568" s="1" t="n">
        <v>37.2675151344</v>
      </c>
      <c r="D4568" s="1" t="n">
        <v>-6.96377212579</v>
      </c>
      <c r="E4568" s="3" t="n">
        <v>2</v>
      </c>
      <c r="F4568" s="2" t="n">
        <v>4</v>
      </c>
      <c r="G4568" s="4" t="n">
        <v>4</v>
      </c>
      <c r="H4568" s="13" t="n">
        <v>3</v>
      </c>
      <c r="I4568" s="34" t="n">
        <v>4</v>
      </c>
      <c r="J4568" s="35" t="n">
        <v>4</v>
      </c>
      <c r="K4568" s="2" t="inlineStr">
        <is>
          <t>marker_939_940578.png</t>
        </is>
      </c>
      <c r="L4568" s="36">
        <f>HYPERLINK("NoConsenso\" &amp; K4568, "Ver Imagen")</f>
        <v/>
      </c>
      <c r="M4568" t="inlineStr">
        <is>
          <t>Mediana</t>
        </is>
      </c>
    </row>
    <row r="4569">
      <c r="A4569" s="33" t="n">
        <v>4572</v>
      </c>
      <c r="B4569" t="inlineStr">
        <is>
          <t>A-497__16</t>
        </is>
      </c>
      <c r="C4569" s="1" t="n">
        <v>37.2672421567</v>
      </c>
      <c r="D4569" s="1" t="n">
        <v>-6.95977906743</v>
      </c>
      <c r="E4569" s="3" t="n">
        <v>2</v>
      </c>
      <c r="F4569" s="2" t="n">
        <v>3</v>
      </c>
      <c r="G4569" s="4" t="n">
        <v>4</v>
      </c>
      <c r="H4569" s="13" t="n">
        <v>2</v>
      </c>
      <c r="I4569" s="34" t="n">
        <v>2</v>
      </c>
      <c r="J4569" s="35" t="n">
        <v>2</v>
      </c>
      <c r="K4569" s="2" t="inlineStr">
        <is>
          <t>marker_935_943822.png</t>
        </is>
      </c>
      <c r="L4569" s="36">
        <f>HYPERLINK("NoConsenso\" &amp; K4569, "Ver Imagen")</f>
        <v/>
      </c>
      <c r="M4569" t="inlineStr">
        <is>
          <t>Mediana</t>
        </is>
      </c>
    </row>
    <row r="4570">
      <c r="A4570" s="33" t="n">
        <v>4573</v>
      </c>
      <c r="B4570" t="inlineStr">
        <is>
          <t>A-497__8</t>
        </is>
      </c>
      <c r="C4570" s="1" t="n">
        <v>37.2666375152</v>
      </c>
      <c r="D4570" s="1" t="n">
        <v>-6.95793610022</v>
      </c>
      <c r="E4570" s="3" t="n">
        <v>2</v>
      </c>
      <c r="F4570" s="2" t="n">
        <v>2</v>
      </c>
      <c r="G4570" s="4" t="n">
        <v>4</v>
      </c>
      <c r="H4570" s="13" t="n">
        <v>2</v>
      </c>
      <c r="I4570" s="34" t="n">
        <v>3</v>
      </c>
      <c r="J4570" s="35" t="n">
        <v>2</v>
      </c>
      <c r="K4570" s="2" t="inlineStr">
        <is>
          <t>marker_244_943995.png</t>
        </is>
      </c>
      <c r="L4570" s="36">
        <f>HYPERLINK("NoConsenso\" &amp; K4570, "Ver Imagen")</f>
        <v/>
      </c>
      <c r="M4570" t="inlineStr">
        <is>
          <t>Mediana</t>
        </is>
      </c>
    </row>
    <row r="4571">
      <c r="A4571" s="33" t="n">
        <v>4574</v>
      </c>
      <c r="B4571" t="inlineStr">
        <is>
          <t>A-5050__183</t>
        </is>
      </c>
      <c r="C4571" s="1" t="n">
        <v>37.1897728124</v>
      </c>
      <c r="D4571" s="1" t="n">
        <v>-6.98832601532</v>
      </c>
      <c r="E4571" s="3" t="n">
        <v>1</v>
      </c>
      <c r="F4571" s="2" t="n">
        <v>3</v>
      </c>
      <c r="G4571" s="4" t="n">
        <v>3</v>
      </c>
      <c r="H4571" s="13" t="n">
        <v>2</v>
      </c>
      <c r="I4571" s="34" t="n">
        <v>2</v>
      </c>
      <c r="J4571" s="35" t="n">
        <v>2</v>
      </c>
      <c r="K4571" s="2" t="inlineStr">
        <is>
          <t>marker_528_944137.png</t>
        </is>
      </c>
      <c r="L4571" s="36">
        <f>HYPERLINK("NoConsenso\" &amp; K4571, "Ver Imagen")</f>
        <v/>
      </c>
      <c r="M4571" t="inlineStr">
        <is>
          <t>Mediana</t>
        </is>
      </c>
    </row>
    <row r="4572">
      <c r="A4572" s="33" t="n">
        <v>4575</v>
      </c>
      <c r="B4572" t="inlineStr">
        <is>
          <t>A-5050__167</t>
        </is>
      </c>
      <c r="C4572" s="1" t="n">
        <v>37.1914093098</v>
      </c>
      <c r="D4572" s="1" t="n">
        <v>-6.99183755404</v>
      </c>
      <c r="E4572" s="3" t="n">
        <v>2</v>
      </c>
      <c r="F4572" s="2" t="n">
        <v>3</v>
      </c>
      <c r="G4572" s="4" t="n">
        <v>4</v>
      </c>
      <c r="H4572" s="13" t="n">
        <v>3</v>
      </c>
      <c r="I4572" s="34" t="n">
        <v>3</v>
      </c>
      <c r="J4572" s="35" t="n">
        <v>3</v>
      </c>
      <c r="K4572" s="2" t="inlineStr">
        <is>
          <t>marker_234_944318.png</t>
        </is>
      </c>
      <c r="L4572" s="36">
        <f>HYPERLINK("NoConsenso\" &amp; K4572, "Ver Imagen")</f>
        <v/>
      </c>
      <c r="M4572" t="inlineStr">
        <is>
          <t>Mediana</t>
        </is>
      </c>
    </row>
    <row r="4573">
      <c r="A4573" s="33" t="n">
        <v>4576</v>
      </c>
      <c r="B4573" t="inlineStr">
        <is>
          <t>A-5050__163</t>
        </is>
      </c>
      <c r="C4573" s="1" t="n">
        <v>37.1918136063</v>
      </c>
      <c r="D4573" s="1" t="n">
        <v>-6.99267360082</v>
      </c>
      <c r="E4573" s="3" t="n">
        <v>2</v>
      </c>
      <c r="F4573" s="2" t="n">
        <v>3</v>
      </c>
      <c r="G4573" s="4" t="n">
        <v>4</v>
      </c>
      <c r="H4573" s="13" t="n">
        <v>2</v>
      </c>
      <c r="I4573" s="34" t="n">
        <v>2</v>
      </c>
      <c r="J4573" s="35" t="n">
        <v>2</v>
      </c>
      <c r="K4573" s="2" t="inlineStr">
        <is>
          <t>marker_527_944657.png</t>
        </is>
      </c>
      <c r="L4573" s="36">
        <f>HYPERLINK("NoConsenso\" &amp; K4573, "Ver Imagen")</f>
        <v/>
      </c>
      <c r="M4573" t="inlineStr">
        <is>
          <t>Mediana</t>
        </is>
      </c>
    </row>
    <row r="4574">
      <c r="A4574" s="33" t="n">
        <v>4577</v>
      </c>
      <c r="B4574" t="inlineStr">
        <is>
          <t>A-5050__159</t>
        </is>
      </c>
      <c r="C4574" s="1" t="n">
        <v>37.1922553228</v>
      </c>
      <c r="D4574" s="1" t="n">
        <v>-6.99359485323</v>
      </c>
      <c r="E4574" s="3" t="n">
        <v>2</v>
      </c>
      <c r="F4574" s="2" t="n">
        <v>2</v>
      </c>
      <c r="G4574" s="4" t="n">
        <v>4</v>
      </c>
      <c r="H4574" s="13" t="n">
        <v>2</v>
      </c>
      <c r="I4574" s="34" t="n">
        <v>2</v>
      </c>
      <c r="J4574" s="35" t="n">
        <v>2</v>
      </c>
      <c r="K4574" s="2" t="inlineStr">
        <is>
          <t>marker_953_944940.png</t>
        </is>
      </c>
      <c r="L4574" s="36">
        <f>HYPERLINK("NoConsenso\" &amp; K4574, "Ver Imagen")</f>
        <v/>
      </c>
      <c r="M4574" t="inlineStr">
        <is>
          <t>Mediana</t>
        </is>
      </c>
    </row>
    <row r="4575">
      <c r="A4575" s="33" t="n">
        <v>4578</v>
      </c>
      <c r="B4575" t="inlineStr">
        <is>
          <t>A-5050__155</t>
        </is>
      </c>
      <c r="C4575" s="1" t="n">
        <v>37.1926476646</v>
      </c>
      <c r="D4575" s="1" t="n">
        <v>-6.99445476333</v>
      </c>
      <c r="E4575" s="3" t="n">
        <v>2</v>
      </c>
      <c r="F4575" s="2" t="n">
        <v>3</v>
      </c>
      <c r="G4575" s="4" t="n">
        <v>4</v>
      </c>
      <c r="H4575" s="13" t="n">
        <v>3</v>
      </c>
      <c r="I4575" s="34" t="n">
        <v>4</v>
      </c>
      <c r="J4575" s="35" t="n">
        <v>3</v>
      </c>
      <c r="K4575" s="2" t="inlineStr">
        <is>
          <t>marker_551_945312.png</t>
        </is>
      </c>
      <c r="L4575" s="36">
        <f>HYPERLINK("NoConsenso\" &amp; K4575, "Ver Imagen")</f>
        <v/>
      </c>
      <c r="M4575" t="inlineStr">
        <is>
          <t>Mediana</t>
        </is>
      </c>
    </row>
    <row r="4576">
      <c r="A4576" s="33" t="n">
        <v>4579</v>
      </c>
      <c r="B4576" t="inlineStr">
        <is>
          <t>A-5050__153</t>
        </is>
      </c>
      <c r="C4576" s="1" t="n">
        <v>37.1928288716</v>
      </c>
      <c r="D4576" s="1" t="n">
        <v>-6.99488389886</v>
      </c>
      <c r="E4576" s="3" t="n">
        <v>1</v>
      </c>
      <c r="F4576" s="2" t="n">
        <v>3</v>
      </c>
      <c r="G4576" s="4" t="n">
        <v>3</v>
      </c>
      <c r="H4576" s="13" t="n">
        <v>2</v>
      </c>
      <c r="I4576" s="34" t="n">
        <v>2</v>
      </c>
      <c r="J4576" s="35" t="n">
        <v>2</v>
      </c>
      <c r="K4576" s="2" t="inlineStr">
        <is>
          <t>marker_324_945341.png</t>
        </is>
      </c>
      <c r="L4576" s="36">
        <f>HYPERLINK("NoConsenso\" &amp; K4576, "Ver Imagen")</f>
        <v/>
      </c>
      <c r="M4576" t="inlineStr">
        <is>
          <t>Mediana</t>
        </is>
      </c>
    </row>
    <row r="4577">
      <c r="A4577" s="33" t="n">
        <v>4580</v>
      </c>
      <c r="B4577" t="inlineStr">
        <is>
          <t>A-5050__60</t>
        </is>
      </c>
      <c r="C4577" s="1" t="n">
        <v>37.2026739173</v>
      </c>
      <c r="D4577" s="1" t="n">
        <v>-7.01485598106</v>
      </c>
      <c r="E4577" s="3" t="n">
        <v>2</v>
      </c>
      <c r="F4577" s="2" t="n">
        <v>3</v>
      </c>
      <c r="G4577" s="4" t="n">
        <v>4</v>
      </c>
      <c r="H4577" s="13" t="n">
        <v>2</v>
      </c>
      <c r="I4577" s="34" t="n">
        <v>3</v>
      </c>
      <c r="J4577" s="35" t="n">
        <v>3</v>
      </c>
      <c r="K4577" s="2" t="inlineStr">
        <is>
          <t>marker_767_949041.png</t>
        </is>
      </c>
      <c r="L4577" s="36">
        <f>HYPERLINK("NoConsenso\" &amp; K4577, "Ver Imagen")</f>
        <v/>
      </c>
      <c r="M4577" t="inlineStr">
        <is>
          <t>Mediana</t>
        </is>
      </c>
    </row>
    <row r="4578">
      <c r="A4578" s="33" t="n">
        <v>4581</v>
      </c>
      <c r="B4578" t="inlineStr">
        <is>
          <t>A-5052__1</t>
        </is>
      </c>
      <c r="C4578" s="1" t="n">
        <v>37.2186771146</v>
      </c>
      <c r="D4578" s="1" t="n">
        <v>-7.12561963277</v>
      </c>
      <c r="E4578" s="3" t="n">
        <v>1</v>
      </c>
      <c r="F4578" s="2" t="n">
        <v>3</v>
      </c>
      <c r="G4578" s="4" t="n">
        <v>3</v>
      </c>
      <c r="H4578" s="13" t="n">
        <v>3</v>
      </c>
      <c r="I4578" s="34" t="n">
        <v>2</v>
      </c>
      <c r="J4578" s="35" t="n">
        <v>3</v>
      </c>
      <c r="K4578" s="2" t="inlineStr">
        <is>
          <t>marker_190_949859.png</t>
        </is>
      </c>
      <c r="L4578" s="36">
        <f>HYPERLINK("NoConsenso\" &amp; K4578, "Ver Imagen")</f>
        <v/>
      </c>
      <c r="M4578" t="inlineStr">
        <is>
          <t>Mediana</t>
        </is>
      </c>
    </row>
    <row r="4579">
      <c r="A4579" s="33" t="n">
        <v>4582</v>
      </c>
      <c r="B4579" t="inlineStr">
        <is>
          <t>A-5052__18</t>
        </is>
      </c>
      <c r="C4579" s="1" t="n">
        <v>37.2179154831</v>
      </c>
      <c r="D4579" s="1" t="n">
        <v>-7.12152600165</v>
      </c>
      <c r="E4579" s="3" t="n">
        <v>5</v>
      </c>
      <c r="F4579" s="2" t="n">
        <v>3</v>
      </c>
      <c r="G4579" s="4" t="n">
        <v>4</v>
      </c>
      <c r="H4579" s="13" t="n">
        <v>3</v>
      </c>
      <c r="I4579" s="34" t="n">
        <v>3</v>
      </c>
      <c r="J4579" s="35" t="n">
        <v>3</v>
      </c>
      <c r="K4579" s="2" t="inlineStr">
        <is>
          <t>marker_924_950215.png</t>
        </is>
      </c>
      <c r="L4579" s="36">
        <f>HYPERLINK("NoConsenso\" &amp; K4579, "Ver Imagen")</f>
        <v/>
      </c>
      <c r="M4579" t="inlineStr">
        <is>
          <t>Mediana</t>
        </is>
      </c>
    </row>
    <row r="4580">
      <c r="A4580" s="33" t="n">
        <v>4583</v>
      </c>
      <c r="B4580" t="inlineStr">
        <is>
          <t>A-5052__174</t>
        </is>
      </c>
      <c r="C4580" s="1" t="n">
        <v>37.2157801728</v>
      </c>
      <c r="D4580" s="1" t="n">
        <v>-7.08246495024</v>
      </c>
      <c r="E4580" s="3" t="n">
        <v>1</v>
      </c>
      <c r="F4580" s="2" t="n">
        <v>2</v>
      </c>
      <c r="G4580" s="4" t="n">
        <v>3</v>
      </c>
      <c r="H4580" s="13" t="n">
        <v>2</v>
      </c>
      <c r="I4580" s="34" t="n">
        <v>2</v>
      </c>
      <c r="J4580" s="35" t="n">
        <v>2</v>
      </c>
      <c r="K4580" s="2" t="inlineStr">
        <is>
          <t>marker_652_959005.png</t>
        </is>
      </c>
      <c r="L4580" s="36">
        <f>HYPERLINK("NoConsenso\" &amp; K4580, "Ver Imagen")</f>
        <v/>
      </c>
      <c r="M4580" t="inlineStr">
        <is>
          <t>Mediana</t>
        </is>
      </c>
    </row>
    <row r="4581">
      <c r="A4581" s="33" t="n">
        <v>4584</v>
      </c>
      <c r="B4581" t="inlineStr">
        <is>
          <t>A-5052__249</t>
        </is>
      </c>
      <c r="C4581" s="1" t="n">
        <v>37.2131875414</v>
      </c>
      <c r="D4581" s="1" t="n">
        <v>-7.06392231532</v>
      </c>
      <c r="E4581" s="3" t="n">
        <v>3</v>
      </c>
      <c r="F4581" s="2" t="n">
        <v>3</v>
      </c>
      <c r="G4581" s="4" t="n">
        <v>5</v>
      </c>
      <c r="H4581" s="13" t="n">
        <v>3</v>
      </c>
      <c r="I4581" s="34" t="n">
        <v>4</v>
      </c>
      <c r="J4581" s="35" t="n">
        <v>3</v>
      </c>
      <c r="K4581" s="2" t="inlineStr">
        <is>
          <t>marker_184_960083.png</t>
        </is>
      </c>
      <c r="L4581" s="36">
        <f>HYPERLINK("NoConsenso\" &amp; K4581, "Ver Imagen")</f>
        <v/>
      </c>
      <c r="M4581" t="inlineStr">
        <is>
          <t>Mediana</t>
        </is>
      </c>
    </row>
    <row r="4582">
      <c r="A4582" s="33" t="n">
        <v>4585</v>
      </c>
      <c r="B4582" t="inlineStr">
        <is>
          <t>A-5052__266</t>
        </is>
      </c>
      <c r="C4582" s="1" t="n">
        <v>37.2122948162</v>
      </c>
      <c r="D4582" s="1" t="n">
        <v>-7.05982815729</v>
      </c>
      <c r="E4582" s="3" t="n">
        <v>1</v>
      </c>
      <c r="F4582" s="2" t="n">
        <v>3</v>
      </c>
      <c r="G4582" s="4" t="n">
        <v>3</v>
      </c>
      <c r="H4582" s="13" t="n">
        <v>2</v>
      </c>
      <c r="I4582" s="34" t="n">
        <v>2</v>
      </c>
      <c r="J4582" s="35" t="n">
        <v>2</v>
      </c>
      <c r="K4582" s="2" t="inlineStr">
        <is>
          <t>marker_594_960270.png</t>
        </is>
      </c>
      <c r="L4582" s="36">
        <f>HYPERLINK("NoConsenso\" &amp; K4582, "Ver Imagen")</f>
        <v/>
      </c>
      <c r="M4582" t="inlineStr">
        <is>
          <t>Mediana</t>
        </is>
      </c>
    </row>
    <row r="4583">
      <c r="A4583" s="33" t="n">
        <v>4586</v>
      </c>
      <c r="B4583" t="inlineStr">
        <is>
          <t>A-5052__311</t>
        </is>
      </c>
      <c r="C4583" s="1" t="n">
        <v>37.2117022282</v>
      </c>
      <c r="D4583" s="1" t="n">
        <v>-7.04896105089</v>
      </c>
      <c r="E4583" s="3" t="n">
        <v>2</v>
      </c>
      <c r="F4583" s="2" t="n">
        <v>3</v>
      </c>
      <c r="G4583" s="4" t="n">
        <v>4</v>
      </c>
      <c r="H4583" s="13" t="n">
        <v>2</v>
      </c>
      <c r="I4583" s="34" t="n">
        <v>3</v>
      </c>
      <c r="J4583" s="35" t="n">
        <v>3</v>
      </c>
      <c r="K4583" s="2" t="inlineStr">
        <is>
          <t>marker_570_961122.png</t>
        </is>
      </c>
      <c r="L4583" s="36">
        <f>HYPERLINK("NoConsenso\" &amp; K4583, "Ver Imagen")</f>
        <v/>
      </c>
      <c r="M4583" t="inlineStr">
        <is>
          <t>Mediana</t>
        </is>
      </c>
    </row>
    <row r="4584">
      <c r="A4584" s="33" t="n">
        <v>4587</v>
      </c>
      <c r="B4584" t="inlineStr">
        <is>
          <t>A-5052__352</t>
        </is>
      </c>
      <c r="C4584" s="1" t="n">
        <v>37.2090796743</v>
      </c>
      <c r="D4584" s="1" t="n">
        <v>-7.039312258</v>
      </c>
      <c r="E4584" s="3" t="n">
        <v>3</v>
      </c>
      <c r="F4584" s="2" t="n">
        <v>3</v>
      </c>
      <c r="G4584" s="4" t="n">
        <v>5</v>
      </c>
      <c r="H4584" s="13" t="n">
        <v>3</v>
      </c>
      <c r="I4584" s="34" t="n">
        <v>4</v>
      </c>
      <c r="J4584" s="35" t="n">
        <v>3</v>
      </c>
      <c r="K4584" s="2" t="inlineStr">
        <is>
          <t>marker_211_961766.png</t>
        </is>
      </c>
      <c r="L4584" s="36">
        <f>HYPERLINK("NoConsenso\" &amp; K4584, "Ver Imagen")</f>
        <v/>
      </c>
      <c r="M4584" t="inlineStr">
        <is>
          <t>Mediana</t>
        </is>
      </c>
    </row>
    <row r="4585">
      <c r="A4585" s="33" t="n">
        <v>4588</v>
      </c>
      <c r="B4585" t="inlineStr">
        <is>
          <t>A-5053__383</t>
        </is>
      </c>
      <c r="C4585" s="1" t="n">
        <v>37.2884512543</v>
      </c>
      <c r="D4585" s="1" t="n">
        <v>-7.14098017238</v>
      </c>
      <c r="E4585" s="3" t="n">
        <v>1</v>
      </c>
      <c r="F4585" s="2" t="n">
        <v>2</v>
      </c>
      <c r="G4585" s="4" t="n">
        <v>3</v>
      </c>
      <c r="H4585" s="13" t="n">
        <v>3</v>
      </c>
      <c r="I4585" s="34" t="n">
        <v>2</v>
      </c>
      <c r="J4585" s="35" t="n">
        <v>2</v>
      </c>
      <c r="K4585" s="2" t="inlineStr">
        <is>
          <t>marker_173_963812.png</t>
        </is>
      </c>
      <c r="L4585" s="36">
        <f>HYPERLINK("NoConsenso\" &amp; K4585, "Ver Imagen")</f>
        <v/>
      </c>
      <c r="M4585" t="inlineStr">
        <is>
          <t>Mediana</t>
        </is>
      </c>
    </row>
    <row r="4586">
      <c r="A4586" s="33" t="n">
        <v>4589</v>
      </c>
      <c r="B4586" t="inlineStr">
        <is>
          <t>A-5053__275</t>
        </is>
      </c>
      <c r="C4586" s="1" t="n">
        <v>37.269810902</v>
      </c>
      <c r="D4586" s="1" t="n">
        <v>-7.13944131266</v>
      </c>
      <c r="E4586" s="3" t="n">
        <v>3</v>
      </c>
      <c r="F4586" s="2" t="n">
        <v>3</v>
      </c>
      <c r="G4586" s="4" t="n">
        <v>5</v>
      </c>
      <c r="H4586" s="13" t="n">
        <v>3</v>
      </c>
      <c r="I4586" s="34" t="n">
        <v>3</v>
      </c>
      <c r="J4586" s="35" t="n">
        <v>3</v>
      </c>
      <c r="K4586" s="2" t="inlineStr">
        <is>
          <t>marker_448_965105.png</t>
        </is>
      </c>
      <c r="L4586" s="36">
        <f>HYPERLINK("NoConsenso\" &amp; K4586, "Ver Imagen")</f>
        <v/>
      </c>
      <c r="M4586" t="inlineStr">
        <is>
          <t>Mediana</t>
        </is>
      </c>
    </row>
    <row r="4587">
      <c r="A4587" s="33" t="n">
        <v>4590</v>
      </c>
      <c r="B4587" t="inlineStr">
        <is>
          <t>A-5053__264</t>
        </is>
      </c>
      <c r="C4587" s="1" t="n">
        <v>37.2685946415</v>
      </c>
      <c r="D4587" s="1" t="n">
        <v>-7.13717557295</v>
      </c>
      <c r="E4587" s="3" t="n">
        <v>5</v>
      </c>
      <c r="F4587" s="2" t="n">
        <v>3</v>
      </c>
      <c r="G4587" s="4" t="n">
        <v>3</v>
      </c>
      <c r="H4587" s="13" t="n">
        <v>3</v>
      </c>
      <c r="I4587" s="34" t="n">
        <v>4</v>
      </c>
      <c r="J4587" s="35" t="n">
        <v>3</v>
      </c>
      <c r="K4587" s="2" t="inlineStr">
        <is>
          <t>marker_233_965217.png</t>
        </is>
      </c>
      <c r="L4587" s="36">
        <f>HYPERLINK("NoConsenso\" &amp; K4587, "Ver Imagen")</f>
        <v/>
      </c>
      <c r="M4587" t="inlineStr">
        <is>
          <t>Mediana</t>
        </is>
      </c>
    </row>
    <row r="4588">
      <c r="A4588" s="33" t="n">
        <v>4591</v>
      </c>
      <c r="B4588" t="inlineStr">
        <is>
          <t>A-5053__262</t>
        </is>
      </c>
      <c r="C4588" s="1" t="n">
        <v>37.2684992934</v>
      </c>
      <c r="D4588" s="1" t="n">
        <v>-7.13674868523</v>
      </c>
      <c r="E4588" s="3" t="n">
        <v>5</v>
      </c>
      <c r="F4588" s="2" t="n">
        <v>3</v>
      </c>
      <c r="G4588" s="4" t="n">
        <v>3</v>
      </c>
      <c r="H4588" s="13" t="n">
        <v>3</v>
      </c>
      <c r="I4588" s="34" t="n">
        <v>4</v>
      </c>
      <c r="J4588" s="35" t="n">
        <v>3</v>
      </c>
      <c r="K4588" s="2" t="inlineStr">
        <is>
          <t>marker_627_965237.png</t>
        </is>
      </c>
      <c r="L4588" s="36">
        <f>HYPERLINK("NoConsenso\" &amp; K4588, "Ver Imagen")</f>
        <v/>
      </c>
      <c r="M4588" t="inlineStr">
        <is>
          <t>Mediana</t>
        </is>
      </c>
    </row>
    <row r="4589">
      <c r="A4589" s="33" t="n">
        <v>4592</v>
      </c>
      <c r="B4589" t="inlineStr">
        <is>
          <t>A-5053__260</t>
        </is>
      </c>
      <c r="C4589" s="1" t="n">
        <v>37.2683777242</v>
      </c>
      <c r="D4589" s="1" t="n">
        <v>-7.13619797082</v>
      </c>
      <c r="E4589" s="3" t="n">
        <v>5</v>
      </c>
      <c r="F4589" s="2" t="n">
        <v>3</v>
      </c>
      <c r="G4589" s="4" t="n">
        <v>4</v>
      </c>
      <c r="H4589" s="13" t="n">
        <v>3</v>
      </c>
      <c r="I4589" s="34" t="n">
        <v>4</v>
      </c>
      <c r="J4589" s="35" t="n">
        <v>4</v>
      </c>
      <c r="K4589" s="2" t="inlineStr">
        <is>
          <t>marker_232_965256.png</t>
        </is>
      </c>
      <c r="L4589" s="36">
        <f>HYPERLINK("NoConsenso\" &amp; K4589, "Ver Imagen")</f>
        <v/>
      </c>
      <c r="M4589" t="inlineStr">
        <is>
          <t>Mediana</t>
        </is>
      </c>
    </row>
    <row r="4590">
      <c r="A4590" s="33" t="n">
        <v>4593</v>
      </c>
      <c r="B4590" t="inlineStr">
        <is>
          <t>A-5053__256</t>
        </is>
      </c>
      <c r="C4590" s="1" t="n">
        <v>37.2681357306</v>
      </c>
      <c r="D4590" s="1" t="n">
        <v>-7.13525551305</v>
      </c>
      <c r="E4590" s="3" t="n">
        <v>5</v>
      </c>
      <c r="F4590" s="2" t="n">
        <v>3</v>
      </c>
      <c r="G4590" s="4" t="n">
        <v>4</v>
      </c>
      <c r="H4590" s="13" t="n">
        <v>3</v>
      </c>
      <c r="I4590" s="34" t="n">
        <v>4</v>
      </c>
      <c r="J4590" s="35" t="n">
        <v>4</v>
      </c>
      <c r="K4590" s="2" t="inlineStr">
        <is>
          <t>marker_915_965296.png</t>
        </is>
      </c>
      <c r="L4590" s="36">
        <f>HYPERLINK("NoConsenso\" &amp; K4590, "Ver Imagen")</f>
        <v/>
      </c>
      <c r="M4590" t="inlineStr">
        <is>
          <t>Mediana</t>
        </is>
      </c>
    </row>
    <row r="4591">
      <c r="A4591" s="33" t="n">
        <v>4594</v>
      </c>
      <c r="B4591" t="inlineStr">
        <is>
          <t>A-5053__254</t>
        </is>
      </c>
      <c r="C4591" s="1" t="n">
        <v>37.267940994</v>
      </c>
      <c r="D4591" s="1" t="n">
        <v>-7.13476942611</v>
      </c>
      <c r="E4591" s="3" t="n">
        <v>5</v>
      </c>
      <c r="F4591" s="2" t="n">
        <v>3</v>
      </c>
      <c r="G4591" s="4" t="n">
        <v>4</v>
      </c>
      <c r="H4591" s="13" t="n">
        <v>3</v>
      </c>
      <c r="I4591" s="34" t="n">
        <v>4</v>
      </c>
      <c r="J4591" s="35" t="n">
        <v>4</v>
      </c>
      <c r="K4591" s="2" t="inlineStr">
        <is>
          <t>marker_705_965314.png</t>
        </is>
      </c>
      <c r="L4591" s="36">
        <f>HYPERLINK("NoConsenso\" &amp; K4591, "Ver Imagen")</f>
        <v/>
      </c>
      <c r="M4591" t="inlineStr">
        <is>
          <t>Mediana</t>
        </is>
      </c>
    </row>
    <row r="4592">
      <c r="A4592" s="33" t="n">
        <v>4595</v>
      </c>
      <c r="B4592" t="inlineStr">
        <is>
          <t>A-5053__252</t>
        </is>
      </c>
      <c r="C4592" s="1" t="n">
        <v>37.2677243281</v>
      </c>
      <c r="D4592" s="1" t="n">
        <v>-7.13437087493</v>
      </c>
      <c r="E4592" s="3" t="n">
        <v>5</v>
      </c>
      <c r="F4592" s="2" t="n">
        <v>3</v>
      </c>
      <c r="G4592" s="4" t="n">
        <v>4</v>
      </c>
      <c r="H4592" s="13" t="n">
        <v>3</v>
      </c>
      <c r="I4592" s="34" t="n">
        <v>4</v>
      </c>
      <c r="J4592" s="37" t="n">
        <v>3</v>
      </c>
      <c r="K4592" s="2" t="inlineStr">
        <is>
          <t>marker_554_965332.png</t>
        </is>
      </c>
      <c r="L4592" s="36">
        <f>HYPERLINK("NoConsenso\" &amp; K4592, "Ver Imagen")</f>
        <v/>
      </c>
      <c r="M4592" s="37" t="inlineStr">
        <is>
          <t>Modificada</t>
        </is>
      </c>
    </row>
    <row r="4593">
      <c r="A4593" s="33" t="n">
        <v>4596</v>
      </c>
      <c r="B4593" t="inlineStr">
        <is>
          <t>A-5053__248</t>
        </is>
      </c>
      <c r="C4593" s="1" t="n">
        <v>37.2671605707</v>
      </c>
      <c r="D4593" s="1" t="n">
        <v>-7.13366717508</v>
      </c>
      <c r="E4593" s="3" t="n">
        <v>5</v>
      </c>
      <c r="F4593" s="2" t="n">
        <v>3</v>
      </c>
      <c r="G4593" s="4" t="n">
        <v>4</v>
      </c>
      <c r="H4593" s="13" t="n">
        <v>3</v>
      </c>
      <c r="I4593" s="34" t="n">
        <v>4</v>
      </c>
      <c r="J4593" s="37" t="n">
        <v>3</v>
      </c>
      <c r="K4593" s="2" t="inlineStr">
        <is>
          <t>marker_978_965430.png</t>
        </is>
      </c>
      <c r="L4593" s="36">
        <f>HYPERLINK("NoConsenso\" &amp; K4593, "Ver Imagen")</f>
        <v/>
      </c>
      <c r="M4593" s="37" t="inlineStr">
        <is>
          <t>Modificada</t>
        </is>
      </c>
    </row>
    <row r="4594">
      <c r="A4594" s="33" t="n">
        <v>4597</v>
      </c>
      <c r="B4594" t="inlineStr">
        <is>
          <t>A-5053__208</t>
        </is>
      </c>
      <c r="C4594" s="1" t="n">
        <v>37.2599545105</v>
      </c>
      <c r="D4594" s="1" t="n">
        <v>-7.1290548513</v>
      </c>
      <c r="E4594" s="3" t="n">
        <v>5</v>
      </c>
      <c r="F4594" s="2" t="n">
        <v>3</v>
      </c>
      <c r="G4594" s="4" t="n">
        <v>4</v>
      </c>
      <c r="H4594" s="13" t="n">
        <v>3</v>
      </c>
      <c r="I4594" s="34" t="n">
        <v>3</v>
      </c>
      <c r="J4594" s="35" t="n">
        <v>3</v>
      </c>
      <c r="K4594" s="2" t="inlineStr">
        <is>
          <t>marker_513_965815.png</t>
        </is>
      </c>
      <c r="L4594" s="36">
        <f>HYPERLINK("NoConsenso\" &amp; K4594, "Ver Imagen")</f>
        <v/>
      </c>
      <c r="M4594" t="inlineStr">
        <is>
          <t>Mediana</t>
        </is>
      </c>
    </row>
    <row r="4595">
      <c r="A4595" s="33" t="n">
        <v>4598</v>
      </c>
      <c r="B4595" t="inlineStr">
        <is>
          <t>A-5053__130</t>
        </is>
      </c>
      <c r="C4595" s="1" t="n">
        <v>37.2446643614</v>
      </c>
      <c r="D4595" s="1" t="n">
        <v>-7.12807054962</v>
      </c>
      <c r="E4595" s="3" t="n">
        <v>1</v>
      </c>
      <c r="F4595" s="2" t="n">
        <v>2</v>
      </c>
      <c r="G4595" s="4" t="n">
        <v>3</v>
      </c>
      <c r="H4595" s="13" t="n">
        <v>2</v>
      </c>
      <c r="I4595" s="34" t="n">
        <v>1</v>
      </c>
      <c r="J4595" s="35" t="n">
        <v>2</v>
      </c>
      <c r="K4595" s="2" t="inlineStr">
        <is>
          <t>marker_145_966573.png</t>
        </is>
      </c>
      <c r="L4595" s="36">
        <f>HYPERLINK("NoConsenso\" &amp; K4595, "Ver Imagen")</f>
        <v/>
      </c>
      <c r="M4595" t="inlineStr">
        <is>
          <t>Mediana</t>
        </is>
      </c>
    </row>
    <row r="4596">
      <c r="A4596" s="33" t="n">
        <v>4599</v>
      </c>
      <c r="B4596" t="inlineStr">
        <is>
          <t>A-5053__46</t>
        </is>
      </c>
      <c r="C4596" s="1" t="n">
        <v>37.2278516322</v>
      </c>
      <c r="D4596" s="1" t="n">
        <v>-7.12664941304</v>
      </c>
      <c r="E4596" s="3" t="n">
        <v>5</v>
      </c>
      <c r="F4596" s="2" t="n">
        <v>3</v>
      </c>
      <c r="G4596" s="4" t="n">
        <v>4</v>
      </c>
      <c r="H4596" s="13" t="n">
        <v>3</v>
      </c>
      <c r="I4596" s="34" t="n">
        <v>4</v>
      </c>
      <c r="J4596" s="35" t="n">
        <v>4</v>
      </c>
      <c r="K4596" s="2" t="inlineStr">
        <is>
          <t>marker_500_021045.png</t>
        </is>
      </c>
      <c r="L4596" s="36">
        <f>HYPERLINK("NoConsenso\" &amp; K4596, "Ver Imagen")</f>
        <v/>
      </c>
      <c r="M4596" t="inlineStr">
        <is>
          <t>Mediana</t>
        </is>
      </c>
    </row>
    <row r="4597">
      <c r="A4597" s="33" t="n">
        <v>4600</v>
      </c>
      <c r="B4597" t="inlineStr">
        <is>
          <t>A-5053__42</t>
        </is>
      </c>
      <c r="C4597" s="1" t="n">
        <v>37.2270731514</v>
      </c>
      <c r="D4597" s="1" t="n">
        <v>-7.12640333119</v>
      </c>
      <c r="E4597" s="3" t="n">
        <v>5</v>
      </c>
      <c r="F4597" s="2" t="n">
        <v>3</v>
      </c>
      <c r="G4597" s="4" t="n">
        <v>4</v>
      </c>
      <c r="H4597" s="13" t="n">
        <v>3</v>
      </c>
      <c r="I4597" s="34" t="n">
        <v>4</v>
      </c>
      <c r="J4597" s="35" t="n">
        <v>4</v>
      </c>
      <c r="K4597" s="2" t="inlineStr">
        <is>
          <t>marker_427_021694.png</t>
        </is>
      </c>
      <c r="L4597" s="36">
        <f>HYPERLINK("NoConsenso\" &amp; K4597, "Ver Imagen")</f>
        <v/>
      </c>
      <c r="M4597" t="inlineStr">
        <is>
          <t>Mediana</t>
        </is>
      </c>
    </row>
    <row r="4598">
      <c r="A4598" s="33" t="n">
        <v>4601</v>
      </c>
      <c r="B4598" t="inlineStr">
        <is>
          <t>A-5053__23</t>
        </is>
      </c>
      <c r="C4598" s="1" t="n">
        <v>37.2233821573</v>
      </c>
      <c r="D4598" s="1" t="n">
        <v>-7.12508088127</v>
      </c>
      <c r="E4598" s="3" t="n">
        <v>4</v>
      </c>
      <c r="F4598" s="2" t="n">
        <v>2</v>
      </c>
      <c r="G4598" s="4" t="n">
        <v>2</v>
      </c>
      <c r="H4598" s="13" t="n">
        <v>2</v>
      </c>
      <c r="I4598" s="34" t="n">
        <v>1</v>
      </c>
      <c r="J4598" s="35" t="n">
        <v>2</v>
      </c>
      <c r="K4598" s="2" t="inlineStr">
        <is>
          <t>marker_252_022875.png</t>
        </is>
      </c>
      <c r="L4598" s="36">
        <f>HYPERLINK("NoConsenso\" &amp; K4598, "Ver Imagen")</f>
        <v/>
      </c>
      <c r="M4598" t="inlineStr">
        <is>
          <t>Mediana</t>
        </is>
      </c>
    </row>
    <row r="4599">
      <c r="A4599" s="33" t="n">
        <v>4602</v>
      </c>
      <c r="B4599" t="inlineStr">
        <is>
          <t>A-5053__11</t>
        </is>
      </c>
      <c r="C4599" s="1" t="n">
        <v>37.2211389405</v>
      </c>
      <c r="D4599" s="1" t="n">
        <v>-7.12580309061</v>
      </c>
      <c r="E4599" s="3" t="n">
        <v>4</v>
      </c>
      <c r="F4599" s="2" t="n">
        <v>2</v>
      </c>
      <c r="G4599" s="4" t="n">
        <v>3</v>
      </c>
      <c r="H4599" s="13" t="n">
        <v>2</v>
      </c>
      <c r="I4599" s="34" t="n">
        <v>1</v>
      </c>
      <c r="J4599" s="35" t="n">
        <v>2</v>
      </c>
      <c r="K4599" s="2" t="inlineStr">
        <is>
          <t>marker_654_025094.png</t>
        </is>
      </c>
      <c r="L4599" s="36">
        <f>HYPERLINK("NoConsenso\" &amp; K4599, "Ver Imagen")</f>
        <v/>
      </c>
      <c r="M4599" t="inlineStr">
        <is>
          <t>Mediana</t>
        </is>
      </c>
    </row>
    <row r="4600">
      <c r="A4600" s="33" t="n">
        <v>4603</v>
      </c>
      <c r="B4600" t="inlineStr">
        <is>
          <t>A-495__64</t>
        </is>
      </c>
      <c r="C4600" s="1" t="n">
        <v>37.4391015909</v>
      </c>
      <c r="D4600" s="1" t="n">
        <v>-7.08573929323</v>
      </c>
      <c r="E4600" s="3" t="n">
        <v>3</v>
      </c>
      <c r="F4600" s="2" t="n">
        <v>3</v>
      </c>
      <c r="G4600" s="4" t="n">
        <v>5</v>
      </c>
      <c r="H4600" s="13" t="n">
        <v>2</v>
      </c>
      <c r="I4600" s="34" t="n">
        <v>1</v>
      </c>
      <c r="J4600" s="37" t="n">
        <v>2</v>
      </c>
      <c r="K4600" s="2" t="inlineStr">
        <is>
          <t>marker_638_381752.png</t>
        </is>
      </c>
      <c r="L4600" s="36">
        <f>HYPERLINK("NoConsenso\" &amp; K4600, "Ver Imagen")</f>
        <v/>
      </c>
      <c r="M4600" s="37" t="inlineStr">
        <is>
          <t>Modificada</t>
        </is>
      </c>
    </row>
    <row r="4601">
      <c r="A4601" s="33" t="n">
        <v>4604</v>
      </c>
      <c r="B4601" t="inlineStr">
        <is>
          <t>A-495__65</t>
        </is>
      </c>
      <c r="C4601" s="1" t="n">
        <v>37.4390066418</v>
      </c>
      <c r="D4601" s="1" t="n">
        <v>-7.08552331168</v>
      </c>
      <c r="E4601" s="3" t="n">
        <v>3</v>
      </c>
      <c r="F4601" s="2" t="n">
        <v>3</v>
      </c>
      <c r="G4601" s="4" t="n">
        <v>1</v>
      </c>
      <c r="H4601" s="13" t="n">
        <v>2</v>
      </c>
      <c r="I4601" s="34" t="n">
        <v>3</v>
      </c>
      <c r="J4601" s="35" t="n">
        <v>3</v>
      </c>
      <c r="K4601" s="2" t="inlineStr">
        <is>
          <t>marker_781_381765.png</t>
        </is>
      </c>
      <c r="L4601" s="36">
        <f>HYPERLINK("NoConsenso\" &amp; K4601, "Ver Imagen")</f>
        <v/>
      </c>
      <c r="M4601" t="inlineStr">
        <is>
          <t>Mediana</t>
        </is>
      </c>
    </row>
    <row r="4602">
      <c r="A4602" s="33" t="n">
        <v>4605</v>
      </c>
      <c r="B4602" t="inlineStr">
        <is>
          <t>A-495__68</t>
        </is>
      </c>
      <c r="C4602" s="1" t="n">
        <v>37.4387353991</v>
      </c>
      <c r="D4602" s="1" t="n">
        <v>-7.08485579089</v>
      </c>
      <c r="E4602" s="3" t="n">
        <v>4</v>
      </c>
      <c r="F4602" s="2" t="n">
        <v>3</v>
      </c>
      <c r="G4602" s="4" t="n">
        <v>5</v>
      </c>
      <c r="H4602" s="13" t="n">
        <v>3</v>
      </c>
      <c r="I4602" s="34" t="n">
        <v>3</v>
      </c>
      <c r="J4602" s="35" t="n">
        <v>3</v>
      </c>
      <c r="K4602" s="2" t="inlineStr">
        <is>
          <t>marker_301_381795.png</t>
        </is>
      </c>
      <c r="L4602" s="36">
        <f>HYPERLINK("NoConsenso\" &amp; K4602, "Ver Imagen")</f>
        <v/>
      </c>
      <c r="M4602" t="inlineStr">
        <is>
          <t>Mediana</t>
        </is>
      </c>
    </row>
    <row r="4603">
      <c r="A4603" s="33" t="n">
        <v>4606</v>
      </c>
      <c r="B4603" t="inlineStr">
        <is>
          <t>A-495__71</t>
        </is>
      </c>
      <c r="C4603" s="1" t="n">
        <v>37.4384846673</v>
      </c>
      <c r="D4603" s="1" t="n">
        <v>-7.08416890515</v>
      </c>
      <c r="E4603" s="3" t="n">
        <v>3</v>
      </c>
      <c r="F4603" s="2" t="n">
        <v>3</v>
      </c>
      <c r="G4603" s="4" t="n">
        <v>5</v>
      </c>
      <c r="H4603" s="13" t="n">
        <v>3</v>
      </c>
      <c r="I4603" s="34" t="n">
        <v>3</v>
      </c>
      <c r="J4603" s="35" t="n">
        <v>3</v>
      </c>
      <c r="K4603" s="2" t="inlineStr">
        <is>
          <t>marker_251_381826.png</t>
        </is>
      </c>
      <c r="L4603" s="36">
        <f>HYPERLINK("NoConsenso\" &amp; K4603, "Ver Imagen")</f>
        <v/>
      </c>
      <c r="M4603" t="inlineStr">
        <is>
          <t>Mediana</t>
        </is>
      </c>
    </row>
    <row r="4604">
      <c r="A4604" s="33" t="n">
        <v>4607</v>
      </c>
      <c r="B4604" t="inlineStr">
        <is>
          <t>A-495__76</t>
        </is>
      </c>
      <c r="C4604" s="1" t="n">
        <v>37.438080232</v>
      </c>
      <c r="D4604" s="1" t="n">
        <v>-7.08295845827</v>
      </c>
      <c r="E4604" s="3" t="n">
        <v>3</v>
      </c>
      <c r="F4604" s="2" t="n">
        <v>3</v>
      </c>
      <c r="G4604" s="4" t="n">
        <v>5</v>
      </c>
      <c r="H4604" s="13" t="n">
        <v>3</v>
      </c>
      <c r="I4604" s="34" t="n">
        <v>2</v>
      </c>
      <c r="J4604" s="37" t="n">
        <v>2</v>
      </c>
      <c r="K4604" s="2" t="inlineStr">
        <is>
          <t>marker_427_381888.png</t>
        </is>
      </c>
      <c r="L4604" s="36">
        <f>HYPERLINK("NoConsenso\" &amp; K4604, "Ver Imagen")</f>
        <v/>
      </c>
      <c r="M4604" s="37" t="inlineStr">
        <is>
          <t>Modificada</t>
        </is>
      </c>
    </row>
    <row r="4605">
      <c r="A4605" s="33" t="n">
        <v>4608</v>
      </c>
      <c r="B4605" t="inlineStr">
        <is>
          <t>A-495__81</t>
        </is>
      </c>
      <c r="C4605" s="1" t="n">
        <v>37.4376994706</v>
      </c>
      <c r="D4605" s="1" t="n">
        <v>-7.08184496255</v>
      </c>
      <c r="E4605" s="3" t="n">
        <v>2</v>
      </c>
      <c r="F4605" s="2" t="n">
        <v>2</v>
      </c>
      <c r="G4605" s="4" t="n">
        <v>4</v>
      </c>
      <c r="H4605" s="13" t="n">
        <v>1</v>
      </c>
      <c r="I4605" s="34" t="n">
        <v>1</v>
      </c>
      <c r="J4605" s="37" t="n">
        <v>1</v>
      </c>
      <c r="K4605" s="2" t="inlineStr">
        <is>
          <t>marker_696_381942.png</t>
        </is>
      </c>
      <c r="L4605" s="36">
        <f>HYPERLINK("NoConsenso\" &amp; K4605, "Ver Imagen")</f>
        <v/>
      </c>
      <c r="M4605" s="37" t="inlineStr">
        <is>
          <t>Modificada</t>
        </is>
      </c>
    </row>
    <row r="4606">
      <c r="A4606" s="33" t="n">
        <v>4609</v>
      </c>
      <c r="B4606" t="inlineStr">
        <is>
          <t>A-495__83</t>
        </is>
      </c>
      <c r="C4606" s="1" t="n">
        <v>37.4375381343</v>
      </c>
      <c r="D4606" s="1" t="n">
        <v>-7.08138723991</v>
      </c>
      <c r="E4606" s="3" t="n">
        <v>3</v>
      </c>
      <c r="F4606" s="2" t="n">
        <v>3</v>
      </c>
      <c r="G4606" s="4" t="n">
        <v>1</v>
      </c>
      <c r="H4606" s="13" t="n">
        <v>2</v>
      </c>
      <c r="I4606" s="34" t="n">
        <v>3</v>
      </c>
      <c r="J4606" s="35" t="n">
        <v>3</v>
      </c>
      <c r="K4606" s="2" t="inlineStr">
        <is>
          <t>marker_610_381967.png</t>
        </is>
      </c>
      <c r="L4606" s="36">
        <f>HYPERLINK("NoConsenso\" &amp; K4606, "Ver Imagen")</f>
        <v/>
      </c>
      <c r="M4606" t="inlineStr">
        <is>
          <t>Mediana</t>
        </is>
      </c>
    </row>
    <row r="4607">
      <c r="A4607" s="33" t="n">
        <v>4610</v>
      </c>
      <c r="B4607" t="inlineStr">
        <is>
          <t>A-495__88</t>
        </is>
      </c>
      <c r="C4607" s="1" t="n">
        <v>37.4371274946</v>
      </c>
      <c r="D4607" s="1" t="n">
        <v>-7.08031866208</v>
      </c>
      <c r="E4607" s="3" t="n">
        <v>3</v>
      </c>
      <c r="F4607" s="2" t="n">
        <v>3</v>
      </c>
      <c r="G4607" s="4" t="n">
        <v>5</v>
      </c>
      <c r="H4607" s="13" t="n">
        <v>2</v>
      </c>
      <c r="I4607" s="34" t="n">
        <v>2</v>
      </c>
      <c r="J4607" s="37" t="n">
        <v>2</v>
      </c>
      <c r="K4607" s="2" t="inlineStr">
        <is>
          <t>marker_735_382025.png</t>
        </is>
      </c>
      <c r="L4607" s="36">
        <f>HYPERLINK("NoConsenso\" &amp; K4607, "Ver Imagen")</f>
        <v/>
      </c>
      <c r="M4607" s="37" t="inlineStr">
        <is>
          <t>Modificada</t>
        </is>
      </c>
    </row>
    <row r="4608">
      <c r="A4608" s="33" t="n">
        <v>4611</v>
      </c>
      <c r="B4608" t="inlineStr">
        <is>
          <t>A-495__89</t>
        </is>
      </c>
      <c r="C4608" s="1" t="n">
        <v>37.4370985554</v>
      </c>
      <c r="D4608" s="1" t="n">
        <v>-7.08014398847</v>
      </c>
      <c r="E4608" s="3" t="n">
        <v>3</v>
      </c>
      <c r="F4608" s="2" t="n">
        <v>3</v>
      </c>
      <c r="G4608" s="4" t="n">
        <v>5</v>
      </c>
      <c r="H4608" s="13" t="n">
        <v>2</v>
      </c>
      <c r="I4608" s="34" t="n">
        <v>3</v>
      </c>
      <c r="J4608" s="35" t="n">
        <v>3</v>
      </c>
      <c r="K4608" s="2" t="inlineStr">
        <is>
          <t>marker_995_382045.png</t>
        </is>
      </c>
      <c r="L4608" s="36">
        <f>HYPERLINK("NoConsenso\" &amp; K4608, "Ver Imagen")</f>
        <v/>
      </c>
      <c r="M4608" t="inlineStr">
        <is>
          <t>Mediana</t>
        </is>
      </c>
    </row>
    <row r="4609">
      <c r="A4609" s="33" t="n">
        <v>4612</v>
      </c>
      <c r="B4609" t="inlineStr">
        <is>
          <t>A-495__91</t>
        </is>
      </c>
      <c r="C4609" s="1" t="n">
        <v>37.4369305975</v>
      </c>
      <c r="D4609" s="1" t="n">
        <v>-7.07965589088</v>
      </c>
      <c r="E4609" s="3" t="n">
        <v>3</v>
      </c>
      <c r="F4609" s="2" t="n">
        <v>3</v>
      </c>
      <c r="G4609" s="4" t="n">
        <v>5</v>
      </c>
      <c r="H4609" s="13" t="n">
        <v>2</v>
      </c>
      <c r="I4609" s="34" t="n">
        <v>3</v>
      </c>
      <c r="J4609" s="35" t="n">
        <v>3</v>
      </c>
      <c r="K4609" s="2" t="inlineStr">
        <is>
          <t>marker_999_382070.png</t>
        </is>
      </c>
      <c r="L4609" s="36">
        <f>HYPERLINK("NoConsenso\" &amp; K4609, "Ver Imagen")</f>
        <v/>
      </c>
      <c r="M4609" t="inlineStr">
        <is>
          <t>Mediana</t>
        </is>
      </c>
    </row>
    <row r="4610">
      <c r="A4610" s="33" t="n">
        <v>4613</v>
      </c>
      <c r="B4610" t="inlineStr">
        <is>
          <t>A-5059__84</t>
        </is>
      </c>
      <c r="C4610" s="1" t="n">
        <v>37.2210460323</v>
      </c>
      <c r="D4610" s="1" t="n">
        <v>-7.05348952503</v>
      </c>
      <c r="E4610" s="3" t="n">
        <v>3</v>
      </c>
      <c r="F4610" s="2" t="n">
        <v>4</v>
      </c>
      <c r="G4610" s="4" t="n">
        <v>5</v>
      </c>
      <c r="H4610" s="13" t="n">
        <v>3</v>
      </c>
      <c r="I4610" s="34" t="n">
        <v>3</v>
      </c>
      <c r="J4610" s="35" t="n">
        <v>3</v>
      </c>
      <c r="K4610" s="2" t="inlineStr">
        <is>
          <t>marker_972_378676.png</t>
        </is>
      </c>
      <c r="L4610" s="36">
        <f>HYPERLINK("NoConsenso\" &amp; K4610, "Ver Imagen")</f>
        <v/>
      </c>
      <c r="M4610" t="inlineStr">
        <is>
          <t>Mediana</t>
        </is>
      </c>
    </row>
    <row r="4611">
      <c r="A4611" s="33" t="n">
        <v>4614</v>
      </c>
      <c r="B4611" t="inlineStr">
        <is>
          <t>A-495__116</t>
        </is>
      </c>
      <c r="C4611" s="1" t="n">
        <v>37.4354950463</v>
      </c>
      <c r="D4611" s="1" t="n">
        <v>-7.07402695269</v>
      </c>
      <c r="E4611" s="3" t="n">
        <v>4</v>
      </c>
      <c r="F4611" s="2" t="n">
        <v>3</v>
      </c>
      <c r="G4611" s="4" t="n">
        <v>5</v>
      </c>
      <c r="H4611" s="13" t="n">
        <v>3</v>
      </c>
      <c r="I4611" s="34" t="n">
        <v>4</v>
      </c>
      <c r="J4611" s="35" t="n">
        <v>4</v>
      </c>
      <c r="K4611" s="2" t="inlineStr">
        <is>
          <t>marker_660_382330.png</t>
        </is>
      </c>
      <c r="L4611" s="36">
        <f>HYPERLINK("NoConsenso\" &amp; K4611, "Ver Imagen")</f>
        <v/>
      </c>
      <c r="M4611" t="inlineStr">
        <is>
          <t>Mediana</t>
        </is>
      </c>
    </row>
    <row r="4612">
      <c r="A4612" s="33" t="n">
        <v>4615</v>
      </c>
      <c r="B4612" t="inlineStr">
        <is>
          <t>A-495__120</t>
        </is>
      </c>
      <c r="C4612" s="1" t="n">
        <v>37.4354062227</v>
      </c>
      <c r="D4612" s="1" t="n">
        <v>-7.07300244885</v>
      </c>
      <c r="E4612" s="3" t="n">
        <v>3</v>
      </c>
      <c r="F4612" s="2" t="n">
        <v>3</v>
      </c>
      <c r="G4612" s="4" t="n">
        <v>5</v>
      </c>
      <c r="H4612" s="13" t="n">
        <v>2</v>
      </c>
      <c r="I4612" s="34" t="n">
        <v>2</v>
      </c>
      <c r="J4612" s="37" t="n">
        <v>2</v>
      </c>
      <c r="K4612" s="2" t="inlineStr">
        <is>
          <t>marker_820_382368.png</t>
        </is>
      </c>
      <c r="L4612" s="36">
        <f>HYPERLINK("NoConsenso\" &amp; K4612, "Ver Imagen")</f>
        <v/>
      </c>
      <c r="M4612" s="37" t="inlineStr">
        <is>
          <t>Modificada</t>
        </is>
      </c>
    </row>
    <row r="4613">
      <c r="A4613" s="33" t="n">
        <v>4616</v>
      </c>
      <c r="B4613" t="inlineStr">
        <is>
          <t>A-495__121</t>
        </is>
      </c>
      <c r="C4613" s="1" t="n">
        <v>37.4353850666</v>
      </c>
      <c r="D4613" s="1" t="n">
        <v>-7.07274407863</v>
      </c>
      <c r="E4613" s="3" t="n">
        <v>3</v>
      </c>
      <c r="F4613" s="2" t="n">
        <v>3</v>
      </c>
      <c r="G4613" s="4" t="n">
        <v>5</v>
      </c>
      <c r="H4613" s="13" t="n">
        <v>3</v>
      </c>
      <c r="I4613" s="34" t="n">
        <v>3</v>
      </c>
      <c r="J4613" s="35" t="n">
        <v>3</v>
      </c>
      <c r="K4613" s="2" t="inlineStr">
        <is>
          <t>marker_474_382377.png</t>
        </is>
      </c>
      <c r="L4613" s="36">
        <f>HYPERLINK("NoConsenso\" &amp; K4613, "Ver Imagen")</f>
        <v/>
      </c>
      <c r="M4613" t="inlineStr">
        <is>
          <t>Mediana</t>
        </is>
      </c>
    </row>
    <row r="4614">
      <c r="A4614" s="33" t="n">
        <v>4617</v>
      </c>
      <c r="B4614" t="inlineStr">
        <is>
          <t>A-495__129</t>
        </is>
      </c>
      <c r="C4614" s="1" t="n">
        <v>37.435171062</v>
      </c>
      <c r="D4614" s="1" t="n">
        <v>-7.0707321871</v>
      </c>
      <c r="E4614" s="3" t="n">
        <v>3</v>
      </c>
      <c r="F4614" s="2" t="n">
        <v>3</v>
      </c>
      <c r="G4614" s="4" t="n">
        <v>1</v>
      </c>
      <c r="H4614" s="13" t="n">
        <v>3</v>
      </c>
      <c r="I4614" s="34" t="n">
        <v>3</v>
      </c>
      <c r="J4614" s="35" t="n">
        <v>3</v>
      </c>
      <c r="K4614" s="2" t="inlineStr">
        <is>
          <t>marker_569_382466.png</t>
        </is>
      </c>
      <c r="L4614" s="36">
        <f>HYPERLINK("NoConsenso\" &amp; K4614, "Ver Imagen")</f>
        <v/>
      </c>
      <c r="M4614" t="inlineStr">
        <is>
          <t>Mediana</t>
        </is>
      </c>
    </row>
    <row r="4615">
      <c r="A4615" s="33" t="n">
        <v>4618</v>
      </c>
      <c r="B4615" t="inlineStr">
        <is>
          <t>A-495__134</t>
        </is>
      </c>
      <c r="C4615" s="1" t="n">
        <v>37.4349035992</v>
      </c>
      <c r="D4615" s="1" t="n">
        <v>-7.0695227485</v>
      </c>
      <c r="E4615" s="3" t="n">
        <v>3</v>
      </c>
      <c r="F4615" s="2" t="n">
        <v>3</v>
      </c>
      <c r="G4615" s="4" t="n">
        <v>1</v>
      </c>
      <c r="H4615" s="13" t="n">
        <v>3</v>
      </c>
      <c r="I4615" s="34" t="n">
        <v>3</v>
      </c>
      <c r="J4615" s="35" t="n">
        <v>3</v>
      </c>
      <c r="K4615" s="2" t="inlineStr">
        <is>
          <t>marker_994_382519.png</t>
        </is>
      </c>
      <c r="L4615" s="36">
        <f>HYPERLINK("NoConsenso\" &amp; K4615, "Ver Imagen")</f>
        <v/>
      </c>
      <c r="M4615" t="inlineStr">
        <is>
          <t>Mediana</t>
        </is>
      </c>
    </row>
    <row r="4616">
      <c r="A4616" s="33" t="n">
        <v>4619</v>
      </c>
      <c r="B4616" t="inlineStr">
        <is>
          <t>A-5058__194</t>
        </is>
      </c>
      <c r="C4616" s="1" t="n">
        <v>37.2346466339</v>
      </c>
      <c r="D4616" s="1" t="n">
        <v>-7.07198216762</v>
      </c>
      <c r="E4616" s="3" t="n">
        <v>3</v>
      </c>
      <c r="F4616" s="2" t="n">
        <v>2</v>
      </c>
      <c r="G4616" s="4" t="n">
        <v>4</v>
      </c>
      <c r="H4616" s="13" t="n">
        <v>2</v>
      </c>
      <c r="I4616" s="34" t="n">
        <v>1</v>
      </c>
      <c r="J4616" s="37" t="n">
        <v>1</v>
      </c>
      <c r="K4616" s="2" t="inlineStr">
        <is>
          <t>marker_221_382828.png</t>
        </is>
      </c>
      <c r="L4616" s="36">
        <f>HYPERLINK("NoConsenso\" &amp; K4616, "Ver Imagen")</f>
        <v/>
      </c>
      <c r="M4616" s="37" t="inlineStr">
        <is>
          <t>Modificada</t>
        </is>
      </c>
    </row>
    <row r="4617">
      <c r="A4617" s="33" t="n">
        <v>4620</v>
      </c>
      <c r="B4617" t="inlineStr">
        <is>
          <t>A-5058__197</t>
        </is>
      </c>
      <c r="C4617" s="1" t="n">
        <v>37.2348627789</v>
      </c>
      <c r="D4617" s="1" t="n">
        <v>-7.07265286526</v>
      </c>
      <c r="E4617" s="3" t="n">
        <v>3</v>
      </c>
      <c r="F4617" s="2" t="n">
        <v>2</v>
      </c>
      <c r="G4617" s="4" t="n">
        <v>4</v>
      </c>
      <c r="H4617" s="13" t="n">
        <v>2</v>
      </c>
      <c r="I4617" s="34" t="n">
        <v>1</v>
      </c>
      <c r="J4617" s="35" t="n">
        <v>2</v>
      </c>
      <c r="K4617" s="2" t="inlineStr">
        <is>
          <t>marker_407_382856.png</t>
        </is>
      </c>
      <c r="L4617" s="36">
        <f>HYPERLINK("NoConsenso\" &amp; K4617, "Ver Imagen")</f>
        <v/>
      </c>
      <c r="M4617" t="inlineStr">
        <is>
          <t>Mediana</t>
        </is>
      </c>
    </row>
    <row r="4618">
      <c r="A4618" s="33" t="n">
        <v>4621</v>
      </c>
      <c r="B4618" t="inlineStr">
        <is>
          <t>A-5058__203</t>
        </is>
      </c>
      <c r="C4618" s="1" t="n">
        <v>37.235504256</v>
      </c>
      <c r="D4618" s="1" t="n">
        <v>-7.07392272296</v>
      </c>
      <c r="E4618" s="3" t="n">
        <v>3</v>
      </c>
      <c r="F4618" s="2" t="n">
        <v>2</v>
      </c>
      <c r="G4618" s="4" t="n">
        <v>4</v>
      </c>
      <c r="H4618" s="13" t="n">
        <v>2</v>
      </c>
      <c r="I4618" s="34" t="n">
        <v>2</v>
      </c>
      <c r="J4618" s="35" t="n">
        <v>2</v>
      </c>
      <c r="K4618" s="2" t="inlineStr">
        <is>
          <t>marker_992_382920.png</t>
        </is>
      </c>
      <c r="L4618" s="36">
        <f>HYPERLINK("NoConsenso\" &amp; K4618, "Ver Imagen")</f>
        <v/>
      </c>
      <c r="M4618" t="inlineStr">
        <is>
          <t>Mediana</t>
        </is>
      </c>
    </row>
    <row r="4619">
      <c r="A4619" s="33" t="n">
        <v>4622</v>
      </c>
      <c r="B4619" t="inlineStr">
        <is>
          <t>A-5058__226</t>
        </is>
      </c>
      <c r="C4619" s="1" t="n">
        <v>37.2382194897</v>
      </c>
      <c r="D4619" s="1" t="n">
        <v>-7.07870576139</v>
      </c>
      <c r="E4619" s="3" t="n">
        <v>3</v>
      </c>
      <c r="F4619" s="2" t="n">
        <v>2</v>
      </c>
      <c r="G4619" s="4" t="n">
        <v>4</v>
      </c>
      <c r="H4619" s="13" t="n">
        <v>2</v>
      </c>
      <c r="I4619" s="34" t="n">
        <v>2</v>
      </c>
      <c r="J4619" s="35" t="n">
        <v>2</v>
      </c>
      <c r="K4619" s="2" t="inlineStr">
        <is>
          <t>marker_221_383199.png</t>
        </is>
      </c>
      <c r="L4619" s="36">
        <f>HYPERLINK("NoConsenso\" &amp; K4619, "Ver Imagen")</f>
        <v/>
      </c>
      <c r="M4619" t="inlineStr">
        <is>
          <t>Mediana</t>
        </is>
      </c>
    </row>
    <row r="4620">
      <c r="A4620" s="33" t="n">
        <v>4623</v>
      </c>
      <c r="B4620" t="inlineStr">
        <is>
          <t>A-5058__253</t>
        </is>
      </c>
      <c r="C4620" s="1" t="n">
        <v>37.2416789199</v>
      </c>
      <c r="D4620" s="1" t="n">
        <v>-7.08395721346</v>
      </c>
      <c r="E4620" s="3" t="n">
        <v>3</v>
      </c>
      <c r="F4620" s="2" t="n">
        <v>2</v>
      </c>
      <c r="G4620" s="4" t="n">
        <v>4</v>
      </c>
      <c r="H4620" s="13" t="n">
        <v>2</v>
      </c>
      <c r="I4620" s="34" t="n">
        <v>2</v>
      </c>
      <c r="J4620" s="35" t="n">
        <v>2</v>
      </c>
      <c r="K4620" s="2" t="inlineStr">
        <is>
          <t>marker_604_383556.png</t>
        </is>
      </c>
      <c r="L4620" s="36">
        <f>HYPERLINK("NoConsenso\" &amp; K4620, "Ver Imagen")</f>
        <v/>
      </c>
      <c r="M4620" t="inlineStr">
        <is>
          <t>Mediana</t>
        </is>
      </c>
    </row>
    <row r="4621">
      <c r="A4621" s="33" t="n">
        <v>4624</v>
      </c>
      <c r="B4621" t="inlineStr">
        <is>
          <t>A-5058__254</t>
        </is>
      </c>
      <c r="C4621" s="1" t="n">
        <v>37.2418042616</v>
      </c>
      <c r="D4621" s="1" t="n">
        <v>-7.0841646257</v>
      </c>
      <c r="E4621" s="3" t="n">
        <v>3</v>
      </c>
      <c r="F4621" s="2" t="n">
        <v>2</v>
      </c>
      <c r="G4621" s="4" t="n">
        <v>4</v>
      </c>
      <c r="H4621" s="13" t="n">
        <v>2</v>
      </c>
      <c r="I4621" s="34" t="n">
        <v>2</v>
      </c>
      <c r="J4621" s="35" t="n">
        <v>2</v>
      </c>
      <c r="K4621" s="2" t="inlineStr">
        <is>
          <t>marker_309_383584.png</t>
        </is>
      </c>
      <c r="L4621" s="36">
        <f>HYPERLINK("NoConsenso\" &amp; K4621, "Ver Imagen")</f>
        <v/>
      </c>
      <c r="M4621" t="inlineStr">
        <is>
          <t>Mediana</t>
        </is>
      </c>
    </row>
    <row r="4622">
      <c r="A4622" s="33" t="n">
        <v>4625</v>
      </c>
      <c r="B4622" t="inlineStr">
        <is>
          <t>A-5058__329</t>
        </is>
      </c>
      <c r="C4622" s="1" t="n">
        <v>37.2478216587</v>
      </c>
      <c r="D4622" s="1" t="n">
        <v>-7.10118083706</v>
      </c>
      <c r="E4622" s="3" t="n">
        <v>3</v>
      </c>
      <c r="F4622" s="2" t="n">
        <v>2</v>
      </c>
      <c r="G4622" s="4" t="n">
        <v>4</v>
      </c>
      <c r="H4622" s="13" t="n">
        <v>2</v>
      </c>
      <c r="I4622" s="34" t="n">
        <v>3</v>
      </c>
      <c r="J4622" s="37" t="n">
        <v>2</v>
      </c>
      <c r="K4622" s="2" t="inlineStr">
        <is>
          <t>marker_336_384611.png</t>
        </is>
      </c>
      <c r="L4622" s="36">
        <f>HYPERLINK("NoConsenso\" &amp; K4622, "Ver Imagen")</f>
        <v/>
      </c>
      <c r="M4622" s="37" t="inlineStr">
        <is>
          <t>Modificada</t>
        </is>
      </c>
    </row>
    <row r="4623">
      <c r="A4623" s="33" t="n">
        <v>4626</v>
      </c>
      <c r="B4623" t="inlineStr">
        <is>
          <t>A-5058__385</t>
        </is>
      </c>
      <c r="C4623" s="1" t="n">
        <v>37.2553755577</v>
      </c>
      <c r="D4623" s="1" t="n">
        <v>-7.11069089379</v>
      </c>
      <c r="E4623" s="3" t="n">
        <v>3</v>
      </c>
      <c r="F4623" s="2" t="n">
        <v>2</v>
      </c>
      <c r="G4623" s="4" t="n">
        <v>4</v>
      </c>
      <c r="H4623" s="13" t="n">
        <v>1</v>
      </c>
      <c r="I4623" s="34" t="n">
        <v>2</v>
      </c>
      <c r="J4623" s="35" t="n">
        <v>2</v>
      </c>
      <c r="K4623" s="2" t="inlineStr">
        <is>
          <t>marker_978_385258.png</t>
        </is>
      </c>
      <c r="L4623" s="36">
        <f>HYPERLINK("NoConsenso\" &amp; K4623, "Ver Imagen")</f>
        <v/>
      </c>
      <c r="M4623" t="inlineStr">
        <is>
          <t>Mediana</t>
        </is>
      </c>
    </row>
    <row r="4624">
      <c r="A4624" s="33" t="n">
        <v>4627</v>
      </c>
      <c r="B4624" t="inlineStr">
        <is>
          <t>A-5058__386</t>
        </is>
      </c>
      <c r="C4624" s="1" t="n">
        <v>37.2553826178</v>
      </c>
      <c r="D4624" s="1" t="n">
        <v>-7.11091698641</v>
      </c>
      <c r="E4624" s="3" t="n">
        <v>3</v>
      </c>
      <c r="F4624" s="2" t="n">
        <v>2</v>
      </c>
      <c r="G4624" s="4" t="n">
        <v>4</v>
      </c>
      <c r="H4624" s="13" t="n">
        <v>2</v>
      </c>
      <c r="I4624" s="34" t="n">
        <v>2</v>
      </c>
      <c r="J4624" s="35" t="n">
        <v>2</v>
      </c>
      <c r="K4624" s="2" t="inlineStr">
        <is>
          <t>marker_394_385268.png</t>
        </is>
      </c>
      <c r="L4624" s="36">
        <f>HYPERLINK("NoConsenso\" &amp; K4624, "Ver Imagen")</f>
        <v/>
      </c>
      <c r="M4624" t="inlineStr">
        <is>
          <t>Mediana</t>
        </is>
      </c>
    </row>
    <row r="4625">
      <c r="A4625" s="33" t="n">
        <v>4628</v>
      </c>
      <c r="B4625" t="inlineStr">
        <is>
          <t>A-5058__387</t>
        </is>
      </c>
      <c r="C4625" s="1" t="n">
        <v>37.2553760131</v>
      </c>
      <c r="D4625" s="1" t="n">
        <v>-7.11117341333</v>
      </c>
      <c r="E4625" s="3" t="n">
        <v>3</v>
      </c>
      <c r="F4625" s="2" t="n">
        <v>2</v>
      </c>
      <c r="G4625" s="4" t="n">
        <v>4</v>
      </c>
      <c r="H4625" s="13" t="n">
        <v>2</v>
      </c>
      <c r="I4625" s="34" t="n">
        <v>2</v>
      </c>
      <c r="J4625" s="35" t="n">
        <v>2</v>
      </c>
      <c r="K4625" s="2" t="inlineStr">
        <is>
          <t>marker_402_385278.png</t>
        </is>
      </c>
      <c r="L4625" s="36">
        <f>HYPERLINK("NoConsenso\" &amp; K4625, "Ver Imagen")</f>
        <v/>
      </c>
      <c r="M4625" t="inlineStr">
        <is>
          <t>Mediana</t>
        </is>
      </c>
    </row>
    <row r="4626">
      <c r="A4626" s="33" t="n">
        <v>4629</v>
      </c>
      <c r="B4626" t="inlineStr">
        <is>
          <t>A-5058__413</t>
        </is>
      </c>
      <c r="C4626" s="1" t="n">
        <v>37.2551111724</v>
      </c>
      <c r="D4626" s="1" t="n">
        <v>-7.1174468928</v>
      </c>
      <c r="E4626" s="3" t="n">
        <v>3</v>
      </c>
      <c r="F4626" s="2" t="n">
        <v>2</v>
      </c>
      <c r="G4626" s="4" t="n">
        <v>4</v>
      </c>
      <c r="H4626" s="13" t="n">
        <v>2</v>
      </c>
      <c r="I4626" s="34" t="n">
        <v>2</v>
      </c>
      <c r="J4626" s="35" t="n">
        <v>2</v>
      </c>
      <c r="K4626" s="2" t="inlineStr">
        <is>
          <t>marker_295_388679.png</t>
        </is>
      </c>
      <c r="L4626" s="36">
        <f>HYPERLINK("NoConsenso\" &amp; K4626, "Ver Imagen")</f>
        <v/>
      </c>
      <c r="M4626" t="inlineStr">
        <is>
          <t>Mediana</t>
        </is>
      </c>
    </row>
    <row r="4627">
      <c r="A4627" s="33" t="n">
        <v>4630</v>
      </c>
      <c r="B4627" t="inlineStr">
        <is>
          <t>A-5058__422</t>
        </is>
      </c>
      <c r="C4627" s="1" t="n">
        <v>37.256550867</v>
      </c>
      <c r="D4627" s="1" t="n">
        <v>-7.11879733959</v>
      </c>
      <c r="E4627" s="3" t="n">
        <v>3</v>
      </c>
      <c r="F4627" s="2" t="n">
        <v>2</v>
      </c>
      <c r="G4627" s="4" t="n">
        <v>4</v>
      </c>
      <c r="H4627" s="13" t="n">
        <v>2</v>
      </c>
      <c r="I4627" s="34" t="n">
        <v>2</v>
      </c>
      <c r="J4627" s="35" t="n">
        <v>2</v>
      </c>
      <c r="K4627" s="2" t="inlineStr">
        <is>
          <t>marker_850_388772.png</t>
        </is>
      </c>
      <c r="L4627" s="36">
        <f>HYPERLINK("NoConsenso\" &amp; K4627, "Ver Imagen")</f>
        <v/>
      </c>
      <c r="M4627" t="inlineStr">
        <is>
          <t>Mediana</t>
        </is>
      </c>
    </row>
    <row r="4628">
      <c r="A4628" s="33" t="n">
        <v>4631</v>
      </c>
      <c r="B4628" t="inlineStr">
        <is>
          <t>A-5058__429</t>
        </is>
      </c>
      <c r="C4628" s="1" t="n">
        <v>37.2577693378</v>
      </c>
      <c r="D4628" s="1" t="n">
        <v>-7.11969016609</v>
      </c>
      <c r="E4628" s="3" t="n">
        <v>3</v>
      </c>
      <c r="F4628" s="2" t="n">
        <v>2</v>
      </c>
      <c r="G4628" s="4" t="n">
        <v>4</v>
      </c>
      <c r="H4628" s="13" t="n">
        <v>2</v>
      </c>
      <c r="I4628" s="34" t="n">
        <v>3</v>
      </c>
      <c r="J4628" s="35" t="n">
        <v>3</v>
      </c>
      <c r="K4628" s="2" t="inlineStr">
        <is>
          <t>marker_578_388843.png</t>
        </is>
      </c>
      <c r="L4628" s="36">
        <f>HYPERLINK("NoConsenso\" &amp; K4628, "Ver Imagen")</f>
        <v/>
      </c>
      <c r="M4628" t="inlineStr">
        <is>
          <t>Mediana</t>
        </is>
      </c>
    </row>
    <row r="4629">
      <c r="A4629" s="33" t="n">
        <v>4632</v>
      </c>
      <c r="B4629" t="inlineStr">
        <is>
          <t>A-5058__446</t>
        </is>
      </c>
      <c r="C4629" s="1" t="n">
        <v>37.2588940445</v>
      </c>
      <c r="D4629" s="1" t="n">
        <v>-7.12352692671</v>
      </c>
      <c r="E4629" s="3" t="n">
        <v>4</v>
      </c>
      <c r="F4629" s="2" t="n">
        <v>3</v>
      </c>
      <c r="G4629" s="4" t="n">
        <v>5</v>
      </c>
      <c r="H4629" s="13" t="n">
        <v>3</v>
      </c>
      <c r="I4629" s="34" t="n">
        <v>4</v>
      </c>
      <c r="J4629" s="35" t="n">
        <v>4</v>
      </c>
      <c r="K4629" s="2" t="inlineStr">
        <is>
          <t>marker_146_389037.png</t>
        </is>
      </c>
      <c r="L4629" s="36">
        <f>HYPERLINK("NoConsenso\" &amp; K4629, "Ver Imagen")</f>
        <v/>
      </c>
      <c r="M4629" t="inlineStr">
        <is>
          <t>Mediana</t>
        </is>
      </c>
    </row>
    <row r="4630">
      <c r="A4630" s="33" t="n">
        <v>4633</v>
      </c>
      <c r="B4630" t="inlineStr">
        <is>
          <t>A-5058__447</t>
        </is>
      </c>
      <c r="C4630" s="1" t="n">
        <v>37.2589180931</v>
      </c>
      <c r="D4630" s="1" t="n">
        <v>-7.12382922391</v>
      </c>
      <c r="E4630" s="3" t="n">
        <v>4</v>
      </c>
      <c r="F4630" s="2" t="n">
        <v>3</v>
      </c>
      <c r="G4630" s="4" t="n">
        <v>5</v>
      </c>
      <c r="H4630" s="13" t="n">
        <v>3</v>
      </c>
      <c r="I4630" s="34" t="n">
        <v>4</v>
      </c>
      <c r="J4630" s="35" t="n">
        <v>4</v>
      </c>
      <c r="K4630" s="2" t="inlineStr">
        <is>
          <t>marker_101_389046.png</t>
        </is>
      </c>
      <c r="L4630" s="36">
        <f>HYPERLINK("NoConsenso\" &amp; K4630, "Ver Imagen")</f>
        <v/>
      </c>
      <c r="M4630" t="inlineStr">
        <is>
          <t>Mediana</t>
        </is>
      </c>
    </row>
    <row r="4631">
      <c r="A4631" s="33" t="n">
        <v>4634</v>
      </c>
      <c r="B4631" t="inlineStr">
        <is>
          <t>A-5058__450</t>
        </is>
      </c>
      <c r="C4631" s="1" t="n">
        <v>37.2589901044</v>
      </c>
      <c r="D4631" s="1" t="n">
        <v>-7.12457381055</v>
      </c>
      <c r="E4631" s="3" t="n">
        <v>4</v>
      </c>
      <c r="F4631" s="2" t="n">
        <v>3</v>
      </c>
      <c r="G4631" s="4" t="n">
        <v>5</v>
      </c>
      <c r="H4631" s="13" t="n">
        <v>3</v>
      </c>
      <c r="I4631" s="34" t="n">
        <v>3</v>
      </c>
      <c r="J4631" s="35" t="n">
        <v>3</v>
      </c>
      <c r="K4631" s="2" t="inlineStr">
        <is>
          <t>marker_809_389075.png</t>
        </is>
      </c>
      <c r="L4631" s="36">
        <f>HYPERLINK("NoConsenso\" &amp; K4631, "Ver Imagen")</f>
        <v/>
      </c>
      <c r="M4631" t="inlineStr">
        <is>
          <t>Mediana</t>
        </is>
      </c>
    </row>
    <row r="4632">
      <c r="A4632" s="33" t="n">
        <v>4635</v>
      </c>
      <c r="B4632" t="inlineStr">
        <is>
          <t>A-5058__451</t>
        </is>
      </c>
      <c r="C4632" s="1" t="n">
        <v>37.2590300529</v>
      </c>
      <c r="D4632" s="1" t="n">
        <v>-7.12482793903</v>
      </c>
      <c r="E4632" s="3" t="n">
        <v>3</v>
      </c>
      <c r="F4632" s="2" t="n">
        <v>3</v>
      </c>
      <c r="G4632" s="4" t="n">
        <v>5</v>
      </c>
      <c r="H4632" s="13" t="n">
        <v>2</v>
      </c>
      <c r="I4632" s="34" t="n">
        <v>3</v>
      </c>
      <c r="J4632" s="35" t="n">
        <v>3</v>
      </c>
      <c r="K4632" s="2" t="inlineStr">
        <is>
          <t>marker_821_389084.png</t>
        </is>
      </c>
      <c r="L4632" s="36">
        <f>HYPERLINK("NoConsenso\" &amp; K4632, "Ver Imagen")</f>
        <v/>
      </c>
      <c r="M4632" t="inlineStr">
        <is>
          <t>Mediana</t>
        </is>
      </c>
    </row>
    <row r="4633">
      <c r="A4633" s="33" t="n">
        <v>4636</v>
      </c>
      <c r="B4633" t="inlineStr">
        <is>
          <t>A-5058__459</t>
        </is>
      </c>
      <c r="C4633" s="1" t="n">
        <v>37.2598711331</v>
      </c>
      <c r="D4633" s="1" t="n">
        <v>-7.126470216</v>
      </c>
      <c r="E4633" s="3" t="n">
        <v>3</v>
      </c>
      <c r="F4633" s="2" t="n">
        <v>2</v>
      </c>
      <c r="G4633" s="4" t="n">
        <v>4</v>
      </c>
      <c r="H4633" s="13" t="n">
        <v>2</v>
      </c>
      <c r="I4633" s="34" t="n">
        <v>2</v>
      </c>
      <c r="J4633" s="35" t="n">
        <v>2</v>
      </c>
      <c r="K4633" s="2" t="inlineStr">
        <is>
          <t>marker_807_389303.png</t>
        </is>
      </c>
      <c r="L4633" s="36">
        <f>HYPERLINK("NoConsenso\" &amp; K4633, "Ver Imagen")</f>
        <v/>
      </c>
      <c r="M4633" t="inlineStr">
        <is>
          <t>Mediana</t>
        </is>
      </c>
    </row>
    <row r="4634">
      <c r="A4634" s="33" t="n">
        <v>4637</v>
      </c>
      <c r="B4634" t="inlineStr">
        <is>
          <t>A-5058__463</t>
        </is>
      </c>
      <c r="C4634" s="1" t="n">
        <v>37.2604935375</v>
      </c>
      <c r="D4634" s="1" t="n">
        <v>-7.12709472064</v>
      </c>
      <c r="E4634" s="3" t="n">
        <v>3</v>
      </c>
      <c r="F4634" s="2" t="n">
        <v>2</v>
      </c>
      <c r="G4634" s="4" t="n">
        <v>4</v>
      </c>
      <c r="H4634" s="13" t="n">
        <v>2</v>
      </c>
      <c r="I4634" s="34" t="n">
        <v>2</v>
      </c>
      <c r="J4634" s="35" t="n">
        <v>2</v>
      </c>
      <c r="K4634" s="2" t="inlineStr">
        <is>
          <t>marker_358_389342.png</t>
        </is>
      </c>
      <c r="L4634" s="36">
        <f>HYPERLINK("NoConsenso\" &amp; K4634, "Ver Imagen")</f>
        <v/>
      </c>
      <c r="M4634" t="inlineStr">
        <is>
          <t>Mediana</t>
        </is>
      </c>
    </row>
    <row r="4635">
      <c r="A4635" s="33" t="n">
        <v>4638</v>
      </c>
      <c r="B4635" t="inlineStr">
        <is>
          <t>A-5058__468</t>
        </is>
      </c>
      <c r="C4635" s="1" t="n">
        <v>37.2610666541</v>
      </c>
      <c r="D4635" s="1" t="n">
        <v>-7.12815877826</v>
      </c>
      <c r="E4635" s="3" t="n">
        <v>3</v>
      </c>
      <c r="F4635" s="2" t="n">
        <v>2</v>
      </c>
      <c r="G4635" s="4" t="n">
        <v>4</v>
      </c>
      <c r="H4635" s="13" t="n">
        <v>1</v>
      </c>
      <c r="I4635" s="34" t="n">
        <v>1</v>
      </c>
      <c r="J4635" s="37" t="n">
        <v>1</v>
      </c>
      <c r="K4635" s="2" t="inlineStr">
        <is>
          <t>marker_975_389386.png</t>
        </is>
      </c>
      <c r="L4635" s="36">
        <f>HYPERLINK("NoConsenso\" &amp; K4635, "Ver Imagen")</f>
        <v/>
      </c>
      <c r="M4635" s="37" t="inlineStr">
        <is>
          <t>Modificada</t>
        </is>
      </c>
    </row>
    <row r="4636">
      <c r="A4636" s="33" t="n">
        <v>4639</v>
      </c>
      <c r="B4636" t="inlineStr">
        <is>
          <t>A-495__2</t>
        </is>
      </c>
      <c r="C4636" s="1" t="n">
        <v>37.4440861116</v>
      </c>
      <c r="D4636" s="1" t="n">
        <v>-7.10000214935</v>
      </c>
      <c r="E4636" s="3" t="n">
        <v>5</v>
      </c>
      <c r="F4636" s="2" t="n">
        <v>3</v>
      </c>
      <c r="G4636" s="4" t="n">
        <v>3</v>
      </c>
      <c r="H4636" s="13" t="n">
        <v>4</v>
      </c>
      <c r="I4636" s="34" t="n">
        <v>3</v>
      </c>
      <c r="J4636" s="35" t="n">
        <v>3</v>
      </c>
      <c r="K4636" s="2" t="inlineStr">
        <is>
          <t>marker_986_380981.png</t>
        </is>
      </c>
      <c r="L4636" s="36">
        <f>HYPERLINK("NoConsenso\" &amp; K4636, "Ver Imagen")</f>
        <v/>
      </c>
      <c r="M4636" t="inlineStr">
        <is>
          <t>Mediana</t>
        </is>
      </c>
    </row>
    <row r="4637">
      <c r="A4637" s="33" t="n">
        <v>4640</v>
      </c>
      <c r="B4637" t="inlineStr">
        <is>
          <t>A-495_1__188</t>
        </is>
      </c>
      <c r="C4637" s="1" t="n">
        <v>37.4836230517</v>
      </c>
      <c r="D4637" s="1" t="n">
        <v>-7.12952162513</v>
      </c>
      <c r="E4637" s="3" t="n">
        <v>2</v>
      </c>
      <c r="F4637" s="2" t="n">
        <v>3</v>
      </c>
      <c r="G4637" s="4" t="n">
        <v>4</v>
      </c>
      <c r="H4637" s="13" t="n">
        <v>2</v>
      </c>
      <c r="I4637" s="34" t="n">
        <v>1</v>
      </c>
      <c r="J4637" s="35" t="n">
        <v>2</v>
      </c>
      <c r="K4637" s="2" t="inlineStr">
        <is>
          <t>marker_100_383748.png</t>
        </is>
      </c>
      <c r="L4637" s="36">
        <f>HYPERLINK("NoConsenso\" &amp; K4637, "Ver Imagen")</f>
        <v/>
      </c>
      <c r="M4637" t="inlineStr">
        <is>
          <t>Mediana</t>
        </is>
      </c>
    </row>
    <row r="4638">
      <c r="A4638" s="33" t="n">
        <v>4641</v>
      </c>
      <c r="B4638" t="inlineStr">
        <is>
          <t>A-495_1__171</t>
        </is>
      </c>
      <c r="C4638" s="1" t="n">
        <v>37.4805363134</v>
      </c>
      <c r="D4638" s="1" t="n">
        <v>-7.12775833968</v>
      </c>
      <c r="E4638" s="3" t="n">
        <v>5</v>
      </c>
      <c r="F4638" s="2" t="n">
        <v>3</v>
      </c>
      <c r="G4638" s="4" t="n">
        <v>4</v>
      </c>
      <c r="H4638" s="13" t="n">
        <v>4</v>
      </c>
      <c r="I4638" s="34" t="n">
        <v>3</v>
      </c>
      <c r="J4638" s="35" t="n">
        <v>4</v>
      </c>
      <c r="K4638" s="2" t="inlineStr">
        <is>
          <t>marker_258_383976.png</t>
        </is>
      </c>
      <c r="L4638" s="36">
        <f>HYPERLINK("NoConsenso\" &amp; K4638, "Ver Imagen")</f>
        <v/>
      </c>
      <c r="M4638" t="inlineStr">
        <is>
          <t>Mediana</t>
        </is>
      </c>
    </row>
    <row r="4639">
      <c r="A4639" s="33" t="n">
        <v>4642</v>
      </c>
      <c r="B4639" t="inlineStr">
        <is>
          <t>A-495_1__165</t>
        </is>
      </c>
      <c r="C4639" s="1" t="n">
        <v>37.4793289791</v>
      </c>
      <c r="D4639" s="1" t="n">
        <v>-7.12801944462</v>
      </c>
      <c r="E4639" s="3" t="n">
        <v>5</v>
      </c>
      <c r="F4639" s="2" t="n">
        <v>3</v>
      </c>
      <c r="G4639" s="4" t="n">
        <v>4</v>
      </c>
      <c r="H4639" s="13" t="n">
        <v>3</v>
      </c>
      <c r="I4639" s="34" t="n">
        <v>3</v>
      </c>
      <c r="J4639" s="35" t="n">
        <v>3</v>
      </c>
      <c r="K4639" s="2" t="inlineStr">
        <is>
          <t>marker_879_384038.png</t>
        </is>
      </c>
      <c r="L4639" s="36">
        <f>HYPERLINK("NoConsenso\" &amp; K4639, "Ver Imagen")</f>
        <v/>
      </c>
      <c r="M4639" t="inlineStr">
        <is>
          <t>Mediana</t>
        </is>
      </c>
    </row>
    <row r="4640">
      <c r="A4640" s="33" t="n">
        <v>4643</v>
      </c>
      <c r="B4640" t="inlineStr">
        <is>
          <t>A-495_1__163</t>
        </is>
      </c>
      <c r="C4640" s="1" t="n">
        <v>37.4789500591</v>
      </c>
      <c r="D4640" s="1" t="n">
        <v>-7.12796055729</v>
      </c>
      <c r="E4640" s="3" t="n">
        <v>4</v>
      </c>
      <c r="F4640" s="2" t="n">
        <v>3</v>
      </c>
      <c r="G4640" s="4" t="n">
        <v>2</v>
      </c>
      <c r="H4640" s="13" t="n">
        <v>2</v>
      </c>
      <c r="I4640" s="34" t="n">
        <v>2</v>
      </c>
      <c r="J4640" s="35" t="n">
        <v>2</v>
      </c>
      <c r="K4640" s="2" t="inlineStr">
        <is>
          <t>marker_338_384055.png</t>
        </is>
      </c>
      <c r="L4640" s="36">
        <f>HYPERLINK("NoConsenso\" &amp; K4640, "Ver Imagen")</f>
        <v/>
      </c>
      <c r="M4640" t="inlineStr">
        <is>
          <t>Mediana</t>
        </is>
      </c>
    </row>
    <row r="4641">
      <c r="A4641" s="33" t="n">
        <v>4644</v>
      </c>
      <c r="B4641" t="inlineStr">
        <is>
          <t>A-495_1__160</t>
        </is>
      </c>
      <c r="C4641" s="1" t="n">
        <v>37.4783884556</v>
      </c>
      <c r="D4641" s="1" t="n">
        <v>-7.12768477024</v>
      </c>
      <c r="E4641" s="3" t="n">
        <v>5</v>
      </c>
      <c r="F4641" s="2" t="n">
        <v>3</v>
      </c>
      <c r="G4641" s="4" t="n">
        <v>4</v>
      </c>
      <c r="H4641" s="13" t="n">
        <v>3</v>
      </c>
      <c r="I4641" s="34" t="n">
        <v>2</v>
      </c>
      <c r="J4641" s="35" t="n">
        <v>3</v>
      </c>
      <c r="K4641" s="2" t="inlineStr">
        <is>
          <t>marker_266_384094.png</t>
        </is>
      </c>
      <c r="L4641" s="36">
        <f>HYPERLINK("NoConsenso\" &amp; K4641, "Ver Imagen")</f>
        <v/>
      </c>
      <c r="M4641" t="inlineStr">
        <is>
          <t>Mediana</t>
        </is>
      </c>
    </row>
    <row r="4642">
      <c r="A4642" s="33" t="n">
        <v>4645</v>
      </c>
      <c r="B4642" t="inlineStr">
        <is>
          <t>A-495_1__156</t>
        </is>
      </c>
      <c r="C4642" s="1" t="n">
        <v>37.477801395</v>
      </c>
      <c r="D4642" s="1" t="n">
        <v>-7.12702963885</v>
      </c>
      <c r="E4642" s="3" t="n">
        <v>5</v>
      </c>
      <c r="F4642" s="2" t="n">
        <v>3</v>
      </c>
      <c r="G4642" s="4" t="n">
        <v>3</v>
      </c>
      <c r="H4642" s="13" t="n">
        <v>2</v>
      </c>
      <c r="I4642" s="34" t="n">
        <v>2</v>
      </c>
      <c r="J4642" s="35" t="n">
        <v>3</v>
      </c>
      <c r="K4642" s="2" t="inlineStr">
        <is>
          <t>marker_908_384148.png</t>
        </is>
      </c>
      <c r="L4642" s="36">
        <f>HYPERLINK("NoConsenso\" &amp; K4642, "Ver Imagen")</f>
        <v/>
      </c>
      <c r="M4642" t="inlineStr">
        <is>
          <t>Mediana</t>
        </is>
      </c>
    </row>
    <row r="4643">
      <c r="A4643" s="33" t="n">
        <v>4646</v>
      </c>
      <c r="B4643" t="inlineStr">
        <is>
          <t>A-495_1__155</t>
        </is>
      </c>
      <c r="C4643" s="1" t="n">
        <v>37.4776627073</v>
      </c>
      <c r="D4643" s="1" t="n">
        <v>-7.1268358664</v>
      </c>
      <c r="E4643" s="3" t="n">
        <v>5</v>
      </c>
      <c r="F4643" s="2" t="n">
        <v>3</v>
      </c>
      <c r="G4643" s="4" t="n">
        <v>4</v>
      </c>
      <c r="H4643" s="13" t="n">
        <v>3</v>
      </c>
      <c r="I4643" s="34" t="n">
        <v>3</v>
      </c>
      <c r="J4643" s="35" t="n">
        <v>3</v>
      </c>
      <c r="K4643" s="2" t="inlineStr">
        <is>
          <t>marker_224_384167.png</t>
        </is>
      </c>
      <c r="L4643" s="36">
        <f>HYPERLINK("NoConsenso\" &amp; K4643, "Ver Imagen")</f>
        <v/>
      </c>
      <c r="M4643" t="inlineStr">
        <is>
          <t>Mediana</t>
        </is>
      </c>
    </row>
    <row r="4644">
      <c r="A4644" s="33" t="n">
        <v>4647</v>
      </c>
      <c r="B4644" t="inlineStr">
        <is>
          <t>A-495_1__152</t>
        </is>
      </c>
      <c r="C4644" s="1" t="n">
        <v>37.4772613984</v>
      </c>
      <c r="D4644" s="1" t="n">
        <v>-7.12624825359</v>
      </c>
      <c r="E4644" s="3" t="n">
        <v>5</v>
      </c>
      <c r="F4644" s="2" t="n">
        <v>3</v>
      </c>
      <c r="G4644" s="4" t="n">
        <v>4</v>
      </c>
      <c r="H4644" s="13" t="n">
        <v>3</v>
      </c>
      <c r="I4644" s="34" t="n">
        <v>3</v>
      </c>
      <c r="J4644" s="35" t="n">
        <v>3</v>
      </c>
      <c r="K4644" s="2" t="inlineStr">
        <is>
          <t>marker_831_384193.png</t>
        </is>
      </c>
      <c r="L4644" s="36">
        <f>HYPERLINK("NoConsenso\" &amp; K4644, "Ver Imagen")</f>
        <v/>
      </c>
      <c r="M4644" t="inlineStr">
        <is>
          <t>Mediana</t>
        </is>
      </c>
    </row>
    <row r="4645">
      <c r="A4645" s="33" t="n">
        <v>4648</v>
      </c>
      <c r="B4645" t="inlineStr">
        <is>
          <t>A-495_1__145</t>
        </is>
      </c>
      <c r="C4645" s="1" t="n">
        <v>37.4759728739</v>
      </c>
      <c r="D4645" s="1" t="n">
        <v>-7.12580101642</v>
      </c>
      <c r="E4645" s="3" t="n">
        <v>4</v>
      </c>
      <c r="F4645" s="2" t="n">
        <v>3</v>
      </c>
      <c r="G4645" s="4" t="n">
        <v>2</v>
      </c>
      <c r="H4645" s="13" t="n">
        <v>3</v>
      </c>
      <c r="I4645" s="34" t="n">
        <v>3</v>
      </c>
      <c r="J4645" s="35" t="n">
        <v>3</v>
      </c>
      <c r="K4645" s="2" t="inlineStr">
        <is>
          <t>marker_230_384301.png</t>
        </is>
      </c>
      <c r="L4645" s="36">
        <f>HYPERLINK("NoConsenso\" &amp; K4645, "Ver Imagen")</f>
        <v/>
      </c>
      <c r="M4645" t="inlineStr">
        <is>
          <t>Mediana</t>
        </is>
      </c>
    </row>
    <row r="4646">
      <c r="A4646" s="33" t="n">
        <v>4649</v>
      </c>
      <c r="B4646" t="inlineStr">
        <is>
          <t>A-495_1__137</t>
        </is>
      </c>
      <c r="C4646" s="1" t="n">
        <v>37.4743880785</v>
      </c>
      <c r="D4646" s="1" t="n">
        <v>-7.12613772818</v>
      </c>
      <c r="E4646" s="3" t="n">
        <v>3</v>
      </c>
      <c r="F4646" s="2" t="n">
        <v>3</v>
      </c>
      <c r="G4646" s="4" t="n">
        <v>1</v>
      </c>
      <c r="H4646" s="13" t="n">
        <v>2</v>
      </c>
      <c r="I4646" s="34" t="n">
        <v>1</v>
      </c>
      <c r="J4646" s="35" t="n">
        <v>2</v>
      </c>
      <c r="K4646" s="2" t="inlineStr">
        <is>
          <t>marker_539_384403.png</t>
        </is>
      </c>
      <c r="L4646" s="36">
        <f>HYPERLINK("NoConsenso\" &amp; K4646, "Ver Imagen")</f>
        <v/>
      </c>
      <c r="M4646" t="inlineStr">
        <is>
          <t>Mediana</t>
        </is>
      </c>
    </row>
    <row r="4647">
      <c r="A4647" s="33" t="n">
        <v>4650</v>
      </c>
      <c r="B4647" t="inlineStr">
        <is>
          <t>A-495_1__82</t>
        </is>
      </c>
      <c r="C4647" s="1" t="n">
        <v>37.4641406997</v>
      </c>
      <c r="D4647" s="1" t="n">
        <v>-7.12377039836</v>
      </c>
      <c r="E4647" s="3" t="n">
        <v>1</v>
      </c>
      <c r="F4647" s="2" t="n">
        <v>3</v>
      </c>
      <c r="G4647" s="4" t="n">
        <v>3</v>
      </c>
      <c r="H4647" s="13" t="n">
        <v>1</v>
      </c>
      <c r="I4647" s="34" t="n">
        <v>1</v>
      </c>
      <c r="J4647" s="35" t="n">
        <v>1</v>
      </c>
      <c r="K4647" s="2" t="inlineStr">
        <is>
          <t>marker_542_385216.png</t>
        </is>
      </c>
      <c r="L4647" s="36">
        <f>HYPERLINK("NoConsenso\" &amp; K4647, "Ver Imagen")</f>
        <v/>
      </c>
      <c r="M4647" t="inlineStr">
        <is>
          <t>Mediana</t>
        </is>
      </c>
    </row>
    <row r="4648">
      <c r="A4648" s="33" t="n">
        <v>4651</v>
      </c>
      <c r="B4648" t="inlineStr">
        <is>
          <t>A-497__793</t>
        </is>
      </c>
      <c r="C4648" s="1" t="n">
        <v>37.191970929</v>
      </c>
      <c r="D4648" s="1" t="n">
        <v>-6.9777029873</v>
      </c>
      <c r="E4648" s="3" t="n">
        <v>5</v>
      </c>
      <c r="F4648" s="2" t="n">
        <v>3</v>
      </c>
      <c r="G4648" s="4" t="n">
        <v>3</v>
      </c>
      <c r="H4648" s="13" t="n">
        <v>2</v>
      </c>
      <c r="I4648" s="34" t="n">
        <v>3</v>
      </c>
      <c r="J4648" s="35" t="n">
        <v>3</v>
      </c>
      <c r="K4648" s="2" t="inlineStr">
        <is>
          <t>marker_414_368028.png</t>
        </is>
      </c>
      <c r="L4648" s="36">
        <f>HYPERLINK("NoConsenso\" &amp; K4648, "Ver Imagen")</f>
        <v/>
      </c>
      <c r="M4648" t="inlineStr">
        <is>
          <t>Mediana</t>
        </is>
      </c>
    </row>
    <row r="4649">
      <c r="A4649" s="33" t="n">
        <v>4652</v>
      </c>
      <c r="B4649" t="inlineStr">
        <is>
          <t>A-497__755</t>
        </is>
      </c>
      <c r="C4649" s="1" t="n">
        <v>37.1863844679</v>
      </c>
      <c r="D4649" s="1" t="n">
        <v>-6.9797013794</v>
      </c>
      <c r="E4649" s="3" t="n">
        <v>3</v>
      </c>
      <c r="F4649" s="2" t="n">
        <v>4</v>
      </c>
      <c r="G4649" s="4" t="n">
        <v>5</v>
      </c>
      <c r="H4649" s="13" t="n">
        <v>3</v>
      </c>
      <c r="I4649" s="34" t="n">
        <v>4</v>
      </c>
      <c r="J4649" s="35" t="n">
        <v>4</v>
      </c>
      <c r="K4649" s="2" t="inlineStr">
        <is>
          <t>marker_531_368623.png</t>
        </is>
      </c>
      <c r="L4649" s="36">
        <f>HYPERLINK("NoConsenso\" &amp; K4649, "Ver Imagen")</f>
        <v/>
      </c>
      <c r="M4649" t="inlineStr">
        <is>
          <t>Mediana</t>
        </is>
      </c>
    </row>
    <row r="4650">
      <c r="A4650" s="33" t="n">
        <v>4653</v>
      </c>
      <c r="B4650" t="inlineStr">
        <is>
          <t>A-497_2C__6</t>
        </is>
      </c>
      <c r="C4650" s="1" t="n">
        <v>37.2673468365</v>
      </c>
      <c r="D4650" s="1" t="n">
        <v>-6.95848794653</v>
      </c>
      <c r="E4650" s="3" t="n">
        <v>5</v>
      </c>
      <c r="F4650" s="2" t="n">
        <v>3</v>
      </c>
      <c r="G4650" s="4" t="n">
        <v>3</v>
      </c>
      <c r="H4650" s="13" t="n">
        <v>2</v>
      </c>
      <c r="I4650" s="34" t="n">
        <v>2</v>
      </c>
      <c r="J4650" s="37" t="n">
        <v>2</v>
      </c>
      <c r="K4650" s="2" t="inlineStr">
        <is>
          <t>marker_751_653780.png</t>
        </is>
      </c>
      <c r="L4650" s="36">
        <f>HYPERLINK("NoConsenso\" &amp; K4650, "Ver Imagen")</f>
        <v/>
      </c>
      <c r="M4650" s="37" t="inlineStr">
        <is>
          <t>Modificada</t>
        </is>
      </c>
    </row>
    <row r="4651">
      <c r="A4651" s="33" t="n">
        <v>4654</v>
      </c>
      <c r="B4651" t="inlineStr">
        <is>
          <t>A-497_2C__28</t>
        </is>
      </c>
      <c r="C4651" s="1" t="n">
        <v>37.2676474541</v>
      </c>
      <c r="D4651" s="1" t="n">
        <v>-6.96404812292</v>
      </c>
      <c r="E4651" s="3" t="n">
        <v>5</v>
      </c>
      <c r="F4651" s="2" t="n">
        <v>3</v>
      </c>
      <c r="G4651" s="4" t="n">
        <v>3</v>
      </c>
      <c r="H4651" s="13" t="n">
        <v>2</v>
      </c>
      <c r="I4651" s="34" t="n">
        <v>2</v>
      </c>
      <c r="J4651" s="35" t="n">
        <v>3</v>
      </c>
      <c r="K4651" s="2" t="inlineStr">
        <is>
          <t>marker_645_654469.png</t>
        </is>
      </c>
      <c r="L4651" s="36">
        <f>HYPERLINK("NoConsenso\" &amp; K4651, "Ver Imagen")</f>
        <v/>
      </c>
      <c r="M4651" t="inlineStr">
        <is>
          <t>Mediana</t>
        </is>
      </c>
    </row>
    <row r="4652">
      <c r="A4652" s="33" t="n">
        <v>4655</v>
      </c>
      <c r="B4652" t="inlineStr">
        <is>
          <t>A-497_2C__29</t>
        </is>
      </c>
      <c r="C4652" s="1" t="n">
        <v>37.2676535682</v>
      </c>
      <c r="D4652" s="1" t="n">
        <v>-6.96432324213</v>
      </c>
      <c r="E4652" s="3" t="n">
        <v>5</v>
      </c>
      <c r="F4652" s="2" t="n">
        <v>3</v>
      </c>
      <c r="G4652" s="4" t="n">
        <v>3</v>
      </c>
      <c r="H4652" s="13" t="n">
        <v>3</v>
      </c>
      <c r="I4652" s="34" t="n">
        <v>3</v>
      </c>
      <c r="J4652" s="35" t="n">
        <v>3</v>
      </c>
      <c r="K4652" s="2" t="inlineStr">
        <is>
          <t>marker_286_654479.png</t>
        </is>
      </c>
      <c r="L4652" s="36">
        <f>HYPERLINK("NoConsenso\" &amp; K4652, "Ver Imagen")</f>
        <v/>
      </c>
      <c r="M4652" t="inlineStr">
        <is>
          <t>Mediana</t>
        </is>
      </c>
    </row>
    <row r="4653">
      <c r="A4653" s="33" t="n">
        <v>4656</v>
      </c>
      <c r="B4653" t="inlineStr">
        <is>
          <t>A-497_2C__30</t>
        </is>
      </c>
      <c r="C4653" s="1" t="n">
        <v>37.2676600965</v>
      </c>
      <c r="D4653" s="1" t="n">
        <v>-6.96459546002</v>
      </c>
      <c r="E4653" s="3" t="n">
        <v>5</v>
      </c>
      <c r="F4653" s="2" t="n">
        <v>3</v>
      </c>
      <c r="G4653" s="4" t="n">
        <v>3</v>
      </c>
      <c r="H4653" s="13" t="n">
        <v>3</v>
      </c>
      <c r="I4653" s="34" t="n">
        <v>3</v>
      </c>
      <c r="J4653" s="35" t="n">
        <v>3</v>
      </c>
      <c r="K4653" s="2" t="inlineStr">
        <is>
          <t>marker_725_654488.png</t>
        </is>
      </c>
      <c r="L4653" s="36">
        <f>HYPERLINK("NoConsenso\" &amp; K4653, "Ver Imagen")</f>
        <v/>
      </c>
      <c r="M4653" t="inlineStr">
        <is>
          <t>Mediana</t>
        </is>
      </c>
    </row>
    <row r="4654">
      <c r="A4654" s="33" t="n">
        <v>4657</v>
      </c>
      <c r="B4654" t="inlineStr">
        <is>
          <t>A-497_2C__31</t>
        </is>
      </c>
      <c r="C4654" s="1" t="n">
        <v>37.2676671182</v>
      </c>
      <c r="D4654" s="1" t="n">
        <v>-6.96487962762</v>
      </c>
      <c r="E4654" s="3" t="n">
        <v>5</v>
      </c>
      <c r="F4654" s="2" t="n">
        <v>3</v>
      </c>
      <c r="G4654" s="4" t="n">
        <v>3</v>
      </c>
      <c r="H4654" s="13" t="n">
        <v>3</v>
      </c>
      <c r="I4654" s="34" t="n">
        <v>3</v>
      </c>
      <c r="J4654" s="35" t="n">
        <v>3</v>
      </c>
      <c r="K4654" s="2" t="inlineStr">
        <is>
          <t>marker_738_654499.png</t>
        </is>
      </c>
      <c r="L4654" s="36">
        <f>HYPERLINK("NoConsenso\" &amp; K4654, "Ver Imagen")</f>
        <v/>
      </c>
      <c r="M4654" t="inlineStr">
        <is>
          <t>Mediana</t>
        </is>
      </c>
    </row>
    <row r="4655">
      <c r="A4655" s="33" t="n">
        <v>4658</v>
      </c>
      <c r="B4655" t="inlineStr">
        <is>
          <t>A-499__129</t>
        </is>
      </c>
      <c r="C4655" s="1" t="n">
        <v>37.5044605798</v>
      </c>
      <c r="D4655" s="1" t="n">
        <v>-7.2655789487</v>
      </c>
      <c r="E4655" s="3" t="n">
        <v>2</v>
      </c>
      <c r="F4655" s="2" t="n">
        <v>1</v>
      </c>
      <c r="G4655" s="4" t="n">
        <v>3</v>
      </c>
      <c r="H4655" s="13" t="n">
        <v>1</v>
      </c>
      <c r="I4655" s="34" t="n">
        <v>1</v>
      </c>
      <c r="J4655" s="35" t="n">
        <v>1</v>
      </c>
      <c r="K4655" s="2" t="inlineStr">
        <is>
          <t>marker_376_793769.png</t>
        </is>
      </c>
      <c r="L4655" s="36">
        <f>HYPERLINK("NoConsenso\" &amp; K4655, "Ver Imagen")</f>
        <v/>
      </c>
      <c r="M4655" t="inlineStr">
        <is>
          <t>Mediana</t>
        </is>
      </c>
    </row>
    <row r="4656">
      <c r="A4656" s="33" t="n">
        <v>4659</v>
      </c>
      <c r="B4656" t="inlineStr">
        <is>
          <t>A-499__139</t>
        </is>
      </c>
      <c r="C4656" s="1" t="n">
        <v>37.5064622637</v>
      </c>
      <c r="D4656" s="1" t="n">
        <v>-7.26535121952</v>
      </c>
      <c r="E4656" s="3" t="n">
        <v>2</v>
      </c>
      <c r="F4656" s="2" t="n">
        <v>1</v>
      </c>
      <c r="G4656" s="4" t="n">
        <v>3</v>
      </c>
      <c r="H4656" s="13" t="n">
        <v>1</v>
      </c>
      <c r="I4656" s="34" t="n">
        <v>1</v>
      </c>
      <c r="J4656" s="35" t="n">
        <v>1</v>
      </c>
      <c r="K4656" s="2" t="inlineStr">
        <is>
          <t>marker_516_794054.png</t>
        </is>
      </c>
      <c r="L4656" s="36">
        <f>HYPERLINK("NoConsenso\" &amp; K4656, "Ver Imagen")</f>
        <v/>
      </c>
      <c r="M4656" t="inlineStr">
        <is>
          <t>Mediana</t>
        </is>
      </c>
    </row>
    <row r="4657">
      <c r="A4657" s="33" t="n">
        <v>4660</v>
      </c>
      <c r="B4657" t="inlineStr">
        <is>
          <t>A-499__148</t>
        </is>
      </c>
      <c r="C4657" s="1" t="n">
        <v>37.5080514294</v>
      </c>
      <c r="D4657" s="1" t="n">
        <v>-7.26640151679</v>
      </c>
      <c r="E4657" s="3" t="n">
        <v>2</v>
      </c>
      <c r="F4657" s="2" t="n">
        <v>1</v>
      </c>
      <c r="G4657" s="4" t="n">
        <v>3</v>
      </c>
      <c r="H4657" s="13" t="n">
        <v>1</v>
      </c>
      <c r="I4657" s="34" t="n">
        <v>1</v>
      </c>
      <c r="J4657" s="35" t="n">
        <v>1</v>
      </c>
      <c r="K4657" s="2" t="inlineStr">
        <is>
          <t>marker_814_794252.png</t>
        </is>
      </c>
      <c r="L4657" s="36">
        <f>HYPERLINK("NoConsenso\" &amp; K4657, "Ver Imagen")</f>
        <v/>
      </c>
      <c r="M4657" t="inlineStr">
        <is>
          <t>Mediana</t>
        </is>
      </c>
    </row>
    <row r="4658">
      <c r="A4658" s="33" t="n">
        <v>4661</v>
      </c>
      <c r="B4658" t="inlineStr">
        <is>
          <t>A-499__149</t>
        </is>
      </c>
      <c r="C4658" s="1" t="n">
        <v>37.508215288</v>
      </c>
      <c r="D4658" s="1" t="n">
        <v>-7.26653472737</v>
      </c>
      <c r="E4658" s="3" t="n">
        <v>2</v>
      </c>
      <c r="F4658" s="2" t="n">
        <v>1</v>
      </c>
      <c r="G4658" s="4" t="n">
        <v>3</v>
      </c>
      <c r="H4658" s="13" t="n">
        <v>1</v>
      </c>
      <c r="I4658" s="34" t="n">
        <v>1</v>
      </c>
      <c r="J4658" s="35" t="n">
        <v>1</v>
      </c>
      <c r="K4658" s="2" t="inlineStr">
        <is>
          <t>marker_973_794289.png</t>
        </is>
      </c>
      <c r="L4658" s="36">
        <f>HYPERLINK("NoConsenso\" &amp; K4658, "Ver Imagen")</f>
        <v/>
      </c>
      <c r="M4658" t="inlineStr">
        <is>
          <t>Mediana</t>
        </is>
      </c>
    </row>
    <row r="4659">
      <c r="A4659" s="33" t="n">
        <v>4662</v>
      </c>
      <c r="B4659" t="inlineStr">
        <is>
          <t>A-499__197</t>
        </is>
      </c>
      <c r="C4659" s="1" t="n">
        <v>37.5167581565</v>
      </c>
      <c r="D4659" s="1" t="n">
        <v>-7.26633683851</v>
      </c>
      <c r="E4659" s="3" t="n">
        <v>1</v>
      </c>
      <c r="F4659" s="2" t="n">
        <v>1</v>
      </c>
      <c r="G4659" s="4" t="n">
        <v>3</v>
      </c>
      <c r="H4659" s="13" t="n">
        <v>1</v>
      </c>
      <c r="I4659" s="34" t="n">
        <v>1</v>
      </c>
      <c r="J4659" s="35" t="n">
        <v>1</v>
      </c>
      <c r="K4659" s="2" t="inlineStr">
        <is>
          <t>marker_981_795961.png</t>
        </is>
      </c>
      <c r="L4659" s="36">
        <f>HYPERLINK("NoConsenso\" &amp; K4659, "Ver Imagen")</f>
        <v/>
      </c>
      <c r="M4659" t="inlineStr">
        <is>
          <t>Mediana</t>
        </is>
      </c>
    </row>
    <row r="4660">
      <c r="A4660" s="33" t="n">
        <v>4663</v>
      </c>
      <c r="B4660" t="inlineStr">
        <is>
          <t>A-499__225</t>
        </is>
      </c>
      <c r="C4660" s="1" t="n">
        <v>37.5202578848</v>
      </c>
      <c r="D4660" s="1" t="n">
        <v>-7.26101411581</v>
      </c>
      <c r="E4660" s="3" t="n">
        <v>2</v>
      </c>
      <c r="F4660" s="2" t="n">
        <v>1</v>
      </c>
      <c r="G4660" s="4" t="n">
        <v>3</v>
      </c>
      <c r="H4660" s="13" t="n">
        <v>1</v>
      </c>
      <c r="I4660" s="34" t="n">
        <v>1</v>
      </c>
      <c r="J4660" s="35" t="n">
        <v>1</v>
      </c>
      <c r="K4660" s="2" t="inlineStr">
        <is>
          <t>marker_760_796545.png</t>
        </is>
      </c>
      <c r="L4660" s="36">
        <f>HYPERLINK("NoConsenso\" &amp; K4660, "Ver Imagen")</f>
        <v/>
      </c>
      <c r="M4660" t="inlineStr">
        <is>
          <t>Mediana</t>
        </is>
      </c>
    </row>
    <row r="4661">
      <c r="A4661" s="33" t="n">
        <v>4664</v>
      </c>
      <c r="B4661" t="inlineStr">
        <is>
          <t>A-497_2C__35</t>
        </is>
      </c>
      <c r="C4661" s="1" t="n">
        <v>37.2676954738</v>
      </c>
      <c r="D4661" s="1" t="n">
        <v>-6.96582409099</v>
      </c>
      <c r="E4661" s="3" t="n">
        <v>5</v>
      </c>
      <c r="F4661" s="2" t="n">
        <v>3</v>
      </c>
      <c r="G4661" s="4" t="n">
        <v>3</v>
      </c>
      <c r="H4661" s="13" t="n">
        <v>3</v>
      </c>
      <c r="I4661" s="34" t="n">
        <v>3</v>
      </c>
      <c r="J4661" s="35" t="n">
        <v>3</v>
      </c>
      <c r="K4661" s="2" t="inlineStr">
        <is>
          <t>marker_537_654534.png</t>
        </is>
      </c>
      <c r="L4661" s="36">
        <f>HYPERLINK("NoConsenso\" &amp; K4661, "Ver Imagen")</f>
        <v/>
      </c>
      <c r="M4661" t="inlineStr">
        <is>
          <t>Mediana</t>
        </is>
      </c>
    </row>
    <row r="4662">
      <c r="A4662" s="33" t="n">
        <v>4665</v>
      </c>
      <c r="B4662" t="inlineStr">
        <is>
          <t>A-497_2C__38</t>
        </is>
      </c>
      <c r="C4662" s="1" t="n">
        <v>37.2677313869</v>
      </c>
      <c r="D4662" s="1" t="n">
        <v>-6.96661008035</v>
      </c>
      <c r="E4662" s="3" t="n">
        <v>5</v>
      </c>
      <c r="F4662" s="2" t="n">
        <v>3</v>
      </c>
      <c r="G4662" s="4" t="n">
        <v>3</v>
      </c>
      <c r="H4662" s="13" t="n">
        <v>3</v>
      </c>
      <c r="I4662" s="34" t="n">
        <v>4</v>
      </c>
      <c r="J4662" s="35" t="n">
        <v>3</v>
      </c>
      <c r="K4662" s="2" t="inlineStr">
        <is>
          <t>marker_211_654629.png</t>
        </is>
      </c>
      <c r="L4662" s="36">
        <f>HYPERLINK("NoConsenso\" &amp; K4662, "Ver Imagen")</f>
        <v/>
      </c>
      <c r="M4662" t="inlineStr">
        <is>
          <t>Mediana</t>
        </is>
      </c>
    </row>
    <row r="4663">
      <c r="A4663" s="33" t="n">
        <v>4666</v>
      </c>
      <c r="B4663" t="inlineStr">
        <is>
          <t>A-497_2C__39</t>
        </is>
      </c>
      <c r="C4663" s="1" t="n">
        <v>37.2677456084</v>
      </c>
      <c r="D4663" s="1" t="n">
        <v>-6.96687353913</v>
      </c>
      <c r="E4663" s="3" t="n">
        <v>5</v>
      </c>
      <c r="F4663" s="2" t="n">
        <v>3</v>
      </c>
      <c r="G4663" s="4" t="n">
        <v>3</v>
      </c>
      <c r="H4663" s="13" t="n">
        <v>3</v>
      </c>
      <c r="I4663" s="34" t="n">
        <v>4</v>
      </c>
      <c r="J4663" s="35" t="n">
        <v>3</v>
      </c>
      <c r="K4663" s="2" t="inlineStr">
        <is>
          <t>marker_225_654638.png</t>
        </is>
      </c>
      <c r="L4663" s="36">
        <f>HYPERLINK("NoConsenso\" &amp; K4663, "Ver Imagen")</f>
        <v/>
      </c>
      <c r="M4663" t="inlineStr">
        <is>
          <t>Mediana</t>
        </is>
      </c>
    </row>
    <row r="4664">
      <c r="A4664" s="33" t="n">
        <v>4667</v>
      </c>
      <c r="B4664" t="inlineStr">
        <is>
          <t>A-497_2C__43</t>
        </is>
      </c>
      <c r="C4664" s="1" t="n">
        <v>37.2678137294</v>
      </c>
      <c r="D4664" s="1" t="n">
        <v>-6.96787423494</v>
      </c>
      <c r="E4664" s="3" t="n">
        <v>5</v>
      </c>
      <c r="F4664" s="2" t="n">
        <v>3</v>
      </c>
      <c r="G4664" s="4" t="n">
        <v>3</v>
      </c>
      <c r="H4664" s="13" t="n">
        <v>3</v>
      </c>
      <c r="I4664" s="34" t="n">
        <v>3</v>
      </c>
      <c r="J4664" s="35" t="n">
        <v>3</v>
      </c>
      <c r="K4664" s="2" t="inlineStr">
        <is>
          <t>marker_597_654674.png</t>
        </is>
      </c>
      <c r="L4664" s="36">
        <f>HYPERLINK("NoConsenso\" &amp; K4664, "Ver Imagen")</f>
        <v/>
      </c>
      <c r="M4664" t="inlineStr">
        <is>
          <t>Mediana</t>
        </is>
      </c>
    </row>
    <row r="4665">
      <c r="A4665" s="33" t="n">
        <v>4668</v>
      </c>
      <c r="B4665" t="inlineStr">
        <is>
          <t>A-499__236</t>
        </is>
      </c>
      <c r="C4665" s="1" t="n">
        <v>37.5221139959</v>
      </c>
      <c r="D4665" s="1" t="n">
        <v>-7.25950412397</v>
      </c>
      <c r="E4665" s="3" t="n">
        <v>2</v>
      </c>
      <c r="F4665" s="2" t="n">
        <v>1</v>
      </c>
      <c r="G4665" s="4" t="n">
        <v>3</v>
      </c>
      <c r="H4665" s="13" t="n">
        <v>1</v>
      </c>
      <c r="I4665" s="34" t="n">
        <v>1</v>
      </c>
      <c r="J4665" s="35" t="n">
        <v>1</v>
      </c>
      <c r="K4665" s="2" t="inlineStr">
        <is>
          <t>marker_538_796726.png</t>
        </is>
      </c>
      <c r="L4665" s="36">
        <f>HYPERLINK("NoConsenso\" &amp; K4665, "Ver Imagen")</f>
        <v/>
      </c>
      <c r="M4665" t="inlineStr">
        <is>
          <t>Mediana</t>
        </is>
      </c>
    </row>
    <row r="4666">
      <c r="A4666" s="33" t="n">
        <v>4669</v>
      </c>
      <c r="B4666" t="inlineStr">
        <is>
          <t>A-497_2C__63</t>
        </is>
      </c>
      <c r="C4666" s="1" t="n">
        <v>37.268463123</v>
      </c>
      <c r="D4666" s="1" t="n">
        <v>-6.97288276241</v>
      </c>
      <c r="E4666" s="3" t="n">
        <v>5</v>
      </c>
      <c r="F4666" s="2" t="n">
        <v>3</v>
      </c>
      <c r="G4666" s="4" t="n">
        <v>3</v>
      </c>
      <c r="H4666" s="13" t="n">
        <v>3</v>
      </c>
      <c r="I4666" s="34" t="n">
        <v>3</v>
      </c>
      <c r="J4666" s="35" t="n">
        <v>3</v>
      </c>
      <c r="K4666" s="2" t="inlineStr">
        <is>
          <t>marker_830_654901.png</t>
        </is>
      </c>
      <c r="L4666" s="36">
        <f>HYPERLINK("NoConsenso\" &amp; K4666, "Ver Imagen")</f>
        <v/>
      </c>
      <c r="M4666" t="inlineStr">
        <is>
          <t>Mediana</t>
        </is>
      </c>
    </row>
    <row r="4667">
      <c r="A4667" s="33" t="n">
        <v>4670</v>
      </c>
      <c r="B4667" t="inlineStr">
        <is>
          <t>A-497_2C__69</t>
        </is>
      </c>
      <c r="C4667" s="1" t="n">
        <v>37.2687520588</v>
      </c>
      <c r="D4667" s="1" t="n">
        <v>-6.97432757649</v>
      </c>
      <c r="E4667" s="3" t="n">
        <v>4</v>
      </c>
      <c r="F4667" s="2" t="n">
        <v>3</v>
      </c>
      <c r="G4667" s="4" t="n">
        <v>2</v>
      </c>
      <c r="H4667" s="13" t="n">
        <v>2</v>
      </c>
      <c r="I4667" s="34" t="n">
        <v>2</v>
      </c>
      <c r="J4667" s="35" t="n">
        <v>2</v>
      </c>
      <c r="K4667" s="2" t="inlineStr">
        <is>
          <t>marker_238_654957.png</t>
        </is>
      </c>
      <c r="L4667" s="36">
        <f>HYPERLINK("NoConsenso\" &amp; K4667, "Ver Imagen")</f>
        <v/>
      </c>
      <c r="M4667" t="inlineStr">
        <is>
          <t>Mediana</t>
        </is>
      </c>
    </row>
    <row r="4668">
      <c r="A4668" s="33" t="n">
        <v>4671</v>
      </c>
      <c r="B4668" t="inlineStr">
        <is>
          <t>A-497_2C__94</t>
        </is>
      </c>
      <c r="C4668" s="1" t="n">
        <v>37.2703754602</v>
      </c>
      <c r="D4668" s="1" t="n">
        <v>-6.9803482128</v>
      </c>
      <c r="E4668" s="3" t="n">
        <v>5</v>
      </c>
      <c r="F4668" s="2" t="n">
        <v>3</v>
      </c>
      <c r="G4668" s="4" t="n">
        <v>3</v>
      </c>
      <c r="H4668" s="13" t="n">
        <v>3</v>
      </c>
      <c r="I4668" s="34" t="n">
        <v>3</v>
      </c>
      <c r="J4668" s="35" t="n">
        <v>3</v>
      </c>
      <c r="K4668" s="2" t="inlineStr">
        <is>
          <t>marker_281_655322.png</t>
        </is>
      </c>
      <c r="L4668" s="36">
        <f>HYPERLINK("NoConsenso\" &amp; K4668, "Ver Imagen")</f>
        <v/>
      </c>
      <c r="M4668" t="inlineStr">
        <is>
          <t>Mediana</t>
        </is>
      </c>
    </row>
    <row r="4669">
      <c r="A4669" s="33" t="n">
        <v>4672</v>
      </c>
      <c r="B4669" t="inlineStr">
        <is>
          <t>A-497_2C__108</t>
        </is>
      </c>
      <c r="C4669" s="1" t="n">
        <v>37.2713308663</v>
      </c>
      <c r="D4669" s="1" t="n">
        <v>-6.98366587063</v>
      </c>
      <c r="E4669" s="3" t="n">
        <v>5</v>
      </c>
      <c r="F4669" s="2" t="n">
        <v>4</v>
      </c>
      <c r="G4669" s="4" t="n">
        <v>3</v>
      </c>
      <c r="H4669" s="13" t="n">
        <v>4</v>
      </c>
      <c r="I4669" s="34" t="n">
        <v>4</v>
      </c>
      <c r="J4669" s="35" t="n">
        <v>4</v>
      </c>
      <c r="K4669" s="2" t="inlineStr">
        <is>
          <t>marker_596_655517.png</t>
        </is>
      </c>
      <c r="L4669" s="36">
        <f>HYPERLINK("NoConsenso\" &amp; K4669, "Ver Imagen")</f>
        <v/>
      </c>
      <c r="M4669" t="inlineStr">
        <is>
          <t>Mediana</t>
        </is>
      </c>
    </row>
    <row r="4670">
      <c r="A4670" s="33" t="n">
        <v>4673</v>
      </c>
      <c r="B4670" t="inlineStr">
        <is>
          <t>A-497__750</t>
        </is>
      </c>
      <c r="C4670" s="1" t="n">
        <v>37.1872379232</v>
      </c>
      <c r="D4670" s="1" t="n">
        <v>-6.97907327262</v>
      </c>
      <c r="E4670" s="3" t="n">
        <v>5</v>
      </c>
      <c r="F4670" s="2" t="n">
        <v>4</v>
      </c>
      <c r="G4670" s="4" t="n">
        <v>3</v>
      </c>
      <c r="H4670" s="13" t="n">
        <v>4</v>
      </c>
      <c r="I4670" s="34" t="n">
        <v>3</v>
      </c>
      <c r="J4670" s="35" t="n">
        <v>4</v>
      </c>
      <c r="K4670" s="2" t="inlineStr">
        <is>
          <t>marker_739_368689.png</t>
        </is>
      </c>
      <c r="L4670" s="36">
        <f>HYPERLINK("NoConsenso\" &amp; K4670, "Ver Imagen")</f>
        <v/>
      </c>
      <c r="M4670" t="inlineStr">
        <is>
          <t>Mediana</t>
        </is>
      </c>
    </row>
    <row r="4671">
      <c r="A4671" s="33" t="n">
        <v>4674</v>
      </c>
      <c r="B4671" t="inlineStr">
        <is>
          <t>A-497_2C__147</t>
        </is>
      </c>
      <c r="C4671" s="1" t="n">
        <v>37.2679976301</v>
      </c>
      <c r="D4671" s="1" t="n">
        <v>-6.99105583283</v>
      </c>
      <c r="E4671" s="3" t="n">
        <v>4</v>
      </c>
      <c r="F4671" s="2" t="n">
        <v>2</v>
      </c>
      <c r="G4671" s="4" t="n">
        <v>3</v>
      </c>
      <c r="H4671" s="16" t="n">
        <v>3</v>
      </c>
      <c r="I4671" s="40" t="n">
        <v>1</v>
      </c>
      <c r="J4671" s="35" t="n">
        <v>3</v>
      </c>
      <c r="K4671" s="2" t="inlineStr">
        <is>
          <t>marker_978_655943.png</t>
        </is>
      </c>
      <c r="L4671" s="36">
        <f>HYPERLINK("NoConsenso\" &amp; K4671, "Ver Imagen")</f>
        <v/>
      </c>
      <c r="M4671" t="inlineStr">
        <is>
          <t>Mediana</t>
        </is>
      </c>
    </row>
    <row r="4672">
      <c r="A4672" s="33" t="n">
        <v>4675</v>
      </c>
      <c r="B4672" t="inlineStr">
        <is>
          <t>A-497_2C__151</t>
        </is>
      </c>
      <c r="C4672" s="1" t="n">
        <v>37.2673132472</v>
      </c>
      <c r="D4672" s="1" t="n">
        <v>-6.99159571326</v>
      </c>
      <c r="E4672" s="3" t="n">
        <v>5</v>
      </c>
      <c r="F4672" s="2" t="n">
        <v>3</v>
      </c>
      <c r="G4672" s="4" t="n">
        <v>3</v>
      </c>
      <c r="H4672" s="13" t="n">
        <v>3</v>
      </c>
      <c r="I4672" s="34" t="n">
        <v>2</v>
      </c>
      <c r="J4672" s="35" t="n">
        <v>3</v>
      </c>
      <c r="K4672" s="2" t="inlineStr">
        <is>
          <t>marker_924_656012.png</t>
        </is>
      </c>
      <c r="L4672" s="36">
        <f>HYPERLINK("NoConsenso\" &amp; K4672, "Ver Imagen")</f>
        <v/>
      </c>
      <c r="M4672" t="inlineStr">
        <is>
          <t>Mediana</t>
        </is>
      </c>
    </row>
    <row r="4673">
      <c r="A4673" s="33" t="n">
        <v>4676</v>
      </c>
      <c r="B4673" t="inlineStr">
        <is>
          <t>A-497_2C__162</t>
        </is>
      </c>
      <c r="C4673" s="1" t="n">
        <v>37.2659811081</v>
      </c>
      <c r="D4673" s="1" t="n">
        <v>-6.99375332367</v>
      </c>
      <c r="E4673" s="3" t="n">
        <v>2</v>
      </c>
      <c r="F4673" s="2" t="n">
        <v>4</v>
      </c>
      <c r="G4673" s="4" t="n">
        <v>3</v>
      </c>
      <c r="H4673" s="13" t="n">
        <v>4</v>
      </c>
      <c r="I4673" s="34" t="n">
        <v>3</v>
      </c>
      <c r="J4673" s="35" t="n">
        <v>3</v>
      </c>
      <c r="K4673" s="2" t="inlineStr">
        <is>
          <t>marker_220_656119.png</t>
        </is>
      </c>
      <c r="L4673" s="36">
        <f>HYPERLINK("NoConsenso\" &amp; K4673, "Ver Imagen")</f>
        <v/>
      </c>
      <c r="M4673" t="inlineStr">
        <is>
          <t>Mediana</t>
        </is>
      </c>
    </row>
    <row r="4674">
      <c r="A4674" s="33" t="n">
        <v>4677</v>
      </c>
      <c r="B4674" t="inlineStr">
        <is>
          <t>A-497_2C__166</t>
        </is>
      </c>
      <c r="C4674" s="1" t="n">
        <v>37.2657455874</v>
      </c>
      <c r="D4674" s="1" t="n">
        <v>-6.99470961753</v>
      </c>
      <c r="E4674" s="3" t="n">
        <v>2</v>
      </c>
      <c r="F4674" s="2" t="n">
        <v>4</v>
      </c>
      <c r="G4674" s="4" t="n">
        <v>3</v>
      </c>
      <c r="H4674" s="13" t="n">
        <v>3</v>
      </c>
      <c r="I4674" s="34" t="n">
        <v>2</v>
      </c>
      <c r="J4674" s="35" t="n">
        <v>3</v>
      </c>
      <c r="K4674" s="2" t="inlineStr">
        <is>
          <t>marker_850_656158.png</t>
        </is>
      </c>
      <c r="L4674" s="36">
        <f>HYPERLINK("NoConsenso\" &amp; K4674, "Ver Imagen")</f>
        <v/>
      </c>
      <c r="M4674" t="inlineStr">
        <is>
          <t>Mediana</t>
        </is>
      </c>
    </row>
    <row r="4675">
      <c r="A4675" s="33" t="n">
        <v>4678</v>
      </c>
      <c r="B4675" t="inlineStr">
        <is>
          <t>A-497__704</t>
        </is>
      </c>
      <c r="C4675" s="1" t="n">
        <v>37.1960571441</v>
      </c>
      <c r="D4675" s="1" t="n">
        <v>-6.97845326821</v>
      </c>
      <c r="E4675" s="3" t="n">
        <v>2</v>
      </c>
      <c r="F4675" s="2" t="n">
        <v>4</v>
      </c>
      <c r="G4675" s="4" t="n">
        <v>4</v>
      </c>
      <c r="H4675" s="13" t="n">
        <v>3</v>
      </c>
      <c r="I4675" s="34" t="n">
        <v>3</v>
      </c>
      <c r="J4675" s="35" t="n">
        <v>3</v>
      </c>
      <c r="K4675" s="2" t="inlineStr">
        <is>
          <t>marker_378_370341.png</t>
        </is>
      </c>
      <c r="L4675" s="36">
        <f>HYPERLINK("NoConsenso\" &amp; K4675, "Ver Imagen")</f>
        <v/>
      </c>
      <c r="M4675" t="inlineStr">
        <is>
          <t>Mediana</t>
        </is>
      </c>
    </row>
    <row r="4676">
      <c r="A4676" s="33" t="n">
        <v>4679</v>
      </c>
      <c r="B4676" t="inlineStr">
        <is>
          <t>A-497__703</t>
        </is>
      </c>
      <c r="C4676" s="1" t="n">
        <v>37.1962644039</v>
      </c>
      <c r="D4676" s="1" t="n">
        <v>-6.97859846361</v>
      </c>
      <c r="E4676" s="3" t="n">
        <v>2</v>
      </c>
      <c r="F4676" s="2" t="n">
        <v>4</v>
      </c>
      <c r="G4676" s="4" t="n">
        <v>4</v>
      </c>
      <c r="H4676" s="13" t="n">
        <v>3</v>
      </c>
      <c r="I4676" s="34" t="n">
        <v>3</v>
      </c>
      <c r="J4676" s="35" t="n">
        <v>3</v>
      </c>
      <c r="K4676" s="2" t="inlineStr">
        <is>
          <t>marker_305_370350.png</t>
        </is>
      </c>
      <c r="L4676" s="36">
        <f>HYPERLINK("NoConsenso\" &amp; K4676, "Ver Imagen")</f>
        <v/>
      </c>
      <c r="M4676" t="inlineStr">
        <is>
          <t>Mediana</t>
        </is>
      </c>
    </row>
    <row r="4677">
      <c r="A4677" s="33" t="n">
        <v>4680</v>
      </c>
      <c r="B4677" t="inlineStr">
        <is>
          <t>A-497__681</t>
        </is>
      </c>
      <c r="C4677" s="1" t="n">
        <v>37.1991148925</v>
      </c>
      <c r="D4677" s="1" t="n">
        <v>-6.98271496625</v>
      </c>
      <c r="E4677" s="3" t="n">
        <v>5</v>
      </c>
      <c r="F4677" s="2" t="n">
        <v>4</v>
      </c>
      <c r="G4677" s="4" t="n">
        <v>3</v>
      </c>
      <c r="H4677" s="13" t="n">
        <v>3</v>
      </c>
      <c r="I4677" s="34" t="n">
        <v>3</v>
      </c>
      <c r="J4677" s="35" t="n">
        <v>3</v>
      </c>
      <c r="K4677" s="2" t="inlineStr">
        <is>
          <t>marker_334_370566.png</t>
        </is>
      </c>
      <c r="L4677" s="36">
        <f>HYPERLINK("NoConsenso\" &amp; K4677, "Ver Imagen")</f>
        <v/>
      </c>
      <c r="M4677" t="inlineStr">
        <is>
          <t>Mediana</t>
        </is>
      </c>
    </row>
    <row r="4678">
      <c r="A4678" s="33" t="n">
        <v>4681</v>
      </c>
      <c r="B4678" t="inlineStr">
        <is>
          <t>A-497__674</t>
        </is>
      </c>
      <c r="C4678" s="1" t="n">
        <v>37.1996242826</v>
      </c>
      <c r="D4678" s="1" t="n">
        <v>-6.98437926403</v>
      </c>
      <c r="E4678" s="3" t="n">
        <v>2</v>
      </c>
      <c r="F4678" s="2" t="n">
        <v>3</v>
      </c>
      <c r="G4678" s="4" t="n">
        <v>4</v>
      </c>
      <c r="H4678" s="13" t="n">
        <v>2</v>
      </c>
      <c r="I4678" s="34" t="n">
        <v>1</v>
      </c>
      <c r="J4678" s="35" t="n">
        <v>2</v>
      </c>
      <c r="K4678" s="2" t="inlineStr">
        <is>
          <t>marker_449_370740.png</t>
        </is>
      </c>
      <c r="L4678" s="36">
        <f>HYPERLINK("NoConsenso\" &amp; K4678, "Ver Imagen")</f>
        <v/>
      </c>
      <c r="M4678" t="inlineStr">
        <is>
          <t>Mediana</t>
        </is>
      </c>
    </row>
    <row r="4679">
      <c r="A4679" s="33" t="n">
        <v>4682</v>
      </c>
      <c r="B4679" t="inlineStr">
        <is>
          <t>A-497_2C__233</t>
        </is>
      </c>
      <c r="C4679" s="1" t="n">
        <v>37.2616395658</v>
      </c>
      <c r="D4679" s="1" t="n">
        <v>-7.01060192106</v>
      </c>
      <c r="E4679" s="3" t="n">
        <v>4</v>
      </c>
      <c r="F4679" s="2" t="n">
        <v>2</v>
      </c>
      <c r="G4679" s="4" t="n">
        <v>2</v>
      </c>
      <c r="H4679" s="13" t="n">
        <v>1</v>
      </c>
      <c r="I4679" s="34" t="n">
        <v>1</v>
      </c>
      <c r="J4679" s="37" t="n">
        <v>1</v>
      </c>
      <c r="K4679" s="2" t="inlineStr">
        <is>
          <t>marker_375_656908.png</t>
        </is>
      </c>
      <c r="L4679" s="36">
        <f>HYPERLINK("NoConsenso\" &amp; K4679, "Ver Imagen")</f>
        <v/>
      </c>
      <c r="M4679" s="37" t="inlineStr">
        <is>
          <t>Modificada</t>
        </is>
      </c>
    </row>
    <row r="4680">
      <c r="A4680" s="33" t="n">
        <v>4683</v>
      </c>
      <c r="B4680" t="inlineStr">
        <is>
          <t>A-497__650</t>
        </is>
      </c>
      <c r="C4680" s="1" t="n">
        <v>37.2010098812</v>
      </c>
      <c r="D4680" s="1" t="n">
        <v>-6.99020960596</v>
      </c>
      <c r="E4680" s="3" t="n">
        <v>2</v>
      </c>
      <c r="F4680" s="2" t="n">
        <v>3</v>
      </c>
      <c r="G4680" s="4" t="n">
        <v>4</v>
      </c>
      <c r="H4680" s="13" t="n">
        <v>2</v>
      </c>
      <c r="I4680" s="34" t="n">
        <v>2</v>
      </c>
      <c r="J4680" s="35" t="n">
        <v>2</v>
      </c>
      <c r="K4680" s="2" t="inlineStr">
        <is>
          <t>marker_558_371237.png</t>
        </is>
      </c>
      <c r="L4680" s="36">
        <f>HYPERLINK("NoConsenso\" &amp; K4680, "Ver Imagen")</f>
        <v/>
      </c>
      <c r="M4680" t="inlineStr">
        <is>
          <t>Mediana</t>
        </is>
      </c>
    </row>
    <row r="4681">
      <c r="A4681" s="33" t="n">
        <v>4684</v>
      </c>
      <c r="B4681" t="inlineStr">
        <is>
          <t>A-497__643</t>
        </is>
      </c>
      <c r="C4681" s="1" t="n">
        <v>37.2013591391</v>
      </c>
      <c r="D4681" s="1" t="n">
        <v>-6.99194415676</v>
      </c>
      <c r="E4681" s="3" t="n">
        <v>2</v>
      </c>
      <c r="F4681" s="2" t="n">
        <v>3</v>
      </c>
      <c r="G4681" s="4" t="n">
        <v>4</v>
      </c>
      <c r="H4681" s="13" t="n">
        <v>2</v>
      </c>
      <c r="I4681" s="34" t="n">
        <v>2</v>
      </c>
      <c r="J4681" s="35" t="n">
        <v>2</v>
      </c>
      <c r="K4681" s="2" t="inlineStr">
        <is>
          <t>marker_904_371300.png</t>
        </is>
      </c>
      <c r="L4681" s="36">
        <f>HYPERLINK("NoConsenso\" &amp; K4681, "Ver Imagen")</f>
        <v/>
      </c>
      <c r="M4681" t="inlineStr">
        <is>
          <t>Mediana</t>
        </is>
      </c>
    </row>
    <row r="4682">
      <c r="A4682" s="33" t="n">
        <v>4685</v>
      </c>
      <c r="B4682" t="inlineStr">
        <is>
          <t>A-497__642</t>
        </is>
      </c>
      <c r="C4682" s="1" t="n">
        <v>37.2014027934</v>
      </c>
      <c r="D4682" s="1" t="n">
        <v>-6.99217963719</v>
      </c>
      <c r="E4682" s="3" t="n">
        <v>5</v>
      </c>
      <c r="F4682" s="2" t="n">
        <v>3</v>
      </c>
      <c r="G4682" s="4" t="n">
        <v>4</v>
      </c>
      <c r="H4682" s="13" t="n">
        <v>2</v>
      </c>
      <c r="I4682" s="34" t="n">
        <v>2</v>
      </c>
      <c r="J4682" s="35" t="n">
        <v>3</v>
      </c>
      <c r="K4682" s="2" t="inlineStr">
        <is>
          <t>marker_521_371313.png</t>
        </is>
      </c>
      <c r="L4682" s="36">
        <f>HYPERLINK("NoConsenso\" &amp; K4682, "Ver Imagen")</f>
        <v/>
      </c>
      <c r="M4682" t="inlineStr">
        <is>
          <t>Mediana</t>
        </is>
      </c>
    </row>
    <row r="4683">
      <c r="A4683" s="33" t="n">
        <v>4686</v>
      </c>
      <c r="B4683" t="inlineStr">
        <is>
          <t>A-497__640</t>
        </is>
      </c>
      <c r="C4683" s="1" t="n">
        <v>37.2014891694</v>
      </c>
      <c r="D4683" s="1" t="n">
        <v>-6.99265404127</v>
      </c>
      <c r="E4683" s="3" t="n">
        <v>2</v>
      </c>
      <c r="F4683" s="2" t="n">
        <v>3</v>
      </c>
      <c r="G4683" s="4" t="n">
        <v>4</v>
      </c>
      <c r="H4683" s="13" t="n">
        <v>3</v>
      </c>
      <c r="I4683" s="34" t="n">
        <v>2</v>
      </c>
      <c r="J4683" s="35" t="n">
        <v>3</v>
      </c>
      <c r="K4683" s="2" t="inlineStr">
        <is>
          <t>marker_345_371329.png</t>
        </is>
      </c>
      <c r="L4683" s="36">
        <f>HYPERLINK("NoConsenso\" &amp; K4683, "Ver Imagen")</f>
        <v/>
      </c>
      <c r="M4683" t="inlineStr">
        <is>
          <t>Mediana</t>
        </is>
      </c>
    </row>
    <row r="4684">
      <c r="A4684" s="33" t="n">
        <v>4687</v>
      </c>
      <c r="B4684" t="inlineStr">
        <is>
          <t>A-497__614</t>
        </is>
      </c>
      <c r="C4684" s="1" t="n">
        <v>37.2025487168</v>
      </c>
      <c r="D4684" s="1" t="n">
        <v>-6.99916370253</v>
      </c>
      <c r="E4684" s="3" t="n">
        <v>5</v>
      </c>
      <c r="F4684" s="2" t="n">
        <v>3</v>
      </c>
      <c r="G4684" s="4" t="n">
        <v>3</v>
      </c>
      <c r="H4684" s="13" t="n">
        <v>3</v>
      </c>
      <c r="I4684" s="34" t="n">
        <v>3</v>
      </c>
      <c r="J4684" s="35" t="n">
        <v>3</v>
      </c>
      <c r="K4684" s="2" t="inlineStr">
        <is>
          <t>marker_129_371585.png</t>
        </is>
      </c>
      <c r="L4684" s="36">
        <f>HYPERLINK("NoConsenso\" &amp; K4684, "Ver Imagen")</f>
        <v/>
      </c>
      <c r="M4684" t="inlineStr">
        <is>
          <t>Mediana</t>
        </is>
      </c>
    </row>
    <row r="4685">
      <c r="A4685" s="33" t="n">
        <v>4688</v>
      </c>
      <c r="B4685" t="inlineStr">
        <is>
          <t>A-497__603</t>
        </is>
      </c>
      <c r="C4685" s="1" t="n">
        <v>37.2028848677</v>
      </c>
      <c r="D4685" s="1" t="n">
        <v>-7.00187438099</v>
      </c>
      <c r="E4685" s="3" t="n">
        <v>5</v>
      </c>
      <c r="F4685" s="2" t="n">
        <v>4</v>
      </c>
      <c r="G4685" s="4" t="n">
        <v>3</v>
      </c>
      <c r="H4685" s="13" t="n">
        <v>3</v>
      </c>
      <c r="I4685" s="34" t="n">
        <v>4</v>
      </c>
      <c r="J4685" s="35" t="n">
        <v>4</v>
      </c>
      <c r="K4685" s="2" t="inlineStr">
        <is>
          <t>marker_601_371686.png</t>
        </is>
      </c>
      <c r="L4685" s="36">
        <f>HYPERLINK("NoConsenso\" &amp; K4685, "Ver Imagen")</f>
        <v/>
      </c>
      <c r="M4685" t="inlineStr">
        <is>
          <t>Mediana</t>
        </is>
      </c>
    </row>
    <row r="4686">
      <c r="A4686" s="33" t="n">
        <v>4689</v>
      </c>
      <c r="B4686" t="inlineStr">
        <is>
          <t>A-497_2C__263</t>
        </is>
      </c>
      <c r="C4686" s="1" t="n">
        <v>37.2562801006</v>
      </c>
      <c r="D4686" s="1" t="n">
        <v>-7.01407125835</v>
      </c>
      <c r="E4686" s="3" t="n">
        <v>2</v>
      </c>
      <c r="F4686" s="2" t="n">
        <v>4</v>
      </c>
      <c r="G4686" s="4" t="n">
        <v>3</v>
      </c>
      <c r="H4686" s="13" t="n">
        <v>3</v>
      </c>
      <c r="I4686" s="34" t="n">
        <v>2</v>
      </c>
      <c r="J4686" s="35" t="n">
        <v>3</v>
      </c>
      <c r="K4686" s="2" t="inlineStr">
        <is>
          <t>marker_100_319657.png</t>
        </is>
      </c>
      <c r="L4686" s="36">
        <f>HYPERLINK("NoConsenso\" &amp; K4686, "Ver Imagen")</f>
        <v/>
      </c>
      <c r="M4686" t="inlineStr">
        <is>
          <t>Mediana</t>
        </is>
      </c>
    </row>
    <row r="4687">
      <c r="A4687" s="33" t="n">
        <v>4690</v>
      </c>
      <c r="B4687" t="inlineStr">
        <is>
          <t>A-497__585</t>
        </is>
      </c>
      <c r="C4687" s="1" t="n">
        <v>37.2034180975</v>
      </c>
      <c r="D4687" s="1" t="n">
        <v>-7.00638205074</v>
      </c>
      <c r="E4687" s="3" t="n">
        <v>5</v>
      </c>
      <c r="F4687" s="2" t="n">
        <v>3</v>
      </c>
      <c r="G4687" s="4" t="n">
        <v>4</v>
      </c>
      <c r="H4687" s="13" t="n">
        <v>3</v>
      </c>
      <c r="I4687" s="34" t="n">
        <v>3</v>
      </c>
      <c r="J4687" s="35" t="n">
        <v>3</v>
      </c>
      <c r="K4687" s="2" t="inlineStr">
        <is>
          <t>marker_856_371879.png</t>
        </is>
      </c>
      <c r="L4687" s="36">
        <f>HYPERLINK("NoConsenso\" &amp; K4687, "Ver Imagen")</f>
        <v/>
      </c>
      <c r="M4687" t="inlineStr">
        <is>
          <t>Mediana</t>
        </is>
      </c>
    </row>
    <row r="4688">
      <c r="A4688" s="33" t="n">
        <v>4691</v>
      </c>
      <c r="B4688" t="inlineStr">
        <is>
          <t>A-497__582</t>
        </is>
      </c>
      <c r="C4688" s="1" t="n">
        <v>37.20352481</v>
      </c>
      <c r="D4688" s="1" t="n">
        <v>-7.00716489834</v>
      </c>
      <c r="E4688" s="3" t="n">
        <v>5</v>
      </c>
      <c r="F4688" s="2" t="n">
        <v>3</v>
      </c>
      <c r="G4688" s="4" t="n">
        <v>4</v>
      </c>
      <c r="H4688" s="13" t="n">
        <v>2</v>
      </c>
      <c r="I4688" s="34" t="n">
        <v>2</v>
      </c>
      <c r="J4688" s="35" t="n">
        <v>3</v>
      </c>
      <c r="K4688" s="2" t="inlineStr">
        <is>
          <t>marker_780_371907.png</t>
        </is>
      </c>
      <c r="L4688" s="36">
        <f>HYPERLINK("NoConsenso\" &amp; K4688, "Ver Imagen")</f>
        <v/>
      </c>
      <c r="M4688" t="inlineStr">
        <is>
          <t>Mediana</t>
        </is>
      </c>
    </row>
    <row r="4689">
      <c r="A4689" s="33" t="n">
        <v>4692</v>
      </c>
      <c r="B4689" t="inlineStr">
        <is>
          <t>A-497__580</t>
        </is>
      </c>
      <c r="C4689" s="1" t="n">
        <v>37.2035981076</v>
      </c>
      <c r="D4689" s="1" t="n">
        <v>-7.00767100283</v>
      </c>
      <c r="E4689" s="3" t="n">
        <v>5</v>
      </c>
      <c r="F4689" s="2" t="n">
        <v>3</v>
      </c>
      <c r="G4689" s="4" t="n">
        <v>4</v>
      </c>
      <c r="H4689" s="13" t="n">
        <v>2</v>
      </c>
      <c r="I4689" s="34" t="n">
        <v>2</v>
      </c>
      <c r="J4689" s="35" t="n">
        <v>3</v>
      </c>
      <c r="K4689" s="2" t="inlineStr">
        <is>
          <t>marker_277_371925.png</t>
        </is>
      </c>
      <c r="L4689" s="36">
        <f>HYPERLINK("NoConsenso\" &amp; K4689, "Ver Imagen")</f>
        <v/>
      </c>
      <c r="M4689" t="inlineStr">
        <is>
          <t>Mediana</t>
        </is>
      </c>
    </row>
    <row r="4690">
      <c r="A4690" s="33" t="n">
        <v>4693</v>
      </c>
      <c r="B4690" t="inlineStr">
        <is>
          <t>A-497__578</t>
        </is>
      </c>
      <c r="C4690" s="1" t="n">
        <v>37.2036654593</v>
      </c>
      <c r="D4690" s="1" t="n">
        <v>-7.00811354053</v>
      </c>
      <c r="E4690" s="3" t="n">
        <v>5</v>
      </c>
      <c r="F4690" s="2" t="n">
        <v>3</v>
      </c>
      <c r="G4690" s="4" t="n">
        <v>3</v>
      </c>
      <c r="H4690" s="13" t="n">
        <v>3</v>
      </c>
      <c r="I4690" s="34" t="n">
        <v>3</v>
      </c>
      <c r="J4690" s="35" t="n">
        <v>3</v>
      </c>
      <c r="K4690" s="2" t="inlineStr">
        <is>
          <t>marker_446_371943.png</t>
        </is>
      </c>
      <c r="L4690" s="36">
        <f>HYPERLINK("NoConsenso\" &amp; K4690, "Ver Imagen")</f>
        <v/>
      </c>
      <c r="M4690" t="inlineStr">
        <is>
          <t>Mediana</t>
        </is>
      </c>
    </row>
    <row r="4691">
      <c r="A4691" s="33" t="n">
        <v>4694</v>
      </c>
      <c r="B4691" t="inlineStr">
        <is>
          <t>A-497__577</t>
        </is>
      </c>
      <c r="C4691" s="1" t="n">
        <v>37.2036983114</v>
      </c>
      <c r="D4691" s="1" t="n">
        <v>-7.00833121135</v>
      </c>
      <c r="E4691" s="3" t="n">
        <v>5</v>
      </c>
      <c r="F4691" s="2" t="n">
        <v>4</v>
      </c>
      <c r="G4691" s="4" t="n">
        <v>3</v>
      </c>
      <c r="H4691" s="13" t="n">
        <v>3</v>
      </c>
      <c r="I4691" s="34" t="n">
        <v>4</v>
      </c>
      <c r="J4691" s="35" t="n">
        <v>4</v>
      </c>
      <c r="K4691" s="2" t="inlineStr">
        <is>
          <t>marker_823_371954.png</t>
        </is>
      </c>
      <c r="L4691" s="36">
        <f>HYPERLINK("NoConsenso\" &amp; K4691, "Ver Imagen")</f>
        <v/>
      </c>
      <c r="M4691" t="inlineStr">
        <is>
          <t>Mediana</t>
        </is>
      </c>
    </row>
    <row r="4692">
      <c r="A4692" s="33" t="n">
        <v>4695</v>
      </c>
      <c r="B4692" t="inlineStr">
        <is>
          <t>A-497__576</t>
        </is>
      </c>
      <c r="C4692" s="1" t="n">
        <v>37.2037458399</v>
      </c>
      <c r="D4692" s="1" t="n">
        <v>-7.00864793948</v>
      </c>
      <c r="E4692" s="3" t="n">
        <v>5</v>
      </c>
      <c r="F4692" s="2" t="n">
        <v>3</v>
      </c>
      <c r="G4692" s="4" t="n">
        <v>4</v>
      </c>
      <c r="H4692" s="13" t="n">
        <v>2</v>
      </c>
      <c r="I4692" s="34" t="n">
        <v>2</v>
      </c>
      <c r="J4692" s="35" t="n">
        <v>3</v>
      </c>
      <c r="K4692" s="2" t="inlineStr">
        <is>
          <t>marker_236_371963.png</t>
        </is>
      </c>
      <c r="L4692" s="36">
        <f>HYPERLINK("NoConsenso\" &amp; K4692, "Ver Imagen")</f>
        <v/>
      </c>
      <c r="M4692" t="inlineStr">
        <is>
          <t>Mediana</t>
        </is>
      </c>
    </row>
    <row r="4693">
      <c r="A4693" s="33" t="n">
        <v>4696</v>
      </c>
      <c r="B4693" t="inlineStr">
        <is>
          <t>A-497__574</t>
        </is>
      </c>
      <c r="C4693" s="1" t="n">
        <v>37.2038202266</v>
      </c>
      <c r="D4693" s="1" t="n">
        <v>-7.00912590543</v>
      </c>
      <c r="E4693" s="3" t="n">
        <v>5</v>
      </c>
      <c r="F4693" s="2" t="n">
        <v>3</v>
      </c>
      <c r="G4693" s="4" t="n">
        <v>4</v>
      </c>
      <c r="H4693" s="13" t="n">
        <v>3</v>
      </c>
      <c r="I4693" s="34" t="n">
        <v>3</v>
      </c>
      <c r="J4693" s="35" t="n">
        <v>3</v>
      </c>
      <c r="K4693" s="2" t="inlineStr">
        <is>
          <t>marker_471_371982.png</t>
        </is>
      </c>
      <c r="L4693" s="36">
        <f>HYPERLINK("NoConsenso\" &amp; K4693, "Ver Imagen")</f>
        <v/>
      </c>
      <c r="M4693" t="inlineStr">
        <is>
          <t>Mediana</t>
        </is>
      </c>
    </row>
    <row r="4694">
      <c r="A4694" s="33" t="n">
        <v>4697</v>
      </c>
      <c r="B4694" t="inlineStr">
        <is>
          <t>A-497_2C__291</t>
        </is>
      </c>
      <c r="C4694" s="1" t="n">
        <v>37.2512038138</v>
      </c>
      <c r="D4694" s="1" t="n">
        <v>-7.01732514769</v>
      </c>
      <c r="E4694" s="3" t="n">
        <v>5</v>
      </c>
      <c r="F4694" s="2" t="n">
        <v>3</v>
      </c>
      <c r="G4694" s="4" t="n">
        <v>4</v>
      </c>
      <c r="H4694" s="13" t="n">
        <v>3</v>
      </c>
      <c r="I4694" s="34" t="n">
        <v>3</v>
      </c>
      <c r="J4694" s="35" t="n">
        <v>3</v>
      </c>
      <c r="K4694" s="2" t="inlineStr">
        <is>
          <t>marker_200_320084.png</t>
        </is>
      </c>
      <c r="L4694" s="36">
        <f>HYPERLINK("NoConsenso\" &amp; K4694, "Ver Imagen")</f>
        <v/>
      </c>
      <c r="M4694" t="inlineStr">
        <is>
          <t>Mediana</t>
        </is>
      </c>
    </row>
    <row r="4695">
      <c r="A4695" s="33" t="n">
        <v>4698</v>
      </c>
      <c r="B4695" t="inlineStr">
        <is>
          <t>A-497__565</t>
        </is>
      </c>
      <c r="C4695" s="1" t="n">
        <v>37.2041855086</v>
      </c>
      <c r="D4695" s="1" t="n">
        <v>-7.01133614499</v>
      </c>
      <c r="E4695" s="3" t="n">
        <v>5</v>
      </c>
      <c r="F4695" s="2" t="n">
        <v>3</v>
      </c>
      <c r="G4695" s="4" t="n">
        <v>4</v>
      </c>
      <c r="H4695" s="13" t="n">
        <v>3</v>
      </c>
      <c r="I4695" s="34" t="n">
        <v>4</v>
      </c>
      <c r="J4695" s="35" t="n">
        <v>4</v>
      </c>
      <c r="K4695" s="2" t="inlineStr">
        <is>
          <t>marker_457_372091.png</t>
        </is>
      </c>
      <c r="L4695" s="36">
        <f>HYPERLINK("NoConsenso\" &amp; K4695, "Ver Imagen")</f>
        <v/>
      </c>
      <c r="M4695" t="inlineStr">
        <is>
          <t>Mediana</t>
        </is>
      </c>
    </row>
    <row r="4696">
      <c r="A4696" s="33" t="n">
        <v>4699</v>
      </c>
      <c r="B4696" t="inlineStr">
        <is>
          <t>A-497_2C__304</t>
        </is>
      </c>
      <c r="C4696" s="1" t="n">
        <v>37.2487010357</v>
      </c>
      <c r="D4696" s="1" t="n">
        <v>-7.01833926269</v>
      </c>
      <c r="E4696" s="3" t="n">
        <v>5</v>
      </c>
      <c r="F4696" s="2" t="n">
        <v>3</v>
      </c>
      <c r="G4696" s="4" t="n">
        <v>3</v>
      </c>
      <c r="H4696" s="13" t="n">
        <v>2</v>
      </c>
      <c r="I4696" s="34" t="n">
        <v>2</v>
      </c>
      <c r="J4696" s="37" t="n">
        <v>2</v>
      </c>
      <c r="K4696" s="2" t="inlineStr">
        <is>
          <t>marker_494_320210.png</t>
        </is>
      </c>
      <c r="L4696" s="36">
        <f>HYPERLINK("NoConsenso\" &amp; K4696, "Ver Imagen")</f>
        <v/>
      </c>
      <c r="M4696" s="37" t="inlineStr">
        <is>
          <t>Modificada</t>
        </is>
      </c>
    </row>
    <row r="4697">
      <c r="A4697" s="33" t="n">
        <v>4700</v>
      </c>
      <c r="B4697" t="inlineStr">
        <is>
          <t>A-497__540</t>
        </is>
      </c>
      <c r="C4697" s="1" t="n">
        <v>37.2054213304</v>
      </c>
      <c r="D4697" s="1" t="n">
        <v>-7.01748354574</v>
      </c>
      <c r="E4697" s="3" t="n">
        <v>2</v>
      </c>
      <c r="F4697" s="2" t="n">
        <v>2</v>
      </c>
      <c r="G4697" s="4" t="n">
        <v>4</v>
      </c>
      <c r="H4697" s="13" t="n">
        <v>2</v>
      </c>
      <c r="I4697" s="34" t="n">
        <v>1</v>
      </c>
      <c r="J4697" s="35" t="n">
        <v>2</v>
      </c>
      <c r="K4697" s="2" t="inlineStr">
        <is>
          <t>marker_305_372376.png</t>
        </is>
      </c>
      <c r="L4697" s="36">
        <f>HYPERLINK("NoConsenso\" &amp; K4697, "Ver Imagen")</f>
        <v/>
      </c>
      <c r="M4697" t="inlineStr">
        <is>
          <t>Mediana</t>
        </is>
      </c>
    </row>
    <row r="4698">
      <c r="A4698" s="33" t="n">
        <v>4701</v>
      </c>
      <c r="B4698" t="inlineStr">
        <is>
          <t>A-497_2C__338</t>
        </is>
      </c>
      <c r="C4698" s="1" t="n">
        <v>37.241824241</v>
      </c>
      <c r="D4698" s="1" t="n">
        <v>-7.01860236809</v>
      </c>
      <c r="E4698" s="3" t="n">
        <v>5</v>
      </c>
      <c r="F4698" s="2" t="n">
        <v>3</v>
      </c>
      <c r="G4698" s="4" t="n">
        <v>4</v>
      </c>
      <c r="H4698" s="13" t="n">
        <v>3</v>
      </c>
      <c r="I4698" s="34" t="n">
        <v>3</v>
      </c>
      <c r="J4698" s="35" t="n">
        <v>3</v>
      </c>
      <c r="K4698" s="2" t="inlineStr">
        <is>
          <t>marker_340_362109.png</t>
        </is>
      </c>
      <c r="L4698" s="36">
        <f>HYPERLINK("NoConsenso\" &amp; K4698, "Ver Imagen")</f>
        <v/>
      </c>
      <c r="M4698" t="inlineStr">
        <is>
          <t>Mediana</t>
        </is>
      </c>
    </row>
    <row r="4699">
      <c r="A4699" s="33" t="n">
        <v>4702</v>
      </c>
      <c r="B4699" t="inlineStr">
        <is>
          <t>A-497__535</t>
        </is>
      </c>
      <c r="C4699" s="1" t="n">
        <v>37.2057694828</v>
      </c>
      <c r="D4699" s="1" t="n">
        <v>-7.01864074472</v>
      </c>
      <c r="E4699" s="3" t="n">
        <v>5</v>
      </c>
      <c r="F4699" s="2" t="n">
        <v>3</v>
      </c>
      <c r="G4699" s="4" t="n">
        <v>4</v>
      </c>
      <c r="H4699" s="13" t="n">
        <v>3</v>
      </c>
      <c r="I4699" s="34" t="n">
        <v>2</v>
      </c>
      <c r="J4699" s="35" t="n">
        <v>3</v>
      </c>
      <c r="K4699" s="2" t="inlineStr">
        <is>
          <t>marker_665_372441.png</t>
        </is>
      </c>
      <c r="L4699" s="36">
        <f>HYPERLINK("NoConsenso\" &amp; K4699, "Ver Imagen")</f>
        <v/>
      </c>
      <c r="M4699" t="inlineStr">
        <is>
          <t>Mediana</t>
        </is>
      </c>
    </row>
    <row r="4700">
      <c r="A4700" s="33" t="n">
        <v>4703</v>
      </c>
      <c r="B4700" t="inlineStr">
        <is>
          <t>A-497_2C__344</t>
        </is>
      </c>
      <c r="C4700" s="1" t="n">
        <v>37.2406523573</v>
      </c>
      <c r="D4700" s="1" t="n">
        <v>-7.01865093342</v>
      </c>
      <c r="E4700" s="3" t="n">
        <v>5</v>
      </c>
      <c r="F4700" s="2" t="n">
        <v>3</v>
      </c>
      <c r="G4700" s="4" t="n">
        <v>3</v>
      </c>
      <c r="H4700" s="13" t="n">
        <v>3</v>
      </c>
      <c r="I4700" s="34" t="n">
        <v>3</v>
      </c>
      <c r="J4700" s="35" t="n">
        <v>3</v>
      </c>
      <c r="K4700" s="2" t="inlineStr">
        <is>
          <t>marker_421_362164.png</t>
        </is>
      </c>
      <c r="L4700" s="36">
        <f>HYPERLINK("NoConsenso\" &amp; K4700, "Ver Imagen")</f>
        <v/>
      </c>
      <c r="M4700" t="inlineStr">
        <is>
          <t>Mediana</t>
        </is>
      </c>
    </row>
    <row r="4701">
      <c r="A4701" s="33" t="n">
        <v>4704</v>
      </c>
      <c r="B4701" t="inlineStr">
        <is>
          <t>A-497__532</t>
        </is>
      </c>
      <c r="C4701" s="1" t="n">
        <v>37.2060501557</v>
      </c>
      <c r="D4701" s="1" t="n">
        <v>-7.01937858221</v>
      </c>
      <c r="E4701" s="3" t="n">
        <v>4</v>
      </c>
      <c r="F4701" s="2" t="n">
        <v>2</v>
      </c>
      <c r="G4701" s="4" t="n">
        <v>3</v>
      </c>
      <c r="H4701" s="16" t="n">
        <v>3</v>
      </c>
      <c r="I4701" s="40" t="n">
        <v>1</v>
      </c>
      <c r="J4701" s="35" t="n">
        <v>3</v>
      </c>
      <c r="K4701" s="2" t="inlineStr">
        <is>
          <t>marker_501_372482.png</t>
        </is>
      </c>
      <c r="L4701" s="36">
        <f>HYPERLINK("NoConsenso\" &amp; K4701, "Ver Imagen")</f>
        <v/>
      </c>
      <c r="M4701" t="inlineStr">
        <is>
          <t>Mediana</t>
        </is>
      </c>
    </row>
    <row r="4702">
      <c r="A4702" s="33" t="n">
        <v>4705</v>
      </c>
      <c r="B4702" t="inlineStr">
        <is>
          <t>A-497__527</t>
        </is>
      </c>
      <c r="C4702" s="1" t="n">
        <v>37.2065672635</v>
      </c>
      <c r="D4702" s="1" t="n">
        <v>-7.02044860126</v>
      </c>
      <c r="E4702" s="3" t="n">
        <v>4</v>
      </c>
      <c r="F4702" s="2" t="n">
        <v>2</v>
      </c>
      <c r="G4702" s="4" t="n">
        <v>3</v>
      </c>
      <c r="H4702" s="13" t="n">
        <v>2</v>
      </c>
      <c r="I4702" s="34" t="n">
        <v>2</v>
      </c>
      <c r="J4702" s="35" t="n">
        <v>2</v>
      </c>
      <c r="K4702" s="2" t="inlineStr">
        <is>
          <t>marker_606_372529.png</t>
        </is>
      </c>
      <c r="L4702" s="36">
        <f>HYPERLINK("NoConsenso\" &amp; K4702, "Ver Imagen")</f>
        <v/>
      </c>
      <c r="M4702" t="inlineStr">
        <is>
          <t>Mediana</t>
        </is>
      </c>
    </row>
    <row r="4703">
      <c r="A4703" s="33" t="n">
        <v>4706</v>
      </c>
      <c r="B4703" t="inlineStr">
        <is>
          <t>A-497_2C__367</t>
        </is>
      </c>
      <c r="C4703" s="1" t="n">
        <v>37.2359562317</v>
      </c>
      <c r="D4703" s="1" t="n">
        <v>-7.01853011067</v>
      </c>
      <c r="E4703" s="3" t="n">
        <v>5</v>
      </c>
      <c r="F4703" s="2" t="n">
        <v>3</v>
      </c>
      <c r="G4703" s="4" t="n">
        <v>4</v>
      </c>
      <c r="H4703" s="13" t="n">
        <v>3</v>
      </c>
      <c r="I4703" s="34" t="n">
        <v>3</v>
      </c>
      <c r="J4703" s="35" t="n">
        <v>3</v>
      </c>
      <c r="K4703" s="2" t="inlineStr">
        <is>
          <t>marker_578_362434.png</t>
        </is>
      </c>
      <c r="L4703" s="36">
        <f>HYPERLINK("NoConsenso\" &amp; K4703, "Ver Imagen")</f>
        <v/>
      </c>
      <c r="M4703" t="inlineStr">
        <is>
          <t>Mediana</t>
        </is>
      </c>
    </row>
    <row r="4704">
      <c r="A4704" s="33" t="n">
        <v>4707</v>
      </c>
      <c r="B4704" t="inlineStr">
        <is>
          <t>A-497_2C__368</t>
        </is>
      </c>
      <c r="C4704" s="1" t="n">
        <v>37.23575758</v>
      </c>
      <c r="D4704" s="1" t="n">
        <v>-7.01847814114</v>
      </c>
      <c r="E4704" s="3" t="n">
        <v>4</v>
      </c>
      <c r="F4704" s="2" t="n">
        <v>2</v>
      </c>
      <c r="G4704" s="4" t="n">
        <v>3</v>
      </c>
      <c r="H4704" s="13" t="n">
        <v>3</v>
      </c>
      <c r="I4704" s="34" t="n">
        <v>2</v>
      </c>
      <c r="J4704" s="35" t="n">
        <v>3</v>
      </c>
      <c r="K4704" s="2" t="inlineStr">
        <is>
          <t>marker_268_362448.png</t>
        </is>
      </c>
      <c r="L4704" s="36">
        <f>HYPERLINK("NoConsenso\" &amp; K4704, "Ver Imagen")</f>
        <v/>
      </c>
      <c r="M4704" t="inlineStr">
        <is>
          <t>Mediana</t>
        </is>
      </c>
    </row>
    <row r="4705">
      <c r="A4705" s="33" t="n">
        <v>4708</v>
      </c>
      <c r="B4705" t="inlineStr">
        <is>
          <t>A-497_2C__370</t>
        </is>
      </c>
      <c r="C4705" s="1" t="n">
        <v>37.235327005</v>
      </c>
      <c r="D4705" s="1" t="n">
        <v>-7.01836003399</v>
      </c>
      <c r="E4705" s="3" t="n">
        <v>5</v>
      </c>
      <c r="F4705" s="2" t="n">
        <v>3</v>
      </c>
      <c r="G4705" s="4" t="n">
        <v>4</v>
      </c>
      <c r="H4705" s="13" t="n">
        <v>3</v>
      </c>
      <c r="I4705" s="34" t="n">
        <v>3</v>
      </c>
      <c r="J4705" s="35" t="n">
        <v>3</v>
      </c>
      <c r="K4705" s="2" t="inlineStr">
        <is>
          <t>marker_630_362478.png</t>
        </is>
      </c>
      <c r="L4705" s="36">
        <f>HYPERLINK("NoConsenso\" &amp; K4705, "Ver Imagen")</f>
        <v/>
      </c>
      <c r="M4705" t="inlineStr">
        <is>
          <t>Mediana</t>
        </is>
      </c>
    </row>
    <row r="4706">
      <c r="A4706" s="33" t="n">
        <v>4709</v>
      </c>
      <c r="B4706" t="inlineStr">
        <is>
          <t>A-497_2C__371</t>
        </is>
      </c>
      <c r="C4706" s="1" t="n">
        <v>37.2351940506</v>
      </c>
      <c r="D4706" s="1" t="n">
        <v>-7.0183241303</v>
      </c>
      <c r="E4706" s="3" t="n">
        <v>5</v>
      </c>
      <c r="F4706" s="2" t="n">
        <v>3</v>
      </c>
      <c r="G4706" s="4" t="n">
        <v>4</v>
      </c>
      <c r="H4706" s="13" t="n">
        <v>3</v>
      </c>
      <c r="I4706" s="34" t="n">
        <v>3</v>
      </c>
      <c r="J4706" s="35" t="n">
        <v>3</v>
      </c>
      <c r="K4706" s="2" t="inlineStr">
        <is>
          <t>marker_797_362490.png</t>
        </is>
      </c>
      <c r="L4706" s="36">
        <f>HYPERLINK("NoConsenso\" &amp; K4706, "Ver Imagen")</f>
        <v/>
      </c>
      <c r="M4706" t="inlineStr">
        <is>
          <t>Mediana</t>
        </is>
      </c>
    </row>
    <row r="4707">
      <c r="A4707" s="33" t="n">
        <v>4710</v>
      </c>
      <c r="B4707" t="inlineStr">
        <is>
          <t>A-497_2C__373</t>
        </is>
      </c>
      <c r="C4707" s="1" t="n">
        <v>37.2347861795</v>
      </c>
      <c r="D4707" s="1" t="n">
        <v>-7.01823234776</v>
      </c>
      <c r="E4707" s="3" t="n">
        <v>4</v>
      </c>
      <c r="F4707" s="2" t="n">
        <v>2</v>
      </c>
      <c r="G4707" s="4" t="n">
        <v>3</v>
      </c>
      <c r="H4707" s="13" t="n">
        <v>2</v>
      </c>
      <c r="I4707" s="34" t="n">
        <v>2</v>
      </c>
      <c r="J4707" s="35" t="n">
        <v>2</v>
      </c>
      <c r="K4707" s="2" t="inlineStr">
        <is>
          <t>marker_830_362521.png</t>
        </is>
      </c>
      <c r="L4707" s="36">
        <f>HYPERLINK("NoConsenso\" &amp; K4707, "Ver Imagen")</f>
        <v/>
      </c>
      <c r="M4707" t="inlineStr">
        <is>
          <t>Mediana</t>
        </is>
      </c>
    </row>
    <row r="4708">
      <c r="A4708" s="33" t="n">
        <v>4711</v>
      </c>
      <c r="B4708" t="inlineStr">
        <is>
          <t>A-497__517</t>
        </is>
      </c>
      <c r="C4708" s="1" t="n">
        <v>37.2079703943</v>
      </c>
      <c r="D4708" s="1" t="n">
        <v>-7.02223310213</v>
      </c>
      <c r="E4708" s="3" t="n">
        <v>4</v>
      </c>
      <c r="F4708" s="2" t="n">
        <v>2</v>
      </c>
      <c r="G4708" s="4" t="n">
        <v>3</v>
      </c>
      <c r="H4708" s="13" t="n">
        <v>2</v>
      </c>
      <c r="I4708" s="34" t="n">
        <v>2</v>
      </c>
      <c r="J4708" s="35" t="n">
        <v>2</v>
      </c>
      <c r="K4708" s="2" t="inlineStr">
        <is>
          <t>marker_620_372623.png</t>
        </is>
      </c>
      <c r="L4708" s="36">
        <f>HYPERLINK("NoConsenso\" &amp; K4708, "Ver Imagen")</f>
        <v/>
      </c>
      <c r="M4708" t="inlineStr">
        <is>
          <t>Mediana</t>
        </is>
      </c>
    </row>
    <row r="4709">
      <c r="A4709" s="33" t="n">
        <v>4712</v>
      </c>
      <c r="B4709" t="inlineStr">
        <is>
          <t>A-497__513</t>
        </is>
      </c>
      <c r="C4709" s="1" t="n">
        <v>37.2086663059</v>
      </c>
      <c r="D4709" s="1" t="n">
        <v>-7.02279895331</v>
      </c>
      <c r="E4709" s="3" t="n">
        <v>4</v>
      </c>
      <c r="F4709" s="2" t="n">
        <v>2</v>
      </c>
      <c r="G4709" s="4" t="n">
        <v>3</v>
      </c>
      <c r="H4709" s="13" t="n">
        <v>2</v>
      </c>
      <c r="I4709" s="34" t="n">
        <v>2</v>
      </c>
      <c r="J4709" s="35" t="n">
        <v>2</v>
      </c>
      <c r="K4709" s="2" t="inlineStr">
        <is>
          <t>marker_943_372660.png</t>
        </is>
      </c>
      <c r="L4709" s="36">
        <f>HYPERLINK("NoConsenso\" &amp; K4709, "Ver Imagen")</f>
        <v/>
      </c>
      <c r="M4709" t="inlineStr">
        <is>
          <t>Mediana</t>
        </is>
      </c>
    </row>
    <row r="4710">
      <c r="A4710" s="33" t="n">
        <v>4713</v>
      </c>
      <c r="B4710" t="inlineStr">
        <is>
          <t>A-497__512</t>
        </is>
      </c>
      <c r="C4710" s="1" t="n">
        <v>37.2088350633</v>
      </c>
      <c r="D4710" s="1" t="n">
        <v>-7.02291370729</v>
      </c>
      <c r="E4710" s="3" t="n">
        <v>4</v>
      </c>
      <c r="F4710" s="2" t="n">
        <v>2</v>
      </c>
      <c r="G4710" s="4" t="n">
        <v>3</v>
      </c>
      <c r="H4710" s="13" t="n">
        <v>3</v>
      </c>
      <c r="I4710" s="34" t="n">
        <v>2</v>
      </c>
      <c r="J4710" s="35" t="n">
        <v>3</v>
      </c>
      <c r="K4710" s="2" t="inlineStr">
        <is>
          <t>marker_219_372672.png</t>
        </is>
      </c>
      <c r="L4710" s="36">
        <f>HYPERLINK("NoConsenso\" &amp; K4710, "Ver Imagen")</f>
        <v/>
      </c>
      <c r="M4710" t="inlineStr">
        <is>
          <t>Mediana</t>
        </is>
      </c>
    </row>
    <row r="4711">
      <c r="A4711" s="33" t="n">
        <v>4714</v>
      </c>
      <c r="B4711" t="inlineStr">
        <is>
          <t>A-497_2C__393</t>
        </is>
      </c>
      <c r="C4711" s="1" t="n">
        <v>37.2310153213</v>
      </c>
      <c r="D4711" s="1" t="n">
        <v>-7.01969232273</v>
      </c>
      <c r="E4711" s="3" t="n">
        <v>5</v>
      </c>
      <c r="F4711" s="2" t="n">
        <v>3</v>
      </c>
      <c r="G4711" s="4" t="n">
        <v>3</v>
      </c>
      <c r="H4711" s="13" t="n">
        <v>3</v>
      </c>
      <c r="I4711" s="34" t="n">
        <v>2</v>
      </c>
      <c r="J4711" s="35" t="n">
        <v>3</v>
      </c>
      <c r="K4711" s="2" t="inlineStr">
        <is>
          <t>marker_124_362836.png</t>
        </is>
      </c>
      <c r="L4711" s="36">
        <f>HYPERLINK("NoConsenso\" &amp; K4711, "Ver Imagen")</f>
        <v/>
      </c>
      <c r="M4711" t="inlineStr">
        <is>
          <t>Mediana</t>
        </is>
      </c>
    </row>
    <row r="4712">
      <c r="A4712" s="33" t="n">
        <v>4715</v>
      </c>
      <c r="B4712" t="inlineStr">
        <is>
          <t>A-497__496</t>
        </is>
      </c>
      <c r="C4712" s="1" t="n">
        <v>37.2119603135</v>
      </c>
      <c r="D4712" s="1" t="n">
        <v>-7.02385702201</v>
      </c>
      <c r="E4712" s="3" t="n">
        <v>4</v>
      </c>
      <c r="F4712" s="2" t="n">
        <v>2</v>
      </c>
      <c r="G4712" s="4" t="n">
        <v>3</v>
      </c>
      <c r="H4712" s="13" t="n">
        <v>2</v>
      </c>
      <c r="I4712" s="34" t="n">
        <v>1</v>
      </c>
      <c r="J4712" s="35" t="n">
        <v>2</v>
      </c>
      <c r="K4712" s="2" t="inlineStr">
        <is>
          <t>marker_957_376142.png</t>
        </is>
      </c>
      <c r="L4712" s="36">
        <f>HYPERLINK("NoConsenso\" &amp; K4712, "Ver Imagen")</f>
        <v/>
      </c>
      <c r="M4712" t="inlineStr">
        <is>
          <t>Mediana</t>
        </is>
      </c>
    </row>
    <row r="4713">
      <c r="A4713" s="33" t="n">
        <v>4716</v>
      </c>
      <c r="B4713" t="inlineStr">
        <is>
          <t>A-497_2C__407</t>
        </is>
      </c>
      <c r="C4713" s="1" t="n">
        <v>37.228581739</v>
      </c>
      <c r="D4713" s="1" t="n">
        <v>-7.02153691284</v>
      </c>
      <c r="E4713" s="3" t="n">
        <v>4</v>
      </c>
      <c r="F4713" s="2" t="n">
        <v>2</v>
      </c>
      <c r="G4713" s="4" t="n">
        <v>2</v>
      </c>
      <c r="H4713" s="13" t="n">
        <v>2</v>
      </c>
      <c r="I4713" s="34" t="n">
        <v>2</v>
      </c>
      <c r="J4713" s="35" t="n">
        <v>2</v>
      </c>
      <c r="K4713" s="2" t="inlineStr">
        <is>
          <t>marker_400_362981.png</t>
        </is>
      </c>
      <c r="L4713" s="36">
        <f>HYPERLINK("NoConsenso\" &amp; K4713, "Ver Imagen")</f>
        <v/>
      </c>
      <c r="M4713" t="inlineStr">
        <is>
          <t>Mediana</t>
        </is>
      </c>
    </row>
    <row r="4714">
      <c r="A4714" s="33" t="n">
        <v>4717</v>
      </c>
      <c r="B4714" t="inlineStr">
        <is>
          <t>A-497_2C__569</t>
        </is>
      </c>
      <c r="C4714" s="1" t="n">
        <v>37.203750915</v>
      </c>
      <c r="D4714" s="1" t="n">
        <v>-7.00962474586</v>
      </c>
      <c r="E4714" s="3" t="n">
        <v>4</v>
      </c>
      <c r="F4714" s="2" t="n">
        <v>3</v>
      </c>
      <c r="G4714" s="4" t="n">
        <v>2</v>
      </c>
      <c r="H4714" s="13" t="n">
        <v>2</v>
      </c>
      <c r="I4714" s="34" t="n">
        <v>2</v>
      </c>
      <c r="J4714" s="35" t="n">
        <v>2</v>
      </c>
      <c r="K4714" s="2" t="inlineStr">
        <is>
          <t>marker_896_366477.png</t>
        </is>
      </c>
      <c r="L4714" s="36">
        <f>HYPERLINK("NoConsenso\" &amp; K4714, "Ver Imagen")</f>
        <v/>
      </c>
      <c r="M4714" t="inlineStr">
        <is>
          <t>Mediana</t>
        </is>
      </c>
    </row>
    <row r="4715">
      <c r="A4715" s="33" t="n">
        <v>4718</v>
      </c>
      <c r="B4715" t="inlineStr">
        <is>
          <t>A-497_2C__602</t>
        </is>
      </c>
      <c r="C4715" s="1" t="n">
        <v>37.2026705357</v>
      </c>
      <c r="D4715" s="1" t="n">
        <v>-7.00131977935</v>
      </c>
      <c r="E4715" s="3" t="n">
        <v>2</v>
      </c>
      <c r="F4715" s="2" t="n">
        <v>4</v>
      </c>
      <c r="G4715" s="4" t="n">
        <v>3</v>
      </c>
      <c r="H4715" s="13" t="n">
        <v>3</v>
      </c>
      <c r="I4715" s="34" t="n">
        <v>2</v>
      </c>
      <c r="J4715" s="35" t="n">
        <v>3</v>
      </c>
      <c r="K4715" s="2" t="inlineStr">
        <is>
          <t>marker_541_366783.png</t>
        </is>
      </c>
      <c r="L4715" s="36">
        <f>HYPERLINK("NoConsenso\" &amp; K4715, "Ver Imagen")</f>
        <v/>
      </c>
      <c r="M4715" t="inlineStr">
        <is>
          <t>Mediana</t>
        </is>
      </c>
    </row>
    <row r="4716">
      <c r="A4716" s="33" t="n">
        <v>4719</v>
      </c>
      <c r="B4716" t="inlineStr">
        <is>
          <t>A-497__407</t>
        </is>
      </c>
      <c r="C4716" s="1" t="n">
        <v>37.229378549</v>
      </c>
      <c r="D4716" s="1" t="n">
        <v>-7.02072986653</v>
      </c>
      <c r="E4716" s="3" t="n">
        <v>4</v>
      </c>
      <c r="F4716" s="2" t="n">
        <v>3</v>
      </c>
      <c r="G4716" s="4" t="n">
        <v>2</v>
      </c>
      <c r="H4716" s="13" t="n">
        <v>2</v>
      </c>
      <c r="I4716" s="34" t="n">
        <v>2</v>
      </c>
      <c r="J4716" s="35" t="n">
        <v>2</v>
      </c>
      <c r="K4716" s="2" t="inlineStr">
        <is>
          <t>marker_835_377126.png</t>
        </is>
      </c>
      <c r="L4716" s="36">
        <f>HYPERLINK("NoConsenso\" &amp; K4716, "Ver Imagen")</f>
        <v/>
      </c>
      <c r="M4716" t="inlineStr">
        <is>
          <t>Mediana</t>
        </is>
      </c>
    </row>
    <row r="4717">
      <c r="A4717" s="33" t="n">
        <v>4720</v>
      </c>
      <c r="B4717" t="inlineStr">
        <is>
          <t>A-497__401</t>
        </is>
      </c>
      <c r="C4717" s="1" t="n">
        <v>37.2304379242</v>
      </c>
      <c r="D4717" s="1" t="n">
        <v>-7.01992011231</v>
      </c>
      <c r="E4717" s="3" t="n">
        <v>4</v>
      </c>
      <c r="F4717" s="2" t="n">
        <v>3</v>
      </c>
      <c r="G4717" s="4" t="n">
        <v>2</v>
      </c>
      <c r="H4717" s="13" t="n">
        <v>2</v>
      </c>
      <c r="I4717" s="34" t="n">
        <v>3</v>
      </c>
      <c r="J4717" s="37" t="n">
        <v>2</v>
      </c>
      <c r="K4717" s="2" t="inlineStr">
        <is>
          <t>marker_359_377185.png</t>
        </is>
      </c>
      <c r="L4717" s="36">
        <f>HYPERLINK("NoConsenso\" &amp; K4717, "Ver Imagen")</f>
        <v/>
      </c>
      <c r="M4717" s="37" t="inlineStr">
        <is>
          <t>Modificada</t>
        </is>
      </c>
    </row>
    <row r="4718">
      <c r="A4718" s="33" t="n">
        <v>4721</v>
      </c>
      <c r="B4718" t="inlineStr">
        <is>
          <t>A-497__289</t>
        </is>
      </c>
      <c r="C4718" s="1" t="n">
        <v>37.252358893</v>
      </c>
      <c r="D4718" s="1" t="n">
        <v>-7.01637413832</v>
      </c>
      <c r="E4718" s="3" t="n">
        <v>2</v>
      </c>
      <c r="F4718" s="2" t="n">
        <v>4</v>
      </c>
      <c r="G4718" s="4" t="n">
        <v>3</v>
      </c>
      <c r="H4718" s="13" t="n">
        <v>3</v>
      </c>
      <c r="I4718" s="34" t="n">
        <v>2</v>
      </c>
      <c r="J4718" s="35" t="n">
        <v>3</v>
      </c>
      <c r="K4718" s="2" t="inlineStr">
        <is>
          <t>marker_444_378364.png</t>
        </is>
      </c>
      <c r="L4718" s="36">
        <f>HYPERLINK("NoConsenso\" &amp; K4718, "Ver Imagen")</f>
        <v/>
      </c>
      <c r="M4718" t="inlineStr">
        <is>
          <t>Mediana</t>
        </is>
      </c>
    </row>
    <row r="4719">
      <c r="A4719" s="33" t="n">
        <v>4722</v>
      </c>
      <c r="B4719" t="inlineStr">
        <is>
          <t>A-497__235</t>
        </is>
      </c>
      <c r="C4719" s="1" t="n">
        <v>37.2620191092</v>
      </c>
      <c r="D4719" s="1" t="n">
        <v>-7.01001355212</v>
      </c>
      <c r="E4719" s="3" t="n">
        <v>4</v>
      </c>
      <c r="F4719" s="2" t="n">
        <v>2</v>
      </c>
      <c r="G4719" s="4" t="n">
        <v>3</v>
      </c>
      <c r="H4719" s="13" t="n">
        <v>2</v>
      </c>
      <c r="I4719" s="34" t="n">
        <v>2</v>
      </c>
      <c r="J4719" s="35" t="n">
        <v>2</v>
      </c>
      <c r="K4719" s="2" t="inlineStr">
        <is>
          <t>marker_183_378976.png</t>
        </is>
      </c>
      <c r="L4719" s="36">
        <f>HYPERLINK("NoConsenso\" &amp; K4719, "Ver Imagen")</f>
        <v/>
      </c>
      <c r="M4719" t="inlineStr">
        <is>
          <t>Mediana</t>
        </is>
      </c>
    </row>
    <row r="4720">
      <c r="A4720" s="33" t="n">
        <v>4723</v>
      </c>
      <c r="B4720" t="inlineStr">
        <is>
          <t>A-497__193</t>
        </is>
      </c>
      <c r="C4720" s="1" t="n">
        <v>37.2646658176</v>
      </c>
      <c r="D4720" s="1" t="n">
        <v>-7.00013348609</v>
      </c>
      <c r="E4720" s="3" t="n">
        <v>4</v>
      </c>
      <c r="F4720" s="2" t="n">
        <v>2</v>
      </c>
      <c r="G4720" s="4" t="n">
        <v>3</v>
      </c>
      <c r="H4720" s="13" t="n">
        <v>2</v>
      </c>
      <c r="I4720" s="34" t="n">
        <v>2</v>
      </c>
      <c r="J4720" s="35" t="n">
        <v>2</v>
      </c>
      <c r="K4720" s="2" t="inlineStr">
        <is>
          <t>marker_432_379480.png</t>
        </is>
      </c>
      <c r="L4720" s="36">
        <f>HYPERLINK("NoConsenso\" &amp; K4720, "Ver Imagen")</f>
        <v/>
      </c>
      <c r="M4720" t="inlineStr">
        <is>
          <t>Mediana</t>
        </is>
      </c>
    </row>
    <row r="4721">
      <c r="A4721" s="33" t="n">
        <v>4724</v>
      </c>
      <c r="B4721" t="inlineStr">
        <is>
          <t>A-497__192</t>
        </is>
      </c>
      <c r="C4721" s="1" t="n">
        <v>37.2647169933</v>
      </c>
      <c r="D4721" s="1" t="n">
        <v>-6.99984758149</v>
      </c>
      <c r="E4721" s="3" t="n">
        <v>5</v>
      </c>
      <c r="F4721" s="2" t="n">
        <v>3</v>
      </c>
      <c r="G4721" s="4" t="n">
        <v>4</v>
      </c>
      <c r="H4721" s="13" t="n">
        <v>3</v>
      </c>
      <c r="I4721" s="34" t="n">
        <v>4</v>
      </c>
      <c r="J4721" s="35" t="n">
        <v>4</v>
      </c>
      <c r="K4721" s="2" t="inlineStr">
        <is>
          <t>marker_368_379490.png</t>
        </is>
      </c>
      <c r="L4721" s="36">
        <f>HYPERLINK("NoConsenso\" &amp; K4721, "Ver Imagen")</f>
        <v/>
      </c>
      <c r="M4721" t="inlineStr">
        <is>
          <t>Mediana</t>
        </is>
      </c>
    </row>
    <row r="4722">
      <c r="A4722" s="33" t="n">
        <v>4725</v>
      </c>
      <c r="B4722" t="inlineStr">
        <is>
          <t>A-490__527</t>
        </is>
      </c>
      <c r="C4722" s="1" t="n">
        <v>37.4880406299</v>
      </c>
      <c r="D4722" s="1" t="n">
        <v>-7.24550463593</v>
      </c>
      <c r="E4722" s="3" t="n">
        <v>1</v>
      </c>
      <c r="F4722" s="2" t="n">
        <v>4</v>
      </c>
      <c r="G4722" s="4" t="n">
        <v>1</v>
      </c>
      <c r="H4722" s="13" t="n">
        <v>2</v>
      </c>
      <c r="I4722" s="34" t="n">
        <v>2</v>
      </c>
      <c r="J4722" s="35" t="n">
        <v>2</v>
      </c>
      <c r="K4722" s="2" t="inlineStr">
        <is>
          <t>marker_266_818163.png</t>
        </is>
      </c>
      <c r="L4722" s="36">
        <f>HYPERLINK("NoConsenso\" &amp; K4722, "Ver Imagen")</f>
        <v/>
      </c>
      <c r="M4722" t="inlineStr">
        <is>
          <t>Mediana</t>
        </is>
      </c>
    </row>
    <row r="4723">
      <c r="A4723" s="33" t="n">
        <v>4726</v>
      </c>
      <c r="B4723" t="inlineStr">
        <is>
          <t>A-495_1__183</t>
        </is>
      </c>
      <c r="C4723" s="1" t="n">
        <v>37.4828059859</v>
      </c>
      <c r="D4723" s="1" t="n">
        <v>-7.12878844444</v>
      </c>
      <c r="E4723" s="3" t="n">
        <v>1</v>
      </c>
      <c r="F4723" s="2" t="n">
        <v>1</v>
      </c>
      <c r="G4723" s="4" t="n">
        <v>4</v>
      </c>
      <c r="H4723" s="13" t="n">
        <v>1</v>
      </c>
      <c r="I4723" s="34" t="n">
        <v>1</v>
      </c>
      <c r="J4723" s="35" t="n">
        <v>1</v>
      </c>
      <c r="K4723" s="2" t="inlineStr">
        <is>
          <t>marker_226_383792.png</t>
        </is>
      </c>
      <c r="L4723" s="36">
        <f>HYPERLINK("NoConsenso\" &amp; K4723, "Ver Imagen")</f>
        <v/>
      </c>
      <c r="M4723" t="inlineStr">
        <is>
          <t>Mediana</t>
        </is>
      </c>
    </row>
    <row r="4724">
      <c r="A4724" s="33" t="n">
        <v>4727</v>
      </c>
      <c r="B4724" t="inlineStr">
        <is>
          <t>A-492__131</t>
        </is>
      </c>
      <c r="C4724" s="1" t="n">
        <v>37.2762808219</v>
      </c>
      <c r="D4724" s="1" t="n">
        <v>-7.01397742895</v>
      </c>
      <c r="E4724" s="3" t="n">
        <v>2</v>
      </c>
      <c r="F4724" s="2" t="n">
        <v>3</v>
      </c>
      <c r="G4724" s="4" t="n">
        <v>5</v>
      </c>
      <c r="H4724" s="13" t="n">
        <v>2</v>
      </c>
      <c r="I4724" s="34" t="n">
        <v>2</v>
      </c>
      <c r="J4724" s="35" t="n">
        <v>2</v>
      </c>
      <c r="K4724" s="2" t="inlineStr">
        <is>
          <t>marker_150_824554.png</t>
        </is>
      </c>
      <c r="L4724" s="36">
        <f>HYPERLINK("NoConsenso\" &amp; K4724, "Ver Imagen")</f>
        <v/>
      </c>
      <c r="M4724" t="inlineStr">
        <is>
          <t>Mediana</t>
        </is>
      </c>
    </row>
    <row r="4725">
      <c r="A4725" s="33" t="n">
        <v>4728</v>
      </c>
      <c r="B4725" t="inlineStr">
        <is>
          <t>A-492__394</t>
        </is>
      </c>
      <c r="C4725" s="1" t="n">
        <v>37.3077165229</v>
      </c>
      <c r="D4725" s="1" t="n">
        <v>-7.05701383673</v>
      </c>
      <c r="E4725" s="3" t="n">
        <v>2</v>
      </c>
      <c r="F4725" s="2" t="n">
        <v>2</v>
      </c>
      <c r="G4725" s="4" t="n">
        <v>5</v>
      </c>
      <c r="H4725" s="13" t="n">
        <v>2</v>
      </c>
      <c r="I4725" s="34" t="n">
        <v>2</v>
      </c>
      <c r="J4725" s="35" t="n">
        <v>2</v>
      </c>
      <c r="K4725" s="2" t="inlineStr">
        <is>
          <t>marker_982_839080.png</t>
        </is>
      </c>
      <c r="L4725" s="36">
        <f>HYPERLINK("NoConsenso\" &amp; K4725, "Ver Imagen")</f>
        <v/>
      </c>
      <c r="M4725" t="inlineStr">
        <is>
          <t>Mediana</t>
        </is>
      </c>
    </row>
    <row r="4726">
      <c r="A4726" s="33" t="n">
        <v>4729</v>
      </c>
      <c r="B4726" t="inlineStr">
        <is>
          <t>A-492__401</t>
        </is>
      </c>
      <c r="C4726" s="1" t="n">
        <v>37.3090769079</v>
      </c>
      <c r="D4726" s="1" t="n">
        <v>-7.05756095611</v>
      </c>
      <c r="E4726" s="3" t="n">
        <v>2</v>
      </c>
      <c r="F4726" s="2" t="n">
        <v>3</v>
      </c>
      <c r="G4726" s="4" t="n">
        <v>5</v>
      </c>
      <c r="H4726" s="13" t="n">
        <v>2</v>
      </c>
      <c r="I4726" s="34" t="n">
        <v>2</v>
      </c>
      <c r="J4726" s="35" t="n">
        <v>2</v>
      </c>
      <c r="K4726" s="2" t="inlineStr">
        <is>
          <t>marker_893_839173.png</t>
        </is>
      </c>
      <c r="L4726" s="36">
        <f>HYPERLINK("NoConsenso\" &amp; K4726, "Ver Imagen")</f>
        <v/>
      </c>
      <c r="M4726" t="inlineStr">
        <is>
          <t>Mediana</t>
        </is>
      </c>
    </row>
    <row r="4727">
      <c r="A4727" s="33" t="n">
        <v>4730</v>
      </c>
      <c r="B4727" t="inlineStr">
        <is>
          <t>A-497__679</t>
        </is>
      </c>
      <c r="C4727" s="1" t="n">
        <v>37.1992882352</v>
      </c>
      <c r="D4727" s="1" t="n">
        <v>-6.98323079123</v>
      </c>
      <c r="E4727" s="3" t="n">
        <v>2</v>
      </c>
      <c r="F4727" s="2" t="n">
        <v>3</v>
      </c>
      <c r="G4727" s="4" t="n">
        <v>5</v>
      </c>
      <c r="H4727" s="13" t="n">
        <v>2</v>
      </c>
      <c r="I4727" s="34" t="n">
        <v>3</v>
      </c>
      <c r="J4727" s="35" t="n">
        <v>3</v>
      </c>
      <c r="K4727" s="2" t="inlineStr">
        <is>
          <t>marker_546_370583.png</t>
        </is>
      </c>
      <c r="L4727" s="36">
        <f>HYPERLINK("NoConsenso\" &amp; K4727, "Ver Imagen")</f>
        <v/>
      </c>
      <c r="M4727" t="inlineStr">
        <is>
          <t>Mediana</t>
        </is>
      </c>
    </row>
    <row r="4728">
      <c r="A4728" s="33" t="n">
        <v>4731</v>
      </c>
      <c r="B4728" t="inlineStr">
        <is>
          <t>A-490__157</t>
        </is>
      </c>
      <c r="C4728" s="1" t="n">
        <v>37.4539362143</v>
      </c>
      <c r="D4728" s="1" t="n">
        <v>-7.16363788675</v>
      </c>
      <c r="E4728" s="3" t="n">
        <v>1</v>
      </c>
      <c r="F4728" s="2" t="n">
        <v>4</v>
      </c>
      <c r="G4728" s="4" t="n">
        <v>3</v>
      </c>
      <c r="H4728" s="13" t="n">
        <v>3</v>
      </c>
      <c r="I4728" s="34" t="n">
        <v>2</v>
      </c>
      <c r="J4728" s="35" t="n">
        <v>3</v>
      </c>
      <c r="K4728" s="2" t="inlineStr">
        <is>
          <t>marker_213_740911.png</t>
        </is>
      </c>
      <c r="L4728" s="36">
        <f>HYPERLINK("NoConsenso\" &amp; K4728, "Ver Imagen")</f>
        <v/>
      </c>
      <c r="M4728" t="inlineStr">
        <is>
          <t>Mediana</t>
        </is>
      </c>
    </row>
    <row r="4729">
      <c r="A4729" s="33" t="n">
        <v>4732</v>
      </c>
      <c r="B4729" t="inlineStr">
        <is>
          <t>A-490__361</t>
        </is>
      </c>
      <c r="C4729" s="1" t="n">
        <v>37.4779408138</v>
      </c>
      <c r="D4729" s="1" t="n">
        <v>-7.20556766058</v>
      </c>
      <c r="E4729" s="3" t="n">
        <v>1</v>
      </c>
      <c r="F4729" s="2" t="n">
        <v>4</v>
      </c>
      <c r="G4729" s="4" t="n">
        <v>3</v>
      </c>
      <c r="H4729" s="13" t="n">
        <v>2</v>
      </c>
      <c r="I4729" s="34" t="n">
        <v>2</v>
      </c>
      <c r="J4729" s="35" t="n">
        <v>2</v>
      </c>
      <c r="K4729" s="2" t="inlineStr">
        <is>
          <t>marker_467_751898.png</t>
        </is>
      </c>
      <c r="L4729" s="36">
        <f>HYPERLINK("NoConsenso\" &amp; K4729, "Ver Imagen")</f>
        <v/>
      </c>
      <c r="M4729" t="inlineStr">
        <is>
          <t>Mediana</t>
        </is>
      </c>
    </row>
    <row r="4730">
      <c r="A4730" s="33" t="n">
        <v>4733</v>
      </c>
      <c r="B4730" t="inlineStr">
        <is>
          <t>A-490__410</t>
        </is>
      </c>
      <c r="C4730" s="1" t="n">
        <v>37.4823236552</v>
      </c>
      <c r="D4730" s="1" t="n">
        <v>-7.21675669321</v>
      </c>
      <c r="E4730" s="3" t="n">
        <v>1</v>
      </c>
      <c r="F4730" s="2" t="n">
        <v>4</v>
      </c>
      <c r="G4730" s="4" t="n">
        <v>3</v>
      </c>
      <c r="H4730" s="13" t="n">
        <v>3</v>
      </c>
      <c r="I4730" s="34" t="n">
        <v>2</v>
      </c>
      <c r="J4730" s="35" t="n">
        <v>3</v>
      </c>
      <c r="K4730" s="2" t="inlineStr">
        <is>
          <t>marker_379_754123.png</t>
        </is>
      </c>
      <c r="L4730" s="36">
        <f>HYPERLINK("NoConsenso\" &amp; K4730, "Ver Imagen")</f>
        <v/>
      </c>
      <c r="M4730" t="inlineStr">
        <is>
          <t>Mediana</t>
        </is>
      </c>
    </row>
    <row r="4731">
      <c r="A4731" s="33" t="n">
        <v>4734</v>
      </c>
      <c r="B4731" t="inlineStr">
        <is>
          <t>A-490__34</t>
        </is>
      </c>
      <c r="C4731" s="1" t="n">
        <v>37.4462369196</v>
      </c>
      <c r="D4731" s="1" t="n">
        <v>-7.13472187051</v>
      </c>
      <c r="E4731" s="3" t="n">
        <v>2</v>
      </c>
      <c r="F4731" s="2" t="n">
        <v>5</v>
      </c>
      <c r="G4731" s="4" t="n">
        <v>4</v>
      </c>
      <c r="H4731" s="13" t="n">
        <v>4</v>
      </c>
      <c r="I4731" s="34" t="n">
        <v>4</v>
      </c>
      <c r="J4731" s="35" t="n">
        <v>4</v>
      </c>
      <c r="K4731" s="2" t="inlineStr">
        <is>
          <t>marker_161_731037.png</t>
        </is>
      </c>
      <c r="L4731" s="36">
        <f>HYPERLINK("NoConsenso\" &amp; K4731, "Ver Imagen")</f>
        <v/>
      </c>
      <c r="M4731" t="inlineStr">
        <is>
          <t>Mediana</t>
        </is>
      </c>
    </row>
    <row r="4732">
      <c r="A4732" s="33" t="n">
        <v>4735</v>
      </c>
      <c r="B4732" t="inlineStr">
        <is>
          <t>A-490__114</t>
        </is>
      </c>
      <c r="C4732" s="1" t="n">
        <v>37.4508363802</v>
      </c>
      <c r="D4732" s="1" t="n">
        <v>-7.15362006327</v>
      </c>
      <c r="E4732" s="3" t="n">
        <v>2</v>
      </c>
      <c r="F4732" s="2" t="n">
        <v>5</v>
      </c>
      <c r="G4732" s="4" t="n">
        <v>4</v>
      </c>
      <c r="H4732" s="13" t="n">
        <v>4</v>
      </c>
      <c r="I4732" s="34" t="n">
        <v>4</v>
      </c>
      <c r="J4732" s="35" t="n">
        <v>4</v>
      </c>
      <c r="K4732" s="2" t="inlineStr">
        <is>
          <t>marker_164_739861.png</t>
        </is>
      </c>
      <c r="L4732" s="36">
        <f>HYPERLINK("NoConsenso\" &amp; K4732, "Ver Imagen")</f>
        <v/>
      </c>
      <c r="M4732" t="inlineStr">
        <is>
          <t>Mediana</t>
        </is>
      </c>
    </row>
    <row r="4733">
      <c r="A4733" s="33" t="n">
        <v>4736</v>
      </c>
      <c r="B4733" t="inlineStr">
        <is>
          <t>A-490__350</t>
        </is>
      </c>
      <c r="C4733" s="1" t="n">
        <v>37.4768985626</v>
      </c>
      <c r="D4733" s="1" t="n">
        <v>-7.20315471346</v>
      </c>
      <c r="E4733" s="3" t="n">
        <v>1</v>
      </c>
      <c r="F4733" s="2" t="n">
        <v>3</v>
      </c>
      <c r="G4733" s="4" t="n">
        <v>4</v>
      </c>
      <c r="H4733" s="13" t="n">
        <v>3</v>
      </c>
      <c r="I4733" s="34" t="n">
        <v>3</v>
      </c>
      <c r="J4733" s="35" t="n">
        <v>3</v>
      </c>
      <c r="K4733" s="2" t="inlineStr">
        <is>
          <t>marker_284_751678.png</t>
        </is>
      </c>
      <c r="L4733" s="36">
        <f>HYPERLINK("NoConsenso\" &amp; K4733, "Ver Imagen")</f>
        <v/>
      </c>
      <c r="M4733" t="inlineStr">
        <is>
          <t>Mediana</t>
        </is>
      </c>
    </row>
    <row r="4734">
      <c r="A4734" s="33" t="n">
        <v>4737</v>
      </c>
      <c r="B4734" t="inlineStr">
        <is>
          <t>A-495R__72</t>
        </is>
      </c>
      <c r="C4734" s="1" t="n">
        <v>37.4584744077</v>
      </c>
      <c r="D4734" s="1" t="n">
        <v>-7.11455516077</v>
      </c>
      <c r="E4734" s="3" t="n">
        <v>1</v>
      </c>
      <c r="F4734" s="2" t="n">
        <v>4</v>
      </c>
      <c r="G4734" s="4" t="n">
        <v>4</v>
      </c>
      <c r="H4734" s="13" t="n">
        <v>4</v>
      </c>
      <c r="I4734" s="34" t="n">
        <v>4</v>
      </c>
      <c r="J4734" s="35" t="n">
        <v>4</v>
      </c>
      <c r="K4734" s="2" t="inlineStr">
        <is>
          <t>marker_588_935195.png</t>
        </is>
      </c>
      <c r="L4734" s="36">
        <f>HYPERLINK("NoConsenso\" &amp; K4734, "Ver Imagen")</f>
        <v/>
      </c>
      <c r="M4734" t="inlineStr">
        <is>
          <t>Mediana</t>
        </is>
      </c>
    </row>
    <row r="4735">
      <c r="A4735" s="33" t="n">
        <v>4738</v>
      </c>
      <c r="B4735" t="inlineStr">
        <is>
          <t>A-495_1__123</t>
        </is>
      </c>
      <c r="C4735" s="1" t="n">
        <v>37.4716412137</v>
      </c>
      <c r="D4735" s="1" t="n">
        <v>-7.12592926429</v>
      </c>
      <c r="E4735" s="3" t="n">
        <v>4</v>
      </c>
      <c r="F4735" s="2" t="n">
        <v>1</v>
      </c>
      <c r="G4735" s="4" t="n">
        <v>4</v>
      </c>
      <c r="H4735" s="13" t="n">
        <v>3</v>
      </c>
      <c r="I4735" s="34" t="n">
        <v>2</v>
      </c>
      <c r="J4735" s="35" t="n">
        <v>3</v>
      </c>
      <c r="K4735" s="2" t="inlineStr">
        <is>
          <t>marker_578_384541.png</t>
        </is>
      </c>
      <c r="L4735" s="36">
        <f>HYPERLINK("NoConsenso\" &amp; K4735, "Ver Imagen")</f>
        <v/>
      </c>
      <c r="M4735" t="inlineStr">
        <is>
          <t>Mediana</t>
        </is>
      </c>
    </row>
    <row r="4736">
      <c r="A4736" s="33" t="n">
        <v>4739</v>
      </c>
      <c r="B4736" t="inlineStr">
        <is>
          <t>A-495_1__102</t>
        </is>
      </c>
      <c r="C4736" s="1" t="n">
        <v>37.4679271296</v>
      </c>
      <c r="D4736" s="1" t="n">
        <v>-7.12324939377</v>
      </c>
      <c r="E4736" s="3" t="n">
        <v>4</v>
      </c>
      <c r="F4736" s="2" t="n">
        <v>7</v>
      </c>
      <c r="G4736" s="4" t="n">
        <v>4</v>
      </c>
      <c r="H4736" s="13" t="n">
        <v>4</v>
      </c>
      <c r="I4736" s="34" t="n">
        <v>4</v>
      </c>
      <c r="J4736" s="35" t="n">
        <v>4</v>
      </c>
      <c r="K4736" s="2" t="inlineStr">
        <is>
          <t>marker_405_384978.png</t>
        </is>
      </c>
      <c r="L4736" s="36">
        <f>HYPERLINK("NoConsenso\" &amp; K4736, "Ver Imagen")</f>
        <v/>
      </c>
      <c r="M4736" t="inlineStr">
        <is>
          <t>Mediana</t>
        </is>
      </c>
    </row>
    <row r="4737">
      <c r="A4737" s="33" t="n">
        <v>4740</v>
      </c>
      <c r="B4737" t="inlineStr">
        <is>
          <t>A-497_2C__459</t>
        </is>
      </c>
      <c r="C4737" s="1" t="n">
        <v>37.2184288763</v>
      </c>
      <c r="D4737" s="1" t="n">
        <v>-7.02300902052</v>
      </c>
      <c r="E4737" s="3" t="n">
        <v>4</v>
      </c>
      <c r="F4737" s="2" t="n">
        <v>1</v>
      </c>
      <c r="G4737" s="4" t="n">
        <v>4</v>
      </c>
      <c r="H4737" s="13" t="n">
        <v>2</v>
      </c>
      <c r="I4737" s="34" t="n">
        <v>1</v>
      </c>
      <c r="J4737" s="35" t="n">
        <v>2</v>
      </c>
      <c r="K4737" s="2" t="inlineStr">
        <is>
          <t>marker_260_363526.png</t>
        </is>
      </c>
      <c r="L4737" s="36">
        <f>HYPERLINK("NoConsenso\" &amp; K4737, "Ver Imagen")</f>
        <v/>
      </c>
      <c r="M4737" t="inlineStr">
        <is>
          <t>Mediana</t>
        </is>
      </c>
    </row>
    <row r="4738">
      <c r="A4738" s="33" t="n">
        <v>4741</v>
      </c>
      <c r="B4738" t="inlineStr">
        <is>
          <t>A-490__54</t>
        </is>
      </c>
      <c r="C4738" s="1" t="n">
        <v>37.4470728854</v>
      </c>
      <c r="D4738" s="1" t="n">
        <v>-7.13952394084</v>
      </c>
      <c r="E4738" s="3" t="n">
        <v>2</v>
      </c>
      <c r="F4738" s="2" t="n">
        <v>5</v>
      </c>
      <c r="G4738" s="4" t="n">
        <v>5</v>
      </c>
      <c r="H4738" s="13" t="n">
        <v>4</v>
      </c>
      <c r="I4738" s="34" t="n">
        <v>5</v>
      </c>
      <c r="J4738" s="35" t="n">
        <v>5</v>
      </c>
      <c r="K4738" s="2" t="inlineStr">
        <is>
          <t>marker_904_732381.png</t>
        </is>
      </c>
      <c r="L4738" s="36">
        <f>HYPERLINK("NoConsenso\" &amp; K4738, "Ver Imagen")</f>
        <v/>
      </c>
      <c r="M4738" t="inlineStr">
        <is>
          <t>Mediana</t>
        </is>
      </c>
    </row>
    <row r="4739">
      <c r="A4739" s="33" t="n">
        <v>4742</v>
      </c>
      <c r="B4739" t="inlineStr">
        <is>
          <t>A-497__86</t>
        </is>
      </c>
      <c r="C4739" s="1" t="n">
        <v>37.2693459323</v>
      </c>
      <c r="D4739" s="1" t="n">
        <v>-6.97717464687</v>
      </c>
      <c r="E4739" s="3" t="n">
        <v>2</v>
      </c>
      <c r="F4739" s="2" t="n">
        <v>4</v>
      </c>
      <c r="G4739" s="4" t="n">
        <v>5</v>
      </c>
      <c r="H4739" s="13" t="n">
        <v>4</v>
      </c>
      <c r="I4739" s="34" t="n">
        <v>4</v>
      </c>
      <c r="J4739" s="35" t="n">
        <v>4</v>
      </c>
      <c r="K4739" s="2" t="inlineStr">
        <is>
          <t>marker_880_937391.png</t>
        </is>
      </c>
      <c r="L4739" s="36">
        <f>HYPERLINK("NoConsenso\" &amp; K4739, "Ver Imagen")</f>
        <v/>
      </c>
      <c r="M4739" t="inlineStr">
        <is>
          <t>Mediana</t>
        </is>
      </c>
    </row>
    <row r="4740">
      <c r="A4740" s="33" t="n">
        <v>4743</v>
      </c>
      <c r="B4740" t="inlineStr">
        <is>
          <t>A-497__80</t>
        </is>
      </c>
      <c r="C4740" s="1" t="n">
        <v>37.2689751232</v>
      </c>
      <c r="D4740" s="1" t="n">
        <v>-6.97579008344</v>
      </c>
      <c r="E4740" s="3" t="n">
        <v>2</v>
      </c>
      <c r="F4740" s="2" t="n">
        <v>4</v>
      </c>
      <c r="G4740" s="4" t="n">
        <v>5</v>
      </c>
      <c r="H4740" s="13" t="n">
        <v>3</v>
      </c>
      <c r="I4740" s="34" t="n">
        <v>4</v>
      </c>
      <c r="J4740" s="35" t="n">
        <v>4</v>
      </c>
      <c r="K4740" s="2" t="inlineStr">
        <is>
          <t>marker_674_937461.png</t>
        </is>
      </c>
      <c r="L4740" s="36">
        <f>HYPERLINK("NoConsenso\" &amp; K4740, "Ver Imagen")</f>
        <v/>
      </c>
      <c r="M4740" t="inlineStr">
        <is>
          <t>Mediana</t>
        </is>
      </c>
    </row>
    <row r="4741">
      <c r="A4741" s="33" t="n">
        <v>4744</v>
      </c>
      <c r="B4741" t="inlineStr">
        <is>
          <t>A-497__74</t>
        </is>
      </c>
      <c r="C4741" s="1" t="n">
        <v>37.2686337185</v>
      </c>
      <c r="D4741" s="1" t="n">
        <v>-6.97431993614</v>
      </c>
      <c r="E4741" s="3" t="n">
        <v>2</v>
      </c>
      <c r="F4741" s="2" t="n">
        <v>3</v>
      </c>
      <c r="G4741" s="4" t="n">
        <v>5</v>
      </c>
      <c r="H4741" s="13" t="n">
        <v>3</v>
      </c>
      <c r="I4741" s="34" t="n">
        <v>4</v>
      </c>
      <c r="J4741" s="35" t="n">
        <v>3</v>
      </c>
      <c r="K4741" s="2" t="inlineStr">
        <is>
          <t>marker_921_937998.png</t>
        </is>
      </c>
      <c r="L4741" s="36">
        <f>HYPERLINK("NoConsenso\" &amp; K4741, "Ver Imagen")</f>
        <v/>
      </c>
      <c r="M4741" t="inlineStr">
        <is>
          <t>Mediana</t>
        </is>
      </c>
    </row>
    <row r="4742">
      <c r="A4742" s="33" t="n">
        <v>4745</v>
      </c>
      <c r="B4742" t="inlineStr">
        <is>
          <t>A-490__63</t>
        </is>
      </c>
      <c r="C4742" s="1" t="n">
        <v>37.4479767641</v>
      </c>
      <c r="D4742" s="1" t="n">
        <v>-7.14154802067</v>
      </c>
      <c r="E4742" s="3" t="n">
        <v>1</v>
      </c>
      <c r="F4742" s="2" t="n">
        <v>2</v>
      </c>
      <c r="G4742" s="4" t="n">
        <v>4</v>
      </c>
      <c r="H4742" s="13" t="n">
        <v>3</v>
      </c>
      <c r="I4742" s="34" t="n">
        <v>2</v>
      </c>
      <c r="J4742" s="37" t="n">
        <v>3</v>
      </c>
      <c r="K4742" s="2" t="inlineStr">
        <is>
          <t>marker_472_737970.png</t>
        </is>
      </c>
      <c r="L4742" s="36">
        <f>HYPERLINK("NoConsenso\" &amp; K4742, "Ver Imagen")</f>
        <v/>
      </c>
      <c r="M4742" s="37" t="inlineStr">
        <is>
          <t>Modificada</t>
        </is>
      </c>
    </row>
    <row r="4743">
      <c r="A4743" s="33" t="n">
        <v>4746</v>
      </c>
      <c r="B4743" t="inlineStr">
        <is>
          <t>A-490__41</t>
        </is>
      </c>
      <c r="C4743" s="1" t="n">
        <v>37.4461850012</v>
      </c>
      <c r="D4743" s="1" t="n">
        <v>-7.13647249756</v>
      </c>
      <c r="E4743" s="3" t="n">
        <v>2</v>
      </c>
      <c r="F4743" s="2" t="n">
        <v>5</v>
      </c>
      <c r="G4743" s="4" t="n">
        <v>5</v>
      </c>
      <c r="H4743" s="13" t="n">
        <v>4</v>
      </c>
      <c r="I4743" s="34" t="n">
        <v>4</v>
      </c>
      <c r="J4743" s="35" t="n">
        <v>4</v>
      </c>
      <c r="K4743" s="2" t="inlineStr">
        <is>
          <t>marker_135_731218.png</t>
        </is>
      </c>
      <c r="L4743" s="36">
        <f>HYPERLINK("NoConsenso\" &amp; K4743, "Ver Imagen")</f>
        <v/>
      </c>
      <c r="M4743" t="inlineStr">
        <is>
          <t>Mediana</t>
        </is>
      </c>
    </row>
    <row r="4744">
      <c r="A4744" s="33" t="n">
        <v>4747</v>
      </c>
      <c r="B4744" t="inlineStr">
        <is>
          <t>A-490__47</t>
        </is>
      </c>
      <c r="C4744" s="1" t="n">
        <v>37.446588611</v>
      </c>
      <c r="D4744" s="1" t="n">
        <v>-7.13792195364</v>
      </c>
      <c r="E4744" s="3" t="n">
        <v>2</v>
      </c>
      <c r="F4744" s="2" t="n">
        <v>5</v>
      </c>
      <c r="G4744" s="4" t="n">
        <v>4</v>
      </c>
      <c r="H4744" s="13" t="n">
        <v>4</v>
      </c>
      <c r="I4744" s="34" t="n">
        <v>4</v>
      </c>
      <c r="J4744" s="35" t="n">
        <v>4</v>
      </c>
      <c r="K4744" s="2" t="inlineStr">
        <is>
          <t>marker_823_731377.png</t>
        </is>
      </c>
      <c r="L4744" s="36">
        <f>HYPERLINK("NoConsenso\" &amp; K4744, "Ver Imagen")</f>
        <v/>
      </c>
      <c r="M4744" t="inlineStr">
        <is>
          <t>Mediana</t>
        </is>
      </c>
    </row>
    <row r="4745">
      <c r="A4745" s="33" t="n">
        <v>4748</v>
      </c>
      <c r="B4745" t="inlineStr">
        <is>
          <t>A-490__69</t>
        </is>
      </c>
      <c r="C4745" s="1" t="n">
        <v>37.4484679827</v>
      </c>
      <c r="D4745" s="1" t="n">
        <v>-7.14295674665</v>
      </c>
      <c r="E4745" s="3" t="n">
        <v>1</v>
      </c>
      <c r="F4745" s="2" t="n">
        <v>2</v>
      </c>
      <c r="G4745" s="4" t="n">
        <v>4</v>
      </c>
      <c r="H4745" s="13" t="n">
        <v>2</v>
      </c>
      <c r="I4745" s="34" t="n">
        <v>2</v>
      </c>
      <c r="J4745" s="35" t="n">
        <v>2</v>
      </c>
      <c r="K4745" s="2" t="inlineStr">
        <is>
          <t>marker_423_738134.png</t>
        </is>
      </c>
      <c r="L4745" s="36">
        <f>HYPERLINK("NoConsenso\" &amp; K4745, "Ver Imagen")</f>
        <v/>
      </c>
      <c r="M4745" t="inlineStr">
        <is>
          <t>Mediana</t>
        </is>
      </c>
    </row>
    <row r="4746">
      <c r="A4746" s="33" t="n">
        <v>4749</v>
      </c>
      <c r="B4746" t="inlineStr">
        <is>
          <t>A-490__76</t>
        </is>
      </c>
      <c r="C4746" s="1" t="n">
        <v>37.4485624286</v>
      </c>
      <c r="D4746" s="1" t="n">
        <v>-7.14467705803</v>
      </c>
      <c r="E4746" s="3" t="n">
        <v>2</v>
      </c>
      <c r="F4746" s="2" t="n">
        <v>3</v>
      </c>
      <c r="G4746" s="4" t="n">
        <v>5</v>
      </c>
      <c r="H4746" s="13" t="n">
        <v>3</v>
      </c>
      <c r="I4746" s="34" t="n">
        <v>3</v>
      </c>
      <c r="J4746" s="35" t="n">
        <v>3</v>
      </c>
      <c r="K4746" s="2" t="inlineStr">
        <is>
          <t>marker_600_738485.png</t>
        </is>
      </c>
      <c r="L4746" s="36">
        <f>HYPERLINK("NoConsenso\" &amp; K4746, "Ver Imagen")</f>
        <v/>
      </c>
      <c r="M4746" t="inlineStr">
        <is>
          <t>Mediana</t>
        </is>
      </c>
    </row>
    <row r="4747">
      <c r="A4747" s="33" t="n">
        <v>4750</v>
      </c>
      <c r="B4747" t="inlineStr">
        <is>
          <t>A-490__116</t>
        </is>
      </c>
      <c r="C4747" s="1" t="n">
        <v>37.4510420434</v>
      </c>
      <c r="D4747" s="1" t="n">
        <v>-7.15402208538</v>
      </c>
      <c r="E4747" s="3" t="n">
        <v>2</v>
      </c>
      <c r="F4747" s="2" t="n">
        <v>4</v>
      </c>
      <c r="G4747" s="4" t="n">
        <v>5</v>
      </c>
      <c r="H4747" s="13" t="n">
        <v>4</v>
      </c>
      <c r="I4747" s="34" t="n">
        <v>4</v>
      </c>
      <c r="J4747" s="35" t="n">
        <v>4</v>
      </c>
      <c r="K4747" s="2" t="inlineStr">
        <is>
          <t>marker_437_739899.png</t>
        </is>
      </c>
      <c r="L4747" s="36">
        <f>HYPERLINK("NoConsenso\" &amp; K4747, "Ver Imagen")</f>
        <v/>
      </c>
      <c r="M4747" t="inlineStr">
        <is>
          <t>Mediana</t>
        </is>
      </c>
    </row>
    <row r="4748">
      <c r="A4748" s="33" t="n">
        <v>4751</v>
      </c>
      <c r="B4748" t="inlineStr">
        <is>
          <t>A-490__94</t>
        </is>
      </c>
      <c r="C4748" s="1" t="n">
        <v>37.448833266</v>
      </c>
      <c r="D4748" s="1" t="n">
        <v>-7.14925650198</v>
      </c>
      <c r="E4748" s="3" t="n">
        <v>2</v>
      </c>
      <c r="F4748" s="2" t="n">
        <v>4</v>
      </c>
      <c r="G4748" s="4" t="n">
        <v>5</v>
      </c>
      <c r="H4748" s="13" t="n">
        <v>4</v>
      </c>
      <c r="I4748" s="34" t="n">
        <v>4</v>
      </c>
      <c r="J4748" s="35" t="n">
        <v>4</v>
      </c>
      <c r="K4748" s="2" t="inlineStr">
        <is>
          <t>marker_997_739047.png</t>
        </is>
      </c>
      <c r="L4748" s="36">
        <f>HYPERLINK("NoConsenso\" &amp; K4748, "Ver Imagen")</f>
        <v/>
      </c>
      <c r="M4748" t="inlineStr">
        <is>
          <t>Mediana</t>
        </is>
      </c>
    </row>
    <row r="4749">
      <c r="A4749" s="33" t="n">
        <v>4752</v>
      </c>
      <c r="B4749" t="inlineStr">
        <is>
          <t>A-490__97</t>
        </is>
      </c>
      <c r="C4749" s="1" t="n">
        <v>37.4490040124</v>
      </c>
      <c r="D4749" s="1" t="n">
        <v>-7.14995530295</v>
      </c>
      <c r="E4749" s="3" t="n">
        <v>2</v>
      </c>
      <c r="F4749" s="2" t="n">
        <v>3</v>
      </c>
      <c r="G4749" s="4" t="n">
        <v>5</v>
      </c>
      <c r="H4749" s="13" t="n">
        <v>3</v>
      </c>
      <c r="I4749" s="34" t="n">
        <v>4</v>
      </c>
      <c r="J4749" s="35" t="n">
        <v>3</v>
      </c>
      <c r="K4749" s="2" t="inlineStr">
        <is>
          <t>marker_651_739107.png</t>
        </is>
      </c>
      <c r="L4749" s="36">
        <f>HYPERLINK("NoConsenso\" &amp; K4749, "Ver Imagen")</f>
        <v/>
      </c>
      <c r="M4749" t="inlineStr">
        <is>
          <t>Mediana</t>
        </is>
      </c>
    </row>
    <row r="4750">
      <c r="A4750" s="33" t="n">
        <v>4753</v>
      </c>
      <c r="B4750" t="inlineStr">
        <is>
          <t>A-490__131</t>
        </is>
      </c>
      <c r="C4750" s="1" t="n">
        <v>37.451870656</v>
      </c>
      <c r="D4750" s="1" t="n">
        <v>-7.15767232278</v>
      </c>
      <c r="E4750" s="3" t="n">
        <v>2</v>
      </c>
      <c r="F4750" s="2" t="n">
        <v>3</v>
      </c>
      <c r="G4750" s="4" t="n">
        <v>5</v>
      </c>
      <c r="H4750" s="13" t="n">
        <v>3</v>
      </c>
      <c r="I4750" s="34" t="n">
        <v>3</v>
      </c>
      <c r="J4750" s="35" t="n">
        <v>3</v>
      </c>
      <c r="K4750" s="2" t="inlineStr">
        <is>
          <t>marker_854_740268.png</t>
        </is>
      </c>
      <c r="L4750" s="36">
        <f>HYPERLINK("NoConsenso\" &amp; K4750, "Ver Imagen")</f>
        <v/>
      </c>
      <c r="M4750" t="inlineStr">
        <is>
          <t>Mediana</t>
        </is>
      </c>
    </row>
    <row r="4751">
      <c r="A4751" s="33" t="n">
        <v>4754</v>
      </c>
      <c r="B4751" t="inlineStr">
        <is>
          <t>A-490__134</t>
        </is>
      </c>
      <c r="C4751" s="1" t="n">
        <v>37.4520278415</v>
      </c>
      <c r="D4751" s="1" t="n">
        <v>-7.15842502298</v>
      </c>
      <c r="E4751" s="3" t="n">
        <v>2</v>
      </c>
      <c r="F4751" s="2" t="n">
        <v>3</v>
      </c>
      <c r="G4751" s="4" t="n">
        <v>5</v>
      </c>
      <c r="H4751" s="13" t="n">
        <v>3</v>
      </c>
      <c r="I4751" s="34" t="n">
        <v>3</v>
      </c>
      <c r="J4751" s="35" t="n">
        <v>3</v>
      </c>
      <c r="K4751" s="2" t="inlineStr">
        <is>
          <t>marker_528_740320.png</t>
        </is>
      </c>
      <c r="L4751" s="36">
        <f>HYPERLINK("NoConsenso\" &amp; K4751, "Ver Imagen")</f>
        <v/>
      </c>
      <c r="M4751" t="inlineStr">
        <is>
          <t>Mediana</t>
        </is>
      </c>
    </row>
    <row r="4752">
      <c r="A4752" s="33" t="n">
        <v>4755</v>
      </c>
      <c r="B4752" t="inlineStr">
        <is>
          <t>A-490__146</t>
        </is>
      </c>
      <c r="C4752" s="1" t="n">
        <v>37.4527572148</v>
      </c>
      <c r="D4752" s="1" t="n">
        <v>-7.16130389239</v>
      </c>
      <c r="E4752" s="3" t="n">
        <v>1</v>
      </c>
      <c r="F4752" s="2" t="n">
        <v>3</v>
      </c>
      <c r="G4752" s="4" t="n">
        <v>4</v>
      </c>
      <c r="H4752" s="13" t="n">
        <v>2</v>
      </c>
      <c r="I4752" s="34" t="n">
        <v>3</v>
      </c>
      <c r="J4752" s="37" t="n">
        <v>2</v>
      </c>
      <c r="K4752" s="2" t="inlineStr">
        <is>
          <t>marker_736_740675.png</t>
        </is>
      </c>
      <c r="L4752" s="36">
        <f>HYPERLINK("NoConsenso\" &amp; K4752, "Ver Imagen")</f>
        <v/>
      </c>
      <c r="M4752" s="37" t="inlineStr">
        <is>
          <t>Modificada</t>
        </is>
      </c>
    </row>
    <row r="4753">
      <c r="A4753" s="33" t="n">
        <v>4756</v>
      </c>
      <c r="B4753" t="inlineStr">
        <is>
          <t>A-490__164</t>
        </is>
      </c>
      <c r="C4753" s="1" t="n">
        <v>37.4546834171</v>
      </c>
      <c r="D4753" s="1" t="n">
        <v>-7.16509814237</v>
      </c>
      <c r="E4753" s="3" t="n">
        <v>2</v>
      </c>
      <c r="F4753" s="2" t="n">
        <v>4</v>
      </c>
      <c r="G4753" s="4" t="n">
        <v>5</v>
      </c>
      <c r="H4753" s="13" t="n">
        <v>4</v>
      </c>
      <c r="I4753" s="34" t="n">
        <v>5</v>
      </c>
      <c r="J4753" s="35" t="n">
        <v>4</v>
      </c>
      <c r="K4753" s="2" t="inlineStr">
        <is>
          <t>marker_877_741322.png</t>
        </is>
      </c>
      <c r="L4753" s="36">
        <f>HYPERLINK("NoConsenso\" &amp; K4753, "Ver Imagen")</f>
        <v/>
      </c>
      <c r="M4753" t="inlineStr">
        <is>
          <t>Mediana</t>
        </is>
      </c>
    </row>
    <row r="4754">
      <c r="A4754" s="33" t="n">
        <v>4757</v>
      </c>
      <c r="B4754" t="inlineStr">
        <is>
          <t>A-490__180</t>
        </is>
      </c>
      <c r="C4754" s="1" t="n">
        <v>37.4569871684</v>
      </c>
      <c r="D4754" s="1" t="n">
        <v>-7.16802283071</v>
      </c>
      <c r="E4754" s="3" t="n">
        <v>1</v>
      </c>
      <c r="F4754" s="2" t="n">
        <v>3</v>
      </c>
      <c r="G4754" s="4" t="n">
        <v>4</v>
      </c>
      <c r="H4754" s="13" t="n">
        <v>3</v>
      </c>
      <c r="I4754" s="34" t="n">
        <v>3</v>
      </c>
      <c r="J4754" s="35" t="n">
        <v>3</v>
      </c>
      <c r="K4754" s="2" t="inlineStr">
        <is>
          <t>marker_239_741790.png</t>
        </is>
      </c>
      <c r="L4754" s="36">
        <f>HYPERLINK("NoConsenso\" &amp; K4754, "Ver Imagen")</f>
        <v/>
      </c>
      <c r="M4754" t="inlineStr">
        <is>
          <t>Mediana</t>
        </is>
      </c>
    </row>
    <row r="4755">
      <c r="A4755" s="33" t="n">
        <v>4758</v>
      </c>
      <c r="B4755" t="inlineStr">
        <is>
          <t>A-490__216</t>
        </is>
      </c>
      <c r="C4755" s="1" t="n">
        <v>37.461836467</v>
      </c>
      <c r="D4755" s="1" t="n">
        <v>-7.17486504512</v>
      </c>
      <c r="E4755" s="3" t="n">
        <v>2</v>
      </c>
      <c r="F4755" s="2" t="n">
        <v>4</v>
      </c>
      <c r="G4755" s="4" t="n">
        <v>5</v>
      </c>
      <c r="H4755" s="13" t="n">
        <v>3</v>
      </c>
      <c r="I4755" s="34" t="n">
        <v>4</v>
      </c>
      <c r="J4755" s="35" t="n">
        <v>4</v>
      </c>
      <c r="K4755" s="2" t="inlineStr">
        <is>
          <t>marker_811_743223.png</t>
        </is>
      </c>
      <c r="L4755" s="36">
        <f>HYPERLINK("NoConsenso\" &amp; K4755, "Ver Imagen")</f>
        <v/>
      </c>
      <c r="M4755" t="inlineStr">
        <is>
          <t>Mediana</t>
        </is>
      </c>
    </row>
    <row r="4756">
      <c r="A4756" s="33" t="n">
        <v>4759</v>
      </c>
      <c r="B4756" t="inlineStr">
        <is>
          <t>A-490__585</t>
        </is>
      </c>
      <c r="C4756" s="1" t="n">
        <v>37.4900751592</v>
      </c>
      <c r="D4756" s="1" t="n">
        <v>-7.25899859601</v>
      </c>
      <c r="E4756" s="3" t="n">
        <v>1</v>
      </c>
      <c r="F4756" s="2" t="n">
        <v>3</v>
      </c>
      <c r="G4756" s="4" t="n">
        <v>4</v>
      </c>
      <c r="H4756" s="13" t="n">
        <v>2</v>
      </c>
      <c r="I4756" s="34" t="n">
        <v>2</v>
      </c>
      <c r="J4756" s="35" t="n">
        <v>2</v>
      </c>
      <c r="K4756" s="2" t="inlineStr">
        <is>
          <t>marker_233_819550.png</t>
        </is>
      </c>
      <c r="L4756" s="36">
        <f>HYPERLINK("NoConsenso\" &amp; K4756, "Ver Imagen")</f>
        <v/>
      </c>
      <c r="M4756" t="inlineStr">
        <is>
          <t>Mediana</t>
        </is>
      </c>
    </row>
    <row r="4757">
      <c r="A4757" s="33" t="n">
        <v>4760</v>
      </c>
      <c r="B4757" t="inlineStr">
        <is>
          <t>A-490__498</t>
        </is>
      </c>
      <c r="C4757" s="1" t="n">
        <v>37.4865341811</v>
      </c>
      <c r="D4757" s="1" t="n">
        <v>-7.23844703905</v>
      </c>
      <c r="E4757" s="3" t="n">
        <v>2</v>
      </c>
      <c r="F4757" s="2" t="n">
        <v>4</v>
      </c>
      <c r="G4757" s="4" t="n">
        <v>5</v>
      </c>
      <c r="H4757" s="13" t="n">
        <v>3</v>
      </c>
      <c r="I4757" s="34" t="n">
        <v>3</v>
      </c>
      <c r="J4757" s="35" t="n">
        <v>3</v>
      </c>
      <c r="K4757" s="2" t="inlineStr">
        <is>
          <t>marker_979_817529.png</t>
        </is>
      </c>
      <c r="L4757" s="36">
        <f>HYPERLINK("NoConsenso\" &amp; K4757, "Ver Imagen")</f>
        <v/>
      </c>
      <c r="M4757" t="inlineStr">
        <is>
          <t>Mediana</t>
        </is>
      </c>
    </row>
    <row r="4758">
      <c r="A4758" s="33" t="n">
        <v>4761</v>
      </c>
      <c r="B4758" t="inlineStr">
        <is>
          <t>A-490__538</t>
        </is>
      </c>
      <c r="C4758" s="1" t="n">
        <v>37.4892190121</v>
      </c>
      <c r="D4758" s="1" t="n">
        <v>-7.24789397394</v>
      </c>
      <c r="E4758" s="3" t="n">
        <v>1</v>
      </c>
      <c r="F4758" s="2" t="n">
        <v>4</v>
      </c>
      <c r="G4758" s="4" t="n">
        <v>3</v>
      </c>
      <c r="H4758" s="13" t="n">
        <v>2</v>
      </c>
      <c r="I4758" s="34" t="n">
        <v>1</v>
      </c>
      <c r="J4758" s="35" t="n">
        <v>2</v>
      </c>
      <c r="K4758" s="2" t="inlineStr">
        <is>
          <t>marker_353_818316.png</t>
        </is>
      </c>
      <c r="L4758" s="36">
        <f>HYPERLINK("NoConsenso\" &amp; K4758, "Ver Imagen")</f>
        <v/>
      </c>
      <c r="M4758" t="inlineStr">
        <is>
          <t>Mediana</t>
        </is>
      </c>
    </row>
    <row r="4759">
      <c r="A4759" s="33" t="n">
        <v>4762</v>
      </c>
      <c r="B4759" t="inlineStr">
        <is>
          <t>A-490__549</t>
        </is>
      </c>
      <c r="C4759" s="1" t="n">
        <v>37.4906886806</v>
      </c>
      <c r="D4759" s="1" t="n">
        <v>-7.24992745029</v>
      </c>
      <c r="E4759" s="3" t="n">
        <v>1</v>
      </c>
      <c r="F4759" s="2" t="n">
        <v>3</v>
      </c>
      <c r="G4759" s="4" t="n">
        <v>4</v>
      </c>
      <c r="H4759" s="13" t="n">
        <v>2</v>
      </c>
      <c r="I4759" s="34" t="n">
        <v>3</v>
      </c>
      <c r="J4759" s="35" t="n">
        <v>3</v>
      </c>
      <c r="K4759" s="2" t="inlineStr">
        <is>
          <t>marker_476_818515.png</t>
        </is>
      </c>
      <c r="L4759" s="36">
        <f>HYPERLINK("NoConsenso\" &amp; K4759, "Ver Imagen")</f>
        <v/>
      </c>
      <c r="M4759" t="inlineStr">
        <is>
          <t>Mediana</t>
        </is>
      </c>
    </row>
    <row r="4760">
      <c r="A4760" s="33" t="n">
        <v>4763</v>
      </c>
      <c r="B4760" t="inlineStr">
        <is>
          <t>A-490__618</t>
        </is>
      </c>
      <c r="C4760" s="1" t="n">
        <v>37.4940436069</v>
      </c>
      <c r="D4760" s="1" t="n">
        <v>-7.26545729883</v>
      </c>
      <c r="E4760" s="3" t="n">
        <v>1</v>
      </c>
      <c r="F4760" s="2" t="n">
        <v>4</v>
      </c>
      <c r="G4760" s="4" t="n">
        <v>3</v>
      </c>
      <c r="H4760" s="13" t="n">
        <v>3</v>
      </c>
      <c r="I4760" s="34" t="n">
        <v>3</v>
      </c>
      <c r="J4760" s="35" t="n">
        <v>3</v>
      </c>
      <c r="K4760" s="2" t="inlineStr">
        <is>
          <t>marker_291_820285.png</t>
        </is>
      </c>
      <c r="L4760" s="36">
        <f>HYPERLINK("NoConsenso\" &amp; K4760, "Ver Imagen")</f>
        <v/>
      </c>
      <c r="M4760" t="inlineStr">
        <is>
          <t>Mediana</t>
        </is>
      </c>
    </row>
    <row r="4761">
      <c r="A4761" s="33" t="n">
        <v>4764</v>
      </c>
      <c r="B4761" t="inlineStr">
        <is>
          <t>A-492__95</t>
        </is>
      </c>
      <c r="C4761" s="1" t="n">
        <v>37.2799620063</v>
      </c>
      <c r="D4761" s="1" t="n">
        <v>-7.00610148712</v>
      </c>
      <c r="E4761" s="3" t="n">
        <v>1</v>
      </c>
      <c r="F4761" s="2" t="n">
        <v>2</v>
      </c>
      <c r="G4761" s="4" t="n">
        <v>4</v>
      </c>
      <c r="H4761" s="13" t="n">
        <v>2</v>
      </c>
      <c r="I4761" s="34" t="n">
        <v>1</v>
      </c>
      <c r="J4761" s="35" t="n">
        <v>2</v>
      </c>
      <c r="K4761" s="2" t="inlineStr">
        <is>
          <t>marker_123_823705.png</t>
        </is>
      </c>
      <c r="L4761" s="36">
        <f>HYPERLINK("NoConsenso\" &amp; K4761, "Ver Imagen")</f>
        <v/>
      </c>
      <c r="M4761" t="inlineStr">
        <is>
          <t>Mediana</t>
        </is>
      </c>
    </row>
    <row r="4762">
      <c r="A4762" s="33" t="n">
        <v>4765</v>
      </c>
      <c r="B4762" t="inlineStr">
        <is>
          <t>A-492__172</t>
        </is>
      </c>
      <c r="C4762" s="1" t="n">
        <v>37.276299618</v>
      </c>
      <c r="D4762" s="1" t="n">
        <v>-7.02376271631</v>
      </c>
      <c r="E4762" s="3" t="n">
        <v>1</v>
      </c>
      <c r="F4762" s="2" t="n">
        <v>2</v>
      </c>
      <c r="G4762" s="4" t="n">
        <v>4</v>
      </c>
      <c r="H4762" s="13" t="n">
        <v>2</v>
      </c>
      <c r="I4762" s="34" t="n">
        <v>3</v>
      </c>
      <c r="J4762" s="35" t="n">
        <v>2</v>
      </c>
      <c r="K4762" s="2" t="inlineStr">
        <is>
          <t>marker_448_831483.png</t>
        </is>
      </c>
      <c r="L4762" s="36">
        <f>HYPERLINK("NoConsenso\" &amp; K4762, "Ver Imagen")</f>
        <v/>
      </c>
      <c r="M4762" t="inlineStr">
        <is>
          <t>Mediana</t>
        </is>
      </c>
    </row>
    <row r="4763">
      <c r="A4763" s="33" t="n">
        <v>4766</v>
      </c>
      <c r="B4763" t="inlineStr">
        <is>
          <t>A-492__173</t>
        </is>
      </c>
      <c r="C4763" s="1" t="n">
        <v>37.2763351645</v>
      </c>
      <c r="D4763" s="1" t="n">
        <v>-7.024017895</v>
      </c>
      <c r="E4763" s="3" t="n">
        <v>1</v>
      </c>
      <c r="F4763" s="2" t="n">
        <v>3</v>
      </c>
      <c r="G4763" s="4" t="n">
        <v>4</v>
      </c>
      <c r="H4763" s="13" t="n">
        <v>2</v>
      </c>
      <c r="I4763" s="34" t="n">
        <v>3</v>
      </c>
      <c r="J4763" s="35" t="n">
        <v>3</v>
      </c>
      <c r="K4763" s="2" t="inlineStr">
        <is>
          <t>marker_594_831504.png</t>
        </is>
      </c>
      <c r="L4763" s="36">
        <f>HYPERLINK("NoConsenso\" &amp; K4763, "Ver Imagen")</f>
        <v/>
      </c>
      <c r="M4763" t="inlineStr">
        <is>
          <t>Mediana</t>
        </is>
      </c>
    </row>
    <row r="4764">
      <c r="A4764" s="33" t="n">
        <v>4767</v>
      </c>
      <c r="B4764" t="inlineStr">
        <is>
          <t>A-492__234</t>
        </is>
      </c>
      <c r="C4764" s="1" t="n">
        <v>37.2839722369</v>
      </c>
      <c r="D4764" s="1" t="n">
        <v>-7.03481173185</v>
      </c>
      <c r="E4764" s="3" t="n">
        <v>1</v>
      </c>
      <c r="F4764" s="2" t="n">
        <v>3</v>
      </c>
      <c r="G4764" s="4" t="n">
        <v>4</v>
      </c>
      <c r="H4764" s="13" t="n">
        <v>2</v>
      </c>
      <c r="I4764" s="34" t="n">
        <v>1</v>
      </c>
      <c r="J4764" s="35" t="n">
        <v>2</v>
      </c>
      <c r="K4764" s="2" t="inlineStr">
        <is>
          <t>marker_952_835861.png</t>
        </is>
      </c>
      <c r="L4764" s="36">
        <f>HYPERLINK("NoConsenso\" &amp; K4764, "Ver Imagen")</f>
        <v/>
      </c>
      <c r="M4764" t="inlineStr">
        <is>
          <t>Mediana</t>
        </is>
      </c>
    </row>
    <row r="4765">
      <c r="A4765" s="33" t="n">
        <v>4768</v>
      </c>
      <c r="B4765" t="inlineStr">
        <is>
          <t>A-492__279</t>
        </is>
      </c>
      <c r="C4765" s="1" t="n">
        <v>37.2888674984</v>
      </c>
      <c r="D4765" s="1" t="n">
        <v>-7.04325557488</v>
      </c>
      <c r="E4765" s="3" t="n">
        <v>1</v>
      </c>
      <c r="F4765" s="2" t="n">
        <v>2</v>
      </c>
      <c r="G4765" s="4" t="n">
        <v>4</v>
      </c>
      <c r="H4765" s="13" t="n">
        <v>2</v>
      </c>
      <c r="I4765" s="34" t="n">
        <v>1</v>
      </c>
      <c r="J4765" s="35" t="n">
        <v>2</v>
      </c>
      <c r="K4765" s="2" t="inlineStr">
        <is>
          <t>marker_627_836903.png</t>
        </is>
      </c>
      <c r="L4765" s="36">
        <f>HYPERLINK("NoConsenso\" &amp; K4765, "Ver Imagen")</f>
        <v/>
      </c>
      <c r="M4765" t="inlineStr">
        <is>
          <t>Mediana</t>
        </is>
      </c>
    </row>
    <row r="4766">
      <c r="A4766" s="33" t="n">
        <v>4769</v>
      </c>
      <c r="B4766" t="inlineStr">
        <is>
          <t>A-492__288</t>
        </is>
      </c>
      <c r="C4766" s="1" t="n">
        <v>37.2900875703</v>
      </c>
      <c r="D4766" s="1" t="n">
        <v>-7.04491966333</v>
      </c>
      <c r="E4766" s="3" t="n">
        <v>1</v>
      </c>
      <c r="F4766" s="2" t="n">
        <v>2</v>
      </c>
      <c r="G4766" s="4" t="n">
        <v>4</v>
      </c>
      <c r="H4766" s="13" t="n">
        <v>2</v>
      </c>
      <c r="I4766" s="34" t="n">
        <v>2</v>
      </c>
      <c r="J4766" s="35" t="n">
        <v>2</v>
      </c>
      <c r="K4766" s="2" t="inlineStr">
        <is>
          <t>marker_389_837395.png</t>
        </is>
      </c>
      <c r="L4766" s="36">
        <f>HYPERLINK("NoConsenso\" &amp; K4766, "Ver Imagen")</f>
        <v/>
      </c>
      <c r="M4766" t="inlineStr">
        <is>
          <t>Mediana</t>
        </is>
      </c>
    </row>
    <row r="4767">
      <c r="A4767" s="33" t="n">
        <v>4770</v>
      </c>
      <c r="B4767" t="inlineStr">
        <is>
          <t>A-492__291</t>
        </is>
      </c>
      <c r="C4767" s="1" t="n">
        <v>37.290633774</v>
      </c>
      <c r="D4767" s="1" t="n">
        <v>-7.04526994724</v>
      </c>
      <c r="E4767" s="3" t="n">
        <v>1</v>
      </c>
      <c r="F4767" s="2" t="n">
        <v>2</v>
      </c>
      <c r="G4767" s="4" t="n">
        <v>4</v>
      </c>
      <c r="H4767" s="13" t="n">
        <v>2</v>
      </c>
      <c r="I4767" s="34" t="n">
        <v>2</v>
      </c>
      <c r="J4767" s="35" t="n">
        <v>2</v>
      </c>
      <c r="K4767" s="2" t="inlineStr">
        <is>
          <t>marker_456_837437.png</t>
        </is>
      </c>
      <c r="L4767" s="36">
        <f>HYPERLINK("NoConsenso\" &amp; K4767, "Ver Imagen")</f>
        <v/>
      </c>
      <c r="M4767" t="inlineStr">
        <is>
          <t>Mediana</t>
        </is>
      </c>
    </row>
    <row r="4768">
      <c r="A4768" s="33" t="n">
        <v>4771</v>
      </c>
      <c r="B4768" t="inlineStr">
        <is>
          <t>A-492__294</t>
        </is>
      </c>
      <c r="C4768" s="1" t="n">
        <v>37.2911940649</v>
      </c>
      <c r="D4768" s="1" t="n">
        <v>-7.0454162167</v>
      </c>
      <c r="E4768" s="3" t="n">
        <v>1</v>
      </c>
      <c r="F4768" s="2" t="n">
        <v>4</v>
      </c>
      <c r="G4768" s="4" t="n">
        <v>4</v>
      </c>
      <c r="H4768" s="13" t="n">
        <v>2</v>
      </c>
      <c r="I4768" s="34" t="n">
        <v>1</v>
      </c>
      <c r="J4768" s="35" t="n">
        <v>2</v>
      </c>
      <c r="K4768" s="2" t="inlineStr">
        <is>
          <t>marker_501_837469.png</t>
        </is>
      </c>
      <c r="L4768" s="36">
        <f>HYPERLINK("NoConsenso\" &amp; K4768, "Ver Imagen")</f>
        <v/>
      </c>
      <c r="M4768" t="inlineStr">
        <is>
          <t>Mediana</t>
        </is>
      </c>
    </row>
    <row r="4769">
      <c r="A4769" s="33" t="n">
        <v>4772</v>
      </c>
      <c r="B4769" t="inlineStr">
        <is>
          <t>A-492__301</t>
        </is>
      </c>
      <c r="C4769" s="1" t="n">
        <v>37.2925848751</v>
      </c>
      <c r="D4769" s="1" t="n">
        <v>-7.04575450908</v>
      </c>
      <c r="E4769" s="3" t="n">
        <v>1</v>
      </c>
      <c r="F4769" s="2" t="n">
        <v>2</v>
      </c>
      <c r="G4769" s="4" t="n">
        <v>4</v>
      </c>
      <c r="H4769" s="13" t="n">
        <v>2</v>
      </c>
      <c r="I4769" s="34" t="n">
        <v>1</v>
      </c>
      <c r="J4769" s="35" t="n">
        <v>2</v>
      </c>
      <c r="K4769" s="2" t="inlineStr">
        <is>
          <t>marker_683_837565.png</t>
        </is>
      </c>
      <c r="L4769" s="36">
        <f>HYPERLINK("NoConsenso\" &amp; K4769, "Ver Imagen")</f>
        <v/>
      </c>
      <c r="M4769" t="inlineStr">
        <is>
          <t>Mediana</t>
        </is>
      </c>
    </row>
    <row r="4770">
      <c r="A4770" s="33" t="n">
        <v>4773</v>
      </c>
      <c r="B4770" t="inlineStr">
        <is>
          <t>A-492__323</t>
        </is>
      </c>
      <c r="C4770" s="1" t="n">
        <v>37.2958209157</v>
      </c>
      <c r="D4770" s="1" t="n">
        <v>-7.04956995343</v>
      </c>
      <c r="E4770" s="3" t="n">
        <v>1</v>
      </c>
      <c r="F4770" s="2" t="n">
        <v>2</v>
      </c>
      <c r="G4770" s="4" t="n">
        <v>4</v>
      </c>
      <c r="H4770" s="13" t="n">
        <v>3</v>
      </c>
      <c r="I4770" s="34" t="n">
        <v>2</v>
      </c>
      <c r="J4770" s="35" t="n">
        <v>2</v>
      </c>
      <c r="K4770" s="2" t="inlineStr">
        <is>
          <t>marker_116_837995.png</t>
        </is>
      </c>
      <c r="L4770" s="36">
        <f>HYPERLINK("NoConsenso\" &amp; K4770, "Ver Imagen")</f>
        <v/>
      </c>
      <c r="M4770" t="inlineStr">
        <is>
          <t>Mediana</t>
        </is>
      </c>
    </row>
    <row r="4771">
      <c r="A4771" s="33" t="n">
        <v>4774</v>
      </c>
      <c r="B4771" t="inlineStr">
        <is>
          <t>A-492__334</t>
        </is>
      </c>
      <c r="C4771" s="1" t="n">
        <v>37.2971501891</v>
      </c>
      <c r="D4771" s="1" t="n">
        <v>-7.05172451617</v>
      </c>
      <c r="E4771" s="3" t="n">
        <v>1</v>
      </c>
      <c r="F4771" s="2" t="n">
        <v>2</v>
      </c>
      <c r="G4771" s="4" t="n">
        <v>4</v>
      </c>
      <c r="H4771" s="13" t="n">
        <v>2</v>
      </c>
      <c r="I4771" s="34" t="n">
        <v>2</v>
      </c>
      <c r="J4771" s="35" t="n">
        <v>2</v>
      </c>
      <c r="K4771" s="2" t="inlineStr">
        <is>
          <t>marker_662_838139.png</t>
        </is>
      </c>
      <c r="L4771" s="36">
        <f>HYPERLINK("NoConsenso\" &amp; K4771, "Ver Imagen")</f>
        <v/>
      </c>
      <c r="M4771" t="inlineStr">
        <is>
          <t>Mediana</t>
        </is>
      </c>
    </row>
    <row r="4772">
      <c r="A4772" s="33" t="n">
        <v>4775</v>
      </c>
      <c r="B4772" t="inlineStr">
        <is>
          <t>A-492__337</t>
        </is>
      </c>
      <c r="C4772" s="1" t="n">
        <v>37.2973972355</v>
      </c>
      <c r="D4772" s="1" t="n">
        <v>-7.05248461012</v>
      </c>
      <c r="E4772" s="3" t="n">
        <v>1</v>
      </c>
      <c r="F4772" s="2" t="n">
        <v>2</v>
      </c>
      <c r="G4772" s="4" t="n">
        <v>4</v>
      </c>
      <c r="H4772" s="13" t="n">
        <v>2</v>
      </c>
      <c r="I4772" s="34" t="n">
        <v>3</v>
      </c>
      <c r="J4772" s="35" t="n">
        <v>2</v>
      </c>
      <c r="K4772" s="2" t="inlineStr">
        <is>
          <t>marker_177_838170.png</t>
        </is>
      </c>
      <c r="L4772" s="36">
        <f>HYPERLINK("NoConsenso\" &amp; K4772, "Ver Imagen")</f>
        <v/>
      </c>
      <c r="M4772" t="inlineStr">
        <is>
          <t>Mediana</t>
        </is>
      </c>
    </row>
    <row r="4773">
      <c r="A4773" s="33" t="n">
        <v>4776</v>
      </c>
      <c r="B4773" t="inlineStr">
        <is>
          <t>A-492__362</t>
        </is>
      </c>
      <c r="C4773" s="1" t="n">
        <v>37.3012837455</v>
      </c>
      <c r="D4773" s="1" t="n">
        <v>-7.05628046799</v>
      </c>
      <c r="E4773" s="3" t="n">
        <v>1</v>
      </c>
      <c r="F4773" s="2" t="n">
        <v>3</v>
      </c>
      <c r="G4773" s="4" t="n">
        <v>4</v>
      </c>
      <c r="H4773" s="13" t="n">
        <v>3</v>
      </c>
      <c r="I4773" s="34" t="n">
        <v>2</v>
      </c>
      <c r="J4773" s="35" t="n">
        <v>3</v>
      </c>
      <c r="K4773" s="2" t="inlineStr">
        <is>
          <t>marker_873_838652.png</t>
        </is>
      </c>
      <c r="L4773" s="36">
        <f>HYPERLINK("NoConsenso\" &amp; K4773, "Ver Imagen")</f>
        <v/>
      </c>
      <c r="M4773" t="inlineStr">
        <is>
          <t>Mediana</t>
        </is>
      </c>
    </row>
    <row r="4774">
      <c r="A4774" s="33" t="n">
        <v>4777</v>
      </c>
      <c r="B4774" t="inlineStr">
        <is>
          <t>A-492__387</t>
        </is>
      </c>
      <c r="C4774" s="1" t="n">
        <v>37.3062809311</v>
      </c>
      <c r="D4774" s="1" t="n">
        <v>-7.05678605712</v>
      </c>
      <c r="E4774" s="3" t="n">
        <v>1</v>
      </c>
      <c r="F4774" s="2" t="n">
        <v>2</v>
      </c>
      <c r="G4774" s="4" t="n">
        <v>4</v>
      </c>
      <c r="H4774" s="13" t="n">
        <v>2</v>
      </c>
      <c r="I4774" s="34" t="n">
        <v>1</v>
      </c>
      <c r="J4774" s="35" t="n">
        <v>2</v>
      </c>
      <c r="K4774" s="2" t="inlineStr">
        <is>
          <t>marker_620_838993.png</t>
        </is>
      </c>
      <c r="L4774" s="36">
        <f>HYPERLINK("NoConsenso\" &amp; K4774, "Ver Imagen")</f>
        <v/>
      </c>
      <c r="M4774" t="inlineStr">
        <is>
          <t>Mediana</t>
        </is>
      </c>
    </row>
    <row r="4775">
      <c r="A4775" s="33" t="n">
        <v>4778</v>
      </c>
      <c r="B4775" t="inlineStr">
        <is>
          <t>A-492__388</t>
        </is>
      </c>
      <c r="C4775" s="1" t="n">
        <v>37.3065046256</v>
      </c>
      <c r="D4775" s="1" t="n">
        <v>-7.05681370099</v>
      </c>
      <c r="E4775" s="3" t="n">
        <v>1</v>
      </c>
      <c r="F4775" s="2" t="n">
        <v>2</v>
      </c>
      <c r="G4775" s="4" t="n">
        <v>4</v>
      </c>
      <c r="H4775" s="13" t="n">
        <v>2</v>
      </c>
      <c r="I4775" s="34" t="n">
        <v>1</v>
      </c>
      <c r="J4775" s="35" t="n">
        <v>2</v>
      </c>
      <c r="K4775" s="2" t="inlineStr">
        <is>
          <t>marker_863_839005.png</t>
        </is>
      </c>
      <c r="L4775" s="36">
        <f>HYPERLINK("NoConsenso\" &amp; K4775, "Ver Imagen")</f>
        <v/>
      </c>
      <c r="M4775" t="inlineStr">
        <is>
          <t>Mediana</t>
        </is>
      </c>
    </row>
    <row r="4776">
      <c r="A4776" s="33" t="n">
        <v>4779</v>
      </c>
      <c r="B4776" t="inlineStr">
        <is>
          <t>A-492__389</t>
        </is>
      </c>
      <c r="C4776" s="1" t="n">
        <v>37.3066972633</v>
      </c>
      <c r="D4776" s="1" t="n">
        <v>-7.05683753862</v>
      </c>
      <c r="E4776" s="3" t="n">
        <v>1</v>
      </c>
      <c r="F4776" s="2" t="n">
        <v>2</v>
      </c>
      <c r="G4776" s="4" t="n">
        <v>4</v>
      </c>
      <c r="H4776" s="13" t="n">
        <v>2</v>
      </c>
      <c r="I4776" s="34" t="n">
        <v>1</v>
      </c>
      <c r="J4776" s="35" t="n">
        <v>2</v>
      </c>
      <c r="K4776" s="2" t="inlineStr">
        <is>
          <t>marker_589_839016.png</t>
        </is>
      </c>
      <c r="L4776" s="36">
        <f>HYPERLINK("NoConsenso\" &amp; K4776, "Ver Imagen")</f>
        <v/>
      </c>
      <c r="M4776" t="inlineStr">
        <is>
          <t>Mediana</t>
        </is>
      </c>
    </row>
    <row r="4777">
      <c r="A4777" s="33" t="n">
        <v>4780</v>
      </c>
      <c r="B4777" t="inlineStr">
        <is>
          <t>A-492__395</t>
        </is>
      </c>
      <c r="C4777" s="1" t="n">
        <v>37.3079033636</v>
      </c>
      <c r="D4777" s="1" t="n">
        <v>-7.05706202215</v>
      </c>
      <c r="E4777" s="3" t="n">
        <v>1</v>
      </c>
      <c r="F4777" s="2" t="n">
        <v>2</v>
      </c>
      <c r="G4777" s="4" t="n">
        <v>4</v>
      </c>
      <c r="H4777" s="13" t="n">
        <v>2</v>
      </c>
      <c r="I4777" s="34" t="n">
        <v>1</v>
      </c>
      <c r="J4777" s="35" t="n">
        <v>2</v>
      </c>
      <c r="K4777" s="2" t="inlineStr">
        <is>
          <t>marker_548_839093.png</t>
        </is>
      </c>
      <c r="L4777" s="36">
        <f>HYPERLINK("NoConsenso\" &amp; K4777, "Ver Imagen")</f>
        <v/>
      </c>
      <c r="M4777" t="inlineStr">
        <is>
          <t>Mediana</t>
        </is>
      </c>
    </row>
    <row r="4778">
      <c r="A4778" s="33" t="n">
        <v>4781</v>
      </c>
      <c r="B4778" t="inlineStr">
        <is>
          <t>A-492__412</t>
        </is>
      </c>
      <c r="C4778" s="1" t="n">
        <v>37.3109382615</v>
      </c>
      <c r="D4778" s="1" t="n">
        <v>-7.05903111119</v>
      </c>
      <c r="E4778" s="3" t="n">
        <v>1</v>
      </c>
      <c r="F4778" s="2" t="n">
        <v>1</v>
      </c>
      <c r="G4778" s="4" t="n">
        <v>4</v>
      </c>
      <c r="H4778" s="13" t="n">
        <v>1</v>
      </c>
      <c r="I4778" s="34" t="n">
        <v>1</v>
      </c>
      <c r="J4778" s="35" t="n">
        <v>1</v>
      </c>
      <c r="K4778" s="2" t="inlineStr">
        <is>
          <t>marker_522_839309.png</t>
        </is>
      </c>
      <c r="L4778" s="36">
        <f>HYPERLINK("NoConsenso\" &amp; K4778, "Ver Imagen")</f>
        <v/>
      </c>
      <c r="M4778" t="inlineStr">
        <is>
          <t>Mediana</t>
        </is>
      </c>
    </row>
    <row r="4779">
      <c r="A4779" s="33" t="n">
        <v>4782</v>
      </c>
      <c r="B4779" t="inlineStr">
        <is>
          <t>A-492__458</t>
        </is>
      </c>
      <c r="C4779" s="1" t="n">
        <v>37.3158935828</v>
      </c>
      <c r="D4779" s="1" t="n">
        <v>-7.06872215285</v>
      </c>
      <c r="E4779" s="3" t="n">
        <v>2</v>
      </c>
      <c r="F4779" s="2" t="n">
        <v>3</v>
      </c>
      <c r="G4779" s="4" t="n">
        <v>5</v>
      </c>
      <c r="H4779" s="13" t="n">
        <v>3</v>
      </c>
      <c r="I4779" s="34" t="n">
        <v>3</v>
      </c>
      <c r="J4779" s="35" t="n">
        <v>3</v>
      </c>
      <c r="K4779" s="2" t="inlineStr">
        <is>
          <t>marker_980_839907.png</t>
        </is>
      </c>
      <c r="L4779" s="36">
        <f>HYPERLINK("NoConsenso\" &amp; K4779, "Ver Imagen")</f>
        <v/>
      </c>
      <c r="M4779" t="inlineStr">
        <is>
          <t>Mediana</t>
        </is>
      </c>
    </row>
    <row r="4780">
      <c r="A4780" s="33" t="n">
        <v>4784</v>
      </c>
      <c r="B4780" t="inlineStr">
        <is>
          <t>A-5053__331</t>
        </is>
      </c>
      <c r="C4780" s="1" t="n">
        <v>37.2797922574</v>
      </c>
      <c r="D4780" s="1" t="n">
        <v>-7.14566253193</v>
      </c>
      <c r="E4780" s="3" t="n">
        <v>1</v>
      </c>
      <c r="F4780" s="2" t="n">
        <v>3</v>
      </c>
      <c r="G4780" s="4" t="n">
        <v>4</v>
      </c>
      <c r="H4780" s="13" t="n">
        <v>2</v>
      </c>
      <c r="I4780" s="34" t="n">
        <v>3</v>
      </c>
      <c r="J4780" s="35" t="n">
        <v>3</v>
      </c>
      <c r="K4780" s="2" t="inlineStr">
        <is>
          <t>marker_904_964448.png</t>
        </is>
      </c>
      <c r="L4780" s="36">
        <f>HYPERLINK("NoConsenso\" &amp; K4780, "Ver Imagen")</f>
        <v/>
      </c>
      <c r="M4780" t="inlineStr">
        <is>
          <t>Mediana</t>
        </is>
      </c>
    </row>
    <row r="4781">
      <c r="A4781" s="33" t="n">
        <v>4785</v>
      </c>
      <c r="B4781" t="inlineStr">
        <is>
          <t>A-495__69</t>
        </is>
      </c>
      <c r="C4781" s="1" t="n">
        <v>37.4386493243</v>
      </c>
      <c r="D4781" s="1" t="n">
        <v>-7.08462739636</v>
      </c>
      <c r="E4781" s="3" t="n">
        <v>3</v>
      </c>
      <c r="F4781" s="2" t="n">
        <v>2</v>
      </c>
      <c r="G4781" s="4" t="n">
        <v>5</v>
      </c>
      <c r="H4781" s="13" t="n">
        <v>2</v>
      </c>
      <c r="I4781" s="34" t="n">
        <v>3</v>
      </c>
      <c r="J4781" s="37" t="n">
        <v>2</v>
      </c>
      <c r="K4781" s="2" t="inlineStr">
        <is>
          <t>marker_358_381804.png</t>
        </is>
      </c>
      <c r="L4781" s="36">
        <f>HYPERLINK("NoConsenso\" &amp; K4781, "Ver Imagen")</f>
        <v/>
      </c>
      <c r="M4781" s="37" t="inlineStr">
        <is>
          <t>Modificada</t>
        </is>
      </c>
    </row>
    <row r="4782">
      <c r="A4782" s="33" t="n">
        <v>4786</v>
      </c>
      <c r="B4782" t="inlineStr">
        <is>
          <t>A-495__70</t>
        </is>
      </c>
      <c r="C4782" s="1" t="n">
        <v>37.4385713726</v>
      </c>
      <c r="D4782" s="1" t="n">
        <v>-7.08441436955</v>
      </c>
      <c r="E4782" s="3" t="n">
        <v>3</v>
      </c>
      <c r="F4782" s="2" t="n">
        <v>2</v>
      </c>
      <c r="G4782" s="4" t="n">
        <v>5</v>
      </c>
      <c r="H4782" s="13" t="n">
        <v>2</v>
      </c>
      <c r="I4782" s="34" t="n">
        <v>2</v>
      </c>
      <c r="J4782" s="35" t="n">
        <v>2</v>
      </c>
      <c r="K4782" s="2" t="inlineStr">
        <is>
          <t>marker_643_381816.png</t>
        </is>
      </c>
      <c r="L4782" s="36">
        <f>HYPERLINK("NoConsenso\" &amp; K4782, "Ver Imagen")</f>
        <v/>
      </c>
      <c r="M4782" t="inlineStr">
        <is>
          <t>Mediana</t>
        </is>
      </c>
    </row>
    <row r="4783">
      <c r="A4783" s="33" t="n">
        <v>4787</v>
      </c>
      <c r="B4783" t="inlineStr">
        <is>
          <t>A-495__72</t>
        </is>
      </c>
      <c r="C4783" s="1" t="n">
        <v>37.4384086852</v>
      </c>
      <c r="D4783" s="1" t="n">
        <v>-7.0839473581</v>
      </c>
      <c r="E4783" s="3" t="n">
        <v>2</v>
      </c>
      <c r="F4783" s="2" t="n">
        <v>3</v>
      </c>
      <c r="G4783" s="4" t="n">
        <v>5</v>
      </c>
      <c r="H4783" s="13" t="n">
        <v>2</v>
      </c>
      <c r="I4783" s="34" t="n">
        <v>2</v>
      </c>
      <c r="J4783" s="35" t="n">
        <v>2</v>
      </c>
      <c r="K4783" s="2" t="inlineStr">
        <is>
          <t>marker_248_381835.png</t>
        </is>
      </c>
      <c r="L4783" s="36">
        <f>HYPERLINK("NoConsenso\" &amp; K4783, "Ver Imagen")</f>
        <v/>
      </c>
      <c r="M4783" t="inlineStr">
        <is>
          <t>Mediana</t>
        </is>
      </c>
    </row>
    <row r="4784">
      <c r="A4784" s="33" t="n">
        <v>4788</v>
      </c>
      <c r="B4784" t="inlineStr">
        <is>
          <t>A-495__73</t>
        </is>
      </c>
      <c r="C4784" s="1" t="n">
        <v>37.4383272674</v>
      </c>
      <c r="D4784" s="1" t="n">
        <v>-7.08370429487</v>
      </c>
      <c r="E4784" s="3" t="n">
        <v>2</v>
      </c>
      <c r="F4784" s="2" t="n">
        <v>3</v>
      </c>
      <c r="G4784" s="4" t="n">
        <v>5</v>
      </c>
      <c r="H4784" s="13" t="n">
        <v>2</v>
      </c>
      <c r="I4784" s="34" t="n">
        <v>2</v>
      </c>
      <c r="J4784" s="35" t="n">
        <v>2</v>
      </c>
      <c r="K4784" s="2" t="inlineStr">
        <is>
          <t>marker_376_381844.png</t>
        </is>
      </c>
      <c r="L4784" s="36">
        <f>HYPERLINK("NoConsenso\" &amp; K4784, "Ver Imagen")</f>
        <v/>
      </c>
      <c r="M4784" s="37" t="inlineStr">
        <is>
          <t>Modificada</t>
        </is>
      </c>
    </row>
    <row r="4785">
      <c r="A4785" s="33" t="n">
        <v>4789</v>
      </c>
      <c r="B4785" t="inlineStr">
        <is>
          <t>A-495__74</t>
        </is>
      </c>
      <c r="C4785" s="1" t="n">
        <v>37.4382471161</v>
      </c>
      <c r="D4785" s="1" t="n">
        <v>-7.0834627388</v>
      </c>
      <c r="E4785" s="3" t="n">
        <v>2</v>
      </c>
      <c r="F4785" s="2" t="n">
        <v>3</v>
      </c>
      <c r="G4785" s="4" t="n">
        <v>5</v>
      </c>
      <c r="H4785" s="13" t="n">
        <v>2</v>
      </c>
      <c r="I4785" s="34" t="n">
        <v>3</v>
      </c>
      <c r="J4785" s="37" t="n">
        <v>2</v>
      </c>
      <c r="K4785" s="2" t="inlineStr">
        <is>
          <t>marker_662_381853.png</t>
        </is>
      </c>
      <c r="L4785" s="36">
        <f>HYPERLINK("NoConsenso\" &amp; K4785, "Ver Imagen")</f>
        <v/>
      </c>
      <c r="M4785" t="inlineStr">
        <is>
          <t>Mediana</t>
        </is>
      </c>
    </row>
    <row r="4786">
      <c r="A4786" s="33" t="n">
        <v>4790</v>
      </c>
      <c r="B4786" t="inlineStr">
        <is>
          <t>A-495__86</t>
        </is>
      </c>
      <c r="C4786" s="1" t="n">
        <v>37.4372111889</v>
      </c>
      <c r="D4786" s="1" t="n">
        <v>-7.0807377412</v>
      </c>
      <c r="E4786" s="3" t="n">
        <v>2</v>
      </c>
      <c r="F4786" s="2" t="n">
        <v>2</v>
      </c>
      <c r="G4786" s="4" t="n">
        <v>5</v>
      </c>
      <c r="H4786" s="13" t="n">
        <v>2</v>
      </c>
      <c r="I4786" s="34" t="n">
        <v>2</v>
      </c>
      <c r="J4786" s="35" t="n">
        <v>2</v>
      </c>
      <c r="K4786" s="2" t="inlineStr">
        <is>
          <t>marker_138_382002.png</t>
        </is>
      </c>
      <c r="L4786" s="36">
        <f>HYPERLINK("NoConsenso\" &amp; K4786, "Ver Imagen")</f>
        <v/>
      </c>
      <c r="M4786" t="inlineStr">
        <is>
          <t>Mediana</t>
        </is>
      </c>
    </row>
    <row r="4787">
      <c r="A4787" s="33" t="n">
        <v>4791</v>
      </c>
      <c r="B4787" t="inlineStr">
        <is>
          <t>A-495__90</t>
        </is>
      </c>
      <c r="C4787" s="1" t="n">
        <v>37.437018312</v>
      </c>
      <c r="D4787" s="1" t="n">
        <v>-7.07990194801</v>
      </c>
      <c r="E4787" s="3" t="n">
        <v>2</v>
      </c>
      <c r="F4787" s="2" t="n">
        <v>3</v>
      </c>
      <c r="G4787" s="4" t="n">
        <v>5</v>
      </c>
      <c r="H4787" s="13" t="n">
        <v>2</v>
      </c>
      <c r="I4787" s="34" t="n">
        <v>2</v>
      </c>
      <c r="J4787" s="35" t="n">
        <v>2</v>
      </c>
      <c r="K4787" s="2" t="inlineStr">
        <is>
          <t>marker_400_382056.png</t>
        </is>
      </c>
      <c r="L4787" s="36">
        <f>HYPERLINK("NoConsenso\" &amp; K4787, "Ver Imagen")</f>
        <v/>
      </c>
      <c r="M4787" t="inlineStr">
        <is>
          <t>Mediana</t>
        </is>
      </c>
    </row>
    <row r="4788">
      <c r="A4788" s="33" t="n">
        <v>4792</v>
      </c>
      <c r="B4788" t="inlineStr">
        <is>
          <t>A-495__114</t>
        </is>
      </c>
      <c r="C4788" s="1" t="n">
        <v>37.4355381819</v>
      </c>
      <c r="D4788" s="1" t="n">
        <v>-7.07452133759</v>
      </c>
      <c r="E4788" s="3" t="n">
        <v>4</v>
      </c>
      <c r="F4788" s="2" t="n">
        <v>3</v>
      </c>
      <c r="G4788" s="4" t="n">
        <v>1</v>
      </c>
      <c r="H4788" s="13" t="n">
        <v>2</v>
      </c>
      <c r="I4788" s="34" t="n">
        <v>3</v>
      </c>
      <c r="J4788" s="35" t="n">
        <v>3</v>
      </c>
      <c r="K4788" s="2" t="inlineStr">
        <is>
          <t>marker_244_382312.png</t>
        </is>
      </c>
      <c r="L4788" s="36">
        <f>HYPERLINK("NoConsenso\" &amp; K4788, "Ver Imagen")</f>
        <v/>
      </c>
      <c r="M4788" t="inlineStr">
        <is>
          <t>Mediana</t>
        </is>
      </c>
    </row>
    <row r="4789">
      <c r="A4789" s="33" t="n">
        <v>4793</v>
      </c>
      <c r="B4789" t="inlineStr">
        <is>
          <t>A-495__123</t>
        </is>
      </c>
      <c r="C4789" s="1" t="n">
        <v>37.4353404204</v>
      </c>
      <c r="D4789" s="1" t="n">
        <v>-7.07223245136</v>
      </c>
      <c r="E4789" s="3" t="n">
        <v>4</v>
      </c>
      <c r="F4789" s="2" t="n">
        <v>3</v>
      </c>
      <c r="G4789" s="4" t="n">
        <v>1</v>
      </c>
      <c r="H4789" s="13" t="n">
        <v>2</v>
      </c>
      <c r="I4789" s="34" t="n">
        <v>2</v>
      </c>
      <c r="J4789" s="35" t="n">
        <v>2</v>
      </c>
      <c r="K4789" s="2" t="inlineStr">
        <is>
          <t>marker_101_382401.png</t>
        </is>
      </c>
      <c r="L4789" s="36">
        <f>HYPERLINK("NoConsenso\" &amp; K4789, "Ver Imagen")</f>
        <v/>
      </c>
      <c r="M4789" t="inlineStr">
        <is>
          <t>Mediana</t>
        </is>
      </c>
    </row>
    <row r="4790">
      <c r="A4790" s="33" t="n">
        <v>4794</v>
      </c>
      <c r="B4790" t="inlineStr">
        <is>
          <t>A-497_2C__372</t>
        </is>
      </c>
      <c r="C4790" s="1" t="n">
        <v>37.2349865784</v>
      </c>
      <c r="D4790" s="1" t="n">
        <v>-7.01827303382</v>
      </c>
      <c r="E4790" s="3" t="n">
        <v>5</v>
      </c>
      <c r="F4790" s="2" t="n">
        <v>2</v>
      </c>
      <c r="G4790" s="4" t="n">
        <v>3</v>
      </c>
      <c r="H4790" s="13" t="n">
        <v>2</v>
      </c>
      <c r="I4790" s="34" t="n">
        <v>2</v>
      </c>
      <c r="J4790" s="35" t="n">
        <v>2</v>
      </c>
      <c r="K4790" s="2" t="inlineStr">
        <is>
          <t>marker_384_362510.png</t>
        </is>
      </c>
      <c r="L4790" s="36">
        <f>HYPERLINK("NoConsenso\" &amp; K4790, "Ver Imagen")</f>
        <v/>
      </c>
      <c r="M4790" t="inlineStr">
        <is>
          <t>Mediana</t>
        </is>
      </c>
    </row>
    <row r="4791">
      <c r="A4791" s="33" t="n">
        <v>4795</v>
      </c>
      <c r="B4791" t="inlineStr">
        <is>
          <t>A-497__471</t>
        </is>
      </c>
      <c r="C4791" s="1" t="n">
        <v>37.2170064338</v>
      </c>
      <c r="D4791" s="1" t="n">
        <v>-7.02304867329</v>
      </c>
      <c r="E4791" s="3" t="n">
        <v>3</v>
      </c>
      <c r="F4791" s="2" t="n">
        <v>2</v>
      </c>
      <c r="G4791" s="4" t="n">
        <v>5</v>
      </c>
      <c r="H4791" s="13" t="n">
        <v>2</v>
      </c>
      <c r="I4791" s="34" t="n">
        <v>2</v>
      </c>
      <c r="J4791" s="35" t="n">
        <v>2</v>
      </c>
      <c r="K4791" s="2" t="inlineStr">
        <is>
          <t>marker_461_376463.png</t>
        </is>
      </c>
      <c r="L4791" s="36">
        <f>HYPERLINK("NoConsenso\" &amp; K4791, "Ver Imagen")</f>
        <v/>
      </c>
      <c r="M4791" t="inlineStr">
        <is>
          <t>Mediana</t>
        </is>
      </c>
    </row>
    <row r="4792">
      <c r="A4792" s="33" t="n">
        <v>4796</v>
      </c>
      <c r="B4792" t="inlineStr">
        <is>
          <t>A-497__322</t>
        </is>
      </c>
      <c r="C4792" s="1" t="n">
        <v>37.2460480045</v>
      </c>
      <c r="D4792" s="1" t="n">
        <v>-7.01825833684</v>
      </c>
      <c r="E4792" s="3" t="n">
        <v>5</v>
      </c>
      <c r="F4792" s="2" t="n">
        <v>2</v>
      </c>
      <c r="G4792" s="4" t="n">
        <v>4</v>
      </c>
      <c r="H4792" s="13" t="n">
        <v>1</v>
      </c>
      <c r="I4792" s="34" t="n">
        <v>1</v>
      </c>
      <c r="J4792" s="37" t="n">
        <v>1</v>
      </c>
      <c r="K4792" s="2" t="inlineStr">
        <is>
          <t>marker_163_377942.png</t>
        </is>
      </c>
      <c r="L4792" s="36">
        <f>HYPERLINK("NoConsenso\" &amp; K4792, "Ver Imagen")</f>
        <v/>
      </c>
      <c r="M4792" s="37" t="inlineStr">
        <is>
          <t>Modificada</t>
        </is>
      </c>
    </row>
    <row r="4793">
      <c r="A4793" s="33" t="n">
        <v>4797</v>
      </c>
      <c r="B4793" t="inlineStr">
        <is>
          <t>A-492__392</t>
        </is>
      </c>
      <c r="C4793" s="1" t="n">
        <v>37.3073344961</v>
      </c>
      <c r="D4793" s="1" t="n">
        <v>-7.05693220603</v>
      </c>
      <c r="E4793" s="3" t="n">
        <v>2</v>
      </c>
      <c r="F4793" s="2" t="n">
        <v>1</v>
      </c>
      <c r="G4793" s="4" t="n">
        <v>5</v>
      </c>
      <c r="H4793" s="13" t="n">
        <v>2</v>
      </c>
      <c r="I4793" s="34" t="n">
        <v>1</v>
      </c>
      <c r="J4793" s="37" t="n">
        <v>1</v>
      </c>
      <c r="K4793" s="2" t="inlineStr">
        <is>
          <t>marker_720_839055.png</t>
        </is>
      </c>
      <c r="L4793" s="36">
        <f>HYPERLINK("NoConsenso\" &amp; K4793, "Ver Imagen")</f>
        <v/>
      </c>
      <c r="M4793" s="37" t="inlineStr">
        <is>
          <t>Modificada</t>
        </is>
      </c>
    </row>
    <row r="4794">
      <c r="A4794" s="33" t="n">
        <v>4798</v>
      </c>
      <c r="B4794" t="inlineStr">
        <is>
          <t>A-490__422</t>
        </is>
      </c>
      <c r="C4794" s="1" t="n">
        <v>37.4828992371</v>
      </c>
      <c r="D4794" s="1" t="n">
        <v>-7.21966526253</v>
      </c>
      <c r="E4794" s="3" t="n">
        <v>1</v>
      </c>
      <c r="F4794" s="2" t="n"/>
      <c r="G4794" s="4" t="n">
        <v>1</v>
      </c>
      <c r="H4794" s="13" t="n">
        <v>2</v>
      </c>
      <c r="I4794" s="34" t="n">
        <v>2</v>
      </c>
      <c r="J4794" s="35" t="n">
        <v>1.5</v>
      </c>
      <c r="K4794" s="3" t="inlineStr">
        <is>
          <t>marker_387_910667.png</t>
        </is>
      </c>
      <c r="L4794" s="36">
        <f>HYPERLINK("Solo2\" &amp; K4794, "Ver Imagen")</f>
        <v/>
      </c>
      <c r="M4794" t="inlineStr">
        <is>
          <t>Mediana</t>
        </is>
      </c>
    </row>
    <row r="4795">
      <c r="A4795" s="33" t="n">
        <v>4799</v>
      </c>
      <c r="B4795" t="inlineStr">
        <is>
          <t>A-490__556</t>
        </is>
      </c>
      <c r="C4795" s="1" t="n">
        <v>37.4906979492</v>
      </c>
      <c r="D4795" s="1" t="n">
        <v>-7.2517047971</v>
      </c>
      <c r="E4795" s="3" t="n">
        <v>1</v>
      </c>
      <c r="F4795" s="2" t="n"/>
      <c r="G4795" s="4" t="n">
        <v>1</v>
      </c>
      <c r="H4795" s="13" t="n">
        <v>2</v>
      </c>
      <c r="I4795" s="34" t="n">
        <v>1</v>
      </c>
      <c r="J4795" s="35" t="n">
        <v>1</v>
      </c>
      <c r="K4795" s="3" t="inlineStr">
        <is>
          <t>marker_859_251653.png</t>
        </is>
      </c>
      <c r="L4795" s="36">
        <f>HYPERLINK("Solo2\" &amp; K4795, "Ver Imagen")</f>
        <v/>
      </c>
      <c r="M4795" t="inlineStr">
        <is>
          <t>Mediana</t>
        </is>
      </c>
    </row>
    <row r="4796">
      <c r="A4796" s="33" t="n">
        <v>4800</v>
      </c>
      <c r="B4796" t="inlineStr">
        <is>
          <t>A-490__568</t>
        </is>
      </c>
      <c r="C4796" s="1" t="n">
        <v>37.4904952855</v>
      </c>
      <c r="D4796" s="1" t="n">
        <v>-7.25472714523</v>
      </c>
      <c r="E4796" s="3" t="n">
        <v>1</v>
      </c>
      <c r="F4796" s="2" t="n"/>
      <c r="G4796" s="4" t="n">
        <v>1</v>
      </c>
      <c r="H4796" s="13" t="n">
        <v>1</v>
      </c>
      <c r="I4796" s="34" t="n">
        <v>1</v>
      </c>
      <c r="J4796" s="35" t="n">
        <v>1</v>
      </c>
      <c r="K4796" s="3" t="inlineStr">
        <is>
          <t>marker_456_251842.png</t>
        </is>
      </c>
      <c r="L4796" s="36">
        <f>HYPERLINK("Solo2\" &amp; K4796, "Ver Imagen")</f>
        <v/>
      </c>
      <c r="M4796" t="inlineStr">
        <is>
          <t>Mediana</t>
        </is>
      </c>
    </row>
    <row r="4797">
      <c r="A4797" s="33" t="n">
        <v>4801</v>
      </c>
      <c r="B4797" t="inlineStr">
        <is>
          <t>A-490__526</t>
        </is>
      </c>
      <c r="C4797" s="1" t="n">
        <v>37.4879390701</v>
      </c>
      <c r="D4797" s="1" t="n">
        <v>-7.24524803114</v>
      </c>
      <c r="E4797" s="3" t="n">
        <v>2</v>
      </c>
      <c r="F4797" s="2" t="n"/>
      <c r="G4797" s="4" t="n">
        <v>2</v>
      </c>
      <c r="H4797" s="13" t="n">
        <v>2</v>
      </c>
      <c r="I4797" s="34" t="n">
        <v>2</v>
      </c>
      <c r="J4797" s="35" t="n">
        <v>2</v>
      </c>
      <c r="K4797" s="3" t="inlineStr">
        <is>
          <t>marker_516_241149.png</t>
        </is>
      </c>
      <c r="L4797" s="36">
        <f>HYPERLINK("Solo2\" &amp; K4797, "Ver Imagen")</f>
        <v/>
      </c>
      <c r="M4797" t="inlineStr">
        <is>
          <t>Mediana</t>
        </is>
      </c>
    </row>
    <row r="4798">
      <c r="A4798" s="33" t="n">
        <v>4802</v>
      </c>
      <c r="B4798" t="inlineStr">
        <is>
          <t>A-492__441</t>
        </is>
      </c>
      <c r="C4798" s="1" t="n">
        <v>37.314609176</v>
      </c>
      <c r="D4798" s="1" t="n">
        <v>-7.06472900548</v>
      </c>
      <c r="E4798" s="3" t="n">
        <v>1</v>
      </c>
      <c r="F4798" s="2" t="n"/>
      <c r="G4798" s="4" t="n">
        <v>2</v>
      </c>
      <c r="H4798" s="13" t="n">
        <v>1</v>
      </c>
      <c r="I4798" s="34" t="n">
        <v>1</v>
      </c>
      <c r="J4798" s="35" t="n">
        <v>1</v>
      </c>
      <c r="K4798" s="3" t="inlineStr">
        <is>
          <t>marker_840_518998.png</t>
        </is>
      </c>
      <c r="L4798" s="36">
        <f>HYPERLINK("Solo2\" &amp; K4798, "Ver Imagen")</f>
        <v/>
      </c>
      <c r="M4798" t="inlineStr">
        <is>
          <t>Mediana</t>
        </is>
      </c>
    </row>
    <row r="4799">
      <c r="A4799" s="33" t="n">
        <v>4803</v>
      </c>
      <c r="B4799" t="inlineStr">
        <is>
          <t>A-5053__128</t>
        </is>
      </c>
      <c r="C4799" s="1" t="n">
        <v>37.2443027344</v>
      </c>
      <c r="D4799" t="n">
        <v>-7.12812165387</v>
      </c>
      <c r="E4799" s="3" t="n">
        <v>2</v>
      </c>
      <c r="F4799" s="2" t="n"/>
      <c r="G4799" s="4" t="n">
        <v>2</v>
      </c>
      <c r="H4799" s="13" t="n">
        <v>2</v>
      </c>
      <c r="I4799" s="34" t="n">
        <v>1</v>
      </c>
      <c r="J4799" s="35" t="n">
        <v>2</v>
      </c>
      <c r="K4799" s="3" t="inlineStr">
        <is>
          <t>marker_459_962370.png</t>
        </is>
      </c>
      <c r="L4799" s="36">
        <f>HYPERLINK("Solo2\" &amp; K4799, "Ver Imagen")</f>
        <v/>
      </c>
      <c r="M4799" t="inlineStr">
        <is>
          <t>Mediana</t>
        </is>
      </c>
    </row>
    <row r="4800">
      <c r="A4800" s="33" t="n">
        <v>4804</v>
      </c>
      <c r="B4800" t="inlineStr">
        <is>
          <t>A-497__307</t>
        </is>
      </c>
      <c r="C4800" s="1" t="n">
        <v>37.2490374655</v>
      </c>
      <c r="D4800" s="1" t="n">
        <v>-7.01810233856</v>
      </c>
      <c r="E4800" s="3" t="n">
        <v>2</v>
      </c>
      <c r="F4800" s="2" t="n"/>
      <c r="G4800" s="4" t="n">
        <v>2</v>
      </c>
      <c r="H4800" s="13" t="n">
        <v>2</v>
      </c>
      <c r="I4800" s="34" t="n">
        <v>2</v>
      </c>
      <c r="J4800" s="35" t="n">
        <v>2</v>
      </c>
      <c r="K4800" s="2" t="inlineStr">
        <is>
          <t>marker_473_378128.png</t>
        </is>
      </c>
      <c r="L4800" s="36">
        <f>HYPERLINK("Solo2\" &amp; K4800, "Ver Imagen")</f>
        <v/>
      </c>
      <c r="M4800" t="inlineStr">
        <is>
          <t>Mediana</t>
        </is>
      </c>
    </row>
    <row r="4801">
      <c r="A4801" s="33" t="n">
        <v>4805</v>
      </c>
      <c r="B4801" t="inlineStr">
        <is>
          <t>A-490__9</t>
        </is>
      </c>
      <c r="C4801" s="1" t="n">
        <v>37.4471338404</v>
      </c>
      <c r="D4801" s="1" t="n">
        <v>-7.12849995182</v>
      </c>
      <c r="E4801" s="3" t="n">
        <v>1</v>
      </c>
      <c r="F4801" s="2" t="n"/>
      <c r="G4801" s="4" t="n">
        <v>2</v>
      </c>
      <c r="H4801" s="13" t="n">
        <v>2</v>
      </c>
      <c r="I4801" s="34" t="n">
        <v>2</v>
      </c>
      <c r="J4801" s="35" t="n">
        <v>2</v>
      </c>
      <c r="K4801" s="3" t="inlineStr">
        <is>
          <t>marker_711_641330.png</t>
        </is>
      </c>
      <c r="L4801" s="36">
        <f>HYPERLINK("Solo2\" &amp; K4801, "Ver Imagen")</f>
        <v/>
      </c>
      <c r="M4801" t="inlineStr">
        <is>
          <t>Mediana</t>
        </is>
      </c>
    </row>
    <row r="4802">
      <c r="A4802" s="33" t="n">
        <v>4806</v>
      </c>
      <c r="B4802" t="inlineStr">
        <is>
          <t>A-490__66</t>
        </is>
      </c>
      <c r="C4802" s="1" t="n">
        <v>37.4482723573</v>
      </c>
      <c r="D4802" s="1" t="n">
        <v>-7.14218193392</v>
      </c>
      <c r="E4802" s="3" t="n">
        <v>1</v>
      </c>
      <c r="F4802" s="2" t="n"/>
      <c r="G4802" s="4" t="n">
        <v>2</v>
      </c>
      <c r="H4802" s="13" t="n">
        <v>2</v>
      </c>
      <c r="I4802" s="34" t="n">
        <v>3</v>
      </c>
      <c r="J4802" s="37" t="n">
        <v>3</v>
      </c>
      <c r="K4802" s="2" t="inlineStr">
        <is>
          <t>marker_518_738044.png</t>
        </is>
      </c>
      <c r="L4802" s="36">
        <f>HYPERLINK("Solo2\" &amp; K4802, "Ver Imagen")</f>
        <v/>
      </c>
      <c r="M4802" s="37" t="inlineStr">
        <is>
          <t>Modificada</t>
        </is>
      </c>
    </row>
    <row r="4803">
      <c r="A4803" s="33" t="n">
        <v>4807</v>
      </c>
      <c r="B4803" t="inlineStr">
        <is>
          <t>A-490__415</t>
        </is>
      </c>
      <c r="C4803" s="1" t="n">
        <v>37.482573229</v>
      </c>
      <c r="D4803" s="1" t="n">
        <v>-7.21800625937</v>
      </c>
      <c r="E4803" s="3" t="n">
        <v>1</v>
      </c>
      <c r="F4803" s="2" t="n"/>
      <c r="G4803" s="4" t="n">
        <v>2</v>
      </c>
      <c r="H4803" s="13" t="n">
        <v>2</v>
      </c>
      <c r="I4803" s="34" t="n">
        <v>2</v>
      </c>
      <c r="J4803" s="35" t="n">
        <v>2</v>
      </c>
      <c r="K4803" s="3" t="inlineStr">
        <is>
          <t>marker_271_910561.png</t>
        </is>
      </c>
      <c r="L4803" s="36">
        <f>HYPERLINK("Solo2\" &amp; K4803, "Ver Imagen")</f>
        <v/>
      </c>
      <c r="M4803" t="inlineStr">
        <is>
          <t>Mediana</t>
        </is>
      </c>
    </row>
    <row r="4804">
      <c r="A4804" s="33" t="n">
        <v>4808</v>
      </c>
      <c r="B4804" t="inlineStr">
        <is>
          <t>A-490__27</t>
        </is>
      </c>
      <c r="C4804" s="1" t="n">
        <v>37.4464602146</v>
      </c>
      <c r="D4804" s="1" t="n">
        <v>-7.13299956302</v>
      </c>
      <c r="E4804" s="3" t="n">
        <v>2</v>
      </c>
      <c r="F4804" s="2" t="n"/>
      <c r="G4804" s="4" t="n">
        <v>3</v>
      </c>
      <c r="H4804" s="13" t="n">
        <v>3</v>
      </c>
      <c r="I4804" s="34" t="n">
        <v>3</v>
      </c>
      <c r="J4804" s="35" t="n">
        <v>3</v>
      </c>
      <c r="K4804" s="2" t="inlineStr">
        <is>
          <t>marker_420_730849.png</t>
        </is>
      </c>
      <c r="L4804" s="36">
        <f>HYPERLINK("Solo2\" &amp; K4804, "Ver Imagen")</f>
        <v/>
      </c>
      <c r="M4804" t="inlineStr">
        <is>
          <t>Mediana</t>
        </is>
      </c>
    </row>
    <row r="4805">
      <c r="A4805" s="33" t="n">
        <v>4809</v>
      </c>
      <c r="B4805" t="inlineStr">
        <is>
          <t>A-490__442</t>
        </is>
      </c>
      <c r="C4805" s="1" t="n">
        <v>37.4838624442</v>
      </c>
      <c r="D4805" s="1" t="n">
        <v>-7.22460369536</v>
      </c>
      <c r="E4805" s="3" t="n">
        <v>1</v>
      </c>
      <c r="F4805" s="2" t="n"/>
      <c r="G4805" s="4" t="n">
        <v>3</v>
      </c>
      <c r="H4805" s="13" t="n">
        <v>2</v>
      </c>
      <c r="I4805" s="34" t="n">
        <v>1</v>
      </c>
      <c r="J4805" s="35" t="n">
        <v>1.5</v>
      </c>
      <c r="K4805" s="3" t="inlineStr">
        <is>
          <t>marker_394_915441.png</t>
        </is>
      </c>
      <c r="L4805" s="36">
        <f>HYPERLINK("Solo2\" &amp; K4805, "Ver Imagen")</f>
        <v/>
      </c>
      <c r="M4805" t="inlineStr">
        <is>
          <t>Mediana</t>
        </is>
      </c>
    </row>
    <row r="4806">
      <c r="A4806" s="33" t="n">
        <v>4810</v>
      </c>
      <c r="B4806" t="inlineStr">
        <is>
          <t>Fuera</t>
        </is>
      </c>
      <c r="C4806" s="1" t="n">
        <v>37.3933503654</v>
      </c>
      <c r="D4806" s="1" t="n">
        <v>-7.00452590405</v>
      </c>
      <c r="E4806" s="3" t="n">
        <v>3</v>
      </c>
      <c r="F4806" s="2" t="n"/>
      <c r="G4806" s="4" t="n">
        <v>3</v>
      </c>
      <c r="H4806" s="13" t="n">
        <v>2</v>
      </c>
      <c r="I4806" s="34" t="n">
        <v>2</v>
      </c>
      <c r="J4806" s="35" t="n">
        <v>2.5</v>
      </c>
      <c r="K4806" s="3" t="inlineStr">
        <is>
          <t>marker_113_388983.png</t>
        </is>
      </c>
      <c r="L4806" s="36">
        <f>HYPERLINK("Solo2\" &amp; K4806, "Ver Imagen")</f>
        <v/>
      </c>
      <c r="M4806" t="inlineStr">
        <is>
          <t>Mediana</t>
        </is>
      </c>
    </row>
    <row r="4807">
      <c r="A4807" s="33" t="n">
        <v>4811</v>
      </c>
      <c r="B4807" t="inlineStr">
        <is>
          <t>A-490__8</t>
        </is>
      </c>
      <c r="C4807" s="1" t="n">
        <v>37.4471336475</v>
      </c>
      <c r="D4807" s="1" t="n">
        <v>-7.12825457455</v>
      </c>
      <c r="E4807" s="3" t="n">
        <v>2</v>
      </c>
      <c r="F4807" s="2" t="n"/>
      <c r="G4807" s="4" t="n">
        <v>3</v>
      </c>
      <c r="H4807" s="13" t="n">
        <v>3</v>
      </c>
      <c r="I4807" s="34" t="n">
        <v>3</v>
      </c>
      <c r="J4807" s="35" t="n">
        <v>3</v>
      </c>
      <c r="K4807" s="3" t="inlineStr">
        <is>
          <t>marker_857_641313.png</t>
        </is>
      </c>
      <c r="L4807" s="36">
        <f>HYPERLINK("Solo2\" &amp; K4807, "Ver Imagen")</f>
        <v/>
      </c>
      <c r="M4807" t="inlineStr">
        <is>
          <t>Mediana</t>
        </is>
      </c>
    </row>
    <row r="4808">
      <c r="A4808" s="33" t="n">
        <v>4812</v>
      </c>
      <c r="B4808" t="inlineStr">
        <is>
          <t>A-490__87</t>
        </is>
      </c>
      <c r="C4808" s="1" t="n">
        <v>37.4487023034</v>
      </c>
      <c r="D4808" s="1" t="n">
        <v>-7.14751605844</v>
      </c>
      <c r="E4808" s="3" t="n">
        <v>2</v>
      </c>
      <c r="F4808" s="2" t="n"/>
      <c r="G4808" s="4" t="n">
        <v>3</v>
      </c>
      <c r="H4808" s="13" t="n">
        <v>4</v>
      </c>
      <c r="I4808" s="34" t="n">
        <v>4</v>
      </c>
      <c r="J4808" s="35" t="n">
        <v>3.5</v>
      </c>
      <c r="K4808" s="3" t="inlineStr">
        <is>
          <t>marker_606_649431.png</t>
        </is>
      </c>
      <c r="L4808" s="36">
        <f>HYPERLINK("Solo2\" &amp; K4808, "Ver Imagen")</f>
        <v/>
      </c>
      <c r="M4808" t="inlineStr">
        <is>
          <t>Mediana</t>
        </is>
      </c>
    </row>
    <row r="4809">
      <c r="A4809" s="33" t="n">
        <v>4813</v>
      </c>
      <c r="B4809" t="inlineStr">
        <is>
          <t>A-490__218</t>
        </is>
      </c>
      <c r="C4809" s="1" t="n">
        <v>37.4620850422</v>
      </c>
      <c r="D4809" s="1" t="n">
        <v>-7.17527099381</v>
      </c>
      <c r="E4809" s="3" t="n">
        <v>2</v>
      </c>
      <c r="F4809" s="2" t="n"/>
      <c r="G4809" s="4" t="n">
        <v>3</v>
      </c>
      <c r="H4809" s="13" t="n">
        <v>3</v>
      </c>
      <c r="I4809" s="34" t="n">
        <v>3</v>
      </c>
      <c r="J4809" s="35" t="n">
        <v>3</v>
      </c>
      <c r="K4809" s="3" t="inlineStr">
        <is>
          <t>marker_804_668928.png</t>
        </is>
      </c>
      <c r="L4809" s="36">
        <f>HYPERLINK("Solo2\" &amp; K4809, "Ver Imagen")</f>
        <v/>
      </c>
      <c r="M4809" t="inlineStr">
        <is>
          <t>Mediana</t>
        </is>
      </c>
    </row>
    <row r="4810">
      <c r="A4810" s="33" t="n">
        <v>4814</v>
      </c>
      <c r="B4810" t="inlineStr">
        <is>
          <t>A-490__401</t>
        </is>
      </c>
      <c r="C4810" s="1" t="n">
        <v>37.4816903938</v>
      </c>
      <c r="D4810" s="1" t="n">
        <v>-7.21472976743</v>
      </c>
      <c r="E4810" s="3" t="n">
        <v>2</v>
      </c>
      <c r="F4810" s="2" t="n"/>
      <c r="G4810" s="4" t="n">
        <v>3</v>
      </c>
      <c r="H4810" s="13" t="n">
        <v>2</v>
      </c>
      <c r="I4810" s="34" t="n">
        <v>2</v>
      </c>
      <c r="J4810" s="35" t="n">
        <v>2</v>
      </c>
      <c r="K4810" s="3" t="inlineStr">
        <is>
          <t>marker_962_909970.png</t>
        </is>
      </c>
      <c r="L4810" s="36">
        <f>HYPERLINK("Solo2\" &amp; K4810, "Ver Imagen")</f>
        <v/>
      </c>
      <c r="M4810" t="inlineStr">
        <is>
          <t>Mediana</t>
        </is>
      </c>
    </row>
    <row r="4811">
      <c r="A4811" s="33" t="n">
        <v>4815</v>
      </c>
      <c r="B4811" t="inlineStr">
        <is>
          <t>A-492__146</t>
        </is>
      </c>
      <c r="C4811" t="n">
        <v>37.2754063</v>
      </c>
      <c r="D4811" t="n">
        <v>-7.01720521394</v>
      </c>
      <c r="E4811" s="3" t="n">
        <v>1</v>
      </c>
      <c r="F4811" s="2" t="n"/>
      <c r="G4811" s="4" t="n">
        <v>3</v>
      </c>
      <c r="H4811" s="13" t="n">
        <v>2</v>
      </c>
      <c r="I4811" s="34" t="n">
        <v>2</v>
      </c>
      <c r="J4811" s="35" t="n">
        <v>2</v>
      </c>
      <c r="K4811" s="3" t="inlineStr">
        <is>
          <t>marker_613_335844.png</t>
        </is>
      </c>
      <c r="L4811" s="36">
        <f>HYPERLINK("Solo2\" &amp; K4811, "Ver Imagen")</f>
        <v/>
      </c>
      <c r="M4811" t="inlineStr">
        <is>
          <t>Mediana</t>
        </is>
      </c>
    </row>
    <row r="4812">
      <c r="A4812" s="33" t="n">
        <v>4816</v>
      </c>
      <c r="B4812" t="inlineStr">
        <is>
          <t>A-492__426</t>
        </is>
      </c>
      <c r="C4812" t="n">
        <v>37.3129018503</v>
      </c>
      <c r="D4812" t="n">
        <v>-7.06159033969</v>
      </c>
      <c r="E4812" s="3" t="n">
        <v>2</v>
      </c>
      <c r="F4812" s="2" t="n"/>
      <c r="G4812" s="4" t="n">
        <v>3</v>
      </c>
      <c r="H4812" s="13" t="n">
        <v>2</v>
      </c>
      <c r="I4812" s="34" t="n">
        <v>2</v>
      </c>
      <c r="J4812" s="35" t="n">
        <v>2</v>
      </c>
      <c r="K4812" s="3" t="inlineStr">
        <is>
          <t>marker_747_518748.png</t>
        </is>
      </c>
      <c r="L4812" s="36">
        <f>HYPERLINK("Solo2\" &amp; K4812, "Ver Imagen")</f>
        <v/>
      </c>
      <c r="M4812" t="inlineStr">
        <is>
          <t>Mediana</t>
        </is>
      </c>
    </row>
    <row r="4813">
      <c r="A4813" s="33" t="n">
        <v>4817</v>
      </c>
      <c r="B4813" t="inlineStr">
        <is>
          <t>A-5050__128</t>
        </is>
      </c>
      <c r="C4813" t="n">
        <v>37.1951541963</v>
      </c>
      <c r="D4813" t="n">
        <v>-7.00052264939</v>
      </c>
      <c r="E4813" s="3" t="n">
        <v>2</v>
      </c>
      <c r="F4813" s="2" t="n"/>
      <c r="G4813" s="4" t="n">
        <v>3</v>
      </c>
      <c r="H4813" s="13" t="n">
        <v>2</v>
      </c>
      <c r="I4813" s="34" t="n">
        <v>3</v>
      </c>
      <c r="J4813" s="37" t="n">
        <v>2</v>
      </c>
      <c r="K4813" s="3" t="inlineStr">
        <is>
          <t>marker_606_776109.png</t>
        </is>
      </c>
      <c r="L4813" s="36">
        <f>HYPERLINK("Solo2\" &amp; K4813, "Ver Imagen")</f>
        <v/>
      </c>
      <c r="M4813" s="37" t="inlineStr">
        <is>
          <t>Modificada</t>
        </is>
      </c>
    </row>
    <row r="4814">
      <c r="A4814" s="33" t="n">
        <v>4818</v>
      </c>
      <c r="B4814" t="inlineStr">
        <is>
          <t>A-497__232</t>
        </is>
      </c>
      <c r="C4814" t="n">
        <v>37.2624681334</v>
      </c>
      <c r="D4814" t="n">
        <v>-7.00943979636</v>
      </c>
      <c r="E4814" s="3" t="n">
        <v>2</v>
      </c>
      <c r="F4814" s="2" t="n"/>
      <c r="G4814" s="4" t="n">
        <v>3</v>
      </c>
      <c r="H4814" s="16" t="n">
        <v>2</v>
      </c>
      <c r="I4814" s="40" t="n">
        <v>4</v>
      </c>
      <c r="J4814" s="35" t="n">
        <v>2.5</v>
      </c>
      <c r="K4814" s="3" t="inlineStr">
        <is>
          <t>marker_326_895145.png</t>
        </is>
      </c>
      <c r="L4814" s="36">
        <f>HYPERLINK("Solo2\" &amp; K4814, "Ver Imagen")</f>
        <v/>
      </c>
      <c r="M4814" t="inlineStr">
        <is>
          <t>Mediana</t>
        </is>
      </c>
    </row>
    <row r="4815">
      <c r="A4815" s="33" t="n">
        <v>4819</v>
      </c>
      <c r="B4815" t="inlineStr">
        <is>
          <t>A-490__119</t>
        </is>
      </c>
      <c r="C4815" s="1" t="n">
        <v>37.4512658476</v>
      </c>
      <c r="D4815" s="1" t="n">
        <v>-7.15482388541</v>
      </c>
      <c r="E4815" s="3" t="n">
        <v>2</v>
      </c>
      <c r="F4815" s="2" t="n"/>
      <c r="G4815" s="4" t="n">
        <v>4</v>
      </c>
      <c r="H4815" s="13" t="n">
        <v>3</v>
      </c>
      <c r="I4815" s="34" t="n">
        <v>3</v>
      </c>
      <c r="J4815" s="35" t="n">
        <v>3</v>
      </c>
      <c r="K4815" s="4" t="inlineStr">
        <is>
          <t>marker_936_951949.png</t>
        </is>
      </c>
      <c r="L4815" s="36">
        <f>HYPERLINK("Solo2\" &amp; K4815, "Ver Imagen")</f>
        <v/>
      </c>
      <c r="M4815" t="inlineStr">
        <is>
          <t>Mediana</t>
        </is>
      </c>
    </row>
    <row r="4816">
      <c r="A4816" s="33" t="n">
        <v>4820</v>
      </c>
      <c r="B4816" t="inlineStr">
        <is>
          <t>A-495_1__169</t>
        </is>
      </c>
      <c r="C4816" s="1" t="n">
        <v>37.4801413769</v>
      </c>
      <c r="D4816" s="1" t="n">
        <v>-7.12783969627</v>
      </c>
      <c r="E4816" s="3" t="n">
        <v>4</v>
      </c>
      <c r="F4816" s="2" t="n"/>
      <c r="G4816" s="4" t="n">
        <v>4</v>
      </c>
      <c r="H4816" s="13" t="n">
        <v>3</v>
      </c>
      <c r="I4816" s="34" t="n">
        <v>4</v>
      </c>
      <c r="J4816" s="35" t="n">
        <v>4</v>
      </c>
      <c r="K4816" s="2" t="inlineStr">
        <is>
          <t>marker_107_383998.png</t>
        </is>
      </c>
      <c r="L4816" s="36">
        <f>HYPERLINK("Solo2\" &amp; K4816, "Ver Imagen")</f>
        <v/>
      </c>
      <c r="M4816" t="inlineStr">
        <is>
          <t>Mediana</t>
        </is>
      </c>
    </row>
    <row r="4817">
      <c r="A4817" s="33" t="n">
        <v>4821</v>
      </c>
      <c r="B4817" t="inlineStr">
        <is>
          <t>A-499__77</t>
        </is>
      </c>
      <c r="C4817" t="n">
        <v>37.4953607805</v>
      </c>
      <c r="D4817" t="n">
        <v>-7.26849657005</v>
      </c>
      <c r="E4817" s="3" t="n">
        <v>4</v>
      </c>
      <c r="F4817" s="2" t="n"/>
      <c r="G4817" s="4" t="n">
        <v>4</v>
      </c>
      <c r="H4817" s="13" t="n">
        <v>3</v>
      </c>
      <c r="I4817" s="34" t="n">
        <v>4</v>
      </c>
      <c r="J4817" s="35" t="n">
        <v>4</v>
      </c>
      <c r="K4817" s="3" t="inlineStr">
        <is>
          <t>marker_135_799777.png</t>
        </is>
      </c>
      <c r="L4817" s="36">
        <f>HYPERLINK("Solo2\" &amp; K4817, "Ver Imagen")</f>
        <v/>
      </c>
      <c r="M4817" t="inlineStr">
        <is>
          <t>Mediana</t>
        </is>
      </c>
    </row>
    <row r="4818">
      <c r="A4818" s="33" t="n">
        <v>4822</v>
      </c>
      <c r="B4818" t="inlineStr">
        <is>
          <t>A-490__1</t>
        </is>
      </c>
      <c r="C4818" t="n">
        <v>37.4474657809</v>
      </c>
      <c r="D4818" t="n">
        <v>-7.1266855658</v>
      </c>
      <c r="E4818" s="3" t="n">
        <v>2</v>
      </c>
      <c r="F4818" s="2" t="n"/>
      <c r="G4818" s="4" t="n">
        <v>4</v>
      </c>
      <c r="H4818" s="13" t="n">
        <v>3</v>
      </c>
      <c r="I4818" s="34" t="n">
        <v>3</v>
      </c>
      <c r="J4818" s="35" t="n">
        <v>3</v>
      </c>
      <c r="K4818" s="3" t="inlineStr">
        <is>
          <t>marker_245_645287.png</t>
        </is>
      </c>
      <c r="L4818" s="36">
        <f>HYPERLINK("Solo2\" &amp; K4818, "Ver Imagen")</f>
        <v/>
      </c>
      <c r="M4818" t="inlineStr">
        <is>
          <t>Mediana</t>
        </is>
      </c>
    </row>
    <row r="4819">
      <c r="A4819" s="33" t="n">
        <v>4823</v>
      </c>
      <c r="B4819" t="inlineStr">
        <is>
          <t>A-490__217</t>
        </is>
      </c>
      <c r="C4819" t="n">
        <v>37.4619560079</v>
      </c>
      <c r="D4819" t="n">
        <v>-7.17506018678</v>
      </c>
      <c r="E4819" s="3" t="n">
        <v>2</v>
      </c>
      <c r="F4819" s="2" t="n"/>
      <c r="G4819" s="4" t="n">
        <v>4</v>
      </c>
      <c r="H4819" s="13" t="n">
        <v>4</v>
      </c>
      <c r="I4819" s="34" t="n">
        <v>4</v>
      </c>
      <c r="J4819" s="35" t="n">
        <v>4</v>
      </c>
      <c r="K4819" s="3" t="inlineStr">
        <is>
          <t>marker_410_668905.png</t>
        </is>
      </c>
      <c r="L4819" s="36">
        <f>HYPERLINK("Solo2\" &amp; K4819, "Ver Imagen")</f>
        <v/>
      </c>
      <c r="M4819" t="inlineStr">
        <is>
          <t>Mediana</t>
        </is>
      </c>
    </row>
    <row r="4820">
      <c r="A4820" s="33" t="n">
        <v>4824</v>
      </c>
      <c r="B4820" t="inlineStr">
        <is>
          <t>A-492__38</t>
        </is>
      </c>
      <c r="C4820" s="1" t="n">
        <v>37.278204929</v>
      </c>
      <c r="D4820" s="1" t="n">
        <v>-6.99292602815</v>
      </c>
      <c r="E4820" s="3" t="n">
        <v>3</v>
      </c>
      <c r="F4820" s="2" t="n"/>
      <c r="G4820" s="4" t="n">
        <v>4</v>
      </c>
      <c r="H4820" s="13" t="n">
        <v>4</v>
      </c>
      <c r="I4820" s="34" t="n">
        <v>4</v>
      </c>
      <c r="J4820" s="35" t="n">
        <v>4</v>
      </c>
      <c r="K4820" s="2" t="inlineStr">
        <is>
          <t>marker_413_822839.png</t>
        </is>
      </c>
      <c r="L4820" s="36">
        <f>HYPERLINK("Solo2\" &amp; K4820, "Ver Imagen")</f>
        <v/>
      </c>
      <c r="M4820" t="inlineStr">
        <is>
          <t>Mediana</t>
        </is>
      </c>
    </row>
    <row r="4821">
      <c r="A4821" s="33" t="n">
        <v>4825</v>
      </c>
      <c r="B4821" t="inlineStr">
        <is>
          <t>A-492__60</t>
        </is>
      </c>
      <c r="C4821" s="1" t="n">
        <v>37.2798081944</v>
      </c>
      <c r="D4821" s="1" t="n">
        <v>-6.99803673334</v>
      </c>
      <c r="E4821" s="3" t="n">
        <v>3</v>
      </c>
      <c r="F4821" s="2" t="n"/>
      <c r="G4821" s="4" t="n">
        <v>4</v>
      </c>
      <c r="H4821" s="13" t="n">
        <v>4</v>
      </c>
      <c r="I4821" s="34" t="n">
        <v>4</v>
      </c>
      <c r="J4821" s="35" t="n">
        <v>4</v>
      </c>
      <c r="K4821" s="2" t="inlineStr">
        <is>
          <t>marker_413_823143.png</t>
        </is>
      </c>
      <c r="L4821" s="36">
        <f>HYPERLINK("Solo2\" &amp; K4821, "Ver Imagen")</f>
        <v/>
      </c>
      <c r="M4821" t="inlineStr">
        <is>
          <t>Mediana</t>
        </is>
      </c>
    </row>
    <row r="4822">
      <c r="A4822" s="33" t="n">
        <v>4826</v>
      </c>
      <c r="B4822" t="inlineStr">
        <is>
          <t>A-492__8</t>
        </is>
      </c>
      <c r="C4822" t="n">
        <v>37.2730072093</v>
      </c>
      <c r="D4822" t="n">
        <v>-6.99128894893</v>
      </c>
      <c r="E4822" s="3" t="n">
        <v>2</v>
      </c>
      <c r="F4822" s="2" t="n"/>
      <c r="G4822" s="4" t="n">
        <v>4</v>
      </c>
      <c r="H4822" s="13" t="n">
        <v>4</v>
      </c>
      <c r="I4822" s="34" t="n">
        <v>4</v>
      </c>
      <c r="J4822" s="35" t="n">
        <v>4</v>
      </c>
      <c r="K4822" s="3" t="inlineStr">
        <is>
          <t>marker_616_256562.png</t>
        </is>
      </c>
      <c r="L4822" s="36">
        <f>HYPERLINK("Solo2\" &amp; K4822, "Ver Imagen")</f>
        <v/>
      </c>
      <c r="M4822" t="inlineStr">
        <is>
          <t>Mediana</t>
        </is>
      </c>
    </row>
    <row r="4823">
      <c r="A4823" s="33" t="n">
        <v>4827</v>
      </c>
      <c r="B4823" t="inlineStr">
        <is>
          <t>A-5053__322</t>
        </is>
      </c>
      <c r="C4823" t="n">
        <v>37.2784579018</v>
      </c>
      <c r="D4823" t="n">
        <v>-7.14420638213</v>
      </c>
      <c r="E4823" s="3" t="n">
        <v>4</v>
      </c>
      <c r="F4823" s="2" t="n"/>
      <c r="G4823" s="4" t="n">
        <v>3</v>
      </c>
      <c r="H4823" s="13" t="n">
        <v>5</v>
      </c>
      <c r="I4823" s="34" t="n">
        <v>4</v>
      </c>
      <c r="J4823" s="35" t="n">
        <v>4</v>
      </c>
      <c r="K4823" s="3" t="inlineStr">
        <is>
          <t>marker_534_942471.png</t>
        </is>
      </c>
      <c r="L4823" s="36">
        <f>HYPERLINK("Solo2\" &amp; K4823, "Ver Imagen")</f>
        <v/>
      </c>
      <c r="M4823" t="inlineStr">
        <is>
          <t>Mediana</t>
        </is>
      </c>
    </row>
    <row r="4824">
      <c r="A4824" s="33" t="n">
        <v>4828</v>
      </c>
      <c r="B4824" t="inlineStr">
        <is>
          <t>A-5059__22</t>
        </is>
      </c>
      <c r="C4824" s="1" t="n">
        <v>37.2303209649</v>
      </c>
      <c r="D4824" s="1" t="n">
        <v>-7.06333026611</v>
      </c>
      <c r="E4824" s="3" t="n">
        <v>3</v>
      </c>
      <c r="F4824" s="2" t="n"/>
      <c r="G4824" s="4" t="n">
        <v>4</v>
      </c>
      <c r="H4824" s="13" t="n">
        <v>3</v>
      </c>
      <c r="I4824" s="34" t="n">
        <v>3</v>
      </c>
      <c r="J4824" s="35" t="n">
        <v>3</v>
      </c>
      <c r="K4824" s="42" t="inlineStr">
        <is>
          <t>marker_136_877895.png</t>
        </is>
      </c>
      <c r="L4824" s="36">
        <f>HYPERLINK("Solo2\" &amp; K4824, "Ver Imagen")</f>
        <v/>
      </c>
      <c r="M4824" t="inlineStr">
        <is>
          <t>Mediana</t>
        </is>
      </c>
    </row>
    <row r="4825">
      <c r="A4825" s="33" t="n">
        <v>4829</v>
      </c>
      <c r="B4825" t="inlineStr">
        <is>
          <t>A-495_1__1</t>
        </is>
      </c>
      <c r="C4825" t="n">
        <v>37.4482661582</v>
      </c>
      <c r="D4825" t="n">
        <v>-7.12666294959</v>
      </c>
      <c r="E4825" s="3" t="n">
        <v>2</v>
      </c>
      <c r="F4825" s="2" t="n"/>
      <c r="G4825" s="4" t="n">
        <v>4</v>
      </c>
      <c r="H4825" s="13" t="n">
        <v>3</v>
      </c>
      <c r="I4825" s="34" t="n">
        <v>3</v>
      </c>
      <c r="J4825" s="35" t="n">
        <v>3</v>
      </c>
      <c r="K4825" s="3" t="inlineStr">
        <is>
          <t>marker_939_882242.png</t>
        </is>
      </c>
      <c r="L4825" s="36">
        <f>HYPERLINK("Solo2\" &amp; K4825, "Ver Imagen")</f>
        <v/>
      </c>
      <c r="M4825" t="inlineStr">
        <is>
          <t>Mediana</t>
        </is>
      </c>
    </row>
    <row r="4826">
      <c r="A4826" s="33" t="n">
        <v>4830</v>
      </c>
      <c r="B4826" t="inlineStr">
        <is>
          <t>A-490__123</t>
        </is>
      </c>
      <c r="C4826" t="n">
        <v>37.4514719387</v>
      </c>
      <c r="D4826" t="n">
        <v>-7.15578669007</v>
      </c>
      <c r="E4826" s="3" t="n">
        <v>4</v>
      </c>
      <c r="F4826" s="2" t="n"/>
      <c r="G4826" s="4" t="n">
        <v>5</v>
      </c>
      <c r="H4826" s="13" t="n">
        <v>5</v>
      </c>
      <c r="I4826" s="34" t="n">
        <v>4</v>
      </c>
      <c r="J4826" s="35" t="n">
        <v>4.5</v>
      </c>
      <c r="K4826" s="3" t="inlineStr">
        <is>
          <t>marker_788_651063.png</t>
        </is>
      </c>
      <c r="L4826" s="36">
        <f>HYPERLINK("Solo2\" &amp; K4826, "Ver Imagen")</f>
        <v/>
      </c>
      <c r="M4826" t="inlineStr">
        <is>
          <t>Mediana</t>
        </is>
      </c>
    </row>
    <row r="4827">
      <c r="A4827" s="33" t="n">
        <v>4831</v>
      </c>
      <c r="B4827" t="inlineStr">
        <is>
          <t>A-495R__103</t>
        </is>
      </c>
      <c r="C4827" s="1" t="n">
        <v>37.46378775</v>
      </c>
      <c r="D4827" s="1" t="n">
        <v>-7.11843853978</v>
      </c>
      <c r="E4827" s="3" t="n">
        <v>1</v>
      </c>
      <c r="F4827" s="2" t="n">
        <v>1</v>
      </c>
      <c r="G4827" s="4" t="n"/>
      <c r="H4827" s="13" t="n">
        <v>1</v>
      </c>
      <c r="I4827" s="34" t="n">
        <v>1</v>
      </c>
      <c r="J4827" s="35" t="n">
        <v>1</v>
      </c>
      <c r="K4827" s="2" t="inlineStr">
        <is>
          <t>marker_538_895856.png</t>
        </is>
      </c>
      <c r="L4827" s="36">
        <f>HYPERLINK("Solo2\" &amp; K4827, "Ver Imagen")</f>
        <v/>
      </c>
      <c r="M4827" t="inlineStr">
        <is>
          <t>Mediana</t>
        </is>
      </c>
    </row>
    <row r="4828">
      <c r="A4828" s="33" t="n">
        <v>4832</v>
      </c>
      <c r="B4828" t="inlineStr">
        <is>
          <t>A-5052__451</t>
        </is>
      </c>
      <c r="C4828" s="1" t="n">
        <v>37.2003795936</v>
      </c>
      <c r="D4828" s="1" t="n">
        <v>-7.01668553233</v>
      </c>
      <c r="E4828" s="3" t="n"/>
      <c r="F4828" s="2" t="n">
        <v>1</v>
      </c>
      <c r="G4828" s="4" t="n">
        <v>1</v>
      </c>
      <c r="H4828" s="13" t="n">
        <v>1</v>
      </c>
      <c r="I4828" s="34" t="n">
        <v>1</v>
      </c>
      <c r="J4828" s="35" t="n">
        <v>1</v>
      </c>
      <c r="K4828" s="2" t="inlineStr">
        <is>
          <t>marker_209_963189.png</t>
        </is>
      </c>
      <c r="L4828" s="36">
        <f>HYPERLINK("Solo2\" &amp; K4828, "Ver Imagen")</f>
        <v/>
      </c>
      <c r="M4828" t="inlineStr">
        <is>
          <t>Mediana</t>
        </is>
      </c>
    </row>
    <row r="4829">
      <c r="A4829" s="33" t="n">
        <v>4833</v>
      </c>
      <c r="B4829" t="inlineStr">
        <is>
          <t>A-490__283</t>
        </is>
      </c>
      <c r="C4829" s="1" t="n">
        <v>37.4695597835</v>
      </c>
      <c r="D4829" s="1" t="n">
        <v>-7.18885298694</v>
      </c>
      <c r="E4829" s="3" t="n">
        <v>2</v>
      </c>
      <c r="F4829" s="2" t="n">
        <v>1</v>
      </c>
      <c r="G4829" s="4" t="n"/>
      <c r="H4829" s="13" t="n">
        <v>1</v>
      </c>
      <c r="I4829" s="34" t="n">
        <v>1</v>
      </c>
      <c r="J4829" s="35" t="n">
        <v>1</v>
      </c>
      <c r="K4829" s="2" t="inlineStr">
        <is>
          <t>marker_226_750216.png</t>
        </is>
      </c>
      <c r="L4829" s="36">
        <f>HYPERLINK("Solo2\" &amp; K4829, "Ver Imagen")</f>
        <v/>
      </c>
      <c r="M4829" t="inlineStr">
        <is>
          <t>Mediana</t>
        </is>
      </c>
    </row>
    <row r="4830">
      <c r="A4830" s="33" t="n">
        <v>4834</v>
      </c>
      <c r="B4830" t="inlineStr">
        <is>
          <t>A-490__613</t>
        </is>
      </c>
      <c r="C4830" s="1" t="n">
        <v>37.4934857842</v>
      </c>
      <c r="D4830" s="1" t="n">
        <v>-7.26438150558</v>
      </c>
      <c r="E4830" s="3" t="n"/>
      <c r="F4830" s="2" t="n">
        <v>1</v>
      </c>
      <c r="G4830" s="4" t="n">
        <v>2</v>
      </c>
      <c r="H4830" s="13" t="n">
        <v>2</v>
      </c>
      <c r="I4830" s="34" t="n">
        <v>1</v>
      </c>
      <c r="J4830" s="35" t="n">
        <v>1.5</v>
      </c>
      <c r="K4830" s="2" t="inlineStr">
        <is>
          <t>marker_730_820233.png</t>
        </is>
      </c>
      <c r="L4830" s="36">
        <f>HYPERLINK("Solo2\" &amp; K4830, "Ver Imagen")</f>
        <v/>
      </c>
      <c r="M4830" t="inlineStr">
        <is>
          <t>Mediana</t>
        </is>
      </c>
    </row>
    <row r="4831">
      <c r="A4831" s="33" t="n">
        <v>4835</v>
      </c>
      <c r="B4831" t="inlineStr">
        <is>
          <t>A-492__230</t>
        </is>
      </c>
      <c r="C4831" s="1" t="n">
        <v>37.2836129473</v>
      </c>
      <c r="D4831" s="1" t="n">
        <v>-7.03390271002</v>
      </c>
      <c r="E4831" s="3" t="n">
        <v>2</v>
      </c>
      <c r="F4831" s="2" t="n">
        <v>2</v>
      </c>
      <c r="G4831" s="4" t="n"/>
      <c r="H4831" s="13" t="n">
        <v>2</v>
      </c>
      <c r="I4831" s="34" t="n">
        <v>1</v>
      </c>
      <c r="J4831" s="35" t="n">
        <v>1</v>
      </c>
      <c r="K4831" s="2" t="inlineStr">
        <is>
          <t>marker_319_835795.png</t>
        </is>
      </c>
      <c r="L4831" s="36">
        <f>HYPERLINK("Solo2\" &amp; K4831, "Ver Imagen")</f>
        <v/>
      </c>
      <c r="M4831" t="inlineStr">
        <is>
          <t>Mediana</t>
        </is>
      </c>
    </row>
    <row r="4832">
      <c r="A4832" s="33" t="n">
        <v>4836</v>
      </c>
      <c r="B4832" t="inlineStr">
        <is>
          <t>A-492__393</t>
        </is>
      </c>
      <c r="C4832" s="1" t="n">
        <v>37.307519867</v>
      </c>
      <c r="D4832" s="1" t="n">
        <v>-7.05696906399</v>
      </c>
      <c r="E4832" s="3" t="n">
        <v>2</v>
      </c>
      <c r="F4832" s="2" t="n">
        <v>2</v>
      </c>
      <c r="G4832" s="4" t="n"/>
      <c r="H4832" s="13" t="n">
        <v>2</v>
      </c>
      <c r="I4832" s="34" t="n">
        <v>2</v>
      </c>
      <c r="J4832" s="35" t="n">
        <v>2</v>
      </c>
      <c r="K4832" s="2" t="inlineStr">
        <is>
          <t>marker_880_839070.png</t>
        </is>
      </c>
      <c r="L4832" s="36">
        <f>HYPERLINK("Solo2\" &amp; K4832, "Ver Imagen")</f>
        <v/>
      </c>
      <c r="M4832" t="inlineStr">
        <is>
          <t>Mediana</t>
        </is>
      </c>
    </row>
    <row r="4833">
      <c r="A4833" s="33" t="n">
        <v>4837</v>
      </c>
      <c r="B4833" t="inlineStr">
        <is>
          <t>A-5050__88</t>
        </is>
      </c>
      <c r="C4833" s="1" t="n">
        <v>37.1991381661</v>
      </c>
      <c r="D4833" s="1" t="n">
        <v>-7.00933115642</v>
      </c>
      <c r="E4833" s="3" t="n">
        <v>2</v>
      </c>
      <c r="F4833" s="2" t="n">
        <v>3</v>
      </c>
      <c r="G4833" s="4" t="n"/>
      <c r="H4833" s="13" t="n">
        <v>3</v>
      </c>
      <c r="I4833" s="34" t="n">
        <v>4</v>
      </c>
      <c r="J4833" s="35" t="n">
        <v>3</v>
      </c>
      <c r="K4833" s="2" t="inlineStr">
        <is>
          <t>marker_335_947435.png</t>
        </is>
      </c>
      <c r="L4833" s="36">
        <f>HYPERLINK("Solo2\" &amp; K4833, "Ver Imagen")</f>
        <v/>
      </c>
      <c r="M4833" t="inlineStr">
        <is>
          <t>Mediana</t>
        </is>
      </c>
    </row>
    <row r="4834">
      <c r="A4834" s="33" t="n">
        <v>4838</v>
      </c>
      <c r="B4834" t="inlineStr">
        <is>
          <t>A-5053__212</t>
        </is>
      </c>
      <c r="C4834" s="1" t="n">
        <v>37.2607483799</v>
      </c>
      <c r="D4834" s="1" t="n">
        <v>-7.12943163557</v>
      </c>
      <c r="E4834" s="3" t="n"/>
      <c r="F4834" s="2" t="n">
        <v>3</v>
      </c>
      <c r="G4834" s="4" t="n">
        <v>2</v>
      </c>
      <c r="H4834" s="13" t="n">
        <v>3</v>
      </c>
      <c r="I4834" s="34" t="n">
        <v>3</v>
      </c>
      <c r="J4834" s="35" t="n">
        <v>3</v>
      </c>
      <c r="K4834" s="2" t="inlineStr">
        <is>
          <t>marker_384_965769.png</t>
        </is>
      </c>
      <c r="L4834" s="36">
        <f>HYPERLINK("Solo2\" &amp; K4834, "Ver Imagen")</f>
        <v/>
      </c>
      <c r="M4834" t="inlineStr">
        <is>
          <t>Mediana</t>
        </is>
      </c>
    </row>
    <row r="4835">
      <c r="A4835" s="33" t="n">
        <v>4839</v>
      </c>
      <c r="B4835" t="inlineStr">
        <is>
          <t>A-5053__211</t>
        </is>
      </c>
      <c r="C4835" s="1" t="n">
        <v>37.2605413918</v>
      </c>
      <c r="D4835" s="1" t="n">
        <v>-7.12932281095</v>
      </c>
      <c r="E4835" s="3" t="n"/>
      <c r="F4835" s="2" t="n">
        <v>2</v>
      </c>
      <c r="G4835" s="4" t="n">
        <v>2</v>
      </c>
      <c r="H4835" s="13" t="n">
        <v>3</v>
      </c>
      <c r="I4835" s="34" t="n">
        <v>3</v>
      </c>
      <c r="J4835" s="35" t="n">
        <v>2.5</v>
      </c>
      <c r="K4835" s="2" t="inlineStr">
        <is>
          <t>marker_750_965779.png</t>
        </is>
      </c>
      <c r="L4835" s="36">
        <f>HYPERLINK("Solo2\" &amp; K4835, "Ver Imagen")</f>
        <v/>
      </c>
      <c r="M4835" t="inlineStr">
        <is>
          <t>Mediana</t>
        </is>
      </c>
    </row>
    <row r="4836">
      <c r="A4836" s="33" t="n">
        <v>4840</v>
      </c>
      <c r="B4836" t="inlineStr">
        <is>
          <t>A-5053__174</t>
        </is>
      </c>
      <c r="C4836" s="1" t="n">
        <v>37.2535318241</v>
      </c>
      <c r="D4836" s="1" t="n">
        <v>-7.12674449483</v>
      </c>
      <c r="E4836" s="3" t="n">
        <v>2</v>
      </c>
      <c r="F4836" s="2" t="n">
        <v>2</v>
      </c>
      <c r="G4836" s="4" t="n"/>
      <c r="H4836" s="13" t="n">
        <v>2</v>
      </c>
      <c r="I4836" s="34" t="n">
        <v>2</v>
      </c>
      <c r="J4836" s="35" t="n">
        <v>2</v>
      </c>
      <c r="K4836" s="2" t="inlineStr">
        <is>
          <t>marker_843_966152.png</t>
        </is>
      </c>
      <c r="L4836" s="36">
        <f>HYPERLINK("Solo2\" &amp; K4836, "Ver Imagen")</f>
        <v/>
      </c>
      <c r="M4836" t="inlineStr">
        <is>
          <t>Mediana</t>
        </is>
      </c>
    </row>
    <row r="4837">
      <c r="A4837" s="33" t="n">
        <v>4841</v>
      </c>
      <c r="B4837" t="inlineStr">
        <is>
          <t>A-5058__42</t>
        </is>
      </c>
      <c r="C4837" s="1" t="n">
        <v>37.2246240072</v>
      </c>
      <c r="D4837" s="1" t="n">
        <v>-7.0374968126</v>
      </c>
      <c r="E4837" s="3" t="n">
        <v>2</v>
      </c>
      <c r="F4837" s="2" t="n">
        <v>2</v>
      </c>
      <c r="G4837" s="4" t="n"/>
      <c r="H4837" s="13" t="n">
        <v>2</v>
      </c>
      <c r="I4837" s="34" t="n">
        <v>2</v>
      </c>
      <c r="J4837" s="35" t="n">
        <v>2</v>
      </c>
      <c r="K4837" s="2" t="inlineStr">
        <is>
          <t>marker_185_380325.png</t>
        </is>
      </c>
      <c r="L4837" s="36">
        <f>HYPERLINK("Solo2\" &amp; K4837, "Ver Imagen")</f>
        <v/>
      </c>
      <c r="M4837" t="inlineStr">
        <is>
          <t>Mediana</t>
        </is>
      </c>
    </row>
    <row r="4838">
      <c r="A4838" s="33" t="n">
        <v>4842</v>
      </c>
      <c r="B4838" t="inlineStr">
        <is>
          <t>A-499__100</t>
        </is>
      </c>
      <c r="C4838" s="1" t="n">
        <v>37.49879425</v>
      </c>
      <c r="D4838" s="1" t="n">
        <v>-7.2675144116</v>
      </c>
      <c r="E4838" s="3" t="n">
        <v>2</v>
      </c>
      <c r="F4838" s="2" t="n">
        <v>2</v>
      </c>
      <c r="G4838" s="4" t="n"/>
      <c r="H4838" s="13" t="n">
        <v>2</v>
      </c>
      <c r="I4838" s="34" t="n">
        <v>1</v>
      </c>
      <c r="J4838" s="35" t="n">
        <v>2</v>
      </c>
      <c r="K4838" s="2" t="inlineStr">
        <is>
          <t>marker_474_793233.png</t>
        </is>
      </c>
      <c r="L4838" s="36">
        <f>HYPERLINK("Solo2\" &amp; K4838, "Ver Imagen")</f>
        <v/>
      </c>
      <c r="M4838" t="inlineStr">
        <is>
          <t>Mediana</t>
        </is>
      </c>
    </row>
    <row r="4839">
      <c r="A4839" s="33" t="n">
        <v>4843</v>
      </c>
      <c r="B4839" t="inlineStr">
        <is>
          <t>A-495R__118</t>
        </is>
      </c>
      <c r="C4839" s="1" t="n">
        <v>37.4652159223</v>
      </c>
      <c r="D4839" s="1" t="n">
        <v>-7.12175718826</v>
      </c>
      <c r="E4839" s="3" t="n">
        <v>3</v>
      </c>
      <c r="F4839" s="2" t="n">
        <v>3</v>
      </c>
      <c r="G4839" s="4" t="n"/>
      <c r="H4839" s="13" t="n">
        <v>2</v>
      </c>
      <c r="I4839" s="34" t="n">
        <v>4</v>
      </c>
      <c r="J4839" s="35" t="n">
        <v>3</v>
      </c>
      <c r="K4839" s="2" t="inlineStr">
        <is>
          <t>marker_933_895406.png</t>
        </is>
      </c>
      <c r="L4839" s="36">
        <f>HYPERLINK("Solo2\" &amp; K4839, "Ver Imagen")</f>
        <v/>
      </c>
      <c r="M4839" t="inlineStr">
        <is>
          <t>Mediana</t>
        </is>
      </c>
    </row>
    <row r="4840">
      <c r="A4840" s="33" t="n">
        <v>4844</v>
      </c>
      <c r="B4840" t="inlineStr">
        <is>
          <t>A-497__5</t>
        </is>
      </c>
      <c r="C4840" s="1" t="n">
        <v>37.2668043763</v>
      </c>
      <c r="D4840" s="1" t="n">
        <v>-6.95727944592</v>
      </c>
      <c r="E4840" s="3" t="n">
        <v>3</v>
      </c>
      <c r="F4840" s="2" t="n">
        <v>2</v>
      </c>
      <c r="G4840" s="4" t="n"/>
      <c r="H4840" s="13" t="n">
        <v>2</v>
      </c>
      <c r="I4840" s="34" t="n">
        <v>2</v>
      </c>
      <c r="J4840" s="35" t="n">
        <v>2</v>
      </c>
      <c r="K4840" s="2" t="inlineStr">
        <is>
          <t>marker_478_944027.png</t>
        </is>
      </c>
      <c r="L4840" s="36">
        <f>HYPERLINK("Solo2\" &amp; K4840, "Ver Imagen")</f>
        <v/>
      </c>
      <c r="M4840" t="inlineStr">
        <is>
          <t>Mediana</t>
        </is>
      </c>
    </row>
    <row r="4841">
      <c r="A4841" s="33" t="n">
        <v>4845</v>
      </c>
      <c r="B4841" t="inlineStr">
        <is>
          <t>A-5053__281</t>
        </is>
      </c>
      <c r="C4841" s="1" t="n">
        <v>37.2708683725</v>
      </c>
      <c r="D4841" s="1" t="n">
        <v>-7.14020272654</v>
      </c>
      <c r="E4841" s="3" t="n"/>
      <c r="F4841" s="2" t="n">
        <v>4</v>
      </c>
      <c r="G4841" s="4" t="n">
        <v>3</v>
      </c>
      <c r="H4841" s="13" t="n">
        <v>3</v>
      </c>
      <c r="I4841" s="34" t="n">
        <v>4</v>
      </c>
      <c r="J4841" s="35" t="n">
        <v>3.5</v>
      </c>
      <c r="K4841" s="2" t="inlineStr">
        <is>
          <t>marker_903_965049.png</t>
        </is>
      </c>
      <c r="L4841" s="36">
        <f>HYPERLINK("Solo2\" &amp; K4841, "Ver Imagen")</f>
        <v/>
      </c>
      <c r="M4841" t="inlineStr">
        <is>
          <t>Mediana</t>
        </is>
      </c>
    </row>
    <row r="4842">
      <c r="A4842" s="33" t="n">
        <v>4846</v>
      </c>
      <c r="B4842" t="inlineStr">
        <is>
          <t>A-5053__214</t>
        </is>
      </c>
      <c r="C4842" s="1" t="n">
        <v>37.2610798567</v>
      </c>
      <c r="D4842" s="1" t="n">
        <v>-7.129664443</v>
      </c>
      <c r="E4842" s="3" t="n"/>
      <c r="F4842" s="2" t="n">
        <v>3</v>
      </c>
      <c r="G4842" s="4" t="n">
        <v>3</v>
      </c>
      <c r="H4842" s="13" t="n">
        <v>3</v>
      </c>
      <c r="I4842" s="34" t="n">
        <v>4</v>
      </c>
      <c r="J4842" s="37" t="n">
        <v>4</v>
      </c>
      <c r="K4842" s="2" t="inlineStr">
        <is>
          <t>marker_904_965747.png</t>
        </is>
      </c>
      <c r="L4842" s="36">
        <f>HYPERLINK("Solo2\" &amp; K4842, "Ver Imagen")</f>
        <v/>
      </c>
      <c r="M4842" s="37" t="inlineStr">
        <is>
          <t>Modificada</t>
        </is>
      </c>
    </row>
    <row r="4843">
      <c r="A4843" s="33" t="n">
        <v>4847</v>
      </c>
      <c r="B4843" t="inlineStr">
        <is>
          <t>A-490__118</t>
        </is>
      </c>
      <c r="C4843" s="1" t="n">
        <v>37.4511884281</v>
      </c>
      <c r="D4843" s="1" t="n">
        <v>-7.15448583629</v>
      </c>
      <c r="E4843" s="3" t="n"/>
      <c r="F4843" s="2" t="n">
        <v>4</v>
      </c>
      <c r="G4843" s="4" t="n">
        <v>4</v>
      </c>
      <c r="H4843" s="13" t="n">
        <v>4</v>
      </c>
      <c r="I4843" s="34" t="n">
        <v>5</v>
      </c>
      <c r="J4843" s="35" t="n">
        <v>4</v>
      </c>
      <c r="K4843" s="2" t="inlineStr">
        <is>
          <t>marker_320_739948.png</t>
        </is>
      </c>
      <c r="L4843" s="36">
        <f>HYPERLINK("Solo2\" &amp; K4843, "Ver Imagen")</f>
        <v/>
      </c>
      <c r="M4843" t="inlineStr">
        <is>
          <t>Mediana</t>
        </is>
      </c>
    </row>
    <row r="4844">
      <c r="A4844" s="33" t="n">
        <v>4848</v>
      </c>
      <c r="B4844" t="inlineStr">
        <is>
          <t>A-490__91</t>
        </is>
      </c>
      <c r="C4844" s="1" t="n">
        <v>37.4487511402</v>
      </c>
      <c r="D4844" s="1" t="n">
        <v>-7.14849575352</v>
      </c>
      <c r="E4844" s="3" t="n">
        <v>2</v>
      </c>
      <c r="F4844" s="2" t="n">
        <v>4</v>
      </c>
      <c r="G4844" s="4" t="n"/>
      <c r="H4844" s="13" t="n">
        <v>3</v>
      </c>
      <c r="I4844" s="34" t="n">
        <v>3</v>
      </c>
      <c r="J4844" s="35" t="n">
        <v>3</v>
      </c>
      <c r="K4844" s="2" t="inlineStr">
        <is>
          <t>marker_132_738995.png</t>
        </is>
      </c>
      <c r="L4844" s="36">
        <f>HYPERLINK("Solo2\" &amp; K4844, "Ver Imagen")</f>
        <v/>
      </c>
      <c r="M4844" t="inlineStr">
        <is>
          <t>Mediana</t>
        </is>
      </c>
    </row>
    <row r="4845">
      <c r="A4845" s="33" t="n">
        <v>4849</v>
      </c>
      <c r="B4845" t="inlineStr">
        <is>
          <t>A-490__120</t>
        </is>
      </c>
      <c r="C4845" s="1" t="n">
        <v>37.4513133194</v>
      </c>
      <c r="D4845" s="1" t="n">
        <v>-7.15504420969</v>
      </c>
      <c r="E4845" s="3" t="n">
        <v>2</v>
      </c>
      <c r="F4845" s="2" t="n">
        <v>3</v>
      </c>
      <c r="G4845" s="4" t="n"/>
      <c r="H4845" s="13" t="n">
        <v>4</v>
      </c>
      <c r="I4845" s="34" t="n">
        <v>4</v>
      </c>
      <c r="J4845" s="35" t="n">
        <v>3.5</v>
      </c>
      <c r="K4845" s="2" t="inlineStr">
        <is>
          <t>marker_114_740016.png</t>
        </is>
      </c>
      <c r="L4845" s="36">
        <f>HYPERLINK("Solo2\" &amp; K4845, "Ver Imagen")</f>
        <v/>
      </c>
      <c r="M4845" t="inlineStr">
        <is>
          <t>Mediana</t>
        </is>
      </c>
    </row>
    <row r="4846">
      <c r="A4846" s="33" t="n">
        <v>4850</v>
      </c>
      <c r="B4846" t="inlineStr">
        <is>
          <t>A-490__303</t>
        </is>
      </c>
      <c r="C4846" s="1" t="n">
        <v>37.4719019903</v>
      </c>
      <c r="D4846" s="1" t="n">
        <v>-7.19302470897</v>
      </c>
      <c r="E4846" s="3" t="n">
        <v>1</v>
      </c>
      <c r="F4846" s="2" t="n">
        <v>2</v>
      </c>
      <c r="G4846" s="4" t="n"/>
      <c r="H4846" s="13" t="n">
        <v>2</v>
      </c>
      <c r="I4846" s="34" t="n">
        <v>1</v>
      </c>
      <c r="J4846" s="35" t="n">
        <v>1.5</v>
      </c>
      <c r="K4846" s="2" t="inlineStr">
        <is>
          <t>marker_894_750623.png</t>
        </is>
      </c>
      <c r="L4846" s="36">
        <f>HYPERLINK("Solo2\" &amp; K4846, "Ver Imagen")</f>
        <v/>
      </c>
      <c r="M4846" t="inlineStr">
        <is>
          <t>Mediana</t>
        </is>
      </c>
    </row>
    <row r="4847">
      <c r="A4847" s="33" t="n">
        <v>4851</v>
      </c>
      <c r="B4847" t="inlineStr">
        <is>
          <t>A-490__304</t>
        </is>
      </c>
      <c r="C4847" s="1" t="n">
        <v>37.4719830104</v>
      </c>
      <c r="D4847" s="1" t="n">
        <v>-7.19316023656</v>
      </c>
      <c r="E4847" s="3" t="n">
        <v>2</v>
      </c>
      <c r="F4847" s="2" t="n">
        <v>4</v>
      </c>
      <c r="G4847" s="4" t="n"/>
      <c r="H4847" s="13" t="n">
        <v>3</v>
      </c>
      <c r="I4847" s="34" t="n">
        <v>3</v>
      </c>
      <c r="J4847" s="35" t="n">
        <v>3</v>
      </c>
      <c r="K4847" s="2" t="inlineStr">
        <is>
          <t>marker_904_750639.png</t>
        </is>
      </c>
      <c r="L4847" s="36">
        <f>HYPERLINK("Solo2\" &amp; K4847, "Ver Imagen")</f>
        <v/>
      </c>
      <c r="M4847" t="inlineStr">
        <is>
          <t>Mediana</t>
        </is>
      </c>
    </row>
    <row r="4848">
      <c r="A4848" s="33" t="n">
        <v>4852</v>
      </c>
      <c r="B4848" t="inlineStr">
        <is>
          <t>A-490__336</t>
        </is>
      </c>
      <c r="C4848" s="1" t="n">
        <v>37.4755227156</v>
      </c>
      <c r="D4848" s="1" t="n">
        <v>-7.19994589649</v>
      </c>
      <c r="E4848" s="3" t="n">
        <v>1</v>
      </c>
      <c r="F4848" s="2" t="n">
        <v>3</v>
      </c>
      <c r="G4848" s="4" t="n"/>
      <c r="H4848" s="13" t="n">
        <v>3</v>
      </c>
      <c r="I4848" s="34" t="n">
        <v>3</v>
      </c>
      <c r="J4848" s="35" t="n">
        <v>3</v>
      </c>
      <c r="K4848" s="2" t="inlineStr">
        <is>
          <t>marker_903_751408.png</t>
        </is>
      </c>
      <c r="L4848" s="36">
        <f>HYPERLINK("Solo2\" &amp; K4848, "Ver Imagen")</f>
        <v/>
      </c>
      <c r="M4848" t="inlineStr">
        <is>
          <t>Mediana</t>
        </is>
      </c>
    </row>
    <row r="4849">
      <c r="A4849" s="33" t="n">
        <v>4853</v>
      </c>
      <c r="B4849" t="inlineStr">
        <is>
          <t>A-490__205</t>
        </is>
      </c>
      <c r="C4849" s="1" t="n">
        <v>37.4605131941</v>
      </c>
      <c r="D4849" s="1" t="n">
        <v>-7.17267898329</v>
      </c>
      <c r="E4849" s="3" t="n"/>
      <c r="F4849" s="2" t="n">
        <v>3</v>
      </c>
      <c r="G4849" s="4" t="n">
        <v>2</v>
      </c>
      <c r="H4849" s="13" t="n">
        <v>3</v>
      </c>
      <c r="I4849" s="34" t="n">
        <v>3</v>
      </c>
      <c r="J4849" s="35" t="n">
        <v>3</v>
      </c>
      <c r="K4849" s="2" t="inlineStr">
        <is>
          <t>marker_158_742483.png</t>
        </is>
      </c>
      <c r="L4849" s="36">
        <f>HYPERLINK("Solo2\" &amp; K4849, "Ver Imagen")</f>
        <v/>
      </c>
      <c r="M4849" t="inlineStr">
        <is>
          <t>Mediana</t>
        </is>
      </c>
    </row>
    <row r="4850">
      <c r="A4850" s="33" t="n">
        <v>4854</v>
      </c>
      <c r="B4850" t="inlineStr">
        <is>
          <t>A-490__270</t>
        </is>
      </c>
      <c r="C4850" s="1" t="n">
        <v>37.4680888325</v>
      </c>
      <c r="D4850" s="1" t="n">
        <v>-7.18613726408</v>
      </c>
      <c r="E4850" s="3" t="n">
        <v>1</v>
      </c>
      <c r="F4850" s="2" t="n">
        <v>3</v>
      </c>
      <c r="G4850" s="4" t="n"/>
      <c r="H4850" s="13" t="n">
        <v>2</v>
      </c>
      <c r="I4850" s="34" t="n">
        <v>1</v>
      </c>
      <c r="J4850" s="35" t="n">
        <v>1.5</v>
      </c>
      <c r="K4850" s="2" t="inlineStr">
        <is>
          <t>marker_868_749899.png</t>
        </is>
      </c>
      <c r="L4850" s="36">
        <f>HYPERLINK("Solo2\" &amp; K4850, "Ver Imagen")</f>
        <v/>
      </c>
      <c r="M4850" t="inlineStr">
        <is>
          <t>Mediana</t>
        </is>
      </c>
    </row>
    <row r="4851">
      <c r="A4851" s="33" t="n">
        <v>4855</v>
      </c>
      <c r="B4851" t="inlineStr">
        <is>
          <t>A-490__271</t>
        </is>
      </c>
      <c r="C4851" s="1" t="n">
        <v>37.4682141775</v>
      </c>
      <c r="D4851" s="1" t="n">
        <v>-7.18637148141</v>
      </c>
      <c r="E4851" s="3" t="n">
        <v>1</v>
      </c>
      <c r="F4851" s="2" t="n">
        <v>3</v>
      </c>
      <c r="G4851" s="4" t="n"/>
      <c r="H4851" s="13" t="n">
        <v>2</v>
      </c>
      <c r="I4851" s="34" t="n">
        <v>2</v>
      </c>
      <c r="J4851" s="35" t="n">
        <v>2</v>
      </c>
      <c r="K4851" s="2" t="inlineStr">
        <is>
          <t>marker_276_749922.png</t>
        </is>
      </c>
      <c r="L4851" s="36">
        <f>HYPERLINK("Solo2\" &amp; K4851, "Ver Imagen")</f>
        <v/>
      </c>
      <c r="M4851" t="inlineStr">
        <is>
          <t>Mediana</t>
        </is>
      </c>
    </row>
    <row r="4852">
      <c r="A4852" s="33" t="n">
        <v>4856</v>
      </c>
      <c r="B4852" t="inlineStr">
        <is>
          <t>A-490__272</t>
        </is>
      </c>
      <c r="C4852" s="1" t="n">
        <v>37.4683300106</v>
      </c>
      <c r="D4852" s="1" t="n">
        <v>-7.18658736787</v>
      </c>
      <c r="E4852" s="3" t="n">
        <v>1</v>
      </c>
      <c r="F4852" s="2" t="n">
        <v>3</v>
      </c>
      <c r="G4852" s="4" t="n"/>
      <c r="H4852" s="13" t="n">
        <v>1</v>
      </c>
      <c r="I4852" s="34" t="n">
        <v>2</v>
      </c>
      <c r="J4852" s="35" t="n">
        <v>1.5</v>
      </c>
      <c r="K4852" s="2" t="inlineStr">
        <is>
          <t>marker_808_749944.png</t>
        </is>
      </c>
      <c r="L4852" s="36">
        <f>HYPERLINK("Solo2\" &amp; K4852, "Ver Imagen")</f>
        <v/>
      </c>
      <c r="M4852" t="inlineStr">
        <is>
          <t>Mediana</t>
        </is>
      </c>
    </row>
    <row r="4853">
      <c r="A4853" s="33" t="n">
        <v>4857</v>
      </c>
      <c r="B4853" t="inlineStr">
        <is>
          <t>A-490__273</t>
        </is>
      </c>
      <c r="C4853" s="1" t="n">
        <v>37.4684597786</v>
      </c>
      <c r="D4853" s="1" t="n">
        <v>-7.18682609132</v>
      </c>
      <c r="E4853" s="3" t="n">
        <v>1</v>
      </c>
      <c r="F4853" s="2" t="n">
        <v>2</v>
      </c>
      <c r="G4853" s="4" t="n"/>
      <c r="H4853" s="13" t="n">
        <v>2</v>
      </c>
      <c r="I4853" s="34" t="n">
        <v>1</v>
      </c>
      <c r="J4853" s="35" t="n">
        <v>1.5</v>
      </c>
      <c r="K4853" s="2" t="inlineStr">
        <is>
          <t>marker_284_749969.png</t>
        </is>
      </c>
      <c r="L4853" s="36">
        <f>HYPERLINK("Solo2\" &amp; K4853, "Ver Imagen")</f>
        <v/>
      </c>
      <c r="M4853" t="inlineStr">
        <is>
          <t>Mediana</t>
        </is>
      </c>
    </row>
    <row r="4854">
      <c r="A4854" s="33" t="n">
        <v>4858</v>
      </c>
      <c r="B4854" t="inlineStr">
        <is>
          <t>A-490__274</t>
        </is>
      </c>
      <c r="C4854" s="1" t="n">
        <v>37.4685547297</v>
      </c>
      <c r="D4854" s="1" t="n">
        <v>-7.18699940256</v>
      </c>
      <c r="E4854" s="3" t="n">
        <v>1</v>
      </c>
      <c r="F4854" s="2" t="n">
        <v>3</v>
      </c>
      <c r="G4854" s="4" t="n"/>
      <c r="H4854" s="13" t="n">
        <v>1</v>
      </c>
      <c r="I4854" s="34" t="n">
        <v>1</v>
      </c>
      <c r="J4854" s="35" t="n">
        <v>1</v>
      </c>
      <c r="K4854" s="2" t="inlineStr">
        <is>
          <t>marker_377_749984.png</t>
        </is>
      </c>
      <c r="L4854" s="36">
        <f>HYPERLINK("Solo2\" &amp; K4854, "Ver Imagen")</f>
        <v/>
      </c>
      <c r="M4854" t="inlineStr">
        <is>
          <t>Mediana</t>
        </is>
      </c>
    </row>
    <row r="4855">
      <c r="A4855" s="33" t="n">
        <v>4859</v>
      </c>
      <c r="B4855" t="inlineStr">
        <is>
          <t>A-490__275</t>
        </is>
      </c>
      <c r="C4855" s="1" t="n">
        <v>37.468650296</v>
      </c>
      <c r="D4855" s="1" t="n">
        <v>-7.18717395097</v>
      </c>
      <c r="E4855" s="3" t="n">
        <v>1</v>
      </c>
      <c r="F4855" s="2" t="n">
        <v>2</v>
      </c>
      <c r="G4855" s="4" t="n"/>
      <c r="H4855" s="13" t="n">
        <v>1</v>
      </c>
      <c r="I4855" s="34" t="n">
        <v>1</v>
      </c>
      <c r="J4855" s="35" t="n">
        <v>1</v>
      </c>
      <c r="K4855" s="2" t="inlineStr">
        <is>
          <t>marker_978_750010.png</t>
        </is>
      </c>
      <c r="L4855" s="36">
        <f>HYPERLINK("Solo2\" &amp; K4855, "Ver Imagen")</f>
        <v/>
      </c>
      <c r="M4855" t="inlineStr">
        <is>
          <t>Mediana</t>
        </is>
      </c>
    </row>
    <row r="4856">
      <c r="A4856" s="33" t="n">
        <v>4860</v>
      </c>
      <c r="B4856" t="inlineStr">
        <is>
          <t>A-490__276</t>
        </is>
      </c>
      <c r="C4856" s="1" t="n">
        <v>37.4687399172</v>
      </c>
      <c r="D4856" s="1" t="n">
        <v>-7.18733800622</v>
      </c>
      <c r="E4856" s="3" t="n">
        <v>1</v>
      </c>
      <c r="F4856" s="2" t="n">
        <v>3</v>
      </c>
      <c r="G4856" s="4" t="n"/>
      <c r="H4856" s="13" t="n">
        <v>2</v>
      </c>
      <c r="I4856" s="34" t="n">
        <v>2</v>
      </c>
      <c r="J4856" s="35" t="n">
        <v>2</v>
      </c>
      <c r="K4856" s="2" t="inlineStr">
        <is>
          <t>marker_383_750024.png</t>
        </is>
      </c>
      <c r="L4856" s="36">
        <f>HYPERLINK("Solo2\" &amp; K4856, "Ver Imagen")</f>
        <v/>
      </c>
      <c r="M4856" t="inlineStr">
        <is>
          <t>Mediana</t>
        </is>
      </c>
    </row>
    <row r="4857">
      <c r="A4857" s="33" t="n">
        <v>4861</v>
      </c>
      <c r="B4857" t="inlineStr">
        <is>
          <t>A-490__277</t>
        </is>
      </c>
      <c r="C4857" s="1" t="n">
        <v>37.4688546035</v>
      </c>
      <c r="D4857" s="1" t="n">
        <v>-7.18754834922</v>
      </c>
      <c r="E4857" s="3" t="n">
        <v>2</v>
      </c>
      <c r="F4857" s="2" t="n">
        <v>4</v>
      </c>
      <c r="G4857" s="4" t="n"/>
      <c r="H4857" s="13" t="n">
        <v>3</v>
      </c>
      <c r="I4857" s="34" t="n">
        <v>3</v>
      </c>
      <c r="J4857" s="35" t="n">
        <v>3</v>
      </c>
      <c r="K4857" s="2" t="inlineStr">
        <is>
          <t>marker_357_750049.png</t>
        </is>
      </c>
      <c r="L4857" s="36">
        <f>HYPERLINK("Solo2\" &amp; K4857, "Ver Imagen")</f>
        <v/>
      </c>
      <c r="M4857" t="inlineStr">
        <is>
          <t>Mediana</t>
        </is>
      </c>
    </row>
    <row r="4858">
      <c r="A4858" s="33" t="n">
        <v>4862</v>
      </c>
      <c r="B4858" t="inlineStr">
        <is>
          <t>A-490__278</t>
        </is>
      </c>
      <c r="C4858" s="1" t="n">
        <v>37.4690051859</v>
      </c>
      <c r="D4858" s="1" t="n">
        <v>-7.18782562363</v>
      </c>
      <c r="E4858" s="3" t="n">
        <v>1</v>
      </c>
      <c r="F4858" s="2" t="n">
        <v>2</v>
      </c>
      <c r="G4858" s="4" t="n"/>
      <c r="H4858" s="13" t="n">
        <v>2</v>
      </c>
      <c r="I4858" s="34" t="n">
        <v>2</v>
      </c>
      <c r="J4858" s="35" t="n">
        <v>2</v>
      </c>
      <c r="K4858" s="2" t="inlineStr">
        <is>
          <t>marker_577_750067.png</t>
        </is>
      </c>
      <c r="L4858" s="36">
        <f>HYPERLINK("Solo2\" &amp; K4858, "Ver Imagen")</f>
        <v/>
      </c>
      <c r="M4858" t="inlineStr">
        <is>
          <t>Mediana</t>
        </is>
      </c>
    </row>
    <row r="4859">
      <c r="A4859" s="33" t="n">
        <v>4863</v>
      </c>
      <c r="B4859" t="inlineStr">
        <is>
          <t>A-490__279</t>
        </is>
      </c>
      <c r="C4859" s="1" t="n">
        <v>37.4691347214</v>
      </c>
      <c r="D4859" s="1" t="n">
        <v>-7.18806569138</v>
      </c>
      <c r="E4859" s="3" t="n">
        <v>1</v>
      </c>
      <c r="F4859" s="2" t="n">
        <v>2</v>
      </c>
      <c r="G4859" s="4" t="n"/>
      <c r="H4859" s="13" t="n">
        <v>2</v>
      </c>
      <c r="I4859" s="34" t="n">
        <v>1</v>
      </c>
      <c r="J4859" s="35" t="n">
        <v>1.5</v>
      </c>
      <c r="K4859" s="2" t="inlineStr">
        <is>
          <t>marker_554_750095.png</t>
        </is>
      </c>
      <c r="L4859" s="36">
        <f>HYPERLINK("Solo2\" &amp; K4859, "Ver Imagen")</f>
        <v/>
      </c>
      <c r="M4859" t="inlineStr">
        <is>
          <t>Mediana</t>
        </is>
      </c>
    </row>
    <row r="4860">
      <c r="A4860" s="33" t="n">
        <v>4864</v>
      </c>
      <c r="B4860" t="inlineStr">
        <is>
          <t>A-490__280</t>
        </is>
      </c>
      <c r="C4860" s="1" t="n">
        <v>37.4692146622</v>
      </c>
      <c r="D4860" s="1" t="n">
        <v>-7.1882140793</v>
      </c>
      <c r="E4860" s="3" t="n">
        <v>2</v>
      </c>
      <c r="F4860" s="2" t="n">
        <v>3</v>
      </c>
      <c r="G4860" s="4" t="n"/>
      <c r="H4860" s="13" t="n">
        <v>2</v>
      </c>
      <c r="I4860" s="34" t="n">
        <v>2</v>
      </c>
      <c r="J4860" s="35" t="n">
        <v>2</v>
      </c>
      <c r="K4860" s="2" t="inlineStr">
        <is>
          <t>marker_348_750124.png</t>
        </is>
      </c>
      <c r="L4860" s="36">
        <f>HYPERLINK("Solo2\" &amp; K4860, "Ver Imagen")</f>
        <v/>
      </c>
      <c r="M4860" t="inlineStr">
        <is>
          <t>Mediana</t>
        </is>
      </c>
    </row>
    <row r="4861">
      <c r="A4861" s="33" t="n">
        <v>4865</v>
      </c>
      <c r="B4861" t="inlineStr">
        <is>
          <t>A-490__281</t>
        </is>
      </c>
      <c r="C4861" s="1" t="n">
        <v>37.4693161694</v>
      </c>
      <c r="D4861" s="1" t="n">
        <v>-7.18840212135</v>
      </c>
      <c r="E4861" s="3" t="n">
        <v>1</v>
      </c>
      <c r="F4861" s="2" t="n">
        <v>2</v>
      </c>
      <c r="G4861" s="4" t="n"/>
      <c r="H4861" s="13" t="n">
        <v>2</v>
      </c>
      <c r="I4861" s="34" t="n">
        <v>1</v>
      </c>
      <c r="J4861" s="35" t="n">
        <v>1.5</v>
      </c>
      <c r="K4861" s="2" t="inlineStr">
        <is>
          <t>marker_492_750142.png</t>
        </is>
      </c>
      <c r="L4861" s="36">
        <f>HYPERLINK("Solo2\" &amp; K4861, "Ver Imagen")</f>
        <v/>
      </c>
      <c r="M4861" t="inlineStr">
        <is>
          <t>Mediana</t>
        </is>
      </c>
    </row>
    <row r="4862">
      <c r="A4862" s="33" t="n">
        <v>4866</v>
      </c>
      <c r="B4862" t="inlineStr">
        <is>
          <t>A-490__282</t>
        </is>
      </c>
      <c r="C4862" s="1" t="n">
        <v>37.4694220464</v>
      </c>
      <c r="D4862" s="1" t="n">
        <v>-7.18859783962</v>
      </c>
      <c r="E4862" s="3" t="n">
        <v>1</v>
      </c>
      <c r="F4862" s="2" t="n">
        <v>2</v>
      </c>
      <c r="G4862" s="4" t="n"/>
      <c r="H4862" s="13" t="n">
        <v>1</v>
      </c>
      <c r="I4862" s="34" t="n">
        <v>1</v>
      </c>
      <c r="J4862" s="35" t="n">
        <v>1</v>
      </c>
      <c r="K4862" s="2" t="inlineStr">
        <is>
          <t>marker_237_750162.png</t>
        </is>
      </c>
      <c r="L4862" s="36">
        <f>HYPERLINK("Solo2\" &amp; K4862, "Ver Imagen")</f>
        <v/>
      </c>
      <c r="M4862" t="inlineStr">
        <is>
          <t>Mediana</t>
        </is>
      </c>
    </row>
    <row r="4863">
      <c r="A4863" s="33" t="n">
        <v>4867</v>
      </c>
      <c r="B4863" t="inlineStr">
        <is>
          <t>A-490__284</t>
        </is>
      </c>
      <c r="C4863" s="1" t="n">
        <v>37.4696795191</v>
      </c>
      <c r="D4863" s="1" t="n">
        <v>-7.18907484006</v>
      </c>
      <c r="E4863" s="3" t="n">
        <v>1</v>
      </c>
      <c r="F4863" s="2" t="n">
        <v>1</v>
      </c>
      <c r="G4863" s="4" t="n"/>
      <c r="H4863" s="13" t="n">
        <v>1</v>
      </c>
      <c r="I4863" s="34" t="n">
        <v>1</v>
      </c>
      <c r="J4863" s="35" t="n">
        <v>1</v>
      </c>
      <c r="K4863" s="2" t="inlineStr">
        <is>
          <t>marker_832_750233.png</t>
        </is>
      </c>
      <c r="L4863" s="36">
        <f>HYPERLINK("Solo2\" &amp; K4863, "Ver Imagen")</f>
        <v/>
      </c>
      <c r="M4863" t="inlineStr">
        <is>
          <t>Mediana</t>
        </is>
      </c>
    </row>
    <row r="4864">
      <c r="A4864" s="33" t="n">
        <v>4868</v>
      </c>
      <c r="B4864" t="inlineStr">
        <is>
          <t>A-490__285</t>
        </is>
      </c>
      <c r="C4864" s="1" t="n">
        <v>37.4698041853</v>
      </c>
      <c r="D4864" s="1" t="n">
        <v>-7.18930531787</v>
      </c>
      <c r="E4864" s="3" t="n">
        <v>1</v>
      </c>
      <c r="F4864" s="2" t="n">
        <v>2</v>
      </c>
      <c r="G4864" s="4" t="n"/>
      <c r="H4864" s="13" t="n">
        <v>1</v>
      </c>
      <c r="I4864" s="34" t="n">
        <v>1</v>
      </c>
      <c r="J4864" s="35" t="n">
        <v>1</v>
      </c>
      <c r="K4864" s="2" t="inlineStr">
        <is>
          <t>marker_426_750247.png</t>
        </is>
      </c>
      <c r="L4864" s="36">
        <f>HYPERLINK("Solo2\" &amp; K4864, "Ver Imagen")</f>
        <v/>
      </c>
      <c r="M4864" t="inlineStr">
        <is>
          <t>Mediana</t>
        </is>
      </c>
    </row>
    <row r="4865">
      <c r="A4865" s="33" t="n">
        <v>4869</v>
      </c>
      <c r="B4865" t="inlineStr">
        <is>
          <t>A-490__286</t>
        </is>
      </c>
      <c r="C4865" s="1" t="n">
        <v>37.4699132374</v>
      </c>
      <c r="D4865" s="1" t="n">
        <v>-7.18950816055</v>
      </c>
      <c r="E4865" s="3" t="n">
        <v>1</v>
      </c>
      <c r="F4865" s="2" t="n">
        <v>3</v>
      </c>
      <c r="G4865" s="4" t="n"/>
      <c r="H4865" s="13" t="n">
        <v>1</v>
      </c>
      <c r="I4865" s="34" t="n">
        <v>1</v>
      </c>
      <c r="J4865" s="35" t="n">
        <v>1</v>
      </c>
      <c r="K4865" s="2" t="inlineStr">
        <is>
          <t>marker_194_750262.png</t>
        </is>
      </c>
      <c r="L4865" s="36">
        <f>HYPERLINK("Solo2\" &amp; K4865, "Ver Imagen")</f>
        <v/>
      </c>
      <c r="M4865" t="inlineStr">
        <is>
          <t>Mediana</t>
        </is>
      </c>
    </row>
    <row r="4866">
      <c r="A4866" s="33" t="n">
        <v>4870</v>
      </c>
      <c r="B4866" t="inlineStr">
        <is>
          <t>A-490__287</t>
        </is>
      </c>
      <c r="C4866" s="1" t="n">
        <v>37.4700108089</v>
      </c>
      <c r="D4866" s="1" t="n">
        <v>-7.18968996685</v>
      </c>
      <c r="E4866" s="3" t="n">
        <v>1</v>
      </c>
      <c r="F4866" s="2" t="n">
        <v>3</v>
      </c>
      <c r="G4866" s="4" t="n"/>
      <c r="H4866" s="13" t="n">
        <v>3</v>
      </c>
      <c r="I4866" s="34" t="n">
        <v>2</v>
      </c>
      <c r="J4866" s="35" t="n">
        <v>2.5</v>
      </c>
      <c r="K4866" s="2" t="inlineStr">
        <is>
          <t>marker_752_750279.png</t>
        </is>
      </c>
      <c r="L4866" s="36">
        <f>HYPERLINK("Solo2\" &amp; K4866, "Ver Imagen")</f>
        <v/>
      </c>
      <c r="M4866" t="inlineStr">
        <is>
          <t>Mediana</t>
        </is>
      </c>
    </row>
    <row r="4867">
      <c r="A4867" s="33" t="n">
        <v>4871</v>
      </c>
      <c r="B4867" t="inlineStr">
        <is>
          <t>A-490__288</t>
        </is>
      </c>
      <c r="C4867" s="1" t="n">
        <v>37.4701193786</v>
      </c>
      <c r="D4867" s="1" t="n">
        <v>-7.18989158865</v>
      </c>
      <c r="E4867" s="3" t="n">
        <v>1</v>
      </c>
      <c r="F4867" s="2" t="n">
        <v>2</v>
      </c>
      <c r="G4867" s="4" t="n"/>
      <c r="H4867" s="13" t="n">
        <v>2</v>
      </c>
      <c r="I4867" s="34" t="n">
        <v>1</v>
      </c>
      <c r="J4867" s="35" t="n">
        <v>1.5</v>
      </c>
      <c r="K4867" s="2" t="inlineStr">
        <is>
          <t>marker_342_750296.png</t>
        </is>
      </c>
      <c r="L4867" s="36">
        <f>HYPERLINK("Solo2\" &amp; K4867, "Ver Imagen")</f>
        <v/>
      </c>
      <c r="M4867" t="inlineStr">
        <is>
          <t>Mediana</t>
        </is>
      </c>
    </row>
    <row r="4868">
      <c r="A4868" s="33" t="n">
        <v>4872</v>
      </c>
      <c r="B4868" t="inlineStr">
        <is>
          <t>A-490__289</t>
        </is>
      </c>
      <c r="C4868" s="1" t="n">
        <v>37.4702104042</v>
      </c>
      <c r="D4868" s="1" t="n">
        <v>-7.1900608262</v>
      </c>
      <c r="E4868" s="3" t="n">
        <v>1</v>
      </c>
      <c r="F4868" s="2" t="n">
        <v>2</v>
      </c>
      <c r="G4868" s="4" t="n"/>
      <c r="H4868" s="13" t="n">
        <v>2</v>
      </c>
      <c r="I4868" s="34" t="n">
        <v>1</v>
      </c>
      <c r="J4868" s="35" t="n">
        <v>1.5</v>
      </c>
      <c r="K4868" s="2" t="inlineStr">
        <is>
          <t>marker_485_750312.png</t>
        </is>
      </c>
      <c r="L4868" s="36">
        <f>HYPERLINK("Solo2\" &amp; K4868, "Ver Imagen")</f>
        <v/>
      </c>
      <c r="M4868" t="inlineStr">
        <is>
          <t>Mediana</t>
        </is>
      </c>
    </row>
    <row r="4869">
      <c r="A4869" s="33" t="n">
        <v>4873</v>
      </c>
      <c r="B4869" t="inlineStr">
        <is>
          <t>A-490__290</t>
        </is>
      </c>
      <c r="C4869" s="1" t="n">
        <v>37.4703605698</v>
      </c>
      <c r="D4869" s="1" t="n">
        <v>-7.19034145719</v>
      </c>
      <c r="E4869" s="3" t="n">
        <v>1</v>
      </c>
      <c r="F4869" s="2" t="n">
        <v>2</v>
      </c>
      <c r="G4869" s="4" t="n"/>
      <c r="H4869" s="13" t="n">
        <v>2</v>
      </c>
      <c r="I4869" s="34" t="n">
        <v>1</v>
      </c>
      <c r="J4869" s="35" t="n">
        <v>1.5</v>
      </c>
      <c r="K4869" s="2" t="inlineStr">
        <is>
          <t>marker_644_750334.png</t>
        </is>
      </c>
      <c r="L4869" s="36">
        <f>HYPERLINK("Solo2\" &amp; K4869, "Ver Imagen")</f>
        <v/>
      </c>
      <c r="M4869" t="inlineStr">
        <is>
          <t>Mediana</t>
        </is>
      </c>
    </row>
    <row r="4870">
      <c r="A4870" s="33" t="n">
        <v>4874</v>
      </c>
      <c r="B4870" t="inlineStr">
        <is>
          <t>A-490__291</t>
        </is>
      </c>
      <c r="C4870" s="1" t="n">
        <v>37.4704633917</v>
      </c>
      <c r="D4870" s="1" t="n">
        <v>-7.19053335564</v>
      </c>
      <c r="E4870" s="3" t="n">
        <v>1</v>
      </c>
      <c r="F4870" s="2" t="n">
        <v>2</v>
      </c>
      <c r="G4870" s="4" t="n"/>
      <c r="H4870" s="13" t="n">
        <v>1</v>
      </c>
      <c r="I4870" s="34" t="n">
        <v>1</v>
      </c>
      <c r="J4870" s="35" t="n">
        <v>1</v>
      </c>
      <c r="K4870" s="2" t="inlineStr">
        <is>
          <t>marker_284_750358.png</t>
        </is>
      </c>
      <c r="L4870" s="36">
        <f>HYPERLINK("Solo2\" &amp; K4870, "Ver Imagen")</f>
        <v/>
      </c>
      <c r="M4870" t="inlineStr">
        <is>
          <t>Mediana</t>
        </is>
      </c>
    </row>
    <row r="4871">
      <c r="A4871" s="33" t="n">
        <v>4875</v>
      </c>
      <c r="B4871" t="inlineStr">
        <is>
          <t>A-490__292</t>
        </is>
      </c>
      <c r="C4871" s="1" t="n">
        <v>37.47058998</v>
      </c>
      <c r="D4871" s="1" t="n">
        <v>-7.19076750454</v>
      </c>
      <c r="E4871" s="3" t="n">
        <v>1</v>
      </c>
      <c r="F4871" s="2" t="n">
        <v>3</v>
      </c>
      <c r="G4871" s="4" t="n"/>
      <c r="H4871" s="13" t="n">
        <v>3</v>
      </c>
      <c r="I4871" s="34" t="n">
        <v>2</v>
      </c>
      <c r="J4871" s="35" t="n">
        <v>2.5</v>
      </c>
      <c r="K4871" s="2" t="inlineStr">
        <is>
          <t>marker_266_750376.png</t>
        </is>
      </c>
      <c r="L4871" s="36">
        <f>HYPERLINK("Solo2\" &amp; K4871, "Ver Imagen")</f>
        <v/>
      </c>
      <c r="M4871" t="inlineStr">
        <is>
          <t>Mediana</t>
        </is>
      </c>
    </row>
    <row r="4872">
      <c r="A4872" s="33" t="n">
        <v>4876</v>
      </c>
      <c r="B4872" t="inlineStr">
        <is>
          <t>A-490__293</t>
        </is>
      </c>
      <c r="C4872" s="1" t="n">
        <v>37.470700817</v>
      </c>
      <c r="D4872" s="1" t="n">
        <v>-7.19096993205</v>
      </c>
      <c r="E4872" s="3" t="n">
        <v>1</v>
      </c>
      <c r="F4872" s="2" t="n">
        <v>2</v>
      </c>
      <c r="G4872" s="4" t="n"/>
      <c r="H4872" s="13" t="n">
        <v>1</v>
      </c>
      <c r="I4872" s="34" t="n">
        <v>1</v>
      </c>
      <c r="J4872" s="35" t="n">
        <v>1</v>
      </c>
      <c r="K4872" s="2" t="inlineStr">
        <is>
          <t>marker_858_750393.png</t>
        </is>
      </c>
      <c r="L4872" s="36">
        <f>HYPERLINK("Solo2\" &amp; K4872, "Ver Imagen")</f>
        <v/>
      </c>
      <c r="M4872" t="inlineStr">
        <is>
          <t>Mediana</t>
        </is>
      </c>
    </row>
    <row r="4873">
      <c r="A4873" s="33" t="n">
        <v>4877</v>
      </c>
      <c r="B4873" t="inlineStr">
        <is>
          <t>A-490__294</t>
        </is>
      </c>
      <c r="C4873" s="1" t="n">
        <v>37.4708262298</v>
      </c>
      <c r="D4873" s="1" t="n">
        <v>-7.19119540835</v>
      </c>
      <c r="E4873" s="3" t="n">
        <v>1</v>
      </c>
      <c r="F4873" s="2" t="n">
        <v>3</v>
      </c>
      <c r="G4873" s="4" t="n"/>
      <c r="H4873" s="13" t="n">
        <v>1</v>
      </c>
      <c r="I4873" s="34" t="n">
        <v>1</v>
      </c>
      <c r="J4873" s="35" t="n">
        <v>1</v>
      </c>
      <c r="K4873" s="2" t="inlineStr">
        <is>
          <t>marker_468_750410.png</t>
        </is>
      </c>
      <c r="L4873" s="36">
        <f>HYPERLINK("Solo2\" &amp; K4873, "Ver Imagen")</f>
        <v/>
      </c>
      <c r="M4873" t="inlineStr">
        <is>
          <t>Mediana</t>
        </is>
      </c>
    </row>
    <row r="4874">
      <c r="A4874" s="33" t="n">
        <v>4878</v>
      </c>
      <c r="B4874" t="inlineStr">
        <is>
          <t>A-490__295</t>
        </is>
      </c>
      <c r="C4874" s="1" t="n">
        <v>37.4709130631</v>
      </c>
      <c r="D4874" s="1" t="n">
        <v>-7.19134913422</v>
      </c>
      <c r="E4874" s="3" t="n">
        <v>1</v>
      </c>
      <c r="F4874" s="2" t="n">
        <v>3</v>
      </c>
      <c r="G4874" s="4" t="n"/>
      <c r="H4874" s="13" t="n">
        <v>2</v>
      </c>
      <c r="I4874" s="34" t="n">
        <v>2</v>
      </c>
      <c r="J4874" s="35" t="n">
        <v>2</v>
      </c>
      <c r="K4874" s="2" t="inlineStr">
        <is>
          <t>marker_901_750424.png</t>
        </is>
      </c>
      <c r="L4874" s="36">
        <f>HYPERLINK("Solo2\" &amp; K4874, "Ver Imagen")</f>
        <v/>
      </c>
      <c r="M4874" t="inlineStr">
        <is>
          <t>Mediana</t>
        </is>
      </c>
    </row>
    <row r="4875">
      <c r="A4875" s="33" t="n">
        <v>4879</v>
      </c>
      <c r="B4875" t="inlineStr">
        <is>
          <t>A-490__296</t>
        </is>
      </c>
      <c r="C4875" s="1" t="n">
        <v>37.4710335645</v>
      </c>
      <c r="D4875" s="1" t="n">
        <v>-7.19155958403</v>
      </c>
      <c r="E4875" s="3" t="n">
        <v>1</v>
      </c>
      <c r="F4875" s="2" t="n">
        <v>2</v>
      </c>
      <c r="G4875" s="4" t="n"/>
      <c r="H4875" s="13" t="n">
        <v>1</v>
      </c>
      <c r="I4875" s="34" t="n">
        <v>1</v>
      </c>
      <c r="J4875" s="35" t="n">
        <v>1</v>
      </c>
      <c r="K4875" s="2" t="inlineStr">
        <is>
          <t>marker_440_750485.png</t>
        </is>
      </c>
      <c r="L4875" s="36">
        <f>HYPERLINK("Solo2\" &amp; K4875, "Ver Imagen")</f>
        <v/>
      </c>
      <c r="M4875" t="inlineStr">
        <is>
          <t>Mediana</t>
        </is>
      </c>
    </row>
    <row r="4876">
      <c r="A4876" s="33" t="n">
        <v>4880</v>
      </c>
      <c r="B4876" t="inlineStr">
        <is>
          <t>A-490__297</t>
        </is>
      </c>
      <c r="C4876" s="1" t="n">
        <v>37.4711438289</v>
      </c>
      <c r="D4876" s="1" t="n">
        <v>-7.19174816357</v>
      </c>
      <c r="E4876" s="3" t="n">
        <v>1</v>
      </c>
      <c r="F4876" s="2" t="n">
        <v>2</v>
      </c>
      <c r="G4876" s="4" t="n"/>
      <c r="H4876" s="13" t="n">
        <v>2</v>
      </c>
      <c r="I4876" s="34" t="n">
        <v>1</v>
      </c>
      <c r="J4876" s="35" t="n">
        <v>1.5</v>
      </c>
      <c r="K4876" s="2" t="inlineStr">
        <is>
          <t>marker_678_750501.png</t>
        </is>
      </c>
      <c r="L4876" s="36">
        <f>HYPERLINK("Solo2\" &amp; K4876, "Ver Imagen")</f>
        <v/>
      </c>
      <c r="M4876" t="inlineStr">
        <is>
          <t>Mediana</t>
        </is>
      </c>
    </row>
    <row r="4877">
      <c r="A4877" s="33" t="n">
        <v>4881</v>
      </c>
      <c r="B4877" t="inlineStr">
        <is>
          <t>A-490__298</t>
        </is>
      </c>
      <c r="C4877" s="1" t="n">
        <v>37.4712710975</v>
      </c>
      <c r="D4877" s="1" t="n">
        <v>-7.19196316927</v>
      </c>
      <c r="E4877" s="3" t="n">
        <v>1</v>
      </c>
      <c r="F4877" s="2" t="n">
        <v>3</v>
      </c>
      <c r="G4877" s="4" t="n"/>
      <c r="H4877" s="13" t="n">
        <v>3</v>
      </c>
      <c r="I4877" s="34" t="n">
        <v>2</v>
      </c>
      <c r="J4877" s="35" t="n">
        <v>2.5</v>
      </c>
      <c r="K4877" s="2" t="inlineStr">
        <is>
          <t>marker_572_750523.png</t>
        </is>
      </c>
      <c r="L4877" s="36">
        <f>HYPERLINK("Solo2\" &amp; K4877, "Ver Imagen")</f>
        <v/>
      </c>
      <c r="M4877" t="inlineStr">
        <is>
          <t>Mediana</t>
        </is>
      </c>
    </row>
    <row r="4878">
      <c r="A4878" s="33" t="n">
        <v>4882</v>
      </c>
      <c r="B4878" t="inlineStr">
        <is>
          <t>A-490__299</t>
        </is>
      </c>
      <c r="C4878" s="1" t="n">
        <v>37.4714192859</v>
      </c>
      <c r="D4878" s="1" t="n">
        <v>-7.19221313341</v>
      </c>
      <c r="E4878" s="3" t="n">
        <v>1</v>
      </c>
      <c r="F4878" s="2" t="n">
        <v>3</v>
      </c>
      <c r="G4878" s="4" t="n"/>
      <c r="H4878" s="13" t="n">
        <v>2</v>
      </c>
      <c r="I4878" s="34" t="n">
        <v>2</v>
      </c>
      <c r="J4878" s="35" t="n">
        <v>2</v>
      </c>
      <c r="K4878" s="2" t="inlineStr">
        <is>
          <t>marker_703_750544.png</t>
        </is>
      </c>
      <c r="L4878" s="36">
        <f>HYPERLINK("Solo2\" &amp; K4878, "Ver Imagen")</f>
        <v/>
      </c>
      <c r="M4878" t="inlineStr">
        <is>
          <t>Mediana</t>
        </is>
      </c>
    </row>
    <row r="4879">
      <c r="A4879" s="33" t="n">
        <v>4883</v>
      </c>
      <c r="B4879" t="inlineStr">
        <is>
          <t>A-490__300</t>
        </is>
      </c>
      <c r="C4879" s="1" t="n">
        <v>37.4715185399</v>
      </c>
      <c r="D4879" s="1" t="n">
        <v>-7.19238047361</v>
      </c>
      <c r="E4879" s="3" t="n">
        <v>1</v>
      </c>
      <c r="F4879" s="2" t="n">
        <v>3</v>
      </c>
      <c r="G4879" s="4" t="n"/>
      <c r="H4879" s="13" t="n">
        <v>3</v>
      </c>
      <c r="I4879" s="34" t="n">
        <v>2</v>
      </c>
      <c r="J4879" s="35" t="n">
        <v>2.5</v>
      </c>
      <c r="K4879" s="2" t="inlineStr">
        <is>
          <t>marker_365_750560.png</t>
        </is>
      </c>
      <c r="L4879" s="36">
        <f>HYPERLINK("Solo2\" &amp; K4879, "Ver Imagen")</f>
        <v/>
      </c>
      <c r="M4879" t="inlineStr">
        <is>
          <t>Mediana</t>
        </is>
      </c>
    </row>
    <row r="4880">
      <c r="A4880" s="33" t="n">
        <v>4884</v>
      </c>
      <c r="B4880" t="inlineStr">
        <is>
          <t>A-490__301</t>
        </is>
      </c>
      <c r="C4880" s="1" t="n">
        <v>37.47167936</v>
      </c>
      <c r="D4880" s="1" t="n">
        <v>-7.19265158995</v>
      </c>
      <c r="E4880" s="3" t="n">
        <v>1</v>
      </c>
      <c r="F4880" s="2" t="n">
        <v>2</v>
      </c>
      <c r="G4880" s="4" t="n"/>
      <c r="H4880" s="13" t="n">
        <v>2</v>
      </c>
      <c r="I4880" s="34" t="n">
        <v>2</v>
      </c>
      <c r="J4880" s="35" t="n">
        <v>2</v>
      </c>
      <c r="K4880" s="2" t="inlineStr">
        <is>
          <t>marker_428_750588.png</t>
        </is>
      </c>
      <c r="L4880" s="36">
        <f>HYPERLINK("Solo2\" &amp; K4880, "Ver Imagen")</f>
        <v/>
      </c>
      <c r="M4880" t="inlineStr">
        <is>
          <t>Mediana</t>
        </is>
      </c>
    </row>
    <row r="4881">
      <c r="A4881" s="33" t="n">
        <v>4885</v>
      </c>
      <c r="B4881" t="inlineStr">
        <is>
          <t>A-490__302</t>
        </is>
      </c>
      <c r="C4881" s="1" t="n">
        <v>37.4717770723</v>
      </c>
      <c r="D4881" s="1" t="n">
        <v>-7.19281571253</v>
      </c>
      <c r="E4881" s="3" t="n">
        <v>1</v>
      </c>
      <c r="F4881" s="2" t="n">
        <v>3</v>
      </c>
      <c r="G4881" s="4" t="n"/>
      <c r="H4881" s="13" t="n">
        <v>2</v>
      </c>
      <c r="I4881" s="34" t="n">
        <v>1</v>
      </c>
      <c r="J4881" s="35" t="n">
        <v>1.5</v>
      </c>
      <c r="K4881" s="2" t="inlineStr">
        <is>
          <t>marker_325_750605.png</t>
        </is>
      </c>
      <c r="L4881" s="36">
        <f>HYPERLINK("Solo2\" &amp; K4881, "Ver Imagen")</f>
        <v/>
      </c>
      <c r="M4881" t="inlineStr">
        <is>
          <t>Mediana</t>
        </is>
      </c>
    </row>
    <row r="4882">
      <c r="A4882" s="33" t="n">
        <v>4886</v>
      </c>
      <c r="B4882" t="inlineStr">
        <is>
          <t>A-490__305</t>
        </is>
      </c>
      <c r="C4882" s="1" t="n">
        <v>37.4721319668</v>
      </c>
      <c r="D4882" s="1" t="n">
        <v>-7.19340971582</v>
      </c>
      <c r="E4882" s="3" t="n">
        <v>2</v>
      </c>
      <c r="F4882" s="2" t="n">
        <v>4</v>
      </c>
      <c r="G4882" s="4" t="n"/>
      <c r="H4882" s="13" t="n">
        <v>3</v>
      </c>
      <c r="I4882" s="34" t="n">
        <v>2</v>
      </c>
      <c r="J4882" s="35" t="n">
        <v>2.5</v>
      </c>
      <c r="K4882" s="2" t="inlineStr">
        <is>
          <t>marker_590_750677.png</t>
        </is>
      </c>
      <c r="L4882" s="36">
        <f>HYPERLINK("Solo2\" &amp; K4882, "Ver Imagen")</f>
        <v/>
      </c>
      <c r="M4882" t="inlineStr">
        <is>
          <t>Mediana</t>
        </is>
      </c>
    </row>
    <row r="4883">
      <c r="A4883" s="33" t="n">
        <v>4887</v>
      </c>
      <c r="B4883" t="inlineStr">
        <is>
          <t>A-490__306</t>
        </is>
      </c>
      <c r="C4883" s="1" t="n">
        <v>37.4722819859</v>
      </c>
      <c r="D4883" s="1" t="n">
        <v>-7.19366003748</v>
      </c>
      <c r="E4883" s="3" t="n">
        <v>2</v>
      </c>
      <c r="F4883" s="2" t="n">
        <v>3</v>
      </c>
      <c r="G4883" s="4" t="n"/>
      <c r="H4883" s="13" t="n">
        <v>3</v>
      </c>
      <c r="I4883" s="34" t="n">
        <v>3</v>
      </c>
      <c r="J4883" s="35" t="n">
        <v>3</v>
      </c>
      <c r="K4883" s="2" t="inlineStr">
        <is>
          <t>marker_982_750699.png</t>
        </is>
      </c>
      <c r="L4883" s="36">
        <f>HYPERLINK("Solo2\" &amp; K4883, "Ver Imagen")</f>
        <v/>
      </c>
      <c r="M4883" t="inlineStr">
        <is>
          <t>Mediana</t>
        </is>
      </c>
    </row>
    <row r="4884">
      <c r="A4884" s="33" t="n">
        <v>4888</v>
      </c>
      <c r="B4884" t="inlineStr">
        <is>
          <t>A-490__307</t>
        </is>
      </c>
      <c r="C4884" s="1" t="n">
        <v>37.4724016141</v>
      </c>
      <c r="D4884" s="1" t="n">
        <v>-7.19385944739</v>
      </c>
      <c r="E4884" s="3" t="n">
        <v>2</v>
      </c>
      <c r="F4884" s="2" t="n">
        <v>2</v>
      </c>
      <c r="G4884" s="4" t="n"/>
      <c r="H4884" s="13" t="n">
        <v>2</v>
      </c>
      <c r="I4884" s="34" t="n">
        <v>1</v>
      </c>
      <c r="J4884" s="35" t="n">
        <v>2</v>
      </c>
      <c r="K4884" s="2" t="inlineStr">
        <is>
          <t>marker_312_750717.png</t>
        </is>
      </c>
      <c r="L4884" s="36">
        <f>HYPERLINK("Solo2\" &amp; K4884, "Ver Imagen")</f>
        <v/>
      </c>
      <c r="M4884" t="inlineStr">
        <is>
          <t>Mediana</t>
        </is>
      </c>
    </row>
    <row r="4885">
      <c r="A4885" s="33" t="n">
        <v>4889</v>
      </c>
      <c r="B4885" t="inlineStr">
        <is>
          <t>A-490__308</t>
        </is>
      </c>
      <c r="C4885" s="1" t="n">
        <v>37.472470057</v>
      </c>
      <c r="D4885" s="1" t="n">
        <v>-7.19397369352</v>
      </c>
      <c r="E4885" s="3" t="n">
        <v>1</v>
      </c>
      <c r="F4885" s="2" t="n">
        <v>2</v>
      </c>
      <c r="G4885" s="4" t="n"/>
      <c r="H4885" s="13" t="n">
        <v>2</v>
      </c>
      <c r="I4885" s="34" t="n">
        <v>1</v>
      </c>
      <c r="J4885" s="35" t="n">
        <v>1.5</v>
      </c>
      <c r="K4885" s="2" t="inlineStr">
        <is>
          <t>marker_129_750733.png</t>
        </is>
      </c>
      <c r="L4885" s="36">
        <f>HYPERLINK("Solo2\" &amp; K4885, "Ver Imagen")</f>
        <v/>
      </c>
      <c r="M4885" t="inlineStr">
        <is>
          <t>Mediana</t>
        </is>
      </c>
    </row>
    <row r="4886">
      <c r="A4886" s="33" t="n">
        <v>4890</v>
      </c>
      <c r="B4886" t="inlineStr">
        <is>
          <t>A-490__309</t>
        </is>
      </c>
      <c r="C4886" s="1" t="n">
        <v>37.4726223785</v>
      </c>
      <c r="D4886" s="1" t="n">
        <v>-7.1942294371</v>
      </c>
      <c r="E4886" s="3" t="n">
        <v>1</v>
      </c>
      <c r="F4886" s="2" t="n">
        <v>2</v>
      </c>
      <c r="G4886" s="4" t="n"/>
      <c r="H4886" s="13" t="n">
        <v>3</v>
      </c>
      <c r="I4886" s="34" t="n">
        <v>2</v>
      </c>
      <c r="J4886" s="35" t="n">
        <v>2</v>
      </c>
      <c r="K4886" s="2" t="inlineStr">
        <is>
          <t>marker_714_750749.png</t>
        </is>
      </c>
      <c r="L4886" s="36">
        <f>HYPERLINK("Solo2\" &amp; K4886, "Ver Imagen")</f>
        <v/>
      </c>
      <c r="M4886" t="inlineStr">
        <is>
          <t>Mediana</t>
        </is>
      </c>
    </row>
    <row r="4887">
      <c r="A4887" s="33" t="n">
        <v>4891</v>
      </c>
      <c r="B4887" t="inlineStr">
        <is>
          <t>A-490__310</t>
        </is>
      </c>
      <c r="C4887" s="1" t="n">
        <v>37.4727324989</v>
      </c>
      <c r="D4887" s="1" t="n">
        <v>-7.19441665503</v>
      </c>
      <c r="E4887" s="3" t="n">
        <v>2</v>
      </c>
      <c r="F4887" s="2" t="n">
        <v>3</v>
      </c>
      <c r="G4887" s="4" t="n"/>
      <c r="H4887" s="13" t="n">
        <v>2</v>
      </c>
      <c r="I4887" s="34" t="n">
        <v>1</v>
      </c>
      <c r="J4887" s="35" t="n">
        <v>2</v>
      </c>
      <c r="K4887" s="2" t="inlineStr">
        <is>
          <t>marker_473_750773.png</t>
        </is>
      </c>
      <c r="L4887" s="36">
        <f>HYPERLINK("Solo2\" &amp; K4887, "Ver Imagen")</f>
        <v/>
      </c>
      <c r="M4887" t="inlineStr">
        <is>
          <t>Mediana</t>
        </is>
      </c>
    </row>
    <row r="4888">
      <c r="A4888" s="33" t="n">
        <v>4892</v>
      </c>
      <c r="B4888" t="inlineStr">
        <is>
          <t>A-490__311</t>
        </is>
      </c>
      <c r="C4888" s="1" t="n">
        <v>37.4728498909</v>
      </c>
      <c r="D4888" s="1" t="n">
        <v>-7.19461613437</v>
      </c>
      <c r="E4888" s="3" t="n">
        <v>2</v>
      </c>
      <c r="F4888" s="2" t="n">
        <v>3</v>
      </c>
      <c r="G4888" s="4" t="n"/>
      <c r="H4888" s="13" t="n">
        <v>3</v>
      </c>
      <c r="I4888" s="34" t="n">
        <v>2</v>
      </c>
      <c r="J4888" s="35" t="n">
        <v>2.5</v>
      </c>
      <c r="K4888" s="2" t="inlineStr">
        <is>
          <t>marker_782_750795.png</t>
        </is>
      </c>
      <c r="L4888" s="36">
        <f>HYPERLINK("Solo2\" &amp; K4888, "Ver Imagen")</f>
        <v/>
      </c>
      <c r="M4888" t="inlineStr">
        <is>
          <t>Mediana</t>
        </is>
      </c>
    </row>
    <row r="4889">
      <c r="A4889" s="33" t="n">
        <v>4893</v>
      </c>
      <c r="B4889" t="inlineStr">
        <is>
          <t>A-490__312</t>
        </is>
      </c>
      <c r="C4889" s="1" t="n">
        <v>37.47295591</v>
      </c>
      <c r="D4889" s="1" t="n">
        <v>-7.19479349575</v>
      </c>
      <c r="E4889" s="3" t="n">
        <v>2</v>
      </c>
      <c r="F4889" s="2" t="n">
        <v>4</v>
      </c>
      <c r="G4889" s="4" t="n"/>
      <c r="H4889" s="13" t="n">
        <v>3</v>
      </c>
      <c r="I4889" s="34" t="n">
        <v>3</v>
      </c>
      <c r="J4889" s="35" t="n">
        <v>3</v>
      </c>
      <c r="K4889" s="2" t="inlineStr">
        <is>
          <t>marker_265_750814.png</t>
        </is>
      </c>
      <c r="L4889" s="36">
        <f>HYPERLINK("Solo2\" &amp; K4889, "Ver Imagen")</f>
        <v/>
      </c>
      <c r="M4889" t="inlineStr">
        <is>
          <t>Mediana</t>
        </is>
      </c>
    </row>
    <row r="4890">
      <c r="A4890" s="33" t="n">
        <v>4894</v>
      </c>
      <c r="B4890" t="inlineStr">
        <is>
          <t>A-490__313</t>
        </is>
      </c>
      <c r="C4890" s="1" t="n">
        <v>37.4731090061</v>
      </c>
      <c r="D4890" s="1" t="n">
        <v>-7.1950482885</v>
      </c>
      <c r="E4890" s="3" t="n">
        <v>2</v>
      </c>
      <c r="F4890" s="2" t="n">
        <v>4</v>
      </c>
      <c r="G4890" s="4" t="n"/>
      <c r="H4890" s="13" t="n">
        <v>3</v>
      </c>
      <c r="I4890" s="34" t="n">
        <v>3</v>
      </c>
      <c r="J4890" s="35" t="n">
        <v>3</v>
      </c>
      <c r="K4890" s="2" t="inlineStr">
        <is>
          <t>marker_125_750832.png</t>
        </is>
      </c>
      <c r="L4890" s="36">
        <f>HYPERLINK("Solo2\" &amp; K4890, "Ver Imagen")</f>
        <v/>
      </c>
      <c r="M4890" t="inlineStr">
        <is>
          <t>Mediana</t>
        </is>
      </c>
    </row>
    <row r="4891">
      <c r="A4891" s="33" t="n">
        <v>4895</v>
      </c>
      <c r="B4891" t="inlineStr">
        <is>
          <t>A-490__314</t>
        </is>
      </c>
      <c r="C4891" s="1" t="n">
        <v>37.4732272834</v>
      </c>
      <c r="D4891" s="1" t="n">
        <v>-7.19524675988</v>
      </c>
      <c r="E4891" s="3" t="n">
        <v>2</v>
      </c>
      <c r="F4891" s="2" t="n">
        <v>3</v>
      </c>
      <c r="G4891" s="4" t="n"/>
      <c r="H4891" s="13" t="n">
        <v>3</v>
      </c>
      <c r="I4891" s="34" t="n">
        <v>3</v>
      </c>
      <c r="J4891" s="35" t="n">
        <v>3</v>
      </c>
      <c r="K4891" s="2" t="inlineStr">
        <is>
          <t>marker_434_750849.png</t>
        </is>
      </c>
      <c r="L4891" s="36">
        <f>HYPERLINK("Solo2\" &amp; K4891, "Ver Imagen")</f>
        <v/>
      </c>
      <c r="M4891" t="inlineStr">
        <is>
          <t>Mediana</t>
        </is>
      </c>
    </row>
    <row r="4892">
      <c r="A4892" s="33" t="n">
        <v>4896</v>
      </c>
      <c r="B4892" t="inlineStr">
        <is>
          <t>A-490__315</t>
        </is>
      </c>
      <c r="C4892" s="1" t="n">
        <v>37.4733263535</v>
      </c>
      <c r="D4892" s="1" t="n">
        <v>-7.19541325065</v>
      </c>
      <c r="E4892" s="3" t="n">
        <v>1</v>
      </c>
      <c r="F4892" s="2" t="n">
        <v>2</v>
      </c>
      <c r="G4892" s="4" t="n"/>
      <c r="H4892" s="13" t="n">
        <v>2</v>
      </c>
      <c r="I4892" s="34" t="n">
        <v>2</v>
      </c>
      <c r="J4892" s="35" t="n">
        <v>2</v>
      </c>
      <c r="K4892" s="2" t="inlineStr">
        <is>
          <t>marker_734_750865.png</t>
        </is>
      </c>
      <c r="L4892" s="36">
        <f>HYPERLINK("Solo2\" &amp; K4892, "Ver Imagen")</f>
        <v/>
      </c>
      <c r="M4892" t="inlineStr">
        <is>
          <t>Mediana</t>
        </is>
      </c>
    </row>
    <row r="4893">
      <c r="A4893" s="33" t="n">
        <v>4897</v>
      </c>
      <c r="B4893" t="inlineStr">
        <is>
          <t>A-490__316</t>
        </is>
      </c>
      <c r="C4893" s="1" t="n">
        <v>37.4734625827</v>
      </c>
      <c r="D4893" s="1" t="n">
        <v>-7.19564104359</v>
      </c>
      <c r="E4893" s="3" t="n">
        <v>1</v>
      </c>
      <c r="F4893" s="2" t="n">
        <v>3</v>
      </c>
      <c r="G4893" s="4" t="n"/>
      <c r="H4893" s="13" t="n">
        <v>2</v>
      </c>
      <c r="I4893" s="34" t="n">
        <v>2</v>
      </c>
      <c r="J4893" s="35" t="n">
        <v>2</v>
      </c>
      <c r="K4893" s="2" t="inlineStr">
        <is>
          <t>marker_925_750983.png</t>
        </is>
      </c>
      <c r="L4893" s="36">
        <f>HYPERLINK("Solo2\" &amp; K4893, "Ver Imagen")</f>
        <v/>
      </c>
      <c r="M4893" t="inlineStr">
        <is>
          <t>Mediana</t>
        </is>
      </c>
    </row>
    <row r="4894">
      <c r="A4894" s="33" t="n">
        <v>4898</v>
      </c>
      <c r="B4894" t="inlineStr">
        <is>
          <t>A-490__317</t>
        </is>
      </c>
      <c r="C4894" s="1" t="n">
        <v>37.4736020098</v>
      </c>
      <c r="D4894" s="1" t="n">
        <v>-7.19587242772</v>
      </c>
      <c r="E4894" s="3" t="n">
        <v>2</v>
      </c>
      <c r="F4894" s="2" t="n">
        <v>2</v>
      </c>
      <c r="G4894" s="4" t="n"/>
      <c r="H4894" s="13" t="n">
        <v>2</v>
      </c>
      <c r="I4894" s="34" t="n">
        <v>1</v>
      </c>
      <c r="J4894" s="35" t="n">
        <v>2</v>
      </c>
      <c r="K4894" s="2" t="inlineStr">
        <is>
          <t>marker_437_751000.png</t>
        </is>
      </c>
      <c r="L4894" s="36">
        <f>HYPERLINK("Solo2\" &amp; K4894, "Ver Imagen")</f>
        <v/>
      </c>
      <c r="M4894" t="inlineStr">
        <is>
          <t>Mediana</t>
        </is>
      </c>
    </row>
    <row r="4895">
      <c r="A4895" s="33" t="n">
        <v>4899</v>
      </c>
      <c r="B4895" t="inlineStr">
        <is>
          <t>A-490__318</t>
        </is>
      </c>
      <c r="C4895" s="1" t="n">
        <v>37.4736824142</v>
      </c>
      <c r="D4895" s="1" t="n">
        <v>-7.19600532057</v>
      </c>
      <c r="E4895" s="3" t="n">
        <v>3</v>
      </c>
      <c r="F4895" s="2" t="n">
        <v>4</v>
      </c>
      <c r="G4895" s="4" t="n"/>
      <c r="H4895" s="13" t="n">
        <v>2</v>
      </c>
      <c r="I4895" s="34" t="n">
        <v>2</v>
      </c>
      <c r="J4895" s="35" t="n">
        <v>2.5</v>
      </c>
      <c r="K4895" s="2" t="inlineStr">
        <is>
          <t>marker_786_751014.png</t>
        </is>
      </c>
      <c r="L4895" s="36">
        <f>HYPERLINK("Solo2\" &amp; K4895, "Ver Imagen")</f>
        <v/>
      </c>
      <c r="M4895" t="inlineStr">
        <is>
          <t>Mediana</t>
        </is>
      </c>
    </row>
    <row r="4896">
      <c r="A4896" s="33" t="n">
        <v>4900</v>
      </c>
      <c r="B4896" t="inlineStr">
        <is>
          <t>A-490__319</t>
        </is>
      </c>
      <c r="C4896" s="1" t="n">
        <v>37.473815067</v>
      </c>
      <c r="D4896" s="1" t="n">
        <v>-7.19622430464</v>
      </c>
      <c r="E4896" s="3" t="n">
        <v>2</v>
      </c>
      <c r="F4896" s="2" t="n">
        <v>3</v>
      </c>
      <c r="G4896" s="4" t="n"/>
      <c r="H4896" s="13" t="n">
        <v>3</v>
      </c>
      <c r="I4896" s="34" t="n">
        <v>3</v>
      </c>
      <c r="J4896" s="35" t="n">
        <v>3</v>
      </c>
      <c r="K4896" s="2" t="inlineStr">
        <is>
          <t>marker_981_751034.png</t>
        </is>
      </c>
      <c r="L4896" s="36">
        <f>HYPERLINK("Solo2\" &amp; K4896, "Ver Imagen")</f>
        <v/>
      </c>
      <c r="M4896" t="inlineStr">
        <is>
          <t>Mediana</t>
        </is>
      </c>
    </row>
    <row r="4897">
      <c r="A4897" s="33" t="n">
        <v>4901</v>
      </c>
      <c r="B4897" t="inlineStr">
        <is>
          <t>A-490__320</t>
        </is>
      </c>
      <c r="C4897" s="1" t="n">
        <v>37.4739368278</v>
      </c>
      <c r="D4897" s="1" t="n">
        <v>-7.19642709837</v>
      </c>
      <c r="E4897" s="3" t="n">
        <v>2</v>
      </c>
      <c r="F4897" s="2" t="n">
        <v>2</v>
      </c>
      <c r="G4897" s="4" t="n"/>
      <c r="H4897" s="13" t="n">
        <v>2</v>
      </c>
      <c r="I4897" s="34" t="n">
        <v>2</v>
      </c>
      <c r="J4897" s="35" t="n">
        <v>2</v>
      </c>
      <c r="K4897" s="2" t="inlineStr">
        <is>
          <t>marker_523_751056.png</t>
        </is>
      </c>
      <c r="L4897" s="36">
        <f>HYPERLINK("Solo2\" &amp; K4897, "Ver Imagen")</f>
        <v/>
      </c>
      <c r="M4897" t="inlineStr">
        <is>
          <t>Mediana</t>
        </is>
      </c>
    </row>
    <row r="4898">
      <c r="A4898" s="33" t="n">
        <v>4902</v>
      </c>
      <c r="B4898" t="inlineStr">
        <is>
          <t>A-490__321</t>
        </is>
      </c>
      <c r="C4898" s="1" t="n">
        <v>37.4740592903</v>
      </c>
      <c r="D4898" s="1" t="n">
        <v>-7.19663913009</v>
      </c>
      <c r="E4898" s="3" t="n">
        <v>1</v>
      </c>
      <c r="F4898" s="2" t="n">
        <v>2</v>
      </c>
      <c r="G4898" s="4" t="n"/>
      <c r="H4898" s="13" t="n">
        <v>3</v>
      </c>
      <c r="I4898" s="34" t="n">
        <v>2</v>
      </c>
      <c r="J4898" s="35" t="n">
        <v>2</v>
      </c>
      <c r="K4898" s="2" t="inlineStr">
        <is>
          <t>marker_337_751077.png</t>
        </is>
      </c>
      <c r="L4898" s="36">
        <f>HYPERLINK("Solo2\" &amp; K4898, "Ver Imagen")</f>
        <v/>
      </c>
      <c r="M4898" t="inlineStr">
        <is>
          <t>Mediana</t>
        </is>
      </c>
    </row>
    <row r="4899">
      <c r="A4899" s="33" t="n">
        <v>4903</v>
      </c>
      <c r="B4899" t="inlineStr">
        <is>
          <t>A-490__322</t>
        </is>
      </c>
      <c r="C4899" s="1" t="n">
        <v>37.474186609</v>
      </c>
      <c r="D4899" s="1" t="n">
        <v>-7.19688431117</v>
      </c>
      <c r="E4899" s="3" t="n">
        <v>1</v>
      </c>
      <c r="F4899" s="2" t="n">
        <v>2</v>
      </c>
      <c r="G4899" s="4" t="n"/>
      <c r="H4899" s="13" t="n">
        <v>2</v>
      </c>
      <c r="I4899" s="34" t="n">
        <v>2</v>
      </c>
      <c r="J4899" s="35" t="n">
        <v>2</v>
      </c>
      <c r="K4899" s="2" t="inlineStr">
        <is>
          <t>marker_583_751100.png</t>
        </is>
      </c>
      <c r="L4899" s="36">
        <f>HYPERLINK("Solo2\" &amp; K4899, "Ver Imagen")</f>
        <v/>
      </c>
      <c r="M4899" t="inlineStr">
        <is>
          <t>Mediana</t>
        </is>
      </c>
    </row>
    <row r="4900">
      <c r="A4900" s="33" t="n">
        <v>4904</v>
      </c>
      <c r="B4900" t="inlineStr">
        <is>
          <t>A-490__323</t>
        </is>
      </c>
      <c r="C4900" s="1" t="n">
        <v>37.4742876635</v>
      </c>
      <c r="D4900" s="1" t="n">
        <v>-7.19710335867</v>
      </c>
      <c r="E4900" s="3" t="n">
        <v>1</v>
      </c>
      <c r="F4900" s="2" t="n">
        <v>3</v>
      </c>
      <c r="G4900" s="4" t="n"/>
      <c r="H4900" s="13" t="n">
        <v>2</v>
      </c>
      <c r="I4900" s="34" t="n">
        <v>2</v>
      </c>
      <c r="J4900" s="35" t="n">
        <v>2</v>
      </c>
      <c r="K4900" s="2" t="inlineStr">
        <is>
          <t>marker_357_751127.png</t>
        </is>
      </c>
      <c r="L4900" s="36">
        <f>HYPERLINK("Solo2\" &amp; K4900, "Ver Imagen")</f>
        <v/>
      </c>
      <c r="M4900" t="inlineStr">
        <is>
          <t>Mediana</t>
        </is>
      </c>
    </row>
    <row r="4901">
      <c r="A4901" s="33" t="n">
        <v>4905</v>
      </c>
      <c r="B4901" t="inlineStr">
        <is>
          <t>A-490__324</t>
        </is>
      </c>
      <c r="C4901" s="1" t="n">
        <v>37.4743751305</v>
      </c>
      <c r="D4901" s="1" t="n">
        <v>-7.19730549131</v>
      </c>
      <c r="E4901" s="3" t="n">
        <v>1</v>
      </c>
      <c r="F4901" s="2" t="n">
        <v>2</v>
      </c>
      <c r="G4901" s="4" t="n"/>
      <c r="H4901" s="13" t="n">
        <v>2</v>
      </c>
      <c r="I4901" s="34" t="n">
        <v>2</v>
      </c>
      <c r="J4901" s="35" t="n">
        <v>2</v>
      </c>
      <c r="K4901" s="2" t="inlineStr">
        <is>
          <t>marker_591_751148.png</t>
        </is>
      </c>
      <c r="L4901" s="36">
        <f>HYPERLINK("Solo2\" &amp; K4901, "Ver Imagen")</f>
        <v/>
      </c>
      <c r="M4901" t="inlineStr">
        <is>
          <t>Mediana</t>
        </is>
      </c>
    </row>
    <row r="4902">
      <c r="A4902" s="33" t="n">
        <v>4906</v>
      </c>
      <c r="B4902" t="inlineStr">
        <is>
          <t>A-490__325</t>
        </is>
      </c>
      <c r="C4902" s="1" t="n">
        <v>37.4744745531</v>
      </c>
      <c r="D4902" s="1" t="n">
        <v>-7.19754058254</v>
      </c>
      <c r="E4902" s="3" t="n">
        <v>1</v>
      </c>
      <c r="F4902" s="2" t="n">
        <v>3</v>
      </c>
      <c r="G4902" s="4" t="n"/>
      <c r="H4902" s="13" t="n">
        <v>2</v>
      </c>
      <c r="I4902" s="34" t="n">
        <v>2</v>
      </c>
      <c r="J4902" s="35" t="n">
        <v>2</v>
      </c>
      <c r="K4902" s="2" t="inlineStr">
        <is>
          <t>marker_642_751168.png</t>
        </is>
      </c>
      <c r="L4902" s="36">
        <f>HYPERLINK("Solo2\" &amp; K4902, "Ver Imagen")</f>
        <v/>
      </c>
      <c r="M4902" t="inlineStr">
        <is>
          <t>Mediana</t>
        </is>
      </c>
    </row>
    <row r="4903">
      <c r="A4903" s="33" t="n">
        <v>4907</v>
      </c>
      <c r="B4903" t="inlineStr">
        <is>
          <t>A-490__326</t>
        </is>
      </c>
      <c r="C4903" s="1" t="n">
        <v>37.4745906223</v>
      </c>
      <c r="D4903" s="1" t="n">
        <v>-7.19781346578</v>
      </c>
      <c r="E4903" s="3" t="n">
        <v>1</v>
      </c>
      <c r="F4903" s="2" t="n">
        <v>2</v>
      </c>
      <c r="G4903" s="4" t="n"/>
      <c r="H4903" s="13" t="n">
        <v>2</v>
      </c>
      <c r="I4903" s="34" t="n">
        <v>2</v>
      </c>
      <c r="J4903" s="35" t="n">
        <v>2</v>
      </c>
      <c r="K4903" s="2" t="inlineStr">
        <is>
          <t>marker_845_751185.png</t>
        </is>
      </c>
      <c r="L4903" s="36">
        <f>HYPERLINK("Solo2\" &amp; K4903, "Ver Imagen")</f>
        <v/>
      </c>
      <c r="M4903" t="inlineStr">
        <is>
          <t>Mediana</t>
        </is>
      </c>
    </row>
    <row r="4904">
      <c r="A4904" s="33" t="n">
        <v>4908</v>
      </c>
      <c r="B4904" t="inlineStr">
        <is>
          <t>A-490__327</t>
        </is>
      </c>
      <c r="C4904" s="1" t="n">
        <v>37.4746813008</v>
      </c>
      <c r="D4904" s="1" t="n">
        <v>-7.1980251067</v>
      </c>
      <c r="E4904" s="3" t="n">
        <v>1</v>
      </c>
      <c r="F4904" s="2" t="n">
        <v>2</v>
      </c>
      <c r="G4904" s="4" t="n"/>
      <c r="H4904" s="13" t="n">
        <v>2</v>
      </c>
      <c r="I4904" s="34" t="n">
        <v>2</v>
      </c>
      <c r="J4904" s="35" t="n">
        <v>2</v>
      </c>
      <c r="K4904" s="2" t="inlineStr">
        <is>
          <t>marker_733_751201.png</t>
        </is>
      </c>
      <c r="L4904" s="36">
        <f>HYPERLINK("Solo2\" &amp; K4904, "Ver Imagen")</f>
        <v/>
      </c>
      <c r="M4904" t="inlineStr">
        <is>
          <t>Mediana</t>
        </is>
      </c>
    </row>
    <row r="4905">
      <c r="A4905" s="33" t="n">
        <v>4909</v>
      </c>
      <c r="B4905" t="inlineStr">
        <is>
          <t>A-490__328</t>
        </is>
      </c>
      <c r="C4905" s="1" t="n">
        <v>37.4747571261</v>
      </c>
      <c r="D4905" s="1" t="n">
        <v>-7.19820024368</v>
      </c>
      <c r="E4905" s="3" t="n">
        <v>1</v>
      </c>
      <c r="F4905" s="2" t="n">
        <v>3</v>
      </c>
      <c r="G4905" s="4" t="n"/>
      <c r="H4905" s="13" t="n">
        <v>2</v>
      </c>
      <c r="I4905" s="34" t="n">
        <v>2</v>
      </c>
      <c r="J4905" s="35" t="n">
        <v>2</v>
      </c>
      <c r="K4905" s="2" t="inlineStr">
        <is>
          <t>marker_587_751219.png</t>
        </is>
      </c>
      <c r="L4905" s="36">
        <f>HYPERLINK("Solo2\" &amp; K4905, "Ver Imagen")</f>
        <v/>
      </c>
      <c r="M4905" t="inlineStr">
        <is>
          <t>Mediana</t>
        </is>
      </c>
    </row>
    <row r="4906">
      <c r="A4906" s="33" t="n">
        <v>4910</v>
      </c>
      <c r="B4906" t="inlineStr">
        <is>
          <t>A-490__329</t>
        </is>
      </c>
      <c r="C4906" s="1" t="n">
        <v>37.4748492513</v>
      </c>
      <c r="D4906" s="1" t="n">
        <v>-7.19840925378</v>
      </c>
      <c r="E4906" s="3" t="n">
        <v>1</v>
      </c>
      <c r="F4906" s="2" t="n">
        <v>3</v>
      </c>
      <c r="G4906" s="4" t="n"/>
      <c r="H4906" s="13" t="n">
        <v>2</v>
      </c>
      <c r="I4906" s="34" t="n">
        <v>3</v>
      </c>
      <c r="J4906" s="35" t="n">
        <v>2.5</v>
      </c>
      <c r="K4906" s="2" t="inlineStr">
        <is>
          <t>marker_430_751240.png</t>
        </is>
      </c>
      <c r="L4906" s="36">
        <f>HYPERLINK("Solo2\" &amp; K4906, "Ver Imagen")</f>
        <v/>
      </c>
      <c r="M4906" t="inlineStr">
        <is>
          <t>Mediana</t>
        </is>
      </c>
    </row>
    <row r="4907">
      <c r="A4907" s="33" t="n">
        <v>4911</v>
      </c>
      <c r="B4907" t="inlineStr">
        <is>
          <t>A-490__330</t>
        </is>
      </c>
      <c r="C4907" s="1" t="n">
        <v>37.4749638972</v>
      </c>
      <c r="D4907" s="1" t="n">
        <v>-7.19866788995</v>
      </c>
      <c r="E4907" s="3" t="n">
        <v>1</v>
      </c>
      <c r="F4907" s="2" t="n">
        <v>2</v>
      </c>
      <c r="G4907" s="4" t="n"/>
      <c r="H4907" s="13" t="n">
        <v>2</v>
      </c>
      <c r="I4907" s="34" t="n">
        <v>2</v>
      </c>
      <c r="J4907" s="35" t="n">
        <v>2</v>
      </c>
      <c r="K4907" s="2" t="inlineStr">
        <is>
          <t>marker_714_751254.png</t>
        </is>
      </c>
      <c r="L4907" s="36">
        <f>HYPERLINK("Solo2\" &amp; K4907, "Ver Imagen")</f>
        <v/>
      </c>
      <c r="M4907" t="inlineStr">
        <is>
          <t>Mediana</t>
        </is>
      </c>
    </row>
    <row r="4908">
      <c r="A4908" s="33" t="n">
        <v>4912</v>
      </c>
      <c r="B4908" t="inlineStr">
        <is>
          <t>A-490__331</t>
        </is>
      </c>
      <c r="C4908" s="1" t="n">
        <v>37.4750675435</v>
      </c>
      <c r="D4908" s="1" t="n">
        <v>-7.19890476943</v>
      </c>
      <c r="E4908" s="3" t="n">
        <v>1</v>
      </c>
      <c r="F4908" s="2" t="n">
        <v>2</v>
      </c>
      <c r="G4908" s="4" t="n"/>
      <c r="H4908" s="13" t="n">
        <v>2</v>
      </c>
      <c r="I4908" s="34" t="n">
        <v>2</v>
      </c>
      <c r="J4908" s="35" t="n">
        <v>2</v>
      </c>
      <c r="K4908" s="2" t="inlineStr">
        <is>
          <t>marker_541_751279.png</t>
        </is>
      </c>
      <c r="L4908" s="36">
        <f>HYPERLINK("Solo2\" &amp; K4908, "Ver Imagen")</f>
        <v/>
      </c>
      <c r="M4908" t="inlineStr">
        <is>
          <t>Mediana</t>
        </is>
      </c>
    </row>
    <row r="4909">
      <c r="A4909" s="33" t="n">
        <v>4913</v>
      </c>
      <c r="B4909" t="inlineStr">
        <is>
          <t>A-490__332</t>
        </is>
      </c>
      <c r="C4909" s="1" t="n">
        <v>37.4751279424</v>
      </c>
      <c r="D4909" s="1" t="n">
        <v>-7.19904321954</v>
      </c>
      <c r="E4909" s="3" t="n">
        <v>2</v>
      </c>
      <c r="F4909" s="2" t="n">
        <v>3</v>
      </c>
      <c r="G4909" s="4" t="n"/>
      <c r="H4909" s="13" t="n">
        <v>3</v>
      </c>
      <c r="I4909" s="34" t="n">
        <v>3</v>
      </c>
      <c r="J4909" s="35" t="n">
        <v>3</v>
      </c>
      <c r="K4909" s="2" t="inlineStr">
        <is>
          <t>marker_287_751295.png</t>
        </is>
      </c>
      <c r="L4909" s="36">
        <f>HYPERLINK("Solo2\" &amp; K4909, "Ver Imagen")</f>
        <v/>
      </c>
      <c r="M4909" t="inlineStr">
        <is>
          <t>Mediana</t>
        </is>
      </c>
    </row>
    <row r="4910">
      <c r="A4910" s="33" t="n">
        <v>4914</v>
      </c>
      <c r="B4910" t="inlineStr">
        <is>
          <t>A-490__333</t>
        </is>
      </c>
      <c r="C4910" s="1" t="n">
        <v>37.4752450383</v>
      </c>
      <c r="D4910" s="1" t="n">
        <v>-7.19930973459</v>
      </c>
      <c r="E4910" s="3" t="n">
        <v>2</v>
      </c>
      <c r="F4910" s="2" t="n">
        <v>3</v>
      </c>
      <c r="G4910" s="4" t="n"/>
      <c r="H4910" s="13" t="n">
        <v>2</v>
      </c>
      <c r="I4910" s="34" t="n">
        <v>2</v>
      </c>
      <c r="J4910" s="35" t="n">
        <v>2</v>
      </c>
      <c r="K4910" s="2" t="inlineStr">
        <is>
          <t>marker_417_751317.png</t>
        </is>
      </c>
      <c r="L4910" s="36">
        <f>HYPERLINK("Solo2\" &amp; K4910, "Ver Imagen")</f>
        <v/>
      </c>
      <c r="M4910" t="inlineStr">
        <is>
          <t>Mediana</t>
        </is>
      </c>
    </row>
    <row r="4911">
      <c r="A4911" s="33" t="n">
        <v>4915</v>
      </c>
      <c r="B4911" t="inlineStr">
        <is>
          <t>A-490__334</t>
        </is>
      </c>
      <c r="C4911" s="1" t="n">
        <v>37.4753410514</v>
      </c>
      <c r="D4911" s="1" t="n">
        <v>-7.19952737247</v>
      </c>
      <c r="E4911" s="3" t="n">
        <v>1</v>
      </c>
      <c r="F4911" s="2" t="n">
        <v>1</v>
      </c>
      <c r="G4911" s="4" t="n"/>
      <c r="H4911" s="13" t="n">
        <v>2</v>
      </c>
      <c r="I4911" s="34" t="n">
        <v>2</v>
      </c>
      <c r="J4911" s="35" t="n">
        <v>1.5</v>
      </c>
      <c r="K4911" s="2" t="inlineStr">
        <is>
          <t>marker_850_751343.png</t>
        </is>
      </c>
      <c r="L4911" s="36">
        <f>HYPERLINK("Solo2\" &amp; K4911, "Ver Imagen")</f>
        <v/>
      </c>
      <c r="M4911" t="inlineStr">
        <is>
          <t>Mediana</t>
        </is>
      </c>
    </row>
    <row r="4912">
      <c r="A4912" s="33" t="n">
        <v>4916</v>
      </c>
      <c r="B4912" t="inlineStr">
        <is>
          <t>A-490__335</t>
        </is>
      </c>
      <c r="C4912" s="1" t="n">
        <v>37.475465799</v>
      </c>
      <c r="D4912" s="1" t="n">
        <v>-7.19981320207</v>
      </c>
      <c r="E4912" s="3" t="n">
        <v>1</v>
      </c>
      <c r="F4912" s="2" t="n">
        <v>4</v>
      </c>
      <c r="G4912" s="4" t="n"/>
      <c r="H4912" s="13" t="n">
        <v>3</v>
      </c>
      <c r="I4912" s="34" t="n">
        <v>2</v>
      </c>
      <c r="J4912" s="35" t="n">
        <v>2.5</v>
      </c>
      <c r="K4912" s="2" t="inlineStr">
        <is>
          <t>marker_303_751366.png</t>
        </is>
      </c>
      <c r="L4912" s="36">
        <f>HYPERLINK("Solo2\" &amp; K4912, "Ver Imagen")</f>
        <v/>
      </c>
      <c r="M4912" t="inlineStr">
        <is>
          <t>Mediana</t>
        </is>
      </c>
    </row>
    <row r="4913">
      <c r="A4913" s="33" t="n">
        <v>4917</v>
      </c>
      <c r="B4913" t="inlineStr">
        <is>
          <t>A-490__337</t>
        </is>
      </c>
      <c r="C4913" s="1" t="n">
        <v>37.4756333365</v>
      </c>
      <c r="D4913" s="1" t="n">
        <v>-7.20020621671</v>
      </c>
      <c r="E4913" s="3" t="n">
        <v>2</v>
      </c>
      <c r="F4913" s="2" t="n">
        <v>4</v>
      </c>
      <c r="G4913" s="4" t="n"/>
      <c r="H4913" s="13" t="n">
        <v>3</v>
      </c>
      <c r="I4913" s="34" t="n">
        <v>3</v>
      </c>
      <c r="J4913" s="35" t="n">
        <v>3</v>
      </c>
      <c r="K4913" s="2" t="inlineStr">
        <is>
          <t>marker_399_751429.png</t>
        </is>
      </c>
      <c r="L4913" s="36">
        <f>HYPERLINK("Solo2\" &amp; K4913, "Ver Imagen")</f>
        <v/>
      </c>
      <c r="M4913" t="inlineStr">
        <is>
          <t>Mediana</t>
        </is>
      </c>
    </row>
    <row r="4914">
      <c r="A4914" s="33" t="n">
        <v>4918</v>
      </c>
      <c r="B4914" t="inlineStr">
        <is>
          <t>A-490__338</t>
        </is>
      </c>
      <c r="C4914" s="1" t="n">
        <v>37.4757317658</v>
      </c>
      <c r="D4914" s="1" t="n">
        <v>-7.20043698585</v>
      </c>
      <c r="E4914" s="3" t="n">
        <v>2</v>
      </c>
      <c r="F4914" s="2" t="n">
        <v>3</v>
      </c>
      <c r="G4914" s="4" t="n"/>
      <c r="H4914" s="13" t="n">
        <v>3</v>
      </c>
      <c r="I4914" s="34" t="n">
        <v>3</v>
      </c>
      <c r="J4914" s="35" t="n">
        <v>3</v>
      </c>
      <c r="K4914" s="2" t="inlineStr">
        <is>
          <t>marker_629_751453.png</t>
        </is>
      </c>
      <c r="L4914" s="36">
        <f>HYPERLINK("Solo2\" &amp; K4914, "Ver Imagen")</f>
        <v/>
      </c>
      <c r="M4914" t="inlineStr">
        <is>
          <t>Mediana</t>
        </is>
      </c>
    </row>
    <row r="4915">
      <c r="A4915" s="33" t="n">
        <v>4919</v>
      </c>
      <c r="B4915" t="inlineStr">
        <is>
          <t>A-490__339</t>
        </is>
      </c>
      <c r="C4915" s="1" t="n">
        <v>37.4758313486</v>
      </c>
      <c r="D4915" s="1" t="n">
        <v>-7.2006695098</v>
      </c>
      <c r="E4915" s="3" t="n">
        <v>1</v>
      </c>
      <c r="F4915" s="2" t="n">
        <v>2</v>
      </c>
      <c r="G4915" s="4" t="n"/>
      <c r="H4915" s="13" t="n">
        <v>2</v>
      </c>
      <c r="I4915" s="34" t="n">
        <v>1</v>
      </c>
      <c r="J4915" s="35" t="n">
        <v>1.5</v>
      </c>
      <c r="K4915" s="2" t="inlineStr">
        <is>
          <t>marker_224_751479.png</t>
        </is>
      </c>
      <c r="L4915" s="36">
        <f>HYPERLINK("Solo2\" &amp; K4915, "Ver Imagen")</f>
        <v/>
      </c>
      <c r="M4915" t="inlineStr">
        <is>
          <t>Mediana</t>
        </is>
      </c>
    </row>
    <row r="4916">
      <c r="A4916" s="33" t="n">
        <v>4920</v>
      </c>
      <c r="B4916" t="inlineStr">
        <is>
          <t>A-490__340</t>
        </is>
      </c>
      <c r="C4916" s="1" t="n">
        <v>37.475920134</v>
      </c>
      <c r="D4916" s="1" t="n">
        <v>-7.20087648716</v>
      </c>
      <c r="E4916" s="3" t="n">
        <v>1</v>
      </c>
      <c r="F4916" s="2" t="n">
        <v>2</v>
      </c>
      <c r="G4916" s="4" t="n"/>
      <c r="H4916" s="13" t="n">
        <v>2</v>
      </c>
      <c r="I4916" s="34" t="n">
        <v>1</v>
      </c>
      <c r="J4916" s="35" t="n">
        <v>1.5</v>
      </c>
      <c r="K4916" s="2" t="inlineStr">
        <is>
          <t>marker_952_751503.png</t>
        </is>
      </c>
      <c r="L4916" s="36">
        <f>HYPERLINK("Solo2\" &amp; K4916, "Ver Imagen")</f>
        <v/>
      </c>
      <c r="M4916" t="inlineStr">
        <is>
          <t>Mediana</t>
        </is>
      </c>
    </row>
    <row r="4917">
      <c r="A4917" s="33" t="n">
        <v>4921</v>
      </c>
      <c r="B4917" t="inlineStr">
        <is>
          <t>A-490__341</t>
        </is>
      </c>
      <c r="C4917" s="1" t="n">
        <v>37.4760244838</v>
      </c>
      <c r="D4917" s="1" t="n">
        <v>-7.201119385</v>
      </c>
      <c r="E4917" s="3" t="n">
        <v>2</v>
      </c>
      <c r="F4917" s="2" t="n">
        <v>3</v>
      </c>
      <c r="G4917" s="4" t="n"/>
      <c r="H4917" s="13" t="n">
        <v>3</v>
      </c>
      <c r="I4917" s="34" t="n">
        <v>3</v>
      </c>
      <c r="J4917" s="35" t="n">
        <v>3</v>
      </c>
      <c r="K4917" s="2" t="inlineStr">
        <is>
          <t>marker_826_751521.png</t>
        </is>
      </c>
      <c r="L4917" s="36">
        <f>HYPERLINK("Solo2\" &amp; K4917, "Ver Imagen")</f>
        <v/>
      </c>
      <c r="M4917" t="inlineStr">
        <is>
          <t>Mediana</t>
        </is>
      </c>
    </row>
    <row r="4918">
      <c r="A4918" s="33" t="n">
        <v>4922</v>
      </c>
      <c r="B4918" t="inlineStr">
        <is>
          <t>A-490__342</t>
        </is>
      </c>
      <c r="C4918" s="1" t="n">
        <v>37.4761351029</v>
      </c>
      <c r="D4918" s="1" t="n">
        <v>-7.2013765617</v>
      </c>
      <c r="E4918" s="3" t="n">
        <v>1</v>
      </c>
      <c r="F4918" s="2" t="n">
        <v>3</v>
      </c>
      <c r="G4918" s="4" t="n"/>
      <c r="H4918" s="13" t="n">
        <v>2</v>
      </c>
      <c r="I4918" s="34" t="n">
        <v>2</v>
      </c>
      <c r="J4918" s="35" t="n">
        <v>2</v>
      </c>
      <c r="K4918" s="2" t="inlineStr">
        <is>
          <t>marker_633_751536.png</t>
        </is>
      </c>
      <c r="L4918" s="36">
        <f>HYPERLINK("Solo2\" &amp; K4918, "Ver Imagen")</f>
        <v/>
      </c>
      <c r="M4918" t="inlineStr">
        <is>
          <t>Mediana</t>
        </is>
      </c>
    </row>
    <row r="4919">
      <c r="A4919" s="33" t="n">
        <v>4923</v>
      </c>
      <c r="B4919" t="inlineStr">
        <is>
          <t>A-490__343</t>
        </is>
      </c>
      <c r="C4919" s="1" t="n">
        <v>37.47622609</v>
      </c>
      <c r="D4919" s="1" t="n">
        <v>-7.20158697377</v>
      </c>
      <c r="E4919" s="3" t="n">
        <v>1</v>
      </c>
      <c r="F4919" s="2" t="n">
        <v>2</v>
      </c>
      <c r="G4919" s="4" t="n"/>
      <c r="H4919" s="13" t="n">
        <v>1</v>
      </c>
      <c r="I4919" s="34" t="n">
        <v>1</v>
      </c>
      <c r="J4919" s="35" t="n">
        <v>1</v>
      </c>
      <c r="K4919" s="2" t="inlineStr">
        <is>
          <t>marker_114_751549.png</t>
        </is>
      </c>
      <c r="L4919" s="36">
        <f>HYPERLINK("Solo2\" &amp; K4919, "Ver Imagen")</f>
        <v/>
      </c>
      <c r="M4919" t="inlineStr">
        <is>
          <t>Mediana</t>
        </is>
      </c>
    </row>
    <row r="4920">
      <c r="A4920" s="33" t="n">
        <v>4924</v>
      </c>
      <c r="B4920" t="inlineStr">
        <is>
          <t>A-490__344</t>
        </is>
      </c>
      <c r="C4920" s="1" t="n">
        <v>37.4763157628</v>
      </c>
      <c r="D4920" s="1" t="n">
        <v>-7.2017945205</v>
      </c>
      <c r="E4920" s="3" t="n">
        <v>1</v>
      </c>
      <c r="F4920" s="2" t="n">
        <v>2</v>
      </c>
      <c r="G4920" s="4" t="n"/>
      <c r="H4920" s="13" t="n">
        <v>2</v>
      </c>
      <c r="I4920" s="34" t="n">
        <v>2</v>
      </c>
      <c r="J4920" s="35" t="n">
        <v>2</v>
      </c>
      <c r="K4920" s="2" t="inlineStr">
        <is>
          <t>marker_125_751562.png</t>
        </is>
      </c>
      <c r="L4920" s="36">
        <f>HYPERLINK("Solo2\" &amp; K4920, "Ver Imagen")</f>
        <v/>
      </c>
      <c r="M4920" t="inlineStr">
        <is>
          <t>Mediana</t>
        </is>
      </c>
    </row>
    <row r="4921">
      <c r="A4921" s="33" t="n">
        <v>4925</v>
      </c>
      <c r="B4921" t="inlineStr">
        <is>
          <t>A-490__345</t>
        </is>
      </c>
      <c r="C4921" s="1" t="n">
        <v>37.4763857456</v>
      </c>
      <c r="D4921" s="1" t="n">
        <v>-7.20195755721</v>
      </c>
      <c r="E4921" s="3" t="n">
        <v>1</v>
      </c>
      <c r="F4921" s="2" t="n">
        <v>2</v>
      </c>
      <c r="G4921" s="4" t="n"/>
      <c r="H4921" s="13" t="n">
        <v>2</v>
      </c>
      <c r="I4921" s="34" t="n">
        <v>1</v>
      </c>
      <c r="J4921" s="35" t="n">
        <v>1.5</v>
      </c>
      <c r="K4921" s="2" t="inlineStr">
        <is>
          <t>marker_796_751590.png</t>
        </is>
      </c>
      <c r="L4921" s="36">
        <f>HYPERLINK("Solo2\" &amp; K4921, "Ver Imagen")</f>
        <v/>
      </c>
      <c r="M4921" t="inlineStr">
        <is>
          <t>Mediana</t>
        </is>
      </c>
    </row>
    <row r="4922">
      <c r="A4922" s="33" t="n">
        <v>4926</v>
      </c>
      <c r="B4922" t="inlineStr">
        <is>
          <t>A-490__348</t>
        </is>
      </c>
      <c r="C4922" s="1" t="n">
        <v>37.4766906419</v>
      </c>
      <c r="D4922" s="1" t="n">
        <v>-7.202672126</v>
      </c>
      <c r="E4922" s="3" t="n">
        <v>1</v>
      </c>
      <c r="F4922" s="2" t="n">
        <v>2</v>
      </c>
      <c r="G4922" s="4" t="n"/>
      <c r="H4922" s="13" t="n">
        <v>2</v>
      </c>
      <c r="I4922" s="34" t="n">
        <v>1</v>
      </c>
      <c r="J4922" s="35" t="n">
        <v>1.5</v>
      </c>
      <c r="K4922" s="2" t="inlineStr">
        <is>
          <t>marker_523_751645.png</t>
        </is>
      </c>
      <c r="L4922" s="36">
        <f>HYPERLINK("Solo2\" &amp; K4922, "Ver Imagen")</f>
        <v/>
      </c>
      <c r="M4922" t="inlineStr">
        <is>
          <t>Mediana</t>
        </is>
      </c>
    </row>
    <row r="4923">
      <c r="A4923" s="33" t="n">
        <v>4927</v>
      </c>
      <c r="B4923" t="inlineStr">
        <is>
          <t>A-490__382</t>
        </is>
      </c>
      <c r="C4923" s="1" t="n">
        <v>37.479970878</v>
      </c>
      <c r="D4923" s="1" t="n">
        <v>-7.21028861656</v>
      </c>
      <c r="E4923" s="3" t="n"/>
      <c r="F4923" s="2" t="n">
        <v>3</v>
      </c>
      <c r="G4923" s="4" t="n">
        <v>2</v>
      </c>
      <c r="H4923" s="13" t="n">
        <v>2</v>
      </c>
      <c r="I4923" s="34" t="n">
        <v>2</v>
      </c>
      <c r="J4923" s="35" t="n">
        <v>2</v>
      </c>
      <c r="K4923" s="2" t="inlineStr">
        <is>
          <t>marker_919_752393.png</t>
        </is>
      </c>
      <c r="L4923" s="36">
        <f>HYPERLINK("Solo2\" &amp; K4923, "Ver Imagen")</f>
        <v/>
      </c>
      <c r="M4923" t="inlineStr">
        <is>
          <t>Mediana</t>
        </is>
      </c>
    </row>
    <row r="4924">
      <c r="A4924" s="33" t="n">
        <v>4928</v>
      </c>
      <c r="B4924" t="inlineStr">
        <is>
          <t>A-490__388</t>
        </is>
      </c>
      <c r="C4924" s="1" t="n">
        <v>37.4805403387</v>
      </c>
      <c r="D4924" s="1" t="n">
        <v>-7.21162215569</v>
      </c>
      <c r="E4924" s="3" t="n">
        <v>2</v>
      </c>
      <c r="F4924" s="2" t="n">
        <v>3</v>
      </c>
      <c r="G4924" s="4" t="n"/>
      <c r="H4924" s="13" t="n">
        <v>2</v>
      </c>
      <c r="I4924" s="34" t="n">
        <v>2</v>
      </c>
      <c r="J4924" s="35" t="n">
        <v>2</v>
      </c>
      <c r="K4924" s="2" t="inlineStr">
        <is>
          <t>marker_374_752494.png</t>
        </is>
      </c>
      <c r="L4924" s="36">
        <f>HYPERLINK("Solo2\" &amp; K4924, "Ver Imagen")</f>
        <v/>
      </c>
      <c r="M4924" t="inlineStr">
        <is>
          <t>Mediana</t>
        </is>
      </c>
    </row>
    <row r="4925">
      <c r="A4925" s="33" t="n">
        <v>4929</v>
      </c>
      <c r="B4925" t="inlineStr">
        <is>
          <t>A-490__561</t>
        </is>
      </c>
      <c r="C4925" s="1" t="n">
        <v>37.4906399977</v>
      </c>
      <c r="D4925" s="1" t="n">
        <v>-7.25298585461</v>
      </c>
      <c r="E4925" s="3" t="n">
        <v>1</v>
      </c>
      <c r="F4925" s="2" t="n">
        <v>3</v>
      </c>
      <c r="G4925" s="4" t="n"/>
      <c r="H4925" s="13" t="n">
        <v>1</v>
      </c>
      <c r="I4925" s="34" t="n">
        <v>1</v>
      </c>
      <c r="J4925" s="35" t="n">
        <v>1</v>
      </c>
      <c r="K4925" s="2" t="inlineStr">
        <is>
          <t>marker_501_819189.png</t>
        </is>
      </c>
      <c r="L4925" s="36">
        <f>HYPERLINK("Solo2\" &amp; K4925, "Ver Imagen")</f>
        <v/>
      </c>
      <c r="M4925" t="inlineStr">
        <is>
          <t>Mediana</t>
        </is>
      </c>
    </row>
    <row r="4926">
      <c r="A4926" s="33" t="n">
        <v>4930</v>
      </c>
      <c r="B4926" t="inlineStr">
        <is>
          <t>A-490__612</t>
        </is>
      </c>
      <c r="C4926" s="1" t="n">
        <v>37.4933996923</v>
      </c>
      <c r="D4926" s="1" t="n">
        <v>-7.26416615699</v>
      </c>
      <c r="E4926" s="3" t="n"/>
      <c r="F4926" s="2" t="n">
        <v>2</v>
      </c>
      <c r="G4926" s="4" t="n">
        <v>3</v>
      </c>
      <c r="H4926" s="13" t="n">
        <v>1</v>
      </c>
      <c r="I4926" s="34" t="n">
        <v>1</v>
      </c>
      <c r="J4926" s="35" t="n">
        <v>1.5</v>
      </c>
      <c r="K4926" s="2" t="inlineStr">
        <is>
          <t>marker_982_820224.png</t>
        </is>
      </c>
      <c r="L4926" s="36">
        <f>HYPERLINK("Solo2\" &amp; K4926, "Ver Imagen")</f>
        <v/>
      </c>
      <c r="M4926" t="inlineStr">
        <is>
          <t>Mediana</t>
        </is>
      </c>
    </row>
    <row r="4927">
      <c r="A4927" s="33" t="n">
        <v>4931</v>
      </c>
      <c r="B4927" t="inlineStr">
        <is>
          <t>A-492__4</t>
        </is>
      </c>
      <c r="C4927" s="1" t="n">
        <v>37.2722776966</v>
      </c>
      <c r="D4927" s="1" t="n">
        <v>-6.99087826244</v>
      </c>
      <c r="E4927" s="3" t="n"/>
      <c r="F4927" s="2" t="n">
        <v>4</v>
      </c>
      <c r="G4927" s="4" t="n">
        <v>5</v>
      </c>
      <c r="H4927" s="13" t="n">
        <v>4</v>
      </c>
      <c r="I4927" s="34" t="n">
        <v>5</v>
      </c>
      <c r="J4927" s="35" t="n">
        <v>4.5</v>
      </c>
      <c r="K4927" s="2" t="inlineStr">
        <is>
          <t>marker_332_821520.png</t>
        </is>
      </c>
      <c r="L4927" s="36">
        <f>HYPERLINK("Solo2\" &amp; K4927, "Ver Imagen")</f>
        <v/>
      </c>
      <c r="M4927" t="inlineStr">
        <is>
          <t>Mediana</t>
        </is>
      </c>
    </row>
    <row r="4928">
      <c r="A4928" s="33" t="n">
        <v>4932</v>
      </c>
      <c r="B4928" t="inlineStr">
        <is>
          <t>A-492__31</t>
        </is>
      </c>
      <c r="C4928" s="1" t="n">
        <v>37.2770676938</v>
      </c>
      <c r="D4928" s="1" t="n">
        <v>-6.99181699201</v>
      </c>
      <c r="E4928" s="3" t="n"/>
      <c r="F4928" s="2" t="n">
        <v>4</v>
      </c>
      <c r="G4928" s="4" t="n">
        <v>4</v>
      </c>
      <c r="H4928" s="13" t="n">
        <v>3</v>
      </c>
      <c r="I4928" s="34" t="n">
        <v>4</v>
      </c>
      <c r="J4928" s="35" t="n">
        <v>4</v>
      </c>
      <c r="K4928" s="2" t="inlineStr">
        <is>
          <t>marker_643_822357.png</t>
        </is>
      </c>
      <c r="L4928" s="36">
        <f>HYPERLINK("Solo2\" &amp; K4928, "Ver Imagen")</f>
        <v/>
      </c>
      <c r="M4928" t="inlineStr">
        <is>
          <t>Mediana</t>
        </is>
      </c>
    </row>
    <row r="4929">
      <c r="A4929" s="33" t="n">
        <v>4933</v>
      </c>
      <c r="B4929" t="inlineStr">
        <is>
          <t>A-492__46</t>
        </is>
      </c>
      <c r="C4929" s="1" t="n">
        <v>37.2790501503</v>
      </c>
      <c r="D4929" s="1" t="n">
        <v>-6.99464606939</v>
      </c>
      <c r="E4929" s="3" t="n">
        <v>2</v>
      </c>
      <c r="F4929" s="2" t="n"/>
      <c r="G4929" s="4" t="n"/>
      <c r="H4929" s="13" t="n">
        <v>3</v>
      </c>
      <c r="I4929" s="34" t="n">
        <v>3</v>
      </c>
      <c r="J4929" s="35" t="n">
        <v>3</v>
      </c>
      <c r="K4929" s="2" t="inlineStr">
        <is>
          <t>marker_414_822951.png</t>
        </is>
      </c>
      <c r="L4929" s="36">
        <f>HYPERLINK("Solo2\" &amp; K4929, "Ver Imagen")</f>
        <v/>
      </c>
      <c r="M4929" t="inlineStr">
        <is>
          <t>Mediana</t>
        </is>
      </c>
    </row>
    <row r="4930">
      <c r="A4930" s="33" t="n">
        <v>4934</v>
      </c>
      <c r="B4930" t="inlineStr">
        <is>
          <t>A-492__61</t>
        </is>
      </c>
      <c r="C4930" s="1" t="n">
        <v>37.279852295</v>
      </c>
      <c r="D4930" s="1" t="n">
        <v>-6.9982803019</v>
      </c>
      <c r="E4930" s="3" t="n">
        <v>3</v>
      </c>
      <c r="F4930" s="2" t="n">
        <v>4</v>
      </c>
      <c r="G4930" s="4" t="n"/>
      <c r="H4930" s="13" t="n">
        <v>4</v>
      </c>
      <c r="I4930" s="34" t="n">
        <v>5</v>
      </c>
      <c r="J4930" s="35" t="n">
        <v>4</v>
      </c>
      <c r="K4930" s="2" t="inlineStr">
        <is>
          <t>marker_300_823155.png</t>
        </is>
      </c>
      <c r="L4930" s="36">
        <f>HYPERLINK("Solo2\" &amp; K4930, "Ver Imagen")</f>
        <v/>
      </c>
      <c r="M4930" t="inlineStr">
        <is>
          <t>Mediana</t>
        </is>
      </c>
    </row>
    <row r="4931">
      <c r="A4931" s="33" t="n">
        <v>4935</v>
      </c>
      <c r="B4931" t="inlineStr">
        <is>
          <t>A-492__74</t>
        </is>
      </c>
      <c r="C4931" s="1" t="n">
        <v>37.2804967529</v>
      </c>
      <c r="D4931" s="1" t="n">
        <v>-7.0010482023</v>
      </c>
      <c r="E4931" s="3" t="n">
        <v>3</v>
      </c>
      <c r="F4931" s="2" t="n">
        <v>3</v>
      </c>
      <c r="G4931" s="4" t="n"/>
      <c r="H4931" s="13" t="n">
        <v>3</v>
      </c>
      <c r="I4931" s="34" t="n">
        <v>3</v>
      </c>
      <c r="J4931" s="35" t="n">
        <v>3</v>
      </c>
      <c r="K4931" s="2" t="inlineStr">
        <is>
          <t>marker_196_823394.png</t>
        </is>
      </c>
      <c r="L4931" s="36">
        <f>HYPERLINK("Solo2\" &amp; K4931, "Ver Imagen")</f>
        <v/>
      </c>
      <c r="M4931" t="inlineStr">
        <is>
          <t>Mediana</t>
        </is>
      </c>
    </row>
    <row r="4932">
      <c r="A4932" s="33" t="n">
        <v>4936</v>
      </c>
      <c r="B4932" t="inlineStr">
        <is>
          <t>A-492__150</t>
        </is>
      </c>
      <c r="C4932" s="1" t="n">
        <v>37.2755487871</v>
      </c>
      <c r="D4932" s="1" t="n">
        <v>-7.01827158514</v>
      </c>
      <c r="E4932" s="3" t="n">
        <v>1</v>
      </c>
      <c r="F4932" s="2" t="n">
        <v>2</v>
      </c>
      <c r="G4932" s="4" t="n"/>
      <c r="H4932" s="13" t="n">
        <v>3</v>
      </c>
      <c r="I4932" s="34" t="n">
        <v>3</v>
      </c>
      <c r="J4932" s="35" t="n">
        <v>2.5</v>
      </c>
      <c r="K4932" s="2" t="inlineStr">
        <is>
          <t>marker_414_824802.png</t>
        </is>
      </c>
      <c r="L4932" s="36">
        <f>HYPERLINK("Solo2\" &amp; K4932, "Ver Imagen")</f>
        <v/>
      </c>
      <c r="M4932" t="inlineStr">
        <is>
          <t>Mediana</t>
        </is>
      </c>
    </row>
    <row r="4933">
      <c r="A4933" s="33" t="n">
        <v>4937</v>
      </c>
      <c r="B4933" t="inlineStr">
        <is>
          <t>A-492__205</t>
        </is>
      </c>
      <c r="C4933" s="1" t="n">
        <v>37.279341158</v>
      </c>
      <c r="D4933" s="1" t="n">
        <v>-7.03074697085</v>
      </c>
      <c r="E4933" s="3" t="n"/>
      <c r="F4933" s="2" t="n">
        <v>3</v>
      </c>
      <c r="G4933" s="4" t="n">
        <v>3</v>
      </c>
      <c r="H4933" s="13" t="n">
        <v>2</v>
      </c>
      <c r="I4933" s="34" t="n">
        <v>1</v>
      </c>
      <c r="J4933" s="37" t="n">
        <v>2</v>
      </c>
      <c r="K4933" s="2" t="inlineStr">
        <is>
          <t>marker_923_831980.png</t>
        </is>
      </c>
      <c r="L4933" s="36">
        <f>HYPERLINK("Solo2\" &amp; K4933, "Ver Imagen")</f>
        <v/>
      </c>
      <c r="M4933" s="37" t="inlineStr">
        <is>
          <t>Modificada</t>
        </is>
      </c>
    </row>
    <row r="4934">
      <c r="A4934" s="33" t="n">
        <v>4938</v>
      </c>
      <c r="B4934" t="inlineStr">
        <is>
          <t>A-492__249</t>
        </is>
      </c>
      <c r="C4934" s="1" t="n">
        <v>37.2844687619</v>
      </c>
      <c r="D4934" s="1" t="n">
        <v>-7.03858232169</v>
      </c>
      <c r="E4934" s="3" t="n">
        <v>1</v>
      </c>
      <c r="F4934" s="2" t="n">
        <v>1</v>
      </c>
      <c r="G4934" s="4" t="n"/>
      <c r="H4934" s="13" t="n">
        <v>1</v>
      </c>
      <c r="I4934" s="34" t="n">
        <v>1</v>
      </c>
      <c r="J4934" s="35" t="n">
        <v>1</v>
      </c>
      <c r="K4934" s="2" t="inlineStr">
        <is>
          <t>marker_396_836086.png</t>
        </is>
      </c>
      <c r="L4934" s="36">
        <f>HYPERLINK("Solo2\" &amp; K4934, "Ver Imagen")</f>
        <v/>
      </c>
      <c r="M4934" t="inlineStr">
        <is>
          <t>Mediana</t>
        </is>
      </c>
    </row>
    <row r="4935">
      <c r="A4935" s="33" t="n">
        <v>4939</v>
      </c>
      <c r="B4935" t="inlineStr">
        <is>
          <t>A-492__306</t>
        </is>
      </c>
      <c r="C4935" s="1" t="n">
        <v>37.2934187128</v>
      </c>
      <c r="D4935" s="1" t="n">
        <v>-7.04649551285</v>
      </c>
      <c r="E4935" s="3" t="n">
        <v>1</v>
      </c>
      <c r="F4935" s="2" t="n">
        <v>2</v>
      </c>
      <c r="G4935" s="4" t="n"/>
      <c r="H4935" s="13" t="n">
        <v>2</v>
      </c>
      <c r="I4935" s="34" t="n">
        <v>1</v>
      </c>
      <c r="J4935" s="35" t="n">
        <v>1.5</v>
      </c>
      <c r="K4935" s="2" t="inlineStr">
        <is>
          <t>marker_593_837622.png</t>
        </is>
      </c>
      <c r="L4935" s="36">
        <f>HYPERLINK("Solo2\" &amp; K4935, "Ver Imagen")</f>
        <v/>
      </c>
      <c r="M4935" t="inlineStr">
        <is>
          <t>Mediana</t>
        </is>
      </c>
    </row>
    <row r="4936">
      <c r="A4936" s="33" t="n">
        <v>4940</v>
      </c>
      <c r="B4936" t="inlineStr">
        <is>
          <t>A-492__366</t>
        </is>
      </c>
      <c r="C4936" s="1" t="n">
        <v>37.3020692724</v>
      </c>
      <c r="D4936" s="1" t="n">
        <v>-7.05647923232</v>
      </c>
      <c r="E4936" s="3" t="n"/>
      <c r="F4936" s="2" t="n">
        <v>1</v>
      </c>
      <c r="G4936" s="4" t="n">
        <v>1</v>
      </c>
      <c r="H4936" s="13" t="n">
        <v>1</v>
      </c>
      <c r="I4936" s="34" t="n">
        <v>1</v>
      </c>
      <c r="J4936" s="35" t="n">
        <v>1</v>
      </c>
      <c r="K4936" s="2" t="inlineStr">
        <is>
          <t>marker_386_838715.png</t>
        </is>
      </c>
      <c r="L4936" s="36">
        <f>HYPERLINK("Solo2\" &amp; K4936, "Ver Imagen")</f>
        <v/>
      </c>
      <c r="M4936" t="inlineStr">
        <is>
          <t>Mediana</t>
        </is>
      </c>
    </row>
    <row r="4937">
      <c r="A4937" s="33" t="n">
        <v>4941</v>
      </c>
      <c r="B4937" t="inlineStr">
        <is>
          <t>A-492__398</t>
        </is>
      </c>
      <c r="C4937" s="1" t="n">
        <v>37.3084981265</v>
      </c>
      <c r="D4937" s="1" t="n">
        <v>-7.05727200403</v>
      </c>
      <c r="E4937" s="3" t="n">
        <v>3</v>
      </c>
      <c r="F4937" s="2" t="n">
        <v>2</v>
      </c>
      <c r="G4937" s="4" t="n"/>
      <c r="H4937" s="13" t="n">
        <v>2</v>
      </c>
      <c r="I4937" s="34" t="n">
        <v>1</v>
      </c>
      <c r="J4937" s="35" t="n">
        <v>2</v>
      </c>
      <c r="K4937" s="2" t="inlineStr">
        <is>
          <t>marker_371_839125.png</t>
        </is>
      </c>
      <c r="L4937" s="36">
        <f>HYPERLINK("Solo2\" &amp; K4937, "Ver Imagen")</f>
        <v/>
      </c>
      <c r="M4937" t="inlineStr">
        <is>
          <t>Mediana</t>
        </is>
      </c>
    </row>
    <row r="4938">
      <c r="A4938" s="33" t="n">
        <v>4942</v>
      </c>
      <c r="B4938" t="inlineStr">
        <is>
          <t>A-492__465</t>
        </is>
      </c>
      <c r="C4938" s="1" t="n">
        <v>37.3166318583</v>
      </c>
      <c r="D4938" s="1" t="n">
        <v>-7.07021940147</v>
      </c>
      <c r="E4938" s="3" t="n">
        <v>3</v>
      </c>
      <c r="F4938" s="2" t="n">
        <v>3</v>
      </c>
      <c r="G4938" s="4" t="n"/>
      <c r="H4938" s="13" t="n">
        <v>3</v>
      </c>
      <c r="I4938" s="34" t="n">
        <v>4</v>
      </c>
      <c r="J4938" s="35" t="n">
        <v>3</v>
      </c>
      <c r="K4938" s="2" t="inlineStr">
        <is>
          <t>marker_568_839982.png</t>
        </is>
      </c>
      <c r="L4938" s="36">
        <f>HYPERLINK("Solo2\" &amp; K4938, "Ver Imagen")</f>
        <v/>
      </c>
      <c r="M4938" t="inlineStr">
        <is>
          <t>Mediana</t>
        </is>
      </c>
    </row>
    <row r="4939">
      <c r="A4939" s="33" t="n">
        <v>4943</v>
      </c>
      <c r="B4939" t="inlineStr">
        <is>
          <t>A-495R__120</t>
        </is>
      </c>
      <c r="C4939" s="1" t="n">
        <v>37.4653499911</v>
      </c>
      <c r="D4939" s="1" t="n">
        <v>-7.12228229203</v>
      </c>
      <c r="E4939" s="3" t="n">
        <v>3</v>
      </c>
      <c r="F4939" s="2" t="n">
        <v>2</v>
      </c>
      <c r="G4939" s="4" t="n"/>
      <c r="H4939" s="13" t="n">
        <v>1</v>
      </c>
      <c r="I4939" s="34" t="n">
        <v>2</v>
      </c>
      <c r="J4939" s="35" t="n">
        <v>2</v>
      </c>
      <c r="K4939" s="2" t="inlineStr">
        <is>
          <t>marker_433_895376.png</t>
        </is>
      </c>
      <c r="L4939" s="36">
        <f>HYPERLINK("Solo2\" &amp; K4939, "Ver Imagen")</f>
        <v/>
      </c>
      <c r="M4939" t="inlineStr">
        <is>
          <t>Mediana</t>
        </is>
      </c>
    </row>
    <row r="4940">
      <c r="A4940" s="33" t="n">
        <v>4944</v>
      </c>
      <c r="B4940" t="inlineStr">
        <is>
          <t>A-495R__119</t>
        </is>
      </c>
      <c r="C4940" s="1" t="n">
        <v>37.4652971015</v>
      </c>
      <c r="D4940" s="1" t="n">
        <v>-7.12200796793</v>
      </c>
      <c r="E4940" s="3" t="n">
        <v>3</v>
      </c>
      <c r="F4940" s="2" t="n">
        <v>2</v>
      </c>
      <c r="G4940" s="4" t="n"/>
      <c r="H4940" s="13" t="n">
        <v>1</v>
      </c>
      <c r="I4940" s="34" t="n">
        <v>2</v>
      </c>
      <c r="J4940" s="35" t="n">
        <v>2</v>
      </c>
      <c r="K4940" s="2" t="inlineStr">
        <is>
          <t>marker_901_895393.png</t>
        </is>
      </c>
      <c r="L4940" s="36">
        <f>HYPERLINK("Solo2\" &amp; K4940, "Ver Imagen")</f>
        <v/>
      </c>
      <c r="M4940" t="inlineStr">
        <is>
          <t>Mediana</t>
        </is>
      </c>
    </row>
    <row r="4941">
      <c r="A4941" s="33" t="n">
        <v>4945</v>
      </c>
      <c r="B4941" t="inlineStr">
        <is>
          <t>A-495R__117</t>
        </is>
      </c>
      <c r="C4941" s="1" t="n">
        <v>37.4651372425</v>
      </c>
      <c r="D4941" s="1" t="n">
        <v>-7.12153447429</v>
      </c>
      <c r="E4941" s="3" t="n">
        <v>2</v>
      </c>
      <c r="F4941" s="2" t="n">
        <v>1</v>
      </c>
      <c r="G4941" s="4" t="n"/>
      <c r="H4941" s="13" t="n">
        <v>1</v>
      </c>
      <c r="I4941" s="34" t="n">
        <v>1</v>
      </c>
      <c r="J4941" s="35" t="n">
        <v>1</v>
      </c>
      <c r="K4941" s="2" t="inlineStr">
        <is>
          <t>marker_767_895431.png</t>
        </is>
      </c>
      <c r="L4941" s="36">
        <f>HYPERLINK("Solo2\" &amp; K4941, "Ver Imagen")</f>
        <v/>
      </c>
      <c r="M4941" t="inlineStr">
        <is>
          <t>Mediana</t>
        </is>
      </c>
    </row>
    <row r="4942">
      <c r="A4942" s="33" t="n">
        <v>4947</v>
      </c>
      <c r="B4942" t="inlineStr">
        <is>
          <t>A-497__1</t>
        </is>
      </c>
      <c r="C4942" t="n">
        <v>37.2673502974</v>
      </c>
      <c r="D4942" t="n">
        <v>-6.9576838412</v>
      </c>
      <c r="E4942" s="3" t="n">
        <v>2</v>
      </c>
      <c r="F4942" s="2" t="n"/>
      <c r="G4942" s="4" t="n"/>
      <c r="H4942" s="13" t="n">
        <v>2</v>
      </c>
      <c r="I4942" s="34" t="n">
        <v>2</v>
      </c>
      <c r="J4942" s="35" t="n">
        <v>2</v>
      </c>
      <c r="K4942" s="3" t="inlineStr">
        <is>
          <t>marker_364_773643.png</t>
        </is>
      </c>
      <c r="L4942" s="36">
        <f>HYPERLINK("Solo2\" &amp; K4942, "Ver Imagen")</f>
        <v/>
      </c>
      <c r="M4942" t="inlineStr">
        <is>
          <t>Mediana</t>
        </is>
      </c>
    </row>
    <row r="4943">
      <c r="A4943" s="33" t="n">
        <v>4948</v>
      </c>
      <c r="B4943" t="inlineStr">
        <is>
          <t>A-5050__135</t>
        </is>
      </c>
      <c r="C4943" s="1" t="n">
        <v>37.1945212206</v>
      </c>
      <c r="D4943" s="1" t="n">
        <v>-6.99896734381</v>
      </c>
      <c r="E4943" s="3" t="n">
        <v>2</v>
      </c>
      <c r="F4943" s="2" t="n">
        <v>2</v>
      </c>
      <c r="G4943" s="4" t="n"/>
      <c r="H4943" s="13" t="n">
        <v>2</v>
      </c>
      <c r="I4943" s="34" t="n">
        <v>1</v>
      </c>
      <c r="J4943" s="35" t="n">
        <v>2</v>
      </c>
      <c r="K4943" s="2" t="inlineStr">
        <is>
          <t>marker_896_945895.png</t>
        </is>
      </c>
      <c r="L4943" s="36">
        <f>HYPERLINK("Solo2\" &amp; K4943, "Ver Imagen")</f>
        <v/>
      </c>
      <c r="M4943" t="inlineStr">
        <is>
          <t>Mediana</t>
        </is>
      </c>
    </row>
    <row r="4944">
      <c r="A4944" s="33" t="n">
        <v>4949</v>
      </c>
      <c r="B4944" t="inlineStr">
        <is>
          <t>A-5052__37</t>
        </is>
      </c>
      <c r="C4944" s="1" t="n">
        <v>37.2178678578</v>
      </c>
      <c r="D4944" s="1" t="n">
        <v>-7.11674774649</v>
      </c>
      <c r="E4944" s="3" t="n"/>
      <c r="F4944" s="2" t="n">
        <v>2</v>
      </c>
      <c r="G4944" s="4" t="n">
        <v>2</v>
      </c>
      <c r="H4944" s="13" t="n">
        <v>1</v>
      </c>
      <c r="I4944" s="34" t="n">
        <v>2</v>
      </c>
      <c r="J4944" s="37" t="n">
        <v>1</v>
      </c>
      <c r="K4944" s="2" t="inlineStr">
        <is>
          <t>marker_350_956770.png</t>
        </is>
      </c>
      <c r="L4944" s="36">
        <f>HYPERLINK("Solo2\" &amp; K4944, "Ver Imagen")</f>
        <v/>
      </c>
      <c r="M4944" s="37" t="inlineStr">
        <is>
          <t>Modificada</t>
        </is>
      </c>
    </row>
    <row r="4945">
      <c r="A4945" s="33" t="n">
        <v>4950</v>
      </c>
      <c r="B4945" t="inlineStr">
        <is>
          <t>A-5052__78</t>
        </is>
      </c>
      <c r="C4945" s="1" t="n">
        <v>37.217238312</v>
      </c>
      <c r="D4945" s="1" t="n">
        <v>-7.10650632833</v>
      </c>
      <c r="E4945" s="3" t="n"/>
      <c r="F4945" s="2" t="n">
        <v>2</v>
      </c>
      <c r="G4945" s="4" t="n">
        <v>2</v>
      </c>
      <c r="H4945" s="13" t="n">
        <v>1</v>
      </c>
      <c r="I4945" s="34" t="n">
        <v>1</v>
      </c>
      <c r="J4945" s="37" t="n">
        <v>1</v>
      </c>
      <c r="K4945" s="2" t="inlineStr">
        <is>
          <t>marker_205_957264.png</t>
        </is>
      </c>
      <c r="L4945" s="36">
        <f>HYPERLINK("Solo2\" &amp; K4945, "Ver Imagen")</f>
        <v/>
      </c>
      <c r="M4945" s="37" t="inlineStr">
        <is>
          <t>Modificada</t>
        </is>
      </c>
    </row>
    <row r="4946">
      <c r="A4946" s="33" t="n">
        <v>4951</v>
      </c>
      <c r="B4946" t="inlineStr">
        <is>
          <t>A-5052__317</t>
        </is>
      </c>
      <c r="C4946" s="1" t="n">
        <v>37.2116952341</v>
      </c>
      <c r="D4946" s="1" t="n">
        <v>-7.04744613507</v>
      </c>
      <c r="E4946" s="3" t="n"/>
      <c r="F4946" s="2" t="n">
        <v>2</v>
      </c>
      <c r="G4946" s="4" t="n">
        <v>2</v>
      </c>
      <c r="H4946" s="13" t="n">
        <v>1</v>
      </c>
      <c r="I4946" s="34" t="n">
        <v>1</v>
      </c>
      <c r="J4946" s="37" t="n">
        <v>1</v>
      </c>
      <c r="K4946" s="2" t="inlineStr">
        <is>
          <t>marker_562_961206.png</t>
        </is>
      </c>
      <c r="L4946" s="36">
        <f>HYPERLINK("Solo2\" &amp; K4946, "Ver Imagen")</f>
        <v/>
      </c>
      <c r="M4946" s="37" t="inlineStr">
        <is>
          <t>Modificada</t>
        </is>
      </c>
    </row>
    <row r="4947">
      <c r="A4947" s="33" t="n">
        <v>4952</v>
      </c>
      <c r="B4947" t="inlineStr">
        <is>
          <t>A-5052__322</t>
        </is>
      </c>
      <c r="C4947" s="1" t="n">
        <v>37.2114727048</v>
      </c>
      <c r="D4947" s="1" t="n">
        <v>-7.04624208205</v>
      </c>
      <c r="E4947" s="3" t="n"/>
      <c r="F4947" s="2" t="n">
        <v>3</v>
      </c>
      <c r="G4947" s="4" t="n">
        <v>2</v>
      </c>
      <c r="H4947" s="13" t="n">
        <v>2</v>
      </c>
      <c r="I4947" s="34" t="n">
        <v>2</v>
      </c>
      <c r="J4947" s="35" t="n">
        <v>2</v>
      </c>
      <c r="K4947" s="2" t="inlineStr">
        <is>
          <t>marker_826_961290.png</t>
        </is>
      </c>
      <c r="L4947" s="36">
        <f>HYPERLINK("Solo2\" &amp; K4947, "Ver Imagen")</f>
        <v/>
      </c>
      <c r="M4947" t="inlineStr">
        <is>
          <t>Mediana</t>
        </is>
      </c>
    </row>
    <row r="4948">
      <c r="A4948" s="33" t="n">
        <v>4953</v>
      </c>
      <c r="B4948" t="inlineStr">
        <is>
          <t>A-5052__325</t>
        </is>
      </c>
      <c r="C4948" s="1" t="n">
        <v>37.2113341714</v>
      </c>
      <c r="D4948" s="1" t="n">
        <v>-7.04551158606</v>
      </c>
      <c r="E4948" s="3" t="n"/>
      <c r="F4948" s="2" t="n">
        <v>3</v>
      </c>
      <c r="G4948" s="4" t="n">
        <v>2</v>
      </c>
      <c r="H4948" s="13" t="n">
        <v>2</v>
      </c>
      <c r="I4948" s="34" t="n">
        <v>2</v>
      </c>
      <c r="J4948" s="35" t="n">
        <v>2</v>
      </c>
      <c r="K4948" s="2" t="inlineStr">
        <is>
          <t>marker_674_961429.png</t>
        </is>
      </c>
      <c r="L4948" s="36">
        <f>HYPERLINK("Solo2\" &amp; K4948, "Ver Imagen")</f>
        <v/>
      </c>
      <c r="M4948" t="inlineStr">
        <is>
          <t>Mediana</t>
        </is>
      </c>
    </row>
    <row r="4949">
      <c r="A4949" s="33" t="n">
        <v>4954</v>
      </c>
      <c r="B4949" t="inlineStr">
        <is>
          <t>A-5052__327</t>
        </is>
      </c>
      <c r="C4949" s="1" t="n">
        <v>37.2112105973</v>
      </c>
      <c r="D4949" s="1" t="n">
        <v>-7.04503258193</v>
      </c>
      <c r="E4949" s="3" t="n"/>
      <c r="F4949" s="2" t="n">
        <v>3</v>
      </c>
      <c r="G4949" s="4" t="n">
        <v>5</v>
      </c>
      <c r="H4949" s="13" t="n">
        <v>3</v>
      </c>
      <c r="I4949" s="34" t="n">
        <v>3</v>
      </c>
      <c r="J4949" s="35" t="n">
        <v>3</v>
      </c>
      <c r="K4949" s="2" t="inlineStr">
        <is>
          <t>marker_327_961449.png</t>
        </is>
      </c>
      <c r="L4949" s="36">
        <f>HYPERLINK("Solo2\" &amp; K4949, "Ver Imagen")</f>
        <v/>
      </c>
      <c r="M4949" t="inlineStr">
        <is>
          <t>Mediana</t>
        </is>
      </c>
    </row>
    <row r="4950">
      <c r="A4950" s="33" t="n">
        <v>4955</v>
      </c>
      <c r="B4950" t="inlineStr">
        <is>
          <t>A-5052__330</t>
        </is>
      </c>
      <c r="C4950" s="1" t="n">
        <v>37.2109543369</v>
      </c>
      <c r="D4950" s="1" t="n">
        <v>-7.04430653237</v>
      </c>
      <c r="E4950" s="3" t="n"/>
      <c r="F4950" s="2" t="n">
        <v>3</v>
      </c>
      <c r="G4950" s="4" t="n">
        <v>3</v>
      </c>
      <c r="H4950" s="13" t="n">
        <v>3</v>
      </c>
      <c r="I4950" s="34" t="n">
        <v>4</v>
      </c>
      <c r="J4950" s="35" t="n">
        <v>3</v>
      </c>
      <c r="K4950" s="2" t="inlineStr">
        <is>
          <t>marker_807_961502.png</t>
        </is>
      </c>
      <c r="L4950" s="36">
        <f>HYPERLINK("Solo2\" &amp; K4950, "Ver Imagen")</f>
        <v/>
      </c>
      <c r="M4950" t="inlineStr">
        <is>
          <t>Mediana</t>
        </is>
      </c>
    </row>
    <row r="4951">
      <c r="A4951" s="33" t="n">
        <v>4956</v>
      </c>
      <c r="B4951" t="inlineStr">
        <is>
          <t>A-5052__331</t>
        </is>
      </c>
      <c r="C4951" s="1" t="n">
        <v>37.2108790018</v>
      </c>
      <c r="D4951" s="1" t="n">
        <v>-7.04410268649</v>
      </c>
      <c r="E4951" s="3" t="n"/>
      <c r="F4951" s="2" t="n">
        <v>2</v>
      </c>
      <c r="G4951" s="4" t="n">
        <v>3</v>
      </c>
      <c r="H4951" s="13" t="n">
        <v>2</v>
      </c>
      <c r="I4951" s="34" t="n">
        <v>1</v>
      </c>
      <c r="J4951" s="35" t="n">
        <v>2</v>
      </c>
      <c r="K4951" s="2" t="inlineStr">
        <is>
          <t>marker_226_961513.png</t>
        </is>
      </c>
      <c r="L4951" s="36">
        <f>HYPERLINK("Solo2\" &amp; K4951, "Ver Imagen")</f>
        <v/>
      </c>
      <c r="M4951" t="inlineStr">
        <is>
          <t>Mediana</t>
        </is>
      </c>
    </row>
    <row r="4952">
      <c r="A4952" s="33" t="n">
        <v>4957</v>
      </c>
      <c r="B4952" t="inlineStr">
        <is>
          <t>A-5052__448</t>
        </is>
      </c>
      <c r="C4952" s="1" t="n">
        <v>37.2006641372</v>
      </c>
      <c r="D4952" s="1" t="n">
        <v>-7.01742619613</v>
      </c>
      <c r="E4952" s="3" t="n"/>
      <c r="F4952" s="2" t="n">
        <v>2</v>
      </c>
      <c r="G4952" s="4" t="n">
        <v>2</v>
      </c>
      <c r="H4952" s="13" t="n">
        <v>2</v>
      </c>
      <c r="I4952" s="34" t="n">
        <v>1</v>
      </c>
      <c r="J4952" s="35" t="n">
        <v>2</v>
      </c>
      <c r="K4952" s="2" t="inlineStr">
        <is>
          <t>marker_195_963156.png</t>
        </is>
      </c>
      <c r="L4952" s="36">
        <f>HYPERLINK("Solo2\" &amp; K4952, "Ver Imagen")</f>
        <v/>
      </c>
      <c r="M4952" t="inlineStr">
        <is>
          <t>Mediana</t>
        </is>
      </c>
    </row>
    <row r="4953">
      <c r="A4953" s="33" t="n">
        <v>4958</v>
      </c>
      <c r="B4953" t="inlineStr">
        <is>
          <t>A-5052__455</t>
        </is>
      </c>
      <c r="C4953" s="1" t="n">
        <v>37.2000474165</v>
      </c>
      <c r="D4953" s="1" t="n">
        <v>-7.01581934821</v>
      </c>
      <c r="E4953" s="3" t="n"/>
      <c r="F4953" s="2" t="n">
        <v>2</v>
      </c>
      <c r="G4953" s="4" t="n">
        <v>2</v>
      </c>
      <c r="H4953" s="13" t="n">
        <v>2</v>
      </c>
      <c r="I4953" s="34" t="n">
        <v>1</v>
      </c>
      <c r="J4953" s="35" t="n">
        <v>2</v>
      </c>
      <c r="K4953" s="2" t="inlineStr">
        <is>
          <t>marker_600_963234.png</t>
        </is>
      </c>
      <c r="L4953" s="36">
        <f>HYPERLINK("Solo2\" &amp; K4953, "Ver Imagen")</f>
        <v/>
      </c>
      <c r="M4953" t="inlineStr">
        <is>
          <t>Mediana</t>
        </is>
      </c>
    </row>
    <row r="4954">
      <c r="A4954" s="33" t="n">
        <v>4959</v>
      </c>
      <c r="B4954" t="inlineStr">
        <is>
          <t>A-5052__502</t>
        </is>
      </c>
      <c r="C4954" s="1" t="n">
        <v>37.1967311315</v>
      </c>
      <c r="D4954" s="1" t="n">
        <v>-7.00482457909</v>
      </c>
      <c r="E4954" s="3" t="n">
        <v>2</v>
      </c>
      <c r="F4954" s="2" t="n">
        <v>2</v>
      </c>
      <c r="G4954" s="4" t="n"/>
      <c r="H4954" s="13" t="n">
        <v>1</v>
      </c>
      <c r="I4954" s="34" t="n">
        <v>1</v>
      </c>
      <c r="J4954" s="35" t="n">
        <v>1.5</v>
      </c>
      <c r="K4954" s="2" t="inlineStr">
        <is>
          <t>marker_676_963699.png</t>
        </is>
      </c>
      <c r="L4954" s="36">
        <f>HYPERLINK("Solo2\" &amp; K4954, "Ver Imagen")</f>
        <v/>
      </c>
      <c r="M4954" t="inlineStr">
        <is>
          <t>Mediana</t>
        </is>
      </c>
    </row>
    <row r="4955">
      <c r="A4955" s="33" t="n">
        <v>4960</v>
      </c>
      <c r="B4955" t="inlineStr">
        <is>
          <t>A-5052__409</t>
        </is>
      </c>
      <c r="C4955" s="1" t="n">
        <v>37.204078814</v>
      </c>
      <c r="D4955" s="1" t="n">
        <v>-7.02633882049</v>
      </c>
      <c r="E4955" s="3" t="n"/>
      <c r="F4955" s="2" t="n">
        <v>4</v>
      </c>
      <c r="G4955" s="4" t="n">
        <v>5</v>
      </c>
      <c r="H4955" s="13" t="n">
        <v>3</v>
      </c>
      <c r="I4955" s="34" t="n">
        <v>4</v>
      </c>
      <c r="J4955" s="35" t="n">
        <v>4</v>
      </c>
      <c r="K4955" s="2" t="inlineStr">
        <is>
          <t>marker_371_962764.png</t>
        </is>
      </c>
      <c r="L4955" s="36">
        <f>HYPERLINK("Solo2\" &amp; K4955, "Ver Imagen")</f>
        <v/>
      </c>
      <c r="M4955" t="inlineStr">
        <is>
          <t>Mediana</t>
        </is>
      </c>
    </row>
    <row r="4956">
      <c r="A4956" s="33" t="n">
        <v>4961</v>
      </c>
      <c r="B4956" t="inlineStr">
        <is>
          <t>A-5053__49</t>
        </is>
      </c>
      <c r="C4956" s="1" t="n">
        <v>37.2284815015</v>
      </c>
      <c r="D4956" s="1" t="n">
        <v>-7.12676963057</v>
      </c>
      <c r="E4956" s="3" t="n"/>
      <c r="F4956" s="2" t="n">
        <v>3</v>
      </c>
      <c r="G4956" s="4" t="n">
        <v>3</v>
      </c>
      <c r="H4956" s="13" t="n">
        <v>3</v>
      </c>
      <c r="I4956" s="34" t="n">
        <v>3</v>
      </c>
      <c r="J4956" s="35" t="n">
        <v>3</v>
      </c>
      <c r="K4956" s="2" t="inlineStr">
        <is>
          <t>marker_725_021006.png</t>
        </is>
      </c>
      <c r="L4956" s="36">
        <f>HYPERLINK("Solo2\" &amp; K4956, "Ver Imagen")</f>
        <v/>
      </c>
      <c r="M4956" t="inlineStr">
        <is>
          <t>Mediana</t>
        </is>
      </c>
    </row>
    <row r="4957">
      <c r="A4957" s="33" t="n">
        <v>4962</v>
      </c>
      <c r="B4957" t="inlineStr">
        <is>
          <t>A-5053__10</t>
        </is>
      </c>
      <c r="C4957" s="1" t="n">
        <v>37.2209494484</v>
      </c>
      <c r="D4957" s="1" t="n">
        <v>-7.12577485467</v>
      </c>
      <c r="E4957" s="3" t="n"/>
      <c r="F4957" s="2" t="n">
        <v>2</v>
      </c>
      <c r="G4957" s="4" t="n">
        <v>3</v>
      </c>
      <c r="H4957" s="13" t="n">
        <v>2</v>
      </c>
      <c r="I4957" s="34" t="n">
        <v>2</v>
      </c>
      <c r="J4957" s="35" t="n">
        <v>2</v>
      </c>
      <c r="K4957" s="2" t="inlineStr">
        <is>
          <t>marker_183_025106.png</t>
        </is>
      </c>
      <c r="L4957" s="36">
        <f>HYPERLINK("Solo2\" &amp; K4957, "Ver Imagen")</f>
        <v/>
      </c>
      <c r="M4957" t="inlineStr">
        <is>
          <t>Mediana</t>
        </is>
      </c>
    </row>
    <row r="4958">
      <c r="A4958" s="33" t="n">
        <v>4963</v>
      </c>
      <c r="B4958" t="inlineStr">
        <is>
          <t>A-495__14</t>
        </is>
      </c>
      <c r="C4958" s="1" t="n">
        <v>37.4438802983</v>
      </c>
      <c r="D4958" s="1" t="n">
        <v>-7.09695890127</v>
      </c>
      <c r="E4958" s="3" t="n">
        <v>3</v>
      </c>
      <c r="F4958" s="2" t="n">
        <v>3</v>
      </c>
      <c r="G4958" s="4" t="n"/>
      <c r="H4958" s="13" t="n">
        <v>2</v>
      </c>
      <c r="I4958" s="34" t="n">
        <v>2</v>
      </c>
      <c r="J4958" s="37" t="n">
        <v>2</v>
      </c>
      <c r="K4958" s="2" t="inlineStr">
        <is>
          <t>marker_477_381202.png</t>
        </is>
      </c>
      <c r="L4958" s="36">
        <f>HYPERLINK("Solo2\" &amp; K4958, "Ver Imagen")</f>
        <v/>
      </c>
      <c r="M4958" s="37" t="inlineStr">
        <is>
          <t>Modificada</t>
        </is>
      </c>
    </row>
    <row r="4959">
      <c r="A4959" s="33" t="n">
        <v>4964</v>
      </c>
      <c r="B4959" t="inlineStr">
        <is>
          <t>A-495__18</t>
        </is>
      </c>
      <c r="C4959" s="1" t="n">
        <v>37.4435887065</v>
      </c>
      <c r="D4959" s="1" t="n">
        <v>-7.09599159335</v>
      </c>
      <c r="E4959" s="3" t="n">
        <v>3</v>
      </c>
      <c r="F4959" s="2" t="n">
        <v>3</v>
      </c>
      <c r="G4959" s="4" t="n"/>
      <c r="H4959" s="13" t="n">
        <v>2</v>
      </c>
      <c r="I4959" s="34" t="n">
        <v>3</v>
      </c>
      <c r="J4959" s="35" t="n">
        <v>3</v>
      </c>
      <c r="K4959" s="2" t="inlineStr">
        <is>
          <t>marker_169_381244.png</t>
        </is>
      </c>
      <c r="L4959" s="36">
        <f>HYPERLINK("Solo2\" &amp; K4959, "Ver Imagen")</f>
        <v/>
      </c>
      <c r="M4959" t="inlineStr">
        <is>
          <t>Mediana</t>
        </is>
      </c>
    </row>
    <row r="4960">
      <c r="A4960" s="33" t="n">
        <v>4965</v>
      </c>
      <c r="B4960" t="inlineStr">
        <is>
          <t>A-495__31</t>
        </is>
      </c>
      <c r="C4960" s="1" t="n">
        <v>37.4424468255</v>
      </c>
      <c r="D4960" s="1" t="n">
        <v>-7.09301397804</v>
      </c>
      <c r="E4960" s="3" t="n">
        <v>3</v>
      </c>
      <c r="F4960" s="2" t="n">
        <v>3</v>
      </c>
      <c r="G4960" s="4" t="n"/>
      <c r="H4960" s="13" t="n">
        <v>2</v>
      </c>
      <c r="I4960" s="34" t="n">
        <v>2</v>
      </c>
      <c r="J4960" s="35" t="n">
        <v>2.5</v>
      </c>
      <c r="K4960" s="2" t="inlineStr">
        <is>
          <t>marker_575_381405.png</t>
        </is>
      </c>
      <c r="L4960" s="36">
        <f>HYPERLINK("Solo2\" &amp; K4960, "Ver Imagen")</f>
        <v/>
      </c>
      <c r="M4960" t="inlineStr">
        <is>
          <t>Mediana</t>
        </is>
      </c>
    </row>
    <row r="4961">
      <c r="A4961" s="33" t="n">
        <v>4966</v>
      </c>
      <c r="B4961" t="inlineStr">
        <is>
          <t>A-5059__73</t>
        </is>
      </c>
      <c r="C4961" s="1" t="n">
        <v>37.2224763508</v>
      </c>
      <c r="D4961" s="1" t="n">
        <v>-7.05555749381</v>
      </c>
      <c r="E4961" s="3" t="n">
        <v>2</v>
      </c>
      <c r="F4961" s="2" t="n">
        <v>3</v>
      </c>
      <c r="G4961" s="4" t="n"/>
      <c r="H4961" s="13" t="n">
        <v>2</v>
      </c>
      <c r="I4961" s="34" t="n">
        <v>2</v>
      </c>
      <c r="J4961" s="35" t="n">
        <v>2</v>
      </c>
      <c r="K4961" s="2" t="inlineStr">
        <is>
          <t>marker_378_378819.png</t>
        </is>
      </c>
      <c r="L4961" s="36">
        <f>HYPERLINK("Solo2\" &amp; K4961, "Ver Imagen")</f>
        <v/>
      </c>
      <c r="M4961" t="inlineStr">
        <is>
          <t>Mediana</t>
        </is>
      </c>
    </row>
    <row r="4962">
      <c r="A4962" s="33" t="n">
        <v>4967</v>
      </c>
      <c r="B4962" t="inlineStr">
        <is>
          <t>A-5059__44</t>
        </is>
      </c>
      <c r="C4962" s="1" t="n">
        <v>37.2266193078</v>
      </c>
      <c r="D4962" s="1" t="n">
        <v>-7.06038774833</v>
      </c>
      <c r="E4962" s="3" t="n">
        <v>3</v>
      </c>
      <c r="F4962" s="2" t="n">
        <v>3</v>
      </c>
      <c r="G4962" s="4" t="n"/>
      <c r="H4962" s="13" t="n">
        <v>2</v>
      </c>
      <c r="I4962" s="34" t="n">
        <v>3</v>
      </c>
      <c r="J4962" s="35" t="n">
        <v>3</v>
      </c>
      <c r="K4962" s="2" t="inlineStr">
        <is>
          <t>marker_906_379257.png</t>
        </is>
      </c>
      <c r="L4962" s="36">
        <f>HYPERLINK("Solo2\" &amp; K4962, "Ver Imagen")</f>
        <v/>
      </c>
      <c r="M4962" t="inlineStr">
        <is>
          <t>Mediana</t>
        </is>
      </c>
    </row>
    <row r="4963">
      <c r="A4963" s="33" t="n">
        <v>4968</v>
      </c>
      <c r="B4963" t="inlineStr">
        <is>
          <t>A-5059__4</t>
        </is>
      </c>
      <c r="C4963" s="1" t="n">
        <v>37.2331240535</v>
      </c>
      <c r="D4963" s="1" t="n">
        <v>-7.06582737828</v>
      </c>
      <c r="E4963" s="3" t="n">
        <v>3</v>
      </c>
      <c r="F4963" s="2" t="n">
        <v>3</v>
      </c>
      <c r="G4963" s="4" t="n"/>
      <c r="H4963" s="13" t="n">
        <v>2</v>
      </c>
      <c r="I4963" s="34" t="n">
        <v>2</v>
      </c>
      <c r="J4963" s="37" t="n">
        <v>2</v>
      </c>
      <c r="K4963" s="2" t="inlineStr">
        <is>
          <t>marker_270_379636.png</t>
        </is>
      </c>
      <c r="L4963" s="36">
        <f>HYPERLINK("Solo2\" &amp; K4963, "Ver Imagen")</f>
        <v/>
      </c>
      <c r="M4963" s="37" t="inlineStr">
        <is>
          <t>Modificada</t>
        </is>
      </c>
    </row>
    <row r="4964">
      <c r="A4964" s="33" t="n">
        <v>4969</v>
      </c>
      <c r="B4964" t="inlineStr">
        <is>
          <t>A-5059__1</t>
        </is>
      </c>
      <c r="C4964" s="1" t="n">
        <v>37.233612006</v>
      </c>
      <c r="D4964" s="1" t="n">
        <v>-7.06627718955</v>
      </c>
      <c r="E4964" s="3" t="n">
        <v>3</v>
      </c>
      <c r="F4964" s="2" t="n">
        <v>3</v>
      </c>
      <c r="G4964" s="4" t="n"/>
      <c r="H4964" s="13" t="n">
        <v>2</v>
      </c>
      <c r="I4964" s="34" t="n">
        <v>3</v>
      </c>
      <c r="J4964" s="37" t="n">
        <v>2</v>
      </c>
      <c r="K4964" s="2" t="inlineStr">
        <is>
          <t>marker_317_379667.png</t>
        </is>
      </c>
      <c r="L4964" s="36">
        <f>HYPERLINK("Solo2\" &amp; K4964, "Ver Imagen")</f>
        <v/>
      </c>
      <c r="M4964" s="37" t="inlineStr">
        <is>
          <t>Modificada</t>
        </is>
      </c>
    </row>
    <row r="4965">
      <c r="A4965" s="33" t="n">
        <v>4970</v>
      </c>
      <c r="B4965" t="inlineStr">
        <is>
          <t>A-5058__24</t>
        </is>
      </c>
      <c r="C4965" s="1" t="n">
        <v>37.2249753937</v>
      </c>
      <c r="D4965" s="1" t="n">
        <v>-7.03328814646</v>
      </c>
      <c r="E4965" s="3" t="n">
        <v>3</v>
      </c>
      <c r="F4965" s="2" t="n">
        <v>3</v>
      </c>
      <c r="G4965" s="4" t="n"/>
      <c r="H4965" s="13" t="n">
        <v>2</v>
      </c>
      <c r="I4965" s="34" t="n">
        <v>3</v>
      </c>
      <c r="J4965" s="37" t="n">
        <v>2</v>
      </c>
      <c r="K4965" s="2" t="inlineStr">
        <is>
          <t>marker_772_380117.png</t>
        </is>
      </c>
      <c r="L4965" s="36">
        <f>HYPERLINK("Solo2\" &amp; K4965, "Ver Imagen")</f>
        <v/>
      </c>
      <c r="M4965" s="37" t="inlineStr">
        <is>
          <t>Modificada</t>
        </is>
      </c>
    </row>
    <row r="4966">
      <c r="A4966" s="33" t="n">
        <v>4971</v>
      </c>
      <c r="B4966" t="inlineStr">
        <is>
          <t>A-5058__56</t>
        </is>
      </c>
      <c r="C4966" s="1" t="n">
        <v>37.2252243925</v>
      </c>
      <c r="D4966" s="1" t="n">
        <v>-7.04094766495</v>
      </c>
      <c r="E4966" s="3" t="n">
        <v>3</v>
      </c>
      <c r="F4966" s="2" t="n">
        <v>2</v>
      </c>
      <c r="G4966" s="4" t="n"/>
      <c r="H4966" s="13" t="n">
        <v>1</v>
      </c>
      <c r="I4966" s="34" t="n">
        <v>1</v>
      </c>
      <c r="J4966" s="37" t="n">
        <v>1</v>
      </c>
      <c r="K4966" s="2" t="inlineStr">
        <is>
          <t>marker_382_380598.png</t>
        </is>
      </c>
      <c r="L4966" s="36">
        <f>HYPERLINK("Solo2\" &amp; K4966, "Ver Imagen")</f>
        <v/>
      </c>
      <c r="M4966" s="37" t="inlineStr">
        <is>
          <t>Modificada</t>
        </is>
      </c>
    </row>
    <row r="4967">
      <c r="A4967" s="33" t="n">
        <v>4972</v>
      </c>
      <c r="B4967" t="inlineStr">
        <is>
          <t>A-5058__60</t>
        </is>
      </c>
      <c r="C4967" s="1" t="n">
        <v>37.2255783647</v>
      </c>
      <c r="D4967" s="1" t="n">
        <v>-7.04186030803</v>
      </c>
      <c r="E4967" s="3" t="n">
        <v>2</v>
      </c>
      <c r="F4967" s="2" t="n">
        <v>2</v>
      </c>
      <c r="G4967" s="4" t="n"/>
      <c r="H4967" s="13" t="n">
        <v>2</v>
      </c>
      <c r="I4967" s="34" t="n">
        <v>2</v>
      </c>
      <c r="J4967" s="35" t="n">
        <v>2</v>
      </c>
      <c r="K4967" s="2" t="inlineStr">
        <is>
          <t>marker_164_380645.png</t>
        </is>
      </c>
      <c r="L4967" s="36">
        <f>HYPERLINK("Solo2\" &amp; K4967, "Ver Imagen")</f>
        <v/>
      </c>
      <c r="M4967" t="inlineStr">
        <is>
          <t>Mediana</t>
        </is>
      </c>
    </row>
    <row r="4968">
      <c r="A4968" s="33" t="n">
        <v>4973</v>
      </c>
      <c r="B4968" t="inlineStr">
        <is>
          <t>A-5058__62</t>
        </is>
      </c>
      <c r="C4968" s="1" t="n">
        <v>37.2257770892</v>
      </c>
      <c r="D4968" s="1" t="n">
        <v>-7.0423091975</v>
      </c>
      <c r="E4968" s="3" t="n">
        <v>2</v>
      </c>
      <c r="F4968" s="2" t="n">
        <v>3</v>
      </c>
      <c r="G4968" s="4" t="n"/>
      <c r="H4968" s="13" t="n">
        <v>2</v>
      </c>
      <c r="I4968" s="34" t="n">
        <v>2</v>
      </c>
      <c r="J4968" s="35" t="n">
        <v>2</v>
      </c>
      <c r="K4968" s="2" t="inlineStr">
        <is>
          <t>marker_658_380663.png</t>
        </is>
      </c>
      <c r="L4968" s="36">
        <f>HYPERLINK("Solo2\" &amp; K4968, "Ver Imagen")</f>
        <v/>
      </c>
      <c r="M4968" t="inlineStr">
        <is>
          <t>Mediana</t>
        </is>
      </c>
    </row>
    <row r="4969">
      <c r="A4969" s="33" t="n">
        <v>4974</v>
      </c>
      <c r="B4969" t="inlineStr">
        <is>
          <t>A-492__22</t>
        </is>
      </c>
      <c r="C4969" t="n">
        <v>37.2757500613</v>
      </c>
      <c r="D4969" t="n">
        <v>-6.99108501591</v>
      </c>
      <c r="E4969" s="3" t="n"/>
      <c r="F4969" s="2" t="n"/>
      <c r="G4969" s="4" t="n">
        <v>4</v>
      </c>
      <c r="H4969" s="13" t="n">
        <v>4</v>
      </c>
      <c r="I4969" s="34" t="n">
        <v>4</v>
      </c>
      <c r="J4969" s="35" t="n">
        <v>4</v>
      </c>
      <c r="K4969" s="4" t="inlineStr">
        <is>
          <t>marker_327_380692.png</t>
        </is>
      </c>
      <c r="L4969" s="36">
        <f>HYPERLINK("Solo2\" &amp; K4969, "Ver Imagen")</f>
        <v/>
      </c>
      <c r="M4969" t="inlineStr">
        <is>
          <t>Mediana</t>
        </is>
      </c>
    </row>
    <row r="4970">
      <c r="A4970" s="33" t="n">
        <v>4975</v>
      </c>
      <c r="B4970" t="inlineStr">
        <is>
          <t>A-5058__247</t>
        </is>
      </c>
      <c r="C4970" s="1" t="n">
        <v>37.2409141269</v>
      </c>
      <c r="D4970" s="1" t="n">
        <v>-7.08278601333</v>
      </c>
      <c r="E4970" s="3" t="n">
        <v>3</v>
      </c>
      <c r="F4970" s="2" t="n">
        <v>3</v>
      </c>
      <c r="G4970" s="4" t="n"/>
      <c r="H4970" s="13" t="n">
        <v>2</v>
      </c>
      <c r="I4970" s="34" t="n">
        <v>3</v>
      </c>
      <c r="J4970" s="35" t="n">
        <v>3</v>
      </c>
      <c r="K4970" s="2" t="inlineStr">
        <is>
          <t>marker_117_383458.png</t>
        </is>
      </c>
      <c r="L4970" s="36">
        <f>HYPERLINK("Solo2\" &amp; K4970, "Ver Imagen")</f>
        <v/>
      </c>
      <c r="M4970" t="inlineStr">
        <is>
          <t>Mediana</t>
        </is>
      </c>
    </row>
    <row r="4971">
      <c r="A4971" s="33" t="n">
        <v>4976</v>
      </c>
      <c r="B4971" t="inlineStr">
        <is>
          <t>A-5058__363</t>
        </is>
      </c>
      <c r="C4971" s="1" t="n">
        <v>37.2531392698</v>
      </c>
      <c r="D4971" s="1" t="n">
        <v>-7.10623207905</v>
      </c>
      <c r="E4971" s="3" t="n"/>
      <c r="F4971" s="2" t="n">
        <v>3</v>
      </c>
      <c r="G4971" s="4" t="n">
        <v>3</v>
      </c>
      <c r="H4971" s="13" t="n">
        <v>2</v>
      </c>
      <c r="I4971" s="34" t="n">
        <v>2</v>
      </c>
      <c r="J4971" s="35" t="n">
        <v>2.5</v>
      </c>
      <c r="K4971" s="2" t="inlineStr">
        <is>
          <t>marker_967_385002.png</t>
        </is>
      </c>
      <c r="L4971" s="36">
        <f>HYPERLINK("Solo2\" &amp; K4971, "Ver Imagen")</f>
        <v/>
      </c>
      <c r="M4971" t="inlineStr">
        <is>
          <t>Mediana</t>
        </is>
      </c>
    </row>
    <row r="4972">
      <c r="A4972" s="33" t="n">
        <v>4977</v>
      </c>
      <c r="B4972" t="inlineStr">
        <is>
          <t>A-5058__424</t>
        </is>
      </c>
      <c r="C4972" s="1" t="n">
        <v>37.2568957266</v>
      </c>
      <c r="D4972" s="1" t="n">
        <v>-7.11905347858</v>
      </c>
      <c r="E4972" s="3" t="n">
        <v>3</v>
      </c>
      <c r="F4972" s="2" t="n">
        <v>3</v>
      </c>
      <c r="G4972" s="4" t="n"/>
      <c r="H4972" s="13" t="n">
        <v>2</v>
      </c>
      <c r="I4972" s="34" t="n">
        <v>2</v>
      </c>
      <c r="J4972" s="37" t="n">
        <v>2</v>
      </c>
      <c r="K4972" s="2" t="inlineStr">
        <is>
          <t>marker_570_388794.png</t>
        </is>
      </c>
      <c r="L4972" s="36">
        <f>HYPERLINK("Solo2\" &amp; K4972, "Ver Imagen")</f>
        <v/>
      </c>
      <c r="M4972" s="37" t="inlineStr">
        <is>
          <t>Modificada</t>
        </is>
      </c>
    </row>
    <row r="4973">
      <c r="A4973" s="33" t="n">
        <v>4978</v>
      </c>
      <c r="B4973" t="inlineStr">
        <is>
          <t>A-5058__426</t>
        </is>
      </c>
      <c r="C4973" s="1" t="n">
        <v>37.257277081</v>
      </c>
      <c r="D4973" s="1" t="n">
        <v>-7.11933224613</v>
      </c>
      <c r="E4973" s="3" t="n"/>
      <c r="F4973" s="2" t="n">
        <v>3</v>
      </c>
      <c r="G4973" s="4" t="n">
        <v>4</v>
      </c>
      <c r="H4973" s="13" t="n">
        <v>3</v>
      </c>
      <c r="I4973" s="34" t="n">
        <v>2</v>
      </c>
      <c r="J4973" s="37" t="n">
        <v>2</v>
      </c>
      <c r="K4973" s="2" t="inlineStr">
        <is>
          <t>marker_731_388817.png</t>
        </is>
      </c>
      <c r="L4973" s="36">
        <f>HYPERLINK("Solo2\" &amp; K4973, "Ver Imagen")</f>
        <v/>
      </c>
      <c r="M4973" s="37" t="inlineStr">
        <is>
          <t>Modificada</t>
        </is>
      </c>
    </row>
    <row r="4974">
      <c r="A4974" s="33" t="n">
        <v>4979</v>
      </c>
      <c r="B4974" t="inlineStr">
        <is>
          <t>A-5058__458</t>
        </is>
      </c>
      <c r="C4974" s="1" t="n">
        <v>37.2597330569</v>
      </c>
      <c r="D4974" s="1" t="n">
        <v>-7.12632050609</v>
      </c>
      <c r="E4974" s="3" t="n">
        <v>3</v>
      </c>
      <c r="F4974" s="2" t="n">
        <v>3</v>
      </c>
      <c r="G4974" s="4" t="n"/>
      <c r="H4974" s="13" t="n">
        <v>3</v>
      </c>
      <c r="I4974" s="34" t="n">
        <v>3</v>
      </c>
      <c r="J4974" s="35" t="n">
        <v>3</v>
      </c>
      <c r="K4974" s="2" t="inlineStr">
        <is>
          <t>marker_416_389294.png</t>
        </is>
      </c>
      <c r="L4974" s="36">
        <f>HYPERLINK("Solo2\" &amp; K4974, "Ver Imagen")</f>
        <v/>
      </c>
      <c r="M4974" t="inlineStr">
        <is>
          <t>Mediana</t>
        </is>
      </c>
    </row>
    <row r="4975">
      <c r="A4975" s="33" t="n">
        <v>4980</v>
      </c>
      <c r="B4975" t="inlineStr">
        <is>
          <t>A-497__91</t>
        </is>
      </c>
      <c r="C4975" t="n">
        <v>37.269701577</v>
      </c>
      <c r="D4975" t="n">
        <v>-6.97842421608</v>
      </c>
      <c r="E4975" s="3" t="n"/>
      <c r="F4975" s="2" t="n"/>
      <c r="G4975" s="4" t="n">
        <v>2</v>
      </c>
      <c r="H4975" s="13" t="n">
        <v>2</v>
      </c>
      <c r="I4975" s="34" t="n">
        <v>2</v>
      </c>
      <c r="J4975" s="35" t="n">
        <v>2</v>
      </c>
      <c r="K4975" s="4" t="inlineStr">
        <is>
          <t>marker_320_393954.png</t>
        </is>
      </c>
      <c r="L4975" s="36">
        <f>HYPERLINK("Solo2\" &amp; K4975, "Ver Imagen")</f>
        <v/>
      </c>
      <c r="M4975" t="inlineStr">
        <is>
          <t>Mediana</t>
        </is>
      </c>
    </row>
    <row r="4976">
      <c r="A4976" s="33" t="n">
        <v>4981</v>
      </c>
      <c r="B4976" t="inlineStr">
        <is>
          <t>A-5050__185</t>
        </is>
      </c>
      <c r="C4976" t="n">
        <v>37.1896280459</v>
      </c>
      <c r="D4976" t="n">
        <v>-6.98796287948</v>
      </c>
      <c r="E4976" s="3" t="n"/>
      <c r="F4976" s="2" t="n"/>
      <c r="G4976" s="4" t="n">
        <v>4</v>
      </c>
      <c r="H4976" s="13" t="n">
        <v>3</v>
      </c>
      <c r="I4976" s="34" t="n">
        <v>3</v>
      </c>
      <c r="J4976" s="35" t="n">
        <v>3</v>
      </c>
      <c r="K4976" s="4" t="inlineStr">
        <is>
          <t>marker_282_394500.png</t>
        </is>
      </c>
      <c r="L4976" s="36">
        <f>HYPERLINK("Solo2\" &amp; K4976, "Ver Imagen")</f>
        <v/>
      </c>
      <c r="M4976" t="inlineStr">
        <is>
          <t>Mediana</t>
        </is>
      </c>
    </row>
    <row r="4977">
      <c r="A4977" s="33" t="n">
        <v>4982</v>
      </c>
      <c r="B4977" t="inlineStr">
        <is>
          <t>A-495_1__181</t>
        </is>
      </c>
      <c r="C4977" s="1" t="n">
        <v>37.4824260353</v>
      </c>
      <c r="D4977" s="1" t="n">
        <v>-7.12853385793</v>
      </c>
      <c r="E4977" s="3" t="n">
        <v>2</v>
      </c>
      <c r="F4977" s="2" t="n">
        <v>2</v>
      </c>
      <c r="G4977" s="4" t="n"/>
      <c r="H4977" s="13" t="n">
        <v>1</v>
      </c>
      <c r="I4977" s="34" t="n">
        <v>1</v>
      </c>
      <c r="J4977" s="37" t="n">
        <v>1</v>
      </c>
      <c r="K4977" s="2" t="inlineStr">
        <is>
          <t>marker_190_383811.png</t>
        </is>
      </c>
      <c r="L4977" s="36">
        <f>HYPERLINK("Solo2\" &amp; K4977, "Ver Imagen")</f>
        <v/>
      </c>
      <c r="M4977" s="37" t="inlineStr">
        <is>
          <t>Modificada</t>
        </is>
      </c>
    </row>
    <row r="4978">
      <c r="A4978" s="33" t="n">
        <v>4983</v>
      </c>
      <c r="B4978" t="inlineStr">
        <is>
          <t>A-499__59</t>
        </is>
      </c>
      <c r="C4978" s="1" t="n">
        <v>37.49554933</v>
      </c>
      <c r="D4978" s="1" t="n">
        <v>-7.27299753508</v>
      </c>
      <c r="E4978" s="3" t="n">
        <v>3</v>
      </c>
      <c r="F4978" s="2" t="n">
        <v>2</v>
      </c>
      <c r="G4978" s="4" t="n"/>
      <c r="H4978" s="13" t="n">
        <v>1</v>
      </c>
      <c r="I4978" s="34" t="n">
        <v>1</v>
      </c>
      <c r="J4978" s="37" t="n">
        <v>1</v>
      </c>
      <c r="K4978" s="2" t="inlineStr">
        <is>
          <t>marker_987_534985.png</t>
        </is>
      </c>
      <c r="L4978" s="36">
        <f>HYPERLINK("Solo2\" &amp; K4978, "Ver Imagen")</f>
        <v/>
      </c>
      <c r="M4978" s="37" t="inlineStr">
        <is>
          <t>Modificada</t>
        </is>
      </c>
    </row>
    <row r="4979">
      <c r="A4979" s="33" t="n">
        <v>4984</v>
      </c>
      <c r="B4979" t="inlineStr">
        <is>
          <t>A-497__768</t>
        </is>
      </c>
      <c r="C4979" s="1" t="n">
        <v>37.1872087207</v>
      </c>
      <c r="D4979" s="1" t="n">
        <v>-6.97932653688</v>
      </c>
      <c r="E4979" s="3" t="n"/>
      <c r="F4979" s="2" t="n">
        <v>5</v>
      </c>
      <c r="G4979" s="4" t="n">
        <v>5</v>
      </c>
      <c r="H4979" s="13" t="n">
        <v>3</v>
      </c>
      <c r="I4979" s="34" t="n">
        <v>4</v>
      </c>
      <c r="J4979" s="37" t="n">
        <v>4</v>
      </c>
      <c r="K4979" s="2" t="inlineStr">
        <is>
          <t>marker_736_368460.png</t>
        </is>
      </c>
      <c r="L4979" s="36">
        <f>HYPERLINK("Solo2\" &amp; K4979, "Ver Imagen")</f>
        <v/>
      </c>
      <c r="M4979" s="37" t="inlineStr">
        <is>
          <t>Modificada</t>
        </is>
      </c>
    </row>
    <row r="4980">
      <c r="A4980" s="33" t="n">
        <v>4985</v>
      </c>
      <c r="B4980" t="inlineStr">
        <is>
          <t>A-497__764</t>
        </is>
      </c>
      <c r="C4980" s="1" t="n">
        <v>37.1865654427</v>
      </c>
      <c r="D4980" s="1" t="n">
        <v>-6.97997166406</v>
      </c>
      <c r="E4980" s="3" t="n"/>
      <c r="F4980" s="2" t="n">
        <v>5</v>
      </c>
      <c r="G4980" s="4" t="n">
        <v>5</v>
      </c>
      <c r="H4980" s="13" t="n">
        <v>4</v>
      </c>
      <c r="I4980" s="34" t="n">
        <v>5</v>
      </c>
      <c r="J4980" s="35" t="n">
        <v>5</v>
      </c>
      <c r="K4980" s="2" t="inlineStr">
        <is>
          <t>marker_394_368520.png</t>
        </is>
      </c>
      <c r="L4980" s="36">
        <f>HYPERLINK("Solo2\" &amp; K4980, "Ver Imagen")</f>
        <v/>
      </c>
      <c r="M4980" t="inlineStr">
        <is>
          <t>Mediana</t>
        </is>
      </c>
    </row>
    <row r="4981">
      <c r="A4981" s="33" t="n">
        <v>4986</v>
      </c>
      <c r="B4981" t="inlineStr">
        <is>
          <t>A-497__758</t>
        </is>
      </c>
      <c r="C4981" s="1" t="n">
        <v>37.1858581274</v>
      </c>
      <c r="D4981" s="1" t="n">
        <v>-6.98004135349</v>
      </c>
      <c r="E4981" s="3" t="n"/>
      <c r="F4981" s="2" t="n">
        <v>4</v>
      </c>
      <c r="G4981" s="4" t="n">
        <v>4</v>
      </c>
      <c r="H4981" s="13" t="n">
        <v>3</v>
      </c>
      <c r="I4981" s="34" t="n">
        <v>4</v>
      </c>
      <c r="J4981" s="35" t="n">
        <v>4</v>
      </c>
      <c r="K4981" s="2" t="inlineStr">
        <is>
          <t>marker_513_368591.png</t>
        </is>
      </c>
      <c r="L4981" s="36">
        <f>HYPERLINK("Solo2\" &amp; K4981, "Ver Imagen")</f>
        <v/>
      </c>
      <c r="M4981" t="inlineStr">
        <is>
          <t>Mediana</t>
        </is>
      </c>
    </row>
    <row r="4982">
      <c r="A4982" s="33" t="n">
        <v>4987</v>
      </c>
      <c r="B4982" t="inlineStr">
        <is>
          <t>A-499__132</t>
        </is>
      </c>
      <c r="C4982" s="1" t="n">
        <v>37.5050592185</v>
      </c>
      <c r="D4982" s="1" t="n">
        <v>-7.26537694888</v>
      </c>
      <c r="E4982" s="3" t="n">
        <v>2</v>
      </c>
      <c r="F4982" s="2" t="n">
        <v>2</v>
      </c>
      <c r="G4982" s="4" t="n"/>
      <c r="H4982" s="13" t="n">
        <v>1</v>
      </c>
      <c r="I4982" s="34" t="n">
        <v>1</v>
      </c>
      <c r="J4982" s="35" t="n">
        <v>1.5</v>
      </c>
      <c r="K4982" s="2" t="inlineStr">
        <is>
          <t>marker_431_793824.png</t>
        </is>
      </c>
      <c r="L4982" s="36">
        <f>HYPERLINK("Solo2\" &amp; K4982, "Ver Imagen")</f>
        <v/>
      </c>
      <c r="M4982" t="inlineStr">
        <is>
          <t>Mediana</t>
        </is>
      </c>
    </row>
    <row r="4983">
      <c r="A4983" s="33" t="n">
        <v>4988</v>
      </c>
      <c r="B4983" t="inlineStr">
        <is>
          <t>A-497__749</t>
        </is>
      </c>
      <c r="C4983" s="1" t="n">
        <v>37.1873867887</v>
      </c>
      <c r="D4983" s="1" t="n">
        <v>-6.97890142557</v>
      </c>
      <c r="E4983" s="3" t="n"/>
      <c r="F4983" s="2" t="n">
        <v>5</v>
      </c>
      <c r="G4983" s="4" t="n">
        <v>5</v>
      </c>
      <c r="H4983" s="13" t="n">
        <v>4</v>
      </c>
      <c r="I4983" s="34" t="n">
        <v>4</v>
      </c>
      <c r="J4983" s="35" t="n">
        <v>4.5</v>
      </c>
      <c r="K4983" s="2" t="inlineStr">
        <is>
          <t>marker_581_368702.png</t>
        </is>
      </c>
      <c r="L4983" s="36">
        <f>HYPERLINK("Solo2\" &amp; K4983, "Ver Imagen")</f>
        <v/>
      </c>
      <c r="M4983" t="inlineStr">
        <is>
          <t>Mediana</t>
        </is>
      </c>
    </row>
    <row r="4984">
      <c r="A4984" s="33" t="n">
        <v>4989</v>
      </c>
      <c r="B4984" t="inlineStr">
        <is>
          <t>A-497_2C__242</t>
        </is>
      </c>
      <c r="C4984" s="1" t="n">
        <v>37.2600680724</v>
      </c>
      <c r="D4984" s="1" t="n">
        <v>-7.01166438165</v>
      </c>
      <c r="E4984" s="3" t="n"/>
      <c r="F4984" s="2" t="n">
        <v>3</v>
      </c>
      <c r="G4984" s="4" t="n">
        <v>3</v>
      </c>
      <c r="H4984" s="13" t="n">
        <v>2</v>
      </c>
      <c r="I4984" s="34" t="n">
        <v>2</v>
      </c>
      <c r="J4984" s="37" t="n">
        <v>2</v>
      </c>
      <c r="K4984" s="2" t="inlineStr">
        <is>
          <t>marker_530_657044.png</t>
        </is>
      </c>
      <c r="L4984" s="36">
        <f>HYPERLINK("Solo2\" &amp; K4984, "Ver Imagen")</f>
        <v/>
      </c>
      <c r="M4984" s="37" t="inlineStr">
        <is>
          <t>Modificada</t>
        </is>
      </c>
    </row>
    <row r="4985">
      <c r="A4985" s="33" t="n">
        <v>4990</v>
      </c>
      <c r="B4985" t="inlineStr">
        <is>
          <t>A-497__662</t>
        </is>
      </c>
      <c r="C4985" s="1" t="n">
        <v>37.2003477567</v>
      </c>
      <c r="D4985" s="1" t="n">
        <v>-6.98727392114</v>
      </c>
      <c r="E4985" s="3" t="n">
        <v>3</v>
      </c>
      <c r="F4985" s="2" t="n">
        <v>4</v>
      </c>
      <c r="G4985" s="4" t="n"/>
      <c r="H4985" s="13" t="n">
        <v>3</v>
      </c>
      <c r="I4985" s="34" t="n">
        <v>3</v>
      </c>
      <c r="J4985" s="35" t="n">
        <v>3</v>
      </c>
      <c r="K4985" s="2" t="inlineStr">
        <is>
          <t>marker_722_371132.png</t>
        </is>
      </c>
      <c r="L4985" s="36">
        <f>HYPERLINK("Solo2\" &amp; K4985, "Ver Imagen")</f>
        <v/>
      </c>
      <c r="M4985" t="inlineStr">
        <is>
          <t>Mediana</t>
        </is>
      </c>
    </row>
    <row r="4986">
      <c r="A4986" s="33" t="n">
        <v>4991</v>
      </c>
      <c r="B4986" t="inlineStr">
        <is>
          <t>A-497__619</t>
        </is>
      </c>
      <c r="C4986" s="1" t="n">
        <v>37.2023673926</v>
      </c>
      <c r="D4986" s="1" t="n">
        <v>-6.99789811204</v>
      </c>
      <c r="E4986" s="3" t="n"/>
      <c r="F4986" s="2" t="n">
        <v>4</v>
      </c>
      <c r="G4986" s="4" t="n">
        <v>5</v>
      </c>
      <c r="H4986" s="13" t="n">
        <v>3</v>
      </c>
      <c r="I4986" s="34" t="n">
        <v>3</v>
      </c>
      <c r="J4986" s="37" t="n">
        <v>3</v>
      </c>
      <c r="K4986" s="2" t="inlineStr">
        <is>
          <t>marker_229_371537.png</t>
        </is>
      </c>
      <c r="L4986" s="36">
        <f>HYPERLINK("Solo2\" &amp; K4986, "Ver Imagen")</f>
        <v/>
      </c>
      <c r="M4986" s="37" t="inlineStr">
        <is>
          <t>Modificada</t>
        </is>
      </c>
    </row>
    <row r="4987">
      <c r="A4987" s="33" t="n">
        <v>4992</v>
      </c>
      <c r="B4987" t="inlineStr">
        <is>
          <t>A-497__618</t>
        </is>
      </c>
      <c r="C4987" s="1" t="n">
        <v>37.2024033857</v>
      </c>
      <c r="D4987" s="1" t="n">
        <v>-6.99814163247</v>
      </c>
      <c r="E4987" s="3" t="n"/>
      <c r="F4987" s="2" t="n">
        <v>4</v>
      </c>
      <c r="G4987" s="4" t="n">
        <v>5</v>
      </c>
      <c r="H4987" s="13" t="n">
        <v>4</v>
      </c>
      <c r="I4987" s="34" t="n">
        <v>4</v>
      </c>
      <c r="J4987" s="35" t="n">
        <v>4</v>
      </c>
      <c r="K4987" s="2" t="inlineStr">
        <is>
          <t>marker_938_371546.png</t>
        </is>
      </c>
      <c r="L4987" s="36">
        <f>HYPERLINK("Solo2\" &amp; K4987, "Ver Imagen")</f>
        <v/>
      </c>
      <c r="M4987" t="inlineStr">
        <is>
          <t>Mediana</t>
        </is>
      </c>
    </row>
    <row r="4988">
      <c r="A4988" s="33" t="n">
        <v>4993</v>
      </c>
      <c r="B4988" t="inlineStr">
        <is>
          <t>A-497_2C__319</t>
        </is>
      </c>
      <c r="C4988" s="1" t="n">
        <v>37.2456973348</v>
      </c>
      <c r="D4988" s="1" t="n">
        <v>-7.01846146404</v>
      </c>
      <c r="E4988" s="3" t="n">
        <v>3</v>
      </c>
      <c r="F4988" s="2" t="n">
        <v>4</v>
      </c>
      <c r="G4988" s="4" t="n"/>
      <c r="H4988" s="13" t="n">
        <v>3</v>
      </c>
      <c r="I4988" s="34" t="n">
        <v>3</v>
      </c>
      <c r="J4988" s="35" t="n">
        <v>3</v>
      </c>
      <c r="K4988" s="2" t="inlineStr">
        <is>
          <t>marker_160_361918.png</t>
        </is>
      </c>
      <c r="L4988" s="36">
        <f>HYPERLINK("Solo2\" &amp; K4988, "Ver Imagen")</f>
        <v/>
      </c>
      <c r="M4988" t="inlineStr">
        <is>
          <t>Mediana</t>
        </is>
      </c>
    </row>
    <row r="4989" ht="15.75" customHeight="1" thickBot="1">
      <c r="A4989" s="43" t="n">
        <v>4994</v>
      </c>
      <c r="B4989" s="44" t="inlineStr">
        <is>
          <t>A-499__81</t>
        </is>
      </c>
      <c r="C4989" s="44" t="n">
        <v>37.4951954321</v>
      </c>
      <c r="D4989" s="44" t="n">
        <v>-7.267660023</v>
      </c>
      <c r="E4989" s="45" t="n">
        <v>3</v>
      </c>
      <c r="F4989" s="46" t="n"/>
      <c r="G4989" s="47" t="n"/>
      <c r="H4989" s="48" t="n">
        <v>2</v>
      </c>
      <c r="I4989" s="49" t="n">
        <v>3</v>
      </c>
      <c r="J4989" s="50" t="n">
        <v>3</v>
      </c>
      <c r="K4989" s="45" t="inlineStr">
        <is>
          <t>marker_656_799839.png</t>
        </is>
      </c>
      <c r="L4989" s="51">
        <f>HYPERLINK("Solo2\" &amp; K4989, "Ver Imagen")</f>
        <v/>
      </c>
      <c r="M4989" t="inlineStr">
        <is>
          <t>Mediana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3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Orden</t>
        </is>
      </c>
      <c r="B1" t="inlineStr">
        <is>
          <t>Identifier</t>
        </is>
      </c>
      <c r="C1" t="inlineStr">
        <is>
          <t>LAT</t>
        </is>
      </c>
      <c r="D1" t="inlineStr">
        <is>
          <t>LON</t>
        </is>
      </c>
      <c r="E1" t="inlineStr">
        <is>
          <t>Antonio Ruiz</t>
        </is>
      </c>
      <c r="F1" t="inlineStr">
        <is>
          <t>Alvaro</t>
        </is>
      </c>
      <c r="G1" t="inlineStr">
        <is>
          <t>Juan</t>
        </is>
      </c>
      <c r="H1" t="inlineStr">
        <is>
          <t>MAAT</t>
        </is>
      </c>
      <c r="I1" t="inlineStr">
        <is>
          <t>FJAT</t>
        </is>
      </c>
      <c r="J1" t="inlineStr">
        <is>
          <t>Estrategia</t>
        </is>
      </c>
      <c r="K1" t="inlineStr">
        <is>
          <t>Etiqueta</t>
        </is>
      </c>
      <c r="L1" t="inlineStr">
        <is>
          <t>Pred</t>
        </is>
      </c>
      <c r="M1" t="inlineStr">
        <is>
          <t>Error</t>
        </is>
      </c>
      <c r="N1" t="inlineStr">
        <is>
          <t>subset</t>
        </is>
      </c>
      <c r="O1" t="inlineStr">
        <is>
          <t>ocumap</t>
        </is>
      </c>
      <c r="P1" t="inlineStr">
        <is>
          <t>HD15</t>
        </is>
      </c>
    </row>
    <row r="2">
      <c r="A2" t="n">
        <v>3939</v>
      </c>
      <c r="B2" t="inlineStr">
        <is>
          <t>A-5052__245</t>
        </is>
      </c>
      <c r="C2" t="n">
        <v>37.2132512865</v>
      </c>
      <c r="D2" t="n">
        <v>-7.06483376518</v>
      </c>
      <c r="E2" t="n">
        <v>5</v>
      </c>
      <c r="F2" t="n">
        <v>5</v>
      </c>
      <c r="G2" t="n">
        <v>5</v>
      </c>
      <c r="J2" t="inlineStr">
        <is>
          <t>Moda</t>
        </is>
      </c>
      <c r="K2" t="n">
        <v>5</v>
      </c>
      <c r="L2" t="n">
        <v>2.261</v>
      </c>
      <c r="M2" t="n">
        <v>3</v>
      </c>
      <c r="N2" t="inlineStr">
        <is>
          <t>test</t>
        </is>
      </c>
      <c r="O2">
        <f>HYPERLINK("5\0\marker_778_960018.png", "Ver Imagen")</f>
        <v/>
      </c>
      <c r="P2">
        <f>HYPERLINK("SE\A-5052\A-5052__245.png", "Ver Imagen")</f>
        <v/>
      </c>
    </row>
    <row r="3">
      <c r="A3" t="n">
        <v>210</v>
      </c>
      <c r="B3" t="inlineStr">
        <is>
          <t>A-497__443</t>
        </is>
      </c>
      <c r="C3" t="n">
        <v>37.2226225195</v>
      </c>
      <c r="D3" t="n">
        <v>-7.02302601904</v>
      </c>
      <c r="E3" t="n">
        <v>1</v>
      </c>
      <c r="F3" t="n">
        <v>1</v>
      </c>
      <c r="G3" t="n">
        <v>2</v>
      </c>
      <c r="J3" t="inlineStr">
        <is>
          <t>Moda</t>
        </is>
      </c>
      <c r="K3" t="n">
        <v>1</v>
      </c>
      <c r="L3" t="n">
        <v>2.741</v>
      </c>
      <c r="M3" t="n">
        <v>2</v>
      </c>
      <c r="N3" t="inlineStr">
        <is>
          <t>test</t>
        </is>
      </c>
      <c r="O3">
        <f>HYPERLINK("1\1\marker_704_376774.png", "Ver Imagen")</f>
        <v/>
      </c>
      <c r="P3">
        <f>HYPERLINK("SE\A-497\A-497__443.png", "Ver Imagen")</f>
        <v/>
      </c>
    </row>
    <row r="4">
      <c r="A4" t="n">
        <v>704</v>
      </c>
      <c r="B4" t="inlineStr">
        <is>
          <t>A-497__728</t>
        </is>
      </c>
      <c r="C4" t="n">
        <v>37.1913587471</v>
      </c>
      <c r="D4" t="n">
        <v>-6.97763112884</v>
      </c>
      <c r="E4" t="n">
        <v>2</v>
      </c>
      <c r="F4" t="n">
        <v>2</v>
      </c>
      <c r="G4" t="n">
        <v>2</v>
      </c>
      <c r="J4" t="inlineStr">
        <is>
          <t>Moda</t>
        </is>
      </c>
      <c r="K4" t="n">
        <v>2</v>
      </c>
      <c r="L4" t="n">
        <v>3.733</v>
      </c>
      <c r="M4" t="n">
        <v>2</v>
      </c>
      <c r="N4" t="inlineStr">
        <is>
          <t>test</t>
        </is>
      </c>
      <c r="O4">
        <f>HYPERLINK("2\0\marker_306_368983.png", "Ver Imagen")</f>
        <v/>
      </c>
      <c r="P4">
        <f>HYPERLINK("SE\A-497\A-497__728.png", "Ver Imagen")</f>
        <v/>
      </c>
    </row>
    <row r="5">
      <c r="A5" t="n">
        <v>868</v>
      </c>
      <c r="B5" t="inlineStr">
        <is>
          <t>A-5052__56</t>
        </is>
      </c>
      <c r="C5" t="n">
        <v>37.2175713343</v>
      </c>
      <c r="D5" t="n">
        <v>-7.11198770897</v>
      </c>
      <c r="E5" t="n">
        <v>1</v>
      </c>
      <c r="F5" t="n">
        <v>2</v>
      </c>
      <c r="G5" t="n">
        <v>2</v>
      </c>
      <c r="J5" t="inlineStr">
        <is>
          <t>Moda</t>
        </is>
      </c>
      <c r="K5" t="n">
        <v>2</v>
      </c>
      <c r="L5" t="n">
        <v>3.504</v>
      </c>
      <c r="M5" t="n">
        <v>2</v>
      </c>
      <c r="N5" t="inlineStr">
        <is>
          <t>test</t>
        </is>
      </c>
      <c r="O5">
        <f>HYPERLINK("2\1\marker_751_956992.png", "Ver Imagen")</f>
        <v/>
      </c>
      <c r="P5">
        <f>HYPERLINK("SO\A-5052\A-5052__56.png", "Ver Imagen")</f>
        <v/>
      </c>
    </row>
    <row r="6">
      <c r="A6" t="n">
        <v>1530</v>
      </c>
      <c r="B6" t="inlineStr">
        <is>
          <t>A-497__561</t>
        </is>
      </c>
      <c r="C6" t="n">
        <v>37.2043668269</v>
      </c>
      <c r="D6" t="n">
        <v>-7.01237077428</v>
      </c>
      <c r="E6" t="n">
        <v>3</v>
      </c>
      <c r="F6" t="n">
        <v>2</v>
      </c>
      <c r="G6" t="n">
        <v>2</v>
      </c>
      <c r="J6" t="inlineStr">
        <is>
          <t>Moda</t>
        </is>
      </c>
      <c r="K6" t="n">
        <v>2</v>
      </c>
      <c r="L6" t="n">
        <v>3.827</v>
      </c>
      <c r="M6" t="n">
        <v>2</v>
      </c>
      <c r="N6" t="inlineStr">
        <is>
          <t>test</t>
        </is>
      </c>
      <c r="O6">
        <f>HYPERLINK("2\1\marker_576_372136.png", "Ver Imagen")</f>
        <v/>
      </c>
      <c r="P6">
        <f>HYPERLINK("SE\A-497\A-497__561.png", "Ver Imagen")</f>
        <v/>
      </c>
    </row>
    <row r="7">
      <c r="A7" t="n">
        <v>1578</v>
      </c>
      <c r="B7" t="inlineStr">
        <is>
          <t>A-497__274</t>
        </is>
      </c>
      <c r="C7" t="n">
        <v>37.2550727927</v>
      </c>
      <c r="D7" t="n">
        <v>-7.01464421559</v>
      </c>
      <c r="E7" t="n">
        <v>2</v>
      </c>
      <c r="F7" t="n">
        <v>2</v>
      </c>
      <c r="G7" t="n">
        <v>3</v>
      </c>
      <c r="J7" t="inlineStr">
        <is>
          <t>Moda</t>
        </is>
      </c>
      <c r="K7" t="n">
        <v>2</v>
      </c>
      <c r="L7" t="n">
        <v>3.623</v>
      </c>
      <c r="M7" t="n">
        <v>2</v>
      </c>
      <c r="N7" t="inlineStr">
        <is>
          <t>val</t>
        </is>
      </c>
      <c r="O7">
        <f>HYPERLINK("2\1\marker_987_378540.png", "Ver Imagen")</f>
        <v/>
      </c>
      <c r="P7">
        <f>HYPERLINK("SE\A-497\A-497__274.png", "Ver Imagen")</f>
        <v/>
      </c>
    </row>
    <row r="8">
      <c r="A8" t="n">
        <v>2028</v>
      </c>
      <c r="B8" t="inlineStr">
        <is>
          <t>A-495_1__16</t>
        </is>
      </c>
      <c r="C8" t="n">
        <v>37.4511681999</v>
      </c>
      <c r="D8" t="n">
        <v>-7.12744000988</v>
      </c>
      <c r="E8" t="n">
        <v>3</v>
      </c>
      <c r="F8" t="n">
        <v>3</v>
      </c>
      <c r="G8" t="n">
        <v>3</v>
      </c>
      <c r="J8" t="inlineStr">
        <is>
          <t>Moda</t>
        </is>
      </c>
      <c r="K8" t="n">
        <v>3</v>
      </c>
      <c r="L8" t="n">
        <v>1.383</v>
      </c>
      <c r="M8" t="n">
        <v>2</v>
      </c>
      <c r="N8" t="inlineStr">
        <is>
          <t>test</t>
        </is>
      </c>
      <c r="O8">
        <f>HYPERLINK("3\0\marker_157_386170.png", "Ver Imagen")</f>
        <v/>
      </c>
      <c r="P8">
        <f>HYPERLINK("NE\A-495_1\A-495_1__16.png", "Ver Imagen")</f>
        <v/>
      </c>
    </row>
    <row r="9">
      <c r="A9" t="n">
        <v>3625</v>
      </c>
      <c r="B9" t="inlineStr">
        <is>
          <t>A-5053__217</t>
        </is>
      </c>
      <c r="C9" t="n">
        <v>37.2615756017</v>
      </c>
      <c r="D9" t="n">
        <v>-7.13005852732</v>
      </c>
      <c r="E9" t="n">
        <v>4</v>
      </c>
      <c r="F9" t="n">
        <v>4</v>
      </c>
      <c r="G9" t="n">
        <v>3</v>
      </c>
      <c r="J9" t="inlineStr">
        <is>
          <t>Moda</t>
        </is>
      </c>
      <c r="K9" t="n">
        <v>4</v>
      </c>
      <c r="L9" t="n">
        <v>2.405</v>
      </c>
      <c r="M9" t="n">
        <v>2</v>
      </c>
      <c r="N9" t="inlineStr">
        <is>
          <t>test</t>
        </is>
      </c>
      <c r="O9">
        <f>HYPERLINK("4\1\marker_357_965717.png", "Ver Imagen")</f>
        <v/>
      </c>
      <c r="P9">
        <f>HYPERLINK("SO\A-5053\A-5053__217.png", "Ver Imagen")</f>
        <v/>
      </c>
    </row>
    <row r="10">
      <c r="A10" t="n">
        <v>3629</v>
      </c>
      <c r="B10" t="inlineStr">
        <is>
          <t>A-497_2C__311</t>
        </is>
      </c>
      <c r="C10" t="n">
        <v>37.2472740256</v>
      </c>
      <c r="D10" t="n">
        <v>-7.01840555103</v>
      </c>
      <c r="E10" t="n">
        <v>4</v>
      </c>
      <c r="F10" t="n">
        <v>4</v>
      </c>
      <c r="G10" t="n">
        <v>3</v>
      </c>
      <c r="J10" t="inlineStr">
        <is>
          <t>Moda</t>
        </is>
      </c>
      <c r="K10" t="n">
        <v>4</v>
      </c>
      <c r="L10" t="n">
        <v>2.345</v>
      </c>
      <c r="M10" t="n">
        <v>2</v>
      </c>
      <c r="N10" t="inlineStr">
        <is>
          <t>test</t>
        </is>
      </c>
      <c r="O10">
        <f>HYPERLINK("4\1\marker_708_361842.png", "Ver Imagen")</f>
        <v/>
      </c>
      <c r="P10">
        <f>HYPERLINK("SE\A-497_2C\A-497_2C__311.png", "Ver Imagen")</f>
        <v/>
      </c>
    </row>
    <row r="11">
      <c r="A11" t="n">
        <v>3655</v>
      </c>
      <c r="B11" t="inlineStr">
        <is>
          <t>A-490__261</t>
        </is>
      </c>
      <c r="C11" t="n">
        <v>37.4670499443</v>
      </c>
      <c r="D11" t="n">
        <v>-7.18419336941</v>
      </c>
      <c r="E11" t="n">
        <v>3</v>
      </c>
      <c r="F11" t="n">
        <v>4</v>
      </c>
      <c r="G11" t="n">
        <v>4</v>
      </c>
      <c r="J11" t="inlineStr">
        <is>
          <t>Moda</t>
        </is>
      </c>
      <c r="K11" t="n">
        <v>4</v>
      </c>
      <c r="L11" t="n">
        <v>2.453</v>
      </c>
      <c r="M11" t="n">
        <v>2</v>
      </c>
      <c r="N11" t="inlineStr">
        <is>
          <t>val</t>
        </is>
      </c>
      <c r="O11">
        <f>HYPERLINK("4\1\marker_244_749729.png", "Ver Imagen")</f>
        <v/>
      </c>
      <c r="P11">
        <f>HYPERLINK("NE\A-490\A-490__261.png", "Ver Imagen")</f>
        <v/>
      </c>
    </row>
    <row r="12">
      <c r="A12" t="n">
        <v>3661</v>
      </c>
      <c r="B12" t="inlineStr">
        <is>
          <t>A-492__62</t>
        </is>
      </c>
      <c r="C12" t="n">
        <v>37.2798911767</v>
      </c>
      <c r="D12" t="n">
        <v>-6.99849943216</v>
      </c>
      <c r="E12" t="n">
        <v>4</v>
      </c>
      <c r="F12" t="n">
        <v>3</v>
      </c>
      <c r="G12" t="n">
        <v>4</v>
      </c>
      <c r="J12" t="inlineStr">
        <is>
          <t>Moda</t>
        </is>
      </c>
      <c r="K12" t="n">
        <v>4</v>
      </c>
      <c r="L12" t="n">
        <v>2.462</v>
      </c>
      <c r="M12" t="n">
        <v>2</v>
      </c>
      <c r="N12" t="inlineStr">
        <is>
          <t>test</t>
        </is>
      </c>
      <c r="O12">
        <f>HYPERLINK("4\1\marker_924_823168.png", "Ver Imagen")</f>
        <v/>
      </c>
      <c r="P12">
        <f>HYPERLINK("SE\A-492\A-492__62.png", "Ver Imagen")</f>
        <v/>
      </c>
    </row>
    <row r="13">
      <c r="A13" t="n">
        <v>3684</v>
      </c>
      <c r="B13" t="inlineStr">
        <is>
          <t>A-5053__276</t>
        </is>
      </c>
      <c r="C13" t="n">
        <v>37.2699906726</v>
      </c>
      <c r="D13" t="n">
        <v>-7.13957271306</v>
      </c>
      <c r="E13" t="n">
        <v>4</v>
      </c>
      <c r="F13" t="n">
        <v>3</v>
      </c>
      <c r="G13" t="n">
        <v>4</v>
      </c>
      <c r="J13" t="inlineStr">
        <is>
          <t>Moda</t>
        </is>
      </c>
      <c r="K13" t="n">
        <v>4</v>
      </c>
      <c r="L13" t="n">
        <v>2.453</v>
      </c>
      <c r="M13" t="n">
        <v>2</v>
      </c>
      <c r="N13" t="inlineStr">
        <is>
          <t>test</t>
        </is>
      </c>
      <c r="O13">
        <f>HYPERLINK("4\1\marker_591_965097.png", "Ver Imagen")</f>
        <v/>
      </c>
      <c r="P13">
        <f>HYPERLINK("SO\A-5053\A-5053__276.png", "Ver Imagen")</f>
        <v/>
      </c>
    </row>
    <row r="14">
      <c r="A14" t="n">
        <v>3697</v>
      </c>
      <c r="B14" t="inlineStr">
        <is>
          <t>A-495__127</t>
        </is>
      </c>
      <c r="C14" t="n">
        <v>37.4352432827</v>
      </c>
      <c r="D14" t="n">
        <v>-7.07124096853</v>
      </c>
      <c r="E14" t="n">
        <v>4</v>
      </c>
      <c r="F14" t="n">
        <v>3</v>
      </c>
      <c r="G14" t="n">
        <v>4</v>
      </c>
      <c r="J14" t="inlineStr">
        <is>
          <t>Moda</t>
        </is>
      </c>
      <c r="K14" t="n">
        <v>4</v>
      </c>
      <c r="L14" t="n">
        <v>1.943</v>
      </c>
      <c r="M14" t="n">
        <v>2</v>
      </c>
      <c r="N14" t="inlineStr">
        <is>
          <t>test</t>
        </is>
      </c>
      <c r="O14">
        <f>HYPERLINK("4\1\marker_856_382441.png", "Ver Imagen")</f>
        <v/>
      </c>
      <c r="P14">
        <f>HYPERLINK("NE\A-495\A-495__127.png", "Ver Imagen")</f>
        <v/>
      </c>
    </row>
    <row r="15">
      <c r="A15" t="n">
        <v>3716</v>
      </c>
      <c r="B15" t="inlineStr">
        <is>
          <t>A-5058__298</t>
        </is>
      </c>
      <c r="C15" t="n">
        <v>37.2454496735</v>
      </c>
      <c r="D15" t="n">
        <v>-7.09423117543</v>
      </c>
      <c r="E15" t="n">
        <v>4</v>
      </c>
      <c r="F15" t="n">
        <v>3</v>
      </c>
      <c r="G15" t="n">
        <v>4</v>
      </c>
      <c r="J15" t="inlineStr">
        <is>
          <t>Moda</t>
        </is>
      </c>
      <c r="K15" t="n">
        <v>4</v>
      </c>
      <c r="L15" t="n">
        <v>2.482</v>
      </c>
      <c r="M15" t="n">
        <v>2</v>
      </c>
      <c r="N15" t="inlineStr">
        <is>
          <t>val</t>
        </is>
      </c>
      <c r="O15">
        <f>HYPERLINK("4\1\marker_518_384247.png", "Ver Imagen")</f>
        <v/>
      </c>
      <c r="P15">
        <f>HYPERLINK("SO\A-5058\A-5058__298.png", "Ver Imagen")</f>
        <v/>
      </c>
    </row>
    <row r="16">
      <c r="A16" t="n">
        <v>3727</v>
      </c>
      <c r="B16" t="inlineStr">
        <is>
          <t>A-495_1__157</t>
        </is>
      </c>
      <c r="C16" t="n">
        <v>37.4779259218</v>
      </c>
      <c r="D16" t="n">
        <v>-7.12719243623</v>
      </c>
      <c r="E16" t="n">
        <v>4</v>
      </c>
      <c r="F16" t="n">
        <v>3</v>
      </c>
      <c r="G16" t="n">
        <v>4</v>
      </c>
      <c r="J16" t="inlineStr">
        <is>
          <t>Moda</t>
        </is>
      </c>
      <c r="K16" t="n">
        <v>4</v>
      </c>
      <c r="L16" t="n">
        <v>1.8</v>
      </c>
      <c r="M16" t="n">
        <v>2</v>
      </c>
      <c r="N16" t="inlineStr">
        <is>
          <t>val</t>
        </is>
      </c>
      <c r="O16">
        <f>HYPERLINK("4\1\marker_728_384122.png", "Ver Imagen")</f>
        <v/>
      </c>
      <c r="P16">
        <f>HYPERLINK("NE\A-495_1\A-495_1__157.png", "Ver Imagen")</f>
        <v/>
      </c>
    </row>
    <row r="17">
      <c r="A17" t="n">
        <v>3752</v>
      </c>
      <c r="B17" t="inlineStr">
        <is>
          <t>A-497_2C__163</t>
        </is>
      </c>
      <c r="C17" t="n">
        <v>37.2659180951</v>
      </c>
      <c r="D17" t="n">
        <v>-6.99396570515</v>
      </c>
      <c r="E17" t="n">
        <v>4</v>
      </c>
      <c r="F17" t="n">
        <v>3</v>
      </c>
      <c r="G17" t="n">
        <v>4</v>
      </c>
      <c r="J17" t="inlineStr">
        <is>
          <t>Moda</t>
        </is>
      </c>
      <c r="K17" t="n">
        <v>4</v>
      </c>
      <c r="L17" t="n">
        <v>2.105</v>
      </c>
      <c r="M17" t="n">
        <v>2</v>
      </c>
      <c r="N17" t="inlineStr">
        <is>
          <t>val</t>
        </is>
      </c>
      <c r="O17">
        <f>HYPERLINK("4\1\marker_534_656128.png", "Ver Imagen")</f>
        <v/>
      </c>
      <c r="P17">
        <f>HYPERLINK("SE\A-497_2C\A-497_2C__163.png", "Ver Imagen")</f>
        <v/>
      </c>
    </row>
    <row r="18">
      <c r="A18" t="n">
        <v>3791</v>
      </c>
      <c r="B18" t="inlineStr">
        <is>
          <t>A-497__260</t>
        </is>
      </c>
      <c r="C18" t="n">
        <v>37.2576482319</v>
      </c>
      <c r="D18" t="n">
        <v>-7.01300677479</v>
      </c>
      <c r="E18" t="n">
        <v>4</v>
      </c>
      <c r="F18" t="n">
        <v>3</v>
      </c>
      <c r="G18" t="n">
        <v>4</v>
      </c>
      <c r="J18" t="inlineStr">
        <is>
          <t>Moda</t>
        </is>
      </c>
      <c r="K18" t="n">
        <v>4</v>
      </c>
      <c r="L18" t="n">
        <v>2.325</v>
      </c>
      <c r="M18" t="n">
        <v>2</v>
      </c>
      <c r="N18" t="inlineStr">
        <is>
          <t>test</t>
        </is>
      </c>
      <c r="O18">
        <f>HYPERLINK("4\1\marker_644_378677.png", "Ver Imagen")</f>
        <v/>
      </c>
      <c r="P18">
        <f>HYPERLINK("SE\A-497\A-497__260.png", "Ver Imagen")</f>
        <v/>
      </c>
    </row>
    <row r="19">
      <c r="A19" t="n">
        <v>3792</v>
      </c>
      <c r="B19" t="inlineStr">
        <is>
          <t>A-497__259</t>
        </is>
      </c>
      <c r="C19" t="n">
        <v>37.2577900478</v>
      </c>
      <c r="D19" t="n">
        <v>-7.01291642659</v>
      </c>
      <c r="E19" t="n">
        <v>4</v>
      </c>
      <c r="F19" t="n">
        <v>3</v>
      </c>
      <c r="G19" t="n">
        <v>4</v>
      </c>
      <c r="J19" t="inlineStr">
        <is>
          <t>Moda</t>
        </is>
      </c>
      <c r="K19" t="n">
        <v>4</v>
      </c>
      <c r="L19" t="n">
        <v>2.427</v>
      </c>
      <c r="M19" t="n">
        <v>2</v>
      </c>
      <c r="N19" t="inlineStr">
        <is>
          <t>val</t>
        </is>
      </c>
      <c r="O19">
        <f>HYPERLINK("4\1\marker_837_378688.png", "Ver Imagen")</f>
        <v/>
      </c>
      <c r="P19">
        <f>HYPERLINK("SE\A-497\A-497__259.png", "Ver Imagen")</f>
        <v/>
      </c>
    </row>
    <row r="20">
      <c r="A20" t="n">
        <v>3815</v>
      </c>
      <c r="B20" t="inlineStr">
        <is>
          <t>A-490__7</t>
        </is>
      </c>
      <c r="C20" t="n">
        <v>37.4471411265</v>
      </c>
      <c r="D20" t="n">
        <v>-7.12800797893</v>
      </c>
      <c r="E20" t="n">
        <v>4</v>
      </c>
      <c r="F20" t="n">
        <v>4</v>
      </c>
      <c r="G20" t="n">
        <v>3</v>
      </c>
      <c r="J20" t="inlineStr">
        <is>
          <t>Moda</t>
        </is>
      </c>
      <c r="K20" t="n">
        <v>4</v>
      </c>
      <c r="L20" t="n">
        <v>2.417</v>
      </c>
      <c r="M20" t="n">
        <v>2</v>
      </c>
      <c r="N20" t="inlineStr">
        <is>
          <t>val</t>
        </is>
      </c>
      <c r="O20">
        <f>HYPERLINK("4\1\marker_474_724942.png", "Ver Imagen")</f>
        <v/>
      </c>
      <c r="P20">
        <f>HYPERLINK("NE\A-490\A-490__7.png", "Ver Imagen")</f>
        <v/>
      </c>
    </row>
    <row r="21">
      <c r="A21" t="n">
        <v>3843</v>
      </c>
      <c r="B21" t="inlineStr">
        <is>
          <t>A-495__126</t>
        </is>
      </c>
      <c r="C21" t="n">
        <v>37.4352710353</v>
      </c>
      <c r="D21" t="n">
        <v>-7.07149923028</v>
      </c>
      <c r="E21" t="n">
        <v>5</v>
      </c>
      <c r="F21" t="n">
        <v>4</v>
      </c>
      <c r="G21" t="n">
        <v>4</v>
      </c>
      <c r="J21" t="inlineStr">
        <is>
          <t>Moda</t>
        </is>
      </c>
      <c r="K21" t="n">
        <v>4</v>
      </c>
      <c r="L21" t="n">
        <v>1.783</v>
      </c>
      <c r="M21" t="n">
        <v>2</v>
      </c>
      <c r="N21" t="inlineStr">
        <is>
          <t>val</t>
        </is>
      </c>
      <c r="O21">
        <f>HYPERLINK("4\1\marker_487_382433.png", "Ver Imagen")</f>
        <v/>
      </c>
      <c r="P21">
        <f>HYPERLINK("NE\A-495\A-495__126.png", "Ver Imagen")</f>
        <v/>
      </c>
    </row>
    <row r="22">
      <c r="A22" t="n">
        <v>3857</v>
      </c>
      <c r="B22" t="inlineStr">
        <is>
          <t>A-497_2C__5</t>
        </is>
      </c>
      <c r="C22" t="n">
        <v>37.2673580338</v>
      </c>
      <c r="D22" t="n">
        <v>-6.95823293324</v>
      </c>
      <c r="E22" t="n">
        <v>4</v>
      </c>
      <c r="F22" t="n">
        <v>4</v>
      </c>
      <c r="G22" t="n">
        <v>3</v>
      </c>
      <c r="J22" t="inlineStr">
        <is>
          <t>Moda</t>
        </is>
      </c>
      <c r="K22" t="n">
        <v>4</v>
      </c>
      <c r="L22" t="n">
        <v>2.415</v>
      </c>
      <c r="M22" t="n">
        <v>2</v>
      </c>
      <c r="N22" t="inlineStr">
        <is>
          <t>val</t>
        </is>
      </c>
      <c r="O22">
        <f>HYPERLINK("4\1\marker_965_653770.png", "Ver Imagen")</f>
        <v/>
      </c>
      <c r="P22">
        <f>HYPERLINK("SE\A-497_2C\A-497_2C__5.png", "Ver Imagen")</f>
        <v/>
      </c>
    </row>
    <row r="23">
      <c r="A23" t="n">
        <v>3868</v>
      </c>
      <c r="B23" t="inlineStr">
        <is>
          <t>A-497_2C__187</t>
        </is>
      </c>
      <c r="C23" t="n">
        <v>37.2648188795</v>
      </c>
      <c r="D23" t="n">
        <v>-6.99992357417</v>
      </c>
      <c r="E23" t="n">
        <v>4</v>
      </c>
      <c r="F23" t="n">
        <v>4</v>
      </c>
      <c r="G23" t="n">
        <v>3</v>
      </c>
      <c r="J23" t="inlineStr">
        <is>
          <t>Moda</t>
        </is>
      </c>
      <c r="K23" t="n">
        <v>4</v>
      </c>
      <c r="L23" t="n">
        <v>2.298</v>
      </c>
      <c r="M23" t="n">
        <v>2</v>
      </c>
      <c r="N23" t="inlineStr">
        <is>
          <t>test</t>
        </is>
      </c>
      <c r="O23">
        <f>HYPERLINK("4\1\marker_796_656391.png", "Ver Imagen")</f>
        <v/>
      </c>
      <c r="P23">
        <f>HYPERLINK("SE\A-497_2C\A-497_2C__187.png", "Ver Imagen")</f>
        <v/>
      </c>
    </row>
    <row r="24">
      <c r="A24" t="n">
        <v>3975</v>
      </c>
      <c r="B24" t="inlineStr">
        <is>
          <t>A-497__766</t>
        </is>
      </c>
      <c r="C24" t="n">
        <v>37.1868779123</v>
      </c>
      <c r="D24" t="n">
        <v>-6.97960595105</v>
      </c>
      <c r="E24" t="n">
        <v>5</v>
      </c>
      <c r="F24" t="n">
        <v>4</v>
      </c>
      <c r="G24" t="n">
        <v>5</v>
      </c>
      <c r="J24" t="inlineStr">
        <is>
          <t>Moda</t>
        </is>
      </c>
      <c r="K24" t="n">
        <v>5</v>
      </c>
      <c r="L24" t="n">
        <v>2.947</v>
      </c>
      <c r="M24" t="n">
        <v>2</v>
      </c>
      <c r="N24" t="inlineStr">
        <is>
          <t>val</t>
        </is>
      </c>
      <c r="O24">
        <f>HYPERLINK("5\1\marker_952_368491.png", "Ver Imagen")</f>
        <v/>
      </c>
      <c r="P24">
        <f>HYPERLINK("SE\A-497\A-497__766.png", "Ver Imagen")</f>
        <v/>
      </c>
    </row>
    <row r="25">
      <c r="A25" t="n">
        <v>3984</v>
      </c>
      <c r="B25" t="inlineStr">
        <is>
          <t>A-497__594</t>
        </is>
      </c>
      <c r="C25" t="n">
        <v>37.2031346481</v>
      </c>
      <c r="D25" t="n">
        <v>-7.00414435638</v>
      </c>
      <c r="E25" t="n">
        <v>5</v>
      </c>
      <c r="F25" t="n">
        <v>4</v>
      </c>
      <c r="G25" t="n">
        <v>5</v>
      </c>
      <c r="J25" t="inlineStr">
        <is>
          <t>Moda</t>
        </is>
      </c>
      <c r="K25" t="n">
        <v>5</v>
      </c>
      <c r="L25" t="n">
        <v>3.373</v>
      </c>
      <c r="M25" t="n">
        <v>2</v>
      </c>
      <c r="N25" t="inlineStr">
        <is>
          <t>val</t>
        </is>
      </c>
      <c r="O25">
        <f>HYPERLINK("5\1\marker_556_371768.png", "Ver Imagen")</f>
        <v/>
      </c>
      <c r="P25">
        <f>HYPERLINK("SE\A-497\A-497__594.png", "Ver Imagen")</f>
        <v/>
      </c>
    </row>
    <row r="26">
      <c r="A26" t="n">
        <v>3991</v>
      </c>
      <c r="B26" t="inlineStr">
        <is>
          <t>A-497__302</t>
        </is>
      </c>
      <c r="C26" t="n">
        <v>37.2500446216</v>
      </c>
      <c r="D26" t="n">
        <v>-7.0177958552</v>
      </c>
      <c r="E26" t="n">
        <v>5</v>
      </c>
      <c r="F26" t="n">
        <v>4</v>
      </c>
      <c r="G26" t="n">
        <v>5</v>
      </c>
      <c r="J26" t="inlineStr">
        <is>
          <t>Moda</t>
        </is>
      </c>
      <c r="K26" t="n">
        <v>5</v>
      </c>
      <c r="L26" t="n">
        <v>2.785</v>
      </c>
      <c r="M26" t="n">
        <v>2</v>
      </c>
      <c r="N26" t="inlineStr">
        <is>
          <t>test</t>
        </is>
      </c>
      <c r="O26">
        <f>HYPERLINK("5\1\marker_609_378195.png", "Ver Imagen")</f>
        <v/>
      </c>
      <c r="P26">
        <f>HYPERLINK("SE\A-497\A-497__302.png", "Ver Imagen")</f>
        <v/>
      </c>
    </row>
    <row r="27">
      <c r="A27" t="n">
        <v>3993</v>
      </c>
      <c r="B27" t="inlineStr">
        <is>
          <t>A-497__236</t>
        </is>
      </c>
      <c r="C27" t="n">
        <v>37.2618505128</v>
      </c>
      <c r="D27" t="n">
        <v>-7.01019172892</v>
      </c>
      <c r="E27" t="n">
        <v>5</v>
      </c>
      <c r="F27" t="n">
        <v>4</v>
      </c>
      <c r="G27" t="n">
        <v>5</v>
      </c>
      <c r="J27" t="inlineStr">
        <is>
          <t>Moda</t>
        </is>
      </c>
      <c r="K27" t="n">
        <v>5</v>
      </c>
      <c r="L27" t="n">
        <v>2.552</v>
      </c>
      <c r="M27" t="n">
        <v>2</v>
      </c>
      <c r="N27" t="inlineStr">
        <is>
          <t>test</t>
        </is>
      </c>
      <c r="O27">
        <f>HYPERLINK("5\1\marker_907_378956.png", "Ver Imagen")</f>
        <v/>
      </c>
      <c r="P27">
        <f>HYPERLINK("SE\A-497\A-497__236.png", "Ver Imagen")</f>
        <v/>
      </c>
    </row>
    <row r="28">
      <c r="A28" t="n">
        <v>3995</v>
      </c>
      <c r="B28" t="inlineStr">
        <is>
          <t>A-497_2C__167</t>
        </is>
      </c>
      <c r="C28" t="n">
        <v>37.2657005951</v>
      </c>
      <c r="D28" t="n">
        <v>-6.99495312472</v>
      </c>
      <c r="E28" t="n">
        <v>5</v>
      </c>
      <c r="F28" t="n">
        <v>5</v>
      </c>
      <c r="G28" t="n">
        <v>4</v>
      </c>
      <c r="J28" t="inlineStr">
        <is>
          <t>Moda</t>
        </is>
      </c>
      <c r="K28" t="n">
        <v>5</v>
      </c>
      <c r="L28" t="n">
        <v>2.664</v>
      </c>
      <c r="M28" t="n">
        <v>2</v>
      </c>
      <c r="N28" t="inlineStr">
        <is>
          <t>val</t>
        </is>
      </c>
      <c r="O28">
        <f>HYPERLINK("5\1\marker_418_656170.png", "Ver Imagen")</f>
        <v/>
      </c>
      <c r="P28">
        <f>HYPERLINK("SE\A-497_2C\A-497_2C__167.png", "Ver Imagen")</f>
        <v/>
      </c>
    </row>
    <row r="29">
      <c r="A29" t="n">
        <v>4046</v>
      </c>
      <c r="B29" t="inlineStr">
        <is>
          <t>A-497__456</t>
        </is>
      </c>
      <c r="C29" t="n">
        <v>37.2199968786</v>
      </c>
      <c r="D29" t="n">
        <v>-7.02278878551</v>
      </c>
      <c r="E29" t="n">
        <v>1</v>
      </c>
      <c r="F29" t="n">
        <v>2</v>
      </c>
      <c r="G29" t="n">
        <v>3</v>
      </c>
      <c r="H29" t="n">
        <v>2</v>
      </c>
      <c r="I29" t="n">
        <v>1</v>
      </c>
      <c r="J29" t="inlineStr">
        <is>
          <t>Mediana</t>
        </is>
      </c>
      <c r="K29" t="n">
        <v>2</v>
      </c>
      <c r="L29" t="n">
        <v>3.661</v>
      </c>
      <c r="M29" t="n">
        <v>2</v>
      </c>
      <c r="N29" t="inlineStr">
        <is>
          <t>test</t>
        </is>
      </c>
      <c r="O29">
        <f>HYPERLINK("NoConsenso\marker_222_376622.png", "Ver Imagen")</f>
        <v/>
      </c>
      <c r="P29">
        <f>HYPERLINK("SE\A-497\A-497__456.png", "Ver Imagen")</f>
        <v/>
      </c>
    </row>
    <row r="30">
      <c r="A30" t="n">
        <v>4144</v>
      </c>
      <c r="B30" t="inlineStr">
        <is>
          <t>A-497__342</t>
        </is>
      </c>
      <c r="C30" t="n">
        <v>37.2419537781</v>
      </c>
      <c r="D30" t="n">
        <v>-7.01841279537</v>
      </c>
      <c r="E30" t="n">
        <v>4</v>
      </c>
      <c r="F30" t="n">
        <v>3</v>
      </c>
      <c r="G30" t="n">
        <v>2</v>
      </c>
      <c r="H30" t="n">
        <v>2</v>
      </c>
      <c r="I30" t="n">
        <v>2</v>
      </c>
      <c r="J30" t="inlineStr">
        <is>
          <t>Mediana</t>
        </is>
      </c>
      <c r="K30" t="n">
        <v>2</v>
      </c>
      <c r="L30" t="n">
        <v>3.62</v>
      </c>
      <c r="M30" t="n">
        <v>2</v>
      </c>
      <c r="N30" t="inlineStr">
        <is>
          <t>val</t>
        </is>
      </c>
      <c r="O30">
        <f>HYPERLINK("NoConsenso\marker_609_377750.png", "Ver Imagen")</f>
        <v/>
      </c>
      <c r="P30">
        <f>HYPERLINK("SE\A-497\A-497__342.png", "Ver Imagen")</f>
        <v/>
      </c>
    </row>
    <row r="31">
      <c r="A31" t="n">
        <v>4243</v>
      </c>
      <c r="B31" t="inlineStr">
        <is>
          <t>A-5058__367</t>
        </is>
      </c>
      <c r="C31" t="n">
        <v>37.2535572184</v>
      </c>
      <c r="D31" t="n">
        <v>-7.10706753444</v>
      </c>
      <c r="E31" t="n">
        <v>3</v>
      </c>
      <c r="F31" t="n">
        <v>1</v>
      </c>
      <c r="G31" t="n">
        <v>3</v>
      </c>
      <c r="H31" t="n">
        <v>2</v>
      </c>
      <c r="I31" t="n">
        <v>1</v>
      </c>
      <c r="J31" t="inlineStr">
        <is>
          <t>Modificada</t>
        </is>
      </c>
      <c r="K31" t="n">
        <v>1</v>
      </c>
      <c r="L31" t="n">
        <v>3</v>
      </c>
      <c r="M31" t="n">
        <v>2</v>
      </c>
      <c r="N31" t="inlineStr">
        <is>
          <t>test</t>
        </is>
      </c>
      <c r="O31">
        <f>HYPERLINK("NoConsenso\marker_232_385044.png", "Ver Imagen")</f>
        <v/>
      </c>
      <c r="P31">
        <f>HYPERLINK("SO\A-5058\A-5058__367.png", "Ver Imagen")</f>
        <v/>
      </c>
    </row>
    <row r="32">
      <c r="A32" t="n">
        <v>4288</v>
      </c>
      <c r="B32" t="inlineStr">
        <is>
          <t>A-490__598</t>
        </is>
      </c>
      <c r="C32" t="n">
        <v>37.4917591405</v>
      </c>
      <c r="D32" t="n">
        <v>-7.26126842694</v>
      </c>
      <c r="E32" t="n">
        <v>2</v>
      </c>
      <c r="F32" t="n">
        <v>4</v>
      </c>
      <c r="G32" t="n">
        <v>4</v>
      </c>
      <c r="H32" t="n">
        <v>3</v>
      </c>
      <c r="I32" t="n">
        <v>4</v>
      </c>
      <c r="J32" t="inlineStr">
        <is>
          <t>Mediana</t>
        </is>
      </c>
      <c r="K32" t="n">
        <v>4</v>
      </c>
      <c r="L32" t="n">
        <v>2.481</v>
      </c>
      <c r="M32" t="n">
        <v>2</v>
      </c>
      <c r="N32" t="inlineStr">
        <is>
          <t>val</t>
        </is>
      </c>
      <c r="O32">
        <f>HYPERLINK("NoConsenso\marker_928_819737.png", "Ver Imagen")</f>
        <v/>
      </c>
      <c r="P32">
        <f>HYPERLINK("NO\A-490\A-490__598.png", "Ver Imagen")</f>
        <v/>
      </c>
    </row>
    <row r="33">
      <c r="A33" t="n">
        <v>4323</v>
      </c>
      <c r="B33" t="inlineStr">
        <is>
          <t>A-497_2C__579</t>
        </is>
      </c>
      <c r="C33" t="n">
        <v>37.2033658465</v>
      </c>
      <c r="D33" t="n">
        <v>-7.00704948733</v>
      </c>
      <c r="E33" t="n">
        <v>4</v>
      </c>
      <c r="F33" t="n">
        <v>2</v>
      </c>
      <c r="G33" t="n">
        <v>4</v>
      </c>
      <c r="H33" t="n">
        <v>2</v>
      </c>
      <c r="I33" t="n">
        <v>3</v>
      </c>
      <c r="J33" t="inlineStr">
        <is>
          <t>Modificada</t>
        </is>
      </c>
      <c r="K33" t="n">
        <v>2</v>
      </c>
      <c r="L33" t="n">
        <v>3.526</v>
      </c>
      <c r="M33" t="n">
        <v>2</v>
      </c>
      <c r="N33" t="inlineStr">
        <is>
          <t>test</t>
        </is>
      </c>
      <c r="O33">
        <f>HYPERLINK("NoConsenso\marker_157_366562.png", "Ver Imagen")</f>
        <v/>
      </c>
      <c r="P33">
        <f>HYPERLINK("SE\A-497_2C\A-497_2C__579.png", "Ver Imagen")</f>
        <v/>
      </c>
    </row>
    <row r="34">
      <c r="A34" t="n">
        <v>4539</v>
      </c>
      <c r="B34" t="inlineStr">
        <is>
          <t>A-492__422</t>
        </is>
      </c>
      <c r="C34" t="n">
        <v>37.3124163453</v>
      </c>
      <c r="D34" t="n">
        <v>-7.0608249296</v>
      </c>
      <c r="E34" t="n">
        <v>1</v>
      </c>
      <c r="F34" t="n">
        <v>2</v>
      </c>
      <c r="G34" t="n">
        <v>3</v>
      </c>
      <c r="H34" t="n">
        <v>1</v>
      </c>
      <c r="I34" t="n">
        <v>1</v>
      </c>
      <c r="J34" t="inlineStr">
        <is>
          <t>Mediana</t>
        </is>
      </c>
      <c r="K34" t="n">
        <v>1</v>
      </c>
      <c r="L34" t="n">
        <v>2.513</v>
      </c>
      <c r="M34" t="n">
        <v>2</v>
      </c>
      <c r="N34" t="inlineStr">
        <is>
          <t>val</t>
        </is>
      </c>
      <c r="O34">
        <f>HYPERLINK("NoConsenso\marker_947_839437.png", "Ver Imagen")</f>
        <v/>
      </c>
      <c r="P34">
        <f>HYPERLINK("SE\A-492\A-492__422.png", "Ver Imagen")</f>
        <v/>
      </c>
    </row>
    <row r="35">
      <c r="A35" t="n">
        <v>4682</v>
      </c>
      <c r="B35" t="inlineStr">
        <is>
          <t>A-497_2C__233</t>
        </is>
      </c>
      <c r="C35" t="n">
        <v>37.2616395658</v>
      </c>
      <c r="D35" t="n">
        <v>-7.01060192106</v>
      </c>
      <c r="E35" t="n">
        <v>4</v>
      </c>
      <c r="F35" t="n">
        <v>2</v>
      </c>
      <c r="G35" t="n">
        <v>2</v>
      </c>
      <c r="H35" t="n">
        <v>1</v>
      </c>
      <c r="I35" t="n">
        <v>1</v>
      </c>
      <c r="J35" t="inlineStr">
        <is>
          <t>Modificada</t>
        </is>
      </c>
      <c r="K35" t="n">
        <v>1</v>
      </c>
      <c r="L35" t="n">
        <v>2.605</v>
      </c>
      <c r="M35" t="n">
        <v>2</v>
      </c>
      <c r="N35" t="inlineStr">
        <is>
          <t>test</t>
        </is>
      </c>
      <c r="O35">
        <f>HYPERLINK("NoConsenso\marker_375_656908.png", "Ver Imagen")</f>
        <v/>
      </c>
      <c r="P35">
        <f>HYPERLINK("SE\A-497_2C\A-497_2C__233.png", "Ver Imagen")</f>
        <v/>
      </c>
    </row>
    <row r="36">
      <c r="A36" t="n">
        <v>4760</v>
      </c>
      <c r="B36" t="inlineStr">
        <is>
          <t>A-490__498</t>
        </is>
      </c>
      <c r="C36" t="n">
        <v>37.4865341811</v>
      </c>
      <c r="D36" t="n">
        <v>-7.23844703905</v>
      </c>
      <c r="E36" t="n">
        <v>2</v>
      </c>
      <c r="F36" t="n">
        <v>4</v>
      </c>
      <c r="G36" t="n">
        <v>5</v>
      </c>
      <c r="H36" t="n">
        <v>3</v>
      </c>
      <c r="I36" t="n">
        <v>3</v>
      </c>
      <c r="J36" t="inlineStr">
        <is>
          <t>Mediana</t>
        </is>
      </c>
      <c r="K36" t="n">
        <v>3</v>
      </c>
      <c r="L36" t="n">
        <v>1.459</v>
      </c>
      <c r="M36" t="n">
        <v>2</v>
      </c>
      <c r="N36" t="inlineStr">
        <is>
          <t>val</t>
        </is>
      </c>
      <c r="O36">
        <f>HYPERLINK("NoConsenso\marker_979_817529.png", "Ver Imagen")</f>
        <v/>
      </c>
      <c r="P36">
        <f>HYPERLINK("NO\A-490\A-490__498.png", "Ver Imagen")</f>
        <v/>
      </c>
    </row>
    <row r="37">
      <c r="A37" t="n">
        <v>4971</v>
      </c>
      <c r="B37" t="inlineStr">
        <is>
          <t>A-5058__56</t>
        </is>
      </c>
      <c r="C37" t="n">
        <v>37.2252243925</v>
      </c>
      <c r="D37" t="n">
        <v>-7.04094766495</v>
      </c>
      <c r="E37" t="n">
        <v>3</v>
      </c>
      <c r="F37" t="n">
        <v>2</v>
      </c>
      <c r="H37" t="n">
        <v>1</v>
      </c>
      <c r="I37" t="n">
        <v>1</v>
      </c>
      <c r="J37" t="inlineStr">
        <is>
          <t>Modificada</t>
        </is>
      </c>
      <c r="K37" t="n">
        <v>1</v>
      </c>
      <c r="L37" t="n">
        <v>2.734</v>
      </c>
      <c r="M37" t="n">
        <v>2</v>
      </c>
      <c r="N37" t="inlineStr">
        <is>
          <t>test</t>
        </is>
      </c>
      <c r="O37">
        <f>HYPERLINK("Solo2\marker_382_380598.png", "Ver Imagen")</f>
        <v/>
      </c>
      <c r="P37">
        <f>HYPERLINK("SE\A-5058\A-5058__56.png", "Ver Imagen")</f>
        <v/>
      </c>
    </row>
    <row r="38">
      <c r="A38" t="n">
        <v>10</v>
      </c>
      <c r="B38" t="inlineStr">
        <is>
          <t>A-495R__113</t>
        </is>
      </c>
      <c r="C38" t="n">
        <v>37.4648287939</v>
      </c>
      <c r="D38" t="n">
        <v>-7.12059778114</v>
      </c>
      <c r="E38" t="n">
        <v>1</v>
      </c>
      <c r="F38" t="n">
        <v>1</v>
      </c>
      <c r="G38" t="n">
        <v>1</v>
      </c>
      <c r="J38" t="inlineStr">
        <is>
          <t>Moda</t>
        </is>
      </c>
      <c r="K38" t="n">
        <v>1</v>
      </c>
      <c r="L38" t="n">
        <v>1.522</v>
      </c>
      <c r="M38" t="n">
        <v>1</v>
      </c>
      <c r="O38">
        <f>HYPERLINK("1\0\marker_460_895660.png", "Ver Imagen")</f>
        <v/>
      </c>
      <c r="P38">
        <f>HYPERLINK("NE\A-495R\A-495R__113.png", "Ver Imagen")</f>
        <v/>
      </c>
    </row>
    <row r="39">
      <c r="A39" t="n">
        <v>11</v>
      </c>
      <c r="B39" t="inlineStr">
        <is>
          <t>A-495R__112</t>
        </is>
      </c>
      <c r="C39" t="n">
        <v>37.4647547887</v>
      </c>
      <c r="D39" t="n">
        <v>-7.12036788475</v>
      </c>
      <c r="E39" t="n">
        <v>1</v>
      </c>
      <c r="F39" t="n">
        <v>1</v>
      </c>
      <c r="G39" t="n">
        <v>1</v>
      </c>
      <c r="J39" t="inlineStr">
        <is>
          <t>Moda</t>
        </is>
      </c>
      <c r="K39" t="n">
        <v>1</v>
      </c>
      <c r="L39" t="n">
        <v>1.821</v>
      </c>
      <c r="M39" t="n">
        <v>1</v>
      </c>
      <c r="N39" t="inlineStr">
        <is>
          <t>test</t>
        </is>
      </c>
      <c r="O39">
        <f>HYPERLINK("1\0\marker_946_895675.png", "Ver Imagen")</f>
        <v/>
      </c>
      <c r="P39">
        <f>HYPERLINK("NE\A-495R\A-495R__112.png", "Ver Imagen")</f>
        <v/>
      </c>
    </row>
    <row r="40">
      <c r="A40" t="n">
        <v>12</v>
      </c>
      <c r="B40" t="inlineStr">
        <is>
          <t>A-495R__111</t>
        </is>
      </c>
      <c r="C40" t="n">
        <v>37.4646637015</v>
      </c>
      <c r="D40" t="n">
        <v>-7.12008140733</v>
      </c>
      <c r="E40" t="n">
        <v>1</v>
      </c>
      <c r="F40" t="n">
        <v>1</v>
      </c>
      <c r="G40" t="n">
        <v>1</v>
      </c>
      <c r="J40" t="inlineStr">
        <is>
          <t>Moda</t>
        </is>
      </c>
      <c r="K40" t="n">
        <v>1</v>
      </c>
      <c r="L40" t="n">
        <v>1.901</v>
      </c>
      <c r="M40" t="n">
        <v>1</v>
      </c>
      <c r="O40">
        <f>HYPERLINK("1\0\marker_201_895686.png", "Ver Imagen")</f>
        <v/>
      </c>
      <c r="P40">
        <f>HYPERLINK("NE\A-495R\A-495R__111.png", "Ver Imagen")</f>
        <v/>
      </c>
    </row>
    <row r="41">
      <c r="A41" t="n">
        <v>16</v>
      </c>
      <c r="B41" t="inlineStr">
        <is>
          <t>A-5052__261</t>
        </is>
      </c>
      <c r="C41" t="n">
        <v>37.2127200097</v>
      </c>
      <c r="D41" t="n">
        <v>-7.06096965411</v>
      </c>
      <c r="E41" t="n">
        <v>1</v>
      </c>
      <c r="F41" t="n">
        <v>1</v>
      </c>
      <c r="G41" t="n">
        <v>1</v>
      </c>
      <c r="J41" t="inlineStr">
        <is>
          <t>Moda</t>
        </is>
      </c>
      <c r="K41" t="n">
        <v>1</v>
      </c>
      <c r="L41" t="n">
        <v>2.239</v>
      </c>
      <c r="M41" t="n">
        <v>1</v>
      </c>
      <c r="N41" t="inlineStr">
        <is>
          <t>test</t>
        </is>
      </c>
      <c r="O41">
        <f>HYPERLINK("1\0\marker_817_960212.png", "Ver Imagen")</f>
        <v/>
      </c>
      <c r="P41">
        <f>HYPERLINK("SE\A-5052\A-5052__261.png", "Ver Imagen")</f>
        <v/>
      </c>
    </row>
    <row r="42">
      <c r="A42" t="n">
        <v>41</v>
      </c>
      <c r="B42" t="inlineStr">
        <is>
          <t>A-497_2C__173</t>
        </is>
      </c>
      <c r="C42" t="n">
        <v>37.265425982</v>
      </c>
      <c r="D42" t="n">
        <v>-6.99644846224</v>
      </c>
      <c r="E42" t="n">
        <v>1</v>
      </c>
      <c r="F42" t="n">
        <v>1</v>
      </c>
      <c r="G42" t="n">
        <v>1</v>
      </c>
      <c r="J42" t="inlineStr">
        <is>
          <t>Moda</t>
        </is>
      </c>
      <c r="K42" t="n">
        <v>1</v>
      </c>
      <c r="L42" t="n">
        <v>1.861</v>
      </c>
      <c r="M42" t="n">
        <v>1</v>
      </c>
      <c r="N42" t="inlineStr">
        <is>
          <t>test</t>
        </is>
      </c>
      <c r="O42">
        <f>HYPERLINK("1\0\marker_618_656226.png", "Ver Imagen")</f>
        <v/>
      </c>
      <c r="P42">
        <f>HYPERLINK("SE\A-497_2C\A-497_2C__173.png", "Ver Imagen")</f>
        <v/>
      </c>
    </row>
    <row r="43">
      <c r="A43" t="n">
        <v>42</v>
      </c>
      <c r="B43" t="inlineStr">
        <is>
          <t>A-497_2C__174</t>
        </is>
      </c>
      <c r="C43" t="n">
        <v>37.2653737997</v>
      </c>
      <c r="D43" t="n">
        <v>-6.99670619432</v>
      </c>
      <c r="E43" t="n">
        <v>1</v>
      </c>
      <c r="F43" t="n">
        <v>1</v>
      </c>
      <c r="G43" t="n">
        <v>1</v>
      </c>
      <c r="J43" t="inlineStr">
        <is>
          <t>Moda</t>
        </is>
      </c>
      <c r="K43" t="n">
        <v>1</v>
      </c>
      <c r="L43" t="n">
        <v>1.754</v>
      </c>
      <c r="M43" t="n">
        <v>1</v>
      </c>
      <c r="N43" t="inlineStr">
        <is>
          <t>val</t>
        </is>
      </c>
      <c r="O43">
        <f>HYPERLINK("1\0\marker_487_656235.png", "Ver Imagen")</f>
        <v/>
      </c>
      <c r="P43">
        <f>HYPERLINK("SE\A-497_2C\A-497_2C__174.png", "Ver Imagen")</f>
        <v/>
      </c>
    </row>
    <row r="44">
      <c r="A44" t="n">
        <v>43</v>
      </c>
      <c r="B44" t="inlineStr">
        <is>
          <t>A-497_2C__175</t>
        </is>
      </c>
      <c r="C44" t="n">
        <v>37.2653284645</v>
      </c>
      <c r="D44" t="n">
        <v>-6.99693628005</v>
      </c>
      <c r="E44" t="n">
        <v>1</v>
      </c>
      <c r="F44" t="n">
        <v>1</v>
      </c>
      <c r="G44" t="n">
        <v>1</v>
      </c>
      <c r="J44" t="inlineStr">
        <is>
          <t>Moda</t>
        </is>
      </c>
      <c r="K44" t="n">
        <v>1</v>
      </c>
      <c r="L44" t="n">
        <v>1.55</v>
      </c>
      <c r="M44" t="n">
        <v>1</v>
      </c>
      <c r="N44" t="inlineStr">
        <is>
          <t>test</t>
        </is>
      </c>
      <c r="O44">
        <f>HYPERLINK("1\0\marker_686_656246.png", "Ver Imagen")</f>
        <v/>
      </c>
      <c r="P44">
        <f>HYPERLINK("SE\A-497_2C\A-497_2C__175.png", "Ver Imagen")</f>
        <v/>
      </c>
    </row>
    <row r="45">
      <c r="A45" t="n">
        <v>55</v>
      </c>
      <c r="B45" t="inlineStr">
        <is>
          <t>A-490__584</t>
        </is>
      </c>
      <c r="C45" t="n">
        <v>37.4900720883</v>
      </c>
      <c r="D45" t="n">
        <v>-7.2587693282</v>
      </c>
      <c r="E45" t="n">
        <v>1</v>
      </c>
      <c r="F45" t="n">
        <v>2</v>
      </c>
      <c r="G45" t="n">
        <v>1</v>
      </c>
      <c r="J45" t="inlineStr">
        <is>
          <t>Moda</t>
        </is>
      </c>
      <c r="K45" t="n">
        <v>1</v>
      </c>
      <c r="L45" t="n">
        <v>1.551</v>
      </c>
      <c r="M45" t="n">
        <v>1</v>
      </c>
      <c r="N45" t="inlineStr">
        <is>
          <t>train</t>
        </is>
      </c>
      <c r="O45">
        <f>HYPERLINK("1\1\marker_703_819536.png", "Ver Imagen")</f>
        <v/>
      </c>
      <c r="P45">
        <f>HYPERLINK("NO\A-490\A-490__584.png", "Ver Imagen")</f>
        <v/>
      </c>
    </row>
    <row r="46">
      <c r="A46" t="n">
        <v>56</v>
      </c>
      <c r="B46" t="inlineStr">
        <is>
          <t>A-490__347</t>
        </is>
      </c>
      <c r="C46" t="n">
        <v>37.4766149282</v>
      </c>
      <c r="D46" t="n">
        <v>-7.20249479934</v>
      </c>
      <c r="E46" t="n">
        <v>1</v>
      </c>
      <c r="F46" t="n">
        <v>2</v>
      </c>
      <c r="G46" t="n">
        <v>1</v>
      </c>
      <c r="J46" t="inlineStr">
        <is>
          <t>Moda</t>
        </is>
      </c>
      <c r="K46" t="n">
        <v>1</v>
      </c>
      <c r="L46" t="n">
        <v>2.247</v>
      </c>
      <c r="M46" t="n">
        <v>1</v>
      </c>
      <c r="N46" t="inlineStr">
        <is>
          <t>val</t>
        </is>
      </c>
      <c r="O46">
        <f>HYPERLINK("1\1\marker_213_751630.png", "Ver Imagen")</f>
        <v/>
      </c>
      <c r="P46">
        <f>HYPERLINK("NO\A-490\A-490__347.png", "Ver Imagen")</f>
        <v/>
      </c>
    </row>
    <row r="47">
      <c r="A47" t="n">
        <v>57</v>
      </c>
      <c r="B47" t="inlineStr">
        <is>
          <t>A-490__370</t>
        </is>
      </c>
      <c r="C47" t="n">
        <v>37.4788071864</v>
      </c>
      <c r="D47" t="n">
        <v>-7.2075822944</v>
      </c>
      <c r="E47" t="n">
        <v>1</v>
      </c>
      <c r="F47" t="n">
        <v>2</v>
      </c>
      <c r="G47" t="n">
        <v>1</v>
      </c>
      <c r="J47" t="inlineStr">
        <is>
          <t>Moda</t>
        </is>
      </c>
      <c r="K47" t="n">
        <v>1</v>
      </c>
      <c r="L47" t="n">
        <v>2.393</v>
      </c>
      <c r="M47" t="n">
        <v>1</v>
      </c>
      <c r="N47" t="inlineStr">
        <is>
          <t>val</t>
        </is>
      </c>
      <c r="O47">
        <f>HYPERLINK("1\1\marker_809_752101.png", "Ver Imagen")</f>
        <v/>
      </c>
      <c r="P47">
        <f>HYPERLINK("NO\A-490\A-490__370.png", "Ver Imagen")</f>
        <v/>
      </c>
    </row>
    <row r="48">
      <c r="A48" t="n">
        <v>61</v>
      </c>
      <c r="B48" t="inlineStr">
        <is>
          <t>A-490__480</t>
        </is>
      </c>
      <c r="C48" t="n">
        <v>37.4856830774</v>
      </c>
      <c r="D48" t="n">
        <v>-7.23403411734</v>
      </c>
      <c r="E48" t="n">
        <v>1</v>
      </c>
      <c r="F48" t="n">
        <v>2</v>
      </c>
      <c r="G48" t="n">
        <v>1</v>
      </c>
      <c r="J48" t="inlineStr">
        <is>
          <t>Moda</t>
        </is>
      </c>
      <c r="K48" t="n">
        <v>1</v>
      </c>
      <c r="L48" t="n">
        <v>1.774</v>
      </c>
      <c r="M48" t="n">
        <v>1</v>
      </c>
      <c r="N48" t="inlineStr">
        <is>
          <t>test</t>
        </is>
      </c>
      <c r="O48">
        <f>HYPERLINK("1\1\marker_905_755589.png", "Ver Imagen")</f>
        <v/>
      </c>
      <c r="P48">
        <f>HYPERLINK("NO\A-490\A-490__480.png", "Ver Imagen")</f>
        <v/>
      </c>
    </row>
    <row r="49">
      <c r="A49" t="n">
        <v>65</v>
      </c>
      <c r="B49" t="inlineStr">
        <is>
          <t>A-490__530</t>
        </is>
      </c>
      <c r="C49" t="n">
        <v>37.488319987</v>
      </c>
      <c r="D49" t="n">
        <v>-7.24622156689</v>
      </c>
      <c r="E49" t="n">
        <v>1</v>
      </c>
      <c r="F49" t="n">
        <v>2</v>
      </c>
      <c r="G49" t="n">
        <v>1</v>
      </c>
      <c r="J49" t="inlineStr">
        <is>
          <t>Moda</t>
        </is>
      </c>
      <c r="K49" t="n">
        <v>1</v>
      </c>
      <c r="L49" t="n">
        <v>2.23</v>
      </c>
      <c r="M49" t="n">
        <v>1</v>
      </c>
      <c r="N49" t="inlineStr">
        <is>
          <t>val</t>
        </is>
      </c>
      <c r="O49">
        <f>HYPERLINK("1\1\marker_309_818205.png", "Ver Imagen")</f>
        <v/>
      </c>
      <c r="P49">
        <f>HYPERLINK("NO\A-490\A-490__530.png", "Ver Imagen")</f>
        <v/>
      </c>
    </row>
    <row r="50">
      <c r="A50" t="n">
        <v>66</v>
      </c>
      <c r="B50" t="inlineStr">
        <is>
          <t>A-490__531</t>
        </is>
      </c>
      <c r="C50" t="n">
        <v>37.4884049818</v>
      </c>
      <c r="D50" t="n">
        <v>-7.24643799521</v>
      </c>
      <c r="E50" t="n">
        <v>1</v>
      </c>
      <c r="F50" t="n">
        <v>2</v>
      </c>
      <c r="G50" t="n">
        <v>1</v>
      </c>
      <c r="J50" t="inlineStr">
        <is>
          <t>Moda</t>
        </is>
      </c>
      <c r="K50" t="n">
        <v>1</v>
      </c>
      <c r="L50" t="n">
        <v>2.013</v>
      </c>
      <c r="M50" t="n">
        <v>1</v>
      </c>
      <c r="N50" t="inlineStr">
        <is>
          <t>val</t>
        </is>
      </c>
      <c r="O50">
        <f>HYPERLINK("1\1\marker_723_818219.png", "Ver Imagen")</f>
        <v/>
      </c>
      <c r="P50">
        <f>HYPERLINK("NO\A-490\A-490__531.png", "Ver Imagen")</f>
        <v/>
      </c>
    </row>
    <row r="51">
      <c r="A51" t="n">
        <v>81</v>
      </c>
      <c r="B51" t="inlineStr">
        <is>
          <t>A-490__581</t>
        </is>
      </c>
      <c r="C51" t="n">
        <v>37.4901525975</v>
      </c>
      <c r="D51" t="n">
        <v>-7.2579835317</v>
      </c>
      <c r="E51" t="n">
        <v>1</v>
      </c>
      <c r="F51" t="n">
        <v>2</v>
      </c>
      <c r="G51" t="n">
        <v>1</v>
      </c>
      <c r="J51" t="inlineStr">
        <is>
          <t>Moda</t>
        </is>
      </c>
      <c r="K51" t="n">
        <v>1</v>
      </c>
      <c r="L51" t="n">
        <v>1.887</v>
      </c>
      <c r="M51" t="n">
        <v>1</v>
      </c>
      <c r="N51" t="inlineStr">
        <is>
          <t>test</t>
        </is>
      </c>
      <c r="O51">
        <f>HYPERLINK("1\1\marker_443_819486.png", "Ver Imagen")</f>
        <v/>
      </c>
      <c r="P51">
        <f>HYPERLINK("NO\A-490\A-490__581.png", "Ver Imagen")</f>
        <v/>
      </c>
    </row>
    <row r="52">
      <c r="A52" t="n">
        <v>85</v>
      </c>
      <c r="B52" t="inlineStr">
        <is>
          <t>A-495R__107</t>
        </is>
      </c>
      <c r="C52" t="n">
        <v>37.464353826</v>
      </c>
      <c r="D52" t="n">
        <v>-7.11919464858</v>
      </c>
      <c r="E52" t="n">
        <v>1</v>
      </c>
      <c r="F52" t="n">
        <v>1</v>
      </c>
      <c r="G52" t="n">
        <v>2</v>
      </c>
      <c r="J52" t="inlineStr">
        <is>
          <t>Moda</t>
        </is>
      </c>
      <c r="K52" t="n">
        <v>1</v>
      </c>
      <c r="L52" t="n">
        <v>1.924</v>
      </c>
      <c r="M52" t="n">
        <v>1</v>
      </c>
      <c r="N52" t="inlineStr">
        <is>
          <t>val</t>
        </is>
      </c>
      <c r="O52">
        <f>HYPERLINK("1\1\marker_305_895782.png", "Ver Imagen")</f>
        <v/>
      </c>
      <c r="P52">
        <f>HYPERLINK("NE\A-495R\A-495R__107.png", "Ver Imagen")</f>
        <v/>
      </c>
    </row>
    <row r="53">
      <c r="A53" t="n">
        <v>86</v>
      </c>
      <c r="B53" t="inlineStr">
        <is>
          <t>A-495R__101</t>
        </is>
      </c>
      <c r="C53" t="n">
        <v>37.4634974456</v>
      </c>
      <c r="D53" t="n">
        <v>-7.11814461727</v>
      </c>
      <c r="E53" t="n">
        <v>1</v>
      </c>
      <c r="F53" t="n">
        <v>1</v>
      </c>
      <c r="G53" t="n">
        <v>2</v>
      </c>
      <c r="J53" t="inlineStr">
        <is>
          <t>Moda</t>
        </is>
      </c>
      <c r="K53" t="n">
        <v>1</v>
      </c>
      <c r="L53" t="n">
        <v>2.314</v>
      </c>
      <c r="M53" t="n">
        <v>1</v>
      </c>
      <c r="O53">
        <f>HYPERLINK("1\1\marker_866_896585.png", "Ver Imagen")</f>
        <v/>
      </c>
      <c r="P53">
        <f>HYPERLINK("NE\A-495R\A-495R__101.png", "Ver Imagen")</f>
        <v/>
      </c>
    </row>
    <row r="54">
      <c r="A54" t="n">
        <v>91</v>
      </c>
      <c r="B54" t="inlineStr">
        <is>
          <t>A-495R__94</t>
        </is>
      </c>
      <c r="C54" t="n">
        <v>37.4622247597</v>
      </c>
      <c r="D54" t="n">
        <v>-7.11724534198</v>
      </c>
      <c r="E54" t="n">
        <v>1</v>
      </c>
      <c r="F54" t="n">
        <v>1</v>
      </c>
      <c r="G54" t="n">
        <v>2</v>
      </c>
      <c r="J54" t="inlineStr">
        <is>
          <t>Moda</t>
        </is>
      </c>
      <c r="K54" t="n">
        <v>1</v>
      </c>
      <c r="L54" t="n">
        <v>2.306</v>
      </c>
      <c r="M54" t="n">
        <v>1</v>
      </c>
      <c r="O54">
        <f>HYPERLINK("1\1\marker_195_906570.png", "Ver Imagen")</f>
        <v/>
      </c>
      <c r="P54">
        <f>HYPERLINK("NE\A-495R\A-495R__94.png", "Ver Imagen")</f>
        <v/>
      </c>
    </row>
    <row r="55">
      <c r="A55" t="n">
        <v>94</v>
      </c>
      <c r="B55" t="inlineStr">
        <is>
          <t>A-495R__91</t>
        </is>
      </c>
      <c r="C55" t="n">
        <v>37.4617411926</v>
      </c>
      <c r="D55" t="n">
        <v>-7.11677741959</v>
      </c>
      <c r="E55" t="n">
        <v>1</v>
      </c>
      <c r="F55" t="n">
        <v>1</v>
      </c>
      <c r="G55" t="n">
        <v>2</v>
      </c>
      <c r="J55" t="inlineStr">
        <is>
          <t>Moda</t>
        </is>
      </c>
      <c r="K55" t="n">
        <v>1</v>
      </c>
      <c r="L55" t="n">
        <v>1.648</v>
      </c>
      <c r="M55" t="n">
        <v>1</v>
      </c>
      <c r="O55">
        <f>HYPERLINK("1\1\marker_181_906607.png", "Ver Imagen")</f>
        <v/>
      </c>
      <c r="P55">
        <f>HYPERLINK("NE\A-495R\A-495R__91.png", "Ver Imagen")</f>
        <v/>
      </c>
    </row>
    <row r="56">
      <c r="A56" t="n">
        <v>95</v>
      </c>
      <c r="B56" t="inlineStr">
        <is>
          <t>A-495R__90</t>
        </is>
      </c>
      <c r="C56" t="n">
        <v>37.4616146761</v>
      </c>
      <c r="D56" t="n">
        <v>-7.11662385056</v>
      </c>
      <c r="E56" t="n">
        <v>1</v>
      </c>
      <c r="F56" t="n">
        <v>1</v>
      </c>
      <c r="G56" t="n">
        <v>2</v>
      </c>
      <c r="J56" t="inlineStr">
        <is>
          <t>Moda</t>
        </is>
      </c>
      <c r="K56" t="n">
        <v>1</v>
      </c>
      <c r="L56" t="n">
        <v>2.3</v>
      </c>
      <c r="M56" t="n">
        <v>1</v>
      </c>
      <c r="O56">
        <f>HYPERLINK("1\1\marker_565_906617.png", "Ver Imagen")</f>
        <v/>
      </c>
      <c r="P56">
        <f>HYPERLINK("NE\A-495R\A-495R__90.png", "Ver Imagen")</f>
        <v/>
      </c>
    </row>
    <row r="57">
      <c r="A57" t="n">
        <v>96</v>
      </c>
      <c r="B57" t="inlineStr">
        <is>
          <t>A-495R__88</t>
        </is>
      </c>
      <c r="C57" t="n">
        <v>37.4613371829</v>
      </c>
      <c r="D57" t="n">
        <v>-7.1162764876</v>
      </c>
      <c r="E57" t="n">
        <v>1</v>
      </c>
      <c r="F57" t="n">
        <v>1</v>
      </c>
      <c r="G57" t="n">
        <v>2</v>
      </c>
      <c r="J57" t="inlineStr">
        <is>
          <t>Moda</t>
        </is>
      </c>
      <c r="K57" t="n">
        <v>1</v>
      </c>
      <c r="L57" t="n">
        <v>2.311</v>
      </c>
      <c r="M57" t="n">
        <v>1</v>
      </c>
      <c r="O57">
        <f>HYPERLINK("1\1\marker_907_906638.png", "Ver Imagen")</f>
        <v/>
      </c>
      <c r="P57">
        <f>HYPERLINK("NE\A-495R\A-495R__88.png", "Ver Imagen")</f>
        <v/>
      </c>
    </row>
    <row r="58">
      <c r="A58" t="n">
        <v>98</v>
      </c>
      <c r="B58" t="inlineStr">
        <is>
          <t>A-495R__80</t>
        </is>
      </c>
      <c r="C58" t="n">
        <v>37.4600184025</v>
      </c>
      <c r="D58" t="n">
        <v>-7.11512885871</v>
      </c>
      <c r="E58" t="n">
        <v>1</v>
      </c>
      <c r="F58" t="n">
        <v>1</v>
      </c>
      <c r="G58" t="n">
        <v>2</v>
      </c>
      <c r="J58" t="inlineStr">
        <is>
          <t>Moda</t>
        </is>
      </c>
      <c r="K58" t="n">
        <v>1</v>
      </c>
      <c r="L58" t="n">
        <v>1.777</v>
      </c>
      <c r="M58" t="n">
        <v>1</v>
      </c>
      <c r="N58" t="inlineStr">
        <is>
          <t>val</t>
        </is>
      </c>
      <c r="O58">
        <f>HYPERLINK("1\1\marker_550_906714.png", "Ver Imagen")</f>
        <v/>
      </c>
      <c r="P58">
        <f>HYPERLINK("NE\A-495R\A-495R__80.png", "Ver Imagen")</f>
        <v/>
      </c>
    </row>
    <row r="59">
      <c r="A59" t="n">
        <v>106</v>
      </c>
      <c r="B59" t="inlineStr">
        <is>
          <t>A-5052__72</t>
        </is>
      </c>
      <c r="C59" t="n">
        <v>37.2174492556</v>
      </c>
      <c r="D59" t="n">
        <v>-7.10793322836</v>
      </c>
      <c r="E59" t="n">
        <v>1</v>
      </c>
      <c r="F59" t="n">
        <v>1</v>
      </c>
      <c r="G59" t="n">
        <v>2</v>
      </c>
      <c r="J59" t="inlineStr">
        <is>
          <t>Moda</t>
        </is>
      </c>
      <c r="K59" t="n">
        <v>1</v>
      </c>
      <c r="L59" t="n">
        <v>2.178</v>
      </c>
      <c r="M59" t="n">
        <v>1</v>
      </c>
      <c r="N59" t="inlineStr">
        <is>
          <t>test</t>
        </is>
      </c>
      <c r="O59">
        <f>HYPERLINK("1\1\marker_832_957198.png", "Ver Imagen")</f>
        <v/>
      </c>
      <c r="P59">
        <f>HYPERLINK("SO\A-5052\A-5052__72.png", "Ver Imagen")</f>
        <v/>
      </c>
    </row>
    <row r="60">
      <c r="A60" t="n">
        <v>115</v>
      </c>
      <c r="B60" t="inlineStr">
        <is>
          <t>A-5052__121</t>
        </is>
      </c>
      <c r="C60" t="n">
        <v>37.2166573911</v>
      </c>
      <c r="D60" t="n">
        <v>-7.09565970392</v>
      </c>
      <c r="E60" t="n">
        <v>1</v>
      </c>
      <c r="F60" t="n">
        <v>1</v>
      </c>
      <c r="G60" t="n">
        <v>2</v>
      </c>
      <c r="J60" t="inlineStr">
        <is>
          <t>Moda</t>
        </is>
      </c>
      <c r="K60" t="n">
        <v>1</v>
      </c>
      <c r="L60" t="n">
        <v>2.144</v>
      </c>
      <c r="M60" t="n">
        <v>1</v>
      </c>
      <c r="N60" t="inlineStr">
        <is>
          <t>val</t>
        </is>
      </c>
      <c r="O60">
        <f>HYPERLINK("1\1\marker_532_957950.png", "Ver Imagen")</f>
        <v/>
      </c>
      <c r="P60">
        <f>HYPERLINK("SO\A-5052\A-5052__121.png", "Ver Imagen")</f>
        <v/>
      </c>
    </row>
    <row r="61">
      <c r="A61" t="n">
        <v>117</v>
      </c>
      <c r="B61" t="inlineStr">
        <is>
          <t>A-5052__166</t>
        </is>
      </c>
      <c r="C61" t="n">
        <v>37.216227173</v>
      </c>
      <c r="D61" t="n">
        <v>-7.08438348384</v>
      </c>
      <c r="E61" t="n">
        <v>1</v>
      </c>
      <c r="F61" t="n">
        <v>1</v>
      </c>
      <c r="G61" t="n">
        <v>2</v>
      </c>
      <c r="J61" t="inlineStr">
        <is>
          <t>Moda</t>
        </is>
      </c>
      <c r="K61" t="n">
        <v>1</v>
      </c>
      <c r="L61" t="n">
        <v>2.05</v>
      </c>
      <c r="M61" t="n">
        <v>1</v>
      </c>
      <c r="N61" t="inlineStr">
        <is>
          <t>test</t>
        </is>
      </c>
      <c r="O61">
        <f>HYPERLINK("1\1\marker_710_958849.png", "Ver Imagen")</f>
        <v/>
      </c>
      <c r="P61">
        <f>HYPERLINK("SE\A-5052\A-5052__166.png", "Ver Imagen")</f>
        <v/>
      </c>
    </row>
    <row r="62">
      <c r="A62" t="n">
        <v>119</v>
      </c>
      <c r="B62" t="inlineStr">
        <is>
          <t>A-5052__182</t>
        </is>
      </c>
      <c r="C62" t="n">
        <v>37.2152523853</v>
      </c>
      <c r="D62" t="n">
        <v>-7.08055046209</v>
      </c>
      <c r="E62" t="n">
        <v>1</v>
      </c>
      <c r="F62" t="n">
        <v>1</v>
      </c>
      <c r="G62" t="n">
        <v>2</v>
      </c>
      <c r="J62" t="inlineStr">
        <is>
          <t>Moda</t>
        </is>
      </c>
      <c r="K62" t="n">
        <v>1</v>
      </c>
      <c r="L62" t="n">
        <v>1.658</v>
      </c>
      <c r="M62" t="n">
        <v>1</v>
      </c>
      <c r="N62" t="inlineStr">
        <is>
          <t>val</t>
        </is>
      </c>
      <c r="O62">
        <f>HYPERLINK("1\1\marker_889_959189.png", "Ver Imagen")</f>
        <v/>
      </c>
      <c r="P62">
        <f>HYPERLINK("SE\A-5052\A-5052__182.png", "Ver Imagen")</f>
        <v/>
      </c>
    </row>
    <row r="63">
      <c r="A63" t="n">
        <v>119</v>
      </c>
      <c r="B63" t="inlineStr">
        <is>
          <t>A-5052__182</t>
        </is>
      </c>
      <c r="C63" t="n">
        <v>37.2152523853</v>
      </c>
      <c r="D63" t="n">
        <v>-7.08055046209</v>
      </c>
      <c r="E63" t="n">
        <v>1</v>
      </c>
      <c r="F63" t="n">
        <v>1</v>
      </c>
      <c r="G63" t="n">
        <v>2</v>
      </c>
      <c r="J63" t="inlineStr">
        <is>
          <t>Moda</t>
        </is>
      </c>
      <c r="K63" t="n">
        <v>1</v>
      </c>
      <c r="L63" t="n">
        <v>1.595</v>
      </c>
      <c r="M63" t="n">
        <v>1</v>
      </c>
      <c r="N63" t="inlineStr">
        <is>
          <t>val</t>
        </is>
      </c>
      <c r="O63">
        <f>HYPERLINK("1\1\marker_889_959189.png", "Ver Imagen")</f>
        <v/>
      </c>
      <c r="P63">
        <f>HYPERLINK("SO\A-5052\A-5052__182.png", "Ver Imagen")</f>
        <v/>
      </c>
    </row>
    <row r="64">
      <c r="A64" t="n">
        <v>132</v>
      </c>
      <c r="B64" t="inlineStr">
        <is>
          <t>A-5052__223</t>
        </is>
      </c>
      <c r="C64" t="n">
        <v>37.2135349726</v>
      </c>
      <c r="D64" t="n">
        <v>-7.07040359177</v>
      </c>
      <c r="E64" t="n">
        <v>1</v>
      </c>
      <c r="F64" t="n">
        <v>1</v>
      </c>
      <c r="G64" t="n">
        <v>2</v>
      </c>
      <c r="J64" t="inlineStr">
        <is>
          <t>Moda</t>
        </is>
      </c>
      <c r="K64" t="n">
        <v>1</v>
      </c>
      <c r="L64" t="n">
        <v>1.762</v>
      </c>
      <c r="M64" t="n">
        <v>1</v>
      </c>
      <c r="N64" t="inlineStr">
        <is>
          <t>test</t>
        </is>
      </c>
      <c r="O64">
        <f>HYPERLINK("1\1\marker_270_959748.png", "Ver Imagen")</f>
        <v/>
      </c>
      <c r="P64">
        <f>HYPERLINK("SE\A-5052\A-5052__223.png", "Ver Imagen")</f>
        <v/>
      </c>
    </row>
    <row r="65">
      <c r="A65" t="n">
        <v>135</v>
      </c>
      <c r="B65" t="inlineStr">
        <is>
          <t>A-5052__226</t>
        </is>
      </c>
      <c r="C65" t="n">
        <v>37.2134767298</v>
      </c>
      <c r="D65" t="n">
        <v>-7.0696145755</v>
      </c>
      <c r="E65" t="n">
        <v>1</v>
      </c>
      <c r="F65" t="n">
        <v>1</v>
      </c>
      <c r="G65" t="n">
        <v>2</v>
      </c>
      <c r="J65" t="inlineStr">
        <is>
          <t>Moda</t>
        </is>
      </c>
      <c r="K65" t="n">
        <v>1</v>
      </c>
      <c r="L65" t="n">
        <v>1.844</v>
      </c>
      <c r="M65" t="n">
        <v>1</v>
      </c>
      <c r="N65" t="inlineStr">
        <is>
          <t>val</t>
        </is>
      </c>
      <c r="O65">
        <f>HYPERLINK("1\1\marker_698_959779.png", "Ver Imagen")</f>
        <v/>
      </c>
      <c r="P65">
        <f>HYPERLINK("SE\A-5052\A-5052__226.png", "Ver Imagen")</f>
        <v/>
      </c>
    </row>
    <row r="66">
      <c r="A66" t="n">
        <v>137</v>
      </c>
      <c r="B66" t="inlineStr">
        <is>
          <t>A-5052__231</t>
        </is>
      </c>
      <c r="C66" t="n">
        <v>37.2134271291</v>
      </c>
      <c r="D66" t="n">
        <v>-7.06836155255</v>
      </c>
      <c r="E66" t="n">
        <v>1</v>
      </c>
      <c r="F66" t="n">
        <v>1</v>
      </c>
      <c r="G66" t="n">
        <v>2</v>
      </c>
      <c r="J66" t="inlineStr">
        <is>
          <t>Moda</t>
        </is>
      </c>
      <c r="K66" t="n">
        <v>1</v>
      </c>
      <c r="L66" t="n">
        <v>2.028</v>
      </c>
      <c r="M66" t="n">
        <v>1</v>
      </c>
      <c r="N66" t="inlineStr">
        <is>
          <t>test</t>
        </is>
      </c>
      <c r="O66">
        <f>HYPERLINK("1\1\marker_915_959839.png", "Ver Imagen")</f>
        <v/>
      </c>
      <c r="P66">
        <f>HYPERLINK("SE\A-5052\A-5052__231.png", "Ver Imagen")</f>
        <v/>
      </c>
    </row>
    <row r="67">
      <c r="A67" t="n">
        <v>139</v>
      </c>
      <c r="B67" t="inlineStr">
        <is>
          <t>A-5052__238</t>
        </is>
      </c>
      <c r="C67" t="n">
        <v>37.2133488012</v>
      </c>
      <c r="D67" t="n">
        <v>-7.06663752972</v>
      </c>
      <c r="E67" t="n">
        <v>1</v>
      </c>
      <c r="F67" t="n">
        <v>1</v>
      </c>
      <c r="G67" t="n">
        <v>2</v>
      </c>
      <c r="J67" t="inlineStr">
        <is>
          <t>Moda</t>
        </is>
      </c>
      <c r="K67" t="n">
        <v>1</v>
      </c>
      <c r="L67" t="n">
        <v>1.932</v>
      </c>
      <c r="M67" t="n">
        <v>1</v>
      </c>
      <c r="N67" t="inlineStr">
        <is>
          <t>val</t>
        </is>
      </c>
      <c r="O67">
        <f>HYPERLINK("1\1\marker_915_959925.png", "Ver Imagen")</f>
        <v/>
      </c>
      <c r="P67">
        <f>HYPERLINK("SE\A-5052\A-5052__238.png", "Ver Imagen")</f>
        <v/>
      </c>
    </row>
    <row r="68">
      <c r="A68" t="n">
        <v>142</v>
      </c>
      <c r="B68" t="inlineStr">
        <is>
          <t>A-5052__341</t>
        </is>
      </c>
      <c r="C68" t="n">
        <v>37.2100283792</v>
      </c>
      <c r="D68" t="n">
        <v>-7.04180821432</v>
      </c>
      <c r="E68" t="n">
        <v>2</v>
      </c>
      <c r="F68" t="n">
        <v>1</v>
      </c>
      <c r="G68" t="n">
        <v>1</v>
      </c>
      <c r="J68" t="inlineStr">
        <is>
          <t>Moda</t>
        </is>
      </c>
      <c r="K68" t="n">
        <v>1</v>
      </c>
      <c r="L68" t="n">
        <v>1.786</v>
      </c>
      <c r="M68" t="n">
        <v>1</v>
      </c>
      <c r="N68" t="inlineStr">
        <is>
          <t>test</t>
        </is>
      </c>
      <c r="O68">
        <f>HYPERLINK("1\1\marker_639_961636.png", "Ver Imagen")</f>
        <v/>
      </c>
      <c r="P68">
        <f>HYPERLINK("SE\A-5052\A-5052__341.png", "Ver Imagen")</f>
        <v/>
      </c>
    </row>
    <row r="69">
      <c r="A69" t="n">
        <v>145</v>
      </c>
      <c r="B69" t="inlineStr">
        <is>
          <t>A-5052__418</t>
        </is>
      </c>
      <c r="C69" t="n">
        <v>37.2032857817</v>
      </c>
      <c r="D69" t="n">
        <v>-7.02425234055</v>
      </c>
      <c r="E69" t="n">
        <v>1</v>
      </c>
      <c r="F69" t="n">
        <v>2</v>
      </c>
      <c r="G69" t="n">
        <v>1</v>
      </c>
      <c r="J69" t="inlineStr">
        <is>
          <t>Moda</t>
        </is>
      </c>
      <c r="K69" t="n">
        <v>1</v>
      </c>
      <c r="L69" t="n">
        <v>1.918</v>
      </c>
      <c r="M69" t="n">
        <v>1</v>
      </c>
      <c r="N69" t="inlineStr">
        <is>
          <t>test</t>
        </is>
      </c>
      <c r="O69">
        <f>HYPERLINK("1\1\marker_262_962857.png", "Ver Imagen")</f>
        <v/>
      </c>
      <c r="P69">
        <f>HYPERLINK("SE\A-5052\A-5052__418.png", "Ver Imagen")</f>
        <v/>
      </c>
    </row>
    <row r="70">
      <c r="A70" t="n">
        <v>164</v>
      </c>
      <c r="B70" t="inlineStr">
        <is>
          <t>A-495_1__92</t>
        </is>
      </c>
      <c r="C70" t="n">
        <v>37.4659891746</v>
      </c>
      <c r="D70" t="n">
        <v>-7.12276074222</v>
      </c>
      <c r="E70" t="n">
        <v>1</v>
      </c>
      <c r="F70" t="n">
        <v>2</v>
      </c>
      <c r="G70" t="n">
        <v>1</v>
      </c>
      <c r="J70" t="inlineStr">
        <is>
          <t>Moda</t>
        </is>
      </c>
      <c r="K70" t="n">
        <v>1</v>
      </c>
      <c r="L70" t="n">
        <v>1.894</v>
      </c>
      <c r="M70" t="n">
        <v>1</v>
      </c>
      <c r="N70" t="inlineStr">
        <is>
          <t>val</t>
        </is>
      </c>
      <c r="O70">
        <f>HYPERLINK("1\1\marker_861_385118.png", "Ver Imagen")</f>
        <v/>
      </c>
      <c r="P70">
        <f>HYPERLINK("NE\A-495_1\A-495_1__92.png", "Ver Imagen")</f>
        <v/>
      </c>
    </row>
    <row r="71">
      <c r="A71" t="n">
        <v>166</v>
      </c>
      <c r="B71" t="inlineStr">
        <is>
          <t>A-495_1__89</t>
        </is>
      </c>
      <c r="C71" t="n">
        <v>37.4653986704</v>
      </c>
      <c r="D71" t="n">
        <v>-7.12297318585</v>
      </c>
      <c r="E71" t="n">
        <v>1</v>
      </c>
      <c r="F71" t="n">
        <v>2</v>
      </c>
      <c r="G71" t="n">
        <v>1</v>
      </c>
      <c r="J71" t="inlineStr">
        <is>
          <t>Moda</t>
        </is>
      </c>
      <c r="K71" t="n">
        <v>1</v>
      </c>
      <c r="L71" t="n">
        <v>1.543</v>
      </c>
      <c r="M71" t="n">
        <v>1</v>
      </c>
      <c r="N71" t="inlineStr">
        <is>
          <t>train</t>
        </is>
      </c>
      <c r="O71">
        <f>HYPERLINK("1\1\marker_711_385153.png", "Ver Imagen")</f>
        <v/>
      </c>
      <c r="P71">
        <f>HYPERLINK("NE\A-495_1\A-495_1__89.png", "Ver Imagen")</f>
        <v/>
      </c>
    </row>
    <row r="72">
      <c r="A72" t="n">
        <v>167</v>
      </c>
      <c r="B72" t="inlineStr">
        <is>
          <t>A-495_1__79</t>
        </is>
      </c>
      <c r="C72" t="n">
        <v>37.463581151</v>
      </c>
      <c r="D72" t="n">
        <v>-7.12401945032</v>
      </c>
      <c r="E72" t="n">
        <v>1</v>
      </c>
      <c r="F72" t="n">
        <v>1</v>
      </c>
      <c r="G72" t="n">
        <v>2</v>
      </c>
      <c r="J72" t="inlineStr">
        <is>
          <t>Moda</t>
        </is>
      </c>
      <c r="K72" t="n">
        <v>1</v>
      </c>
      <c r="L72" t="n">
        <v>1.867</v>
      </c>
      <c r="M72" t="n">
        <v>1</v>
      </c>
      <c r="N72" t="inlineStr">
        <is>
          <t>val</t>
        </is>
      </c>
      <c r="O72">
        <f>HYPERLINK("1\1\marker_127_385242.png", "Ver Imagen")</f>
        <v/>
      </c>
      <c r="P72">
        <f>HYPERLINK("NE\A-495_1\A-495_1__79.png", "Ver Imagen")</f>
        <v/>
      </c>
    </row>
    <row r="73">
      <c r="A73" t="n">
        <v>169</v>
      </c>
      <c r="B73" t="inlineStr">
        <is>
          <t>A-495_1__76</t>
        </is>
      </c>
      <c r="C73" t="n">
        <v>37.4629735848</v>
      </c>
      <c r="D73" t="n">
        <v>-7.12417326352</v>
      </c>
      <c r="E73" t="n">
        <v>1</v>
      </c>
      <c r="F73" t="n">
        <v>2</v>
      </c>
      <c r="G73" t="n">
        <v>1</v>
      </c>
      <c r="J73" t="inlineStr">
        <is>
          <t>Moda</t>
        </is>
      </c>
      <c r="K73" t="n">
        <v>1</v>
      </c>
      <c r="L73" t="n">
        <v>1.57</v>
      </c>
      <c r="M73" t="n">
        <v>1</v>
      </c>
      <c r="N73" t="inlineStr">
        <is>
          <t>val</t>
        </is>
      </c>
      <c r="O73">
        <f>HYPERLINK("1\1\marker_616_385270.png", "Ver Imagen")</f>
        <v/>
      </c>
      <c r="P73">
        <f>HYPERLINK("NE\A-495_1\A-495_1__76.png", "Ver Imagen")</f>
        <v/>
      </c>
    </row>
    <row r="74">
      <c r="A74" t="n">
        <v>171</v>
      </c>
      <c r="B74" t="inlineStr">
        <is>
          <t>A-495_1__55</t>
        </is>
      </c>
      <c r="C74" t="n">
        <v>37.4588342023</v>
      </c>
      <c r="D74" t="n">
        <v>-7.12532070205</v>
      </c>
      <c r="E74" t="n">
        <v>1</v>
      </c>
      <c r="F74" t="n">
        <v>1</v>
      </c>
      <c r="G74" t="n">
        <v>2</v>
      </c>
      <c r="J74" t="inlineStr">
        <is>
          <t>Moda</t>
        </is>
      </c>
      <c r="K74" t="n">
        <v>1</v>
      </c>
      <c r="L74" t="n">
        <v>2.125</v>
      </c>
      <c r="M74" t="n">
        <v>1</v>
      </c>
      <c r="N74" t="inlineStr">
        <is>
          <t>val</t>
        </is>
      </c>
      <c r="O74">
        <f>HYPERLINK("1\1\marker_683_385518.png", "Ver Imagen")</f>
        <v/>
      </c>
      <c r="P74">
        <f>HYPERLINK("NE\A-495_1\A-495_1__55.png", "Ver Imagen")</f>
        <v/>
      </c>
    </row>
    <row r="75">
      <c r="A75" t="n">
        <v>180</v>
      </c>
      <c r="B75" t="inlineStr">
        <is>
          <t>A-495_1__25</t>
        </is>
      </c>
      <c r="C75" t="n">
        <v>37.4529835759</v>
      </c>
      <c r="D75" t="n">
        <v>-7.12735595589</v>
      </c>
      <c r="E75" t="n">
        <v>1</v>
      </c>
      <c r="F75" t="n">
        <v>1</v>
      </c>
      <c r="G75" t="n">
        <v>2</v>
      </c>
      <c r="J75" t="inlineStr">
        <is>
          <t>Moda</t>
        </is>
      </c>
      <c r="K75" t="n">
        <v>1</v>
      </c>
      <c r="L75" t="n">
        <v>1.618</v>
      </c>
      <c r="M75" t="n">
        <v>1</v>
      </c>
      <c r="N75" t="inlineStr">
        <is>
          <t>val</t>
        </is>
      </c>
      <c r="O75">
        <f>HYPERLINK("1\1\marker_427_385924.png", "Ver Imagen")</f>
        <v/>
      </c>
      <c r="P75">
        <f>HYPERLINK("NE\A-495_1\A-495_1__25.png", "Ver Imagen")</f>
        <v/>
      </c>
    </row>
    <row r="76">
      <c r="A76" t="n">
        <v>183</v>
      </c>
      <c r="B76" t="inlineStr">
        <is>
          <t>A-495_1__17</t>
        </is>
      </c>
      <c r="C76" t="n">
        <v>37.4513859916</v>
      </c>
      <c r="D76" t="n">
        <v>-7.1274557463</v>
      </c>
      <c r="E76" t="n">
        <v>1</v>
      </c>
      <c r="F76" t="n">
        <v>1</v>
      </c>
      <c r="G76" t="n">
        <v>2</v>
      </c>
      <c r="J76" t="inlineStr">
        <is>
          <t>Moda</t>
        </is>
      </c>
      <c r="K76" t="n">
        <v>1</v>
      </c>
      <c r="L76" t="n">
        <v>1.848</v>
      </c>
      <c r="M76" t="n">
        <v>1</v>
      </c>
      <c r="N76" t="inlineStr">
        <is>
          <t>val</t>
        </is>
      </c>
      <c r="O76">
        <f>HYPERLINK("1\1\marker_955_386161.png", "Ver Imagen")</f>
        <v/>
      </c>
      <c r="P76">
        <f>HYPERLINK("NE\A-495_1\A-495_1__17.png", "Ver Imagen")</f>
        <v/>
      </c>
    </row>
    <row r="77">
      <c r="A77" t="n">
        <v>184</v>
      </c>
      <c r="B77" t="inlineStr">
        <is>
          <t>A-499__35</t>
        </is>
      </c>
      <c r="C77" t="n">
        <v>37.4934203479</v>
      </c>
      <c r="D77" t="n">
        <v>-7.27717027003</v>
      </c>
      <c r="E77" t="n">
        <v>1</v>
      </c>
      <c r="F77" t="n">
        <v>1</v>
      </c>
      <c r="G77" t="n">
        <v>2</v>
      </c>
      <c r="J77" t="inlineStr">
        <is>
          <t>Moda</t>
        </is>
      </c>
      <c r="K77" t="n">
        <v>1</v>
      </c>
      <c r="L77" t="n">
        <v>1.81</v>
      </c>
      <c r="M77" t="n">
        <v>1</v>
      </c>
      <c r="N77" t="inlineStr">
        <is>
          <t>test</t>
        </is>
      </c>
      <c r="O77">
        <f>HYPERLINK("1\1\marker_249_529975.png", "Ver Imagen")</f>
        <v/>
      </c>
      <c r="P77">
        <f>HYPERLINK("NO\A-499\A-499__35.png", "Ver Imagen")</f>
        <v/>
      </c>
    </row>
    <row r="78">
      <c r="A78" t="n">
        <v>197</v>
      </c>
      <c r="B78" t="inlineStr">
        <is>
          <t>A-497__484</t>
        </is>
      </c>
      <c r="C78" t="n">
        <v>37.2143521089</v>
      </c>
      <c r="D78" t="n">
        <v>-7.02352835984</v>
      </c>
      <c r="E78" t="n">
        <v>1</v>
      </c>
      <c r="F78" t="n">
        <v>1</v>
      </c>
      <c r="G78" t="n">
        <v>2</v>
      </c>
      <c r="J78" t="inlineStr">
        <is>
          <t>Moda</t>
        </is>
      </c>
      <c r="K78" t="n">
        <v>1</v>
      </c>
      <c r="L78" t="n">
        <v>2.082</v>
      </c>
      <c r="M78" t="n">
        <v>1</v>
      </c>
      <c r="N78" t="inlineStr">
        <is>
          <t>test</t>
        </is>
      </c>
      <c r="O78">
        <f>HYPERLINK("1\1\marker_874_376259.png", "Ver Imagen")</f>
        <v/>
      </c>
      <c r="P78">
        <f>HYPERLINK("SE\A-497\A-497__484.png", "Ver Imagen")</f>
        <v/>
      </c>
    </row>
    <row r="79">
      <c r="A79" t="n">
        <v>205</v>
      </c>
      <c r="B79" t="inlineStr">
        <is>
          <t>A-497_2C__531</t>
        </is>
      </c>
      <c r="C79" t="n">
        <v>37.2056282418</v>
      </c>
      <c r="D79" t="n">
        <v>-7.01869828829</v>
      </c>
      <c r="E79" t="n">
        <v>1</v>
      </c>
      <c r="F79" t="n">
        <v>1</v>
      </c>
      <c r="G79" t="n">
        <v>2</v>
      </c>
      <c r="J79" t="inlineStr">
        <is>
          <t>Moda</t>
        </is>
      </c>
      <c r="K79" t="n">
        <v>1</v>
      </c>
      <c r="L79" t="n">
        <v>2.487</v>
      </c>
      <c r="M79" t="n">
        <v>1</v>
      </c>
      <c r="N79" t="inlineStr">
        <is>
          <t>val</t>
        </is>
      </c>
      <c r="O79">
        <f>HYPERLINK("1\1\marker_430_364444.png", "Ver Imagen")</f>
        <v/>
      </c>
      <c r="P79">
        <f>HYPERLINK("SE\A-497_2C\A-497_2C__531.png", "Ver Imagen")</f>
        <v/>
      </c>
    </row>
    <row r="80">
      <c r="A80" t="n">
        <v>206</v>
      </c>
      <c r="B80" t="inlineStr">
        <is>
          <t>A-497_2C__534</t>
        </is>
      </c>
      <c r="C80" t="n">
        <v>37.2054353088</v>
      </c>
      <c r="D80" t="n">
        <v>-7.01808255262</v>
      </c>
      <c r="E80" t="n">
        <v>1</v>
      </c>
      <c r="F80" t="n">
        <v>1</v>
      </c>
      <c r="G80" t="n">
        <v>2</v>
      </c>
      <c r="J80" t="inlineStr">
        <is>
          <t>Moda</t>
        </is>
      </c>
      <c r="K80" t="n">
        <v>1</v>
      </c>
      <c r="L80" t="n">
        <v>2.424</v>
      </c>
      <c r="M80" t="n">
        <v>1</v>
      </c>
      <c r="N80" t="inlineStr">
        <is>
          <t>test</t>
        </is>
      </c>
      <c r="O80">
        <f>HYPERLINK("1\1\marker_457_364474.png", "Ver Imagen")</f>
        <v/>
      </c>
      <c r="P80">
        <f>HYPERLINK("SE\A-497_2C\A-497_2C__534.png", "Ver Imagen")</f>
        <v/>
      </c>
    </row>
    <row r="81">
      <c r="A81" t="n">
        <v>207</v>
      </c>
      <c r="B81" t="inlineStr">
        <is>
          <t>A-497_2C__536</t>
        </is>
      </c>
      <c r="C81" t="n">
        <v>37.2052894381</v>
      </c>
      <c r="D81" t="n">
        <v>-7.01756356003</v>
      </c>
      <c r="E81" t="n">
        <v>1</v>
      </c>
      <c r="F81" t="n">
        <v>1</v>
      </c>
      <c r="G81" t="n">
        <v>2</v>
      </c>
      <c r="J81" t="inlineStr">
        <is>
          <t>Moda</t>
        </is>
      </c>
      <c r="K81" t="n">
        <v>1</v>
      </c>
      <c r="L81" t="n">
        <v>2.245</v>
      </c>
      <c r="M81" t="n">
        <v>1</v>
      </c>
      <c r="N81" t="inlineStr">
        <is>
          <t>test</t>
        </is>
      </c>
      <c r="O81">
        <f>HYPERLINK("1\1\marker_551_364492.png", "Ver Imagen")</f>
        <v/>
      </c>
      <c r="P81">
        <f>HYPERLINK("SE\A-497_2C\A-497_2C__536.png", "Ver Imagen")</f>
        <v/>
      </c>
    </row>
    <row r="82">
      <c r="A82" t="n">
        <v>211</v>
      </c>
      <c r="B82" t="inlineStr">
        <is>
          <t>A-497__419</t>
        </is>
      </c>
      <c r="C82" t="n">
        <v>37.2273351676</v>
      </c>
      <c r="D82" t="n">
        <v>-7.02227432904</v>
      </c>
      <c r="E82" t="n">
        <v>2</v>
      </c>
      <c r="F82" t="n">
        <v>1</v>
      </c>
      <c r="G82" t="n">
        <v>1</v>
      </c>
      <c r="J82" t="inlineStr">
        <is>
          <t>Moda</t>
        </is>
      </c>
      <c r="K82" t="n">
        <v>1</v>
      </c>
      <c r="L82" t="n">
        <v>2.314</v>
      </c>
      <c r="M82" t="n">
        <v>1</v>
      </c>
      <c r="N82" t="inlineStr">
        <is>
          <t>val</t>
        </is>
      </c>
      <c r="O82">
        <f>HYPERLINK("1\1\marker_990_377021.png", "Ver Imagen")</f>
        <v/>
      </c>
      <c r="P82">
        <f>HYPERLINK("SE\A-497\A-497__419.png", "Ver Imagen")</f>
        <v/>
      </c>
    </row>
    <row r="83">
      <c r="A83" t="n">
        <v>221</v>
      </c>
      <c r="B83" t="inlineStr">
        <is>
          <t>A-490__444</t>
        </is>
      </c>
      <c r="C83" t="n">
        <v>37.4839712286</v>
      </c>
      <c r="D83" t="n">
        <v>-7.22516622673</v>
      </c>
      <c r="E83" t="n">
        <v>1</v>
      </c>
      <c r="F83" t="n">
        <v>1</v>
      </c>
      <c r="G83" t="n">
        <v>2</v>
      </c>
      <c r="J83" t="inlineStr">
        <is>
          <t>Moda</t>
        </is>
      </c>
      <c r="K83" t="n">
        <v>1</v>
      </c>
      <c r="L83" t="n">
        <v>2.222</v>
      </c>
      <c r="M83" t="n">
        <v>1</v>
      </c>
      <c r="N83" t="inlineStr">
        <is>
          <t>test</t>
        </is>
      </c>
      <c r="O83">
        <f>HYPERLINK("1\1\marker_742_754738.png", "Ver Imagen")</f>
        <v/>
      </c>
      <c r="P83">
        <f>HYPERLINK("NO\A-490\A-490__444.png", "Ver Imagen")</f>
        <v/>
      </c>
    </row>
    <row r="84">
      <c r="A84" t="n">
        <v>233</v>
      </c>
      <c r="B84" t="inlineStr">
        <is>
          <t>A-490__610</t>
        </is>
      </c>
      <c r="C84" t="n">
        <v>37.4932226273</v>
      </c>
      <c r="D84" t="n">
        <v>-7.26371030414</v>
      </c>
      <c r="E84" t="n">
        <v>1</v>
      </c>
      <c r="F84" t="n">
        <v>1</v>
      </c>
      <c r="G84" t="n">
        <v>2</v>
      </c>
      <c r="J84" t="inlineStr">
        <is>
          <t>Moda</t>
        </is>
      </c>
      <c r="K84" t="n">
        <v>1</v>
      </c>
      <c r="L84" t="n">
        <v>1.552</v>
      </c>
      <c r="M84" t="n">
        <v>1</v>
      </c>
      <c r="N84" t="inlineStr">
        <is>
          <t>train</t>
        </is>
      </c>
      <c r="O84">
        <f>HYPERLINK("1\1\marker_572_820205.png", "Ver Imagen")</f>
        <v/>
      </c>
      <c r="P84">
        <f>HYPERLINK("NO\A-490\A-490__610.png", "Ver Imagen")</f>
        <v/>
      </c>
    </row>
    <row r="85">
      <c r="A85" t="n">
        <v>236</v>
      </c>
      <c r="B85" t="inlineStr">
        <is>
          <t>A-492__245</t>
        </is>
      </c>
      <c r="C85" t="n">
        <v>37.284227425</v>
      </c>
      <c r="D85" t="n">
        <v>-7.03760289554</v>
      </c>
      <c r="E85" t="n">
        <v>1</v>
      </c>
      <c r="F85" t="n">
        <v>1</v>
      </c>
      <c r="G85" t="n">
        <v>2</v>
      </c>
      <c r="J85" t="inlineStr">
        <is>
          <t>Moda</t>
        </is>
      </c>
      <c r="K85" t="n">
        <v>1</v>
      </c>
      <c r="L85" t="n">
        <v>2.26</v>
      </c>
      <c r="M85" t="n">
        <v>1</v>
      </c>
      <c r="N85" t="inlineStr">
        <is>
          <t>test</t>
        </is>
      </c>
      <c r="O85">
        <f>HYPERLINK("1\1\marker_605_836032.png", "Ver Imagen")</f>
        <v/>
      </c>
      <c r="P85">
        <f>HYPERLINK("SE\A-492\A-492__245.png", "Ver Imagen")</f>
        <v/>
      </c>
    </row>
    <row r="86">
      <c r="A86" t="n">
        <v>245</v>
      </c>
      <c r="B86" t="inlineStr">
        <is>
          <t>A-492__380</t>
        </is>
      </c>
      <c r="C86" t="n">
        <v>37.3049026577</v>
      </c>
      <c r="D86" t="n">
        <v>-7.05674004601</v>
      </c>
      <c r="E86" t="n">
        <v>1</v>
      </c>
      <c r="F86" t="n">
        <v>1</v>
      </c>
      <c r="G86" t="n">
        <v>2</v>
      </c>
      <c r="J86" t="inlineStr">
        <is>
          <t>Moda</t>
        </is>
      </c>
      <c r="K86" t="n">
        <v>1</v>
      </c>
      <c r="L86" t="n">
        <v>1.609</v>
      </c>
      <c r="M86" t="n">
        <v>1</v>
      </c>
      <c r="N86" t="inlineStr">
        <is>
          <t>val</t>
        </is>
      </c>
      <c r="O86">
        <f>HYPERLINK("1\1\marker_348_838891.png", "Ver Imagen")</f>
        <v/>
      </c>
      <c r="P86">
        <f>HYPERLINK("SE\A-492\A-492__380.png", "Ver Imagen")</f>
        <v/>
      </c>
    </row>
    <row r="87">
      <c r="A87" t="n">
        <v>254</v>
      </c>
      <c r="B87" t="inlineStr">
        <is>
          <t>A-492__449</t>
        </is>
      </c>
      <c r="C87" t="n">
        <v>37.3153120401</v>
      </c>
      <c r="D87" t="n">
        <v>-7.06654845964</v>
      </c>
      <c r="E87" t="n">
        <v>1</v>
      </c>
      <c r="F87" t="n">
        <v>1</v>
      </c>
      <c r="G87" t="n">
        <v>2</v>
      </c>
      <c r="J87" t="inlineStr">
        <is>
          <t>Moda</t>
        </is>
      </c>
      <c r="K87" t="n">
        <v>1</v>
      </c>
      <c r="L87" t="n">
        <v>1.742</v>
      </c>
      <c r="M87" t="n">
        <v>1</v>
      </c>
      <c r="N87" t="inlineStr">
        <is>
          <t>val</t>
        </is>
      </c>
      <c r="O87">
        <f>HYPERLINK("1\1\marker_594_839804.png", "Ver Imagen")</f>
        <v/>
      </c>
      <c r="P87">
        <f>HYPERLINK("SE\A-492\A-492__449.png", "Ver Imagen")</f>
        <v/>
      </c>
    </row>
    <row r="88">
      <c r="A88" t="n">
        <v>256</v>
      </c>
      <c r="B88" t="inlineStr">
        <is>
          <t>A-495R__79</t>
        </is>
      </c>
      <c r="C88" t="n">
        <v>37.4598334199</v>
      </c>
      <c r="D88" t="n">
        <v>-7.11505064855</v>
      </c>
      <c r="E88" t="n">
        <v>1</v>
      </c>
      <c r="F88" t="n">
        <v>1</v>
      </c>
      <c r="G88" t="n">
        <v>2</v>
      </c>
      <c r="J88" t="inlineStr">
        <is>
          <t>Moda</t>
        </is>
      </c>
      <c r="K88" t="n">
        <v>1</v>
      </c>
      <c r="L88" t="n">
        <v>2.145</v>
      </c>
      <c r="M88" t="n">
        <v>1</v>
      </c>
      <c r="N88" t="inlineStr">
        <is>
          <t>test</t>
        </is>
      </c>
      <c r="O88">
        <f>HYPERLINK("1\1\marker_298_935106.png", "Ver Imagen")</f>
        <v/>
      </c>
      <c r="P88">
        <f>HYPERLINK("NE\A-495R\A-495R__79.png", "Ver Imagen")</f>
        <v/>
      </c>
    </row>
    <row r="89">
      <c r="A89" t="n">
        <v>258</v>
      </c>
      <c r="B89" t="inlineStr">
        <is>
          <t>A-495R__76</t>
        </is>
      </c>
      <c r="C89" t="n">
        <v>37.4592190973</v>
      </c>
      <c r="D89" t="n">
        <v>-7.11487127413</v>
      </c>
      <c r="E89" t="n">
        <v>1</v>
      </c>
      <c r="F89" t="n">
        <v>1</v>
      </c>
      <c r="G89" t="n">
        <v>2</v>
      </c>
      <c r="J89" t="inlineStr">
        <is>
          <t>Moda</t>
        </is>
      </c>
      <c r="K89" t="n">
        <v>1</v>
      </c>
      <c r="L89" t="n">
        <v>2.108</v>
      </c>
      <c r="M89" t="n">
        <v>1</v>
      </c>
      <c r="O89">
        <f>HYPERLINK("1\1\marker_690_935145.png", "Ver Imagen")</f>
        <v/>
      </c>
      <c r="P89">
        <f>HYPERLINK("NE\A-495R\A-495R__76.png", "Ver Imagen")</f>
        <v/>
      </c>
    </row>
    <row r="90">
      <c r="A90" t="n">
        <v>266</v>
      </c>
      <c r="B90" t="inlineStr">
        <is>
          <t>A-490__363</t>
        </is>
      </c>
      <c r="C90" t="n">
        <v>37.4781623426</v>
      </c>
      <c r="D90" t="n">
        <v>-7.20608171505</v>
      </c>
      <c r="E90" t="n">
        <v>2</v>
      </c>
      <c r="F90" t="n">
        <v>2</v>
      </c>
      <c r="G90" t="n">
        <v>2</v>
      </c>
      <c r="J90" t="inlineStr">
        <is>
          <t>Moda</t>
        </is>
      </c>
      <c r="K90" t="n">
        <v>2</v>
      </c>
      <c r="L90" t="n">
        <v>2.528</v>
      </c>
      <c r="M90" t="n">
        <v>1</v>
      </c>
      <c r="N90" t="inlineStr">
        <is>
          <t>val</t>
        </is>
      </c>
      <c r="O90">
        <f>HYPERLINK("2\0\marker_518_751962.png", "Ver Imagen")</f>
        <v/>
      </c>
      <c r="P90">
        <f>HYPERLINK("NO\A-490\A-490__363.png", "Ver Imagen")</f>
        <v/>
      </c>
    </row>
    <row r="91">
      <c r="A91" t="n">
        <v>298</v>
      </c>
      <c r="B91" t="inlineStr">
        <is>
          <t>A-492__314</t>
        </is>
      </c>
      <c r="C91" t="n">
        <v>37.2945018619</v>
      </c>
      <c r="D91" t="n">
        <v>-7.04796621242</v>
      </c>
      <c r="E91" t="n">
        <v>2</v>
      </c>
      <c r="F91" t="n">
        <v>2</v>
      </c>
      <c r="G91" t="n">
        <v>2</v>
      </c>
      <c r="J91" t="inlineStr">
        <is>
          <t>Moda</t>
        </is>
      </c>
      <c r="K91" t="n">
        <v>2</v>
      </c>
      <c r="L91" t="n">
        <v>1.364</v>
      </c>
      <c r="M91" t="n">
        <v>1</v>
      </c>
      <c r="N91" t="inlineStr">
        <is>
          <t>test</t>
        </is>
      </c>
      <c r="O91">
        <f>HYPERLINK("2\0\marker_375_837717.png", "Ver Imagen")</f>
        <v/>
      </c>
      <c r="P91">
        <f>HYPERLINK("SE\A-492\A-492__314.png", "Ver Imagen")</f>
        <v/>
      </c>
    </row>
    <row r="92">
      <c r="A92" t="n">
        <v>305</v>
      </c>
      <c r="B92" t="inlineStr">
        <is>
          <t>A-492__352</t>
        </is>
      </c>
      <c r="C92" t="n">
        <v>37.2996360172</v>
      </c>
      <c r="D92" t="n">
        <v>-7.05480195805</v>
      </c>
      <c r="E92" t="n">
        <v>2</v>
      </c>
      <c r="F92" t="n">
        <v>2</v>
      </c>
      <c r="G92" t="n">
        <v>2</v>
      </c>
      <c r="J92" t="inlineStr">
        <is>
          <t>Moda</t>
        </is>
      </c>
      <c r="K92" t="n">
        <v>2</v>
      </c>
      <c r="L92" t="n">
        <v>2.67</v>
      </c>
      <c r="M92" t="n">
        <v>1</v>
      </c>
      <c r="N92" t="inlineStr">
        <is>
          <t>test</t>
        </is>
      </c>
      <c r="O92">
        <f>HYPERLINK("2\0\marker_891_838385.png", "Ver Imagen")</f>
        <v/>
      </c>
      <c r="P92">
        <f>HYPERLINK("SE\A-492\A-492__352.png", "Ver Imagen")</f>
        <v/>
      </c>
    </row>
    <row r="93">
      <c r="A93" t="n">
        <v>323</v>
      </c>
      <c r="B93" t="inlineStr">
        <is>
          <t>A-5050__134</t>
        </is>
      </c>
      <c r="C93" t="n">
        <v>37.1946073008</v>
      </c>
      <c r="D93" t="n">
        <v>-6.99917660888</v>
      </c>
      <c r="E93" t="n">
        <v>2</v>
      </c>
      <c r="F93" t="n">
        <v>2</v>
      </c>
      <c r="G93" t="n">
        <v>2</v>
      </c>
      <c r="J93" t="inlineStr">
        <is>
          <t>Moda</t>
        </is>
      </c>
      <c r="K93" t="n">
        <v>2</v>
      </c>
      <c r="L93" t="n">
        <v>2.641</v>
      </c>
      <c r="M93" t="n">
        <v>1</v>
      </c>
      <c r="N93" t="inlineStr">
        <is>
          <t>val</t>
        </is>
      </c>
      <c r="O93">
        <f>HYPERLINK("2\0\marker_493_945905.png", "Ver Imagen")</f>
        <v/>
      </c>
      <c r="P93">
        <f>HYPERLINK("SE\A-5050\A-5050__134.png", "Ver Imagen")</f>
        <v/>
      </c>
    </row>
    <row r="94">
      <c r="A94" t="n">
        <v>324</v>
      </c>
      <c r="B94" t="inlineStr">
        <is>
          <t>A-5050__129</t>
        </is>
      </c>
      <c r="C94" t="n">
        <v>37.1950634812</v>
      </c>
      <c r="D94" t="n">
        <v>-7.00030277652</v>
      </c>
      <c r="E94" t="n">
        <v>2</v>
      </c>
      <c r="F94" t="n">
        <v>2</v>
      </c>
      <c r="G94" t="n">
        <v>2</v>
      </c>
      <c r="J94" t="inlineStr">
        <is>
          <t>Moda</t>
        </is>
      </c>
      <c r="K94" t="n">
        <v>2</v>
      </c>
      <c r="L94" t="n">
        <v>1.483</v>
      </c>
      <c r="M94" t="n">
        <v>1</v>
      </c>
      <c r="N94" t="inlineStr">
        <is>
          <t>train</t>
        </is>
      </c>
      <c r="O94">
        <f>HYPERLINK("2\0\marker_522_945957.png", "Ver Imagen")</f>
        <v/>
      </c>
      <c r="P94">
        <f>HYPERLINK("SE\A-5050\A-5050__129.png", "Ver Imagen")</f>
        <v/>
      </c>
    </row>
    <row r="95">
      <c r="A95" t="n">
        <v>365</v>
      </c>
      <c r="B95" t="inlineStr">
        <is>
          <t>A-5052__259</t>
        </is>
      </c>
      <c r="C95" t="n">
        <v>37.2128946629</v>
      </c>
      <c r="D95" t="n">
        <v>-7.06146139097</v>
      </c>
      <c r="E95" t="n">
        <v>2</v>
      </c>
      <c r="F95" t="n">
        <v>2</v>
      </c>
      <c r="G95" t="n">
        <v>2</v>
      </c>
      <c r="J95" t="inlineStr">
        <is>
          <t>Moda</t>
        </is>
      </c>
      <c r="K95" t="n">
        <v>2</v>
      </c>
      <c r="L95" t="n">
        <v>2.669</v>
      </c>
      <c r="M95" t="n">
        <v>1</v>
      </c>
      <c r="N95" t="inlineStr">
        <is>
          <t>test</t>
        </is>
      </c>
      <c r="O95">
        <f>HYPERLINK("2\0\marker_501_960188.png", "Ver Imagen")</f>
        <v/>
      </c>
      <c r="P95">
        <f>HYPERLINK("SE\A-5052\A-5052__259.png", "Ver Imagen")</f>
        <v/>
      </c>
    </row>
    <row r="96">
      <c r="A96" t="n">
        <v>378</v>
      </c>
      <c r="B96" t="inlineStr">
        <is>
          <t>A-5052__321</t>
        </is>
      </c>
      <c r="C96" t="n">
        <v>37.211520651</v>
      </c>
      <c r="D96" t="n">
        <v>-7.0465041837</v>
      </c>
      <c r="E96" t="n">
        <v>2</v>
      </c>
      <c r="F96" t="n">
        <v>2</v>
      </c>
      <c r="G96" t="n">
        <v>2</v>
      </c>
      <c r="J96" t="inlineStr">
        <is>
          <t>Moda</t>
        </is>
      </c>
      <c r="K96" t="n">
        <v>2</v>
      </c>
      <c r="L96" t="n">
        <v>2.58</v>
      </c>
      <c r="M96" t="n">
        <v>1</v>
      </c>
      <c r="N96" t="inlineStr">
        <is>
          <t>test</t>
        </is>
      </c>
      <c r="O96">
        <f>HYPERLINK("2\0\marker_815_961281.png", "Ver Imagen")</f>
        <v/>
      </c>
      <c r="P96">
        <f>HYPERLINK("SE\A-5052\A-5052__321.png", "Ver Imagen")</f>
        <v/>
      </c>
    </row>
    <row r="97">
      <c r="A97" t="n">
        <v>389</v>
      </c>
      <c r="B97" t="inlineStr">
        <is>
          <t>A-5052__473</t>
        </is>
      </c>
      <c r="C97" t="n">
        <v>37.1984690844</v>
      </c>
      <c r="D97" t="n">
        <v>-7.01171804037</v>
      </c>
      <c r="E97" t="n">
        <v>2</v>
      </c>
      <c r="F97" t="n">
        <v>2</v>
      </c>
      <c r="G97" t="n">
        <v>2</v>
      </c>
      <c r="J97" t="inlineStr">
        <is>
          <t>Moda</t>
        </is>
      </c>
      <c r="K97" t="n">
        <v>2</v>
      </c>
      <c r="L97" t="n">
        <v>1.265</v>
      </c>
      <c r="M97" t="n">
        <v>1</v>
      </c>
      <c r="N97" t="inlineStr">
        <is>
          <t>test</t>
        </is>
      </c>
      <c r="O97">
        <f>HYPERLINK("2\0\marker_652_963422.png", "Ver Imagen")</f>
        <v/>
      </c>
      <c r="P97">
        <f>HYPERLINK("SE\A-5052\A-5052__473.png", "Ver Imagen")</f>
        <v/>
      </c>
    </row>
    <row r="98">
      <c r="A98" t="n">
        <v>414</v>
      </c>
      <c r="B98" t="inlineStr">
        <is>
          <t>A-5053__317</t>
        </is>
      </c>
      <c r="C98" t="n">
        <v>37.2775434651</v>
      </c>
      <c r="D98" t="n">
        <v>-7.14353014318</v>
      </c>
      <c r="E98" t="n">
        <v>2</v>
      </c>
      <c r="F98" t="n">
        <v>2</v>
      </c>
      <c r="G98" t="n">
        <v>2</v>
      </c>
      <c r="J98" t="inlineStr">
        <is>
          <t>Moda</t>
        </is>
      </c>
      <c r="K98" t="n">
        <v>2</v>
      </c>
      <c r="L98" t="n">
        <v>2.862</v>
      </c>
      <c r="M98" t="n">
        <v>1</v>
      </c>
      <c r="N98" t="inlineStr">
        <is>
          <t>test</t>
        </is>
      </c>
      <c r="O98">
        <f>HYPERLINK("2\0\marker_954_964606.png", "Ver Imagen")</f>
        <v/>
      </c>
      <c r="P98">
        <f>HYPERLINK("SO\A-5053\A-5053__317.png", "Ver Imagen")</f>
        <v/>
      </c>
    </row>
    <row r="99">
      <c r="A99" t="n">
        <v>435</v>
      </c>
      <c r="B99" t="inlineStr">
        <is>
          <t>A-5053__193</t>
        </is>
      </c>
      <c r="C99" t="n">
        <v>37.2572645127</v>
      </c>
      <c r="D99" t="n">
        <v>-7.12735579956</v>
      </c>
      <c r="E99" t="n">
        <v>2</v>
      </c>
      <c r="F99" t="n">
        <v>2</v>
      </c>
      <c r="G99" t="n">
        <v>2</v>
      </c>
      <c r="J99" t="inlineStr">
        <is>
          <t>Moda</t>
        </is>
      </c>
      <c r="K99" t="n">
        <v>2</v>
      </c>
      <c r="L99" t="n">
        <v>2.619</v>
      </c>
      <c r="M99" t="n">
        <v>1</v>
      </c>
      <c r="N99" t="inlineStr">
        <is>
          <t>test</t>
        </is>
      </c>
      <c r="O99">
        <f>HYPERLINK("2\0\marker_720_965957.png", "Ver Imagen")</f>
        <v/>
      </c>
      <c r="P99">
        <f>HYPERLINK("SO\A-5053\A-5053__193.png", "Ver Imagen")</f>
        <v/>
      </c>
    </row>
    <row r="100">
      <c r="A100" t="n">
        <v>459</v>
      </c>
      <c r="B100" t="inlineStr">
        <is>
          <t>A-5053__167</t>
        </is>
      </c>
      <c r="C100" t="n">
        <v>37.2521218754</v>
      </c>
      <c r="D100" t="n">
        <v>-7.12696015101</v>
      </c>
      <c r="E100" t="n">
        <v>2</v>
      </c>
      <c r="F100" t="n">
        <v>2</v>
      </c>
      <c r="G100" t="n">
        <v>2</v>
      </c>
      <c r="J100" t="inlineStr">
        <is>
          <t>Moda</t>
        </is>
      </c>
      <c r="K100" t="n">
        <v>2</v>
      </c>
      <c r="L100" t="n">
        <v>2.774</v>
      </c>
      <c r="M100" t="n">
        <v>1</v>
      </c>
      <c r="N100" t="inlineStr">
        <is>
          <t>test</t>
        </is>
      </c>
      <c r="O100">
        <f>HYPERLINK("2\0\marker_781_966221.png", "Ver Imagen")</f>
        <v/>
      </c>
      <c r="P100">
        <f>HYPERLINK("SO\A-5053\A-5053__167.png", "Ver Imagen")</f>
        <v/>
      </c>
    </row>
    <row r="101">
      <c r="A101" t="n">
        <v>469</v>
      </c>
      <c r="B101" t="inlineStr">
        <is>
          <t>A-5053__150</t>
        </is>
      </c>
      <c r="C101" t="n">
        <v>37.2487121766</v>
      </c>
      <c r="D101" t="n">
        <v>-7.12747540777</v>
      </c>
      <c r="E101" t="n">
        <v>2</v>
      </c>
      <c r="F101" t="n">
        <v>2</v>
      </c>
      <c r="G101" t="n">
        <v>2</v>
      </c>
      <c r="J101" t="inlineStr">
        <is>
          <t>Moda</t>
        </is>
      </c>
      <c r="K101" t="n">
        <v>2</v>
      </c>
      <c r="L101" t="n">
        <v>2.719</v>
      </c>
      <c r="M101" t="n">
        <v>1</v>
      </c>
      <c r="N101" t="inlineStr">
        <is>
          <t>test</t>
        </is>
      </c>
      <c r="O101">
        <f>HYPERLINK("2\0\marker_747_966387.png", "Ver Imagen")</f>
        <v/>
      </c>
      <c r="P101">
        <f>HYPERLINK("SO\A-5053\A-5053__150.png", "Ver Imagen")</f>
        <v/>
      </c>
    </row>
    <row r="102">
      <c r="A102" t="n">
        <v>475</v>
      </c>
      <c r="B102" t="inlineStr">
        <is>
          <t>A-5053__131</t>
        </is>
      </c>
      <c r="C102" t="n">
        <v>37.2448907596</v>
      </c>
      <c r="D102" t="n">
        <v>-7.12803802033</v>
      </c>
      <c r="E102" t="n">
        <v>2</v>
      </c>
      <c r="F102" t="n">
        <v>2</v>
      </c>
      <c r="G102" t="n">
        <v>2</v>
      </c>
      <c r="J102" t="inlineStr">
        <is>
          <t>Moda</t>
        </is>
      </c>
      <c r="K102" t="n">
        <v>2</v>
      </c>
      <c r="L102" t="n">
        <v>2.729</v>
      </c>
      <c r="M102" t="n">
        <v>1</v>
      </c>
      <c r="N102" t="inlineStr">
        <is>
          <t>val</t>
        </is>
      </c>
      <c r="O102">
        <f>HYPERLINK("2\0\marker_533_966563.png", "Ver Imagen")</f>
        <v/>
      </c>
      <c r="P102">
        <f>HYPERLINK("SO\A-5053\A-5053__131.png", "Ver Imagen")</f>
        <v/>
      </c>
    </row>
    <row r="103">
      <c r="A103" t="n">
        <v>519</v>
      </c>
      <c r="B103" t="inlineStr">
        <is>
          <t>A-495__99</t>
        </is>
      </c>
      <c r="C103" t="n">
        <v>37.4362778963</v>
      </c>
      <c r="D103" t="n">
        <v>-7.07779012968</v>
      </c>
      <c r="E103" t="n">
        <v>2</v>
      </c>
      <c r="F103" t="n">
        <v>2</v>
      </c>
      <c r="G103" t="n">
        <v>2</v>
      </c>
      <c r="J103" t="inlineStr">
        <is>
          <t>Moda</t>
        </is>
      </c>
      <c r="K103" t="n">
        <v>2</v>
      </c>
      <c r="L103" t="n">
        <v>2.627</v>
      </c>
      <c r="M103" t="n">
        <v>1</v>
      </c>
      <c r="N103" t="inlineStr">
        <is>
          <t>val</t>
        </is>
      </c>
      <c r="O103">
        <f>HYPERLINK("2\0\marker_155_382145.png", "Ver Imagen")</f>
        <v/>
      </c>
      <c r="P103">
        <f>HYPERLINK("NE\A-495\A-495__99.png", "Ver Imagen")</f>
        <v/>
      </c>
    </row>
    <row r="104">
      <c r="A104" t="n">
        <v>523</v>
      </c>
      <c r="B104" t="inlineStr">
        <is>
          <t>A-5059__69</t>
        </is>
      </c>
      <c r="C104" t="n">
        <v>37.2232112244</v>
      </c>
      <c r="D104" t="n">
        <v>-7.05589478691</v>
      </c>
      <c r="E104" t="n">
        <v>2</v>
      </c>
      <c r="F104" t="n">
        <v>2</v>
      </c>
      <c r="G104" t="n">
        <v>2</v>
      </c>
      <c r="J104" t="inlineStr">
        <is>
          <t>Moda</t>
        </is>
      </c>
      <c r="K104" t="n">
        <v>2</v>
      </c>
      <c r="L104" t="n">
        <v>2.598</v>
      </c>
      <c r="M104" t="n">
        <v>1</v>
      </c>
      <c r="N104" t="inlineStr">
        <is>
          <t>val</t>
        </is>
      </c>
      <c r="O104">
        <f>HYPERLINK("2\0\marker_933_378856.png", "Ver Imagen")</f>
        <v/>
      </c>
      <c r="P104">
        <f>HYPERLINK("SE\A-5059\A-5059__69.png", "Ver Imagen")</f>
        <v/>
      </c>
    </row>
    <row r="105">
      <c r="A105" t="n">
        <v>557</v>
      </c>
      <c r="B105" t="inlineStr">
        <is>
          <t>A-5058__187</t>
        </is>
      </c>
      <c r="C105" t="n">
        <v>37.2341744169</v>
      </c>
      <c r="D105" t="n">
        <v>-7.0702943755</v>
      </c>
      <c r="E105" t="n">
        <v>2</v>
      </c>
      <c r="F105" t="n">
        <v>2</v>
      </c>
      <c r="G105" t="n">
        <v>2</v>
      </c>
      <c r="J105" t="inlineStr">
        <is>
          <t>Moda</t>
        </is>
      </c>
      <c r="K105" t="n">
        <v>2</v>
      </c>
      <c r="L105" t="n">
        <v>2.805</v>
      </c>
      <c r="M105" t="n">
        <v>1</v>
      </c>
      <c r="N105" t="inlineStr">
        <is>
          <t>train</t>
        </is>
      </c>
      <c r="O105">
        <f>HYPERLINK("2\0\marker_212_382749.png", "Ver Imagen")</f>
        <v/>
      </c>
      <c r="P105">
        <f>HYPERLINK("SE\A-5058\A-5058__187.png", "Ver Imagen")</f>
        <v/>
      </c>
    </row>
    <row r="106">
      <c r="A106" t="n">
        <v>558</v>
      </c>
      <c r="B106" t="inlineStr">
        <is>
          <t>A-5058__355</t>
        </is>
      </c>
      <c r="C106" t="n">
        <v>37.252324204</v>
      </c>
      <c r="D106" t="n">
        <v>-7.10448330142</v>
      </c>
      <c r="E106" t="n">
        <v>2</v>
      </c>
      <c r="F106" t="n">
        <v>2</v>
      </c>
      <c r="G106" t="n">
        <v>2</v>
      </c>
      <c r="J106" t="inlineStr">
        <is>
          <t>Moda</t>
        </is>
      </c>
      <c r="K106" t="n">
        <v>2</v>
      </c>
      <c r="L106" t="n">
        <v>2.664</v>
      </c>
      <c r="M106" t="n">
        <v>1</v>
      </c>
      <c r="N106" t="inlineStr">
        <is>
          <t>test</t>
        </is>
      </c>
      <c r="O106">
        <f>HYPERLINK("2\0\marker_606_384916.png", "Ver Imagen")</f>
        <v/>
      </c>
      <c r="P106">
        <f>HYPERLINK("SO\A-5058\A-5058__355.png", "Ver Imagen")</f>
        <v/>
      </c>
    </row>
    <row r="107">
      <c r="A107" t="n">
        <v>607</v>
      </c>
      <c r="B107" t="inlineStr">
        <is>
          <t>A-499__48</t>
        </is>
      </c>
      <c r="C107" t="n">
        <v>37.4955840257</v>
      </c>
      <c r="D107" t="n">
        <v>-7.27577461047</v>
      </c>
      <c r="E107" t="n">
        <v>2</v>
      </c>
      <c r="F107" t="n">
        <v>2</v>
      </c>
      <c r="G107" t="n">
        <v>2</v>
      </c>
      <c r="J107" t="inlineStr">
        <is>
          <t>Moda</t>
        </is>
      </c>
      <c r="K107" t="n">
        <v>2</v>
      </c>
      <c r="L107" t="n">
        <v>1.269</v>
      </c>
      <c r="M107" t="n">
        <v>1</v>
      </c>
      <c r="N107" t="inlineStr">
        <is>
          <t>train</t>
        </is>
      </c>
      <c r="O107">
        <f>HYPERLINK("2\0\marker_461_534843.png", "Ver Imagen")</f>
        <v/>
      </c>
      <c r="P107">
        <f>HYPERLINK("NO\A-499\A-499__48.png", "Ver Imagen")</f>
        <v/>
      </c>
    </row>
    <row r="108">
      <c r="A108" t="n">
        <v>609</v>
      </c>
      <c r="B108" t="inlineStr">
        <is>
          <t>A-499__62</t>
        </is>
      </c>
      <c r="C108" t="n">
        <v>37.4954299356</v>
      </c>
      <c r="D108" t="n">
        <v>-7.27226593936</v>
      </c>
      <c r="E108" t="n">
        <v>2</v>
      </c>
      <c r="F108" t="n">
        <v>2</v>
      </c>
      <c r="G108" t="n">
        <v>2</v>
      </c>
      <c r="J108" t="inlineStr">
        <is>
          <t>Moda</t>
        </is>
      </c>
      <c r="K108" t="n">
        <v>2</v>
      </c>
      <c r="L108" t="n">
        <v>2.601</v>
      </c>
      <c r="M108" t="n">
        <v>1</v>
      </c>
      <c r="N108" t="inlineStr">
        <is>
          <t>test</t>
        </is>
      </c>
      <c r="O108">
        <f>HYPERLINK("2\0\marker_142_535089.png", "Ver Imagen")</f>
        <v/>
      </c>
      <c r="P108">
        <f>HYPERLINK("NO\A-499\A-499__62.png", "Ver Imagen")</f>
        <v/>
      </c>
    </row>
    <row r="109">
      <c r="A109" t="n">
        <v>620</v>
      </c>
      <c r="B109" t="inlineStr">
        <is>
          <t>A-497__842</t>
        </is>
      </c>
      <c r="C109" t="n">
        <v>37.1994167839</v>
      </c>
      <c r="D109" t="n">
        <v>-6.98419229602</v>
      </c>
      <c r="E109" t="n">
        <v>2</v>
      </c>
      <c r="F109" t="n">
        <v>2</v>
      </c>
      <c r="G109" t="n">
        <v>2</v>
      </c>
      <c r="J109" t="inlineStr">
        <is>
          <t>Moda</t>
        </is>
      </c>
      <c r="K109" t="n">
        <v>2</v>
      </c>
      <c r="L109" t="n">
        <v>2.767</v>
      </c>
      <c r="M109" t="n">
        <v>1</v>
      </c>
      <c r="N109" t="inlineStr">
        <is>
          <t>test</t>
        </is>
      </c>
      <c r="O109">
        <f>HYPERLINK("2\0\marker_862_367521.png", "Ver Imagen")</f>
        <v/>
      </c>
      <c r="P109">
        <f>HYPERLINK("SE\A-497\A-497__842.png", "Ver Imagen")</f>
        <v/>
      </c>
    </row>
    <row r="110">
      <c r="A110" t="n">
        <v>622</v>
      </c>
      <c r="B110" t="inlineStr">
        <is>
          <t>A-497__773</t>
        </is>
      </c>
      <c r="C110" t="n">
        <v>37.1881190403</v>
      </c>
      <c r="D110" t="n">
        <v>-6.97896409876</v>
      </c>
      <c r="E110" t="n">
        <v>2</v>
      </c>
      <c r="F110" t="n">
        <v>2</v>
      </c>
      <c r="G110" t="n">
        <v>2</v>
      </c>
      <c r="J110" t="inlineStr">
        <is>
          <t>Moda</t>
        </is>
      </c>
      <c r="K110" t="n">
        <v>2</v>
      </c>
      <c r="L110" t="n">
        <v>2.829</v>
      </c>
      <c r="M110" t="n">
        <v>1</v>
      </c>
      <c r="N110" t="inlineStr">
        <is>
          <t>train</t>
        </is>
      </c>
      <c r="O110">
        <f>HYPERLINK("2\0\marker_401_368260.png", "Ver Imagen")</f>
        <v/>
      </c>
      <c r="P110">
        <f>HYPERLINK("SE\A-497\A-497__773.png", "Ver Imagen")</f>
        <v/>
      </c>
    </row>
    <row r="111">
      <c r="A111" t="n">
        <v>623</v>
      </c>
      <c r="B111" t="inlineStr">
        <is>
          <t>A-497__772</t>
        </is>
      </c>
      <c r="C111" t="n">
        <v>37.187968173</v>
      </c>
      <c r="D111" t="n">
        <v>-6.9790709148</v>
      </c>
      <c r="E111" t="n">
        <v>2</v>
      </c>
      <c r="F111" t="n">
        <v>2</v>
      </c>
      <c r="G111" t="n">
        <v>2</v>
      </c>
      <c r="J111" t="inlineStr">
        <is>
          <t>Moda</t>
        </is>
      </c>
      <c r="K111" t="n">
        <v>2</v>
      </c>
      <c r="L111" t="n">
        <v>2.947</v>
      </c>
      <c r="M111" t="n">
        <v>1</v>
      </c>
      <c r="N111" t="inlineStr">
        <is>
          <t>val</t>
        </is>
      </c>
      <c r="O111">
        <f>HYPERLINK("2\0\marker_144_368277.png", "Ver Imagen")</f>
        <v/>
      </c>
      <c r="P111">
        <f>HYPERLINK("SE\A-497\A-497__772.png", "Ver Imagen")</f>
        <v/>
      </c>
    </row>
    <row r="112">
      <c r="A112" t="n">
        <v>636</v>
      </c>
      <c r="B112" t="inlineStr">
        <is>
          <t>A-499__138</t>
        </is>
      </c>
      <c r="C112" t="n">
        <v>37.5062343596</v>
      </c>
      <c r="D112" t="n">
        <v>-7.26529463964</v>
      </c>
      <c r="E112" t="n">
        <v>2</v>
      </c>
      <c r="F112" t="n">
        <v>2</v>
      </c>
      <c r="G112" t="n">
        <v>2</v>
      </c>
      <c r="J112" t="inlineStr">
        <is>
          <t>Moda</t>
        </is>
      </c>
      <c r="K112" t="n">
        <v>2</v>
      </c>
      <c r="L112" t="n">
        <v>1.466</v>
      </c>
      <c r="M112" t="n">
        <v>1</v>
      </c>
      <c r="N112" t="inlineStr">
        <is>
          <t>train</t>
        </is>
      </c>
      <c r="O112">
        <f>HYPERLINK("2\0\marker_341_794038.png", "Ver Imagen")</f>
        <v/>
      </c>
      <c r="P112">
        <f>HYPERLINK("NO\A-499\A-499__138.png", "Ver Imagen")</f>
        <v/>
      </c>
    </row>
    <row r="113">
      <c r="A113" t="n">
        <v>658</v>
      </c>
      <c r="B113" t="inlineStr">
        <is>
          <t>A-499__207</t>
        </is>
      </c>
      <c r="C113" t="n">
        <v>37.5177996431</v>
      </c>
      <c r="D113" t="n">
        <v>-7.26429463727</v>
      </c>
      <c r="E113" t="n">
        <v>2</v>
      </c>
      <c r="F113" t="n">
        <v>2</v>
      </c>
      <c r="G113" t="n">
        <v>2</v>
      </c>
      <c r="J113" t="inlineStr">
        <is>
          <t>Moda</t>
        </is>
      </c>
      <c r="K113" t="n">
        <v>2</v>
      </c>
      <c r="L113" t="n">
        <v>1.319</v>
      </c>
      <c r="M113" t="n">
        <v>1</v>
      </c>
      <c r="N113" t="inlineStr">
        <is>
          <t>train</t>
        </is>
      </c>
      <c r="O113">
        <f>HYPERLINK("2\0\marker_394_796274.png", "Ver Imagen")</f>
        <v/>
      </c>
      <c r="P113">
        <f>HYPERLINK("NO\A-499\A-499__207.png", "Ver Imagen")</f>
        <v/>
      </c>
    </row>
    <row r="114">
      <c r="A114" t="n">
        <v>674</v>
      </c>
      <c r="B114" t="inlineStr">
        <is>
          <t>A-497_2C__50</t>
        </is>
      </c>
      <c r="C114" t="n">
        <v>37.2679839597</v>
      </c>
      <c r="D114" t="n">
        <v>-6.96963073551</v>
      </c>
      <c r="E114" t="n">
        <v>2</v>
      </c>
      <c r="F114" t="n">
        <v>2</v>
      </c>
      <c r="G114" t="n">
        <v>2</v>
      </c>
      <c r="J114" t="inlineStr">
        <is>
          <t>Moda</t>
        </is>
      </c>
      <c r="K114" t="n">
        <v>2</v>
      </c>
      <c r="L114" t="n">
        <v>2.668</v>
      </c>
      <c r="M114" t="n">
        <v>1</v>
      </c>
      <c r="N114" t="inlineStr">
        <is>
          <t>train</t>
        </is>
      </c>
      <c r="O114">
        <f>HYPERLINK("2\0\marker_630_654754.png", "Ver Imagen")</f>
        <v/>
      </c>
      <c r="P114">
        <f>HYPERLINK("SE\A-497_2C\A-497_2C__50.png", "Ver Imagen")</f>
        <v/>
      </c>
    </row>
    <row r="115">
      <c r="A115" t="n">
        <v>698</v>
      </c>
      <c r="B115" t="inlineStr">
        <is>
          <t>A-497_2C__131</t>
        </is>
      </c>
      <c r="C115" t="n">
        <v>37.2708255982</v>
      </c>
      <c r="D115" t="n">
        <v>-6.98903786286</v>
      </c>
      <c r="E115" t="n">
        <v>2</v>
      </c>
      <c r="F115" t="n">
        <v>2</v>
      </c>
      <c r="G115" t="n">
        <v>2</v>
      </c>
      <c r="J115" t="inlineStr">
        <is>
          <t>Moda</t>
        </is>
      </c>
      <c r="K115" t="n">
        <v>2</v>
      </c>
      <c r="L115" t="n">
        <v>3.14</v>
      </c>
      <c r="M115" t="n">
        <v>1</v>
      </c>
      <c r="N115" t="inlineStr">
        <is>
          <t>val</t>
        </is>
      </c>
      <c r="O115">
        <f>HYPERLINK("2\0\marker_672_655782.png", "Ver Imagen")</f>
        <v/>
      </c>
      <c r="P115">
        <f>HYPERLINK("SE\A-497_2C\A-497_2C__131.png", "Ver Imagen")</f>
        <v/>
      </c>
    </row>
    <row r="116">
      <c r="A116" t="n">
        <v>700</v>
      </c>
      <c r="B116" t="inlineStr">
        <is>
          <t>A-497_2C__145</t>
        </is>
      </c>
      <c r="C116" t="n">
        <v>37.2683811091</v>
      </c>
      <c r="D116" t="n">
        <v>-6.99078500663</v>
      </c>
      <c r="E116" t="n">
        <v>2</v>
      </c>
      <c r="F116" t="n">
        <v>2</v>
      </c>
      <c r="G116" t="n">
        <v>2</v>
      </c>
      <c r="J116" t="inlineStr">
        <is>
          <t>Moda</t>
        </is>
      </c>
      <c r="K116" t="n">
        <v>2</v>
      </c>
      <c r="L116" t="n">
        <v>3.316</v>
      </c>
      <c r="M116" t="n">
        <v>1</v>
      </c>
      <c r="N116" t="inlineStr">
        <is>
          <t>test</t>
        </is>
      </c>
      <c r="O116">
        <f>HYPERLINK("2\0\marker_584_655913.png", "Ver Imagen")</f>
        <v/>
      </c>
      <c r="P116">
        <f>HYPERLINK("SE\A-497_2C\A-497_2C__145.png", "Ver Imagen")</f>
        <v/>
      </c>
    </row>
    <row r="117">
      <c r="A117" t="n">
        <v>713</v>
      </c>
      <c r="B117" t="inlineStr">
        <is>
          <t>A-497_2C__244</t>
        </is>
      </c>
      <c r="C117" t="n">
        <v>37.2596932781</v>
      </c>
      <c r="D117" t="n">
        <v>-7.01190400476</v>
      </c>
      <c r="E117" t="n">
        <v>2</v>
      </c>
      <c r="F117" t="n">
        <v>2</v>
      </c>
      <c r="G117" t="n">
        <v>2</v>
      </c>
      <c r="J117" t="inlineStr">
        <is>
          <t>Moda</t>
        </is>
      </c>
      <c r="K117" t="n">
        <v>2</v>
      </c>
      <c r="L117" t="n">
        <v>2.939</v>
      </c>
      <c r="M117" t="n">
        <v>1</v>
      </c>
      <c r="N117" t="inlineStr">
        <is>
          <t>train</t>
        </is>
      </c>
      <c r="O117">
        <f>HYPERLINK("2\0\marker_867_657059.png", "Ver Imagen")</f>
        <v/>
      </c>
      <c r="P117">
        <f>HYPERLINK("SE\A-497_2C\A-497_2C__244.png", "Ver Imagen")</f>
        <v/>
      </c>
    </row>
    <row r="118">
      <c r="A118" t="n">
        <v>716</v>
      </c>
      <c r="B118" t="inlineStr">
        <is>
          <t>A-497_2C__247</t>
        </is>
      </c>
      <c r="C118" t="n">
        <v>37.2591808911</v>
      </c>
      <c r="D118" t="n">
        <v>-7.01223211361</v>
      </c>
      <c r="E118" t="n">
        <v>2</v>
      </c>
      <c r="F118" t="n">
        <v>2</v>
      </c>
      <c r="G118" t="n">
        <v>2</v>
      </c>
      <c r="J118" t="inlineStr">
        <is>
          <t>Moda</t>
        </is>
      </c>
      <c r="K118" t="n">
        <v>2</v>
      </c>
      <c r="L118" t="n">
        <v>2.794</v>
      </c>
      <c r="M118" t="n">
        <v>1</v>
      </c>
      <c r="N118" t="inlineStr">
        <is>
          <t>test</t>
        </is>
      </c>
      <c r="O118">
        <f>HYPERLINK("2\0\marker_441_657086.png", "Ver Imagen")</f>
        <v/>
      </c>
      <c r="P118">
        <f>HYPERLINK("SE\A-497_2C\A-497_2C__247.png", "Ver Imagen")</f>
        <v/>
      </c>
    </row>
    <row r="119">
      <c r="A119" t="n">
        <v>718</v>
      </c>
      <c r="B119" t="inlineStr">
        <is>
          <t>A-497__632</t>
        </is>
      </c>
      <c r="C119" t="n">
        <v>37.2018602379</v>
      </c>
      <c r="D119" t="n">
        <v>-6.99466634016</v>
      </c>
      <c r="E119" t="n">
        <v>2</v>
      </c>
      <c r="F119" t="n">
        <v>2</v>
      </c>
      <c r="G119" t="n">
        <v>2</v>
      </c>
      <c r="J119" t="inlineStr">
        <is>
          <t>Moda</t>
        </is>
      </c>
      <c r="K119" t="n">
        <v>2</v>
      </c>
      <c r="L119" t="n">
        <v>3.137</v>
      </c>
      <c r="M119" t="n">
        <v>1</v>
      </c>
      <c r="N119" t="inlineStr">
        <is>
          <t>test</t>
        </is>
      </c>
      <c r="O119">
        <f>HYPERLINK("2\0\marker_677_371415.png", "Ver Imagen")</f>
        <v/>
      </c>
      <c r="P119">
        <f>HYPERLINK("SE\A-497\A-497__632.png", "Ver Imagen")</f>
        <v/>
      </c>
    </row>
    <row r="120">
      <c r="A120" t="n">
        <v>725</v>
      </c>
      <c r="B120" t="inlineStr">
        <is>
          <t>A-497__548</t>
        </is>
      </c>
      <c r="C120" t="n">
        <v>37.2049821203</v>
      </c>
      <c r="D120" t="n">
        <v>-7.01554471849</v>
      </c>
      <c r="E120" t="n">
        <v>2</v>
      </c>
      <c r="F120" t="n">
        <v>2</v>
      </c>
      <c r="G120" t="n">
        <v>2</v>
      </c>
      <c r="J120" t="inlineStr">
        <is>
          <t>Moda</t>
        </is>
      </c>
      <c r="K120" t="n">
        <v>2</v>
      </c>
      <c r="L120" t="n">
        <v>2.643</v>
      </c>
      <c r="M120" t="n">
        <v>1</v>
      </c>
      <c r="N120" t="inlineStr">
        <is>
          <t>val</t>
        </is>
      </c>
      <c r="O120">
        <f>HYPERLINK("2\0\marker_525_372296.png", "Ver Imagen")</f>
        <v/>
      </c>
      <c r="P120">
        <f>HYPERLINK("SE\A-497\A-497__548.png", "Ver Imagen")</f>
        <v/>
      </c>
    </row>
    <row r="121">
      <c r="A121" t="n">
        <v>731</v>
      </c>
      <c r="B121" t="inlineStr">
        <is>
          <t>A-497_2C__420</t>
        </is>
      </c>
      <c r="C121" t="n">
        <v>37.2262781873</v>
      </c>
      <c r="D121" t="n">
        <v>-7.02309171218</v>
      </c>
      <c r="E121" t="n">
        <v>2</v>
      </c>
      <c r="F121" t="n">
        <v>2</v>
      </c>
      <c r="G121" t="n">
        <v>2</v>
      </c>
      <c r="J121" t="inlineStr">
        <is>
          <t>Moda</t>
        </is>
      </c>
      <c r="K121" t="n">
        <v>2</v>
      </c>
      <c r="L121" t="n">
        <v>3.128</v>
      </c>
      <c r="M121" t="n">
        <v>1</v>
      </c>
      <c r="N121" t="inlineStr">
        <is>
          <t>val</t>
        </is>
      </c>
      <c r="O121">
        <f>HYPERLINK("2\0\marker_760_363114.png", "Ver Imagen")</f>
        <v/>
      </c>
      <c r="P121">
        <f>HYPERLINK("SE\A-497_2C\A-497_2C__420.png", "Ver Imagen")</f>
        <v/>
      </c>
    </row>
    <row r="122">
      <c r="A122" t="n">
        <v>741</v>
      </c>
      <c r="B122" t="inlineStr">
        <is>
          <t>A-497__459</t>
        </is>
      </c>
      <c r="C122" t="n">
        <v>37.2193841095</v>
      </c>
      <c r="D122" t="n">
        <v>-7.02276555513</v>
      </c>
      <c r="E122" t="n">
        <v>2</v>
      </c>
      <c r="F122" t="n">
        <v>2</v>
      </c>
      <c r="G122" t="n">
        <v>2</v>
      </c>
      <c r="J122" t="inlineStr">
        <is>
          <t>Moda</t>
        </is>
      </c>
      <c r="K122" t="n">
        <v>2</v>
      </c>
      <c r="L122" t="n">
        <v>3.045</v>
      </c>
      <c r="M122" t="n">
        <v>1</v>
      </c>
      <c r="N122" t="inlineStr">
        <is>
          <t>test</t>
        </is>
      </c>
      <c r="O122">
        <f>HYPERLINK("2\0\marker_577_376578.png", "Ver Imagen")</f>
        <v/>
      </c>
      <c r="P122">
        <f>HYPERLINK("SE\A-497\A-497__459.png", "Ver Imagen")</f>
        <v/>
      </c>
    </row>
    <row r="123">
      <c r="A123" t="n">
        <v>742</v>
      </c>
      <c r="B123" t="inlineStr">
        <is>
          <t>A-497_2C__500</t>
        </is>
      </c>
      <c r="C123" t="n">
        <v>37.2101946007</v>
      </c>
      <c r="D123" t="n">
        <v>-7.02378583216</v>
      </c>
      <c r="E123" t="n">
        <v>2</v>
      </c>
      <c r="F123" t="n">
        <v>2</v>
      </c>
      <c r="G123" t="n">
        <v>2</v>
      </c>
      <c r="J123" t="inlineStr">
        <is>
          <t>Moda</t>
        </is>
      </c>
      <c r="K123" t="n">
        <v>2</v>
      </c>
      <c r="L123" t="n">
        <v>1.414</v>
      </c>
      <c r="M123" t="n">
        <v>1</v>
      </c>
      <c r="N123" t="inlineStr">
        <is>
          <t>val</t>
        </is>
      </c>
      <c r="O123">
        <f>HYPERLINK("2\0\marker_702_364063.png", "Ver Imagen")</f>
        <v/>
      </c>
      <c r="P123">
        <f>HYPERLINK("SE\A-497_2C\A-497_2C__500.png", "Ver Imagen")</f>
        <v/>
      </c>
    </row>
    <row r="124">
      <c r="A124" t="n">
        <v>755</v>
      </c>
      <c r="B124" t="inlineStr">
        <is>
          <t>A-497_2C__629</t>
        </is>
      </c>
      <c r="C124" t="n">
        <v>37.2016927956</v>
      </c>
      <c r="D124" t="n">
        <v>-6.99460420074</v>
      </c>
      <c r="E124" t="n">
        <v>2</v>
      </c>
      <c r="F124" t="n">
        <v>2</v>
      </c>
      <c r="G124" t="n">
        <v>2</v>
      </c>
      <c r="J124" t="inlineStr">
        <is>
          <t>Moda</t>
        </is>
      </c>
      <c r="K124" t="n">
        <v>2</v>
      </c>
      <c r="L124" t="n">
        <v>3.015</v>
      </c>
      <c r="M124" t="n">
        <v>1</v>
      </c>
      <c r="N124" t="inlineStr">
        <is>
          <t>val</t>
        </is>
      </c>
      <c r="O124">
        <f>HYPERLINK("2\0\marker_843_367073.png", "Ver Imagen")</f>
        <v/>
      </c>
      <c r="P124">
        <f>HYPERLINK("SE\A-497_2C\A-497_2C__629.png", "Ver Imagen")</f>
        <v/>
      </c>
    </row>
    <row r="125">
      <c r="A125" t="n">
        <v>799</v>
      </c>
      <c r="B125" t="inlineStr">
        <is>
          <t>A-497__379</t>
        </is>
      </c>
      <c r="C125" t="n">
        <v>37.234503056</v>
      </c>
      <c r="D125" t="n">
        <v>-7.01801805002</v>
      </c>
      <c r="E125" t="n">
        <v>2</v>
      </c>
      <c r="F125" t="n">
        <v>2</v>
      </c>
      <c r="G125" t="n">
        <v>2</v>
      </c>
      <c r="J125" t="inlineStr">
        <is>
          <t>Moda</t>
        </is>
      </c>
      <c r="K125" t="n">
        <v>2</v>
      </c>
      <c r="L125" t="n">
        <v>1.416</v>
      </c>
      <c r="M125" t="n">
        <v>1</v>
      </c>
      <c r="N125" t="inlineStr">
        <is>
          <t>train</t>
        </is>
      </c>
      <c r="O125">
        <f>HYPERLINK("2\0\marker_359_377378.png", "Ver Imagen")</f>
        <v/>
      </c>
      <c r="P125">
        <f>HYPERLINK("SE\A-497\A-497__379.png", "Ver Imagen")</f>
        <v/>
      </c>
    </row>
    <row r="126">
      <c r="A126" t="n">
        <v>830</v>
      </c>
      <c r="B126" t="inlineStr">
        <is>
          <t>A-497__288</t>
        </is>
      </c>
      <c r="C126" t="n">
        <v>37.2525814031</v>
      </c>
      <c r="D126" t="n">
        <v>-7.01623452948</v>
      </c>
      <c r="E126" t="n">
        <v>2</v>
      </c>
      <c r="F126" t="n">
        <v>2</v>
      </c>
      <c r="G126" t="n">
        <v>2</v>
      </c>
      <c r="J126" t="inlineStr">
        <is>
          <t>Moda</t>
        </is>
      </c>
      <c r="K126" t="n">
        <v>2</v>
      </c>
      <c r="L126" t="n">
        <v>3.443</v>
      </c>
      <c r="M126" t="n">
        <v>1</v>
      </c>
      <c r="N126" t="inlineStr">
        <is>
          <t>test</t>
        </is>
      </c>
      <c r="O126">
        <f>HYPERLINK("2\0\marker_453_378375.png", "Ver Imagen")</f>
        <v/>
      </c>
      <c r="P126">
        <f>HYPERLINK("SE\A-497\A-497__288.png", "Ver Imagen")</f>
        <v/>
      </c>
    </row>
    <row r="127">
      <c r="A127" t="n">
        <v>831</v>
      </c>
      <c r="B127" t="inlineStr">
        <is>
          <t>A-497__283</t>
        </is>
      </c>
      <c r="C127" t="n">
        <v>37.2534438001</v>
      </c>
      <c r="D127" t="n">
        <v>-7.01568706283</v>
      </c>
      <c r="E127" t="n">
        <v>2</v>
      </c>
      <c r="F127" t="n">
        <v>2</v>
      </c>
      <c r="G127" t="n">
        <v>2</v>
      </c>
      <c r="J127" t="inlineStr">
        <is>
          <t>Moda</t>
        </is>
      </c>
      <c r="K127" t="n">
        <v>2</v>
      </c>
      <c r="L127" t="n">
        <v>2.925</v>
      </c>
      <c r="M127" t="n">
        <v>1</v>
      </c>
      <c r="N127" t="inlineStr">
        <is>
          <t>val</t>
        </is>
      </c>
      <c r="O127">
        <f>HYPERLINK("2\0\marker_525_378437.png", "Ver Imagen")</f>
        <v/>
      </c>
      <c r="P127">
        <f>HYPERLINK("SE\A-497\A-497__283.png", "Ver Imagen")</f>
        <v/>
      </c>
    </row>
    <row r="128">
      <c r="A128" t="n">
        <v>833</v>
      </c>
      <c r="B128" t="inlineStr">
        <is>
          <t>A-497__255</t>
        </is>
      </c>
      <c r="C128" t="n">
        <v>37.2585146544</v>
      </c>
      <c r="D128" t="n">
        <v>-7.0124553423</v>
      </c>
      <c r="E128" t="n">
        <v>2</v>
      </c>
      <c r="F128" t="n">
        <v>2</v>
      </c>
      <c r="G128" t="n">
        <v>2</v>
      </c>
      <c r="J128" t="inlineStr">
        <is>
          <t>Moda</t>
        </is>
      </c>
      <c r="K128" t="n">
        <v>2</v>
      </c>
      <c r="L128" t="n">
        <v>2.763</v>
      </c>
      <c r="M128" t="n">
        <v>1</v>
      </c>
      <c r="N128" t="inlineStr">
        <is>
          <t>train</t>
        </is>
      </c>
      <c r="O128">
        <f>HYPERLINK("2\0\marker_245_378732.png", "Ver Imagen")</f>
        <v/>
      </c>
      <c r="P128">
        <f>HYPERLINK("SE\A-497\A-497__255.png", "Ver Imagen")</f>
        <v/>
      </c>
    </row>
    <row r="129">
      <c r="A129" t="n">
        <v>839</v>
      </c>
      <c r="B129" t="inlineStr">
        <is>
          <t>A-492__59</t>
        </is>
      </c>
      <c r="C129" t="n">
        <v>37.2797631739</v>
      </c>
      <c r="D129" t="n">
        <v>-6.99779484912</v>
      </c>
      <c r="E129" t="n">
        <v>1</v>
      </c>
      <c r="F129" t="n">
        <v>2</v>
      </c>
      <c r="G129" t="n">
        <v>2</v>
      </c>
      <c r="J129" t="inlineStr">
        <is>
          <t>Moda</t>
        </is>
      </c>
      <c r="K129" t="n">
        <v>2</v>
      </c>
      <c r="L129" t="n">
        <v>2.528</v>
      </c>
      <c r="M129" t="n">
        <v>1</v>
      </c>
      <c r="N129" t="inlineStr">
        <is>
          <t>val</t>
        </is>
      </c>
      <c r="O129">
        <f>HYPERLINK("2\1\marker_375_823132.png", "Ver Imagen")</f>
        <v/>
      </c>
      <c r="P129">
        <f>HYPERLINK("SE\A-492\A-492__59.png", "Ver Imagen")</f>
        <v/>
      </c>
    </row>
    <row r="130">
      <c r="A130" t="n">
        <v>859</v>
      </c>
      <c r="B130" t="inlineStr">
        <is>
          <t>A-5052__7</t>
        </is>
      </c>
      <c r="C130" t="n">
        <v>37.2183706786</v>
      </c>
      <c r="D130" t="n">
        <v>-7.12419982039</v>
      </c>
      <c r="E130" t="n">
        <v>1</v>
      </c>
      <c r="F130" t="n">
        <v>2</v>
      </c>
      <c r="G130" t="n">
        <v>2</v>
      </c>
      <c r="J130" t="inlineStr">
        <is>
          <t>Moda</t>
        </is>
      </c>
      <c r="K130" t="n">
        <v>2</v>
      </c>
      <c r="L130" t="n">
        <v>2.634</v>
      </c>
      <c r="M130" t="n">
        <v>1</v>
      </c>
      <c r="N130" t="inlineStr">
        <is>
          <t>val</t>
        </is>
      </c>
      <c r="O130">
        <f>HYPERLINK("2\1\marker_294_949945.png", "Ver Imagen")</f>
        <v/>
      </c>
      <c r="P130">
        <f>HYPERLINK("SO\A-5052\A-5052__7.png", "Ver Imagen")</f>
        <v/>
      </c>
    </row>
    <row r="131">
      <c r="A131" t="n">
        <v>879</v>
      </c>
      <c r="B131" t="inlineStr">
        <is>
          <t>A-5052__88</t>
        </is>
      </c>
      <c r="C131" t="n">
        <v>37.2169706008</v>
      </c>
      <c r="D131" t="n">
        <v>-7.10396958365</v>
      </c>
      <c r="E131" t="n">
        <v>1</v>
      </c>
      <c r="F131" t="n">
        <v>2</v>
      </c>
      <c r="G131" t="n">
        <v>2</v>
      </c>
      <c r="J131" t="inlineStr">
        <is>
          <t>Moda</t>
        </is>
      </c>
      <c r="K131" t="n">
        <v>2</v>
      </c>
      <c r="L131" t="n">
        <v>1.473</v>
      </c>
      <c r="M131" t="n">
        <v>1</v>
      </c>
      <c r="N131" t="inlineStr">
        <is>
          <t>train</t>
        </is>
      </c>
      <c r="O131">
        <f>HYPERLINK("2\1\marker_681_957477.png", "Ver Imagen")</f>
        <v/>
      </c>
      <c r="P131">
        <f>HYPERLINK("SO\A-5052\A-5052__88.png", "Ver Imagen")</f>
        <v/>
      </c>
    </row>
    <row r="132">
      <c r="A132" t="n">
        <v>893</v>
      </c>
      <c r="B132" t="inlineStr">
        <is>
          <t>A-5052__141</t>
        </is>
      </c>
      <c r="C132" t="n">
        <v>37.2161809042</v>
      </c>
      <c r="D132" t="n">
        <v>-7.09064243117</v>
      </c>
      <c r="E132" t="n">
        <v>1</v>
      </c>
      <c r="F132" t="n">
        <v>2</v>
      </c>
      <c r="G132" t="n">
        <v>2</v>
      </c>
      <c r="J132" t="inlineStr">
        <is>
          <t>Moda</t>
        </is>
      </c>
      <c r="K132" t="n">
        <v>2</v>
      </c>
      <c r="L132" t="n">
        <v>1.488</v>
      </c>
      <c r="M132" t="n">
        <v>1</v>
      </c>
      <c r="N132" t="inlineStr">
        <is>
          <t>val</t>
        </is>
      </c>
      <c r="O132">
        <f>HYPERLINK("2\1\marker_317_958375.png", "Ver Imagen")</f>
        <v/>
      </c>
      <c r="P132">
        <f>HYPERLINK("SO\A-5052\A-5052__141.png", "Ver Imagen")</f>
        <v/>
      </c>
    </row>
    <row r="133">
      <c r="A133" t="n">
        <v>899</v>
      </c>
      <c r="B133" t="inlineStr">
        <is>
          <t>A-5052__151</t>
        </is>
      </c>
      <c r="C133" t="n">
        <v>37.2160274398</v>
      </c>
      <c r="D133" t="n">
        <v>-7.08810959432</v>
      </c>
      <c r="E133" t="n">
        <v>1</v>
      </c>
      <c r="F133" t="n">
        <v>2</v>
      </c>
      <c r="G133" t="n">
        <v>2</v>
      </c>
      <c r="J133" t="inlineStr">
        <is>
          <t>Moda</t>
        </is>
      </c>
      <c r="K133" t="n">
        <v>2</v>
      </c>
      <c r="L133" t="n">
        <v>2.526</v>
      </c>
      <c r="M133" t="n">
        <v>1</v>
      </c>
      <c r="N133" t="inlineStr">
        <is>
          <t>val</t>
        </is>
      </c>
      <c r="O133">
        <f>HYPERLINK("2\1\marker_534_958545.png", "Ver Imagen")</f>
        <v/>
      </c>
      <c r="P133">
        <f>HYPERLINK("SO\A-5052\A-5052__151.png", "Ver Imagen")</f>
        <v/>
      </c>
    </row>
    <row r="134">
      <c r="A134" t="n">
        <v>902</v>
      </c>
      <c r="B134" t="inlineStr">
        <is>
          <t>A-5052__160</t>
        </is>
      </c>
      <c r="C134" t="n">
        <v>37.2160786821</v>
      </c>
      <c r="D134" t="n">
        <v>-7.08586686797</v>
      </c>
      <c r="E134" t="n">
        <v>1</v>
      </c>
      <c r="F134" t="n">
        <v>2</v>
      </c>
      <c r="G134" t="n">
        <v>2</v>
      </c>
      <c r="J134" t="inlineStr">
        <is>
          <t>Moda</t>
        </is>
      </c>
      <c r="K134" t="n">
        <v>2</v>
      </c>
      <c r="L134" t="n">
        <v>1.426</v>
      </c>
      <c r="M134" t="n">
        <v>1</v>
      </c>
      <c r="N134" t="inlineStr">
        <is>
          <t>train</t>
        </is>
      </c>
      <c r="O134">
        <f>HYPERLINK("2\1\marker_619_958682.png", "Ver Imagen")</f>
        <v/>
      </c>
      <c r="P134">
        <f>HYPERLINK("SO\A-5052\A-5052__160.png", "Ver Imagen")</f>
        <v/>
      </c>
    </row>
    <row r="135">
      <c r="A135" t="n">
        <v>941</v>
      </c>
      <c r="B135" t="inlineStr">
        <is>
          <t>A-5053__366</t>
        </is>
      </c>
      <c r="C135" t="n">
        <v>37.2858201615</v>
      </c>
      <c r="D135" t="n">
        <v>-7.14203147535</v>
      </c>
      <c r="E135" t="n">
        <v>1</v>
      </c>
      <c r="F135" t="n">
        <v>2</v>
      </c>
      <c r="G135" t="n">
        <v>2</v>
      </c>
      <c r="J135" t="inlineStr">
        <is>
          <t>Moda</t>
        </is>
      </c>
      <c r="K135" t="n">
        <v>2</v>
      </c>
      <c r="L135" t="n">
        <v>1.44</v>
      </c>
      <c r="M135" t="n">
        <v>1</v>
      </c>
      <c r="N135" t="inlineStr">
        <is>
          <t>val</t>
        </is>
      </c>
      <c r="O135">
        <f>HYPERLINK("2\1\marker_608_963998.png", "Ver Imagen")</f>
        <v/>
      </c>
      <c r="P135">
        <f>HYPERLINK("SO\A-5053\A-5053__366.png", "Ver Imagen")</f>
        <v/>
      </c>
    </row>
    <row r="136">
      <c r="A136" t="n">
        <v>943</v>
      </c>
      <c r="B136" t="inlineStr">
        <is>
          <t>A-5053__358</t>
        </is>
      </c>
      <c r="C136" t="n">
        <v>37.2845727449</v>
      </c>
      <c r="D136" t="n">
        <v>-7.14310064653</v>
      </c>
      <c r="E136" t="n">
        <v>1</v>
      </c>
      <c r="F136" t="n">
        <v>2</v>
      </c>
      <c r="G136" t="n">
        <v>2</v>
      </c>
      <c r="J136" t="inlineStr">
        <is>
          <t>Moda</t>
        </is>
      </c>
      <c r="K136" t="n">
        <v>2</v>
      </c>
      <c r="L136" t="n">
        <v>2.534</v>
      </c>
      <c r="M136" t="n">
        <v>1</v>
      </c>
      <c r="N136" t="inlineStr">
        <is>
          <t>val</t>
        </is>
      </c>
      <c r="O136">
        <f>HYPERLINK("2\1\marker_704_964093.png", "Ver Imagen")</f>
        <v/>
      </c>
      <c r="P136">
        <f>HYPERLINK("SO\A-5053\A-5053__358.png", "Ver Imagen")</f>
        <v/>
      </c>
    </row>
    <row r="137">
      <c r="A137" t="n">
        <v>985</v>
      </c>
      <c r="B137" t="inlineStr">
        <is>
          <t>A-497__851</t>
        </is>
      </c>
      <c r="C137" t="n">
        <v>37.1999948089</v>
      </c>
      <c r="D137" t="n">
        <v>-6.98642509863</v>
      </c>
      <c r="E137" t="n">
        <v>1</v>
      </c>
      <c r="F137" t="n">
        <v>2</v>
      </c>
      <c r="G137" t="n">
        <v>2</v>
      </c>
      <c r="J137" t="inlineStr">
        <is>
          <t>Moda</t>
        </is>
      </c>
      <c r="K137" t="n">
        <v>2</v>
      </c>
      <c r="L137" t="n">
        <v>2.734</v>
      </c>
      <c r="M137" t="n">
        <v>1</v>
      </c>
      <c r="N137" t="inlineStr">
        <is>
          <t>test</t>
        </is>
      </c>
      <c r="O137">
        <f>HYPERLINK("2\1\marker_464_367427.png", "Ver Imagen")</f>
        <v/>
      </c>
      <c r="P137">
        <f>HYPERLINK("SE\A-497\A-497__851.png", "Ver Imagen")</f>
        <v/>
      </c>
    </row>
    <row r="138">
      <c r="A138" t="n">
        <v>989</v>
      </c>
      <c r="B138" t="inlineStr">
        <is>
          <t>A-497__847</t>
        </is>
      </c>
      <c r="C138" t="n">
        <v>37.1997469413</v>
      </c>
      <c r="D138" t="n">
        <v>-6.98542975837</v>
      </c>
      <c r="E138" t="n">
        <v>1</v>
      </c>
      <c r="F138" t="n">
        <v>2</v>
      </c>
      <c r="G138" t="n">
        <v>2</v>
      </c>
      <c r="J138" t="inlineStr">
        <is>
          <t>Moda</t>
        </is>
      </c>
      <c r="K138" t="n">
        <v>2</v>
      </c>
      <c r="L138" t="n">
        <v>2.521</v>
      </c>
      <c r="M138" t="n">
        <v>1</v>
      </c>
      <c r="N138" t="inlineStr">
        <is>
          <t>test</t>
        </is>
      </c>
      <c r="O138">
        <f>HYPERLINK("2\1\marker_517_367473.png", "Ver Imagen")</f>
        <v/>
      </c>
      <c r="P138">
        <f>HYPERLINK("SE\A-497\A-497__847.png", "Ver Imagen")</f>
        <v/>
      </c>
    </row>
    <row r="139">
      <c r="A139" t="n">
        <v>996</v>
      </c>
      <c r="B139" t="inlineStr">
        <is>
          <t>A-497_2C__9</t>
        </is>
      </c>
      <c r="C139" t="n">
        <v>37.2674080449</v>
      </c>
      <c r="D139" t="n">
        <v>-6.9592451206</v>
      </c>
      <c r="E139" t="n">
        <v>1</v>
      </c>
      <c r="F139" t="n">
        <v>2</v>
      </c>
      <c r="G139" t="n">
        <v>2</v>
      </c>
      <c r="J139" t="inlineStr">
        <is>
          <t>Moda</t>
        </is>
      </c>
      <c r="K139" t="n">
        <v>2</v>
      </c>
      <c r="L139" t="n">
        <v>2.574</v>
      </c>
      <c r="M139" t="n">
        <v>1</v>
      </c>
      <c r="N139" t="inlineStr">
        <is>
          <t>train</t>
        </is>
      </c>
      <c r="O139">
        <f>HYPERLINK("2\1\marker_268_653808.png", "Ver Imagen")</f>
        <v/>
      </c>
      <c r="P139">
        <f>HYPERLINK("SE\A-497_2C\A-497_2C__9.png", "Ver Imagen")</f>
        <v/>
      </c>
    </row>
    <row r="140">
      <c r="A140" t="n">
        <v>997</v>
      </c>
      <c r="B140" t="inlineStr">
        <is>
          <t>A-497_2C__12</t>
        </is>
      </c>
      <c r="C140" t="n">
        <v>37.2674967928</v>
      </c>
      <c r="D140" t="n">
        <v>-6.9600120463</v>
      </c>
      <c r="E140" t="n">
        <v>1</v>
      </c>
      <c r="F140" t="n">
        <v>2</v>
      </c>
      <c r="G140" t="n">
        <v>2</v>
      </c>
      <c r="J140" t="inlineStr">
        <is>
          <t>Moda</t>
        </is>
      </c>
      <c r="K140" t="n">
        <v>2</v>
      </c>
      <c r="L140" t="n">
        <v>2.675</v>
      </c>
      <c r="M140" t="n">
        <v>1</v>
      </c>
      <c r="N140" t="inlineStr">
        <is>
          <t>test</t>
        </is>
      </c>
      <c r="O140">
        <f>HYPERLINK("2\1\marker_434_654003.png", "Ver Imagen")</f>
        <v/>
      </c>
      <c r="P140">
        <f>HYPERLINK("SE\A-497_2C\A-497_2C__12.png", "Ver Imagen")</f>
        <v/>
      </c>
    </row>
    <row r="141">
      <c r="A141" t="n">
        <v>1024</v>
      </c>
      <c r="B141" t="inlineStr">
        <is>
          <t>A-497__492</t>
        </is>
      </c>
      <c r="C141" t="n">
        <v>37.2127792372</v>
      </c>
      <c r="D141" t="n">
        <v>-7.02378899664</v>
      </c>
      <c r="E141" t="n">
        <v>1</v>
      </c>
      <c r="F141" t="n">
        <v>2</v>
      </c>
      <c r="G141" t="n">
        <v>2</v>
      </c>
      <c r="J141" t="inlineStr">
        <is>
          <t>Moda</t>
        </is>
      </c>
      <c r="K141" t="n">
        <v>2</v>
      </c>
      <c r="L141" t="n">
        <v>2.891</v>
      </c>
      <c r="M141" t="n">
        <v>1</v>
      </c>
      <c r="N141" t="inlineStr">
        <is>
          <t>val</t>
        </is>
      </c>
      <c r="O141">
        <f>HYPERLINK("2\1\marker_157_376180.png", "Ver Imagen")</f>
        <v/>
      </c>
      <c r="P141">
        <f>HYPERLINK("SE\A-497\A-497__492.png", "Ver Imagen")</f>
        <v/>
      </c>
    </row>
    <row r="142">
      <c r="A142" t="n">
        <v>1032</v>
      </c>
      <c r="B142" t="inlineStr">
        <is>
          <t>A-497_2C__430</t>
        </is>
      </c>
      <c r="C142" t="n">
        <v>37.2243021283</v>
      </c>
      <c r="D142" t="n">
        <v>-7.02336867739</v>
      </c>
      <c r="E142" t="n">
        <v>1</v>
      </c>
      <c r="F142" t="n">
        <v>2</v>
      </c>
      <c r="G142" t="n">
        <v>2</v>
      </c>
      <c r="J142" t="inlineStr">
        <is>
          <t>Moda</t>
        </is>
      </c>
      <c r="K142" t="n">
        <v>2</v>
      </c>
      <c r="L142" t="n">
        <v>1.378</v>
      </c>
      <c r="M142" t="n">
        <v>1</v>
      </c>
      <c r="N142" t="inlineStr">
        <is>
          <t>train</t>
        </is>
      </c>
      <c r="O142">
        <f>HYPERLINK("2\1\marker_122_363207.png", "Ver Imagen")</f>
        <v/>
      </c>
      <c r="P142">
        <f>HYPERLINK("SE\A-497_2C\A-497_2C__430.png", "Ver Imagen")</f>
        <v/>
      </c>
    </row>
    <row r="143">
      <c r="A143" t="n">
        <v>1036</v>
      </c>
      <c r="B143" t="inlineStr">
        <is>
          <t>A-497__457</t>
        </is>
      </c>
      <c r="C143" t="n">
        <v>37.219800497</v>
      </c>
      <c r="D143" t="n">
        <v>-7.02277662705</v>
      </c>
      <c r="E143" t="n">
        <v>1</v>
      </c>
      <c r="F143" t="n">
        <v>2</v>
      </c>
      <c r="G143" t="n">
        <v>2</v>
      </c>
      <c r="J143" t="inlineStr">
        <is>
          <t>Moda</t>
        </is>
      </c>
      <c r="K143" t="n">
        <v>2</v>
      </c>
      <c r="L143" t="n">
        <v>2.726</v>
      </c>
      <c r="M143" t="n">
        <v>1</v>
      </c>
      <c r="N143" t="inlineStr">
        <is>
          <t>test</t>
        </is>
      </c>
      <c r="O143">
        <f>HYPERLINK("2\1\marker_942_376603.png", "Ver Imagen")</f>
        <v/>
      </c>
      <c r="P143">
        <f>HYPERLINK("SE\A-497\A-497__457.png", "Ver Imagen")</f>
        <v/>
      </c>
    </row>
    <row r="144">
      <c r="A144" t="n">
        <v>1037</v>
      </c>
      <c r="B144" t="inlineStr">
        <is>
          <t>A-497__455</t>
        </is>
      </c>
      <c r="C144" t="n">
        <v>37.2202013822</v>
      </c>
      <c r="D144" t="n">
        <v>-7.02280299637</v>
      </c>
      <c r="E144" t="n">
        <v>1</v>
      </c>
      <c r="F144" t="n">
        <v>2</v>
      </c>
      <c r="G144" t="n">
        <v>2</v>
      </c>
      <c r="J144" t="inlineStr">
        <is>
          <t>Moda</t>
        </is>
      </c>
      <c r="K144" t="n">
        <v>2</v>
      </c>
      <c r="L144" t="n">
        <v>2.547</v>
      </c>
      <c r="M144" t="n">
        <v>1</v>
      </c>
      <c r="N144" t="inlineStr">
        <is>
          <t>val</t>
        </is>
      </c>
      <c r="O144">
        <f>HYPERLINK("2\1\marker_879_376635.png", "Ver Imagen")</f>
        <v/>
      </c>
      <c r="P144">
        <f>HYPERLINK("SE\A-497\A-497__455.png", "Ver Imagen")</f>
        <v/>
      </c>
    </row>
    <row r="145">
      <c r="A145" t="n">
        <v>1038</v>
      </c>
      <c r="B145" t="inlineStr">
        <is>
          <t>A-497__454</t>
        </is>
      </c>
      <c r="C145" t="n">
        <v>37.2203934842</v>
      </c>
      <c r="D145" t="n">
        <v>-7.02281666715</v>
      </c>
      <c r="E145" t="n">
        <v>1</v>
      </c>
      <c r="F145" t="n">
        <v>2</v>
      </c>
      <c r="G145" t="n">
        <v>2</v>
      </c>
      <c r="J145" t="inlineStr">
        <is>
          <t>Moda</t>
        </is>
      </c>
      <c r="K145" t="n">
        <v>2</v>
      </c>
      <c r="L145" t="n">
        <v>2.587</v>
      </c>
      <c r="M145" t="n">
        <v>1</v>
      </c>
      <c r="N145" t="inlineStr">
        <is>
          <t>val</t>
        </is>
      </c>
      <c r="O145">
        <f>HYPERLINK("2\1\marker_159_376646.png", "Ver Imagen")</f>
        <v/>
      </c>
      <c r="P145">
        <f>HYPERLINK("SE\A-497\A-497__454.png", "Ver Imagen")</f>
        <v/>
      </c>
    </row>
    <row r="146">
      <c r="A146" t="n">
        <v>1041</v>
      </c>
      <c r="B146" t="inlineStr">
        <is>
          <t>A-497_2C__636</t>
        </is>
      </c>
      <c r="C146" t="n">
        <v>37.2013729772</v>
      </c>
      <c r="D146" t="n">
        <v>-6.99281963066</v>
      </c>
      <c r="E146" t="n">
        <v>1</v>
      </c>
      <c r="F146" t="n">
        <v>2</v>
      </c>
      <c r="G146" t="n">
        <v>2</v>
      </c>
      <c r="J146" t="inlineStr">
        <is>
          <t>Moda</t>
        </is>
      </c>
      <c r="K146" t="n">
        <v>2</v>
      </c>
      <c r="L146" t="n">
        <v>2.62</v>
      </c>
      <c r="M146" t="n">
        <v>1</v>
      </c>
      <c r="N146" t="inlineStr">
        <is>
          <t>val</t>
        </is>
      </c>
      <c r="O146">
        <f>HYPERLINK("2\1\marker_125_367140.png", "Ver Imagen")</f>
        <v/>
      </c>
      <c r="P146">
        <f>HYPERLINK("SE\A-497_2C\A-497_2C__636.png", "Ver Imagen")</f>
        <v/>
      </c>
    </row>
    <row r="147">
      <c r="A147" t="n">
        <v>1048</v>
      </c>
      <c r="B147" t="inlineStr">
        <is>
          <t>A-497__163</t>
        </is>
      </c>
      <c r="C147" t="n">
        <v>37.2662879901</v>
      </c>
      <c r="D147" t="n">
        <v>-6.99272355025</v>
      </c>
      <c r="E147" t="n">
        <v>2</v>
      </c>
      <c r="F147" t="n">
        <v>2</v>
      </c>
      <c r="G147" t="n">
        <v>1</v>
      </c>
      <c r="J147" t="inlineStr">
        <is>
          <t>Moda</t>
        </is>
      </c>
      <c r="K147" t="n">
        <v>2</v>
      </c>
      <c r="L147" t="n">
        <v>2.855</v>
      </c>
      <c r="M147" t="n">
        <v>1</v>
      </c>
      <c r="N147" t="inlineStr">
        <is>
          <t>val</t>
        </is>
      </c>
      <c r="O147">
        <f>HYPERLINK("2\1\marker_690_380222.png", "Ver Imagen")</f>
        <v/>
      </c>
      <c r="P147">
        <f>HYPERLINK("SE\A-497\A-497__163.png", "Ver Imagen")</f>
        <v/>
      </c>
    </row>
    <row r="148">
      <c r="A148" t="n">
        <v>1055</v>
      </c>
      <c r="B148" t="inlineStr">
        <is>
          <t>A-490__140</t>
        </is>
      </c>
      <c r="C148" t="n">
        <v>37.452350455</v>
      </c>
      <c r="D148" t="n">
        <v>-7.15993665849</v>
      </c>
      <c r="E148" t="n">
        <v>2</v>
      </c>
      <c r="F148" t="n">
        <v>3</v>
      </c>
      <c r="G148" t="n">
        <v>2</v>
      </c>
      <c r="J148" t="inlineStr">
        <is>
          <t>Moda</t>
        </is>
      </c>
      <c r="K148" t="n">
        <v>2</v>
      </c>
      <c r="L148" t="n">
        <v>2.961</v>
      </c>
      <c r="M148" t="n">
        <v>1</v>
      </c>
      <c r="N148" t="inlineStr">
        <is>
          <t>train</t>
        </is>
      </c>
      <c r="O148">
        <f>HYPERLINK("2\1\marker_176_740514.png", "Ver Imagen")</f>
        <v/>
      </c>
      <c r="P148">
        <f>HYPERLINK("NE\A-490\A-490__140.png", "Ver Imagen")</f>
        <v/>
      </c>
    </row>
    <row r="149">
      <c r="A149" t="n">
        <v>1056</v>
      </c>
      <c r="B149" t="inlineStr">
        <is>
          <t>A-490__141</t>
        </is>
      </c>
      <c r="C149" t="n">
        <v>37.45240823</v>
      </c>
      <c r="D149" t="n">
        <v>-7.16021393299</v>
      </c>
      <c r="E149" t="n">
        <v>2</v>
      </c>
      <c r="F149" t="n">
        <v>3</v>
      </c>
      <c r="G149" t="n">
        <v>2</v>
      </c>
      <c r="J149" t="inlineStr">
        <is>
          <t>Moda</t>
        </is>
      </c>
      <c r="K149" t="n">
        <v>2</v>
      </c>
      <c r="L149" t="n">
        <v>3.088</v>
      </c>
      <c r="M149" t="n">
        <v>1</v>
      </c>
      <c r="N149" t="inlineStr">
        <is>
          <t>val</t>
        </is>
      </c>
      <c r="O149">
        <f>HYPERLINK("2\1\marker_824_740530.png", "Ver Imagen")</f>
        <v/>
      </c>
      <c r="P149">
        <f>HYPERLINK("NE\A-490\A-490__141.png", "Ver Imagen")</f>
        <v/>
      </c>
    </row>
    <row r="150">
      <c r="A150" t="n">
        <v>1061</v>
      </c>
      <c r="B150" t="inlineStr">
        <is>
          <t>A-490__181</t>
        </is>
      </c>
      <c r="C150" t="n">
        <v>37.4571071562</v>
      </c>
      <c r="D150" t="n">
        <v>-7.1681713243</v>
      </c>
      <c r="E150" t="n">
        <v>2</v>
      </c>
      <c r="F150" t="n">
        <v>2</v>
      </c>
      <c r="G150" t="n">
        <v>3</v>
      </c>
      <c r="J150" t="inlineStr">
        <is>
          <t>Moda</t>
        </is>
      </c>
      <c r="K150" t="n">
        <v>2</v>
      </c>
      <c r="L150" t="n">
        <v>2.502</v>
      </c>
      <c r="M150" t="n">
        <v>1</v>
      </c>
      <c r="N150" t="inlineStr">
        <is>
          <t>test</t>
        </is>
      </c>
      <c r="O150">
        <f>HYPERLINK("2\1\marker_667_741823.png", "Ver Imagen")</f>
        <v/>
      </c>
      <c r="P150">
        <f>HYPERLINK("NE\A-490\A-490__181.png", "Ver Imagen")</f>
        <v/>
      </c>
    </row>
    <row r="151">
      <c r="A151" t="n">
        <v>1064</v>
      </c>
      <c r="B151" t="inlineStr">
        <is>
          <t>A-490__230</t>
        </is>
      </c>
      <c r="C151" t="n">
        <v>37.4635642139</v>
      </c>
      <c r="D151" t="n">
        <v>-7.17770508006</v>
      </c>
      <c r="E151" t="n">
        <v>2</v>
      </c>
      <c r="F151" t="n">
        <v>3</v>
      </c>
      <c r="G151" t="n">
        <v>2</v>
      </c>
      <c r="J151" t="inlineStr">
        <is>
          <t>Moda</t>
        </is>
      </c>
      <c r="K151" t="n">
        <v>2</v>
      </c>
      <c r="L151" t="n">
        <v>3.048</v>
      </c>
      <c r="M151" t="n">
        <v>1</v>
      </c>
      <c r="N151" t="inlineStr">
        <is>
          <t>val</t>
        </is>
      </c>
      <c r="O151">
        <f>HYPERLINK("2\1\marker_571_743836.png", "Ver Imagen")</f>
        <v/>
      </c>
      <c r="P151">
        <f>HYPERLINK("NE\A-490\A-490__230.png", "Ver Imagen")</f>
        <v/>
      </c>
    </row>
    <row r="152">
      <c r="A152" t="n">
        <v>1078</v>
      </c>
      <c r="B152" t="inlineStr">
        <is>
          <t>A-490__474</t>
        </is>
      </c>
      <c r="C152" t="n">
        <v>37.4853990663</v>
      </c>
      <c r="D152" t="n">
        <v>-7.23253355789</v>
      </c>
      <c r="E152" t="n">
        <v>1</v>
      </c>
      <c r="F152" t="n">
        <v>2</v>
      </c>
      <c r="G152" t="n">
        <v>2</v>
      </c>
      <c r="J152" t="inlineStr">
        <is>
          <t>Moda</t>
        </is>
      </c>
      <c r="K152" t="n">
        <v>2</v>
      </c>
      <c r="L152" t="n">
        <v>1.484</v>
      </c>
      <c r="M152" t="n">
        <v>1</v>
      </c>
      <c r="N152" t="inlineStr">
        <is>
          <t>val</t>
        </is>
      </c>
      <c r="O152">
        <f>HYPERLINK("2\1\marker_678_755469.png", "Ver Imagen")</f>
        <v/>
      </c>
      <c r="P152">
        <f>HYPERLINK("NO\A-490\A-490__474.png", "Ver Imagen")</f>
        <v/>
      </c>
    </row>
    <row r="153">
      <c r="A153" t="n">
        <v>1087</v>
      </c>
      <c r="B153" t="inlineStr">
        <is>
          <t>A-490__534</t>
        </is>
      </c>
      <c r="C153" t="n">
        <v>37.4886993661</v>
      </c>
      <c r="D153" t="n">
        <v>-7.24714521853</v>
      </c>
      <c r="E153" t="n">
        <v>1</v>
      </c>
      <c r="F153" t="n">
        <v>2</v>
      </c>
      <c r="G153" t="n">
        <v>2</v>
      </c>
      <c r="J153" t="inlineStr">
        <is>
          <t>Moda</t>
        </is>
      </c>
      <c r="K153" t="n">
        <v>2</v>
      </c>
      <c r="L153" t="n">
        <v>2.613</v>
      </c>
      <c r="M153" t="n">
        <v>1</v>
      </c>
      <c r="N153" t="inlineStr">
        <is>
          <t>test</t>
        </is>
      </c>
      <c r="O153">
        <f>HYPERLINK("2\1\marker_458_818259.png", "Ver Imagen")</f>
        <v/>
      </c>
      <c r="P153">
        <f>HYPERLINK("NO\A-490\A-490__534.png", "Ver Imagen")</f>
        <v/>
      </c>
    </row>
    <row r="154">
      <c r="A154" t="n">
        <v>1099</v>
      </c>
      <c r="B154" t="inlineStr">
        <is>
          <t>A-492__120</t>
        </is>
      </c>
      <c r="C154" t="n">
        <v>37.2774943573</v>
      </c>
      <c r="D154" t="n">
        <v>-7.01164909189</v>
      </c>
      <c r="E154" t="n">
        <v>2</v>
      </c>
      <c r="F154" t="n">
        <v>2</v>
      </c>
      <c r="G154" t="n">
        <v>3</v>
      </c>
      <c r="J154" t="inlineStr">
        <is>
          <t>Moda</t>
        </is>
      </c>
      <c r="K154" t="n">
        <v>2</v>
      </c>
      <c r="L154" t="n">
        <v>3.258</v>
      </c>
      <c r="M154" t="n">
        <v>1</v>
      </c>
      <c r="N154" t="inlineStr">
        <is>
          <t>val</t>
        </is>
      </c>
      <c r="O154">
        <f>HYPERLINK("2\1\marker_283_824423.png", "Ver Imagen")</f>
        <v/>
      </c>
      <c r="P154">
        <f>HYPERLINK("SE\A-492\A-492__120.png", "Ver Imagen")</f>
        <v/>
      </c>
    </row>
    <row r="155">
      <c r="A155" t="n">
        <v>1124</v>
      </c>
      <c r="B155" t="inlineStr">
        <is>
          <t>A-492__211</t>
        </is>
      </c>
      <c r="C155" t="n">
        <v>37.2803387939</v>
      </c>
      <c r="D155" t="n">
        <v>-7.03155440956</v>
      </c>
      <c r="E155" t="n">
        <v>1</v>
      </c>
      <c r="F155" t="n">
        <v>2</v>
      </c>
      <c r="G155" t="n">
        <v>2</v>
      </c>
      <c r="J155" t="inlineStr">
        <is>
          <t>Moda</t>
        </is>
      </c>
      <c r="K155" t="n">
        <v>2</v>
      </c>
      <c r="L155" t="n">
        <v>2.502</v>
      </c>
      <c r="M155" t="n">
        <v>1</v>
      </c>
      <c r="N155" t="inlineStr">
        <is>
          <t>val</t>
        </is>
      </c>
      <c r="O155">
        <f>HYPERLINK("2\1\marker_468_832634.png", "Ver Imagen")</f>
        <v/>
      </c>
      <c r="P155">
        <f>HYPERLINK("SE\A-492\A-492__211.png", "Ver Imagen")</f>
        <v/>
      </c>
    </row>
    <row r="156">
      <c r="A156" t="n">
        <v>1145</v>
      </c>
      <c r="B156" t="inlineStr">
        <is>
          <t>A-492__277</t>
        </is>
      </c>
      <c r="C156" t="n">
        <v>37.2885491724</v>
      </c>
      <c r="D156" t="n">
        <v>-7.04286844889</v>
      </c>
      <c r="E156" t="n">
        <v>2</v>
      </c>
      <c r="F156" t="n">
        <v>2</v>
      </c>
      <c r="G156" t="n">
        <v>3</v>
      </c>
      <c r="J156" t="inlineStr">
        <is>
          <t>Moda</t>
        </is>
      </c>
      <c r="K156" t="n">
        <v>2</v>
      </c>
      <c r="L156" t="n">
        <v>1.198</v>
      </c>
      <c r="M156" t="n">
        <v>1</v>
      </c>
      <c r="N156" t="inlineStr">
        <is>
          <t>train</t>
        </is>
      </c>
      <c r="O156">
        <f>HYPERLINK("2\1\marker_471_836878.png", "Ver Imagen")</f>
        <v/>
      </c>
      <c r="P156">
        <f>HYPERLINK("SE\A-492\A-492__277.png", "Ver Imagen")</f>
        <v/>
      </c>
    </row>
    <row r="157">
      <c r="A157" t="n">
        <v>1166</v>
      </c>
      <c r="B157" t="inlineStr">
        <is>
          <t>A-492__367</t>
        </is>
      </c>
      <c r="C157" t="n">
        <v>37.3022893226</v>
      </c>
      <c r="D157" t="n">
        <v>-7.05651773835</v>
      </c>
      <c r="E157" t="n">
        <v>2</v>
      </c>
      <c r="F157" t="n">
        <v>1</v>
      </c>
      <c r="G157" t="n">
        <v>2</v>
      </c>
      <c r="J157" t="inlineStr">
        <is>
          <t>Moda</t>
        </is>
      </c>
      <c r="K157" t="n">
        <v>2</v>
      </c>
      <c r="L157" t="n">
        <v>1.441</v>
      </c>
      <c r="M157" t="n">
        <v>1</v>
      </c>
      <c r="N157" t="inlineStr">
        <is>
          <t>val</t>
        </is>
      </c>
      <c r="O157">
        <f>HYPERLINK("2\1\marker_642_838727.png", "Ver Imagen")</f>
        <v/>
      </c>
      <c r="P157">
        <f>HYPERLINK("SE\A-492\A-492__367.png", "Ver Imagen")</f>
        <v/>
      </c>
    </row>
    <row r="158">
      <c r="A158" t="n">
        <v>1193</v>
      </c>
      <c r="B158" t="inlineStr">
        <is>
          <t>A-492__436</t>
        </is>
      </c>
      <c r="C158" t="n">
        <v>37.3140301329</v>
      </c>
      <c r="D158" t="n">
        <v>-7.06365097034</v>
      </c>
      <c r="E158" t="n">
        <v>2</v>
      </c>
      <c r="F158" t="n">
        <v>1</v>
      </c>
      <c r="G158" t="n">
        <v>2</v>
      </c>
      <c r="J158" t="inlineStr">
        <is>
          <t>Moda</t>
        </is>
      </c>
      <c r="K158" t="n">
        <v>2</v>
      </c>
      <c r="L158" t="n">
        <v>1.44</v>
      </c>
      <c r="M158" t="n">
        <v>1</v>
      </c>
      <c r="N158" t="inlineStr">
        <is>
          <t>val</t>
        </is>
      </c>
      <c r="O158">
        <f>HYPERLINK("2\1\marker_704_839603.png", "Ver Imagen")</f>
        <v/>
      </c>
      <c r="P158">
        <f>HYPERLINK("SE\A-492\A-492__436.png", "Ver Imagen")</f>
        <v/>
      </c>
    </row>
    <row r="159">
      <c r="A159" t="n">
        <v>1195</v>
      </c>
      <c r="B159" t="inlineStr">
        <is>
          <t>A-492__442</t>
        </is>
      </c>
      <c r="C159" t="n">
        <v>37.3147206284</v>
      </c>
      <c r="D159" t="n">
        <v>-7.06493637801</v>
      </c>
      <c r="E159" t="n">
        <v>1</v>
      </c>
      <c r="F159" t="n">
        <v>2</v>
      </c>
      <c r="G159" t="n">
        <v>2</v>
      </c>
      <c r="J159" t="inlineStr">
        <is>
          <t>Moda</t>
        </is>
      </c>
      <c r="K159" t="n">
        <v>2</v>
      </c>
      <c r="L159" t="n">
        <v>1.431</v>
      </c>
      <c r="M159" t="n">
        <v>1</v>
      </c>
      <c r="N159" t="inlineStr">
        <is>
          <t>val</t>
        </is>
      </c>
      <c r="O159">
        <f>HYPERLINK("2\1\marker_237_839722.png", "Ver Imagen")</f>
        <v/>
      </c>
      <c r="P159">
        <f>HYPERLINK("SE\A-492\A-492__442.png", "Ver Imagen")</f>
        <v/>
      </c>
    </row>
    <row r="160">
      <c r="A160" t="n">
        <v>1202</v>
      </c>
      <c r="B160" t="inlineStr">
        <is>
          <t>A-497__71</t>
        </is>
      </c>
      <c r="C160" t="n">
        <v>37.2684768109</v>
      </c>
      <c r="D160" t="n">
        <v>-6.97357433241</v>
      </c>
      <c r="E160" t="n">
        <v>2</v>
      </c>
      <c r="F160" t="n">
        <v>3</v>
      </c>
      <c r="G160" t="n">
        <v>2</v>
      </c>
      <c r="J160" t="inlineStr">
        <is>
          <t>Moda</t>
        </is>
      </c>
      <c r="K160" t="n">
        <v>2</v>
      </c>
      <c r="L160" t="n">
        <v>3.104</v>
      </c>
      <c r="M160" t="n">
        <v>1</v>
      </c>
      <c r="N160" t="inlineStr">
        <is>
          <t>test</t>
        </is>
      </c>
      <c r="O160">
        <f>HYPERLINK("2\1\marker_661_938033.png", "Ver Imagen")</f>
        <v/>
      </c>
      <c r="P160">
        <f>HYPERLINK("SE\A-497\A-497__71.png", "Ver Imagen")</f>
        <v/>
      </c>
    </row>
    <row r="161">
      <c r="A161" t="n">
        <v>1212</v>
      </c>
      <c r="B161" t="inlineStr">
        <is>
          <t>A-5050__131</t>
        </is>
      </c>
      <c r="C161" t="n">
        <v>37.1948742064</v>
      </c>
      <c r="D161" t="n">
        <v>-6.99983471005</v>
      </c>
      <c r="E161" t="n">
        <v>2</v>
      </c>
      <c r="F161" t="n">
        <v>3</v>
      </c>
      <c r="G161" t="n">
        <v>2</v>
      </c>
      <c r="J161" t="inlineStr">
        <is>
          <t>Moda</t>
        </is>
      </c>
      <c r="K161" t="n">
        <v>2</v>
      </c>
      <c r="L161" t="n">
        <v>3.471</v>
      </c>
      <c r="M161" t="n">
        <v>1</v>
      </c>
      <c r="N161" t="inlineStr">
        <is>
          <t>test</t>
        </is>
      </c>
      <c r="O161">
        <f>HYPERLINK("2\1\marker_646_945935.png", "Ver Imagen")</f>
        <v/>
      </c>
      <c r="P161">
        <f>HYPERLINK("SE\A-5050\A-5050__131.png", "Ver Imagen")</f>
        <v/>
      </c>
    </row>
    <row r="162">
      <c r="A162" t="n">
        <v>1215</v>
      </c>
      <c r="B162" t="inlineStr">
        <is>
          <t>A-5050__56</t>
        </is>
      </c>
      <c r="C162" t="n">
        <v>37.2031975856</v>
      </c>
      <c r="D162" t="n">
        <v>-7.01565252207</v>
      </c>
      <c r="E162" t="n">
        <v>2</v>
      </c>
      <c r="F162" t="n">
        <v>3</v>
      </c>
      <c r="G162" t="n">
        <v>2</v>
      </c>
      <c r="J162" t="inlineStr">
        <is>
          <t>Moda</t>
        </is>
      </c>
      <c r="K162" t="n">
        <v>2</v>
      </c>
      <c r="L162" t="n">
        <v>2.987</v>
      </c>
      <c r="M162" t="n">
        <v>1</v>
      </c>
      <c r="N162" t="inlineStr">
        <is>
          <t>test</t>
        </is>
      </c>
      <c r="O162">
        <f>HYPERLINK("2\1\marker_686_949100.png", "Ver Imagen")</f>
        <v/>
      </c>
      <c r="P162">
        <f>HYPERLINK("SE\A-5050\A-5050__56.png", "Ver Imagen")</f>
        <v/>
      </c>
    </row>
    <row r="163">
      <c r="A163" t="n">
        <v>1219</v>
      </c>
      <c r="B163" t="inlineStr">
        <is>
          <t>A-5050__31</t>
        </is>
      </c>
      <c r="C163" t="n">
        <v>37.2063211579</v>
      </c>
      <c r="D163" t="n">
        <v>-7.02061451411</v>
      </c>
      <c r="E163" t="n">
        <v>2</v>
      </c>
      <c r="F163" t="n">
        <v>3</v>
      </c>
      <c r="G163" t="n">
        <v>2</v>
      </c>
      <c r="J163" t="inlineStr">
        <is>
          <t>Moda</t>
        </is>
      </c>
      <c r="K163" t="n">
        <v>2</v>
      </c>
      <c r="L163" t="n">
        <v>3.146</v>
      </c>
      <c r="M163" t="n">
        <v>1</v>
      </c>
      <c r="N163" t="inlineStr">
        <is>
          <t>val</t>
        </is>
      </c>
      <c r="O163">
        <f>HYPERLINK("2\1\marker_980_949350.png", "Ver Imagen")</f>
        <v/>
      </c>
      <c r="P163">
        <f>HYPERLINK("SE\A-5050\A-5050__31.png", "Ver Imagen")</f>
        <v/>
      </c>
    </row>
    <row r="164">
      <c r="A164" t="n">
        <v>1237</v>
      </c>
      <c r="B164" t="inlineStr">
        <is>
          <t>A-5052__94</t>
        </is>
      </c>
      <c r="C164" t="n">
        <v>37.2168396331</v>
      </c>
      <c r="D164" t="n">
        <v>-7.10244936019</v>
      </c>
      <c r="E164" t="n">
        <v>2</v>
      </c>
      <c r="F164" t="n">
        <v>2</v>
      </c>
      <c r="G164" t="n">
        <v>3</v>
      </c>
      <c r="J164" t="inlineStr">
        <is>
          <t>Moda</t>
        </is>
      </c>
      <c r="K164" t="n">
        <v>2</v>
      </c>
      <c r="L164" t="n">
        <v>2.567</v>
      </c>
      <c r="M164" t="n">
        <v>1</v>
      </c>
      <c r="N164" t="inlineStr">
        <is>
          <t>val</t>
        </is>
      </c>
      <c r="O164">
        <f>HYPERLINK("2\1\marker_491_957555.png", "Ver Imagen")</f>
        <v/>
      </c>
      <c r="P164">
        <f>HYPERLINK("SE\A-5052\A-5052__94.png", "Ver Imagen")</f>
        <v/>
      </c>
    </row>
    <row r="165">
      <c r="A165" t="n">
        <v>1247</v>
      </c>
      <c r="B165" t="inlineStr">
        <is>
          <t>A-5052__140</t>
        </is>
      </c>
      <c r="C165" t="n">
        <v>37.2162170367</v>
      </c>
      <c r="D165" t="n">
        <v>-7.09089442645</v>
      </c>
      <c r="E165" t="n">
        <v>1</v>
      </c>
      <c r="F165" t="n">
        <v>2</v>
      </c>
      <c r="G165" t="n">
        <v>2</v>
      </c>
      <c r="J165" t="inlineStr">
        <is>
          <t>Moda</t>
        </is>
      </c>
      <c r="K165" t="n">
        <v>2</v>
      </c>
      <c r="L165" t="n">
        <v>1.378</v>
      </c>
      <c r="M165" t="n">
        <v>1</v>
      </c>
      <c r="N165" t="inlineStr">
        <is>
          <t>val</t>
        </is>
      </c>
      <c r="O165">
        <f>HYPERLINK("2\1\marker_623_958364.png", "Ver Imagen")</f>
        <v/>
      </c>
      <c r="P165">
        <f>HYPERLINK("SO\A-5052\A-5052__140.png", "Ver Imagen")</f>
        <v/>
      </c>
    </row>
    <row r="166">
      <c r="A166" t="n">
        <v>1249</v>
      </c>
      <c r="B166" t="inlineStr">
        <is>
          <t>A-5052__144</t>
        </is>
      </c>
      <c r="C166" t="n">
        <v>37.2161043409</v>
      </c>
      <c r="D166" t="n">
        <v>-7.08990385264</v>
      </c>
      <c r="E166" t="n">
        <v>2</v>
      </c>
      <c r="F166" t="n">
        <v>2</v>
      </c>
      <c r="G166" t="n">
        <v>3</v>
      </c>
      <c r="J166" t="inlineStr">
        <is>
          <t>Moda</t>
        </is>
      </c>
      <c r="K166" t="n">
        <v>2</v>
      </c>
      <c r="L166" t="n">
        <v>3.08</v>
      </c>
      <c r="M166" t="n">
        <v>1</v>
      </c>
      <c r="N166" t="inlineStr">
        <is>
          <t>test</t>
        </is>
      </c>
      <c r="O166">
        <f>HYPERLINK("2\1\marker_445_958407.png", "Ver Imagen")</f>
        <v/>
      </c>
      <c r="P166">
        <f>HYPERLINK("SE\A-5052\A-5052__144.png", "Ver Imagen")</f>
        <v/>
      </c>
    </row>
    <row r="167">
      <c r="A167" t="n">
        <v>1282</v>
      </c>
      <c r="B167" t="inlineStr">
        <is>
          <t>A-5052__367</t>
        </is>
      </c>
      <c r="C167" t="n">
        <v>37.2077476002</v>
      </c>
      <c r="D167" t="n">
        <v>-7.03587145838</v>
      </c>
      <c r="E167" t="n">
        <v>2</v>
      </c>
      <c r="F167" t="n">
        <v>3</v>
      </c>
      <c r="G167" t="n">
        <v>2</v>
      </c>
      <c r="J167" t="inlineStr">
        <is>
          <t>Moda</t>
        </is>
      </c>
      <c r="K167" t="n">
        <v>2</v>
      </c>
      <c r="L167" t="n">
        <v>3.062</v>
      </c>
      <c r="M167" t="n">
        <v>1</v>
      </c>
      <c r="N167" t="inlineStr">
        <is>
          <t>val</t>
        </is>
      </c>
      <c r="O167">
        <f>HYPERLINK("2\1\marker_281_962259.png", "Ver Imagen")</f>
        <v/>
      </c>
      <c r="P167">
        <f>HYPERLINK("SE\A-5052\A-5052__367.png", "Ver Imagen")</f>
        <v/>
      </c>
    </row>
    <row r="168">
      <c r="A168" t="n">
        <v>1288</v>
      </c>
      <c r="B168" t="inlineStr">
        <is>
          <t>A-5052__379</t>
        </is>
      </c>
      <c r="C168" t="n">
        <v>37.2066890341</v>
      </c>
      <c r="D168" t="n">
        <v>-7.03312943229</v>
      </c>
      <c r="E168" t="n">
        <v>2</v>
      </c>
      <c r="F168" t="n">
        <v>3</v>
      </c>
      <c r="G168" t="n">
        <v>2</v>
      </c>
      <c r="J168" t="inlineStr">
        <is>
          <t>Moda</t>
        </is>
      </c>
      <c r="K168" t="n">
        <v>2</v>
      </c>
      <c r="L168" t="n">
        <v>2.985</v>
      </c>
      <c r="M168" t="n">
        <v>1</v>
      </c>
      <c r="N168" t="inlineStr">
        <is>
          <t>test</t>
        </is>
      </c>
      <c r="O168">
        <f>HYPERLINK("2\1\marker_112_962464.png", "Ver Imagen")</f>
        <v/>
      </c>
      <c r="P168">
        <f>HYPERLINK("SE\A-5052\A-5052__379.png", "Ver Imagen")</f>
        <v/>
      </c>
    </row>
    <row r="169">
      <c r="A169" t="n">
        <v>1289</v>
      </c>
      <c r="B169" t="inlineStr">
        <is>
          <t>A-5052__383</t>
        </is>
      </c>
      <c r="C169" t="n">
        <v>37.2063365485</v>
      </c>
      <c r="D169" t="n">
        <v>-7.03221849713</v>
      </c>
      <c r="E169" t="n">
        <v>2</v>
      </c>
      <c r="F169" t="n">
        <v>3</v>
      </c>
      <c r="G169" t="n">
        <v>2</v>
      </c>
      <c r="J169" t="inlineStr">
        <is>
          <t>Moda</t>
        </is>
      </c>
      <c r="K169" t="n">
        <v>2</v>
      </c>
      <c r="L169" t="n">
        <v>3.424</v>
      </c>
      <c r="M169" t="n">
        <v>1</v>
      </c>
      <c r="N169" t="inlineStr">
        <is>
          <t>test</t>
        </is>
      </c>
      <c r="O169">
        <f>HYPERLINK("2\1\marker_281_962510.png", "Ver Imagen")</f>
        <v/>
      </c>
      <c r="P169">
        <f>HYPERLINK("SE\A-5052\A-5052__383.png", "Ver Imagen")</f>
        <v/>
      </c>
    </row>
    <row r="170">
      <c r="A170" t="n">
        <v>1294</v>
      </c>
      <c r="B170" t="inlineStr">
        <is>
          <t>A-5052__440</t>
        </is>
      </c>
      <c r="C170" t="n">
        <v>37.2013681248</v>
      </c>
      <c r="D170" t="n">
        <v>-7.01924912216</v>
      </c>
      <c r="E170" t="n">
        <v>2</v>
      </c>
      <c r="F170" t="n">
        <v>3</v>
      </c>
      <c r="G170" t="n">
        <v>2</v>
      </c>
      <c r="J170" t="inlineStr">
        <is>
          <t>Moda</t>
        </is>
      </c>
      <c r="K170" t="n">
        <v>2</v>
      </c>
      <c r="L170" t="n">
        <v>2.633</v>
      </c>
      <c r="M170" t="n">
        <v>1</v>
      </c>
      <c r="N170" t="inlineStr">
        <is>
          <t>train</t>
        </is>
      </c>
      <c r="O170">
        <f>HYPERLINK("2\1\marker_342_963076.png", "Ver Imagen")</f>
        <v/>
      </c>
      <c r="P170">
        <f>HYPERLINK("SE\A-5052\A-5052__440.png", "Ver Imagen")</f>
        <v/>
      </c>
    </row>
    <row r="171">
      <c r="A171" t="n">
        <v>1306</v>
      </c>
      <c r="B171" t="inlineStr">
        <is>
          <t>A-5053__377</t>
        </is>
      </c>
      <c r="C171" t="n">
        <v>37.2878161918</v>
      </c>
      <c r="D171" t="n">
        <v>-7.14135308805</v>
      </c>
      <c r="E171" t="n">
        <v>1</v>
      </c>
      <c r="F171" t="n">
        <v>2</v>
      </c>
      <c r="G171" t="n">
        <v>2</v>
      </c>
      <c r="J171" t="inlineStr">
        <is>
          <t>Moda</t>
        </is>
      </c>
      <c r="K171" t="n">
        <v>2</v>
      </c>
      <c r="L171" t="n">
        <v>2.852</v>
      </c>
      <c r="M171" t="n">
        <v>1</v>
      </c>
      <c r="N171" t="inlineStr">
        <is>
          <t>test</t>
        </is>
      </c>
      <c r="O171">
        <f>HYPERLINK("2\1\marker_387_963888.png", "Ver Imagen")</f>
        <v/>
      </c>
      <c r="P171">
        <f>HYPERLINK("SO\A-5053\A-5053__377.png", "Ver Imagen")</f>
        <v/>
      </c>
    </row>
    <row r="172">
      <c r="A172" t="n">
        <v>1335</v>
      </c>
      <c r="B172" t="inlineStr">
        <is>
          <t>A-5053__80</t>
        </is>
      </c>
      <c r="C172" t="n">
        <v>37.2346304049</v>
      </c>
      <c r="D172" t="n">
        <v>-7.12780158773</v>
      </c>
      <c r="E172" t="n">
        <v>2</v>
      </c>
      <c r="F172" t="n">
        <v>2</v>
      </c>
      <c r="G172" t="n">
        <v>3</v>
      </c>
      <c r="J172" t="inlineStr">
        <is>
          <t>Moda</t>
        </is>
      </c>
      <c r="K172" t="n">
        <v>2</v>
      </c>
      <c r="L172" t="n">
        <v>2.634</v>
      </c>
      <c r="M172" t="n">
        <v>1</v>
      </c>
      <c r="N172" t="inlineStr">
        <is>
          <t>test</t>
        </is>
      </c>
      <c r="O172">
        <f>HYPERLINK("2\1\marker_156_020011.png", "Ver Imagen")</f>
        <v/>
      </c>
      <c r="P172">
        <f>HYPERLINK("SO\A-5053\A-5053__80.png", "Ver Imagen")</f>
        <v/>
      </c>
    </row>
    <row r="173">
      <c r="A173" t="n">
        <v>1338</v>
      </c>
      <c r="B173" t="inlineStr">
        <is>
          <t>A-5053__37</t>
        </is>
      </c>
      <c r="C173" t="n">
        <v>37.2260981942</v>
      </c>
      <c r="D173" t="n">
        <v>-7.12611014783</v>
      </c>
      <c r="E173" t="n">
        <v>2</v>
      </c>
      <c r="F173" t="n">
        <v>3</v>
      </c>
      <c r="G173" t="n">
        <v>2</v>
      </c>
      <c r="J173" t="inlineStr">
        <is>
          <t>Moda</t>
        </is>
      </c>
      <c r="K173" t="n">
        <v>2</v>
      </c>
      <c r="L173" t="n">
        <v>2.735</v>
      </c>
      <c r="M173" t="n">
        <v>1</v>
      </c>
      <c r="N173" t="inlineStr">
        <is>
          <t>val</t>
        </is>
      </c>
      <c r="O173">
        <f>HYPERLINK("2\1\marker_138_021743.png", "Ver Imagen")</f>
        <v/>
      </c>
      <c r="P173">
        <f>HYPERLINK("SO\A-5053\A-5053__37.png", "Ver Imagen")</f>
        <v/>
      </c>
    </row>
    <row r="174">
      <c r="A174" t="n">
        <v>1363</v>
      </c>
      <c r="B174" t="inlineStr">
        <is>
          <t>A-495__132</t>
        </is>
      </c>
      <c r="C174" t="n">
        <v>37.4350304117</v>
      </c>
      <c r="D174" t="n">
        <v>-7.07002983722</v>
      </c>
      <c r="E174" t="n">
        <v>2</v>
      </c>
      <c r="F174" t="n">
        <v>2</v>
      </c>
      <c r="G174" t="n">
        <v>1</v>
      </c>
      <c r="J174" t="inlineStr">
        <is>
          <t>Moda</t>
        </is>
      </c>
      <c r="K174" t="n">
        <v>2</v>
      </c>
      <c r="L174" t="n">
        <v>1.409</v>
      </c>
      <c r="M174" t="n">
        <v>1</v>
      </c>
      <c r="N174" t="inlineStr">
        <is>
          <t>train</t>
        </is>
      </c>
      <c r="O174">
        <f>HYPERLINK("2\1\marker_764_382496.png", "Ver Imagen")</f>
        <v/>
      </c>
      <c r="P174">
        <f>HYPERLINK("NE\A-495\A-495__132.png", "Ver Imagen")</f>
        <v/>
      </c>
    </row>
    <row r="175">
      <c r="A175" t="n">
        <v>1366</v>
      </c>
      <c r="B175" t="inlineStr">
        <is>
          <t>A-5059__42</t>
        </is>
      </c>
      <c r="C175" t="n">
        <v>37.2269458972</v>
      </c>
      <c r="D175" t="n">
        <v>-7.06067995811</v>
      </c>
      <c r="E175" t="n">
        <v>3</v>
      </c>
      <c r="F175" t="n">
        <v>2</v>
      </c>
      <c r="G175" t="n">
        <v>2</v>
      </c>
      <c r="J175" t="inlineStr">
        <is>
          <t>Moda</t>
        </is>
      </c>
      <c r="K175" t="n">
        <v>2</v>
      </c>
      <c r="L175" t="n">
        <v>2.54</v>
      </c>
      <c r="M175" t="n">
        <v>1</v>
      </c>
      <c r="N175" t="inlineStr">
        <is>
          <t>val</t>
        </is>
      </c>
      <c r="O175">
        <f>HYPERLINK("2\1\marker_134_379276.png", "Ver Imagen")</f>
        <v/>
      </c>
      <c r="P175">
        <f>HYPERLINK("SE\A-5059\A-5059__42.png", "Ver Imagen")</f>
        <v/>
      </c>
    </row>
    <row r="176">
      <c r="A176" t="n">
        <v>1370</v>
      </c>
      <c r="B176" t="inlineStr">
        <is>
          <t>A-5059__34</t>
        </is>
      </c>
      <c r="C176" t="n">
        <v>37.2283523361</v>
      </c>
      <c r="D176" t="n">
        <v>-7.0616245992</v>
      </c>
      <c r="E176" t="n">
        <v>2</v>
      </c>
      <c r="F176" t="n">
        <v>3</v>
      </c>
      <c r="G176" t="n">
        <v>2</v>
      </c>
      <c r="J176" t="inlineStr">
        <is>
          <t>Moda</t>
        </is>
      </c>
      <c r="K176" t="n">
        <v>2</v>
      </c>
      <c r="L176" t="n">
        <v>2.944</v>
      </c>
      <c r="M176" t="n">
        <v>1</v>
      </c>
      <c r="N176" t="inlineStr">
        <is>
          <t>val</t>
        </is>
      </c>
      <c r="O176">
        <f>HYPERLINK("2\1\marker_834_379368.png", "Ver Imagen")</f>
        <v/>
      </c>
      <c r="P176">
        <f>HYPERLINK("SE\A-5059\A-5059__34.png", "Ver Imagen")</f>
        <v/>
      </c>
    </row>
    <row r="177">
      <c r="A177" t="n">
        <v>1384</v>
      </c>
      <c r="B177" t="inlineStr">
        <is>
          <t>A-5058__22</t>
        </is>
      </c>
      <c r="C177" t="n">
        <v>37.225104674</v>
      </c>
      <c r="D177" t="n">
        <v>-7.03279515955</v>
      </c>
      <c r="E177" t="n">
        <v>2</v>
      </c>
      <c r="F177" t="n">
        <v>3</v>
      </c>
      <c r="G177" t="n">
        <v>2</v>
      </c>
      <c r="J177" t="inlineStr">
        <is>
          <t>Moda</t>
        </is>
      </c>
      <c r="K177" t="n">
        <v>2</v>
      </c>
      <c r="L177" t="n">
        <v>2.735</v>
      </c>
      <c r="M177" t="n">
        <v>1</v>
      </c>
      <c r="N177" t="inlineStr">
        <is>
          <t>test</t>
        </is>
      </c>
      <c r="O177">
        <f>HYPERLINK("2\1\marker_810_380096.png", "Ver Imagen")</f>
        <v/>
      </c>
      <c r="P177">
        <f>HYPERLINK("SE\A-5058\A-5058__22.png", "Ver Imagen")</f>
        <v/>
      </c>
    </row>
    <row r="178">
      <c r="A178" t="n">
        <v>1386</v>
      </c>
      <c r="B178" t="inlineStr">
        <is>
          <t>A-495__166</t>
        </is>
      </c>
      <c r="C178" t="n">
        <v>37.4318020921</v>
      </c>
      <c r="D178" t="n">
        <v>-7.06242465546</v>
      </c>
      <c r="E178" t="n">
        <v>2</v>
      </c>
      <c r="F178" t="n">
        <v>3</v>
      </c>
      <c r="G178" t="n">
        <v>2</v>
      </c>
      <c r="J178" t="inlineStr">
        <is>
          <t>Moda</t>
        </is>
      </c>
      <c r="K178" t="n">
        <v>2</v>
      </c>
      <c r="L178" t="n">
        <v>2.584</v>
      </c>
      <c r="M178" t="n">
        <v>1</v>
      </c>
      <c r="N178" t="inlineStr">
        <is>
          <t>val</t>
        </is>
      </c>
      <c r="O178">
        <f>HYPERLINK("2\1\marker_554_382873.png", "Ver Imagen")</f>
        <v/>
      </c>
      <c r="P178">
        <f>HYPERLINK("NE\A-495\A-495__166.png", "Ver Imagen")</f>
        <v/>
      </c>
    </row>
    <row r="179">
      <c r="A179" t="n">
        <v>1393</v>
      </c>
      <c r="B179" t="inlineStr">
        <is>
          <t>A-5058__72</t>
        </is>
      </c>
      <c r="C179" t="n">
        <v>37.2268057995</v>
      </c>
      <c r="D179" t="n">
        <v>-7.04446415791</v>
      </c>
      <c r="E179" t="n">
        <v>2</v>
      </c>
      <c r="F179" t="n">
        <v>3</v>
      </c>
      <c r="G179" t="n">
        <v>2</v>
      </c>
      <c r="J179" t="inlineStr">
        <is>
          <t>Moda</t>
        </is>
      </c>
      <c r="K179" t="n">
        <v>2</v>
      </c>
      <c r="L179" t="n">
        <v>3.025</v>
      </c>
      <c r="M179" t="n">
        <v>1</v>
      </c>
      <c r="N179" t="inlineStr">
        <is>
          <t>test</t>
        </is>
      </c>
      <c r="O179">
        <f>HYPERLINK("2\1\marker_456_380775.png", "Ver Imagen")</f>
        <v/>
      </c>
      <c r="P179">
        <f>HYPERLINK("SE\A-5058\A-5058__72.png", "Ver Imagen")</f>
        <v/>
      </c>
    </row>
    <row r="180">
      <c r="A180" t="n">
        <v>1397</v>
      </c>
      <c r="B180" t="inlineStr">
        <is>
          <t>A-5058__189</t>
        </is>
      </c>
      <c r="C180" t="n">
        <v>37.2343106266</v>
      </c>
      <c r="D180" t="n">
        <v>-7.07077939631</v>
      </c>
      <c r="E180" t="n">
        <v>2</v>
      </c>
      <c r="F180" t="n">
        <v>1</v>
      </c>
      <c r="G180" t="n">
        <v>2</v>
      </c>
      <c r="J180" t="inlineStr">
        <is>
          <t>Moda</t>
        </is>
      </c>
      <c r="K180" t="n">
        <v>2</v>
      </c>
      <c r="L180" t="n">
        <v>2.841</v>
      </c>
      <c r="M180" t="n">
        <v>1</v>
      </c>
      <c r="N180" t="inlineStr">
        <is>
          <t>train</t>
        </is>
      </c>
      <c r="O180">
        <f>HYPERLINK("2\1\marker_840_382770.png", "Ver Imagen")</f>
        <v/>
      </c>
      <c r="P180">
        <f>HYPERLINK("SE\A-5058\A-5058__189.png", "Ver Imagen")</f>
        <v/>
      </c>
    </row>
    <row r="181">
      <c r="A181" t="n">
        <v>1402</v>
      </c>
      <c r="B181" t="inlineStr">
        <is>
          <t>A-495_1__115</t>
        </is>
      </c>
      <c r="C181" t="n">
        <v>37.4702569535</v>
      </c>
      <c r="D181" t="n">
        <v>-7.12482382037</v>
      </c>
      <c r="E181" t="n">
        <v>2</v>
      </c>
      <c r="F181" t="n">
        <v>3</v>
      </c>
      <c r="G181" t="n">
        <v>2</v>
      </c>
      <c r="J181" t="inlineStr">
        <is>
          <t>Moda</t>
        </is>
      </c>
      <c r="K181" t="n">
        <v>2</v>
      </c>
      <c r="L181" t="n">
        <v>3.022</v>
      </c>
      <c r="M181" t="n">
        <v>1</v>
      </c>
      <c r="N181" t="inlineStr">
        <is>
          <t>val</t>
        </is>
      </c>
      <c r="O181">
        <f>HYPERLINK("2\1\marker_320_384668.png", "Ver Imagen")</f>
        <v/>
      </c>
      <c r="P181">
        <f>HYPERLINK("NE\A-495_1\A-495_1__115.png", "Ver Imagen")</f>
        <v/>
      </c>
    </row>
    <row r="182">
      <c r="A182" t="n">
        <v>1405</v>
      </c>
      <c r="B182" t="inlineStr">
        <is>
          <t>A-495_1__96</t>
        </is>
      </c>
      <c r="C182" t="n">
        <v>37.4667784339</v>
      </c>
      <c r="D182" t="n">
        <v>-7.12275217862</v>
      </c>
      <c r="E182" t="n">
        <v>2</v>
      </c>
      <c r="F182" t="n">
        <v>1</v>
      </c>
      <c r="G182" t="n">
        <v>2</v>
      </c>
      <c r="J182" t="inlineStr">
        <is>
          <t>Moda</t>
        </is>
      </c>
      <c r="K182" t="n">
        <v>2</v>
      </c>
      <c r="L182" t="n">
        <v>3.334</v>
      </c>
      <c r="M182" t="n">
        <v>1</v>
      </c>
      <c r="N182" t="inlineStr">
        <is>
          <t>val</t>
        </is>
      </c>
      <c r="O182">
        <f>HYPERLINK("2\1\marker_840_385079.png", "Ver Imagen")</f>
        <v/>
      </c>
      <c r="P182">
        <f>HYPERLINK("NE\A-495_1\A-495_1__96.png", "Ver Imagen")</f>
        <v/>
      </c>
    </row>
    <row r="183">
      <c r="A183" t="n">
        <v>1466</v>
      </c>
      <c r="B183" t="inlineStr">
        <is>
          <t>A-499__161</t>
        </is>
      </c>
      <c r="C183" t="n">
        <v>37.5104298567</v>
      </c>
      <c r="D183" t="n">
        <v>-7.26773439915</v>
      </c>
      <c r="E183" t="n">
        <v>2</v>
      </c>
      <c r="F183" t="n">
        <v>2</v>
      </c>
      <c r="G183" t="n">
        <v>3</v>
      </c>
      <c r="J183" t="inlineStr">
        <is>
          <t>Moda</t>
        </is>
      </c>
      <c r="K183" t="n">
        <v>2</v>
      </c>
      <c r="L183" t="n">
        <v>2.738</v>
      </c>
      <c r="M183" t="n">
        <v>1</v>
      </c>
      <c r="N183" t="inlineStr">
        <is>
          <t>test</t>
        </is>
      </c>
      <c r="O183">
        <f>HYPERLINK("2\1\marker_465_794596.png", "Ver Imagen")</f>
        <v/>
      </c>
      <c r="P183">
        <f>HYPERLINK("NO\A-499\A-499__161.png", "Ver Imagen")</f>
        <v/>
      </c>
    </row>
    <row r="184">
      <c r="A184" t="n">
        <v>1468</v>
      </c>
      <c r="B184" t="inlineStr">
        <is>
          <t>A-499__163</t>
        </is>
      </c>
      <c r="C184" t="n">
        <v>37.5108223956</v>
      </c>
      <c r="D184" t="n">
        <v>-7.267877119</v>
      </c>
      <c r="E184" t="n">
        <v>2</v>
      </c>
      <c r="F184" t="n">
        <v>2</v>
      </c>
      <c r="G184" t="n">
        <v>3</v>
      </c>
      <c r="J184" t="inlineStr">
        <is>
          <t>Moda</t>
        </is>
      </c>
      <c r="K184" t="n">
        <v>2</v>
      </c>
      <c r="L184" t="n">
        <v>1.222</v>
      </c>
      <c r="M184" t="n">
        <v>1</v>
      </c>
      <c r="N184" t="inlineStr">
        <is>
          <t>test</t>
        </is>
      </c>
      <c r="O184">
        <f>HYPERLINK("2\1\marker_202_794646.png", "Ver Imagen")</f>
        <v/>
      </c>
      <c r="P184">
        <f>HYPERLINK("NO\A-499\A-499__163.png", "Ver Imagen")</f>
        <v/>
      </c>
    </row>
    <row r="185">
      <c r="A185" t="n">
        <v>1469</v>
      </c>
      <c r="B185" t="inlineStr">
        <is>
          <t>A-499__164</t>
        </is>
      </c>
      <c r="C185" t="n">
        <v>37.5110147214</v>
      </c>
      <c r="D185" t="n">
        <v>-7.26795500232</v>
      </c>
      <c r="E185" t="n">
        <v>2</v>
      </c>
      <c r="F185" t="n">
        <v>2</v>
      </c>
      <c r="G185" t="n">
        <v>3</v>
      </c>
      <c r="J185" t="inlineStr">
        <is>
          <t>Moda</t>
        </is>
      </c>
      <c r="K185" t="n">
        <v>2</v>
      </c>
      <c r="L185" t="n">
        <v>1.14</v>
      </c>
      <c r="M185" t="n">
        <v>1</v>
      </c>
      <c r="N185" t="inlineStr">
        <is>
          <t>test</t>
        </is>
      </c>
      <c r="O185">
        <f>HYPERLINK("2\1\marker_994_794674.png", "Ver Imagen")</f>
        <v/>
      </c>
      <c r="P185">
        <f>HYPERLINK("NO\A-499\A-499__164.png", "Ver Imagen")</f>
        <v/>
      </c>
    </row>
    <row r="186">
      <c r="A186" t="n">
        <v>1471</v>
      </c>
      <c r="B186" t="inlineStr">
        <is>
          <t>A-499__174</t>
        </is>
      </c>
      <c r="C186" t="n">
        <v>37.5129605401</v>
      </c>
      <c r="D186" t="n">
        <v>-7.2687616429</v>
      </c>
      <c r="E186" t="n">
        <v>2</v>
      </c>
      <c r="F186" t="n">
        <v>1</v>
      </c>
      <c r="G186" t="n">
        <v>2</v>
      </c>
      <c r="J186" t="inlineStr">
        <is>
          <t>Moda</t>
        </is>
      </c>
      <c r="K186" t="n">
        <v>2</v>
      </c>
      <c r="L186" t="n">
        <v>3.375</v>
      </c>
      <c r="M186" t="n">
        <v>1</v>
      </c>
      <c r="N186" t="inlineStr">
        <is>
          <t>val</t>
        </is>
      </c>
      <c r="O186">
        <f>HYPERLINK("2\1\marker_626_795544.png", "Ver Imagen")</f>
        <v/>
      </c>
      <c r="P186">
        <f>HYPERLINK("NO\A-499\A-499__174.png", "Ver Imagen")</f>
        <v/>
      </c>
    </row>
    <row r="187">
      <c r="A187" t="n">
        <v>1511</v>
      </c>
      <c r="B187" t="inlineStr">
        <is>
          <t>A-497_2C__98</t>
        </is>
      </c>
      <c r="C187" t="n">
        <v>37.2706411421</v>
      </c>
      <c r="D187" t="n">
        <v>-6.98127267822</v>
      </c>
      <c r="E187" t="n">
        <v>2</v>
      </c>
      <c r="F187" t="n">
        <v>3</v>
      </c>
      <c r="G187" t="n">
        <v>2</v>
      </c>
      <c r="J187" t="inlineStr">
        <is>
          <t>Moda</t>
        </is>
      </c>
      <c r="K187" t="n">
        <v>2</v>
      </c>
      <c r="L187" t="n">
        <v>2.984</v>
      </c>
      <c r="M187" t="n">
        <v>1</v>
      </c>
      <c r="N187" t="inlineStr">
        <is>
          <t>val</t>
        </is>
      </c>
      <c r="O187">
        <f>HYPERLINK("2\1\marker_963_655388.png", "Ver Imagen")</f>
        <v/>
      </c>
      <c r="P187">
        <f>HYPERLINK("SE\A-497_2C\A-497_2C__98.png", "Ver Imagen")</f>
        <v/>
      </c>
    </row>
    <row r="188">
      <c r="A188" t="n">
        <v>1514</v>
      </c>
      <c r="B188" t="inlineStr">
        <is>
          <t>A-497_2C__146</t>
        </is>
      </c>
      <c r="C188" t="n">
        <v>37.2681830781</v>
      </c>
      <c r="D188" t="n">
        <v>-6.99092479946</v>
      </c>
      <c r="E188" t="n">
        <v>2</v>
      </c>
      <c r="F188" t="n">
        <v>3</v>
      </c>
      <c r="G188" t="n">
        <v>2</v>
      </c>
      <c r="J188" t="inlineStr">
        <is>
          <t>Moda</t>
        </is>
      </c>
      <c r="K188" t="n">
        <v>2</v>
      </c>
      <c r="L188" t="n">
        <v>2.574</v>
      </c>
      <c r="M188" t="n">
        <v>1</v>
      </c>
      <c r="N188" t="inlineStr">
        <is>
          <t>test</t>
        </is>
      </c>
      <c r="O188">
        <f>HYPERLINK("2\1\marker_577_655930.png", "Ver Imagen")</f>
        <v/>
      </c>
      <c r="P188">
        <f>HYPERLINK("SE\A-497_2C\A-497_2C__146.png", "Ver Imagen")</f>
        <v/>
      </c>
    </row>
    <row r="189">
      <c r="A189" t="n">
        <v>1519</v>
      </c>
      <c r="B189" t="inlineStr">
        <is>
          <t>A-497__730</t>
        </is>
      </c>
      <c r="C189" t="n">
        <v>37.1910076587</v>
      </c>
      <c r="D189" t="n">
        <v>-6.9777053377</v>
      </c>
      <c r="E189" t="n">
        <v>2</v>
      </c>
      <c r="F189" t="n">
        <v>3</v>
      </c>
      <c r="G189" t="n">
        <v>2</v>
      </c>
      <c r="J189" t="inlineStr">
        <is>
          <t>Moda</t>
        </is>
      </c>
      <c r="K189" t="n">
        <v>2</v>
      </c>
      <c r="L189" t="n">
        <v>2.825</v>
      </c>
      <c r="M189" t="n">
        <v>1</v>
      </c>
      <c r="N189" t="inlineStr">
        <is>
          <t>val</t>
        </is>
      </c>
      <c r="O189">
        <f>HYPERLINK("2\1\marker_927_368946.png", "Ver Imagen")</f>
        <v/>
      </c>
      <c r="P189">
        <f>HYPERLINK("SE\A-497\A-497__730.png", "Ver Imagen")</f>
        <v/>
      </c>
    </row>
    <row r="190">
      <c r="A190" t="n">
        <v>1527</v>
      </c>
      <c r="B190" t="inlineStr">
        <is>
          <t>A-497__664</t>
        </is>
      </c>
      <c r="C190" t="n">
        <v>37.2002379973</v>
      </c>
      <c r="D190" t="n">
        <v>-6.98681418982</v>
      </c>
      <c r="E190" t="n">
        <v>2</v>
      </c>
      <c r="F190" t="n">
        <v>3</v>
      </c>
      <c r="G190" t="n">
        <v>2</v>
      </c>
      <c r="J190" t="inlineStr">
        <is>
          <t>Moda</t>
        </is>
      </c>
      <c r="K190" t="n">
        <v>2</v>
      </c>
      <c r="L190" t="n">
        <v>2.504</v>
      </c>
      <c r="M190" t="n">
        <v>1</v>
      </c>
      <c r="N190" t="inlineStr">
        <is>
          <t>train</t>
        </is>
      </c>
      <c r="O190">
        <f>HYPERLINK("2\1\marker_552_371116.png", "Ver Imagen")</f>
        <v/>
      </c>
      <c r="P190">
        <f>HYPERLINK("SE\A-497\A-497__664.png", "Ver Imagen")</f>
        <v/>
      </c>
    </row>
    <row r="191">
      <c r="A191" t="n">
        <v>1577</v>
      </c>
      <c r="B191" t="inlineStr">
        <is>
          <t>A-497__282</t>
        </is>
      </c>
      <c r="C191" t="n">
        <v>37.2536711957</v>
      </c>
      <c r="D191" t="n">
        <v>-7.01554177462</v>
      </c>
      <c r="E191" t="n">
        <v>2</v>
      </c>
      <c r="F191" t="n">
        <v>3</v>
      </c>
      <c r="G191" t="n">
        <v>2</v>
      </c>
      <c r="J191" t="inlineStr">
        <is>
          <t>Moda</t>
        </is>
      </c>
      <c r="K191" t="n">
        <v>2</v>
      </c>
      <c r="L191" t="n">
        <v>2.878</v>
      </c>
      <c r="M191" t="n">
        <v>1</v>
      </c>
      <c r="N191" t="inlineStr">
        <is>
          <t>train</t>
        </is>
      </c>
      <c r="O191">
        <f>HYPERLINK("2\1\marker_501_378448.png", "Ver Imagen")</f>
        <v/>
      </c>
      <c r="P191">
        <f>HYPERLINK("SE\A-497\A-497__282.png", "Ver Imagen")</f>
        <v/>
      </c>
    </row>
    <row r="192">
      <c r="A192" t="n">
        <v>1582</v>
      </c>
      <c r="B192" t="inlineStr">
        <is>
          <t>A-497__168</t>
        </is>
      </c>
      <c r="C192" t="n">
        <v>37.2658150231</v>
      </c>
      <c r="D192" t="n">
        <v>-6.99390453132</v>
      </c>
      <c r="E192" t="n">
        <v>2</v>
      </c>
      <c r="F192" t="n">
        <v>3</v>
      </c>
      <c r="G192" t="n">
        <v>2</v>
      </c>
      <c r="J192" t="inlineStr">
        <is>
          <t>Moda</t>
        </is>
      </c>
      <c r="K192" t="n">
        <v>2</v>
      </c>
      <c r="L192" t="n">
        <v>2.944</v>
      </c>
      <c r="M192" t="n">
        <v>1</v>
      </c>
      <c r="N192" t="inlineStr">
        <is>
          <t>train</t>
        </is>
      </c>
      <c r="O192">
        <f>HYPERLINK("2\1\marker_976_380172.png", "Ver Imagen")</f>
        <v/>
      </c>
      <c r="P192">
        <f>HYPERLINK("SE\A-497\A-497__168.png", "Ver Imagen")</f>
        <v/>
      </c>
    </row>
    <row r="193">
      <c r="A193" t="n">
        <v>1584</v>
      </c>
      <c r="B193" t="inlineStr">
        <is>
          <t>A-490__223</t>
        </is>
      </c>
      <c r="C193" t="n">
        <v>37.4626859653</v>
      </c>
      <c r="D193" t="n">
        <v>-7.17625107754</v>
      </c>
      <c r="E193" t="n">
        <v>2</v>
      </c>
      <c r="F193" t="n">
        <v>2</v>
      </c>
      <c r="G193" t="n">
        <v>3</v>
      </c>
      <c r="J193" t="inlineStr">
        <is>
          <t>Moda</t>
        </is>
      </c>
      <c r="K193" t="n">
        <v>2</v>
      </c>
      <c r="L193" t="n">
        <v>2.992</v>
      </c>
      <c r="M193" t="n">
        <v>1</v>
      </c>
      <c r="N193" t="inlineStr">
        <is>
          <t>test</t>
        </is>
      </c>
      <c r="O193">
        <f>HYPERLINK("2\1\marker_509_743630.png", "Ver Imagen")</f>
        <v/>
      </c>
      <c r="P193">
        <f>HYPERLINK("NE\A-490\A-490__223.png", "Ver Imagen")</f>
        <v/>
      </c>
    </row>
    <row r="194">
      <c r="A194" t="n">
        <v>1585</v>
      </c>
      <c r="B194" t="inlineStr">
        <is>
          <t>A-490__226</t>
        </is>
      </c>
      <c r="C194" t="n">
        <v>37.4630949314</v>
      </c>
      <c r="D194" t="n">
        <v>-7.17692022153</v>
      </c>
      <c r="E194" t="n">
        <v>2</v>
      </c>
      <c r="F194" t="n">
        <v>2</v>
      </c>
      <c r="G194" t="n">
        <v>3</v>
      </c>
      <c r="J194" t="inlineStr">
        <is>
          <t>Moda</t>
        </is>
      </c>
      <c r="K194" t="n">
        <v>2</v>
      </c>
      <c r="L194" t="n">
        <v>2.882</v>
      </c>
      <c r="M194" t="n">
        <v>1</v>
      </c>
      <c r="N194" t="inlineStr">
        <is>
          <t>test</t>
        </is>
      </c>
      <c r="O194">
        <f>HYPERLINK("2\1\marker_751_743733.png", "Ver Imagen")</f>
        <v/>
      </c>
      <c r="P194">
        <f>HYPERLINK("NE\A-490\A-490__226.png", "Ver Imagen")</f>
        <v/>
      </c>
    </row>
    <row r="195">
      <c r="A195" t="n">
        <v>1593</v>
      </c>
      <c r="B195" t="inlineStr">
        <is>
          <t>A-492__143</t>
        </is>
      </c>
      <c r="C195" t="n">
        <v>37.2753535885</v>
      </c>
      <c r="D195" t="n">
        <v>-7.01652565799</v>
      </c>
      <c r="E195" t="n">
        <v>2</v>
      </c>
      <c r="F195" t="n">
        <v>2</v>
      </c>
      <c r="G195" t="n">
        <v>3</v>
      </c>
      <c r="J195" t="inlineStr">
        <is>
          <t>Moda</t>
        </is>
      </c>
      <c r="K195" t="n">
        <v>2</v>
      </c>
      <c r="L195" t="n">
        <v>2.893</v>
      </c>
      <c r="M195" t="n">
        <v>1</v>
      </c>
      <c r="N195" t="inlineStr">
        <is>
          <t>val</t>
        </is>
      </c>
      <c r="O195">
        <f>HYPERLINK("2\1\marker_422_824709.png", "Ver Imagen")</f>
        <v/>
      </c>
      <c r="P195">
        <f>HYPERLINK("SE\A-492\A-492__143.png", "Ver Imagen")</f>
        <v/>
      </c>
    </row>
    <row r="196">
      <c r="A196" t="n">
        <v>1601</v>
      </c>
      <c r="B196" t="inlineStr">
        <is>
          <t>A-5050__151</t>
        </is>
      </c>
      <c r="C196" t="n">
        <v>37.1930277896</v>
      </c>
      <c r="D196" t="n">
        <v>-6.99536820966</v>
      </c>
      <c r="E196" t="n">
        <v>2</v>
      </c>
      <c r="F196" t="n">
        <v>2</v>
      </c>
      <c r="G196" t="n">
        <v>3</v>
      </c>
      <c r="J196" t="inlineStr">
        <is>
          <t>Moda</t>
        </is>
      </c>
      <c r="K196" t="n">
        <v>2</v>
      </c>
      <c r="L196" t="n">
        <v>2.621</v>
      </c>
      <c r="M196" t="n">
        <v>1</v>
      </c>
      <c r="N196" t="inlineStr">
        <is>
          <t>val</t>
        </is>
      </c>
      <c r="O196">
        <f>HYPERLINK("2\1\marker_639_945377.png", "Ver Imagen")</f>
        <v/>
      </c>
      <c r="P196">
        <f>HYPERLINK("SE\A-5050\A-5050__151.png", "Ver Imagen")</f>
        <v/>
      </c>
    </row>
    <row r="197">
      <c r="A197" t="n">
        <v>1619</v>
      </c>
      <c r="B197" t="inlineStr">
        <is>
          <t>A-490__493</t>
        </is>
      </c>
      <c r="C197" t="n">
        <v>37.486299651</v>
      </c>
      <c r="D197" t="n">
        <v>-7.23720923628</v>
      </c>
      <c r="E197" t="n">
        <v>1</v>
      </c>
      <c r="F197" t="n">
        <v>2</v>
      </c>
      <c r="G197" t="n">
        <v>2</v>
      </c>
      <c r="J197" t="inlineStr">
        <is>
          <t>Moda</t>
        </is>
      </c>
      <c r="K197" t="n">
        <v>2</v>
      </c>
      <c r="L197" t="n">
        <v>1.327</v>
      </c>
      <c r="M197" t="n">
        <v>1</v>
      </c>
      <c r="N197" t="inlineStr">
        <is>
          <t>test</t>
        </is>
      </c>
      <c r="O197">
        <f>HYPERLINK("2\1\marker_197_755811.png", "Ver Imagen")</f>
        <v/>
      </c>
      <c r="P197">
        <f>HYPERLINK("NO\A-490\A-490__493.png", "Ver Imagen")</f>
        <v/>
      </c>
    </row>
    <row r="198">
      <c r="A198" t="n">
        <v>1621</v>
      </c>
      <c r="B198" t="inlineStr">
        <is>
          <t>A-490__562</t>
        </is>
      </c>
      <c r="C198" t="n">
        <v>37.490618104</v>
      </c>
      <c r="D198" t="n">
        <v>-7.25327979402</v>
      </c>
      <c r="E198" t="n">
        <v>1</v>
      </c>
      <c r="F198" t="n">
        <v>2</v>
      </c>
      <c r="G198" t="n">
        <v>2</v>
      </c>
      <c r="J198" t="inlineStr">
        <is>
          <t>Moda</t>
        </is>
      </c>
      <c r="K198" t="n">
        <v>2</v>
      </c>
      <c r="L198" t="n">
        <v>1.333</v>
      </c>
      <c r="M198" t="n">
        <v>1</v>
      </c>
      <c r="N198" t="inlineStr">
        <is>
          <t>train</t>
        </is>
      </c>
      <c r="O198">
        <f>HYPERLINK("2\1\marker_914_819203.png", "Ver Imagen")</f>
        <v/>
      </c>
      <c r="P198">
        <f>HYPERLINK("NO\A-490\A-490__562.png", "Ver Imagen")</f>
        <v/>
      </c>
    </row>
    <row r="199">
      <c r="A199" t="n">
        <v>1622</v>
      </c>
      <c r="B199" t="inlineStr">
        <is>
          <t>A-490__571</t>
        </is>
      </c>
      <c r="C199" t="n">
        <v>37.4904291306</v>
      </c>
      <c r="D199" t="n">
        <v>-7.25550784097</v>
      </c>
      <c r="E199" t="n">
        <v>1</v>
      </c>
      <c r="F199" t="n">
        <v>2</v>
      </c>
      <c r="G199" t="n">
        <v>2</v>
      </c>
      <c r="J199" t="inlineStr">
        <is>
          <t>Moda</t>
        </is>
      </c>
      <c r="K199" t="n">
        <v>2</v>
      </c>
      <c r="L199" t="n">
        <v>1.019</v>
      </c>
      <c r="M199" t="n">
        <v>1</v>
      </c>
      <c r="N199" t="inlineStr">
        <is>
          <t>test</t>
        </is>
      </c>
      <c r="O199">
        <f>HYPERLINK("2\1\marker_305_819342.png", "Ver Imagen")</f>
        <v/>
      </c>
      <c r="P199">
        <f>HYPERLINK("NO\A-490\A-490__571.png", "Ver Imagen")</f>
        <v/>
      </c>
    </row>
    <row r="200">
      <c r="A200" t="n">
        <v>1653</v>
      </c>
      <c r="B200" t="inlineStr">
        <is>
          <t>A-5053__382</t>
        </is>
      </c>
      <c r="C200" t="n">
        <v>37.288499323</v>
      </c>
      <c r="D200" t="n">
        <v>-7.14124532464</v>
      </c>
      <c r="E200" t="n">
        <v>2</v>
      </c>
      <c r="F200" t="n">
        <v>2</v>
      </c>
      <c r="G200" t="n">
        <v>3</v>
      </c>
      <c r="J200" t="inlineStr">
        <is>
          <t>Moda</t>
        </is>
      </c>
      <c r="K200" t="n">
        <v>2</v>
      </c>
      <c r="L200" t="n">
        <v>3.167</v>
      </c>
      <c r="M200" t="n">
        <v>1</v>
      </c>
      <c r="N200" t="inlineStr">
        <is>
          <t>test</t>
        </is>
      </c>
      <c r="O200">
        <f>HYPERLINK("2\1\marker_316_963825.png", "Ver Imagen")</f>
        <v/>
      </c>
      <c r="P200">
        <f>HYPERLINK("SO\A-5053\A-5053__382.png", "Ver Imagen")</f>
        <v/>
      </c>
    </row>
    <row r="201">
      <c r="A201" t="n">
        <v>1655</v>
      </c>
      <c r="B201" t="inlineStr">
        <is>
          <t>A-5053__223</t>
        </is>
      </c>
      <c r="C201" t="n">
        <v>37.262656539</v>
      </c>
      <c r="D201" t="n">
        <v>-7.13075210775</v>
      </c>
      <c r="E201" t="n">
        <v>3</v>
      </c>
      <c r="F201" t="n">
        <v>2</v>
      </c>
      <c r="G201" t="n">
        <v>2</v>
      </c>
      <c r="J201" t="inlineStr">
        <is>
          <t>Moda</t>
        </is>
      </c>
      <c r="K201" t="n">
        <v>2</v>
      </c>
      <c r="L201" t="n">
        <v>2.687</v>
      </c>
      <c r="M201" t="n">
        <v>1</v>
      </c>
      <c r="N201" t="inlineStr">
        <is>
          <t>val</t>
        </is>
      </c>
      <c r="O201">
        <f>HYPERLINK("2\1\marker_857_965662.png", "Ver Imagen")</f>
        <v/>
      </c>
      <c r="P201">
        <f>HYPERLINK("SO\A-5053\A-5053__223.png", "Ver Imagen")</f>
        <v/>
      </c>
    </row>
    <row r="202">
      <c r="A202" t="n">
        <v>1657</v>
      </c>
      <c r="B202" t="inlineStr">
        <is>
          <t>A-5053__121</t>
        </is>
      </c>
      <c r="C202" t="n">
        <v>37.2428643473</v>
      </c>
      <c r="D202" t="n">
        <v>-7.12833564072</v>
      </c>
      <c r="E202" t="n">
        <v>2</v>
      </c>
      <c r="F202" t="n">
        <v>2</v>
      </c>
      <c r="G202" t="n">
        <v>3</v>
      </c>
      <c r="J202" t="inlineStr">
        <is>
          <t>Moda</t>
        </is>
      </c>
      <c r="K202" t="n">
        <v>2</v>
      </c>
      <c r="L202" t="n">
        <v>2.52</v>
      </c>
      <c r="M202" t="n">
        <v>1</v>
      </c>
      <c r="N202" t="inlineStr">
        <is>
          <t>test</t>
        </is>
      </c>
      <c r="O202">
        <f>HYPERLINK("2\1\marker_342_019592.png", "Ver Imagen")</f>
        <v/>
      </c>
      <c r="P202">
        <f>HYPERLINK("SO\A-5053\A-5053__121.png", "Ver Imagen")</f>
        <v/>
      </c>
    </row>
    <row r="203">
      <c r="A203" t="n">
        <v>1658</v>
      </c>
      <c r="B203" t="inlineStr">
        <is>
          <t>A-5053__94</t>
        </is>
      </c>
      <c r="C203" t="n">
        <v>37.2374378753</v>
      </c>
      <c r="D203" t="n">
        <v>-7.12831977558</v>
      </c>
      <c r="E203" t="n">
        <v>2</v>
      </c>
      <c r="F203" t="n">
        <v>2</v>
      </c>
      <c r="G203" t="n">
        <v>3</v>
      </c>
      <c r="J203" t="inlineStr">
        <is>
          <t>Moda</t>
        </is>
      </c>
      <c r="K203" t="n">
        <v>2</v>
      </c>
      <c r="L203" t="n">
        <v>2.612</v>
      </c>
      <c r="M203" t="n">
        <v>1</v>
      </c>
      <c r="N203" t="inlineStr">
        <is>
          <t>val</t>
        </is>
      </c>
      <c r="O203">
        <f>HYPERLINK("2\1\marker_891_019870.png", "Ver Imagen")</f>
        <v/>
      </c>
      <c r="P203">
        <f>HYPERLINK("SO\A-5053\A-5053__94.png", "Ver Imagen")</f>
        <v/>
      </c>
    </row>
    <row r="204">
      <c r="A204" t="n">
        <v>1667</v>
      </c>
      <c r="B204" t="inlineStr">
        <is>
          <t>A-495__12</t>
        </is>
      </c>
      <c r="C204" t="n">
        <v>37.4439465327</v>
      </c>
      <c r="D204" t="n">
        <v>-7.097457499</v>
      </c>
      <c r="E204" t="n">
        <v>3</v>
      </c>
      <c r="F204" t="n">
        <v>2</v>
      </c>
      <c r="G204" t="n">
        <v>2</v>
      </c>
      <c r="J204" t="inlineStr">
        <is>
          <t>Moda</t>
        </is>
      </c>
      <c r="K204" t="n">
        <v>2</v>
      </c>
      <c r="L204" t="n">
        <v>2.569</v>
      </c>
      <c r="M204" t="n">
        <v>1</v>
      </c>
      <c r="N204" t="inlineStr">
        <is>
          <t>val</t>
        </is>
      </c>
      <c r="O204">
        <f>HYPERLINK("2\1\marker_944_381180.png", "Ver Imagen")</f>
        <v/>
      </c>
      <c r="P204">
        <f>HYPERLINK("NE\A-495\A-495__12.png", "Ver Imagen")</f>
        <v/>
      </c>
    </row>
    <row r="205">
      <c r="A205" t="n">
        <v>1672</v>
      </c>
      <c r="B205" t="inlineStr">
        <is>
          <t>A-5059__70</t>
        </is>
      </c>
      <c r="C205" t="n">
        <v>37.2230179318</v>
      </c>
      <c r="D205" t="n">
        <v>-7.05580846946</v>
      </c>
      <c r="E205" t="n">
        <v>3</v>
      </c>
      <c r="F205" t="n">
        <v>2</v>
      </c>
      <c r="G205" t="n">
        <v>2</v>
      </c>
      <c r="J205" t="inlineStr">
        <is>
          <t>Moda</t>
        </is>
      </c>
      <c r="K205" t="n">
        <v>2</v>
      </c>
      <c r="L205" t="n">
        <v>3.096</v>
      </c>
      <c r="M205" t="n">
        <v>1</v>
      </c>
      <c r="N205" t="inlineStr">
        <is>
          <t>test</t>
        </is>
      </c>
      <c r="O205">
        <f>HYPERLINK("2\1\marker_293_378846.png", "Ver Imagen")</f>
        <v/>
      </c>
      <c r="P205">
        <f>HYPERLINK("SE\A-5059\A-5059__70.png", "Ver Imagen")</f>
        <v/>
      </c>
    </row>
    <row r="206">
      <c r="A206" t="n">
        <v>1674</v>
      </c>
      <c r="B206" t="inlineStr">
        <is>
          <t>A-5058__57</t>
        </is>
      </c>
      <c r="C206" t="n">
        <v>37.2253025536</v>
      </c>
      <c r="D206" t="n">
        <v>-7.04117979599</v>
      </c>
      <c r="E206" t="n">
        <v>2</v>
      </c>
      <c r="F206" t="n">
        <v>2</v>
      </c>
      <c r="G206" t="n">
        <v>3</v>
      </c>
      <c r="J206" t="inlineStr">
        <is>
          <t>Moda</t>
        </is>
      </c>
      <c r="K206" t="n">
        <v>2</v>
      </c>
      <c r="L206" t="n">
        <v>2.672</v>
      </c>
      <c r="M206" t="n">
        <v>1</v>
      </c>
      <c r="N206" t="inlineStr">
        <is>
          <t>test</t>
        </is>
      </c>
      <c r="O206">
        <f>HYPERLINK("2\1\marker_734_380608.png", "Ver Imagen")</f>
        <v/>
      </c>
      <c r="P206">
        <f>HYPERLINK("SE\A-5058\A-5058__57.png", "Ver Imagen")</f>
        <v/>
      </c>
    </row>
    <row r="207">
      <c r="A207" t="n">
        <v>1676</v>
      </c>
      <c r="B207" t="inlineStr">
        <is>
          <t>A-5058__65</t>
        </is>
      </c>
      <c r="C207" t="n">
        <v>37.2260743601</v>
      </c>
      <c r="D207" t="n">
        <v>-7.04296207274</v>
      </c>
      <c r="E207" t="n">
        <v>2</v>
      </c>
      <c r="F207" t="n">
        <v>2</v>
      </c>
      <c r="G207" t="n">
        <v>3</v>
      </c>
      <c r="J207" t="inlineStr">
        <is>
          <t>Moda</t>
        </is>
      </c>
      <c r="K207" t="n">
        <v>2</v>
      </c>
      <c r="L207" t="n">
        <v>2.502</v>
      </c>
      <c r="M207" t="n">
        <v>1</v>
      </c>
      <c r="N207" t="inlineStr">
        <is>
          <t>train</t>
        </is>
      </c>
      <c r="O207">
        <f>HYPERLINK("2\1\marker_733_380701.png", "Ver Imagen")</f>
        <v/>
      </c>
      <c r="P207">
        <f>HYPERLINK("SE\A-5058\A-5058__65.png", "Ver Imagen")</f>
        <v/>
      </c>
    </row>
    <row r="208">
      <c r="A208" t="n">
        <v>1688</v>
      </c>
      <c r="B208" t="inlineStr">
        <is>
          <t>A-5058__85</t>
        </is>
      </c>
      <c r="C208" t="n">
        <v>37.2287623594</v>
      </c>
      <c r="D208" t="n">
        <v>-7.04666754706</v>
      </c>
      <c r="E208" t="n">
        <v>2</v>
      </c>
      <c r="F208" t="n">
        <v>2</v>
      </c>
      <c r="G208" t="n">
        <v>3</v>
      </c>
      <c r="J208" t="inlineStr">
        <is>
          <t>Moda</t>
        </is>
      </c>
      <c r="K208" t="n">
        <v>2</v>
      </c>
      <c r="L208" t="n">
        <v>2.64</v>
      </c>
      <c r="M208" t="n">
        <v>1</v>
      </c>
      <c r="N208" t="inlineStr">
        <is>
          <t>val</t>
        </is>
      </c>
      <c r="O208">
        <f>HYPERLINK("2\1\marker_219_380934.png", "Ver Imagen")</f>
        <v/>
      </c>
      <c r="P208">
        <f>HYPERLINK("SE\A-5058\A-5058__85.png", "Ver Imagen")</f>
        <v/>
      </c>
    </row>
    <row r="209">
      <c r="A209" t="n">
        <v>1706</v>
      </c>
      <c r="B209" t="inlineStr">
        <is>
          <t>A-5058__125</t>
        </is>
      </c>
      <c r="C209" t="n">
        <v>37.2332098495</v>
      </c>
      <c r="D209" t="n">
        <v>-7.05508306502</v>
      </c>
      <c r="E209" t="n">
        <v>2</v>
      </c>
      <c r="F209" t="n">
        <v>2</v>
      </c>
      <c r="G209" t="n">
        <v>3</v>
      </c>
      <c r="J209" t="inlineStr">
        <is>
          <t>Moda</t>
        </is>
      </c>
      <c r="K209" t="n">
        <v>2</v>
      </c>
      <c r="L209" t="n">
        <v>2.767</v>
      </c>
      <c r="M209" t="n">
        <v>1</v>
      </c>
      <c r="N209" t="inlineStr">
        <is>
          <t>test</t>
        </is>
      </c>
      <c r="O209">
        <f>HYPERLINK("2\1\marker_775_381389.png", "Ver Imagen")</f>
        <v/>
      </c>
      <c r="P209">
        <f>HYPERLINK("SE\A-5058\A-5058__125.png", "Ver Imagen")</f>
        <v/>
      </c>
    </row>
    <row r="210">
      <c r="A210" t="n">
        <v>1716</v>
      </c>
      <c r="B210" t="inlineStr">
        <is>
          <t>A-5058__343</t>
        </is>
      </c>
      <c r="C210" t="n">
        <v>37.2502271421</v>
      </c>
      <c r="D210" t="n">
        <v>-7.10296308123</v>
      </c>
      <c r="E210" t="n">
        <v>2</v>
      </c>
      <c r="F210" t="n">
        <v>2</v>
      </c>
      <c r="G210" t="n">
        <v>3</v>
      </c>
      <c r="J210" t="inlineStr">
        <is>
          <t>Moda</t>
        </is>
      </c>
      <c r="K210" t="n">
        <v>2</v>
      </c>
      <c r="L210" t="n">
        <v>2.56</v>
      </c>
      <c r="M210" t="n">
        <v>1</v>
      </c>
      <c r="N210" t="inlineStr">
        <is>
          <t>test</t>
        </is>
      </c>
      <c r="O210">
        <f>HYPERLINK("2\1\marker_446_384795.png", "Ver Imagen")</f>
        <v/>
      </c>
      <c r="P210">
        <f>HYPERLINK("SE\A-5058\A-5058__343.png", "Ver Imagen")</f>
        <v/>
      </c>
    </row>
    <row r="211">
      <c r="A211" t="n">
        <v>1720</v>
      </c>
      <c r="B211" t="inlineStr">
        <is>
          <t>A-5058__369</t>
        </is>
      </c>
      <c r="C211" t="n">
        <v>37.2538188436</v>
      </c>
      <c r="D211" t="n">
        <v>-7.10745298028</v>
      </c>
      <c r="E211" t="n">
        <v>2</v>
      </c>
      <c r="F211" t="n">
        <v>2</v>
      </c>
      <c r="G211" t="n">
        <v>3</v>
      </c>
      <c r="J211" t="inlineStr">
        <is>
          <t>Moda</t>
        </is>
      </c>
      <c r="K211" t="n">
        <v>2</v>
      </c>
      <c r="L211" t="n">
        <v>2.65</v>
      </c>
      <c r="M211" t="n">
        <v>1</v>
      </c>
      <c r="N211" t="inlineStr">
        <is>
          <t>test</t>
        </is>
      </c>
      <c r="O211">
        <f>HYPERLINK("2\1\marker_685_385063.png", "Ver Imagen")</f>
        <v/>
      </c>
      <c r="P211">
        <f>HYPERLINK("SO\A-5058\A-5058__369.png", "Ver Imagen")</f>
        <v/>
      </c>
    </row>
    <row r="212">
      <c r="A212" t="n">
        <v>1729</v>
      </c>
      <c r="B212" t="inlineStr">
        <is>
          <t>A-499__44</t>
        </is>
      </c>
      <c r="C212" t="n">
        <v>37.495168009</v>
      </c>
      <c r="D212" t="n">
        <v>-7.27656937791</v>
      </c>
      <c r="E212" t="n">
        <v>3</v>
      </c>
      <c r="F212" t="n">
        <v>2</v>
      </c>
      <c r="G212" t="n">
        <v>2</v>
      </c>
      <c r="J212" t="inlineStr">
        <is>
          <t>Moda</t>
        </is>
      </c>
      <c r="K212" t="n">
        <v>2</v>
      </c>
      <c r="L212" t="n">
        <v>1.417</v>
      </c>
      <c r="M212" t="n">
        <v>1</v>
      </c>
      <c r="N212" t="inlineStr">
        <is>
          <t>train</t>
        </is>
      </c>
      <c r="O212">
        <f>HYPERLINK("2\1\marker_753_534801.png", "Ver Imagen")</f>
        <v/>
      </c>
      <c r="P212">
        <f>HYPERLINK("NO\A-499\A-499__44.png", "Ver Imagen")</f>
        <v/>
      </c>
    </row>
    <row r="213">
      <c r="A213" t="n">
        <v>1734</v>
      </c>
      <c r="B213" t="inlineStr">
        <is>
          <t>A-497_2C__144</t>
        </is>
      </c>
      <c r="C213" t="n">
        <v>37.2685550787</v>
      </c>
      <c r="D213" t="n">
        <v>-6.99066287621</v>
      </c>
      <c r="E213" t="n">
        <v>2</v>
      </c>
      <c r="F213" t="n">
        <v>2</v>
      </c>
      <c r="G213" t="n">
        <v>3</v>
      </c>
      <c r="J213" t="inlineStr">
        <is>
          <t>Moda</t>
        </is>
      </c>
      <c r="K213" t="n">
        <v>2</v>
      </c>
      <c r="L213" t="n">
        <v>1.487</v>
      </c>
      <c r="M213" t="n">
        <v>1</v>
      </c>
      <c r="N213" t="inlineStr">
        <is>
          <t>train</t>
        </is>
      </c>
      <c r="O213">
        <f>HYPERLINK("2\1\marker_236_655906.png", "Ver Imagen")</f>
        <v/>
      </c>
      <c r="P213">
        <f>HYPERLINK("SE\A-497_2C\A-497_2C__144.png", "Ver Imagen")</f>
        <v/>
      </c>
    </row>
    <row r="214">
      <c r="A214" t="n">
        <v>1736</v>
      </c>
      <c r="B214" t="inlineStr">
        <is>
          <t>A-497__652</t>
        </is>
      </c>
      <c r="C214" t="n">
        <v>37.2009137797</v>
      </c>
      <c r="D214" t="n">
        <v>-6.98975988812</v>
      </c>
      <c r="E214" t="n">
        <v>2</v>
      </c>
      <c r="F214" t="n">
        <v>2</v>
      </c>
      <c r="G214" t="n">
        <v>3</v>
      </c>
      <c r="J214" t="inlineStr">
        <is>
          <t>Moda</t>
        </is>
      </c>
      <c r="K214" t="n">
        <v>2</v>
      </c>
      <c r="L214" t="n">
        <v>3.279</v>
      </c>
      <c r="M214" t="n">
        <v>1</v>
      </c>
      <c r="N214" t="inlineStr">
        <is>
          <t>val</t>
        </is>
      </c>
      <c r="O214">
        <f>HYPERLINK("2\1\marker_810_371218.png", "Ver Imagen")</f>
        <v/>
      </c>
      <c r="P214">
        <f>HYPERLINK("SE\A-497\A-497__652.png", "Ver Imagen")</f>
        <v/>
      </c>
    </row>
    <row r="215">
      <c r="A215" t="n">
        <v>1741</v>
      </c>
      <c r="B215" t="inlineStr">
        <is>
          <t>A-497_2C__374</t>
        </is>
      </c>
      <c r="C215" t="n">
        <v>37.2345783602</v>
      </c>
      <c r="D215" t="n">
        <v>-7.01819963956</v>
      </c>
      <c r="E215" t="n">
        <v>2</v>
      </c>
      <c r="F215" t="n">
        <v>2</v>
      </c>
      <c r="G215" t="n">
        <v>3</v>
      </c>
      <c r="J215" t="inlineStr">
        <is>
          <t>Moda</t>
        </is>
      </c>
      <c r="K215" t="n">
        <v>2</v>
      </c>
      <c r="L215" t="n">
        <v>2.533</v>
      </c>
      <c r="M215" t="n">
        <v>1</v>
      </c>
      <c r="N215" t="inlineStr">
        <is>
          <t>train</t>
        </is>
      </c>
      <c r="O215">
        <f>HYPERLINK("2\1\marker_578_362533.png", "Ver Imagen")</f>
        <v/>
      </c>
      <c r="P215">
        <f>HYPERLINK("SE\A-497_2C\A-497_2C__374.png", "Ver Imagen")</f>
        <v/>
      </c>
    </row>
    <row r="216">
      <c r="A216" t="n">
        <v>1742</v>
      </c>
      <c r="B216" t="inlineStr">
        <is>
          <t>A-497_2C__381</t>
        </is>
      </c>
      <c r="C216" t="n">
        <v>37.2331673355</v>
      </c>
      <c r="D216" t="n">
        <v>-7.01831692461</v>
      </c>
      <c r="E216" t="n">
        <v>2</v>
      </c>
      <c r="F216" t="n">
        <v>2</v>
      </c>
      <c r="G216" t="n">
        <v>3</v>
      </c>
      <c r="J216" t="inlineStr">
        <is>
          <t>Moda</t>
        </is>
      </c>
      <c r="K216" t="n">
        <v>2</v>
      </c>
      <c r="L216" t="n">
        <v>2.55</v>
      </c>
      <c r="M216" t="n">
        <v>1</v>
      </c>
      <c r="N216" t="inlineStr">
        <is>
          <t>val</t>
        </is>
      </c>
      <c r="O216">
        <f>HYPERLINK("2\1\marker_394_362713.png", "Ver Imagen")</f>
        <v/>
      </c>
      <c r="P216">
        <f>HYPERLINK("SE\A-497_2C\A-497_2C__381.png", "Ver Imagen")</f>
        <v/>
      </c>
    </row>
    <row r="217">
      <c r="A217" t="n">
        <v>1743</v>
      </c>
      <c r="B217" t="inlineStr">
        <is>
          <t>A-497_2C__404</t>
        </is>
      </c>
      <c r="C217" t="n">
        <v>37.2290790376</v>
      </c>
      <c r="D217" t="n">
        <v>-7.02116180872</v>
      </c>
      <c r="E217" t="n">
        <v>3</v>
      </c>
      <c r="F217" t="n">
        <v>2</v>
      </c>
      <c r="G217" t="n">
        <v>2</v>
      </c>
      <c r="J217" t="inlineStr">
        <is>
          <t>Moda</t>
        </is>
      </c>
      <c r="K217" t="n">
        <v>2</v>
      </c>
      <c r="L217" t="n">
        <v>2.864</v>
      </c>
      <c r="M217" t="n">
        <v>1</v>
      </c>
      <c r="N217" t="inlineStr">
        <is>
          <t>val</t>
        </is>
      </c>
      <c r="O217">
        <f>HYPERLINK("2\1\marker_515_362951.png", "Ver Imagen")</f>
        <v/>
      </c>
      <c r="P217">
        <f>HYPERLINK("SE\A-497_2C\A-497_2C__404.png", "Ver Imagen")</f>
        <v/>
      </c>
    </row>
    <row r="218">
      <c r="A218" t="n">
        <v>1758</v>
      </c>
      <c r="B218" t="inlineStr">
        <is>
          <t>A-497_2C__572</t>
        </is>
      </c>
      <c r="C218" t="n">
        <v>37.2036250579</v>
      </c>
      <c r="D218" t="n">
        <v>-7.0088194818</v>
      </c>
      <c r="E218" t="n">
        <v>2</v>
      </c>
      <c r="F218" t="n">
        <v>2</v>
      </c>
      <c r="G218" t="n">
        <v>3</v>
      </c>
      <c r="J218" t="inlineStr">
        <is>
          <t>Moda</t>
        </is>
      </c>
      <c r="K218" t="n">
        <v>2</v>
      </c>
      <c r="L218" t="n">
        <v>3.16</v>
      </c>
      <c r="M218" t="n">
        <v>1</v>
      </c>
      <c r="N218" t="inlineStr">
        <is>
          <t>val</t>
        </is>
      </c>
      <c r="O218">
        <f>HYPERLINK("2\1\marker_875_366503.png", "Ver Imagen")</f>
        <v/>
      </c>
      <c r="P218">
        <f>HYPERLINK("SE\A-497_2C\A-497_2C__572.png", "Ver Imagen")</f>
        <v/>
      </c>
    </row>
    <row r="219">
      <c r="A219" t="n">
        <v>1780</v>
      </c>
      <c r="B219" t="inlineStr">
        <is>
          <t>A-497__208</t>
        </is>
      </c>
      <c r="C219" t="n">
        <v>37.2640070522</v>
      </c>
      <c r="D219" t="n">
        <v>-7.00382252087</v>
      </c>
      <c r="E219" t="n">
        <v>2</v>
      </c>
      <c r="F219" t="n">
        <v>2</v>
      </c>
      <c r="G219" t="n">
        <v>3</v>
      </c>
      <c r="J219" t="inlineStr">
        <is>
          <t>Moda</t>
        </is>
      </c>
      <c r="K219" t="n">
        <v>2</v>
      </c>
      <c r="L219" t="n">
        <v>2.736</v>
      </c>
      <c r="M219" t="n">
        <v>1</v>
      </c>
      <c r="N219" t="inlineStr">
        <is>
          <t>val</t>
        </is>
      </c>
      <c r="O219">
        <f>HYPERLINK("2\1\marker_682_379278.png", "Ver Imagen")</f>
        <v/>
      </c>
      <c r="P219">
        <f>HYPERLINK("SE\A-497\A-497__208.png", "Ver Imagen")</f>
        <v/>
      </c>
    </row>
    <row r="220">
      <c r="A220" t="n">
        <v>1794</v>
      </c>
      <c r="B220" t="inlineStr">
        <is>
          <t>A-490__245</t>
        </is>
      </c>
      <c r="C220" t="n">
        <v>37.4652506305</v>
      </c>
      <c r="D220" t="n">
        <v>-7.18077492251</v>
      </c>
      <c r="E220" t="n">
        <v>3</v>
      </c>
      <c r="F220" t="n">
        <v>3</v>
      </c>
      <c r="G220" t="n">
        <v>3</v>
      </c>
      <c r="J220" t="inlineStr">
        <is>
          <t>Moda</t>
        </is>
      </c>
      <c r="K220" t="n">
        <v>3</v>
      </c>
      <c r="L220" t="n">
        <v>2.482</v>
      </c>
      <c r="M220" t="n">
        <v>1</v>
      </c>
      <c r="N220" t="inlineStr">
        <is>
          <t>test</t>
        </is>
      </c>
      <c r="O220">
        <f>HYPERLINK("3\0\marker_688_749402.png", "Ver Imagen")</f>
        <v/>
      </c>
      <c r="P220">
        <f>HYPERLINK("NE\A-490\A-490__245.png", "Ver Imagen")</f>
        <v/>
      </c>
    </row>
    <row r="221">
      <c r="A221" t="n">
        <v>1796</v>
      </c>
      <c r="B221" t="inlineStr">
        <is>
          <t>A-492__79</t>
        </is>
      </c>
      <c r="C221" t="n">
        <v>37.280579206</v>
      </c>
      <c r="D221" t="n">
        <v>-7.00225055188</v>
      </c>
      <c r="E221" t="n">
        <v>3</v>
      </c>
      <c r="F221" t="n">
        <v>3</v>
      </c>
      <c r="G221" t="n">
        <v>3</v>
      </c>
      <c r="J221" t="inlineStr">
        <is>
          <t>Moda</t>
        </is>
      </c>
      <c r="K221" t="n">
        <v>3</v>
      </c>
      <c r="L221" t="n">
        <v>2.181</v>
      </c>
      <c r="M221" t="n">
        <v>1</v>
      </c>
      <c r="N221" t="inlineStr">
        <is>
          <t>test</t>
        </is>
      </c>
      <c r="O221">
        <f>HYPERLINK("3\0\marker_941_823480.png", "Ver Imagen")</f>
        <v/>
      </c>
      <c r="P221">
        <f>HYPERLINK("SE\A-492\A-492__79.png", "Ver Imagen")</f>
        <v/>
      </c>
    </row>
    <row r="222">
      <c r="A222" t="n">
        <v>1798</v>
      </c>
      <c r="B222" t="inlineStr">
        <is>
          <t>A-492__89</t>
        </is>
      </c>
      <c r="C222" t="n">
        <v>37.2804768059</v>
      </c>
      <c r="D222" t="n">
        <v>-7.00475923726</v>
      </c>
      <c r="E222" t="n">
        <v>3</v>
      </c>
      <c r="F222" t="n">
        <v>3</v>
      </c>
      <c r="G222" t="n">
        <v>3</v>
      </c>
      <c r="J222" t="inlineStr">
        <is>
          <t>Moda</t>
        </is>
      </c>
      <c r="K222" t="n">
        <v>3</v>
      </c>
      <c r="L222" t="n">
        <v>2.211</v>
      </c>
      <c r="M222" t="n">
        <v>1</v>
      </c>
      <c r="N222" t="inlineStr">
        <is>
          <t>val</t>
        </is>
      </c>
      <c r="O222">
        <f>HYPERLINK("3\0\marker_967_823605.png", "Ver Imagen")</f>
        <v/>
      </c>
      <c r="P222">
        <f>HYPERLINK("SE\A-492\A-492__89.png", "Ver Imagen")</f>
        <v/>
      </c>
    </row>
    <row r="223">
      <c r="A223" t="n">
        <v>1802</v>
      </c>
      <c r="B223" t="inlineStr">
        <is>
          <t>A-497__68</t>
        </is>
      </c>
      <c r="C223" t="n">
        <v>37.2683240427</v>
      </c>
      <c r="D223" t="n">
        <v>-6.97278793688</v>
      </c>
      <c r="E223" t="n">
        <v>3</v>
      </c>
      <c r="F223" t="n">
        <v>3</v>
      </c>
      <c r="G223" t="n">
        <v>3</v>
      </c>
      <c r="J223" t="inlineStr">
        <is>
          <t>Moda</t>
        </is>
      </c>
      <c r="K223" t="n">
        <v>3</v>
      </c>
      <c r="L223" t="n">
        <v>3.587</v>
      </c>
      <c r="M223" t="n">
        <v>1</v>
      </c>
      <c r="N223" t="inlineStr">
        <is>
          <t>test</t>
        </is>
      </c>
      <c r="O223">
        <f>HYPERLINK("3\0\marker_679_938063.png", "Ver Imagen")</f>
        <v/>
      </c>
      <c r="P223">
        <f>HYPERLINK("SE\A-497\A-497__68.png", "Ver Imagen")</f>
        <v/>
      </c>
    </row>
    <row r="224">
      <c r="A224" t="n">
        <v>1806</v>
      </c>
      <c r="B224" t="inlineStr">
        <is>
          <t>A-497__35</t>
        </is>
      </c>
      <c r="C224" t="n">
        <v>37.2675313621</v>
      </c>
      <c r="D224" t="n">
        <v>-6.96456463715</v>
      </c>
      <c r="E224" t="n">
        <v>3</v>
      </c>
      <c r="F224" t="n">
        <v>3</v>
      </c>
      <c r="G224" t="n">
        <v>3</v>
      </c>
      <c r="J224" t="inlineStr">
        <is>
          <t>Moda</t>
        </is>
      </c>
      <c r="K224" t="n">
        <v>3</v>
      </c>
      <c r="L224" t="n">
        <v>3.716</v>
      </c>
      <c r="M224" t="n">
        <v>1</v>
      </c>
      <c r="N224" t="inlineStr">
        <is>
          <t>val</t>
        </is>
      </c>
      <c r="O224">
        <f>HYPERLINK("3\0\marker_612_940330.png", "Ver Imagen")</f>
        <v/>
      </c>
      <c r="P224">
        <f>HYPERLINK("SE\A-497\A-497__35.png", "Ver Imagen")</f>
        <v/>
      </c>
    </row>
    <row r="225">
      <c r="A225" t="n">
        <v>1809</v>
      </c>
      <c r="B225" t="inlineStr">
        <is>
          <t>A-5050__116</t>
        </is>
      </c>
      <c r="C225" t="n">
        <v>37.1962841871</v>
      </c>
      <c r="D225" t="n">
        <v>-7.00317450536</v>
      </c>
      <c r="E225" t="n">
        <v>3</v>
      </c>
      <c r="F225" t="n">
        <v>3</v>
      </c>
      <c r="G225" t="n">
        <v>3</v>
      </c>
      <c r="J225" t="inlineStr">
        <is>
          <t>Moda</t>
        </is>
      </c>
      <c r="K225" t="n">
        <v>3</v>
      </c>
      <c r="L225" t="n">
        <v>2.473</v>
      </c>
      <c r="M225" t="n">
        <v>1</v>
      </c>
      <c r="N225" t="inlineStr">
        <is>
          <t>train</t>
        </is>
      </c>
      <c r="O225">
        <f>HYPERLINK("3\0\marker_421_946554.png", "Ver Imagen")</f>
        <v/>
      </c>
      <c r="P225">
        <f>HYPERLINK("SE\A-5050\A-5050__116.png", "Ver Imagen")</f>
        <v/>
      </c>
    </row>
    <row r="226">
      <c r="A226" t="n">
        <v>1811</v>
      </c>
      <c r="B226" t="inlineStr">
        <is>
          <t>A-5050__80</t>
        </is>
      </c>
      <c r="C226" t="n">
        <v>37.2001225642</v>
      </c>
      <c r="D226" t="n">
        <v>-7.01094420473</v>
      </c>
      <c r="E226" t="n">
        <v>3</v>
      </c>
      <c r="F226" t="n">
        <v>3</v>
      </c>
      <c r="G226" t="n">
        <v>3</v>
      </c>
      <c r="J226" t="inlineStr">
        <is>
          <t>Moda</t>
        </is>
      </c>
      <c r="K226" t="n">
        <v>3</v>
      </c>
      <c r="L226" t="n">
        <v>3.537</v>
      </c>
      <c r="M226" t="n">
        <v>1</v>
      </c>
      <c r="N226" t="inlineStr">
        <is>
          <t>test</t>
        </is>
      </c>
      <c r="O226">
        <f>HYPERLINK("3\0\marker_960_948775.png", "Ver Imagen")</f>
        <v/>
      </c>
      <c r="P226">
        <f>HYPERLINK("SE\A-5050\A-5050__80.png", "Ver Imagen")</f>
        <v/>
      </c>
    </row>
    <row r="227">
      <c r="A227" t="n">
        <v>1820</v>
      </c>
      <c r="B227" t="inlineStr">
        <is>
          <t>A-5050__34</t>
        </is>
      </c>
      <c r="C227" t="n">
        <v>37.2059730719</v>
      </c>
      <c r="D227" t="n">
        <v>-7.01998889516</v>
      </c>
      <c r="E227" t="n">
        <v>3</v>
      </c>
      <c r="F227" t="n">
        <v>3</v>
      </c>
      <c r="G227" t="n">
        <v>3</v>
      </c>
      <c r="J227" t="inlineStr">
        <is>
          <t>Moda</t>
        </is>
      </c>
      <c r="K227" t="n">
        <v>3</v>
      </c>
      <c r="L227" t="n">
        <v>2.336</v>
      </c>
      <c r="M227" t="n">
        <v>1</v>
      </c>
      <c r="N227" t="inlineStr">
        <is>
          <t>test</t>
        </is>
      </c>
      <c r="O227">
        <f>HYPERLINK("3\0\marker_633_949321.png", "Ver Imagen")</f>
        <v/>
      </c>
      <c r="P227">
        <f>HYPERLINK("SE\A-5050\A-5050__34.png", "Ver Imagen")</f>
        <v/>
      </c>
    </row>
    <row r="228">
      <c r="A228" t="n">
        <v>1825</v>
      </c>
      <c r="B228" t="inlineStr">
        <is>
          <t>A-5050__13</t>
        </is>
      </c>
      <c r="C228" t="n">
        <v>37.2082753181</v>
      </c>
      <c r="D228" t="n">
        <v>-7.02422227992</v>
      </c>
      <c r="E228" t="n">
        <v>3</v>
      </c>
      <c r="F228" t="n">
        <v>3</v>
      </c>
      <c r="G228" t="n">
        <v>3</v>
      </c>
      <c r="J228" t="inlineStr">
        <is>
          <t>Moda</t>
        </is>
      </c>
      <c r="K228" t="n">
        <v>3</v>
      </c>
      <c r="L228" t="n">
        <v>2.456</v>
      </c>
      <c r="M228" t="n">
        <v>1</v>
      </c>
      <c r="N228" t="inlineStr">
        <is>
          <t>test</t>
        </is>
      </c>
      <c r="O228">
        <f>HYPERLINK("3\0\marker_334_949565.png", "Ver Imagen")</f>
        <v/>
      </c>
      <c r="P228">
        <f>HYPERLINK("SE\A-5050\A-5050__13.png", "Ver Imagen")</f>
        <v/>
      </c>
    </row>
    <row r="229">
      <c r="A229" t="n">
        <v>1866</v>
      </c>
      <c r="B229" t="inlineStr">
        <is>
          <t>A-5053__278</t>
        </is>
      </c>
      <c r="C229" t="n">
        <v>37.2703398422</v>
      </c>
      <c r="D229" t="n">
        <v>-7.1398195134</v>
      </c>
      <c r="E229" t="n">
        <v>3</v>
      </c>
      <c r="F229" t="n">
        <v>3</v>
      </c>
      <c r="G229" t="n">
        <v>3</v>
      </c>
      <c r="J229" t="inlineStr">
        <is>
          <t>Moda</t>
        </is>
      </c>
      <c r="K229" t="n">
        <v>3</v>
      </c>
      <c r="L229" t="n">
        <v>2.421</v>
      </c>
      <c r="M229" t="n">
        <v>1</v>
      </c>
      <c r="N229" t="inlineStr">
        <is>
          <t>val</t>
        </is>
      </c>
      <c r="O229">
        <f>HYPERLINK("3\0\marker_730_965078.png", "Ver Imagen")</f>
        <v/>
      </c>
      <c r="P229">
        <f>HYPERLINK("SO\A-5053\A-5053__278.png", "Ver Imagen")</f>
        <v/>
      </c>
    </row>
    <row r="230">
      <c r="A230" t="n">
        <v>1870</v>
      </c>
      <c r="B230" t="inlineStr">
        <is>
          <t>A-5053__249</t>
        </is>
      </c>
      <c r="C230" t="n">
        <v>37.267325683</v>
      </c>
      <c r="D230" t="n">
        <v>-7.13383825868</v>
      </c>
      <c r="E230" t="n">
        <v>3</v>
      </c>
      <c r="F230" t="n">
        <v>3</v>
      </c>
      <c r="G230" t="n">
        <v>3</v>
      </c>
      <c r="J230" t="inlineStr">
        <is>
          <t>Moda</t>
        </is>
      </c>
      <c r="K230" t="n">
        <v>3</v>
      </c>
      <c r="L230" t="n">
        <v>3.952</v>
      </c>
      <c r="M230" t="n">
        <v>1</v>
      </c>
      <c r="N230" t="inlineStr">
        <is>
          <t>val</t>
        </is>
      </c>
      <c r="O230">
        <f>HYPERLINK("3\0\marker_624_965421.png", "Ver Imagen")</f>
        <v/>
      </c>
      <c r="P230">
        <f>HYPERLINK("SO\A-5053\A-5053__249.png", "Ver Imagen")</f>
        <v/>
      </c>
    </row>
    <row r="231">
      <c r="A231" t="n">
        <v>1877</v>
      </c>
      <c r="B231" t="inlineStr">
        <is>
          <t>A-5053__205</t>
        </is>
      </c>
      <c r="C231" t="n">
        <v>37.2594418341</v>
      </c>
      <c r="D231" t="n">
        <v>-7.12873693202</v>
      </c>
      <c r="E231" t="n">
        <v>3</v>
      </c>
      <c r="F231" t="n">
        <v>3</v>
      </c>
      <c r="G231" t="n">
        <v>3</v>
      </c>
      <c r="J231" t="inlineStr">
        <is>
          <t>Moda</t>
        </is>
      </c>
      <c r="K231" t="n">
        <v>3</v>
      </c>
      <c r="L231" t="n">
        <v>2.44</v>
      </c>
      <c r="M231" t="n">
        <v>1</v>
      </c>
      <c r="N231" t="inlineStr">
        <is>
          <t>test</t>
        </is>
      </c>
      <c r="O231">
        <f>HYPERLINK("3\0\marker_843_965843.png", "Ver Imagen")</f>
        <v/>
      </c>
      <c r="P231">
        <f>HYPERLINK("SO\A-5053\A-5053__205.png", "Ver Imagen")</f>
        <v/>
      </c>
    </row>
    <row r="232">
      <c r="A232" t="n">
        <v>1889</v>
      </c>
      <c r="B232" t="inlineStr">
        <is>
          <t>A-5053__34</t>
        </is>
      </c>
      <c r="C232" t="n">
        <v>37.2255079171</v>
      </c>
      <c r="D232" t="n">
        <v>-7.12593470499</v>
      </c>
      <c r="E232" t="n">
        <v>3</v>
      </c>
      <c r="F232" t="n">
        <v>3</v>
      </c>
      <c r="G232" t="n">
        <v>3</v>
      </c>
      <c r="J232" t="inlineStr">
        <is>
          <t>Moda</t>
        </is>
      </c>
      <c r="K232" t="n">
        <v>3</v>
      </c>
      <c r="L232" t="n">
        <v>2.474</v>
      </c>
      <c r="M232" t="n">
        <v>1</v>
      </c>
      <c r="N232" t="inlineStr">
        <is>
          <t>train</t>
        </is>
      </c>
      <c r="O232">
        <f>HYPERLINK("3\0\marker_307_021771.png", "Ver Imagen")</f>
        <v/>
      </c>
      <c r="P232">
        <f>HYPERLINK("SO\A-5053\A-5053__34.png", "Ver Imagen")</f>
        <v/>
      </c>
    </row>
    <row r="233">
      <c r="A233" t="n">
        <v>1898</v>
      </c>
      <c r="B233" t="inlineStr">
        <is>
          <t>A-5053__8</t>
        </is>
      </c>
      <c r="C233" t="n">
        <v>37.220539736</v>
      </c>
      <c r="D233" t="n">
        <v>-7.12576153085</v>
      </c>
      <c r="E233" t="n">
        <v>3</v>
      </c>
      <c r="F233" t="n">
        <v>3</v>
      </c>
      <c r="G233" t="n">
        <v>3</v>
      </c>
      <c r="J233" t="inlineStr">
        <is>
          <t>Moda</t>
        </is>
      </c>
      <c r="K233" t="n">
        <v>3</v>
      </c>
      <c r="L233" t="n">
        <v>2.468</v>
      </c>
      <c r="M233" t="n">
        <v>1</v>
      </c>
      <c r="N233" t="inlineStr">
        <is>
          <t>train</t>
        </is>
      </c>
      <c r="O233">
        <f>HYPERLINK("3\0\marker_932_025131.png", "Ver Imagen")</f>
        <v/>
      </c>
      <c r="P233">
        <f>HYPERLINK("SO\A-5053\A-5053__8.png", "Ver Imagen")</f>
        <v/>
      </c>
    </row>
    <row r="234">
      <c r="A234" t="n">
        <v>1916</v>
      </c>
      <c r="B234" t="inlineStr">
        <is>
          <t>A-495__59</t>
        </is>
      </c>
      <c r="C234" t="n">
        <v>37.4396156896</v>
      </c>
      <c r="D234" t="n">
        <v>-7.08685038074</v>
      </c>
      <c r="E234" t="n">
        <v>3</v>
      </c>
      <c r="F234" t="n">
        <v>3</v>
      </c>
      <c r="G234" t="n">
        <v>3</v>
      </c>
      <c r="J234" t="inlineStr">
        <is>
          <t>Moda</t>
        </is>
      </c>
      <c r="K234" t="n">
        <v>3</v>
      </c>
      <c r="L234" t="n">
        <v>2.174</v>
      </c>
      <c r="M234" t="n">
        <v>1</v>
      </c>
      <c r="N234" t="inlineStr">
        <is>
          <t>test</t>
        </is>
      </c>
      <c r="O234">
        <f>HYPERLINK("3\0\marker_821_381702.png", "Ver Imagen")</f>
        <v/>
      </c>
      <c r="P234">
        <f>HYPERLINK("NE\A-495\A-495__59.png", "Ver Imagen")</f>
        <v/>
      </c>
    </row>
    <row r="235">
      <c r="A235" t="n">
        <v>1920</v>
      </c>
      <c r="B235" t="inlineStr">
        <is>
          <t>A-495__92</t>
        </is>
      </c>
      <c r="C235" t="n">
        <v>37.4368492978</v>
      </c>
      <c r="D235" t="n">
        <v>-7.07942613734</v>
      </c>
      <c r="E235" t="n">
        <v>3</v>
      </c>
      <c r="F235" t="n">
        <v>3</v>
      </c>
      <c r="G235" t="n">
        <v>3</v>
      </c>
      <c r="J235" t="inlineStr">
        <is>
          <t>Moda</t>
        </is>
      </c>
      <c r="K235" t="n">
        <v>3</v>
      </c>
      <c r="L235" t="n">
        <v>2.44</v>
      </c>
      <c r="M235" t="n">
        <v>1</v>
      </c>
      <c r="N235" t="inlineStr">
        <is>
          <t>test</t>
        </is>
      </c>
      <c r="O235">
        <f>HYPERLINK("3\0\marker_378_382079.png", "Ver Imagen")</f>
        <v/>
      </c>
      <c r="P235">
        <f>HYPERLINK("NE\A-495\A-495__92.png", "Ver Imagen")</f>
        <v/>
      </c>
    </row>
    <row r="236">
      <c r="A236" t="n">
        <v>1938</v>
      </c>
      <c r="B236" t="inlineStr">
        <is>
          <t>A-5059__16</t>
        </is>
      </c>
      <c r="C236" t="n">
        <v>37.2314632897</v>
      </c>
      <c r="D236" t="n">
        <v>-7.06367140073</v>
      </c>
      <c r="E236" t="n">
        <v>3</v>
      </c>
      <c r="F236" t="n">
        <v>3</v>
      </c>
      <c r="G236" t="n">
        <v>3</v>
      </c>
      <c r="J236" t="inlineStr">
        <is>
          <t>Moda</t>
        </is>
      </c>
      <c r="K236" t="n">
        <v>3</v>
      </c>
      <c r="L236" t="n">
        <v>2.144</v>
      </c>
      <c r="M236" t="n">
        <v>1</v>
      </c>
      <c r="N236" t="inlineStr">
        <is>
          <t>test</t>
        </is>
      </c>
      <c r="O236">
        <f>HYPERLINK("3\0\marker_922_379525.png", "Ver Imagen")</f>
        <v/>
      </c>
      <c r="P236">
        <f>HYPERLINK("SE\A-5059\A-5059__16.png", "Ver Imagen")</f>
        <v/>
      </c>
    </row>
    <row r="237">
      <c r="A237" t="n">
        <v>1953</v>
      </c>
      <c r="B237" t="inlineStr">
        <is>
          <t>A-5058__28</t>
        </is>
      </c>
      <c r="C237" t="n">
        <v>37.2246757666</v>
      </c>
      <c r="D237" t="n">
        <v>-7.0342272152</v>
      </c>
      <c r="E237" t="n">
        <v>3</v>
      </c>
      <c r="F237" t="n">
        <v>3</v>
      </c>
      <c r="G237" t="n">
        <v>3</v>
      </c>
      <c r="J237" t="inlineStr">
        <is>
          <t>Moda</t>
        </is>
      </c>
      <c r="K237" t="n">
        <v>3</v>
      </c>
      <c r="L237" t="n">
        <v>2.136</v>
      </c>
      <c r="M237" t="n">
        <v>1</v>
      </c>
      <c r="N237" t="inlineStr">
        <is>
          <t>test</t>
        </is>
      </c>
      <c r="O237">
        <f>HYPERLINK("3\0\marker_323_380169.png", "Ver Imagen")</f>
        <v/>
      </c>
      <c r="P237">
        <f>HYPERLINK("SE\A-5058\A-5058__28.png", "Ver Imagen")</f>
        <v/>
      </c>
    </row>
    <row r="238">
      <c r="A238" t="n">
        <v>1958</v>
      </c>
      <c r="B238" t="inlineStr">
        <is>
          <t>A-5058__59</t>
        </is>
      </c>
      <c r="C238" t="n">
        <v>37.2254824702</v>
      </c>
      <c r="D238" t="n">
        <v>-7.04163785379</v>
      </c>
      <c r="E238" t="n">
        <v>3</v>
      </c>
      <c r="F238" t="n">
        <v>3</v>
      </c>
      <c r="G238" t="n">
        <v>3</v>
      </c>
      <c r="J238" t="inlineStr">
        <is>
          <t>Moda</t>
        </is>
      </c>
      <c r="K238" t="n">
        <v>3</v>
      </c>
      <c r="L238" t="n">
        <v>2.201</v>
      </c>
      <c r="M238" t="n">
        <v>1</v>
      </c>
      <c r="N238" t="inlineStr">
        <is>
          <t>val</t>
        </is>
      </c>
      <c r="O238">
        <f>HYPERLINK("3\0\marker_910_380634.png", "Ver Imagen")</f>
        <v/>
      </c>
      <c r="P238">
        <f>HYPERLINK("SE\A-5058\A-5058__59.png", "Ver Imagen")</f>
        <v/>
      </c>
    </row>
    <row r="239">
      <c r="A239" t="n">
        <v>1960</v>
      </c>
      <c r="B239" t="inlineStr">
        <is>
          <t>A-5058__80</t>
        </is>
      </c>
      <c r="C239" t="n">
        <v>37.2280394386</v>
      </c>
      <c r="D239" t="n">
        <v>-7.04576345667</v>
      </c>
      <c r="E239" t="n">
        <v>3</v>
      </c>
      <c r="F239" t="n">
        <v>3</v>
      </c>
      <c r="G239" t="n">
        <v>3</v>
      </c>
      <c r="J239" t="inlineStr">
        <is>
          <t>Moda</t>
        </is>
      </c>
      <c r="K239" t="n">
        <v>3</v>
      </c>
      <c r="L239" t="n">
        <v>2.454</v>
      </c>
      <c r="M239" t="n">
        <v>1</v>
      </c>
      <c r="N239" t="inlineStr">
        <is>
          <t>val</t>
        </is>
      </c>
      <c r="O239">
        <f>HYPERLINK("3\0\marker_770_380860.png", "Ver Imagen")</f>
        <v/>
      </c>
      <c r="P239">
        <f>HYPERLINK("SE\A-5058\A-5058__80.png", "Ver Imagen")</f>
        <v/>
      </c>
    </row>
    <row r="240">
      <c r="A240" t="n">
        <v>1966</v>
      </c>
      <c r="B240" t="inlineStr">
        <is>
          <t>A-5058__135</t>
        </is>
      </c>
      <c r="C240" t="n">
        <v>37.2338364099</v>
      </c>
      <c r="D240" t="n">
        <v>-7.05747788397</v>
      </c>
      <c r="E240" t="n">
        <v>3</v>
      </c>
      <c r="F240" t="n">
        <v>3</v>
      </c>
      <c r="G240" t="n">
        <v>3</v>
      </c>
      <c r="J240" t="inlineStr">
        <is>
          <t>Moda</t>
        </is>
      </c>
      <c r="K240" t="n">
        <v>3</v>
      </c>
      <c r="L240" t="n">
        <v>1.923</v>
      </c>
      <c r="M240" t="n">
        <v>1</v>
      </c>
      <c r="N240" t="inlineStr">
        <is>
          <t>val</t>
        </is>
      </c>
      <c r="O240">
        <f>HYPERLINK("3\0\marker_535_381518.png", "Ver Imagen")</f>
        <v/>
      </c>
      <c r="P240">
        <f>HYPERLINK("SE\A-5058\A-5058__135.png", "Ver Imagen")</f>
        <v/>
      </c>
    </row>
    <row r="241">
      <c r="A241" t="n">
        <v>1987</v>
      </c>
      <c r="B241" t="inlineStr">
        <is>
          <t>A-5058__230</t>
        </is>
      </c>
      <c r="C241" t="n">
        <v>37.2387287925</v>
      </c>
      <c r="D241" t="n">
        <v>-7.07947560172</v>
      </c>
      <c r="E241" t="n">
        <v>3</v>
      </c>
      <c r="F241" t="n">
        <v>3</v>
      </c>
      <c r="G241" t="n">
        <v>3</v>
      </c>
      <c r="J241" t="inlineStr">
        <is>
          <t>Moda</t>
        </is>
      </c>
      <c r="K241" t="n">
        <v>3</v>
      </c>
      <c r="L241" t="n">
        <v>2.492</v>
      </c>
      <c r="M241" t="n">
        <v>1</v>
      </c>
      <c r="N241" t="inlineStr">
        <is>
          <t>test</t>
        </is>
      </c>
      <c r="O241">
        <f>HYPERLINK("3\0\marker_987_383249.png", "Ver Imagen")</f>
        <v/>
      </c>
      <c r="P241">
        <f>HYPERLINK("SO\A-5058\A-5058__230.png", "Ver Imagen")</f>
        <v/>
      </c>
    </row>
    <row r="242">
      <c r="A242" t="n">
        <v>1998</v>
      </c>
      <c r="B242" t="inlineStr">
        <is>
          <t>A-5058__293</t>
        </is>
      </c>
      <c r="C242" t="n">
        <v>37.2453028766</v>
      </c>
      <c r="D242" t="n">
        <v>-7.09293603779</v>
      </c>
      <c r="E242" t="n">
        <v>3</v>
      </c>
      <c r="F242" t="n">
        <v>3</v>
      </c>
      <c r="G242" t="n">
        <v>3</v>
      </c>
      <c r="J242" t="inlineStr">
        <is>
          <t>Moda</t>
        </is>
      </c>
      <c r="K242" t="n">
        <v>3</v>
      </c>
      <c r="L242" t="n">
        <v>1.88</v>
      </c>
      <c r="M242" t="n">
        <v>1</v>
      </c>
      <c r="N242" t="inlineStr">
        <is>
          <t>test</t>
        </is>
      </c>
      <c r="O242">
        <f>HYPERLINK("3\0\marker_904_384182.png", "Ver Imagen")</f>
        <v/>
      </c>
      <c r="P242">
        <f>HYPERLINK("SE\A-5058\A-5058__293.png", "Ver Imagen")</f>
        <v/>
      </c>
    </row>
    <row r="243">
      <c r="A243" t="n">
        <v>1998</v>
      </c>
      <c r="B243" t="inlineStr">
        <is>
          <t>A-5058__293</t>
        </is>
      </c>
      <c r="C243" t="n">
        <v>37.2453028766</v>
      </c>
      <c r="D243" t="n">
        <v>-7.09293603779</v>
      </c>
      <c r="E243" t="n">
        <v>3</v>
      </c>
      <c r="F243" t="n">
        <v>3</v>
      </c>
      <c r="G243" t="n">
        <v>3</v>
      </c>
      <c r="J243" t="inlineStr">
        <is>
          <t>Moda</t>
        </is>
      </c>
      <c r="K243" t="n">
        <v>3</v>
      </c>
      <c r="L243" t="n">
        <v>1.634</v>
      </c>
      <c r="M243" t="n">
        <v>1</v>
      </c>
      <c r="N243" t="inlineStr">
        <is>
          <t>test</t>
        </is>
      </c>
      <c r="O243">
        <f>HYPERLINK("3\0\marker_904_384182.png", "Ver Imagen")</f>
        <v/>
      </c>
      <c r="P243">
        <f>HYPERLINK("SO\A-5058\A-5058__293.png", "Ver Imagen")</f>
        <v/>
      </c>
    </row>
    <row r="244">
      <c r="A244" t="n">
        <v>2006</v>
      </c>
      <c r="B244" t="inlineStr">
        <is>
          <t>A-5058__337</t>
        </is>
      </c>
      <c r="C244" t="n">
        <v>37.249133442</v>
      </c>
      <c r="D244" t="n">
        <v>-7.10233100284</v>
      </c>
      <c r="E244" t="n">
        <v>3</v>
      </c>
      <c r="F244" t="n">
        <v>3</v>
      </c>
      <c r="G244" t="n">
        <v>3</v>
      </c>
      <c r="J244" t="inlineStr">
        <is>
          <t>Moda</t>
        </is>
      </c>
      <c r="K244" t="n">
        <v>3</v>
      </c>
      <c r="L244" t="n">
        <v>3.558</v>
      </c>
      <c r="M244" t="n">
        <v>1</v>
      </c>
      <c r="N244" t="inlineStr">
        <is>
          <t>train</t>
        </is>
      </c>
      <c r="O244">
        <f>HYPERLINK("3\0\marker_331_384722.png", "Ver Imagen")</f>
        <v/>
      </c>
      <c r="P244">
        <f>HYPERLINK("SO\A-5058\A-5058__337.png", "Ver Imagen")</f>
        <v/>
      </c>
    </row>
    <row r="245">
      <c r="A245" t="n">
        <v>2008</v>
      </c>
      <c r="B245" t="inlineStr">
        <is>
          <t>A-5058__376</t>
        </is>
      </c>
      <c r="C245" t="n">
        <v>37.2548192534</v>
      </c>
      <c r="D245" t="n">
        <v>-7.10865884658</v>
      </c>
      <c r="E245" t="n">
        <v>3</v>
      </c>
      <c r="F245" t="n">
        <v>3</v>
      </c>
      <c r="G245" t="n">
        <v>3</v>
      </c>
      <c r="J245" t="inlineStr">
        <is>
          <t>Moda</t>
        </is>
      </c>
      <c r="K245" t="n">
        <v>3</v>
      </c>
      <c r="L245" t="n">
        <v>2.472</v>
      </c>
      <c r="M245" t="n">
        <v>1</v>
      </c>
      <c r="N245" t="inlineStr">
        <is>
          <t>test</t>
        </is>
      </c>
      <c r="O245">
        <f>HYPERLINK("3\0\marker_550_385144.png", "Ver Imagen")</f>
        <v/>
      </c>
      <c r="P245">
        <f>HYPERLINK("SO\A-5058\A-5058__376.png", "Ver Imagen")</f>
        <v/>
      </c>
    </row>
    <row r="246">
      <c r="A246" t="n">
        <v>2012</v>
      </c>
      <c r="B246" t="inlineStr">
        <is>
          <t>A-5058__396</t>
        </is>
      </c>
      <c r="C246" t="n">
        <v>37.254938344</v>
      </c>
      <c r="D246" t="n">
        <v>-7.11338112183</v>
      </c>
      <c r="E246" t="n">
        <v>3</v>
      </c>
      <c r="F246" t="n">
        <v>3</v>
      </c>
      <c r="G246" t="n">
        <v>3</v>
      </c>
      <c r="J246" t="inlineStr">
        <is>
          <t>Moda</t>
        </is>
      </c>
      <c r="K246" t="n">
        <v>3</v>
      </c>
      <c r="L246" t="n">
        <v>2.43</v>
      </c>
      <c r="M246" t="n">
        <v>1</v>
      </c>
      <c r="N246" t="inlineStr">
        <is>
          <t>train</t>
        </is>
      </c>
      <c r="O246">
        <f>HYPERLINK("3\0\marker_601_385377.png", "Ver Imagen")</f>
        <v/>
      </c>
      <c r="P246">
        <f>HYPERLINK("SO\A-5058\A-5058__396.png", "Ver Imagen")</f>
        <v/>
      </c>
    </row>
    <row r="247">
      <c r="A247" t="n">
        <v>2023</v>
      </c>
      <c r="B247" t="inlineStr">
        <is>
          <t>A-495_1__178</t>
        </is>
      </c>
      <c r="C247" t="n">
        <v>37.4819050303</v>
      </c>
      <c r="D247" t="n">
        <v>-7.12819366079</v>
      </c>
      <c r="E247" t="n">
        <v>3</v>
      </c>
      <c r="F247" t="n">
        <v>3</v>
      </c>
      <c r="G247" t="n">
        <v>3</v>
      </c>
      <c r="J247" t="inlineStr">
        <is>
          <t>Moda</t>
        </is>
      </c>
      <c r="K247" t="n">
        <v>3</v>
      </c>
      <c r="L247" t="n">
        <v>2.026</v>
      </c>
      <c r="M247" t="n">
        <v>1</v>
      </c>
      <c r="N247" t="inlineStr">
        <is>
          <t>val</t>
        </is>
      </c>
      <c r="O247">
        <f>HYPERLINK("3\0\marker_323_383910.png", "Ver Imagen")</f>
        <v/>
      </c>
      <c r="P247">
        <f>HYPERLINK("NE\A-495_1\A-495_1__178.png", "Ver Imagen")</f>
        <v/>
      </c>
    </row>
    <row r="248">
      <c r="A248" t="n">
        <v>2024</v>
      </c>
      <c r="B248" t="inlineStr">
        <is>
          <t>A-495_1__168</t>
        </is>
      </c>
      <c r="C248" t="n">
        <v>37.4799478405</v>
      </c>
      <c r="D248" t="n">
        <v>-7.12789286893</v>
      </c>
      <c r="E248" t="n">
        <v>3</v>
      </c>
      <c r="F248" t="n">
        <v>3</v>
      </c>
      <c r="G248" t="n">
        <v>3</v>
      </c>
      <c r="J248" t="inlineStr">
        <is>
          <t>Moda</t>
        </is>
      </c>
      <c r="K248" t="n">
        <v>3</v>
      </c>
      <c r="L248" t="n">
        <v>2.498</v>
      </c>
      <c r="M248" t="n">
        <v>1</v>
      </c>
      <c r="N248" t="inlineStr">
        <is>
          <t>train</t>
        </is>
      </c>
      <c r="O248">
        <f>HYPERLINK("3\0\marker_814_384011.png", "Ver Imagen")</f>
        <v/>
      </c>
      <c r="P248">
        <f>HYPERLINK("NE\A-495_1\A-495_1__168.png", "Ver Imagen")</f>
        <v/>
      </c>
    </row>
    <row r="249">
      <c r="A249" t="n">
        <v>2027</v>
      </c>
      <c r="B249" t="inlineStr">
        <is>
          <t>A-495_1__99</t>
        </is>
      </c>
      <c r="C249" t="n">
        <v>37.4673788473</v>
      </c>
      <c r="D249" t="n">
        <v>-7.12294610956</v>
      </c>
      <c r="E249" t="n">
        <v>3</v>
      </c>
      <c r="F249" t="n">
        <v>3</v>
      </c>
      <c r="G249" t="n">
        <v>3</v>
      </c>
      <c r="J249" t="inlineStr">
        <is>
          <t>Moda</t>
        </is>
      </c>
      <c r="K249" t="n">
        <v>3</v>
      </c>
      <c r="L249" t="n">
        <v>2.323</v>
      </c>
      <c r="M249" t="n">
        <v>1</v>
      </c>
      <c r="N249" t="inlineStr">
        <is>
          <t>val</t>
        </is>
      </c>
      <c r="O249">
        <f>HYPERLINK("3\0\marker_714_385051.png", "Ver Imagen")</f>
        <v/>
      </c>
      <c r="P249">
        <f>HYPERLINK("NE\A-495_1\A-495_1__99.png", "Ver Imagen")</f>
        <v/>
      </c>
    </row>
    <row r="250">
      <c r="A250" t="n">
        <v>2035</v>
      </c>
      <c r="B250" t="inlineStr">
        <is>
          <t>A-497__830</t>
        </is>
      </c>
      <c r="C250" t="n">
        <v>37.1984165226</v>
      </c>
      <c r="D250" t="n">
        <v>-6.98146217359</v>
      </c>
      <c r="E250" t="n">
        <v>3</v>
      </c>
      <c r="F250" t="n">
        <v>3</v>
      </c>
      <c r="G250" t="n">
        <v>3</v>
      </c>
      <c r="J250" t="inlineStr">
        <is>
          <t>Moda</t>
        </is>
      </c>
      <c r="K250" t="n">
        <v>3</v>
      </c>
      <c r="L250" t="n">
        <v>3.558</v>
      </c>
      <c r="M250" t="n">
        <v>1</v>
      </c>
      <c r="N250" t="inlineStr">
        <is>
          <t>train</t>
        </is>
      </c>
      <c r="O250">
        <f>HYPERLINK("3\0\marker_636_367648.png", "Ver Imagen")</f>
        <v/>
      </c>
      <c r="P250">
        <f>HYPERLINK("SE\A-497\A-497__830.png", "Ver Imagen")</f>
        <v/>
      </c>
    </row>
    <row r="251">
      <c r="A251" t="n">
        <v>2038</v>
      </c>
      <c r="B251" t="inlineStr">
        <is>
          <t>A-497__823</t>
        </is>
      </c>
      <c r="C251" t="n">
        <v>37.197552757</v>
      </c>
      <c r="D251" t="n">
        <v>-6.98008617829</v>
      </c>
      <c r="E251" t="n">
        <v>3</v>
      </c>
      <c r="F251" t="n">
        <v>3</v>
      </c>
      <c r="G251" t="n">
        <v>3</v>
      </c>
      <c r="J251" t="inlineStr">
        <is>
          <t>Moda</t>
        </is>
      </c>
      <c r="K251" t="n">
        <v>3</v>
      </c>
      <c r="L251" t="n">
        <v>3.574</v>
      </c>
      <c r="M251" t="n">
        <v>1</v>
      </c>
      <c r="N251" t="inlineStr">
        <is>
          <t>val</t>
        </is>
      </c>
      <c r="O251">
        <f>HYPERLINK("3\0\marker_891_367721.png", "Ver Imagen")</f>
        <v/>
      </c>
      <c r="P251">
        <f>HYPERLINK("SE\A-497\A-497__823.png", "Ver Imagen")</f>
        <v/>
      </c>
    </row>
    <row r="252">
      <c r="A252" t="n">
        <v>2085</v>
      </c>
      <c r="B252" t="inlineStr">
        <is>
          <t>A-497_2C__178</t>
        </is>
      </c>
      <c r="C252" t="n">
        <v>37.2651948544</v>
      </c>
      <c r="D252" t="n">
        <v>-6.99765431101</v>
      </c>
      <c r="E252" t="n">
        <v>3</v>
      </c>
      <c r="F252" t="n">
        <v>3</v>
      </c>
      <c r="G252" t="n">
        <v>3</v>
      </c>
      <c r="J252" t="inlineStr">
        <is>
          <t>Moda</t>
        </is>
      </c>
      <c r="K252" t="n">
        <v>3</v>
      </c>
      <c r="L252" t="n">
        <v>2.491</v>
      </c>
      <c r="M252" t="n">
        <v>1</v>
      </c>
      <c r="N252" t="inlineStr">
        <is>
          <t>test</t>
        </is>
      </c>
      <c r="O252">
        <f>HYPERLINK("3\0\marker_347_656312.png", "Ver Imagen")</f>
        <v/>
      </c>
      <c r="P252">
        <f>HYPERLINK("SE\A-497_2C\A-497_2C__178.png", "Ver Imagen")</f>
        <v/>
      </c>
    </row>
    <row r="253">
      <c r="A253" t="n">
        <v>2095</v>
      </c>
      <c r="B253" t="inlineStr">
        <is>
          <t>A-497__701</t>
        </is>
      </c>
      <c r="C253" t="n">
        <v>37.1966038144</v>
      </c>
      <c r="D253" t="n">
        <v>-6.97886663253</v>
      </c>
      <c r="E253" t="n">
        <v>3</v>
      </c>
      <c r="F253" t="n">
        <v>3</v>
      </c>
      <c r="G253" t="n">
        <v>3</v>
      </c>
      <c r="J253" t="inlineStr">
        <is>
          <t>Moda</t>
        </is>
      </c>
      <c r="K253" t="n">
        <v>3</v>
      </c>
      <c r="L253" t="n">
        <v>3.575</v>
      </c>
      <c r="M253" t="n">
        <v>1</v>
      </c>
      <c r="N253" t="inlineStr">
        <is>
          <t>val</t>
        </is>
      </c>
      <c r="O253">
        <f>HYPERLINK("3\0\marker_444_370368.png", "Ver Imagen")</f>
        <v/>
      </c>
      <c r="P253">
        <f>HYPERLINK("SE\A-497\A-497__701.png", "Ver Imagen")</f>
        <v/>
      </c>
    </row>
    <row r="254">
      <c r="A254" t="n">
        <v>2116</v>
      </c>
      <c r="B254" t="inlineStr">
        <is>
          <t>A-497_2C__269</t>
        </is>
      </c>
      <c r="C254" t="n">
        <v>37.2551511802</v>
      </c>
      <c r="D254" t="n">
        <v>-7.01479534918</v>
      </c>
      <c r="E254" t="n">
        <v>3</v>
      </c>
      <c r="F254" t="n">
        <v>3</v>
      </c>
      <c r="G254" t="n">
        <v>3</v>
      </c>
      <c r="J254" t="inlineStr">
        <is>
          <t>Moda</t>
        </is>
      </c>
      <c r="K254" t="n">
        <v>3</v>
      </c>
      <c r="L254" t="n">
        <v>3.654</v>
      </c>
      <c r="M254" t="n">
        <v>1</v>
      </c>
      <c r="N254" t="inlineStr">
        <is>
          <t>train</t>
        </is>
      </c>
      <c r="O254">
        <f>HYPERLINK("3\0\marker_126_319733.png", "Ver Imagen")</f>
        <v/>
      </c>
      <c r="P254">
        <f>HYPERLINK("SE\A-497_2C\A-497_2C__269.png", "Ver Imagen")</f>
        <v/>
      </c>
    </row>
    <row r="255">
      <c r="A255" t="n">
        <v>2127</v>
      </c>
      <c r="B255" t="inlineStr">
        <is>
          <t>A-497__567</t>
        </is>
      </c>
      <c r="C255" t="n">
        <v>37.2041085747</v>
      </c>
      <c r="D255" t="n">
        <v>-7.01088900559</v>
      </c>
      <c r="E255" t="n">
        <v>3</v>
      </c>
      <c r="F255" t="n">
        <v>3</v>
      </c>
      <c r="G255" t="n">
        <v>3</v>
      </c>
      <c r="J255" t="inlineStr">
        <is>
          <t>Moda</t>
        </is>
      </c>
      <c r="K255" t="n">
        <v>3</v>
      </c>
      <c r="L255" t="n">
        <v>4.012</v>
      </c>
      <c r="M255" t="n">
        <v>1</v>
      </c>
      <c r="N255" t="inlineStr">
        <is>
          <t>test</t>
        </is>
      </c>
      <c r="O255">
        <f>HYPERLINK("3\0\marker_649_372070.png", "Ver Imagen")</f>
        <v/>
      </c>
      <c r="P255">
        <f>HYPERLINK("SE\A-497\A-497__567.png", "Ver Imagen")</f>
        <v/>
      </c>
    </row>
    <row r="256">
      <c r="A256" t="n">
        <v>2149</v>
      </c>
      <c r="B256" t="inlineStr">
        <is>
          <t>A-497_2C__384</t>
        </is>
      </c>
      <c r="C256" t="n">
        <v>37.2325979444</v>
      </c>
      <c r="D256" t="n">
        <v>-7.01856168095</v>
      </c>
      <c r="E256" t="n">
        <v>3</v>
      </c>
      <c r="F256" t="n">
        <v>3</v>
      </c>
      <c r="G256" t="n">
        <v>3</v>
      </c>
      <c r="J256" t="inlineStr">
        <is>
          <t>Moda</t>
        </is>
      </c>
      <c r="K256" t="n">
        <v>3</v>
      </c>
      <c r="L256" t="n">
        <v>2.492</v>
      </c>
      <c r="M256" t="n">
        <v>1</v>
      </c>
      <c r="N256" t="inlineStr">
        <is>
          <t>val</t>
        </is>
      </c>
      <c r="O256">
        <f>HYPERLINK("3\0\marker_158_362740.png", "Ver Imagen")</f>
        <v/>
      </c>
      <c r="P256">
        <f>HYPERLINK("SE\A-497_2C\A-497_2C__384.png", "Ver Imagen")</f>
        <v/>
      </c>
    </row>
    <row r="257">
      <c r="A257" t="n">
        <v>2218</v>
      </c>
      <c r="B257" t="inlineStr">
        <is>
          <t>A-497__388</t>
        </is>
      </c>
      <c r="C257" t="n">
        <v>37.2327031001</v>
      </c>
      <c r="D257" t="n">
        <v>-7.01831848436</v>
      </c>
      <c r="E257" t="n">
        <v>3</v>
      </c>
      <c r="F257" t="n">
        <v>3</v>
      </c>
      <c r="G257" t="n">
        <v>3</v>
      </c>
      <c r="J257" t="inlineStr">
        <is>
          <t>Moda</t>
        </is>
      </c>
      <c r="K257" t="n">
        <v>3</v>
      </c>
      <c r="L257" t="n">
        <v>2.482</v>
      </c>
      <c r="M257" t="n">
        <v>1</v>
      </c>
      <c r="N257" t="inlineStr">
        <is>
          <t>train</t>
        </is>
      </c>
      <c r="O257">
        <f>HYPERLINK("3\0\marker_681_377301.png", "Ver Imagen")</f>
        <v/>
      </c>
      <c r="P257">
        <f>HYPERLINK("SE\A-497\A-497__388.png", "Ver Imagen")</f>
        <v/>
      </c>
    </row>
    <row r="258">
      <c r="A258" t="n">
        <v>2238</v>
      </c>
      <c r="B258" t="inlineStr">
        <is>
          <t>A-497__234</t>
        </is>
      </c>
      <c r="C258" t="n">
        <v>37.2621547088</v>
      </c>
      <c r="D258" t="n">
        <v>-7.00985619009</v>
      </c>
      <c r="E258" t="n">
        <v>3</v>
      </c>
      <c r="F258" t="n">
        <v>3</v>
      </c>
      <c r="G258" t="n">
        <v>3</v>
      </c>
      <c r="J258" t="inlineStr">
        <is>
          <t>Moda</t>
        </is>
      </c>
      <c r="K258" t="n">
        <v>3</v>
      </c>
      <c r="L258" t="n">
        <v>2.451</v>
      </c>
      <c r="M258" t="n">
        <v>1</v>
      </c>
      <c r="N258" t="inlineStr">
        <is>
          <t>val</t>
        </is>
      </c>
      <c r="O258">
        <f>HYPERLINK("3\0\marker_567_378991.png", "Ver Imagen")</f>
        <v/>
      </c>
      <c r="P258">
        <f>HYPERLINK("SE\A-497\A-497__234.png", "Ver Imagen")</f>
        <v/>
      </c>
    </row>
    <row r="259">
      <c r="A259" t="n">
        <v>2240</v>
      </c>
      <c r="B259" t="inlineStr">
        <is>
          <t>A-497__230</t>
        </is>
      </c>
      <c r="C259" t="n">
        <v>37.2626916397</v>
      </c>
      <c r="D259" t="n">
        <v>-7.00908395351</v>
      </c>
      <c r="E259" t="n">
        <v>3</v>
      </c>
      <c r="F259" t="n">
        <v>3</v>
      </c>
      <c r="G259" t="n">
        <v>3</v>
      </c>
      <c r="J259" t="inlineStr">
        <is>
          <t>Moda</t>
        </is>
      </c>
      <c r="K259" t="n">
        <v>3</v>
      </c>
      <c r="L259" t="n">
        <v>2.386</v>
      </c>
      <c r="M259" t="n">
        <v>1</v>
      </c>
      <c r="N259" t="inlineStr">
        <is>
          <t>val</t>
        </is>
      </c>
      <c r="O259">
        <f>HYPERLINK("3\0\marker_745_379038.png", "Ver Imagen")</f>
        <v/>
      </c>
      <c r="P259">
        <f>HYPERLINK("SE\A-497\A-497__230.png", "Ver Imagen")</f>
        <v/>
      </c>
    </row>
    <row r="260">
      <c r="A260" t="n">
        <v>2255</v>
      </c>
      <c r="B260" t="inlineStr">
        <is>
          <t>A-497__184</t>
        </is>
      </c>
      <c r="C260" t="n">
        <v>37.2650604755</v>
      </c>
      <c r="D260" t="n">
        <v>-6.99788552453</v>
      </c>
      <c r="E260" t="n">
        <v>3</v>
      </c>
      <c r="F260" t="n">
        <v>3</v>
      </c>
      <c r="G260" t="n">
        <v>3</v>
      </c>
      <c r="J260" t="inlineStr">
        <is>
          <t>Moda</t>
        </is>
      </c>
      <c r="K260" t="n">
        <v>3</v>
      </c>
      <c r="L260" t="n">
        <v>1.914</v>
      </c>
      <c r="M260" t="n">
        <v>1</v>
      </c>
      <c r="N260" t="inlineStr">
        <is>
          <t>test</t>
        </is>
      </c>
      <c r="O260">
        <f>HYPERLINK("3\0\marker_141_379596.png", "Ver Imagen")</f>
        <v/>
      </c>
      <c r="P260">
        <f>HYPERLINK("SE\A-497\A-497__184.png", "Ver Imagen")</f>
        <v/>
      </c>
    </row>
    <row r="261">
      <c r="A261" t="n">
        <v>2268</v>
      </c>
      <c r="B261" t="inlineStr">
        <is>
          <t>A-497__133</t>
        </is>
      </c>
      <c r="C261" t="n">
        <v>37.271157412</v>
      </c>
      <c r="D261" t="n">
        <v>-6.98845505617</v>
      </c>
      <c r="E261" t="n">
        <v>3</v>
      </c>
      <c r="F261" t="n">
        <v>3</v>
      </c>
      <c r="G261" t="n">
        <v>3</v>
      </c>
      <c r="J261" t="inlineStr">
        <is>
          <t>Moda</t>
        </is>
      </c>
      <c r="K261" t="n">
        <v>3</v>
      </c>
      <c r="L261" t="n">
        <v>3.53</v>
      </c>
      <c r="M261" t="n">
        <v>1</v>
      </c>
      <c r="N261" t="inlineStr">
        <is>
          <t>train</t>
        </is>
      </c>
      <c r="O261">
        <f>HYPERLINK("3\0\marker_424_380503.png", "Ver Imagen")</f>
        <v/>
      </c>
      <c r="P261">
        <f>HYPERLINK("SE\A-497\A-497__133.png", "Ver Imagen")</f>
        <v/>
      </c>
    </row>
    <row r="262">
      <c r="A262" t="n">
        <v>2286</v>
      </c>
      <c r="B262" t="inlineStr">
        <is>
          <t>A-492__94</t>
        </is>
      </c>
      <c r="C262" t="n">
        <v>37.2800522461</v>
      </c>
      <c r="D262" t="n">
        <v>-7.00587127345</v>
      </c>
      <c r="E262" t="n">
        <v>2</v>
      </c>
      <c r="F262" t="n">
        <v>3</v>
      </c>
      <c r="G262" t="n">
        <v>3</v>
      </c>
      <c r="J262" t="inlineStr">
        <is>
          <t>Moda</t>
        </is>
      </c>
      <c r="K262" t="n">
        <v>3</v>
      </c>
      <c r="L262" t="n">
        <v>2.403</v>
      </c>
      <c r="M262" t="n">
        <v>1</v>
      </c>
      <c r="N262" t="inlineStr">
        <is>
          <t>train</t>
        </is>
      </c>
      <c r="O262">
        <f>HYPERLINK("3\1\marker_373_823693.png", "Ver Imagen")</f>
        <v/>
      </c>
      <c r="P262">
        <f>HYPERLINK("SE\A-492\A-492__94.png", "Ver Imagen")</f>
        <v/>
      </c>
    </row>
    <row r="263">
      <c r="A263" t="n">
        <v>2290</v>
      </c>
      <c r="B263" t="inlineStr">
        <is>
          <t>A-492__163</t>
        </is>
      </c>
      <c r="C263" t="n">
        <v>37.2759854997</v>
      </c>
      <c r="D263" t="n">
        <v>-7.02152162162</v>
      </c>
      <c r="E263" t="n">
        <v>2</v>
      </c>
      <c r="F263" t="n">
        <v>3</v>
      </c>
      <c r="G263" t="n">
        <v>3</v>
      </c>
      <c r="J263" t="inlineStr">
        <is>
          <t>Moda</t>
        </is>
      </c>
      <c r="K263" t="n">
        <v>3</v>
      </c>
      <c r="L263" t="n">
        <v>1.854</v>
      </c>
      <c r="M263" t="n">
        <v>1</v>
      </c>
      <c r="N263" t="inlineStr">
        <is>
          <t>test</t>
        </is>
      </c>
      <c r="O263">
        <f>HYPERLINK("3\1\marker_610_831355.png", "Ver Imagen")</f>
        <v/>
      </c>
      <c r="P263">
        <f>HYPERLINK("SE\A-492\A-492__163.png", "Ver Imagen")</f>
        <v/>
      </c>
    </row>
    <row r="264">
      <c r="A264" t="n">
        <v>2291</v>
      </c>
      <c r="B264" t="inlineStr">
        <is>
          <t>A-492__171</t>
        </is>
      </c>
      <c r="C264" t="n">
        <v>37.2762624495</v>
      </c>
      <c r="D264" t="n">
        <v>-7.02349354641</v>
      </c>
      <c r="E264" t="n">
        <v>2</v>
      </c>
      <c r="F264" t="n">
        <v>3</v>
      </c>
      <c r="G264" t="n">
        <v>3</v>
      </c>
      <c r="J264" t="inlineStr">
        <is>
          <t>Moda</t>
        </is>
      </c>
      <c r="K264" t="n">
        <v>3</v>
      </c>
      <c r="L264" t="n">
        <v>2.467</v>
      </c>
      <c r="M264" t="n">
        <v>1</v>
      </c>
      <c r="N264" t="inlineStr">
        <is>
          <t>train</t>
        </is>
      </c>
      <c r="O264">
        <f>HYPERLINK("3\1\marker_291_831471.png", "Ver Imagen")</f>
        <v/>
      </c>
      <c r="P264">
        <f>HYPERLINK("SE\A-492\A-492__171.png", "Ver Imagen")</f>
        <v/>
      </c>
    </row>
    <row r="265">
      <c r="A265" t="n">
        <v>2297</v>
      </c>
      <c r="B265" t="inlineStr">
        <is>
          <t>A-5050__181</t>
        </is>
      </c>
      <c r="C265" t="n">
        <v>37.1899710495</v>
      </c>
      <c r="D265" t="n">
        <v>-6.988768794</v>
      </c>
      <c r="E265" t="n">
        <v>2</v>
      </c>
      <c r="F265" t="n">
        <v>3</v>
      </c>
      <c r="G265" t="n">
        <v>3</v>
      </c>
      <c r="J265" t="inlineStr">
        <is>
          <t>Moda</t>
        </is>
      </c>
      <c r="K265" t="n">
        <v>3</v>
      </c>
      <c r="L265" t="n">
        <v>2.061</v>
      </c>
      <c r="M265" t="n">
        <v>1</v>
      </c>
      <c r="N265" t="inlineStr">
        <is>
          <t>test</t>
        </is>
      </c>
      <c r="O265">
        <f>HYPERLINK("3\1\marker_442_944163.png", "Ver Imagen")</f>
        <v/>
      </c>
      <c r="P265">
        <f>HYPERLINK("SE\A-5050\A-5050__181.png", "Ver Imagen")</f>
        <v/>
      </c>
    </row>
    <row r="266">
      <c r="A266" t="n">
        <v>2307</v>
      </c>
      <c r="B266" t="inlineStr">
        <is>
          <t>A-5050__118</t>
        </is>
      </c>
      <c r="C266" t="n">
        <v>37.196104335</v>
      </c>
      <c r="D266" t="n">
        <v>-7.00277897396</v>
      </c>
      <c r="E266" t="n">
        <v>2</v>
      </c>
      <c r="F266" t="n">
        <v>3</v>
      </c>
      <c r="G266" t="n">
        <v>3</v>
      </c>
      <c r="J266" t="inlineStr">
        <is>
          <t>Moda</t>
        </is>
      </c>
      <c r="K266" t="n">
        <v>3</v>
      </c>
      <c r="L266" t="n">
        <v>2.138</v>
      </c>
      <c r="M266" t="n">
        <v>1</v>
      </c>
      <c r="N266" t="inlineStr">
        <is>
          <t>val</t>
        </is>
      </c>
      <c r="O266">
        <f>HYPERLINK("3\1\marker_968_946529.png", "Ver Imagen")</f>
        <v/>
      </c>
      <c r="P266">
        <f>HYPERLINK("SE\A-5050\A-5050__118.png", "Ver Imagen")</f>
        <v/>
      </c>
    </row>
    <row r="267">
      <c r="A267" t="n">
        <v>2308</v>
      </c>
      <c r="B267" t="inlineStr">
        <is>
          <t>A-5050__115</t>
        </is>
      </c>
      <c r="C267" t="n">
        <v>37.1964032127</v>
      </c>
      <c r="D267" t="n">
        <v>-7.0034521995</v>
      </c>
      <c r="E267" t="n">
        <v>2</v>
      </c>
      <c r="F267" t="n">
        <v>3</v>
      </c>
      <c r="G267" t="n">
        <v>3</v>
      </c>
      <c r="J267" t="inlineStr">
        <is>
          <t>Moda</t>
        </is>
      </c>
      <c r="K267" t="n">
        <v>3</v>
      </c>
      <c r="L267" t="n">
        <v>2.161</v>
      </c>
      <c r="M267" t="n">
        <v>1</v>
      </c>
      <c r="N267" t="inlineStr">
        <is>
          <t>test</t>
        </is>
      </c>
      <c r="O267">
        <f>HYPERLINK("3\1\marker_723_946566.png", "Ver Imagen")</f>
        <v/>
      </c>
      <c r="P267">
        <f>HYPERLINK("SE\A-5050\A-5050__115.png", "Ver Imagen")</f>
        <v/>
      </c>
    </row>
    <row r="268">
      <c r="A268" t="n">
        <v>2309</v>
      </c>
      <c r="B268" t="inlineStr">
        <is>
          <t>A-5050__114</t>
        </is>
      </c>
      <c r="C268" t="n">
        <v>37.1964859805</v>
      </c>
      <c r="D268" t="n">
        <v>-7.00365134824</v>
      </c>
      <c r="E268" t="n">
        <v>2</v>
      </c>
      <c r="F268" t="n">
        <v>3</v>
      </c>
      <c r="G268" t="n">
        <v>3</v>
      </c>
      <c r="J268" t="inlineStr">
        <is>
          <t>Moda</t>
        </is>
      </c>
      <c r="K268" t="n">
        <v>3</v>
      </c>
      <c r="L268" t="n">
        <v>2.15</v>
      </c>
      <c r="M268" t="n">
        <v>1</v>
      </c>
      <c r="N268" t="inlineStr">
        <is>
          <t>val</t>
        </is>
      </c>
      <c r="O268">
        <f>HYPERLINK("3\1\marker_176_946582.png", "Ver Imagen")</f>
        <v/>
      </c>
      <c r="P268">
        <f>HYPERLINK("SE\A-5050\A-5050__114.png", "Ver Imagen")</f>
        <v/>
      </c>
    </row>
    <row r="269">
      <c r="A269" t="n">
        <v>2310</v>
      </c>
      <c r="B269" t="inlineStr">
        <is>
          <t>A-5050__113</t>
        </is>
      </c>
      <c r="C269" t="n">
        <v>37.1965832699</v>
      </c>
      <c r="D269" t="n">
        <v>-7.00389026927</v>
      </c>
      <c r="E269" t="n">
        <v>2</v>
      </c>
      <c r="F269" t="n">
        <v>3</v>
      </c>
      <c r="G269" t="n">
        <v>3</v>
      </c>
      <c r="J269" t="inlineStr">
        <is>
          <t>Moda</t>
        </is>
      </c>
      <c r="K269" t="n">
        <v>3</v>
      </c>
      <c r="L269" t="n">
        <v>2.289</v>
      </c>
      <c r="M269" t="n">
        <v>1</v>
      </c>
      <c r="N269" t="inlineStr">
        <is>
          <t>test</t>
        </is>
      </c>
      <c r="O269">
        <f>HYPERLINK("3\1\marker_717_946611.png", "Ver Imagen")</f>
        <v/>
      </c>
      <c r="P269">
        <f>HYPERLINK("SE\A-5050\A-5050__113.png", "Ver Imagen")</f>
        <v/>
      </c>
    </row>
    <row r="270">
      <c r="A270" t="n">
        <v>2312</v>
      </c>
      <c r="B270" t="inlineStr">
        <is>
          <t>A-5050__110</t>
        </is>
      </c>
      <c r="C270" t="n">
        <v>37.1968418985</v>
      </c>
      <c r="D270" t="n">
        <v>-7.00454869101</v>
      </c>
      <c r="E270" t="n">
        <v>2</v>
      </c>
      <c r="F270" t="n">
        <v>3</v>
      </c>
      <c r="G270" t="n">
        <v>3</v>
      </c>
      <c r="J270" t="inlineStr">
        <is>
          <t>Moda</t>
        </is>
      </c>
      <c r="K270" t="n">
        <v>3</v>
      </c>
      <c r="L270" t="n">
        <v>2.128</v>
      </c>
      <c r="M270" t="n">
        <v>1</v>
      </c>
      <c r="N270" t="inlineStr">
        <is>
          <t>train</t>
        </is>
      </c>
      <c r="O270">
        <f>HYPERLINK("3\1\marker_256_946664.png", "Ver Imagen")</f>
        <v/>
      </c>
      <c r="P270">
        <f>HYPERLINK("SE\A-5050\A-5050__110.png", "Ver Imagen")</f>
        <v/>
      </c>
    </row>
    <row r="271">
      <c r="A271" t="n">
        <v>2313</v>
      </c>
      <c r="B271" t="inlineStr">
        <is>
          <t>A-5050__109</t>
        </is>
      </c>
      <c r="C271" t="n">
        <v>37.1969477175</v>
      </c>
      <c r="D271" t="n">
        <v>-7.00481426199</v>
      </c>
      <c r="E271" t="n">
        <v>2</v>
      </c>
      <c r="F271" t="n">
        <v>3</v>
      </c>
      <c r="G271" t="n">
        <v>3</v>
      </c>
      <c r="J271" t="inlineStr">
        <is>
          <t>Moda</t>
        </is>
      </c>
      <c r="K271" t="n">
        <v>3</v>
      </c>
      <c r="L271" t="n">
        <v>2.343</v>
      </c>
      <c r="M271" t="n">
        <v>1</v>
      </c>
      <c r="N271" t="inlineStr">
        <is>
          <t>train</t>
        </is>
      </c>
      <c r="O271">
        <f>HYPERLINK("3\1\marker_586_946674.png", "Ver Imagen")</f>
        <v/>
      </c>
      <c r="P271">
        <f>HYPERLINK("SE\A-5050\A-5050__109.png", "Ver Imagen")</f>
        <v/>
      </c>
    </row>
    <row r="272">
      <c r="A272" t="n">
        <v>2345</v>
      </c>
      <c r="B272" t="inlineStr">
        <is>
          <t>A-5050__52</t>
        </is>
      </c>
      <c r="C272" t="n">
        <v>37.2036980023</v>
      </c>
      <c r="D272" t="n">
        <v>-7.01642346911</v>
      </c>
      <c r="E272" t="n">
        <v>2</v>
      </c>
      <c r="F272" t="n">
        <v>3</v>
      </c>
      <c r="G272" t="n">
        <v>3</v>
      </c>
      <c r="J272" t="inlineStr">
        <is>
          <t>Moda</t>
        </is>
      </c>
      <c r="K272" t="n">
        <v>3</v>
      </c>
      <c r="L272" t="n">
        <v>3.608</v>
      </c>
      <c r="M272" t="n">
        <v>1</v>
      </c>
      <c r="N272" t="inlineStr">
        <is>
          <t>train</t>
        </is>
      </c>
      <c r="O272">
        <f>HYPERLINK("3\1\marker_979_949137.png", "Ver Imagen")</f>
        <v/>
      </c>
      <c r="P272">
        <f>HYPERLINK("SE\A-5050\A-5050__52.png", "Ver Imagen")</f>
        <v/>
      </c>
    </row>
    <row r="273">
      <c r="A273" t="n">
        <v>2355</v>
      </c>
      <c r="B273" t="inlineStr">
        <is>
          <t>A-5050__8</t>
        </is>
      </c>
      <c r="C273" t="n">
        <v>37.2085671487</v>
      </c>
      <c r="D273" t="n">
        <v>-7.02543935453</v>
      </c>
      <c r="E273" t="n">
        <v>2</v>
      </c>
      <c r="F273" t="n">
        <v>3</v>
      </c>
      <c r="G273" t="n">
        <v>3</v>
      </c>
      <c r="J273" t="inlineStr">
        <is>
          <t>Moda</t>
        </is>
      </c>
      <c r="K273" t="n">
        <v>3</v>
      </c>
      <c r="L273" t="n">
        <v>2.456</v>
      </c>
      <c r="M273" t="n">
        <v>1</v>
      </c>
      <c r="N273" t="inlineStr">
        <is>
          <t>val</t>
        </is>
      </c>
      <c r="O273">
        <f>HYPERLINK("3\1\marker_301_949628.png", "Ver Imagen")</f>
        <v/>
      </c>
      <c r="P273">
        <f>HYPERLINK("SE\A-5050\A-5050__8.png", "Ver Imagen")</f>
        <v/>
      </c>
    </row>
    <row r="274">
      <c r="A274" t="n">
        <v>2370</v>
      </c>
      <c r="B274" t="inlineStr">
        <is>
          <t>A-5052__276</t>
        </is>
      </c>
      <c r="C274" t="n">
        <v>37.2114808962</v>
      </c>
      <c r="D274" t="n">
        <v>-7.05754882687</v>
      </c>
      <c r="E274" t="n">
        <v>2</v>
      </c>
      <c r="F274" t="n">
        <v>3</v>
      </c>
      <c r="G274" t="n">
        <v>3</v>
      </c>
      <c r="J274" t="inlineStr">
        <is>
          <t>Moda</t>
        </is>
      </c>
      <c r="K274" t="n">
        <v>3</v>
      </c>
      <c r="L274" t="n">
        <v>2.082</v>
      </c>
      <c r="M274" t="n">
        <v>1</v>
      </c>
      <c r="N274" t="inlineStr">
        <is>
          <t>test</t>
        </is>
      </c>
      <c r="O274">
        <f>HYPERLINK("3\1\marker_936_960390.png", "Ver Imagen")</f>
        <v/>
      </c>
      <c r="P274">
        <f>HYPERLINK("SE\A-5052\A-5052__276.png", "Ver Imagen")</f>
        <v/>
      </c>
    </row>
    <row r="275">
      <c r="A275" t="n">
        <v>2375</v>
      </c>
      <c r="B275" t="inlineStr">
        <is>
          <t>A-5052__305</t>
        </is>
      </c>
      <c r="C275" t="n">
        <v>37.211200072</v>
      </c>
      <c r="D275" t="n">
        <v>-7.05037610516</v>
      </c>
      <c r="E275" t="n">
        <v>2</v>
      </c>
      <c r="F275" t="n">
        <v>3</v>
      </c>
      <c r="G275" t="n">
        <v>3</v>
      </c>
      <c r="J275" t="inlineStr">
        <is>
          <t>Moda</t>
        </is>
      </c>
      <c r="K275" t="n">
        <v>3</v>
      </c>
      <c r="L275" t="n">
        <v>3.833</v>
      </c>
      <c r="M275" t="n">
        <v>1</v>
      </c>
      <c r="N275" t="inlineStr">
        <is>
          <t>test</t>
        </is>
      </c>
      <c r="O275">
        <f>HYPERLINK("3\1\marker_864_961011.png", "Ver Imagen")</f>
        <v/>
      </c>
      <c r="P275">
        <f>HYPERLINK("SE\A-5052\A-5052__305.png", "Ver Imagen")</f>
        <v/>
      </c>
    </row>
    <row r="276">
      <c r="A276" t="n">
        <v>2377</v>
      </c>
      <c r="B276" t="inlineStr">
        <is>
          <t>A-5052__316</t>
        </is>
      </c>
      <c r="C276" t="n">
        <v>37.2117338652</v>
      </c>
      <c r="D276" t="n">
        <v>-7.04770279989</v>
      </c>
      <c r="E276" t="n">
        <v>2</v>
      </c>
      <c r="F276" t="n">
        <v>3</v>
      </c>
      <c r="G276" t="n">
        <v>3</v>
      </c>
      <c r="J276" t="inlineStr">
        <is>
          <t>Moda</t>
        </is>
      </c>
      <c r="K276" t="n">
        <v>3</v>
      </c>
      <c r="L276" t="n">
        <v>2.432</v>
      </c>
      <c r="M276" t="n">
        <v>1</v>
      </c>
      <c r="N276" t="inlineStr">
        <is>
          <t>test</t>
        </is>
      </c>
      <c r="O276">
        <f>HYPERLINK("3\1\marker_438_961193.png", "Ver Imagen")</f>
        <v/>
      </c>
      <c r="P276">
        <f>HYPERLINK("SE\A-5052\A-5052__316.png", "Ver Imagen")</f>
        <v/>
      </c>
    </row>
    <row r="277">
      <c r="A277" t="n">
        <v>2395</v>
      </c>
      <c r="B277" t="inlineStr">
        <is>
          <t>A-5052__445</t>
        </is>
      </c>
      <c r="C277" t="n">
        <v>37.2009239718</v>
      </c>
      <c r="D277" t="n">
        <v>-7.01810042339</v>
      </c>
      <c r="E277" t="n">
        <v>2</v>
      </c>
      <c r="F277" t="n">
        <v>3</v>
      </c>
      <c r="G277" t="n">
        <v>3</v>
      </c>
      <c r="J277" t="inlineStr">
        <is>
          <t>Moda</t>
        </is>
      </c>
      <c r="K277" t="n">
        <v>3</v>
      </c>
      <c r="L277" t="n">
        <v>2.206</v>
      </c>
      <c r="M277" t="n">
        <v>1</v>
      </c>
      <c r="N277" t="inlineStr">
        <is>
          <t>test</t>
        </is>
      </c>
      <c r="O277">
        <f>HYPERLINK("3\1\marker_564_963128.png", "Ver Imagen")</f>
        <v/>
      </c>
      <c r="P277">
        <f>HYPERLINK("SE\A-5052\A-5052__445.png", "Ver Imagen")</f>
        <v/>
      </c>
    </row>
    <row r="278">
      <c r="A278" t="n">
        <v>2399</v>
      </c>
      <c r="B278" t="inlineStr">
        <is>
          <t>A-5052__480</t>
        </is>
      </c>
      <c r="C278" t="n">
        <v>37.1978615229</v>
      </c>
      <c r="D278" t="n">
        <v>-7.01014702932</v>
      </c>
      <c r="E278" t="n">
        <v>2</v>
      </c>
      <c r="F278" t="n">
        <v>3</v>
      </c>
      <c r="G278" t="n">
        <v>3</v>
      </c>
      <c r="J278" t="inlineStr">
        <is>
          <t>Moda</t>
        </is>
      </c>
      <c r="K278" t="n">
        <v>3</v>
      </c>
      <c r="L278" t="n">
        <v>2.194</v>
      </c>
      <c r="M278" t="n">
        <v>1</v>
      </c>
      <c r="N278" t="inlineStr">
        <is>
          <t>val</t>
        </is>
      </c>
      <c r="O278">
        <f>HYPERLINK("3\1\marker_346_963491.png", "Ver Imagen")</f>
        <v/>
      </c>
      <c r="P278">
        <f>HYPERLINK("SE\A-5052\A-5052__480.png", "Ver Imagen")</f>
        <v/>
      </c>
    </row>
    <row r="279">
      <c r="A279" t="n">
        <v>2412</v>
      </c>
      <c r="B279" t="inlineStr">
        <is>
          <t>A-5053__206</t>
        </is>
      </c>
      <c r="C279" t="n">
        <v>37.2596188792</v>
      </c>
      <c r="D279" t="n">
        <v>-7.12884903099</v>
      </c>
      <c r="E279" t="n">
        <v>2</v>
      </c>
      <c r="F279" t="n">
        <v>3</v>
      </c>
      <c r="G279" t="n">
        <v>3</v>
      </c>
      <c r="J279" t="inlineStr">
        <is>
          <t>Moda</t>
        </is>
      </c>
      <c r="K279" t="n">
        <v>3</v>
      </c>
      <c r="L279" t="n">
        <v>2.131</v>
      </c>
      <c r="M279" t="n">
        <v>1</v>
      </c>
      <c r="N279" t="inlineStr">
        <is>
          <t>val</t>
        </is>
      </c>
      <c r="O279">
        <f>HYPERLINK("3\1\marker_445_965834.png", "Ver Imagen")</f>
        <v/>
      </c>
      <c r="P279">
        <f>HYPERLINK("SO\A-5053\A-5053__206.png", "Ver Imagen")</f>
        <v/>
      </c>
    </row>
    <row r="280">
      <c r="A280" t="n">
        <v>2425</v>
      </c>
      <c r="B280" t="inlineStr">
        <is>
          <t>A-495__82</t>
        </is>
      </c>
      <c r="C280" t="n">
        <v>37.4376142247</v>
      </c>
      <c r="D280" t="n">
        <v>-7.08160274552</v>
      </c>
      <c r="E280" t="n">
        <v>2</v>
      </c>
      <c r="F280" t="n">
        <v>3</v>
      </c>
      <c r="G280" t="n">
        <v>3</v>
      </c>
      <c r="J280" t="inlineStr">
        <is>
          <t>Moda</t>
        </is>
      </c>
      <c r="K280" t="n">
        <v>3</v>
      </c>
      <c r="L280" t="n">
        <v>2.19</v>
      </c>
      <c r="M280" t="n">
        <v>1</v>
      </c>
      <c r="N280" t="inlineStr">
        <is>
          <t>val</t>
        </is>
      </c>
      <c r="O280">
        <f>HYPERLINK("3\1\marker_104_381953.png", "Ver Imagen")</f>
        <v/>
      </c>
      <c r="P280">
        <f>HYPERLINK("NE\A-495\A-495__82.png", "Ver Imagen")</f>
        <v/>
      </c>
    </row>
    <row r="281">
      <c r="A281" t="n">
        <v>2435</v>
      </c>
      <c r="B281" t="inlineStr">
        <is>
          <t>A-495__141</t>
        </is>
      </c>
      <c r="C281" t="n">
        <v>37.4342999183</v>
      </c>
      <c r="D281" t="n">
        <v>-7.06786407031</v>
      </c>
      <c r="E281" t="n">
        <v>2</v>
      </c>
      <c r="F281" t="n">
        <v>3</v>
      </c>
      <c r="G281" t="n">
        <v>3</v>
      </c>
      <c r="J281" t="inlineStr">
        <is>
          <t>Moda</t>
        </is>
      </c>
      <c r="K281" t="n">
        <v>3</v>
      </c>
      <c r="L281" t="n">
        <v>1.99</v>
      </c>
      <c r="M281" t="n">
        <v>1</v>
      </c>
      <c r="N281" t="inlineStr">
        <is>
          <t>test</t>
        </is>
      </c>
      <c r="O281">
        <f>HYPERLINK("3\1\marker_731_382588.png", "Ver Imagen")</f>
        <v/>
      </c>
      <c r="P281">
        <f>HYPERLINK("NE\A-495\A-495__141.png", "Ver Imagen")</f>
        <v/>
      </c>
    </row>
    <row r="282">
      <c r="A282" t="n">
        <v>2436</v>
      </c>
      <c r="B282" t="inlineStr">
        <is>
          <t>A-495__142</t>
        </is>
      </c>
      <c r="C282" t="n">
        <v>37.4342261561</v>
      </c>
      <c r="D282" t="n">
        <v>-7.06769850309</v>
      </c>
      <c r="E282" t="n">
        <v>2</v>
      </c>
      <c r="F282" t="n">
        <v>3</v>
      </c>
      <c r="G282" t="n">
        <v>3</v>
      </c>
      <c r="J282" t="inlineStr">
        <is>
          <t>Moda</t>
        </is>
      </c>
      <c r="K282" t="n">
        <v>3</v>
      </c>
      <c r="L282" t="n">
        <v>2.073</v>
      </c>
      <c r="M282" t="n">
        <v>1</v>
      </c>
      <c r="N282" t="inlineStr">
        <is>
          <t>test</t>
        </is>
      </c>
      <c r="O282">
        <f>HYPERLINK("3\1\marker_647_382597.png", "Ver Imagen")</f>
        <v/>
      </c>
      <c r="P282">
        <f>HYPERLINK("NE\A-495\A-495__142.png", "Ver Imagen")</f>
        <v/>
      </c>
    </row>
    <row r="283">
      <c r="A283" t="n">
        <v>2438</v>
      </c>
      <c r="B283" t="inlineStr">
        <is>
          <t>A-495__148</t>
        </is>
      </c>
      <c r="C283" t="n">
        <v>37.4335914699</v>
      </c>
      <c r="D283" t="n">
        <v>-7.0663119869</v>
      </c>
      <c r="E283" t="n">
        <v>3</v>
      </c>
      <c r="F283" t="n">
        <v>3</v>
      </c>
      <c r="G283" t="n">
        <v>2</v>
      </c>
      <c r="J283" t="inlineStr">
        <is>
          <t>Moda</t>
        </is>
      </c>
      <c r="K283" t="n">
        <v>3</v>
      </c>
      <c r="L283" t="n">
        <v>2.157</v>
      </c>
      <c r="M283" t="n">
        <v>1</v>
      </c>
      <c r="N283" t="inlineStr">
        <is>
          <t>val</t>
        </is>
      </c>
      <c r="O283">
        <f>HYPERLINK("3\1\marker_564_382664.png", "Ver Imagen")</f>
        <v/>
      </c>
      <c r="P283">
        <f>HYPERLINK("NE\A-495\A-495__148.png", "Ver Imagen")</f>
        <v/>
      </c>
    </row>
    <row r="284">
      <c r="A284" t="n">
        <v>2440</v>
      </c>
      <c r="B284" t="inlineStr">
        <is>
          <t>A-495__150</t>
        </is>
      </c>
      <c r="C284" t="n">
        <v>37.4334219546</v>
      </c>
      <c r="D284" t="n">
        <v>-7.06593936716</v>
      </c>
      <c r="E284" t="n">
        <v>3</v>
      </c>
      <c r="F284" t="n">
        <v>3</v>
      </c>
      <c r="G284" t="n">
        <v>2</v>
      </c>
      <c r="J284" t="inlineStr">
        <is>
          <t>Moda</t>
        </is>
      </c>
      <c r="K284" t="n">
        <v>3</v>
      </c>
      <c r="L284" t="n">
        <v>2.43</v>
      </c>
      <c r="M284" t="n">
        <v>1</v>
      </c>
      <c r="N284" t="inlineStr">
        <is>
          <t>train</t>
        </is>
      </c>
      <c r="O284">
        <f>HYPERLINK("3\1\marker_558_382684.png", "Ver Imagen")</f>
        <v/>
      </c>
      <c r="P284">
        <f>HYPERLINK("NE\A-495\A-495__150.png", "Ver Imagen")</f>
        <v/>
      </c>
    </row>
    <row r="285">
      <c r="A285" t="n">
        <v>2441</v>
      </c>
      <c r="B285" t="inlineStr">
        <is>
          <t>A-5059__12</t>
        </is>
      </c>
      <c r="C285" t="n">
        <v>37.232127153</v>
      </c>
      <c r="D285" t="n">
        <v>-7.0642571174</v>
      </c>
      <c r="E285" t="n">
        <v>3</v>
      </c>
      <c r="F285" t="n">
        <v>3</v>
      </c>
      <c r="G285" t="n">
        <v>2</v>
      </c>
      <c r="J285" t="inlineStr">
        <is>
          <t>Moda</t>
        </is>
      </c>
      <c r="K285" t="n">
        <v>3</v>
      </c>
      <c r="L285" t="n">
        <v>2.376</v>
      </c>
      <c r="M285" t="n">
        <v>1</v>
      </c>
      <c r="N285" t="inlineStr">
        <is>
          <t>test</t>
        </is>
      </c>
      <c r="O285">
        <f>HYPERLINK("3\1\marker_829_379562.png", "Ver Imagen")</f>
        <v/>
      </c>
      <c r="P285">
        <f>HYPERLINK("SE\A-5059\A-5059__12.png", "Ver Imagen")</f>
        <v/>
      </c>
    </row>
    <row r="286">
      <c r="A286" t="n">
        <v>2444</v>
      </c>
      <c r="B286" t="inlineStr">
        <is>
          <t>A-5058__1</t>
        </is>
      </c>
      <c r="C286" t="n">
        <v>37.2252377201</v>
      </c>
      <c r="D286" t="n">
        <v>-7.02750187089</v>
      </c>
      <c r="E286" t="n">
        <v>3</v>
      </c>
      <c r="F286" t="n">
        <v>3</v>
      </c>
      <c r="G286" t="n">
        <v>2</v>
      </c>
      <c r="J286" t="inlineStr">
        <is>
          <t>Moda</t>
        </is>
      </c>
      <c r="K286" t="n">
        <v>3</v>
      </c>
      <c r="L286" t="n">
        <v>2.44</v>
      </c>
      <c r="M286" t="n">
        <v>1</v>
      </c>
      <c r="N286" t="inlineStr">
        <is>
          <t>train</t>
        </is>
      </c>
      <c r="O286">
        <f>HYPERLINK("3\1\marker_937_379787.png", "Ver Imagen")</f>
        <v/>
      </c>
      <c r="P286">
        <f>HYPERLINK("SE\A-5058\A-5058__1.png", "Ver Imagen")</f>
        <v/>
      </c>
    </row>
    <row r="287">
      <c r="A287" t="n">
        <v>2446</v>
      </c>
      <c r="B287" t="inlineStr">
        <is>
          <t>A-5058__10</t>
        </is>
      </c>
      <c r="C287" t="n">
        <v>37.2253478748</v>
      </c>
      <c r="D287" t="n">
        <v>-7.02976602953</v>
      </c>
      <c r="E287" t="n">
        <v>3</v>
      </c>
      <c r="F287" t="n">
        <v>3</v>
      </c>
      <c r="G287" t="n">
        <v>2</v>
      </c>
      <c r="J287" t="inlineStr">
        <is>
          <t>Moda</t>
        </is>
      </c>
      <c r="K287" t="n">
        <v>3</v>
      </c>
      <c r="L287" t="n">
        <v>2.243</v>
      </c>
      <c r="M287" t="n">
        <v>1</v>
      </c>
      <c r="N287" t="inlineStr">
        <is>
          <t>test</t>
        </is>
      </c>
      <c r="O287">
        <f>HYPERLINK("3\1\marker_838_379909.png", "Ver Imagen")</f>
        <v/>
      </c>
      <c r="P287">
        <f>HYPERLINK("SE\A-5058\A-5058__10.png", "Ver Imagen")</f>
        <v/>
      </c>
    </row>
    <row r="288">
      <c r="A288" t="n">
        <v>2453</v>
      </c>
      <c r="B288" t="inlineStr">
        <is>
          <t>A-5058__87</t>
        </is>
      </c>
      <c r="C288" t="n">
        <v>37.2290146938</v>
      </c>
      <c r="D288" t="n">
        <v>-7.04706868799</v>
      </c>
      <c r="E288" t="n">
        <v>2</v>
      </c>
      <c r="F288" t="n">
        <v>3</v>
      </c>
      <c r="G288" t="n">
        <v>3</v>
      </c>
      <c r="J288" t="inlineStr">
        <is>
          <t>Moda</t>
        </is>
      </c>
      <c r="K288" t="n">
        <v>3</v>
      </c>
      <c r="L288" t="n">
        <v>2.34</v>
      </c>
      <c r="M288" t="n">
        <v>1</v>
      </c>
      <c r="N288" t="inlineStr">
        <is>
          <t>val</t>
        </is>
      </c>
      <c r="O288">
        <f>HYPERLINK("3\1\marker_818_380954.png", "Ver Imagen")</f>
        <v/>
      </c>
      <c r="P288">
        <f>HYPERLINK("SE\A-5058\A-5058__87.png", "Ver Imagen")</f>
        <v/>
      </c>
    </row>
    <row r="289">
      <c r="A289" t="n">
        <v>2466</v>
      </c>
      <c r="B289" t="inlineStr">
        <is>
          <t>A-499__113</t>
        </is>
      </c>
      <c r="C289" t="n">
        <v>37.5013407979</v>
      </c>
      <c r="D289" t="n">
        <v>-7.26664392653</v>
      </c>
      <c r="E289" t="n">
        <v>2</v>
      </c>
      <c r="F289" t="n">
        <v>3</v>
      </c>
      <c r="G289" t="n">
        <v>3</v>
      </c>
      <c r="J289" t="inlineStr">
        <is>
          <t>Moda</t>
        </is>
      </c>
      <c r="K289" t="n">
        <v>3</v>
      </c>
      <c r="L289" t="n">
        <v>3.972</v>
      </c>
      <c r="M289" t="n">
        <v>1</v>
      </c>
      <c r="N289" t="inlineStr">
        <is>
          <t>train</t>
        </is>
      </c>
      <c r="O289">
        <f>HYPERLINK("3\1\marker_401_793446.png", "Ver Imagen")</f>
        <v/>
      </c>
      <c r="P289">
        <f>HYPERLINK("NO\A-499\A-499__113.png", "Ver Imagen")</f>
        <v/>
      </c>
    </row>
    <row r="290">
      <c r="A290" t="n">
        <v>2467</v>
      </c>
      <c r="B290" t="inlineStr">
        <is>
          <t>A-499__114</t>
        </is>
      </c>
      <c r="C290" t="n">
        <v>37.5015479862</v>
      </c>
      <c r="D290" t="n">
        <v>-7.26657317196</v>
      </c>
      <c r="E290" t="n">
        <v>3</v>
      </c>
      <c r="F290" t="n">
        <v>3</v>
      </c>
      <c r="G290" t="n">
        <v>2</v>
      </c>
      <c r="J290" t="inlineStr">
        <is>
          <t>Moda</t>
        </is>
      </c>
      <c r="K290" t="n">
        <v>3</v>
      </c>
      <c r="L290" t="n">
        <v>3.656</v>
      </c>
      <c r="M290" t="n">
        <v>1</v>
      </c>
      <c r="N290" t="inlineStr">
        <is>
          <t>train</t>
        </is>
      </c>
      <c r="O290">
        <f>HYPERLINK("3\1\marker_816_793463.png", "Ver Imagen")</f>
        <v/>
      </c>
      <c r="P290">
        <f>HYPERLINK("NO\A-499\A-499__114.png", "Ver Imagen")</f>
        <v/>
      </c>
    </row>
    <row r="291">
      <c r="A291" t="n">
        <v>2470</v>
      </c>
      <c r="B291" t="inlineStr">
        <is>
          <t>A-499__142</t>
        </is>
      </c>
      <c r="C291" t="n">
        <v>37.5070320099</v>
      </c>
      <c r="D291" t="n">
        <v>-7.26561247912</v>
      </c>
      <c r="E291" t="n">
        <v>2</v>
      </c>
      <c r="F291" t="n">
        <v>3</v>
      </c>
      <c r="G291" t="n">
        <v>3</v>
      </c>
      <c r="J291" t="inlineStr">
        <is>
          <t>Moda</t>
        </is>
      </c>
      <c r="K291" t="n">
        <v>3</v>
      </c>
      <c r="L291" t="n">
        <v>1.698</v>
      </c>
      <c r="M291" t="n">
        <v>1</v>
      </c>
      <c r="N291" t="inlineStr">
        <is>
          <t>test</t>
        </is>
      </c>
      <c r="O291">
        <f>HYPERLINK("3\1\marker_947_794112.png", "Ver Imagen")</f>
        <v/>
      </c>
      <c r="P291">
        <f>HYPERLINK("NO\A-499\A-499__142.png", "Ver Imagen")</f>
        <v/>
      </c>
    </row>
    <row r="292">
      <c r="A292" t="n">
        <v>2473</v>
      </c>
      <c r="B292" t="inlineStr">
        <is>
          <t>A-499__243</t>
        </is>
      </c>
      <c r="C292" t="n">
        <v>37.5234708191</v>
      </c>
      <c r="D292" t="n">
        <v>-7.25894469386</v>
      </c>
      <c r="E292" t="n">
        <v>2</v>
      </c>
      <c r="F292" t="n">
        <v>3</v>
      </c>
      <c r="G292" t="n">
        <v>3</v>
      </c>
      <c r="J292" t="inlineStr">
        <is>
          <t>Moda</t>
        </is>
      </c>
      <c r="K292" t="n">
        <v>3</v>
      </c>
      <c r="L292" t="n">
        <v>2.028</v>
      </c>
      <c r="M292" t="n">
        <v>1</v>
      </c>
      <c r="N292" t="inlineStr">
        <is>
          <t>val</t>
        </is>
      </c>
      <c r="O292">
        <f>HYPERLINK("3\1\marker_784_796905.png", "Ver Imagen")</f>
        <v/>
      </c>
      <c r="P292">
        <f>HYPERLINK("NO\A-499\A-499__243.png", "Ver Imagen")</f>
        <v/>
      </c>
    </row>
    <row r="293">
      <c r="A293" t="n">
        <v>2486</v>
      </c>
      <c r="B293" t="inlineStr">
        <is>
          <t>A-497__187</t>
        </is>
      </c>
      <c r="C293" t="n">
        <v>37.2649299363</v>
      </c>
      <c r="D293" t="n">
        <v>-6.99862741803</v>
      </c>
      <c r="E293" t="n">
        <v>2</v>
      </c>
      <c r="F293" t="n">
        <v>3</v>
      </c>
      <c r="G293" t="n">
        <v>3</v>
      </c>
      <c r="J293" t="inlineStr">
        <is>
          <t>Moda</t>
        </is>
      </c>
      <c r="K293" t="n">
        <v>3</v>
      </c>
      <c r="L293" t="n">
        <v>2.418</v>
      </c>
      <c r="M293" t="n">
        <v>1</v>
      </c>
      <c r="N293" t="inlineStr">
        <is>
          <t>val</t>
        </is>
      </c>
      <c r="O293">
        <f>HYPERLINK("3\1\marker_378_379553.png", "Ver Imagen")</f>
        <v/>
      </c>
      <c r="P293">
        <f>HYPERLINK("SE\A-497\A-497__187.png", "Ver Imagen")</f>
        <v/>
      </c>
    </row>
    <row r="294">
      <c r="A294" t="n">
        <v>2495</v>
      </c>
      <c r="B294" t="inlineStr">
        <is>
          <t>A-490__44</t>
        </is>
      </c>
      <c r="C294" t="n">
        <v>37.4463796774</v>
      </c>
      <c r="D294" t="n">
        <v>-7.13720809715</v>
      </c>
      <c r="E294" t="n">
        <v>3</v>
      </c>
      <c r="F294" t="n">
        <v>4</v>
      </c>
      <c r="G294" t="n">
        <v>3</v>
      </c>
      <c r="J294" t="inlineStr">
        <is>
          <t>Moda</t>
        </is>
      </c>
      <c r="K294" t="n">
        <v>3</v>
      </c>
      <c r="L294" t="n">
        <v>3.99</v>
      </c>
      <c r="M294" t="n">
        <v>1</v>
      </c>
      <c r="N294" t="inlineStr">
        <is>
          <t>test</t>
        </is>
      </c>
      <c r="O294">
        <f>HYPERLINK("3\1\marker_343_731292.png", "Ver Imagen")</f>
        <v/>
      </c>
      <c r="P294">
        <f>HYPERLINK("NE\A-490\A-490__44.png", "Ver Imagen")</f>
        <v/>
      </c>
    </row>
    <row r="295">
      <c r="A295" t="n">
        <v>2496</v>
      </c>
      <c r="B295" t="inlineStr">
        <is>
          <t>A-490__45</t>
        </is>
      </c>
      <c r="C295" t="n">
        <v>37.4464414899</v>
      </c>
      <c r="D295" t="n">
        <v>-7.13741332873</v>
      </c>
      <c r="E295" t="n">
        <v>2</v>
      </c>
      <c r="F295" t="n">
        <v>3</v>
      </c>
      <c r="G295" t="n">
        <v>3</v>
      </c>
      <c r="J295" t="inlineStr">
        <is>
          <t>Moda</t>
        </is>
      </c>
      <c r="K295" t="n">
        <v>3</v>
      </c>
      <c r="L295" t="n">
        <v>3.688</v>
      </c>
      <c r="M295" t="n">
        <v>1</v>
      </c>
      <c r="N295" t="inlineStr">
        <is>
          <t>val</t>
        </is>
      </c>
      <c r="O295">
        <f>HYPERLINK("3\1\marker_761_731313.png", "Ver Imagen")</f>
        <v/>
      </c>
      <c r="P295">
        <f>HYPERLINK("NE\A-490\A-490__45.png", "Ver Imagen")</f>
        <v/>
      </c>
    </row>
    <row r="296">
      <c r="A296" t="n">
        <v>2517</v>
      </c>
      <c r="B296" t="inlineStr">
        <is>
          <t>A-490__211</t>
        </is>
      </c>
      <c r="C296" t="n">
        <v>37.4612177877</v>
      </c>
      <c r="D296" t="n">
        <v>-7.17384179785</v>
      </c>
      <c r="E296" t="n">
        <v>2</v>
      </c>
      <c r="F296" t="n">
        <v>3</v>
      </c>
      <c r="G296" t="n">
        <v>3</v>
      </c>
      <c r="J296" t="inlineStr">
        <is>
          <t>Moda</t>
        </is>
      </c>
      <c r="K296" t="n">
        <v>3</v>
      </c>
      <c r="L296" t="n">
        <v>2.183</v>
      </c>
      <c r="M296" t="n">
        <v>1</v>
      </c>
      <c r="N296" t="inlineStr">
        <is>
          <t>train</t>
        </is>
      </c>
      <c r="O296">
        <f>HYPERLINK("3\1\marker_377_742718.png", "Ver Imagen")</f>
        <v/>
      </c>
      <c r="P296">
        <f>HYPERLINK("NE\A-490\A-490__211.png", "Ver Imagen")</f>
        <v/>
      </c>
    </row>
    <row r="297">
      <c r="A297" t="n">
        <v>2527</v>
      </c>
      <c r="B297" t="inlineStr">
        <is>
          <t>A-490__369</t>
        </is>
      </c>
      <c r="C297" t="n">
        <v>37.4787352008</v>
      </c>
      <c r="D297" t="n">
        <v>-7.20741884249</v>
      </c>
      <c r="E297" t="n">
        <v>2</v>
      </c>
      <c r="F297" t="n">
        <v>3</v>
      </c>
      <c r="G297" t="n">
        <v>3</v>
      </c>
      <c r="J297" t="inlineStr">
        <is>
          <t>Moda</t>
        </is>
      </c>
      <c r="K297" t="n">
        <v>3</v>
      </c>
      <c r="L297" t="n">
        <v>2.288</v>
      </c>
      <c r="M297" t="n">
        <v>1</v>
      </c>
      <c r="N297" t="inlineStr">
        <is>
          <t>val</t>
        </is>
      </c>
      <c r="O297">
        <f>HYPERLINK("3\1\marker_913_752081.png", "Ver Imagen")</f>
        <v/>
      </c>
      <c r="P297">
        <f>HYPERLINK("NO\A-490\A-490__369.png", "Ver Imagen")</f>
        <v/>
      </c>
    </row>
    <row r="298">
      <c r="A298" t="n">
        <v>2531</v>
      </c>
      <c r="B298" t="inlineStr">
        <is>
          <t>A-490__385</t>
        </is>
      </c>
      <c r="C298" t="n">
        <v>37.4802412721</v>
      </c>
      <c r="D298" t="n">
        <v>-7.21092005038</v>
      </c>
      <c r="E298" t="n">
        <v>2</v>
      </c>
      <c r="F298" t="n">
        <v>3</v>
      </c>
      <c r="G298" t="n">
        <v>3</v>
      </c>
      <c r="J298" t="inlineStr">
        <is>
          <t>Moda</t>
        </is>
      </c>
      <c r="K298" t="n">
        <v>3</v>
      </c>
      <c r="L298" t="n">
        <v>2.107</v>
      </c>
      <c r="M298" t="n">
        <v>1</v>
      </c>
      <c r="N298" t="inlineStr">
        <is>
          <t>test</t>
        </is>
      </c>
      <c r="O298">
        <f>HYPERLINK("3\1\marker_597_752447.png", "Ver Imagen")</f>
        <v/>
      </c>
      <c r="P298">
        <f>HYPERLINK("NO\A-490\A-490__385.png", "Ver Imagen")</f>
        <v/>
      </c>
    </row>
    <row r="299">
      <c r="A299" t="n">
        <v>2533</v>
      </c>
      <c r="B299" t="inlineStr">
        <is>
          <t>A-490__389</t>
        </is>
      </c>
      <c r="C299" t="n">
        <v>37.4806416097</v>
      </c>
      <c r="D299" t="n">
        <v>-7.21188131299</v>
      </c>
      <c r="E299" t="n">
        <v>2</v>
      </c>
      <c r="F299" t="n">
        <v>3</v>
      </c>
      <c r="G299" t="n">
        <v>3</v>
      </c>
      <c r="J299" t="inlineStr">
        <is>
          <t>Moda</t>
        </is>
      </c>
      <c r="K299" t="n">
        <v>3</v>
      </c>
      <c r="L299" t="n">
        <v>1.807</v>
      </c>
      <c r="M299" t="n">
        <v>1</v>
      </c>
      <c r="N299" t="inlineStr">
        <is>
          <t>test</t>
        </is>
      </c>
      <c r="O299">
        <f>HYPERLINK("3\1\marker_766_752511.png", "Ver Imagen")</f>
        <v/>
      </c>
      <c r="P299">
        <f>HYPERLINK("NO\A-490\A-490__389.png", "Ver Imagen")</f>
        <v/>
      </c>
    </row>
    <row r="300">
      <c r="A300" t="n">
        <v>2534</v>
      </c>
      <c r="B300" t="inlineStr">
        <is>
          <t>A-490__396</t>
        </is>
      </c>
      <c r="C300" t="n">
        <v>37.4812499289</v>
      </c>
      <c r="D300" t="n">
        <v>-7.21353623815</v>
      </c>
      <c r="E300" t="n">
        <v>2</v>
      </c>
      <c r="F300" t="n">
        <v>3</v>
      </c>
      <c r="G300" t="n">
        <v>3</v>
      </c>
      <c r="J300" t="inlineStr">
        <is>
          <t>Moda</t>
        </is>
      </c>
      <c r="K300" t="n">
        <v>3</v>
      </c>
      <c r="L300" t="n">
        <v>2.22</v>
      </c>
      <c r="M300" t="n">
        <v>1</v>
      </c>
      <c r="N300" t="inlineStr">
        <is>
          <t>test</t>
        </is>
      </c>
      <c r="O300">
        <f>HYPERLINK("3\1\marker_349_752931.png", "Ver Imagen")</f>
        <v/>
      </c>
      <c r="P300">
        <f>HYPERLINK("NO\A-490\A-490__396.png", "Ver Imagen")</f>
        <v/>
      </c>
    </row>
    <row r="301">
      <c r="A301" t="n">
        <v>2536</v>
      </c>
      <c r="B301" t="inlineStr">
        <is>
          <t>A-490__414</t>
        </is>
      </c>
      <c r="C301" t="n">
        <v>37.4825203083</v>
      </c>
      <c r="D301" t="n">
        <v>-7.21773712346</v>
      </c>
      <c r="E301" t="n">
        <v>2</v>
      </c>
      <c r="F301" t="n">
        <v>3</v>
      </c>
      <c r="G301" t="n">
        <v>3</v>
      </c>
      <c r="J301" t="inlineStr">
        <is>
          <t>Moda</t>
        </is>
      </c>
      <c r="K301" t="n">
        <v>3</v>
      </c>
      <c r="L301" t="n">
        <v>1.861</v>
      </c>
      <c r="M301" t="n">
        <v>1</v>
      </c>
      <c r="N301" t="inlineStr">
        <is>
          <t>val</t>
        </is>
      </c>
      <c r="O301">
        <f>HYPERLINK("3\1\marker_770_754191.png", "Ver Imagen")</f>
        <v/>
      </c>
      <c r="P301">
        <f>HYPERLINK("NO\A-490\A-490__414.png", "Ver Imagen")</f>
        <v/>
      </c>
    </row>
    <row r="302">
      <c r="A302" t="n">
        <v>2542</v>
      </c>
      <c r="B302" t="inlineStr">
        <is>
          <t>A-490__458</t>
        </is>
      </c>
      <c r="C302" t="n">
        <v>37.4846427784</v>
      </c>
      <c r="D302" t="n">
        <v>-7.22860709909</v>
      </c>
      <c r="E302" t="n">
        <v>2</v>
      </c>
      <c r="F302" t="n">
        <v>3</v>
      </c>
      <c r="G302" t="n">
        <v>3</v>
      </c>
      <c r="J302" t="inlineStr">
        <is>
          <t>Moda</t>
        </is>
      </c>
      <c r="K302" t="n">
        <v>3</v>
      </c>
      <c r="L302" t="n">
        <v>1.94</v>
      </c>
      <c r="M302" t="n">
        <v>1</v>
      </c>
      <c r="N302" t="inlineStr">
        <is>
          <t>test</t>
        </is>
      </c>
      <c r="O302">
        <f>HYPERLINK("3\1\marker_893_755182.png", "Ver Imagen")</f>
        <v/>
      </c>
      <c r="P302">
        <f>HYPERLINK("NO\A-490\A-490__458.png", "Ver Imagen")</f>
        <v/>
      </c>
    </row>
    <row r="303">
      <c r="A303" t="n">
        <v>2543</v>
      </c>
      <c r="B303" t="inlineStr">
        <is>
          <t>A-490__484</t>
        </is>
      </c>
      <c r="C303" t="n">
        <v>37.4858783757</v>
      </c>
      <c r="D303" t="n">
        <v>-7.23504913401</v>
      </c>
      <c r="E303" t="n">
        <v>2</v>
      </c>
      <c r="F303" t="n">
        <v>3</v>
      </c>
      <c r="G303" t="n">
        <v>3</v>
      </c>
      <c r="J303" t="inlineStr">
        <is>
          <t>Moda</t>
        </is>
      </c>
      <c r="K303" t="n">
        <v>3</v>
      </c>
      <c r="L303" t="n">
        <v>1.767</v>
      </c>
      <c r="M303" t="n">
        <v>1</v>
      </c>
      <c r="N303" t="inlineStr">
        <is>
          <t>test</t>
        </is>
      </c>
      <c r="O303">
        <f>HYPERLINK("3\1\marker_759_755657.png", "Ver Imagen")</f>
        <v/>
      </c>
      <c r="P303">
        <f>HYPERLINK("NO\A-490\A-490__484.png", "Ver Imagen")</f>
        <v/>
      </c>
    </row>
    <row r="304">
      <c r="A304" t="n">
        <v>2555</v>
      </c>
      <c r="B304" t="inlineStr">
        <is>
          <t>A-492__78</t>
        </is>
      </c>
      <c r="C304" t="n">
        <v>37.2805351691</v>
      </c>
      <c r="D304" t="n">
        <v>-7.00200604448</v>
      </c>
      <c r="E304" t="n">
        <v>2</v>
      </c>
      <c r="F304" t="n">
        <v>3</v>
      </c>
      <c r="G304" t="n">
        <v>3</v>
      </c>
      <c r="J304" t="inlineStr">
        <is>
          <t>Moda</t>
        </is>
      </c>
      <c r="K304" t="n">
        <v>3</v>
      </c>
      <c r="L304" t="n">
        <v>2.353</v>
      </c>
      <c r="M304" t="n">
        <v>1</v>
      </c>
      <c r="N304" t="inlineStr">
        <is>
          <t>val</t>
        </is>
      </c>
      <c r="O304">
        <f>HYPERLINK("3\1\marker_818_823467.png", "Ver Imagen")</f>
        <v/>
      </c>
      <c r="P304">
        <f>HYPERLINK("SE\A-492\A-492__78.png", "Ver Imagen")</f>
        <v/>
      </c>
    </row>
    <row r="305">
      <c r="A305" t="n">
        <v>2556</v>
      </c>
      <c r="B305" t="inlineStr">
        <is>
          <t>A-492__86</t>
        </is>
      </c>
      <c r="C305" t="n">
        <v>37.2806621715</v>
      </c>
      <c r="D305" t="n">
        <v>-7.00398110252</v>
      </c>
      <c r="E305" t="n">
        <v>3</v>
      </c>
      <c r="F305" t="n">
        <v>2</v>
      </c>
      <c r="G305" t="n">
        <v>3</v>
      </c>
      <c r="J305" t="inlineStr">
        <is>
          <t>Moda</t>
        </is>
      </c>
      <c r="K305" t="n">
        <v>3</v>
      </c>
      <c r="L305" t="n">
        <v>2.295</v>
      </c>
      <c r="M305" t="n">
        <v>1</v>
      </c>
      <c r="N305" t="inlineStr">
        <is>
          <t>val</t>
        </is>
      </c>
      <c r="O305">
        <f>HYPERLINK("3\1\marker_395_823569.png", "Ver Imagen")</f>
        <v/>
      </c>
      <c r="P305">
        <f>HYPERLINK("SE\A-492\A-492__86.png", "Ver Imagen")</f>
        <v/>
      </c>
    </row>
    <row r="306">
      <c r="A306" t="n">
        <v>2573</v>
      </c>
      <c r="B306" t="inlineStr">
        <is>
          <t>A-492__166</t>
        </is>
      </c>
      <c r="C306" t="n">
        <v>37.2760867684</v>
      </c>
      <c r="D306" t="n">
        <v>-7.02225806174</v>
      </c>
      <c r="E306" t="n">
        <v>2</v>
      </c>
      <c r="F306" t="n">
        <v>3</v>
      </c>
      <c r="G306" t="n">
        <v>3</v>
      </c>
      <c r="J306" t="inlineStr">
        <is>
          <t>Moda</t>
        </is>
      </c>
      <c r="K306" t="n">
        <v>3</v>
      </c>
      <c r="L306" t="n">
        <v>2.38</v>
      </c>
      <c r="M306" t="n">
        <v>1</v>
      </c>
      <c r="N306" t="inlineStr">
        <is>
          <t>val</t>
        </is>
      </c>
      <c r="O306">
        <f>HYPERLINK("3\1\marker_496_831393.png", "Ver Imagen")</f>
        <v/>
      </c>
      <c r="P306">
        <f>HYPERLINK("SE\A-492\A-492__166.png", "Ver Imagen")</f>
        <v/>
      </c>
    </row>
    <row r="307">
      <c r="A307" t="n">
        <v>2574</v>
      </c>
      <c r="B307" t="inlineStr">
        <is>
          <t>A-492__254</t>
        </is>
      </c>
      <c r="C307" t="n">
        <v>37.2847982898</v>
      </c>
      <c r="D307" t="n">
        <v>-7.03971221781</v>
      </c>
      <c r="E307" t="n">
        <v>3</v>
      </c>
      <c r="F307" t="n">
        <v>4</v>
      </c>
      <c r="G307" t="n">
        <v>3</v>
      </c>
      <c r="J307" t="inlineStr">
        <is>
          <t>Moda</t>
        </is>
      </c>
      <c r="K307" t="n">
        <v>3</v>
      </c>
      <c r="L307" t="n">
        <v>2.31</v>
      </c>
      <c r="M307" t="n">
        <v>1</v>
      </c>
      <c r="N307" t="inlineStr">
        <is>
          <t>test</t>
        </is>
      </c>
      <c r="O307">
        <f>HYPERLINK("3\1\marker_991_836163.png", "Ver Imagen")</f>
        <v/>
      </c>
      <c r="P307">
        <f>HYPERLINK("SE\A-492\A-492__254.png", "Ver Imagen")</f>
        <v/>
      </c>
    </row>
    <row r="308">
      <c r="A308" t="n">
        <v>2575</v>
      </c>
      <c r="B308" t="inlineStr">
        <is>
          <t>A-492__272</t>
        </is>
      </c>
      <c r="C308" t="n">
        <v>37.2876784509</v>
      </c>
      <c r="D308" t="n">
        <v>-7.04227297491</v>
      </c>
      <c r="E308" t="n">
        <v>3</v>
      </c>
      <c r="F308" t="n">
        <v>3</v>
      </c>
      <c r="G308" t="n">
        <v>4</v>
      </c>
      <c r="J308" t="inlineStr">
        <is>
          <t>Moda</t>
        </is>
      </c>
      <c r="K308" t="n">
        <v>3</v>
      </c>
      <c r="L308" t="n">
        <v>2.413</v>
      </c>
      <c r="M308" t="n">
        <v>1</v>
      </c>
      <c r="N308" t="inlineStr">
        <is>
          <t>test</t>
        </is>
      </c>
      <c r="O308">
        <f>HYPERLINK("3\1\marker_315_836812.png", "Ver Imagen")</f>
        <v/>
      </c>
      <c r="P308">
        <f>HYPERLINK("SE\A-492\A-492__272.png", "Ver Imagen")</f>
        <v/>
      </c>
    </row>
    <row r="309">
      <c r="A309" t="n">
        <v>2581</v>
      </c>
      <c r="B309" t="inlineStr">
        <is>
          <t>A-492__415</t>
        </is>
      </c>
      <c r="C309" t="n">
        <v>37.3114523166</v>
      </c>
      <c r="D309" t="n">
        <v>-7.0595034301</v>
      </c>
      <c r="E309" t="n">
        <v>3</v>
      </c>
      <c r="F309" t="n">
        <v>2</v>
      </c>
      <c r="G309" t="n">
        <v>3</v>
      </c>
      <c r="J309" t="inlineStr">
        <is>
          <t>Moda</t>
        </is>
      </c>
      <c r="K309" t="n">
        <v>3</v>
      </c>
      <c r="L309" t="n">
        <v>1.907</v>
      </c>
      <c r="M309" t="n">
        <v>1</v>
      </c>
      <c r="N309" t="inlineStr">
        <is>
          <t>val</t>
        </is>
      </c>
      <c r="O309">
        <f>HYPERLINK("3\1\marker_873_839343.png", "Ver Imagen")</f>
        <v/>
      </c>
      <c r="P309">
        <f>HYPERLINK("SE\A-492\A-492__415.png", "Ver Imagen")</f>
        <v/>
      </c>
    </row>
    <row r="310">
      <c r="A310" t="n">
        <v>2601</v>
      </c>
      <c r="B310" t="inlineStr">
        <is>
          <t>A-5050__177</t>
        </is>
      </c>
      <c r="C310" t="n">
        <v>37.1903620705</v>
      </c>
      <c r="D310" t="n">
        <v>-6.98963989698</v>
      </c>
      <c r="E310" t="n">
        <v>2</v>
      </c>
      <c r="F310" t="n">
        <v>3</v>
      </c>
      <c r="G310" t="n">
        <v>3</v>
      </c>
      <c r="J310" t="inlineStr">
        <is>
          <t>Moda</t>
        </is>
      </c>
      <c r="K310" t="n">
        <v>3</v>
      </c>
      <c r="L310" t="n">
        <v>2.17</v>
      </c>
      <c r="M310" t="n">
        <v>1</v>
      </c>
      <c r="N310" t="inlineStr">
        <is>
          <t>test</t>
        </is>
      </c>
      <c r="O310">
        <f>HYPERLINK("3\1\marker_289_944211.png", "Ver Imagen")</f>
        <v/>
      </c>
      <c r="P310">
        <f>HYPERLINK("SE\A-5050\A-5050__177.png", "Ver Imagen")</f>
        <v/>
      </c>
    </row>
    <row r="311">
      <c r="A311" t="n">
        <v>2603</v>
      </c>
      <c r="B311" t="inlineStr">
        <is>
          <t>A-5050__175</t>
        </is>
      </c>
      <c r="C311" t="n">
        <v>37.1905746632</v>
      </c>
      <c r="D311" t="n">
        <v>-6.99009123174</v>
      </c>
      <c r="E311" t="n">
        <v>2</v>
      </c>
      <c r="F311" t="n">
        <v>3</v>
      </c>
      <c r="G311" t="n">
        <v>3</v>
      </c>
      <c r="J311" t="inlineStr">
        <is>
          <t>Moda</t>
        </is>
      </c>
      <c r="K311" t="n">
        <v>3</v>
      </c>
      <c r="L311" t="n">
        <v>2.47</v>
      </c>
      <c r="M311" t="n">
        <v>1</v>
      </c>
      <c r="N311" t="inlineStr">
        <is>
          <t>train</t>
        </is>
      </c>
      <c r="O311">
        <f>HYPERLINK("3\1\marker_244_944231.png", "Ver Imagen")</f>
        <v/>
      </c>
      <c r="P311">
        <f>HYPERLINK("SE\A-5050\A-5050__175.png", "Ver Imagen")</f>
        <v/>
      </c>
    </row>
    <row r="312">
      <c r="A312" t="n">
        <v>2612</v>
      </c>
      <c r="B312" t="inlineStr">
        <is>
          <t>A-5050__105</t>
        </is>
      </c>
      <c r="C312" t="n">
        <v>37.1973014216</v>
      </c>
      <c r="D312" t="n">
        <v>-7.00566903754</v>
      </c>
      <c r="E312" t="n">
        <v>2</v>
      </c>
      <c r="F312" t="n">
        <v>3</v>
      </c>
      <c r="G312" t="n">
        <v>3</v>
      </c>
      <c r="J312" t="inlineStr">
        <is>
          <t>Moda</t>
        </is>
      </c>
      <c r="K312" t="n">
        <v>3</v>
      </c>
      <c r="L312" t="n">
        <v>2.465</v>
      </c>
      <c r="M312" t="n">
        <v>1</v>
      </c>
      <c r="N312" t="inlineStr">
        <is>
          <t>val</t>
        </is>
      </c>
      <c r="O312">
        <f>HYPERLINK("3\1\marker_874_946720.png", "Ver Imagen")</f>
        <v/>
      </c>
      <c r="P312">
        <f>HYPERLINK("SE\A-5050\A-5050__105.png", "Ver Imagen")</f>
        <v/>
      </c>
    </row>
    <row r="313">
      <c r="A313" t="n">
        <v>2618</v>
      </c>
      <c r="B313" t="inlineStr">
        <is>
          <t>A-5050__57</t>
        </is>
      </c>
      <c r="C313" t="n">
        <v>37.2030445873</v>
      </c>
      <c r="D313" t="n">
        <v>-7.0154213978</v>
      </c>
      <c r="E313" t="n">
        <v>3</v>
      </c>
      <c r="F313" t="n">
        <v>2</v>
      </c>
      <c r="G313" t="n">
        <v>3</v>
      </c>
      <c r="J313" t="inlineStr">
        <is>
          <t>Moda</t>
        </is>
      </c>
      <c r="K313" t="n">
        <v>3</v>
      </c>
      <c r="L313" t="n">
        <v>3.84</v>
      </c>
      <c r="M313" t="n">
        <v>1</v>
      </c>
      <c r="N313" t="inlineStr">
        <is>
          <t>test</t>
        </is>
      </c>
      <c r="O313">
        <f>HYPERLINK("3\1\marker_753_949074.png", "Ver Imagen")</f>
        <v/>
      </c>
      <c r="P313">
        <f>HYPERLINK("SE\A-5050\A-5050__57.png", "Ver Imagen")</f>
        <v/>
      </c>
    </row>
    <row r="314">
      <c r="A314" t="n">
        <v>2623</v>
      </c>
      <c r="B314" t="inlineStr">
        <is>
          <t>A-5050__11</t>
        </is>
      </c>
      <c r="C314" t="n">
        <v>37.2083480343</v>
      </c>
      <c r="D314" t="n">
        <v>-7.02472693199</v>
      </c>
      <c r="E314" t="n">
        <v>2</v>
      </c>
      <c r="F314" t="n">
        <v>3</v>
      </c>
      <c r="G314" t="n">
        <v>3</v>
      </c>
      <c r="J314" t="inlineStr">
        <is>
          <t>Moda</t>
        </is>
      </c>
      <c r="K314" t="n">
        <v>3</v>
      </c>
      <c r="L314" t="n">
        <v>1.987</v>
      </c>
      <c r="M314" t="n">
        <v>1</v>
      </c>
      <c r="N314" t="inlineStr">
        <is>
          <t>test</t>
        </is>
      </c>
      <c r="O314">
        <f>HYPERLINK("3\1\marker_669_949597.png", "Ver Imagen")</f>
        <v/>
      </c>
      <c r="P314">
        <f>HYPERLINK("SE\A-5050\A-5050__11.png", "Ver Imagen")</f>
        <v/>
      </c>
    </row>
    <row r="315">
      <c r="A315" t="n">
        <v>2624</v>
      </c>
      <c r="B315" t="inlineStr">
        <is>
          <t>A-5050__2</t>
        </is>
      </c>
      <c r="C315" t="n">
        <v>37.2088765033</v>
      </c>
      <c r="D315" t="n">
        <v>-7.02688148101</v>
      </c>
      <c r="E315" t="n">
        <v>3</v>
      </c>
      <c r="F315" t="n">
        <v>4</v>
      </c>
      <c r="G315" t="n">
        <v>3</v>
      </c>
      <c r="J315" t="inlineStr">
        <is>
          <t>Moda</t>
        </is>
      </c>
      <c r="K315" t="n">
        <v>3</v>
      </c>
      <c r="L315" t="n">
        <v>2.456</v>
      </c>
      <c r="M315" t="n">
        <v>1</v>
      </c>
      <c r="N315" t="inlineStr">
        <is>
          <t>val</t>
        </is>
      </c>
      <c r="O315">
        <f>HYPERLINK("3\1\marker_946_949693.png", "Ver Imagen")</f>
        <v/>
      </c>
      <c r="P315">
        <f>HYPERLINK("SE\A-5050\A-5050__2.png", "Ver Imagen")</f>
        <v/>
      </c>
    </row>
    <row r="316">
      <c r="A316" t="n">
        <v>2626</v>
      </c>
      <c r="B316" t="inlineStr">
        <is>
          <t>A-5052__30</t>
        </is>
      </c>
      <c r="C316" t="n">
        <v>37.2181142828</v>
      </c>
      <c r="D316" t="n">
        <v>-7.11856999337</v>
      </c>
      <c r="E316" t="n">
        <v>3</v>
      </c>
      <c r="F316" t="n">
        <v>2</v>
      </c>
      <c r="G316" t="n">
        <v>3</v>
      </c>
      <c r="J316" t="inlineStr">
        <is>
          <t>Moda</t>
        </is>
      </c>
      <c r="K316" t="n">
        <v>3</v>
      </c>
      <c r="L316" t="n">
        <v>1.828</v>
      </c>
      <c r="M316" t="n">
        <v>1</v>
      </c>
      <c r="N316" t="inlineStr">
        <is>
          <t>val</t>
        </is>
      </c>
      <c r="O316">
        <f>HYPERLINK("3\1\marker_459_951628.png", "Ver Imagen")</f>
        <v/>
      </c>
      <c r="P316">
        <f>HYPERLINK("SO\A-5052\A-5052__30.png", "Ver Imagen")</f>
        <v/>
      </c>
    </row>
    <row r="317">
      <c r="A317" t="n">
        <v>2628</v>
      </c>
      <c r="B317" t="inlineStr">
        <is>
          <t>A-5052__128</t>
        </is>
      </c>
      <c r="C317" t="n">
        <v>37.2166466979</v>
      </c>
      <c r="D317" t="n">
        <v>-7.09388965045</v>
      </c>
      <c r="E317" t="n">
        <v>2</v>
      </c>
      <c r="F317" t="n">
        <v>3</v>
      </c>
      <c r="G317" t="n">
        <v>3</v>
      </c>
      <c r="J317" t="inlineStr">
        <is>
          <t>Moda</t>
        </is>
      </c>
      <c r="K317" t="n">
        <v>3</v>
      </c>
      <c r="L317" t="n">
        <v>1.97</v>
      </c>
      <c r="M317" t="n">
        <v>1</v>
      </c>
      <c r="N317" t="inlineStr">
        <is>
          <t>test</t>
        </is>
      </c>
      <c r="O317">
        <f>HYPERLINK("3\1\marker_446_958062.png", "Ver Imagen")</f>
        <v/>
      </c>
      <c r="P317">
        <f>HYPERLINK("SE\A-5052\A-5052__128.png", "Ver Imagen")</f>
        <v/>
      </c>
    </row>
    <row r="318">
      <c r="A318" t="n">
        <v>2630</v>
      </c>
      <c r="B318" t="inlineStr">
        <is>
          <t>A-5052__282</t>
        </is>
      </c>
      <c r="C318" t="n">
        <v>37.2112214592</v>
      </c>
      <c r="D318" t="n">
        <v>-7.05604214409</v>
      </c>
      <c r="E318" t="n">
        <v>2</v>
      </c>
      <c r="F318" t="n">
        <v>3</v>
      </c>
      <c r="G318" t="n">
        <v>3</v>
      </c>
      <c r="J318" t="inlineStr">
        <is>
          <t>Moda</t>
        </is>
      </c>
      <c r="K318" t="n">
        <v>3</v>
      </c>
      <c r="L318" t="n">
        <v>2.397</v>
      </c>
      <c r="M318" t="n">
        <v>1</v>
      </c>
      <c r="N318" t="inlineStr">
        <is>
          <t>val</t>
        </is>
      </c>
      <c r="O318">
        <f>HYPERLINK("3\1\marker_590_960538.png", "Ver Imagen")</f>
        <v/>
      </c>
      <c r="P318">
        <f>HYPERLINK("SE\A-5052\A-5052__282.png", "Ver Imagen")</f>
        <v/>
      </c>
    </row>
    <row r="319">
      <c r="A319" t="n">
        <v>2634</v>
      </c>
      <c r="B319" t="inlineStr">
        <is>
          <t>A-5052__314</t>
        </is>
      </c>
      <c r="C319" t="n">
        <v>37.2117679566</v>
      </c>
      <c r="D319" t="n">
        <v>-7.04821530275</v>
      </c>
      <c r="E319" t="n">
        <v>3</v>
      </c>
      <c r="F319" t="n">
        <v>3</v>
      </c>
      <c r="G319" t="n">
        <v>4</v>
      </c>
      <c r="J319" t="inlineStr">
        <is>
          <t>Moda</t>
        </is>
      </c>
      <c r="K319" t="n">
        <v>3</v>
      </c>
      <c r="L319" t="n">
        <v>2.425</v>
      </c>
      <c r="M319" t="n">
        <v>1</v>
      </c>
      <c r="N319" t="inlineStr">
        <is>
          <t>train</t>
        </is>
      </c>
      <c r="O319">
        <f>HYPERLINK("3\1\marker_832_961172.png", "Ver Imagen")</f>
        <v/>
      </c>
      <c r="P319">
        <f>HYPERLINK("SE\A-5052\A-5052__314.png", "Ver Imagen")</f>
        <v/>
      </c>
    </row>
    <row r="320">
      <c r="A320" t="n">
        <v>2638</v>
      </c>
      <c r="B320" t="inlineStr">
        <is>
          <t>A-5052__354</t>
        </is>
      </c>
      <c r="C320" t="n">
        <v>37.2088731193</v>
      </c>
      <c r="D320" t="n">
        <v>-7.03878511144</v>
      </c>
      <c r="E320" t="n">
        <v>3</v>
      </c>
      <c r="F320" t="n">
        <v>4</v>
      </c>
      <c r="G320" t="n">
        <v>3</v>
      </c>
      <c r="J320" t="inlineStr">
        <is>
          <t>Moda</t>
        </is>
      </c>
      <c r="K320" t="n">
        <v>3</v>
      </c>
      <c r="L320" t="n">
        <v>2.43</v>
      </c>
      <c r="M320" t="n">
        <v>1</v>
      </c>
      <c r="N320" t="inlineStr">
        <is>
          <t>train</t>
        </is>
      </c>
      <c r="O320">
        <f>HYPERLINK("3\1\marker_357_961785.png", "Ver Imagen")</f>
        <v/>
      </c>
      <c r="P320">
        <f>HYPERLINK("SE\A-5052\A-5052__354.png", "Ver Imagen")</f>
        <v/>
      </c>
    </row>
    <row r="321">
      <c r="A321" t="n">
        <v>2640</v>
      </c>
      <c r="B321" t="inlineStr">
        <is>
          <t>A-5052__385</t>
        </is>
      </c>
      <c r="C321" t="n">
        <v>37.2061544248</v>
      </c>
      <c r="D321" t="n">
        <v>-7.03175011307</v>
      </c>
      <c r="E321" t="n">
        <v>3</v>
      </c>
      <c r="F321" t="n">
        <v>4</v>
      </c>
      <c r="G321" t="n">
        <v>3</v>
      </c>
      <c r="J321" t="inlineStr">
        <is>
          <t>Moda</t>
        </is>
      </c>
      <c r="K321" t="n">
        <v>3</v>
      </c>
      <c r="L321" t="n">
        <v>2.222</v>
      </c>
      <c r="M321" t="n">
        <v>1</v>
      </c>
      <c r="N321" t="inlineStr">
        <is>
          <t>test</t>
        </is>
      </c>
      <c r="O321">
        <f>HYPERLINK("3\1\marker_332_962528.png", "Ver Imagen")</f>
        <v/>
      </c>
      <c r="P321">
        <f>HYPERLINK("SE\A-5052\A-5052__385.png", "Ver Imagen")</f>
        <v/>
      </c>
    </row>
    <row r="322">
      <c r="A322" t="n">
        <v>2666</v>
      </c>
      <c r="B322" t="inlineStr">
        <is>
          <t>A-5059__15</t>
        </is>
      </c>
      <c r="C322" t="n">
        <v>37.2316585589</v>
      </c>
      <c r="D322" t="n">
        <v>-7.06382036103</v>
      </c>
      <c r="E322" t="n">
        <v>3</v>
      </c>
      <c r="F322" t="n">
        <v>2</v>
      </c>
      <c r="G322" t="n">
        <v>3</v>
      </c>
      <c r="J322" t="inlineStr">
        <is>
          <t>Moda</t>
        </is>
      </c>
      <c r="K322" t="n">
        <v>3</v>
      </c>
      <c r="L322" t="n">
        <v>2.249</v>
      </c>
      <c r="M322" t="n">
        <v>1</v>
      </c>
      <c r="N322" t="inlineStr">
        <is>
          <t>val</t>
        </is>
      </c>
      <c r="O322">
        <f>HYPERLINK("3\1\marker_719_379535.png", "Ver Imagen")</f>
        <v/>
      </c>
      <c r="P322">
        <f>HYPERLINK("SE\A-5059\A-5059__15.png", "Ver Imagen")</f>
        <v/>
      </c>
    </row>
    <row r="323">
      <c r="A323" t="n">
        <v>2673</v>
      </c>
      <c r="B323" t="inlineStr">
        <is>
          <t>A-495__165</t>
        </is>
      </c>
      <c r="C323" t="n">
        <v>37.4319012471</v>
      </c>
      <c r="D323" t="n">
        <v>-7.06264011676</v>
      </c>
      <c r="E323" t="n">
        <v>3</v>
      </c>
      <c r="F323" t="n">
        <v>2</v>
      </c>
      <c r="G323" t="n">
        <v>3</v>
      </c>
      <c r="J323" t="inlineStr">
        <is>
          <t>Moda</t>
        </is>
      </c>
      <c r="K323" t="n">
        <v>3</v>
      </c>
      <c r="L323" t="n">
        <v>3.53</v>
      </c>
      <c r="M323" t="n">
        <v>1</v>
      </c>
      <c r="N323" t="inlineStr">
        <is>
          <t>train</t>
        </is>
      </c>
      <c r="O323">
        <f>HYPERLINK("3\1\marker_623_382864.png", "Ver Imagen")</f>
        <v/>
      </c>
      <c r="P323">
        <f>HYPERLINK("NE\A-495\A-495__165.png", "Ver Imagen")</f>
        <v/>
      </c>
    </row>
    <row r="324">
      <c r="A324" t="n">
        <v>2684</v>
      </c>
      <c r="B324" t="inlineStr">
        <is>
          <t>A-5058__104</t>
        </is>
      </c>
      <c r="C324" t="n">
        <v>37.2310554559</v>
      </c>
      <c r="D324" t="n">
        <v>-7.05052152512</v>
      </c>
      <c r="E324" t="n">
        <v>3</v>
      </c>
      <c r="F324" t="n">
        <v>2</v>
      </c>
      <c r="G324" t="n">
        <v>3</v>
      </c>
      <c r="J324" t="inlineStr">
        <is>
          <t>Moda</t>
        </is>
      </c>
      <c r="K324" t="n">
        <v>3</v>
      </c>
      <c r="L324" t="n">
        <v>2.421</v>
      </c>
      <c r="M324" t="n">
        <v>1</v>
      </c>
      <c r="N324" t="inlineStr">
        <is>
          <t>test</t>
        </is>
      </c>
      <c r="O324">
        <f>HYPERLINK("3\1\marker_734_381168.png", "Ver Imagen")</f>
        <v/>
      </c>
      <c r="P324">
        <f>HYPERLINK("SE\A-5058\A-5058__104.png", "Ver Imagen")</f>
        <v/>
      </c>
    </row>
    <row r="325">
      <c r="A325" t="n">
        <v>2705</v>
      </c>
      <c r="B325" t="inlineStr">
        <is>
          <t>A-5058__179</t>
        </is>
      </c>
      <c r="C325" t="n">
        <v>37.2336381649</v>
      </c>
      <c r="D325" t="n">
        <v>-7.06835329637</v>
      </c>
      <c r="E325" t="n">
        <v>3</v>
      </c>
      <c r="F325" t="n">
        <v>2</v>
      </c>
      <c r="G325" t="n">
        <v>3</v>
      </c>
      <c r="J325" t="inlineStr">
        <is>
          <t>Moda</t>
        </is>
      </c>
      <c r="K325" t="n">
        <v>3</v>
      </c>
      <c r="L325" t="n">
        <v>2.35</v>
      </c>
      <c r="M325" t="n">
        <v>1</v>
      </c>
      <c r="N325" t="inlineStr">
        <is>
          <t>val</t>
        </is>
      </c>
      <c r="O325">
        <f>HYPERLINK("3\1\marker_261_382527.png", "Ver Imagen")</f>
        <v/>
      </c>
      <c r="P325">
        <f>HYPERLINK("SE\A-5058\A-5058__179.png", "Ver Imagen")</f>
        <v/>
      </c>
    </row>
    <row r="326">
      <c r="A326" t="n">
        <v>2748</v>
      </c>
      <c r="B326" t="inlineStr">
        <is>
          <t>A-5058__345</t>
        </is>
      </c>
      <c r="C326" t="n">
        <v>37.2506098829</v>
      </c>
      <c r="D326" t="n">
        <v>-7.10318631216</v>
      </c>
      <c r="E326" t="n">
        <v>3</v>
      </c>
      <c r="F326" t="n">
        <v>2</v>
      </c>
      <c r="G326" t="n">
        <v>3</v>
      </c>
      <c r="J326" t="inlineStr">
        <is>
          <t>Moda</t>
        </is>
      </c>
      <c r="K326" t="n">
        <v>3</v>
      </c>
      <c r="L326" t="n">
        <v>2.36</v>
      </c>
      <c r="M326" t="n">
        <v>1</v>
      </c>
      <c r="N326" t="inlineStr">
        <is>
          <t>test</t>
        </is>
      </c>
      <c r="O326">
        <f>HYPERLINK("3\1\marker_123_384817.png", "Ver Imagen")</f>
        <v/>
      </c>
      <c r="P326">
        <f>HYPERLINK("SE\A-5058\A-5058__345.png", "Ver Imagen")</f>
        <v/>
      </c>
    </row>
    <row r="327">
      <c r="A327" t="n">
        <v>2781</v>
      </c>
      <c r="B327" t="inlineStr">
        <is>
          <t>A-495_1__182</t>
        </is>
      </c>
      <c r="C327" t="n">
        <v>37.4826107913</v>
      </c>
      <c r="D327" t="n">
        <v>-7.12865726778</v>
      </c>
      <c r="E327" t="n">
        <v>3</v>
      </c>
      <c r="F327" t="n">
        <v>2</v>
      </c>
      <c r="G327" t="n">
        <v>3</v>
      </c>
      <c r="J327" t="inlineStr">
        <is>
          <t>Moda</t>
        </is>
      </c>
      <c r="K327" t="n">
        <v>3</v>
      </c>
      <c r="L327" t="n">
        <v>1.815</v>
      </c>
      <c r="M327" t="n">
        <v>1</v>
      </c>
      <c r="N327" t="inlineStr">
        <is>
          <t>test</t>
        </is>
      </c>
      <c r="O327">
        <f>HYPERLINK("3\1\marker_637_383803.png", "Ver Imagen")</f>
        <v/>
      </c>
      <c r="P327">
        <f>HYPERLINK("NE\A-495_1\A-495_1__182.png", "Ver Imagen")</f>
        <v/>
      </c>
    </row>
    <row r="328">
      <c r="A328" t="n">
        <v>2787</v>
      </c>
      <c r="B328" t="inlineStr">
        <is>
          <t>A-495_1__41</t>
        </is>
      </c>
      <c r="C328" t="n">
        <v>37.4560882065</v>
      </c>
      <c r="D328" t="n">
        <v>-7.12632734777</v>
      </c>
      <c r="E328" t="n">
        <v>3</v>
      </c>
      <c r="F328" t="n">
        <v>3</v>
      </c>
      <c r="G328" t="n">
        <v>2</v>
      </c>
      <c r="J328" t="inlineStr">
        <is>
          <t>Moda</t>
        </is>
      </c>
      <c r="K328" t="n">
        <v>3</v>
      </c>
      <c r="L328" t="n">
        <v>2.414</v>
      </c>
      <c r="M328" t="n">
        <v>1</v>
      </c>
      <c r="N328" t="inlineStr">
        <is>
          <t>train</t>
        </is>
      </c>
      <c r="O328">
        <f>HYPERLINK("3\1\marker_862_385645.png", "Ver Imagen")</f>
        <v/>
      </c>
      <c r="P328">
        <f>HYPERLINK("NE\A-495_1\A-495_1__41.png", "Ver Imagen")</f>
        <v/>
      </c>
    </row>
    <row r="329">
      <c r="A329" t="n">
        <v>2789</v>
      </c>
      <c r="B329" t="inlineStr">
        <is>
          <t>A-499__54</t>
        </is>
      </c>
      <c r="C329" t="n">
        <v>37.4957185996</v>
      </c>
      <c r="D329" t="n">
        <v>-7.27428404995</v>
      </c>
      <c r="E329" t="n">
        <v>3</v>
      </c>
      <c r="F329" t="n">
        <v>2</v>
      </c>
      <c r="G329" t="n">
        <v>3</v>
      </c>
      <c r="J329" t="inlineStr">
        <is>
          <t>Moda</t>
        </is>
      </c>
      <c r="K329" t="n">
        <v>3</v>
      </c>
      <c r="L329" t="n">
        <v>2.478</v>
      </c>
      <c r="M329" t="n">
        <v>1</v>
      </c>
      <c r="N329" t="inlineStr">
        <is>
          <t>val</t>
        </is>
      </c>
      <c r="O329">
        <f>HYPERLINK("3\1\marker_439_534935.png", "Ver Imagen")</f>
        <v/>
      </c>
      <c r="P329">
        <f>HYPERLINK("NO\A-499\A-499__54.png", "Ver Imagen")</f>
        <v/>
      </c>
    </row>
    <row r="330">
      <c r="A330" t="n">
        <v>2790</v>
      </c>
      <c r="B330" t="inlineStr">
        <is>
          <t>A-499__67</t>
        </is>
      </c>
      <c r="C330" t="n">
        <v>37.4953632287</v>
      </c>
      <c r="D330" t="n">
        <v>-7.27102159712</v>
      </c>
      <c r="E330" t="n">
        <v>3</v>
      </c>
      <c r="F330" t="n">
        <v>2</v>
      </c>
      <c r="G330" t="n">
        <v>3</v>
      </c>
      <c r="J330" t="inlineStr">
        <is>
          <t>Moda</t>
        </is>
      </c>
      <c r="K330" t="n">
        <v>3</v>
      </c>
      <c r="L330" t="n">
        <v>3.559</v>
      </c>
      <c r="M330" t="n">
        <v>1</v>
      </c>
      <c r="N330" t="inlineStr">
        <is>
          <t>test</t>
        </is>
      </c>
      <c r="O330">
        <f>HYPERLINK("3\1\marker_963_535145.png", "Ver Imagen")</f>
        <v/>
      </c>
      <c r="P330">
        <f>HYPERLINK("NO\A-499\A-499__67.png", "Ver Imagen")</f>
        <v/>
      </c>
    </row>
    <row r="331">
      <c r="A331" t="n">
        <v>2795</v>
      </c>
      <c r="B331" t="inlineStr">
        <is>
          <t>A-499__86</t>
        </is>
      </c>
      <c r="C331" t="n">
        <v>37.4960419056</v>
      </c>
      <c r="D331" t="n">
        <v>-7.26816938778</v>
      </c>
      <c r="E331" t="n">
        <v>3</v>
      </c>
      <c r="F331" t="n">
        <v>3</v>
      </c>
      <c r="G331" t="n">
        <v>4</v>
      </c>
      <c r="J331" t="inlineStr">
        <is>
          <t>Moda</t>
        </is>
      </c>
      <c r="K331" t="n">
        <v>3</v>
      </c>
      <c r="L331" t="n">
        <v>2.284</v>
      </c>
      <c r="M331" t="n">
        <v>1</v>
      </c>
      <c r="N331" t="inlineStr">
        <is>
          <t>train</t>
        </is>
      </c>
      <c r="O331">
        <f>HYPERLINK("3\1\marker_748_789874.png", "Ver Imagen")</f>
        <v/>
      </c>
      <c r="P331">
        <f>HYPERLINK("NO\A-499\A-499__86.png", "Ver Imagen")</f>
        <v/>
      </c>
    </row>
    <row r="332">
      <c r="A332" t="n">
        <v>2810</v>
      </c>
      <c r="B332" t="inlineStr">
        <is>
          <t>A-499__115</t>
        </is>
      </c>
      <c r="C332" t="n">
        <v>37.5016993322</v>
      </c>
      <c r="D332" t="n">
        <v>-7.26652130264</v>
      </c>
      <c r="E332" t="n">
        <v>3</v>
      </c>
      <c r="F332" t="n">
        <v>2</v>
      </c>
      <c r="G332" t="n">
        <v>3</v>
      </c>
      <c r="J332" t="inlineStr">
        <is>
          <t>Moda</t>
        </is>
      </c>
      <c r="K332" t="n">
        <v>3</v>
      </c>
      <c r="L332" t="n">
        <v>2.407</v>
      </c>
      <c r="M332" t="n">
        <v>1</v>
      </c>
      <c r="N332" t="inlineStr">
        <is>
          <t>val</t>
        </is>
      </c>
      <c r="O332">
        <f>HYPERLINK("3\1\marker_304_793498.png", "Ver Imagen")</f>
        <v/>
      </c>
      <c r="P332">
        <f>HYPERLINK("NO\A-499\A-499__115.png", "Ver Imagen")</f>
        <v/>
      </c>
    </row>
    <row r="333">
      <c r="A333" t="n">
        <v>2812</v>
      </c>
      <c r="B333" t="inlineStr">
        <is>
          <t>A-499__121</t>
        </is>
      </c>
      <c r="C333" t="n">
        <v>37.5028913794</v>
      </c>
      <c r="D333" t="n">
        <v>-7.26611482256</v>
      </c>
      <c r="E333" t="n">
        <v>2</v>
      </c>
      <c r="F333" t="n">
        <v>3</v>
      </c>
      <c r="G333" t="n">
        <v>3</v>
      </c>
      <c r="J333" t="inlineStr">
        <is>
          <t>Moda</t>
        </is>
      </c>
      <c r="K333" t="n">
        <v>3</v>
      </c>
      <c r="L333" t="n">
        <v>1.91</v>
      </c>
      <c r="M333" t="n">
        <v>1</v>
      </c>
      <c r="N333" t="inlineStr">
        <is>
          <t>test</t>
        </is>
      </c>
      <c r="O333">
        <f>HYPERLINK("3\1\marker_187_793629.png", "Ver Imagen")</f>
        <v/>
      </c>
      <c r="P333">
        <f>HYPERLINK("NO\A-499\A-499__121.png", "Ver Imagen")</f>
        <v/>
      </c>
    </row>
    <row r="334">
      <c r="A334" t="n">
        <v>2815</v>
      </c>
      <c r="B334" t="inlineStr">
        <is>
          <t>A-499__241</t>
        </is>
      </c>
      <c r="C334" t="n">
        <v>37.5230874296</v>
      </c>
      <c r="D334" t="n">
        <v>-7.25912637975</v>
      </c>
      <c r="E334" t="n">
        <v>3</v>
      </c>
      <c r="F334" t="n">
        <v>2</v>
      </c>
      <c r="G334" t="n">
        <v>3</v>
      </c>
      <c r="J334" t="inlineStr">
        <is>
          <t>Moda</t>
        </is>
      </c>
      <c r="K334" t="n">
        <v>3</v>
      </c>
      <c r="L334" t="n">
        <v>1.753</v>
      </c>
      <c r="M334" t="n">
        <v>1</v>
      </c>
      <c r="N334" t="inlineStr">
        <is>
          <t>test</t>
        </is>
      </c>
      <c r="O334">
        <f>HYPERLINK("3\1\marker_597_796884.png", "Ver Imagen")</f>
        <v/>
      </c>
      <c r="P334">
        <f>HYPERLINK("NO\A-499\A-499__241.png", "Ver Imagen")</f>
        <v/>
      </c>
    </row>
    <row r="335">
      <c r="A335" t="n">
        <v>2864</v>
      </c>
      <c r="B335" t="inlineStr">
        <is>
          <t>A-497_2C__271</t>
        </is>
      </c>
      <c r="C335" t="n">
        <v>37.2548310082</v>
      </c>
      <c r="D335" t="n">
        <v>-7.01500212495</v>
      </c>
      <c r="E335" t="n">
        <v>3</v>
      </c>
      <c r="F335" t="n">
        <v>4</v>
      </c>
      <c r="G335" t="n">
        <v>3</v>
      </c>
      <c r="J335" t="inlineStr">
        <is>
          <t>Moda</t>
        </is>
      </c>
      <c r="K335" t="n">
        <v>3</v>
      </c>
      <c r="L335" t="n">
        <v>3.812</v>
      </c>
      <c r="M335" t="n">
        <v>1</v>
      </c>
      <c r="N335" t="inlineStr">
        <is>
          <t>test</t>
        </is>
      </c>
      <c r="O335">
        <f>HYPERLINK("3\1\marker_574_319755.png", "Ver Imagen")</f>
        <v/>
      </c>
      <c r="P335">
        <f>HYPERLINK("SE\A-497_2C\A-497_2C__271.png", "Ver Imagen")</f>
        <v/>
      </c>
    </row>
    <row r="336">
      <c r="A336" t="n">
        <v>2869</v>
      </c>
      <c r="B336" t="inlineStr">
        <is>
          <t>A-497_2C__297</t>
        </is>
      </c>
      <c r="C336" t="n">
        <v>37.250105569</v>
      </c>
      <c r="D336" t="n">
        <v>-7.017969761</v>
      </c>
      <c r="E336" t="n">
        <v>3</v>
      </c>
      <c r="F336" t="n">
        <v>2</v>
      </c>
      <c r="G336" t="n">
        <v>3</v>
      </c>
      <c r="J336" t="inlineStr">
        <is>
          <t>Moda</t>
        </is>
      </c>
      <c r="K336" t="n">
        <v>3</v>
      </c>
      <c r="L336" t="n">
        <v>3.542</v>
      </c>
      <c r="M336" t="n">
        <v>1</v>
      </c>
      <c r="N336" t="inlineStr">
        <is>
          <t>train</t>
        </is>
      </c>
      <c r="O336">
        <f>HYPERLINK("3\1\marker_166_320141.png", "Ver Imagen")</f>
        <v/>
      </c>
      <c r="P336">
        <f>HYPERLINK("SE\A-497_2C\A-497_2C__297.png", "Ver Imagen")</f>
        <v/>
      </c>
    </row>
    <row r="337">
      <c r="A337" t="n">
        <v>2876</v>
      </c>
      <c r="B337" t="inlineStr">
        <is>
          <t>A-497__530</t>
        </is>
      </c>
      <c r="C337" t="n">
        <v>37.2062369495</v>
      </c>
      <c r="D337" t="n">
        <v>-7.01980186242</v>
      </c>
      <c r="E337" t="n">
        <v>3</v>
      </c>
      <c r="F337" t="n">
        <v>2</v>
      </c>
      <c r="G337" t="n">
        <v>3</v>
      </c>
      <c r="J337" t="inlineStr">
        <is>
          <t>Moda</t>
        </is>
      </c>
      <c r="K337" t="n">
        <v>3</v>
      </c>
      <c r="L337" t="n">
        <v>2.315</v>
      </c>
      <c r="M337" t="n">
        <v>1</v>
      </c>
      <c r="N337" t="inlineStr">
        <is>
          <t>test</t>
        </is>
      </c>
      <c r="O337">
        <f>HYPERLINK("3\1\marker_162_372501.png", "Ver Imagen")</f>
        <v/>
      </c>
      <c r="P337">
        <f>HYPERLINK("SE\A-497\A-497__530.png", "Ver Imagen")</f>
        <v/>
      </c>
    </row>
    <row r="338">
      <c r="A338" t="n">
        <v>2885</v>
      </c>
      <c r="B338" t="inlineStr">
        <is>
          <t>A-497_2C__376</t>
        </is>
      </c>
      <c r="C338" t="n">
        <v>37.2341486757</v>
      </c>
      <c r="D338" t="n">
        <v>-7.0181673958</v>
      </c>
      <c r="E338" t="n">
        <v>3</v>
      </c>
      <c r="F338" t="n">
        <v>2</v>
      </c>
      <c r="G338" t="n">
        <v>3</v>
      </c>
      <c r="J338" t="inlineStr">
        <is>
          <t>Moda</t>
        </is>
      </c>
      <c r="K338" t="n">
        <v>3</v>
      </c>
      <c r="L338" t="n">
        <v>2.135</v>
      </c>
      <c r="M338" t="n">
        <v>1</v>
      </c>
      <c r="N338" t="inlineStr">
        <is>
          <t>train</t>
        </is>
      </c>
      <c r="O338">
        <f>HYPERLINK("3\1\marker_594_362586.png", "Ver Imagen")</f>
        <v/>
      </c>
      <c r="P338">
        <f>HYPERLINK("SE\A-497_2C\A-497_2C__376.png", "Ver Imagen")</f>
        <v/>
      </c>
    </row>
    <row r="339">
      <c r="A339" t="n">
        <v>2899</v>
      </c>
      <c r="B339" t="inlineStr">
        <is>
          <t>A-497__502</t>
        </is>
      </c>
      <c r="C339" t="n">
        <v>37.2107541706</v>
      </c>
      <c r="D339" t="n">
        <v>-7.02373605612</v>
      </c>
      <c r="E339" t="n">
        <v>3</v>
      </c>
      <c r="F339" t="n">
        <v>2</v>
      </c>
      <c r="G339" t="n">
        <v>3</v>
      </c>
      <c r="J339" t="inlineStr">
        <is>
          <t>Moda</t>
        </is>
      </c>
      <c r="K339" t="n">
        <v>3</v>
      </c>
      <c r="L339" t="n">
        <v>2.487</v>
      </c>
      <c r="M339" t="n">
        <v>1</v>
      </c>
      <c r="N339" t="inlineStr">
        <is>
          <t>test</t>
        </is>
      </c>
      <c r="O339">
        <f>HYPERLINK("3\1\marker_908_376063.png", "Ver Imagen")</f>
        <v/>
      </c>
      <c r="P339">
        <f>HYPERLINK("SE\A-497\A-497__502.png", "Ver Imagen")</f>
        <v/>
      </c>
    </row>
    <row r="340">
      <c r="A340" t="n">
        <v>2908</v>
      </c>
      <c r="B340" t="inlineStr">
        <is>
          <t>A-497__466</t>
        </is>
      </c>
      <c r="C340" t="n">
        <v>37.2180024738</v>
      </c>
      <c r="D340" t="n">
        <v>-7.02287997784</v>
      </c>
      <c r="E340" t="n">
        <v>3</v>
      </c>
      <c r="F340" t="n">
        <v>2</v>
      </c>
      <c r="G340" t="n">
        <v>3</v>
      </c>
      <c r="J340" t="inlineStr">
        <is>
          <t>Moda</t>
        </is>
      </c>
      <c r="K340" t="n">
        <v>3</v>
      </c>
      <c r="L340" t="n">
        <v>2.402</v>
      </c>
      <c r="M340" t="n">
        <v>1</v>
      </c>
      <c r="N340" t="inlineStr">
        <is>
          <t>train</t>
        </is>
      </c>
      <c r="O340">
        <f>HYPERLINK("3\1\marker_508_376513.png", "Ver Imagen")</f>
        <v/>
      </c>
      <c r="P340">
        <f>HYPERLINK("SE\A-497\A-497__466.png", "Ver Imagen")</f>
        <v/>
      </c>
    </row>
    <row r="341">
      <c r="A341" t="n">
        <v>2917</v>
      </c>
      <c r="B341" t="inlineStr">
        <is>
          <t>A-497_2C__548</t>
        </is>
      </c>
      <c r="C341" t="n">
        <v>37.2046837203</v>
      </c>
      <c r="D341" t="n">
        <v>-7.01481344606</v>
      </c>
      <c r="E341" t="n">
        <v>3</v>
      </c>
      <c r="F341" t="n">
        <v>2</v>
      </c>
      <c r="G341" t="n">
        <v>3</v>
      </c>
      <c r="J341" t="inlineStr">
        <is>
          <t>Moda</t>
        </is>
      </c>
      <c r="K341" t="n">
        <v>3</v>
      </c>
      <c r="L341" t="n">
        <v>3.521</v>
      </c>
      <c r="M341" t="n">
        <v>1</v>
      </c>
      <c r="N341" t="inlineStr">
        <is>
          <t>val</t>
        </is>
      </c>
      <c r="O341">
        <f>HYPERLINK("3\1\marker_278_364665.png", "Ver Imagen")</f>
        <v/>
      </c>
      <c r="P341">
        <f>HYPERLINK("SE\A-497_2C\A-497_2C__548.png", "Ver Imagen")</f>
        <v/>
      </c>
    </row>
    <row r="342">
      <c r="A342" t="n">
        <v>2940</v>
      </c>
      <c r="B342" t="inlineStr">
        <is>
          <t>A-497__391</t>
        </is>
      </c>
      <c r="C342" t="n">
        <v>37.232127421</v>
      </c>
      <c r="D342" t="n">
        <v>-7.01865154044</v>
      </c>
      <c r="E342" t="n">
        <v>3</v>
      </c>
      <c r="F342" t="n">
        <v>2</v>
      </c>
      <c r="G342" t="n">
        <v>3</v>
      </c>
      <c r="J342" t="inlineStr">
        <is>
          <t>Moda</t>
        </is>
      </c>
      <c r="K342" t="n">
        <v>3</v>
      </c>
      <c r="L342" t="n">
        <v>2.244</v>
      </c>
      <c r="M342" t="n">
        <v>1</v>
      </c>
      <c r="N342" t="inlineStr">
        <is>
          <t>test</t>
        </is>
      </c>
      <c r="O342">
        <f>HYPERLINK("3\1\marker_752_377275.png", "Ver Imagen")</f>
        <v/>
      </c>
      <c r="P342">
        <f>HYPERLINK("SE\A-497\A-497__391.png", "Ver Imagen")</f>
        <v/>
      </c>
    </row>
    <row r="343">
      <c r="A343" t="n">
        <v>2943</v>
      </c>
      <c r="B343" t="inlineStr">
        <is>
          <t>A-497__337</t>
        </is>
      </c>
      <c r="C343" t="n">
        <v>37.2429756409</v>
      </c>
      <c r="D343" t="n">
        <v>-7.01837136517</v>
      </c>
      <c r="E343" t="n">
        <v>3</v>
      </c>
      <c r="F343" t="n">
        <v>2</v>
      </c>
      <c r="G343" t="n">
        <v>3</v>
      </c>
      <c r="J343" t="inlineStr">
        <is>
          <t>Moda</t>
        </is>
      </c>
      <c r="K343" t="n">
        <v>3</v>
      </c>
      <c r="L343" t="n">
        <v>3.66</v>
      </c>
      <c r="M343" t="n">
        <v>1</v>
      </c>
      <c r="N343" t="inlineStr">
        <is>
          <t>train</t>
        </is>
      </c>
      <c r="O343">
        <f>HYPERLINK("3\1\marker_283_377800.png", "Ver Imagen")</f>
        <v/>
      </c>
      <c r="P343">
        <f>HYPERLINK("SE\A-497\A-497__337.png", "Ver Imagen")</f>
        <v/>
      </c>
    </row>
    <row r="344">
      <c r="A344" t="n">
        <v>2949</v>
      </c>
      <c r="B344" t="inlineStr">
        <is>
          <t>A-497__303</t>
        </is>
      </c>
      <c r="C344" t="n">
        <v>37.2498330717</v>
      </c>
      <c r="D344" t="n">
        <v>-7.01788763015</v>
      </c>
      <c r="E344" t="n">
        <v>3</v>
      </c>
      <c r="F344" t="n">
        <v>4</v>
      </c>
      <c r="G344" t="n">
        <v>3</v>
      </c>
      <c r="J344" t="inlineStr">
        <is>
          <t>Moda</t>
        </is>
      </c>
      <c r="K344" t="n">
        <v>3</v>
      </c>
      <c r="L344" t="n">
        <v>3.569</v>
      </c>
      <c r="M344" t="n">
        <v>1</v>
      </c>
      <c r="N344" t="inlineStr">
        <is>
          <t>train</t>
        </is>
      </c>
      <c r="O344">
        <f>HYPERLINK("3\1\marker_546_378171.png", "Ver Imagen")</f>
        <v/>
      </c>
      <c r="P344">
        <f>HYPERLINK("SE\A-497\A-497__303.png", "Ver Imagen")</f>
        <v/>
      </c>
    </row>
    <row r="345">
      <c r="A345" t="n">
        <v>2989</v>
      </c>
      <c r="B345" t="inlineStr">
        <is>
          <t>A-490__246</t>
        </is>
      </c>
      <c r="C345" t="n">
        <v>37.4653817928</v>
      </c>
      <c r="D345" t="n">
        <v>-7.18102235774</v>
      </c>
      <c r="E345" t="n">
        <v>4</v>
      </c>
      <c r="F345" t="n">
        <v>3</v>
      </c>
      <c r="G345" t="n">
        <v>3</v>
      </c>
      <c r="J345" t="inlineStr">
        <is>
          <t>Moda</t>
        </is>
      </c>
      <c r="K345" t="n">
        <v>3</v>
      </c>
      <c r="L345" t="n">
        <v>2.122</v>
      </c>
      <c r="M345" t="n">
        <v>1</v>
      </c>
      <c r="N345" t="inlineStr">
        <is>
          <t>test</t>
        </is>
      </c>
      <c r="O345">
        <f>HYPERLINK("3\1\marker_232_749422.png", "Ver Imagen")</f>
        <v/>
      </c>
      <c r="P345">
        <f>HYPERLINK("NE\A-490\A-490__246.png", "Ver Imagen")</f>
        <v/>
      </c>
    </row>
    <row r="346">
      <c r="A346" t="n">
        <v>2991</v>
      </c>
      <c r="B346" t="inlineStr">
        <is>
          <t>A-490__257</t>
        </is>
      </c>
      <c r="C346" t="n">
        <v>37.46664716</v>
      </c>
      <c r="D346" t="n">
        <v>-7.1833862573</v>
      </c>
      <c r="E346" t="n">
        <v>3</v>
      </c>
      <c r="F346" t="n">
        <v>3</v>
      </c>
      <c r="G346" t="n">
        <v>4</v>
      </c>
      <c r="J346" t="inlineStr">
        <is>
          <t>Moda</t>
        </is>
      </c>
      <c r="K346" t="n">
        <v>3</v>
      </c>
      <c r="L346" t="n">
        <v>3.663</v>
      </c>
      <c r="M346" t="n">
        <v>1</v>
      </c>
      <c r="N346" t="inlineStr">
        <is>
          <t>val</t>
        </is>
      </c>
      <c r="O346">
        <f>HYPERLINK("3\1\marker_609_749644.png", "Ver Imagen")</f>
        <v/>
      </c>
      <c r="P346">
        <f>HYPERLINK("NE\A-490\A-490__257.png", "Ver Imagen")</f>
        <v/>
      </c>
    </row>
    <row r="347">
      <c r="A347" t="n">
        <v>2992</v>
      </c>
      <c r="B347" t="inlineStr">
        <is>
          <t>A-490__629</t>
        </is>
      </c>
      <c r="C347" t="n">
        <v>37.4952313383</v>
      </c>
      <c r="D347" t="n">
        <v>-7.26763566896</v>
      </c>
      <c r="E347" t="n">
        <v>4</v>
      </c>
      <c r="F347" t="n">
        <v>3</v>
      </c>
      <c r="G347" t="n">
        <v>3</v>
      </c>
      <c r="J347" t="inlineStr">
        <is>
          <t>Moda</t>
        </is>
      </c>
      <c r="K347" t="n">
        <v>3</v>
      </c>
      <c r="L347" t="n">
        <v>2.358</v>
      </c>
      <c r="M347" t="n">
        <v>1</v>
      </c>
      <c r="N347" t="inlineStr">
        <is>
          <t>train</t>
        </is>
      </c>
      <c r="O347">
        <f>HYPERLINK("3\1\marker_751_789296.png", "Ver Imagen")</f>
        <v/>
      </c>
      <c r="P347">
        <f>HYPERLINK("NO\A-490\A-490__629.png", "Ver Imagen")</f>
        <v/>
      </c>
    </row>
    <row r="348">
      <c r="A348" t="n">
        <v>2993</v>
      </c>
      <c r="B348" t="inlineStr">
        <is>
          <t>A-490__630</t>
        </is>
      </c>
      <c r="C348" t="n">
        <v>37.4954338456</v>
      </c>
      <c r="D348" t="n">
        <v>-7.26768327472</v>
      </c>
      <c r="E348" t="n">
        <v>4</v>
      </c>
      <c r="F348" t="n">
        <v>3</v>
      </c>
      <c r="G348" t="n">
        <v>3</v>
      </c>
      <c r="J348" t="inlineStr">
        <is>
          <t>Moda</t>
        </is>
      </c>
      <c r="K348" t="n">
        <v>3</v>
      </c>
      <c r="L348" t="n">
        <v>3.731</v>
      </c>
      <c r="M348" t="n">
        <v>1</v>
      </c>
      <c r="N348" t="inlineStr">
        <is>
          <t>val</t>
        </is>
      </c>
      <c r="O348">
        <f>HYPERLINK("3\1\marker_946_789339.png", "Ver Imagen")</f>
        <v/>
      </c>
      <c r="P348">
        <f>HYPERLINK("NO\A-490\A-490__630.png", "Ver Imagen")</f>
        <v/>
      </c>
    </row>
    <row r="349">
      <c r="A349" t="n">
        <v>2995</v>
      </c>
      <c r="B349" t="inlineStr">
        <is>
          <t>A-492__64</t>
        </is>
      </c>
      <c r="C349" t="n">
        <v>37.2799768143</v>
      </c>
      <c r="D349" t="n">
        <v>-6.99897565084</v>
      </c>
      <c r="E349" t="n">
        <v>3</v>
      </c>
      <c r="F349" t="n">
        <v>3</v>
      </c>
      <c r="G349" t="n">
        <v>4</v>
      </c>
      <c r="J349" t="inlineStr">
        <is>
          <t>Moda</t>
        </is>
      </c>
      <c r="K349" t="n">
        <v>3</v>
      </c>
      <c r="L349" t="n">
        <v>2.474</v>
      </c>
      <c r="M349" t="n">
        <v>1</v>
      </c>
      <c r="N349" t="inlineStr">
        <is>
          <t>train</t>
        </is>
      </c>
      <c r="O349">
        <f>HYPERLINK("3\1\marker_878_823190.png", "Ver Imagen")</f>
        <v/>
      </c>
      <c r="P349">
        <f>HYPERLINK("SE\A-492\A-492__64.png", "Ver Imagen")</f>
        <v/>
      </c>
    </row>
    <row r="350">
      <c r="A350" t="n">
        <v>2997</v>
      </c>
      <c r="B350" t="inlineStr">
        <is>
          <t>A-492__72</t>
        </is>
      </c>
      <c r="C350" t="n">
        <v>37.280593761</v>
      </c>
      <c r="D350" t="n">
        <v>-7.0006300834</v>
      </c>
      <c r="E350" t="n">
        <v>3</v>
      </c>
      <c r="F350" t="n">
        <v>3</v>
      </c>
      <c r="G350" t="n">
        <v>4</v>
      </c>
      <c r="J350" t="inlineStr">
        <is>
          <t>Moda</t>
        </is>
      </c>
      <c r="K350" t="n">
        <v>3</v>
      </c>
      <c r="L350" t="n">
        <v>3.529</v>
      </c>
      <c r="M350" t="n">
        <v>1</v>
      </c>
      <c r="N350" t="inlineStr">
        <is>
          <t>train</t>
        </is>
      </c>
      <c r="O350">
        <f>HYPERLINK("3\1\marker_543_823361.png", "Ver Imagen")</f>
        <v/>
      </c>
      <c r="P350">
        <f>HYPERLINK("SE\A-492\A-492__72.png", "Ver Imagen")</f>
        <v/>
      </c>
    </row>
    <row r="351">
      <c r="A351" t="n">
        <v>2998</v>
      </c>
      <c r="B351" t="inlineStr">
        <is>
          <t>A-492__75</t>
        </is>
      </c>
      <c r="C351" t="n">
        <v>37.2804725675</v>
      </c>
      <c r="D351" t="n">
        <v>-7.00123885439</v>
      </c>
      <c r="E351" t="n">
        <v>3</v>
      </c>
      <c r="F351" t="n">
        <v>3</v>
      </c>
      <c r="G351" t="n">
        <v>4</v>
      </c>
      <c r="J351" t="inlineStr">
        <is>
          <t>Moda</t>
        </is>
      </c>
      <c r="K351" t="n">
        <v>3</v>
      </c>
      <c r="L351" t="n">
        <v>2.303</v>
      </c>
      <c r="M351" t="n">
        <v>1</v>
      </c>
      <c r="N351" t="inlineStr">
        <is>
          <t>train</t>
        </is>
      </c>
      <c r="O351">
        <f>HYPERLINK("3\1\marker_327_823407.png", "Ver Imagen")</f>
        <v/>
      </c>
      <c r="P351">
        <f>HYPERLINK("SE\A-492\A-492__75.png", "Ver Imagen")</f>
        <v/>
      </c>
    </row>
    <row r="352">
      <c r="A352" t="n">
        <v>3018</v>
      </c>
      <c r="B352" t="inlineStr">
        <is>
          <t>A-490__353</t>
        </is>
      </c>
      <c r="C352" t="n">
        <v>37.4771733755</v>
      </c>
      <c r="D352" t="n">
        <v>-7.20379357651</v>
      </c>
      <c r="E352" t="n">
        <v>2</v>
      </c>
      <c r="F352" t="n">
        <v>3</v>
      </c>
      <c r="G352" t="n">
        <v>3</v>
      </c>
      <c r="J352" t="inlineStr">
        <is>
          <t>Moda</t>
        </is>
      </c>
      <c r="K352" t="n">
        <v>3</v>
      </c>
      <c r="L352" t="n">
        <v>2.413</v>
      </c>
      <c r="M352" t="n">
        <v>1</v>
      </c>
      <c r="N352" t="inlineStr">
        <is>
          <t>test</t>
        </is>
      </c>
      <c r="O352">
        <f>HYPERLINK("3\1\marker_989_751729.png", "Ver Imagen")</f>
        <v/>
      </c>
      <c r="P352">
        <f>HYPERLINK("NE\A-490\A-490__353.png", "Ver Imagen")</f>
        <v/>
      </c>
    </row>
    <row r="353">
      <c r="A353" t="n">
        <v>3027</v>
      </c>
      <c r="B353" t="inlineStr">
        <is>
          <t>A-490__405</t>
        </is>
      </c>
      <c r="C353" t="n">
        <v>37.4819810342</v>
      </c>
      <c r="D353" t="n">
        <v>-7.2155140568</v>
      </c>
      <c r="E353" t="n">
        <v>2</v>
      </c>
      <c r="F353" t="n">
        <v>3</v>
      </c>
      <c r="G353" t="n">
        <v>3</v>
      </c>
      <c r="J353" t="inlineStr">
        <is>
          <t>Moda</t>
        </is>
      </c>
      <c r="K353" t="n">
        <v>3</v>
      </c>
      <c r="L353" t="n">
        <v>3.676</v>
      </c>
      <c r="M353" t="n">
        <v>1</v>
      </c>
      <c r="N353" t="inlineStr">
        <is>
          <t>train</t>
        </is>
      </c>
      <c r="O353">
        <f>HYPERLINK("3\1\marker_947_753128.png", "Ver Imagen")</f>
        <v/>
      </c>
      <c r="P353">
        <f>HYPERLINK("NO\A-490\A-490__405.png", "Ver Imagen")</f>
        <v/>
      </c>
    </row>
    <row r="354">
      <c r="A354" t="n">
        <v>3034</v>
      </c>
      <c r="B354" t="inlineStr">
        <is>
          <t>A-492__54</t>
        </is>
      </c>
      <c r="C354" t="n">
        <v>37.2795251255</v>
      </c>
      <c r="D354" t="n">
        <v>-6.99658973319</v>
      </c>
      <c r="E354" t="n">
        <v>2</v>
      </c>
      <c r="F354" t="n">
        <v>3</v>
      </c>
      <c r="G354" t="n">
        <v>3</v>
      </c>
      <c r="J354" t="inlineStr">
        <is>
          <t>Moda</t>
        </is>
      </c>
      <c r="K354" t="n">
        <v>3</v>
      </c>
      <c r="L354" t="n">
        <v>2.27</v>
      </c>
      <c r="M354" t="n">
        <v>1</v>
      </c>
      <c r="N354" t="inlineStr">
        <is>
          <t>train</t>
        </is>
      </c>
      <c r="O354">
        <f>HYPERLINK("3\1\marker_363_823063.png", "Ver Imagen")</f>
        <v/>
      </c>
      <c r="P354">
        <f>HYPERLINK("SE\A-492\A-492__54.png", "Ver Imagen")</f>
        <v/>
      </c>
    </row>
    <row r="355">
      <c r="A355" t="n">
        <v>3036</v>
      </c>
      <c r="B355" t="inlineStr">
        <is>
          <t>A-492__307</t>
        </is>
      </c>
      <c r="C355" t="n">
        <v>37.2935507756</v>
      </c>
      <c r="D355" t="n">
        <v>-7.04666683499</v>
      </c>
      <c r="E355" t="n">
        <v>2</v>
      </c>
      <c r="F355" t="n">
        <v>3</v>
      </c>
      <c r="G355" t="n">
        <v>3</v>
      </c>
      <c r="J355" t="inlineStr">
        <is>
          <t>Moda</t>
        </is>
      </c>
      <c r="K355" t="n">
        <v>3</v>
      </c>
      <c r="L355" t="n">
        <v>1.922</v>
      </c>
      <c r="M355" t="n">
        <v>1</v>
      </c>
      <c r="N355" t="inlineStr">
        <is>
          <t>test</t>
        </is>
      </c>
      <c r="O355">
        <f>HYPERLINK("3\1\marker_871_837632.png", "Ver Imagen")</f>
        <v/>
      </c>
      <c r="P355">
        <f>HYPERLINK("SE\A-492\A-492__307.png", "Ver Imagen")</f>
        <v/>
      </c>
    </row>
    <row r="356">
      <c r="A356" t="n">
        <v>3039</v>
      </c>
      <c r="B356" t="inlineStr">
        <is>
          <t>A-495R__16</t>
        </is>
      </c>
      <c r="C356" t="n">
        <v>37.4479736127</v>
      </c>
      <c r="D356" t="n">
        <v>-7.1092931045</v>
      </c>
      <c r="E356" t="n">
        <v>2</v>
      </c>
      <c r="F356" t="n">
        <v>3</v>
      </c>
      <c r="G356" t="n">
        <v>3</v>
      </c>
      <c r="J356" t="inlineStr">
        <is>
          <t>Moda</t>
        </is>
      </c>
      <c r="K356" t="n">
        <v>3</v>
      </c>
      <c r="L356" t="n">
        <v>3.82</v>
      </c>
      <c r="M356" t="n">
        <v>1</v>
      </c>
      <c r="N356" t="inlineStr">
        <is>
          <t>val</t>
        </is>
      </c>
      <c r="O356">
        <f>HYPERLINK("3\1\marker_796_936835.png", "Ver Imagen")</f>
        <v/>
      </c>
      <c r="P356">
        <f>HYPERLINK("NE\A-495R\A-495R__16.png", "Ver Imagen")</f>
        <v/>
      </c>
    </row>
    <row r="357">
      <c r="A357" t="n">
        <v>3069</v>
      </c>
      <c r="B357" t="inlineStr">
        <is>
          <t>A-5052__136</t>
        </is>
      </c>
      <c r="C357" t="n">
        <v>37.2163770365</v>
      </c>
      <c r="D357" t="n">
        <v>-7.09189322484</v>
      </c>
      <c r="E357" t="n">
        <v>2</v>
      </c>
      <c r="F357" t="n">
        <v>3</v>
      </c>
      <c r="G357" t="n">
        <v>3</v>
      </c>
      <c r="J357" t="inlineStr">
        <is>
          <t>Moda</t>
        </is>
      </c>
      <c r="K357" t="n">
        <v>3</v>
      </c>
      <c r="L357" t="n">
        <v>2.23</v>
      </c>
      <c r="M357" t="n">
        <v>1</v>
      </c>
      <c r="N357" t="inlineStr">
        <is>
          <t>val</t>
        </is>
      </c>
      <c r="O357">
        <f>HYPERLINK("3\1\marker_825_958175.png", "Ver Imagen")</f>
        <v/>
      </c>
      <c r="P357">
        <f>HYPERLINK("SO\A-5052\A-5052__136.png", "Ver Imagen")</f>
        <v/>
      </c>
    </row>
    <row r="358">
      <c r="A358" t="n">
        <v>3085</v>
      </c>
      <c r="B358" t="inlineStr">
        <is>
          <t>A-5052__478</t>
        </is>
      </c>
      <c r="C358" t="n">
        <v>37.1980165651</v>
      </c>
      <c r="D358" t="n">
        <v>-7.01055230626</v>
      </c>
      <c r="E358" t="n">
        <v>2</v>
      </c>
      <c r="F358" t="n">
        <v>3</v>
      </c>
      <c r="G358" t="n">
        <v>3</v>
      </c>
      <c r="J358" t="inlineStr">
        <is>
          <t>Moda</t>
        </is>
      </c>
      <c r="K358" t="n">
        <v>3</v>
      </c>
      <c r="L358" t="n">
        <v>3.761</v>
      </c>
      <c r="M358" t="n">
        <v>1</v>
      </c>
      <c r="N358" t="inlineStr">
        <is>
          <t>train</t>
        </is>
      </c>
      <c r="O358">
        <f>HYPERLINK("3\1\marker_921_963468.png", "Ver Imagen")</f>
        <v/>
      </c>
      <c r="P358">
        <f>HYPERLINK("SE\A-5052\A-5052__478.png", "Ver Imagen")</f>
        <v/>
      </c>
    </row>
    <row r="359">
      <c r="A359" t="n">
        <v>3099</v>
      </c>
      <c r="B359" t="inlineStr">
        <is>
          <t>A-5053__282</t>
        </is>
      </c>
      <c r="C359" t="n">
        <v>37.271022609</v>
      </c>
      <c r="D359" t="n">
        <v>-7.1403230349</v>
      </c>
      <c r="E359" t="n">
        <v>4</v>
      </c>
      <c r="F359" t="n">
        <v>3</v>
      </c>
      <c r="G359" t="n">
        <v>3</v>
      </c>
      <c r="J359" t="inlineStr">
        <is>
          <t>Moda</t>
        </is>
      </c>
      <c r="K359" t="n">
        <v>3</v>
      </c>
      <c r="L359" t="n">
        <v>3.533</v>
      </c>
      <c r="M359" t="n">
        <v>1</v>
      </c>
      <c r="N359" t="inlineStr">
        <is>
          <t>val</t>
        </is>
      </c>
      <c r="O359">
        <f>HYPERLINK("3\1\marker_641_965041.png", "Ver Imagen")</f>
        <v/>
      </c>
      <c r="P359">
        <f>HYPERLINK("SO\A-5053\A-5053__282.png", "Ver Imagen")</f>
        <v/>
      </c>
    </row>
    <row r="360">
      <c r="A360" t="n">
        <v>3103</v>
      </c>
      <c r="B360" t="inlineStr">
        <is>
          <t>A-5053__247</t>
        </is>
      </c>
      <c r="C360" t="n">
        <v>37.266993255</v>
      </c>
      <c r="D360" t="n">
        <v>-7.13351927685</v>
      </c>
      <c r="E360" t="n">
        <v>4</v>
      </c>
      <c r="F360" t="n">
        <v>3</v>
      </c>
      <c r="G360" t="n">
        <v>3</v>
      </c>
      <c r="J360" t="inlineStr">
        <is>
          <t>Moda</t>
        </is>
      </c>
      <c r="K360" t="n">
        <v>3</v>
      </c>
      <c r="L360" t="n">
        <v>3.78</v>
      </c>
      <c r="M360" t="n">
        <v>1</v>
      </c>
      <c r="N360" t="inlineStr">
        <is>
          <t>val</t>
        </is>
      </c>
      <c r="O360">
        <f>HYPERLINK("3\1\marker_825_965438.png", "Ver Imagen")</f>
        <v/>
      </c>
      <c r="P360">
        <f>HYPERLINK("SO\A-5053\A-5053__247.png", "Ver Imagen")</f>
        <v/>
      </c>
    </row>
    <row r="361">
      <c r="A361" t="n">
        <v>3105</v>
      </c>
      <c r="B361" t="inlineStr">
        <is>
          <t>A-5053__230</t>
        </is>
      </c>
      <c r="C361" t="n">
        <v>37.263939162</v>
      </c>
      <c r="D361" t="n">
        <v>-7.13156148946</v>
      </c>
      <c r="E361" t="n">
        <v>4</v>
      </c>
      <c r="F361" t="n">
        <v>3</v>
      </c>
      <c r="G361" t="n">
        <v>3</v>
      </c>
      <c r="J361" t="inlineStr">
        <is>
          <t>Moda</t>
        </is>
      </c>
      <c r="K361" t="n">
        <v>3</v>
      </c>
      <c r="L361" t="n">
        <v>2.271</v>
      </c>
      <c r="M361" t="n">
        <v>1</v>
      </c>
      <c r="N361" t="inlineStr">
        <is>
          <t>val</t>
        </is>
      </c>
      <c r="O361">
        <f>HYPERLINK("3\1\marker_563_965595.png", "Ver Imagen")</f>
        <v/>
      </c>
      <c r="P361">
        <f>HYPERLINK("SO\A-5053\A-5053__230.png", "Ver Imagen")</f>
        <v/>
      </c>
    </row>
    <row r="362">
      <c r="A362" t="n">
        <v>3109</v>
      </c>
      <c r="B362" t="inlineStr">
        <is>
          <t>A-5053__124</t>
        </is>
      </c>
      <c r="C362" t="n">
        <v>37.2434648569</v>
      </c>
      <c r="D362" t="n">
        <v>-7.12824492085</v>
      </c>
      <c r="E362" t="n">
        <v>2</v>
      </c>
      <c r="F362" t="n">
        <v>3</v>
      </c>
      <c r="G362" t="n">
        <v>3</v>
      </c>
      <c r="J362" t="inlineStr">
        <is>
          <t>Moda</t>
        </is>
      </c>
      <c r="K362" t="n">
        <v>3</v>
      </c>
      <c r="L362" t="n">
        <v>2.127</v>
      </c>
      <c r="M362" t="n">
        <v>1</v>
      </c>
      <c r="N362" t="inlineStr">
        <is>
          <t>test</t>
        </is>
      </c>
      <c r="O362">
        <f>HYPERLINK("3\1\marker_757_019551.png", "Ver Imagen")</f>
        <v/>
      </c>
      <c r="P362">
        <f>HYPERLINK("SO\A-5053\A-5053__124.png", "Ver Imagen")</f>
        <v/>
      </c>
    </row>
    <row r="363">
      <c r="A363" t="n">
        <v>3112</v>
      </c>
      <c r="B363" t="inlineStr">
        <is>
          <t>A-5053__111</t>
        </is>
      </c>
      <c r="C363" t="n">
        <v>37.2408534832</v>
      </c>
      <c r="D363" t="n">
        <v>-7.12860054509</v>
      </c>
      <c r="E363" t="n">
        <v>2</v>
      </c>
      <c r="F363" t="n">
        <v>3</v>
      </c>
      <c r="G363" t="n">
        <v>3</v>
      </c>
      <c r="J363" t="inlineStr">
        <is>
          <t>Moda</t>
        </is>
      </c>
      <c r="K363" t="n">
        <v>3</v>
      </c>
      <c r="L363" t="n">
        <v>2.426</v>
      </c>
      <c r="M363" t="n">
        <v>1</v>
      </c>
      <c r="N363" t="inlineStr">
        <is>
          <t>val</t>
        </is>
      </c>
      <c r="O363">
        <f>HYPERLINK("3\1\marker_823_019692.png", "Ver Imagen")</f>
        <v/>
      </c>
      <c r="P363">
        <f>HYPERLINK("SO\A-5053\A-5053__111.png", "Ver Imagen")</f>
        <v/>
      </c>
    </row>
    <row r="364">
      <c r="A364" t="n">
        <v>3114</v>
      </c>
      <c r="B364" t="inlineStr">
        <is>
          <t>A-5053__97</t>
        </is>
      </c>
      <c r="C364" t="n">
        <v>37.2380354298</v>
      </c>
      <c r="D364" t="n">
        <v>-7.12837933139</v>
      </c>
      <c r="E364" t="n">
        <v>2</v>
      </c>
      <c r="F364" t="n">
        <v>3</v>
      </c>
      <c r="G364" t="n">
        <v>3</v>
      </c>
      <c r="J364" t="inlineStr">
        <is>
          <t>Moda</t>
        </is>
      </c>
      <c r="K364" t="n">
        <v>3</v>
      </c>
      <c r="L364" t="n">
        <v>2.248</v>
      </c>
      <c r="M364" t="n">
        <v>1</v>
      </c>
      <c r="N364" t="inlineStr">
        <is>
          <t>test</t>
        </is>
      </c>
      <c r="O364">
        <f>HYPERLINK("3\1\marker_637_019842.png", "Ver Imagen")</f>
        <v/>
      </c>
      <c r="P364">
        <f>HYPERLINK("SO\A-5053\A-5053__97.png", "Ver Imagen")</f>
        <v/>
      </c>
    </row>
    <row r="365">
      <c r="A365" t="n">
        <v>3123</v>
      </c>
      <c r="B365" t="inlineStr">
        <is>
          <t>A-5053__50</t>
        </is>
      </c>
      <c r="C365" t="n">
        <v>37.2286580786</v>
      </c>
      <c r="D365" t="n">
        <v>-7.12680552112</v>
      </c>
      <c r="E365" t="n">
        <v>3</v>
      </c>
      <c r="F365" t="n">
        <v>3</v>
      </c>
      <c r="G365" t="n">
        <v>4</v>
      </c>
      <c r="J365" t="inlineStr">
        <is>
          <t>Moda</t>
        </is>
      </c>
      <c r="K365" t="n">
        <v>3</v>
      </c>
      <c r="L365" t="n">
        <v>2.081</v>
      </c>
      <c r="M365" t="n">
        <v>1</v>
      </c>
      <c r="N365" t="inlineStr">
        <is>
          <t>val</t>
        </is>
      </c>
      <c r="O365">
        <f>HYPERLINK("3\1\marker_287_020992.png", "Ver Imagen")</f>
        <v/>
      </c>
      <c r="P365">
        <f>HYPERLINK("SO\A-5053\A-5053__50.png", "Ver Imagen")</f>
        <v/>
      </c>
    </row>
    <row r="366">
      <c r="A366" t="n">
        <v>3139</v>
      </c>
      <c r="B366" t="inlineStr">
        <is>
          <t>A-495__110</t>
        </is>
      </c>
      <c r="C366" t="n">
        <v>37.4355246306</v>
      </c>
      <c r="D366" t="n">
        <v>-7.07556157678</v>
      </c>
      <c r="E366" t="n">
        <v>3</v>
      </c>
      <c r="F366" t="n">
        <v>3</v>
      </c>
      <c r="G366" t="n">
        <v>2</v>
      </c>
      <c r="J366" t="inlineStr">
        <is>
          <t>Moda</t>
        </is>
      </c>
      <c r="K366" t="n">
        <v>3</v>
      </c>
      <c r="L366" t="n">
        <v>2.445</v>
      </c>
      <c r="M366" t="n">
        <v>1</v>
      </c>
      <c r="N366" t="inlineStr">
        <is>
          <t>train</t>
        </is>
      </c>
      <c r="O366">
        <f>HYPERLINK("3\1\marker_731_382274.png", "Ver Imagen")</f>
        <v/>
      </c>
      <c r="P366">
        <f>HYPERLINK("NE\A-495\A-495__110.png", "Ver Imagen")</f>
        <v/>
      </c>
    </row>
    <row r="367">
      <c r="A367" t="n">
        <v>3144</v>
      </c>
      <c r="B367" t="inlineStr">
        <is>
          <t>A-495__144</t>
        </is>
      </c>
      <c r="C367" t="n">
        <v>37.4340201991</v>
      </c>
      <c r="D367" t="n">
        <v>-7.06724667731</v>
      </c>
      <c r="E367" t="n">
        <v>2</v>
      </c>
      <c r="F367" t="n">
        <v>3</v>
      </c>
      <c r="G367" t="n">
        <v>3</v>
      </c>
      <c r="J367" t="inlineStr">
        <is>
          <t>Moda</t>
        </is>
      </c>
      <c r="K367" t="n">
        <v>3</v>
      </c>
      <c r="L367" t="n">
        <v>2.381</v>
      </c>
      <c r="M367" t="n">
        <v>1</v>
      </c>
      <c r="N367" t="inlineStr">
        <is>
          <t>train</t>
        </is>
      </c>
      <c r="O367">
        <f>HYPERLINK("3\1\marker_584_382615.png", "Ver Imagen")</f>
        <v/>
      </c>
      <c r="P367">
        <f>HYPERLINK("NE\A-495\A-495__144.png", "Ver Imagen")</f>
        <v/>
      </c>
    </row>
    <row r="368">
      <c r="A368" t="n">
        <v>3152</v>
      </c>
      <c r="B368" t="inlineStr">
        <is>
          <t>A-5058__153</t>
        </is>
      </c>
      <c r="C368" t="n">
        <v>37.2340891191</v>
      </c>
      <c r="D368" t="n">
        <v>-7.06204014997</v>
      </c>
      <c r="E368" t="n">
        <v>4</v>
      </c>
      <c r="F368" t="n">
        <v>3</v>
      </c>
      <c r="G368" t="n">
        <v>3</v>
      </c>
      <c r="J368" t="inlineStr">
        <is>
          <t>Moda</t>
        </is>
      </c>
      <c r="K368" t="n">
        <v>3</v>
      </c>
      <c r="L368" t="n">
        <v>2.071</v>
      </c>
      <c r="M368" t="n">
        <v>1</v>
      </c>
      <c r="N368" t="inlineStr">
        <is>
          <t>test</t>
        </is>
      </c>
      <c r="O368">
        <f>HYPERLINK("3\1\marker_316_381739.png", "Ver Imagen")</f>
        <v/>
      </c>
      <c r="P368">
        <f>HYPERLINK("SE\A-5058\A-5058__153.png", "Ver Imagen")</f>
        <v/>
      </c>
    </row>
    <row r="369">
      <c r="A369" t="n">
        <v>3198</v>
      </c>
      <c r="B369" t="inlineStr">
        <is>
          <t>A-5058__257</t>
        </is>
      </c>
      <c r="C369" t="n">
        <v>37.2421172372</v>
      </c>
      <c r="D369" t="n">
        <v>-7.08479344656</v>
      </c>
      <c r="E369" t="n">
        <v>3</v>
      </c>
      <c r="F369" t="n">
        <v>3</v>
      </c>
      <c r="G369" t="n">
        <v>4</v>
      </c>
      <c r="J369" t="inlineStr">
        <is>
          <t>Moda</t>
        </is>
      </c>
      <c r="K369" t="n">
        <v>3</v>
      </c>
      <c r="L369" t="n">
        <v>2.489</v>
      </c>
      <c r="M369" t="n">
        <v>1</v>
      </c>
      <c r="N369" t="inlineStr">
        <is>
          <t>test</t>
        </is>
      </c>
      <c r="O369">
        <f>HYPERLINK("3\1\marker_764_383632.png", "Ver Imagen")</f>
        <v/>
      </c>
      <c r="P369">
        <f>HYPERLINK("SE\A-5058\A-5058__257.png", "Ver Imagen")</f>
        <v/>
      </c>
    </row>
    <row r="370">
      <c r="A370" t="n">
        <v>3240</v>
      </c>
      <c r="B370" t="inlineStr">
        <is>
          <t>A-5058__419</t>
        </is>
      </c>
      <c r="C370" t="n">
        <v>37.2560226945</v>
      </c>
      <c r="D370" t="n">
        <v>-7.11840734464</v>
      </c>
      <c r="E370" t="n">
        <v>3</v>
      </c>
      <c r="F370" t="n">
        <v>3</v>
      </c>
      <c r="G370" t="n">
        <v>4</v>
      </c>
      <c r="J370" t="inlineStr">
        <is>
          <t>Moda</t>
        </is>
      </c>
      <c r="K370" t="n">
        <v>3</v>
      </c>
      <c r="L370" t="n">
        <v>2.358</v>
      </c>
      <c r="M370" t="n">
        <v>1</v>
      </c>
      <c r="N370" t="inlineStr">
        <is>
          <t>val</t>
        </is>
      </c>
      <c r="O370">
        <f>HYPERLINK("3\1\marker_591_388745.png", "Ver Imagen")</f>
        <v/>
      </c>
      <c r="P370">
        <f>HYPERLINK("SO\A-5058\A-5058__419.png", "Ver Imagen")</f>
        <v/>
      </c>
    </row>
    <row r="371">
      <c r="A371" t="n">
        <v>3243</v>
      </c>
      <c r="B371" t="inlineStr">
        <is>
          <t>A-5058__425</t>
        </is>
      </c>
      <c r="C371" t="n">
        <v>37.2570787285</v>
      </c>
      <c r="D371" t="n">
        <v>-7.11918777327</v>
      </c>
      <c r="E371" t="n">
        <v>3</v>
      </c>
      <c r="F371" t="n">
        <v>3</v>
      </c>
      <c r="G371" t="n">
        <v>4</v>
      </c>
      <c r="J371" t="inlineStr">
        <is>
          <t>Moda</t>
        </is>
      </c>
      <c r="K371" t="n">
        <v>3</v>
      </c>
      <c r="L371" t="n">
        <v>3.501</v>
      </c>
      <c r="M371" t="n">
        <v>1</v>
      </c>
      <c r="N371" t="inlineStr">
        <is>
          <t>train</t>
        </is>
      </c>
      <c r="O371">
        <f>HYPERLINK("3\1\marker_850_388803.png", "Ver Imagen")</f>
        <v/>
      </c>
      <c r="P371">
        <f>HYPERLINK("SO\A-5058\A-5058__425.png", "Ver Imagen")</f>
        <v/>
      </c>
    </row>
    <row r="372">
      <c r="A372" t="n">
        <v>3268</v>
      </c>
      <c r="B372" t="inlineStr">
        <is>
          <t>A-495_1__174</t>
        </is>
      </c>
      <c r="C372" t="n">
        <v>37.4811420707</v>
      </c>
      <c r="D372" t="n">
        <v>-7.12785697274</v>
      </c>
      <c r="E372" t="n">
        <v>3</v>
      </c>
      <c r="F372" t="n">
        <v>3</v>
      </c>
      <c r="G372" t="n">
        <v>2</v>
      </c>
      <c r="J372" t="inlineStr">
        <is>
          <t>Moda</t>
        </is>
      </c>
      <c r="K372" t="n">
        <v>3</v>
      </c>
      <c r="L372" t="n">
        <v>2.479</v>
      </c>
      <c r="M372" t="n">
        <v>1</v>
      </c>
      <c r="N372" t="inlineStr">
        <is>
          <t>train</t>
        </is>
      </c>
      <c r="O372">
        <f>HYPERLINK("3\1\marker_533_383952.png", "Ver Imagen")</f>
        <v/>
      </c>
      <c r="P372">
        <f>HYPERLINK("NE\A-495_1\A-495_1__174.png", "Ver Imagen")</f>
        <v/>
      </c>
    </row>
    <row r="373">
      <c r="A373" t="n">
        <v>3270</v>
      </c>
      <c r="B373" t="inlineStr">
        <is>
          <t>A-495_1__167</t>
        </is>
      </c>
      <c r="C373" t="n">
        <v>37.4797564562</v>
      </c>
      <c r="D373" t="n">
        <v>-7.1279470455</v>
      </c>
      <c r="E373" t="n">
        <v>4</v>
      </c>
      <c r="F373" t="n">
        <v>3</v>
      </c>
      <c r="G373" t="n">
        <v>3</v>
      </c>
      <c r="J373" t="inlineStr">
        <is>
          <t>Moda</t>
        </is>
      </c>
      <c r="K373" t="n">
        <v>3</v>
      </c>
      <c r="L373" t="n">
        <v>3.599</v>
      </c>
      <c r="M373" t="n">
        <v>1</v>
      </c>
      <c r="N373" t="inlineStr">
        <is>
          <t>train</t>
        </is>
      </c>
      <c r="O373">
        <f>HYPERLINK("3\1\marker_647_384019.png", "Ver Imagen")</f>
        <v/>
      </c>
      <c r="P373">
        <f>HYPERLINK("NE\A-495_1\A-495_1__167.png", "Ver Imagen")</f>
        <v/>
      </c>
    </row>
    <row r="374">
      <c r="A374" t="n">
        <v>3278</v>
      </c>
      <c r="B374" t="inlineStr">
        <is>
          <t>A-495_1__114</t>
        </is>
      </c>
      <c r="C374" t="n">
        <v>37.4700760685</v>
      </c>
      <c r="D374" t="n">
        <v>-7.12468982979</v>
      </c>
      <c r="E374" t="n">
        <v>3</v>
      </c>
      <c r="F374" t="n">
        <v>3</v>
      </c>
      <c r="G374" t="n">
        <v>2</v>
      </c>
      <c r="J374" t="inlineStr">
        <is>
          <t>Moda</t>
        </is>
      </c>
      <c r="K374" t="n">
        <v>3</v>
      </c>
      <c r="L374" t="n">
        <v>2.407</v>
      </c>
      <c r="M374" t="n">
        <v>1</v>
      </c>
      <c r="N374" t="inlineStr">
        <is>
          <t>val</t>
        </is>
      </c>
      <c r="O374">
        <f>HYPERLINK("3\1\marker_328_384682.png", "Ver Imagen")</f>
        <v/>
      </c>
      <c r="P374">
        <f>HYPERLINK("NE\A-495_1\A-495_1__114.png", "Ver Imagen")</f>
        <v/>
      </c>
    </row>
    <row r="375">
      <c r="A375" t="n">
        <v>3279</v>
      </c>
      <c r="B375" t="inlineStr">
        <is>
          <t>A-495_1__98</t>
        </is>
      </c>
      <c r="C375" t="n">
        <v>37.4672012837</v>
      </c>
      <c r="D375" t="n">
        <v>-7.12287100661</v>
      </c>
      <c r="E375" t="n">
        <v>3</v>
      </c>
      <c r="F375" t="n">
        <v>3</v>
      </c>
      <c r="G375" t="n">
        <v>2</v>
      </c>
      <c r="J375" t="inlineStr">
        <is>
          <t>Moda</t>
        </is>
      </c>
      <c r="K375" t="n">
        <v>3</v>
      </c>
      <c r="L375" t="n">
        <v>1.982</v>
      </c>
      <c r="M375" t="n">
        <v>1</v>
      </c>
      <c r="N375" t="inlineStr">
        <is>
          <t>test</t>
        </is>
      </c>
      <c r="O375">
        <f>HYPERLINK("3\1\marker_361_385060.png", "Ver Imagen")</f>
        <v/>
      </c>
      <c r="P375">
        <f>HYPERLINK("NE\A-495_1\A-495_1__98.png", "Ver Imagen")</f>
        <v/>
      </c>
    </row>
    <row r="376">
      <c r="A376" t="n">
        <v>3281</v>
      </c>
      <c r="B376" t="inlineStr">
        <is>
          <t>A-495_1__61</t>
        </is>
      </c>
      <c r="C376" t="n">
        <v>37.4600180714</v>
      </c>
      <c r="D376" t="n">
        <v>-7.12489090673</v>
      </c>
      <c r="E376" t="n">
        <v>2</v>
      </c>
      <c r="F376" t="n">
        <v>3</v>
      </c>
      <c r="G376" t="n">
        <v>3</v>
      </c>
      <c r="J376" t="inlineStr">
        <is>
          <t>Moda</t>
        </is>
      </c>
      <c r="K376" t="n">
        <v>3</v>
      </c>
      <c r="L376" t="n">
        <v>1.696</v>
      </c>
      <c r="M376" t="n">
        <v>1</v>
      </c>
      <c r="N376" t="inlineStr">
        <is>
          <t>val</t>
        </is>
      </c>
      <c r="O376">
        <f>HYPERLINK("3\1\marker_375_385413.png", "Ver Imagen")</f>
        <v/>
      </c>
      <c r="P376">
        <f>HYPERLINK("NE\A-495_1\A-495_1__61.png", "Ver Imagen")</f>
        <v/>
      </c>
    </row>
    <row r="377">
      <c r="A377" t="n">
        <v>3286</v>
      </c>
      <c r="B377" t="inlineStr">
        <is>
          <t>A-495_1__11</t>
        </is>
      </c>
      <c r="C377" t="n">
        <v>37.4501421582</v>
      </c>
      <c r="D377" t="n">
        <v>-7.12726897625</v>
      </c>
      <c r="E377" t="n">
        <v>2</v>
      </c>
      <c r="F377" t="n">
        <v>3</v>
      </c>
      <c r="G377" t="n">
        <v>3</v>
      </c>
      <c r="J377" t="inlineStr">
        <is>
          <t>Moda</t>
        </is>
      </c>
      <c r="K377" t="n">
        <v>3</v>
      </c>
      <c r="L377" t="n">
        <v>2.225</v>
      </c>
      <c r="M377" t="n">
        <v>1</v>
      </c>
      <c r="N377" t="inlineStr">
        <is>
          <t>test</t>
        </is>
      </c>
      <c r="O377">
        <f>HYPERLINK("3\1\marker_743_386216.png", "Ver Imagen")</f>
        <v/>
      </c>
      <c r="P377">
        <f>HYPERLINK("NE\A-495_1\A-495_1__11.png", "Ver Imagen")</f>
        <v/>
      </c>
    </row>
    <row r="378">
      <c r="A378" t="n">
        <v>3288</v>
      </c>
      <c r="B378" t="inlineStr">
        <is>
          <t>A-495_1__8</t>
        </is>
      </c>
      <c r="C378" t="n">
        <v>37.4496015822</v>
      </c>
      <c r="D378" t="n">
        <v>-7.1271306129</v>
      </c>
      <c r="E378" t="n">
        <v>2</v>
      </c>
      <c r="F378" t="n">
        <v>3</v>
      </c>
      <c r="G378" t="n">
        <v>3</v>
      </c>
      <c r="J378" t="inlineStr">
        <is>
          <t>Moda</t>
        </is>
      </c>
      <c r="K378" t="n">
        <v>3</v>
      </c>
      <c r="L378" t="n">
        <v>2.326</v>
      </c>
      <c r="M378" t="n">
        <v>1</v>
      </c>
      <c r="N378" t="inlineStr">
        <is>
          <t>train</t>
        </is>
      </c>
      <c r="O378">
        <f>HYPERLINK("3\1\marker_228_386244.png", "Ver Imagen")</f>
        <v/>
      </c>
      <c r="P378">
        <f>HYPERLINK("NE\A-495_1\A-495_1__8.png", "Ver Imagen")</f>
        <v/>
      </c>
    </row>
    <row r="379">
      <c r="A379" t="n">
        <v>3290</v>
      </c>
      <c r="B379" t="inlineStr">
        <is>
          <t>A-495_1__5</t>
        </is>
      </c>
      <c r="C379" t="n">
        <v>37.4489930812</v>
      </c>
      <c r="D379" t="n">
        <v>-7.12692472109</v>
      </c>
      <c r="E379" t="n">
        <v>3</v>
      </c>
      <c r="F379" t="n">
        <v>3</v>
      </c>
      <c r="G379" t="n">
        <v>4</v>
      </c>
      <c r="J379" t="inlineStr">
        <is>
          <t>Moda</t>
        </is>
      </c>
      <c r="K379" t="n">
        <v>3</v>
      </c>
      <c r="L379" t="n">
        <v>2.335</v>
      </c>
      <c r="M379" t="n">
        <v>1</v>
      </c>
      <c r="N379" t="inlineStr">
        <is>
          <t>val</t>
        </is>
      </c>
      <c r="O379">
        <f>HYPERLINK("3\1\marker_617_386274.png", "Ver Imagen")</f>
        <v/>
      </c>
      <c r="P379">
        <f>HYPERLINK("NE\A-495_1\A-495_1__5.png", "Ver Imagen")</f>
        <v/>
      </c>
    </row>
    <row r="380">
      <c r="A380" t="n">
        <v>3292</v>
      </c>
      <c r="B380" t="inlineStr">
        <is>
          <t>A-495_1__2</t>
        </is>
      </c>
      <c r="C380" t="n">
        <v>37.4484289359</v>
      </c>
      <c r="D380" t="n">
        <v>-7.12672446462</v>
      </c>
      <c r="E380" t="n">
        <v>3</v>
      </c>
      <c r="F380" t="n">
        <v>3</v>
      </c>
      <c r="G380" t="n">
        <v>4</v>
      </c>
      <c r="J380" t="inlineStr">
        <is>
          <t>Moda</t>
        </is>
      </c>
      <c r="K380" t="n">
        <v>3</v>
      </c>
      <c r="L380" t="n">
        <v>2.318</v>
      </c>
      <c r="M380" t="n">
        <v>1</v>
      </c>
      <c r="N380" t="inlineStr">
        <is>
          <t>val</t>
        </is>
      </c>
      <c r="O380">
        <f>HYPERLINK("3\1\marker_738_386308.png", "Ver Imagen")</f>
        <v/>
      </c>
      <c r="P380">
        <f>HYPERLINK("NE\A-495_1\A-495_1__2.png", "Ver Imagen")</f>
        <v/>
      </c>
    </row>
    <row r="381">
      <c r="A381" t="n">
        <v>3293</v>
      </c>
      <c r="B381" t="inlineStr">
        <is>
          <t>A-499__52</t>
        </is>
      </c>
      <c r="C381" t="n">
        <v>37.4956986015</v>
      </c>
      <c r="D381" t="n">
        <v>-7.27476081099</v>
      </c>
      <c r="E381" t="n">
        <v>2</v>
      </c>
      <c r="F381" t="n">
        <v>3</v>
      </c>
      <c r="G381" t="n">
        <v>3</v>
      </c>
      <c r="J381" t="inlineStr">
        <is>
          <t>Moda</t>
        </is>
      </c>
      <c r="K381" t="n">
        <v>3</v>
      </c>
      <c r="L381" t="n">
        <v>2.391</v>
      </c>
      <c r="M381" t="n">
        <v>1</v>
      </c>
      <c r="N381" t="inlineStr">
        <is>
          <t>train</t>
        </is>
      </c>
      <c r="O381">
        <f>HYPERLINK("3\1\marker_495_534916.png", "Ver Imagen")</f>
        <v/>
      </c>
      <c r="P381">
        <f>HYPERLINK("NO\A-499\A-499__52.png", "Ver Imagen")</f>
        <v/>
      </c>
    </row>
    <row r="382">
      <c r="A382" t="n">
        <v>3295</v>
      </c>
      <c r="B382" t="inlineStr">
        <is>
          <t>A-499__58</t>
        </is>
      </c>
      <c r="C382" t="n">
        <v>37.4955945549</v>
      </c>
      <c r="D382" t="n">
        <v>-7.27327534569</v>
      </c>
      <c r="E382" t="n">
        <v>2</v>
      </c>
      <c r="F382" t="n">
        <v>3</v>
      </c>
      <c r="G382" t="n">
        <v>3</v>
      </c>
      <c r="J382" t="inlineStr">
        <is>
          <t>Moda</t>
        </is>
      </c>
      <c r="K382" t="n">
        <v>3</v>
      </c>
      <c r="L382" t="n">
        <v>2.489</v>
      </c>
      <c r="M382" t="n">
        <v>1</v>
      </c>
      <c r="N382" t="inlineStr">
        <is>
          <t>train</t>
        </is>
      </c>
      <c r="O382">
        <f>HYPERLINK("3\1\marker_422_534976.png", "Ver Imagen")</f>
        <v/>
      </c>
      <c r="P382">
        <f>HYPERLINK("NO\A-499\A-499__58.png", "Ver Imagen")</f>
        <v/>
      </c>
    </row>
    <row r="383">
      <c r="A383" t="n">
        <v>3353</v>
      </c>
      <c r="B383" t="inlineStr">
        <is>
          <t>A-497_2C__111</t>
        </is>
      </c>
      <c r="C383" t="n">
        <v>37.2715406642</v>
      </c>
      <c r="D383" t="n">
        <v>-6.98441752509</v>
      </c>
      <c r="E383" t="n">
        <v>3</v>
      </c>
      <c r="F383" t="n">
        <v>3</v>
      </c>
      <c r="G383" t="n">
        <v>2</v>
      </c>
      <c r="J383" t="inlineStr">
        <is>
          <t>Moda</t>
        </is>
      </c>
      <c r="K383" t="n">
        <v>3</v>
      </c>
      <c r="L383" t="n">
        <v>2.491</v>
      </c>
      <c r="M383" t="n">
        <v>1</v>
      </c>
      <c r="N383" t="inlineStr">
        <is>
          <t>val</t>
        </is>
      </c>
      <c r="O383">
        <f>HYPERLINK("3\1\marker_642_655545.png", "Ver Imagen")</f>
        <v/>
      </c>
      <c r="P383">
        <f>HYPERLINK("SE\A-497_2C\A-497_2C__111.png", "Ver Imagen")</f>
        <v/>
      </c>
    </row>
    <row r="384">
      <c r="A384" t="n">
        <v>3407</v>
      </c>
      <c r="B384" t="inlineStr">
        <is>
          <t>A-497__661</t>
        </is>
      </c>
      <c r="C384" t="n">
        <v>37.2004023435</v>
      </c>
      <c r="D384" t="n">
        <v>-6.98750876485</v>
      </c>
      <c r="E384" t="n">
        <v>2</v>
      </c>
      <c r="F384" t="n">
        <v>3</v>
      </c>
      <c r="G384" t="n">
        <v>3</v>
      </c>
      <c r="J384" t="inlineStr">
        <is>
          <t>Moda</t>
        </is>
      </c>
      <c r="K384" t="n">
        <v>3</v>
      </c>
      <c r="L384" t="n">
        <v>2.306</v>
      </c>
      <c r="M384" t="n">
        <v>1</v>
      </c>
      <c r="N384" t="inlineStr">
        <is>
          <t>val</t>
        </is>
      </c>
      <c r="O384">
        <f>HYPERLINK("3\1\marker_511_371141.png", "Ver Imagen")</f>
        <v/>
      </c>
      <c r="P384">
        <f>HYPERLINK("SE\A-497\A-497__661.png", "Ver Imagen")</f>
        <v/>
      </c>
    </row>
    <row r="385">
      <c r="A385" t="n">
        <v>3410</v>
      </c>
      <c r="B385" t="inlineStr">
        <is>
          <t>A-497__654</t>
        </is>
      </c>
      <c r="C385" t="n">
        <v>37.2007920389</v>
      </c>
      <c r="D385" t="n">
        <v>-6.98923230331</v>
      </c>
      <c r="E385" t="n">
        <v>2</v>
      </c>
      <c r="F385" t="n">
        <v>3</v>
      </c>
      <c r="G385" t="n">
        <v>3</v>
      </c>
      <c r="J385" t="inlineStr">
        <is>
          <t>Moda</t>
        </is>
      </c>
      <c r="K385" t="n">
        <v>3</v>
      </c>
      <c r="L385" t="n">
        <v>2.322</v>
      </c>
      <c r="M385" t="n">
        <v>1</v>
      </c>
      <c r="N385" t="inlineStr">
        <is>
          <t>test</t>
        </is>
      </c>
      <c r="O385">
        <f>HYPERLINK("3\1\marker_571_371201.png", "Ver Imagen")</f>
        <v/>
      </c>
      <c r="P385">
        <f>HYPERLINK("SE\A-497\A-497__654.png", "Ver Imagen")</f>
        <v/>
      </c>
    </row>
    <row r="386">
      <c r="A386" t="n">
        <v>3420</v>
      </c>
      <c r="B386" t="inlineStr">
        <is>
          <t>A-497_2C__256</t>
        </is>
      </c>
      <c r="C386" t="n">
        <v>37.2575203134</v>
      </c>
      <c r="D386" t="n">
        <v>-7.01328063883</v>
      </c>
      <c r="E386" t="n">
        <v>2</v>
      </c>
      <c r="F386" t="n">
        <v>3</v>
      </c>
      <c r="G386" t="n">
        <v>3</v>
      </c>
      <c r="J386" t="inlineStr">
        <is>
          <t>Moda</t>
        </is>
      </c>
      <c r="K386" t="n">
        <v>3</v>
      </c>
      <c r="L386" t="n">
        <v>2.178</v>
      </c>
      <c r="M386" t="n">
        <v>1</v>
      </c>
      <c r="N386" t="inlineStr">
        <is>
          <t>val</t>
        </is>
      </c>
      <c r="O386">
        <f>HYPERLINK("3\1\marker_407_319554.png", "Ver Imagen")</f>
        <v/>
      </c>
      <c r="P386">
        <f>HYPERLINK("SE\A-497_2C\A-497_2C__256.png", "Ver Imagen")</f>
        <v/>
      </c>
    </row>
    <row r="387">
      <c r="A387" t="n">
        <v>3421</v>
      </c>
      <c r="B387" t="inlineStr">
        <is>
          <t>A-497_2C__257</t>
        </is>
      </c>
      <c r="C387" t="n">
        <v>37.25731554</v>
      </c>
      <c r="D387" t="n">
        <v>-7.01341151723</v>
      </c>
      <c r="E387" t="n">
        <v>2</v>
      </c>
      <c r="F387" t="n">
        <v>3</v>
      </c>
      <c r="G387" t="n">
        <v>3</v>
      </c>
      <c r="J387" t="inlineStr">
        <is>
          <t>Moda</t>
        </is>
      </c>
      <c r="K387" t="n">
        <v>3</v>
      </c>
      <c r="L387" t="n">
        <v>3.655</v>
      </c>
      <c r="M387" t="n">
        <v>1</v>
      </c>
      <c r="N387" t="inlineStr">
        <is>
          <t>train</t>
        </is>
      </c>
      <c r="O387">
        <f>HYPERLINK("3\1\marker_341_319563.png", "Ver Imagen")</f>
        <v/>
      </c>
      <c r="P387">
        <f>HYPERLINK("SE\A-497_2C\A-497_2C__257.png", "Ver Imagen")</f>
        <v/>
      </c>
    </row>
    <row r="388">
      <c r="A388" t="n">
        <v>3448</v>
      </c>
      <c r="B388" t="inlineStr">
        <is>
          <t>A-497__588</t>
        </is>
      </c>
      <c r="C388" t="n">
        <v>37.2033179637</v>
      </c>
      <c r="D388" t="n">
        <v>-7.00561291906</v>
      </c>
      <c r="E388" t="n">
        <v>2</v>
      </c>
      <c r="F388" t="n">
        <v>3</v>
      </c>
      <c r="G388" t="n">
        <v>3</v>
      </c>
      <c r="J388" t="inlineStr">
        <is>
          <t>Moda</t>
        </is>
      </c>
      <c r="K388" t="n">
        <v>3</v>
      </c>
      <c r="L388" t="n">
        <v>2.495</v>
      </c>
      <c r="M388" t="n">
        <v>1</v>
      </c>
      <c r="N388" t="inlineStr">
        <is>
          <t>train</t>
        </is>
      </c>
      <c r="O388">
        <f>HYPERLINK("3\1\marker_589_371852.png", "Ver Imagen")</f>
        <v/>
      </c>
      <c r="P388">
        <f>HYPERLINK("SE\A-497\A-497__588.png", "Ver Imagen")</f>
        <v/>
      </c>
    </row>
    <row r="389">
      <c r="A389" t="n">
        <v>3452</v>
      </c>
      <c r="B389" t="inlineStr">
        <is>
          <t>A-497__583</t>
        </is>
      </c>
      <c r="C389" t="n">
        <v>37.2034861207</v>
      </c>
      <c r="D389" t="n">
        <v>-7.00688639198</v>
      </c>
      <c r="E389" t="n">
        <v>4</v>
      </c>
      <c r="F389" t="n">
        <v>3</v>
      </c>
      <c r="G389" t="n">
        <v>3</v>
      </c>
      <c r="J389" t="inlineStr">
        <is>
          <t>Moda</t>
        </is>
      </c>
      <c r="K389" t="n">
        <v>3</v>
      </c>
      <c r="L389" t="n">
        <v>3.564</v>
      </c>
      <c r="M389" t="n">
        <v>1</v>
      </c>
      <c r="N389" t="inlineStr">
        <is>
          <t>val</t>
        </is>
      </c>
      <c r="O389">
        <f>HYPERLINK("3\1\marker_392_371897.png", "Ver Imagen")</f>
        <v/>
      </c>
      <c r="P389">
        <f>HYPERLINK("SE\A-497\A-497__583.png", "Ver Imagen")</f>
        <v/>
      </c>
    </row>
    <row r="390">
      <c r="A390" t="n">
        <v>3471</v>
      </c>
      <c r="B390" t="inlineStr">
        <is>
          <t>A-497__524</t>
        </is>
      </c>
      <c r="C390" t="n">
        <v>37.2069184117</v>
      </c>
      <c r="D390" t="n">
        <v>-7.02101268889</v>
      </c>
      <c r="E390" t="n">
        <v>4</v>
      </c>
      <c r="F390" t="n">
        <v>3</v>
      </c>
      <c r="G390" t="n">
        <v>3</v>
      </c>
      <c r="J390" t="inlineStr">
        <is>
          <t>Moda</t>
        </is>
      </c>
      <c r="K390" t="n">
        <v>3</v>
      </c>
      <c r="L390" t="n">
        <v>2.26</v>
      </c>
      <c r="M390" t="n">
        <v>1</v>
      </c>
      <c r="N390" t="inlineStr">
        <is>
          <t>val</t>
        </is>
      </c>
      <c r="O390">
        <f>HYPERLINK("3\1\marker_610_372559.png", "Ver Imagen")</f>
        <v/>
      </c>
      <c r="P390">
        <f>HYPERLINK("SE\A-497\A-497__524.png", "Ver Imagen")</f>
        <v/>
      </c>
    </row>
    <row r="391">
      <c r="A391" t="n">
        <v>3474</v>
      </c>
      <c r="B391" t="inlineStr">
        <is>
          <t>A-497__503</t>
        </is>
      </c>
      <c r="C391" t="n">
        <v>37.2105315416</v>
      </c>
      <c r="D391" t="n">
        <v>-7.02368140881</v>
      </c>
      <c r="E391" t="n">
        <v>2</v>
      </c>
      <c r="F391" t="n">
        <v>3</v>
      </c>
      <c r="G391" t="n">
        <v>3</v>
      </c>
      <c r="J391" t="inlineStr">
        <is>
          <t>Moda</t>
        </is>
      </c>
      <c r="K391" t="n">
        <v>3</v>
      </c>
      <c r="L391" t="n">
        <v>2.289</v>
      </c>
      <c r="M391" t="n">
        <v>1</v>
      </c>
      <c r="N391" t="inlineStr">
        <is>
          <t>test</t>
        </is>
      </c>
      <c r="O391">
        <f>HYPERLINK("3\1\marker_204_376052.png", "Ver Imagen")</f>
        <v/>
      </c>
      <c r="P391">
        <f>HYPERLINK("SE\A-497\A-497__503.png", "Ver Imagen")</f>
        <v/>
      </c>
    </row>
    <row r="392">
      <c r="A392" t="n">
        <v>3480</v>
      </c>
      <c r="B392" t="inlineStr">
        <is>
          <t>A-497_2C__403</t>
        </is>
      </c>
      <c r="C392" t="n">
        <v>37.2292680647</v>
      </c>
      <c r="D392" t="n">
        <v>-7.02101984004</v>
      </c>
      <c r="E392" t="n">
        <v>4</v>
      </c>
      <c r="F392" t="n">
        <v>3</v>
      </c>
      <c r="G392" t="n">
        <v>3</v>
      </c>
      <c r="J392" t="inlineStr">
        <is>
          <t>Moda</t>
        </is>
      </c>
      <c r="K392" t="n">
        <v>3</v>
      </c>
      <c r="L392" t="n">
        <v>1.754</v>
      </c>
      <c r="M392" t="n">
        <v>1</v>
      </c>
      <c r="N392" t="inlineStr">
        <is>
          <t>test</t>
        </is>
      </c>
      <c r="O392">
        <f>HYPERLINK("3\1\marker_711_362935.png", "Ver Imagen")</f>
        <v/>
      </c>
      <c r="P392">
        <f>HYPERLINK("SE\A-497_2C\A-497_2C__403.png", "Ver Imagen")</f>
        <v/>
      </c>
    </row>
    <row r="393">
      <c r="A393" t="n">
        <v>3491</v>
      </c>
      <c r="B393" t="inlineStr">
        <is>
          <t>A-497_2C__449</t>
        </is>
      </c>
      <c r="C393" t="n">
        <v>37.2204825203</v>
      </c>
      <c r="D393" t="n">
        <v>-7.02300638825</v>
      </c>
      <c r="E393" t="n">
        <v>3</v>
      </c>
      <c r="F393" t="n">
        <v>3</v>
      </c>
      <c r="G393" t="n">
        <v>4</v>
      </c>
      <c r="J393" t="inlineStr">
        <is>
          <t>Moda</t>
        </is>
      </c>
      <c r="K393" t="n">
        <v>3</v>
      </c>
      <c r="L393" t="n">
        <v>3.533</v>
      </c>
      <c r="M393" t="n">
        <v>1</v>
      </c>
      <c r="N393" t="inlineStr">
        <is>
          <t>train</t>
        </is>
      </c>
      <c r="O393">
        <f>HYPERLINK("3\1\marker_948_363409.png", "Ver Imagen")</f>
        <v/>
      </c>
      <c r="P393">
        <f>HYPERLINK("SE\A-497_2C\A-497_2C__449.png", "Ver Imagen")</f>
        <v/>
      </c>
    </row>
    <row r="394">
      <c r="A394" t="n">
        <v>3503</v>
      </c>
      <c r="B394" t="inlineStr">
        <is>
          <t>A-497_2C__497</t>
        </is>
      </c>
      <c r="C394" t="n">
        <v>37.2108011125</v>
      </c>
      <c r="D394" t="n">
        <v>-7.02394907332</v>
      </c>
      <c r="E394" t="n">
        <v>4</v>
      </c>
      <c r="F394" t="n">
        <v>3</v>
      </c>
      <c r="G394" t="n">
        <v>3</v>
      </c>
      <c r="J394" t="inlineStr">
        <is>
          <t>Moda</t>
        </is>
      </c>
      <c r="K394" t="n">
        <v>3</v>
      </c>
      <c r="L394" t="n">
        <v>2.47</v>
      </c>
      <c r="M394" t="n">
        <v>1</v>
      </c>
      <c r="N394" t="inlineStr">
        <is>
          <t>test</t>
        </is>
      </c>
      <c r="O394">
        <f>HYPERLINK("3\1\marker_745_364032.png", "Ver Imagen")</f>
        <v/>
      </c>
      <c r="P394">
        <f>HYPERLINK("SE\A-497_2C\A-497_2C__497.png", "Ver Imagen")</f>
        <v/>
      </c>
    </row>
    <row r="395">
      <c r="A395" t="n">
        <v>3504</v>
      </c>
      <c r="B395" t="inlineStr">
        <is>
          <t>A-497_2C__498</t>
        </is>
      </c>
      <c r="C395" t="n">
        <v>37.2105815322</v>
      </c>
      <c r="D395" t="n">
        <v>-7.02389888229</v>
      </c>
      <c r="E395" t="n">
        <v>2</v>
      </c>
      <c r="F395" t="n">
        <v>3</v>
      </c>
      <c r="G395" t="n">
        <v>3</v>
      </c>
      <c r="J395" t="inlineStr">
        <is>
          <t>Moda</t>
        </is>
      </c>
      <c r="K395" t="n">
        <v>3</v>
      </c>
      <c r="L395" t="n">
        <v>2.359</v>
      </c>
      <c r="M395" t="n">
        <v>1</v>
      </c>
      <c r="N395" t="inlineStr">
        <is>
          <t>train</t>
        </is>
      </c>
      <c r="O395">
        <f>HYPERLINK("3\1\marker_717_364041.png", "Ver Imagen")</f>
        <v/>
      </c>
      <c r="P395">
        <f>HYPERLINK("SE\A-497_2C\A-497_2C__498.png", "Ver Imagen")</f>
        <v/>
      </c>
    </row>
    <row r="396">
      <c r="A396" t="n">
        <v>3506</v>
      </c>
      <c r="B396" t="inlineStr">
        <is>
          <t>A-497_2C__510</t>
        </is>
      </c>
      <c r="C396" t="n">
        <v>37.2083208634</v>
      </c>
      <c r="D396" t="n">
        <v>-7.02277428814</v>
      </c>
      <c r="E396" t="n">
        <v>3</v>
      </c>
      <c r="F396" t="n">
        <v>3</v>
      </c>
      <c r="G396" t="n">
        <v>2</v>
      </c>
      <c r="J396" t="inlineStr">
        <is>
          <t>Moda</t>
        </is>
      </c>
      <c r="K396" t="n">
        <v>3</v>
      </c>
      <c r="L396" t="n">
        <v>3.899</v>
      </c>
      <c r="M396" t="n">
        <v>1</v>
      </c>
      <c r="N396" t="inlineStr">
        <is>
          <t>test</t>
        </is>
      </c>
      <c r="O396">
        <f>HYPERLINK("3\1\marker_670_364159.png", "Ver Imagen")</f>
        <v/>
      </c>
      <c r="P396">
        <f>HYPERLINK("SE\A-497_2C\A-497_2C__510.png", "Ver Imagen")</f>
        <v/>
      </c>
    </row>
    <row r="397">
      <c r="A397" t="n">
        <v>3509</v>
      </c>
      <c r="B397" t="inlineStr">
        <is>
          <t>A-497_2C__514</t>
        </is>
      </c>
      <c r="C397" t="n">
        <v>37.2076505005</v>
      </c>
      <c r="D397" t="n">
        <v>-7.022166977</v>
      </c>
      <c r="E397" t="n">
        <v>2</v>
      </c>
      <c r="F397" t="n">
        <v>3</v>
      </c>
      <c r="G397" t="n">
        <v>3</v>
      </c>
      <c r="J397" t="inlineStr">
        <is>
          <t>Moda</t>
        </is>
      </c>
      <c r="K397" t="n">
        <v>3</v>
      </c>
      <c r="L397" t="n">
        <v>2.113</v>
      </c>
      <c r="M397" t="n">
        <v>1</v>
      </c>
      <c r="N397" t="inlineStr">
        <is>
          <t>val</t>
        </is>
      </c>
      <c r="O397">
        <f>HYPERLINK("3\1\marker_489_364198.png", "Ver Imagen")</f>
        <v/>
      </c>
      <c r="P397">
        <f>HYPERLINK("SE\A-497_2C\A-497_2C__514.png", "Ver Imagen")</f>
        <v/>
      </c>
    </row>
    <row r="398">
      <c r="A398" t="n">
        <v>3527</v>
      </c>
      <c r="B398" t="inlineStr">
        <is>
          <t>A-497__346</t>
        </is>
      </c>
      <c r="C398" t="n">
        <v>37.2411383135</v>
      </c>
      <c r="D398" t="n">
        <v>-7.01844199959</v>
      </c>
      <c r="E398" t="n">
        <v>4</v>
      </c>
      <c r="F398" t="n">
        <v>3</v>
      </c>
      <c r="G398" t="n">
        <v>3</v>
      </c>
      <c r="J398" t="inlineStr">
        <is>
          <t>Moda</t>
        </is>
      </c>
      <c r="K398" t="n">
        <v>3</v>
      </c>
      <c r="L398" t="n">
        <v>3.511</v>
      </c>
      <c r="M398" t="n">
        <v>1</v>
      </c>
      <c r="N398" t="inlineStr">
        <is>
          <t>val</t>
        </is>
      </c>
      <c r="O398">
        <f>HYPERLINK("3\1\marker_730_377707.png", "Ver Imagen")</f>
        <v/>
      </c>
      <c r="P398">
        <f>HYPERLINK("SE\A-497\A-497__346.png", "Ver Imagen")</f>
        <v/>
      </c>
    </row>
    <row r="399">
      <c r="A399" t="n">
        <v>3529</v>
      </c>
      <c r="B399" t="inlineStr">
        <is>
          <t>A-497__341</t>
        </is>
      </c>
      <c r="C399" t="n">
        <v>37.2421538006</v>
      </c>
      <c r="D399" t="n">
        <v>-7.01840476156</v>
      </c>
      <c r="E399" t="n">
        <v>4</v>
      </c>
      <c r="F399" t="n">
        <v>3</v>
      </c>
      <c r="G399" t="n">
        <v>3</v>
      </c>
      <c r="J399" t="inlineStr">
        <is>
          <t>Moda</t>
        </is>
      </c>
      <c r="K399" t="n">
        <v>3</v>
      </c>
      <c r="L399" t="n">
        <v>3.571</v>
      </c>
      <c r="M399" t="n">
        <v>1</v>
      </c>
      <c r="N399" t="inlineStr">
        <is>
          <t>val</t>
        </is>
      </c>
      <c r="O399">
        <f>HYPERLINK("3\1\marker_518_377759.png", "Ver Imagen")</f>
        <v/>
      </c>
      <c r="P399">
        <f>HYPERLINK("SE\A-497\A-497__341.png", "Ver Imagen")</f>
        <v/>
      </c>
    </row>
    <row r="400">
      <c r="A400" t="n">
        <v>3567</v>
      </c>
      <c r="B400" t="inlineStr">
        <is>
          <t>A-490__252</t>
        </is>
      </c>
      <c r="C400" t="n">
        <v>37.4660566109</v>
      </c>
      <c r="D400" t="n">
        <v>-7.18227954579</v>
      </c>
      <c r="E400" t="n">
        <v>4</v>
      </c>
      <c r="F400" t="n">
        <v>4</v>
      </c>
      <c r="G400" t="n">
        <v>4</v>
      </c>
      <c r="J400" t="inlineStr">
        <is>
          <t>Moda</t>
        </is>
      </c>
      <c r="K400" t="n">
        <v>4</v>
      </c>
      <c r="L400" t="n">
        <v>3.396</v>
      </c>
      <c r="M400" t="n">
        <v>1</v>
      </c>
      <c r="N400" t="inlineStr">
        <is>
          <t>val</t>
        </is>
      </c>
      <c r="O400">
        <f>HYPERLINK("4\0\marker_384_749543.png", "Ver Imagen")</f>
        <v/>
      </c>
      <c r="P400">
        <f>HYPERLINK("NE\A-490\A-490__252.png", "Ver Imagen")</f>
        <v/>
      </c>
    </row>
    <row r="401">
      <c r="A401" t="n">
        <v>3567</v>
      </c>
      <c r="B401" t="inlineStr">
        <is>
          <t>A-490__252</t>
        </is>
      </c>
      <c r="C401" t="n">
        <v>37.4660566109</v>
      </c>
      <c r="D401" t="n">
        <v>-7.18227954579</v>
      </c>
      <c r="E401" t="n">
        <v>4</v>
      </c>
      <c r="F401" t="n">
        <v>4</v>
      </c>
      <c r="G401" t="n">
        <v>4</v>
      </c>
      <c r="J401" t="inlineStr">
        <is>
          <t>Moda</t>
        </is>
      </c>
      <c r="K401" t="n">
        <v>4</v>
      </c>
      <c r="L401" t="n">
        <v>3.359</v>
      </c>
      <c r="M401" t="n">
        <v>1</v>
      </c>
      <c r="N401" t="inlineStr">
        <is>
          <t>val</t>
        </is>
      </c>
      <c r="O401">
        <f>HYPERLINK("4\0\marker_384_749543.png", "Ver Imagen")</f>
        <v/>
      </c>
      <c r="P401">
        <f>HYPERLINK("NO\A-490\A-490__252.png", "Ver Imagen")</f>
        <v/>
      </c>
    </row>
    <row r="402">
      <c r="A402" t="n">
        <v>3572</v>
      </c>
      <c r="B402" t="inlineStr">
        <is>
          <t>A-492__63</t>
        </is>
      </c>
      <c r="C402" t="n">
        <v>37.2799404802</v>
      </c>
      <c r="D402" t="n">
        <v>-6.99878097358</v>
      </c>
      <c r="E402" t="n">
        <v>4</v>
      </c>
      <c r="F402" t="n">
        <v>4</v>
      </c>
      <c r="G402" t="n">
        <v>4</v>
      </c>
      <c r="J402" t="inlineStr">
        <is>
          <t>Moda</t>
        </is>
      </c>
      <c r="K402" t="n">
        <v>4</v>
      </c>
      <c r="L402" t="n">
        <v>3.186</v>
      </c>
      <c r="M402" t="n">
        <v>1</v>
      </c>
      <c r="N402" t="inlineStr">
        <is>
          <t>train</t>
        </is>
      </c>
      <c r="O402">
        <f>HYPERLINK("4\0\marker_451_823179.png", "Ver Imagen")</f>
        <v/>
      </c>
      <c r="P402">
        <f>HYPERLINK("SE\A-492\A-492__63.png", "Ver Imagen")</f>
        <v/>
      </c>
    </row>
    <row r="403">
      <c r="A403" t="n">
        <v>3573</v>
      </c>
      <c r="B403" t="inlineStr">
        <is>
          <t>A-492__67</t>
        </is>
      </c>
      <c r="C403" t="n">
        <v>37.2801466689</v>
      </c>
      <c r="D403" t="n">
        <v>-6.99972036462</v>
      </c>
      <c r="E403" t="n">
        <v>4</v>
      </c>
      <c r="F403" t="n">
        <v>4</v>
      </c>
      <c r="G403" t="n">
        <v>4</v>
      </c>
      <c r="J403" t="inlineStr">
        <is>
          <t>Moda</t>
        </is>
      </c>
      <c r="K403" t="n">
        <v>4</v>
      </c>
      <c r="L403" t="n">
        <v>3.486</v>
      </c>
      <c r="M403" t="n">
        <v>1</v>
      </c>
      <c r="N403" t="inlineStr">
        <is>
          <t>train</t>
        </is>
      </c>
      <c r="O403">
        <f>HYPERLINK("4\0\marker_468_823246.png", "Ver Imagen")</f>
        <v/>
      </c>
      <c r="P403">
        <f>HYPERLINK("SE\A-492\A-492__67.png", "Ver Imagen")</f>
        <v/>
      </c>
    </row>
    <row r="404">
      <c r="A404" t="n">
        <v>3582</v>
      </c>
      <c r="B404" t="inlineStr">
        <is>
          <t>A-495R__23</t>
        </is>
      </c>
      <c r="C404" t="n">
        <v>37.4492738591</v>
      </c>
      <c r="D404" t="n">
        <v>-7.11002779125</v>
      </c>
      <c r="E404" t="n">
        <v>4</v>
      </c>
      <c r="F404" t="n">
        <v>4</v>
      </c>
      <c r="G404" t="n">
        <v>4</v>
      </c>
      <c r="J404" t="inlineStr">
        <is>
          <t>Moda</t>
        </is>
      </c>
      <c r="K404" t="n">
        <v>4</v>
      </c>
      <c r="L404" t="n">
        <v>3.452</v>
      </c>
      <c r="M404" t="n">
        <v>1</v>
      </c>
      <c r="O404">
        <f>HYPERLINK("4\0\marker_829_936698.png", "Ver Imagen")</f>
        <v/>
      </c>
      <c r="P404">
        <f>HYPERLINK("NE\A-495R\A-495R__23.png", "Ver Imagen")</f>
        <v/>
      </c>
    </row>
    <row r="405">
      <c r="A405" t="n">
        <v>3586</v>
      </c>
      <c r="B405" t="inlineStr">
        <is>
          <t>A-5053__261</t>
        </is>
      </c>
      <c r="C405" t="n">
        <v>37.2684362226</v>
      </c>
      <c r="D405" t="n">
        <v>-7.13646381225</v>
      </c>
      <c r="E405" t="n">
        <v>4</v>
      </c>
      <c r="F405" t="n">
        <v>4</v>
      </c>
      <c r="G405" t="n">
        <v>4</v>
      </c>
      <c r="J405" t="inlineStr">
        <is>
          <t>Moda</t>
        </is>
      </c>
      <c r="K405" t="n">
        <v>4</v>
      </c>
      <c r="L405" t="n">
        <v>3.222</v>
      </c>
      <c r="M405" t="n">
        <v>1</v>
      </c>
      <c r="N405" t="inlineStr">
        <is>
          <t>test</t>
        </is>
      </c>
      <c r="O405">
        <f>HYPERLINK("4\0\marker_409_965246.png", "Ver Imagen")</f>
        <v/>
      </c>
      <c r="P405">
        <f>HYPERLINK("SO\A-5053\A-5053__261.png", "Ver Imagen")</f>
        <v/>
      </c>
    </row>
    <row r="406">
      <c r="A406" t="n">
        <v>3588</v>
      </c>
      <c r="B406" t="inlineStr">
        <is>
          <t>A-5053__235</t>
        </is>
      </c>
      <c r="C406" t="n">
        <v>37.2648393532</v>
      </c>
      <c r="D406" t="n">
        <v>-7.13211782999</v>
      </c>
      <c r="E406" t="n">
        <v>4</v>
      </c>
      <c r="F406" t="n">
        <v>4</v>
      </c>
      <c r="G406" t="n">
        <v>4</v>
      </c>
      <c r="J406" t="inlineStr">
        <is>
          <t>Moda</t>
        </is>
      </c>
      <c r="K406" t="n">
        <v>4</v>
      </c>
      <c r="L406" t="n">
        <v>3.465</v>
      </c>
      <c r="M406" t="n">
        <v>1</v>
      </c>
      <c r="N406" t="inlineStr">
        <is>
          <t>train</t>
        </is>
      </c>
      <c r="O406">
        <f>HYPERLINK("4\0\marker_264_965545.png", "Ver Imagen")</f>
        <v/>
      </c>
      <c r="P406">
        <f>HYPERLINK("SO\A-5053\A-5053__235.png", "Ver Imagen")</f>
        <v/>
      </c>
    </row>
    <row r="407">
      <c r="A407" t="n">
        <v>3589</v>
      </c>
      <c r="B407" t="inlineStr">
        <is>
          <t>A-5058__287</t>
        </is>
      </c>
      <c r="C407" t="n">
        <v>37.2448170308</v>
      </c>
      <c r="D407" t="n">
        <v>-7.09158589456</v>
      </c>
      <c r="E407" t="n">
        <v>4</v>
      </c>
      <c r="F407" t="n">
        <v>4</v>
      </c>
      <c r="G407" t="n">
        <v>4</v>
      </c>
      <c r="J407" t="inlineStr">
        <is>
          <t>Moda</t>
        </is>
      </c>
      <c r="K407" t="n">
        <v>4</v>
      </c>
      <c r="L407" t="n">
        <v>3.478</v>
      </c>
      <c r="M407" t="n">
        <v>1</v>
      </c>
      <c r="N407" t="inlineStr">
        <is>
          <t>train</t>
        </is>
      </c>
      <c r="O407">
        <f>HYPERLINK("4\0\marker_551_384116.png", "Ver Imagen")</f>
        <v/>
      </c>
      <c r="P407">
        <f>HYPERLINK("SO\A-5058\A-5058__287.png", "Ver Imagen")</f>
        <v/>
      </c>
    </row>
    <row r="408">
      <c r="A408" t="n">
        <v>3590</v>
      </c>
      <c r="B408" t="inlineStr">
        <is>
          <t>A-5058__289</t>
        </is>
      </c>
      <c r="C408" t="n">
        <v>37.2450282207</v>
      </c>
      <c r="D408" t="n">
        <v>-7.09204151454</v>
      </c>
      <c r="E408" t="n">
        <v>4</v>
      </c>
      <c r="F408" t="n">
        <v>4</v>
      </c>
      <c r="G408" t="n">
        <v>4</v>
      </c>
      <c r="J408" t="inlineStr">
        <is>
          <t>Moda</t>
        </is>
      </c>
      <c r="K408" t="n">
        <v>4</v>
      </c>
      <c r="L408" t="n">
        <v>2.928</v>
      </c>
      <c r="M408" t="n">
        <v>1</v>
      </c>
      <c r="N408" t="inlineStr">
        <is>
          <t>test</t>
        </is>
      </c>
      <c r="O408">
        <f>HYPERLINK("4\0\marker_650_384135.png", "Ver Imagen")</f>
        <v/>
      </c>
      <c r="P408">
        <f>HYPERLINK("SE\A-5058\A-5058__289.png", "Ver Imagen")</f>
        <v/>
      </c>
    </row>
    <row r="409">
      <c r="A409" t="n">
        <v>3592</v>
      </c>
      <c r="B409" t="inlineStr">
        <is>
          <t>A-5058__295</t>
        </is>
      </c>
      <c r="C409" t="n">
        <v>37.2453826881</v>
      </c>
      <c r="D409" t="n">
        <v>-7.09347062485</v>
      </c>
      <c r="E409" t="n">
        <v>4</v>
      </c>
      <c r="F409" t="n">
        <v>4</v>
      </c>
      <c r="G409" t="n">
        <v>4</v>
      </c>
      <c r="J409" t="inlineStr">
        <is>
          <t>Moda</t>
        </is>
      </c>
      <c r="K409" t="n">
        <v>4</v>
      </c>
      <c r="L409" t="n">
        <v>2.972</v>
      </c>
      <c r="M409" t="n">
        <v>1</v>
      </c>
      <c r="N409" t="inlineStr">
        <is>
          <t>test</t>
        </is>
      </c>
      <c r="O409">
        <f>HYPERLINK("4\0\marker_492_384205.png", "Ver Imagen")</f>
        <v/>
      </c>
      <c r="P409">
        <f>HYPERLINK("SE\A-5058\A-5058__295.png", "Ver Imagen")</f>
        <v/>
      </c>
    </row>
    <row r="410">
      <c r="A410" t="n">
        <v>3593</v>
      </c>
      <c r="B410" t="inlineStr">
        <is>
          <t>A-5058__448</t>
        </is>
      </c>
      <c r="C410" t="n">
        <v>37.2589388359</v>
      </c>
      <c r="D410" t="n">
        <v>-7.12407741064</v>
      </c>
      <c r="E410" t="n">
        <v>4</v>
      </c>
      <c r="F410" t="n">
        <v>4</v>
      </c>
      <c r="G410" t="n">
        <v>4</v>
      </c>
      <c r="J410" t="inlineStr">
        <is>
          <t>Moda</t>
        </is>
      </c>
      <c r="K410" t="n">
        <v>4</v>
      </c>
      <c r="L410" t="n">
        <v>3.065</v>
      </c>
      <c r="M410" t="n">
        <v>1</v>
      </c>
      <c r="N410" t="inlineStr">
        <is>
          <t>test</t>
        </is>
      </c>
      <c r="O410">
        <f>HYPERLINK("4\0\marker_768_389056.png", "Ver Imagen")</f>
        <v/>
      </c>
      <c r="P410">
        <f>HYPERLINK("SO\A-5058\A-5058__448.png", "Ver Imagen")</f>
        <v/>
      </c>
    </row>
    <row r="411">
      <c r="A411" t="n">
        <v>3607</v>
      </c>
      <c r="B411" t="inlineStr">
        <is>
          <t>A-497_2C__389</t>
        </is>
      </c>
      <c r="C411" t="n">
        <v>37.2317323555</v>
      </c>
      <c r="D411" t="n">
        <v>-7.01914393715</v>
      </c>
      <c r="E411" t="n">
        <v>4</v>
      </c>
      <c r="F411" t="n">
        <v>4</v>
      </c>
      <c r="G411" t="n">
        <v>4</v>
      </c>
      <c r="J411" t="inlineStr">
        <is>
          <t>Moda</t>
        </is>
      </c>
      <c r="K411" t="n">
        <v>4</v>
      </c>
      <c r="L411" t="n">
        <v>3.44</v>
      </c>
      <c r="M411" t="n">
        <v>1</v>
      </c>
      <c r="N411" t="inlineStr">
        <is>
          <t>train</t>
        </is>
      </c>
      <c r="O411">
        <f>HYPERLINK("4\0\marker_898_362799.png", "Ver Imagen")</f>
        <v/>
      </c>
      <c r="P411">
        <f>HYPERLINK("SE\A-497_2C\A-497_2C__389.png", "Ver Imagen")</f>
        <v/>
      </c>
    </row>
    <row r="412">
      <c r="A412" t="n">
        <v>3612</v>
      </c>
      <c r="B412" t="inlineStr">
        <is>
          <t>A-497__112</t>
        </is>
      </c>
      <c r="C412" t="n">
        <v>37.2711403845</v>
      </c>
      <c r="D412" t="n">
        <v>-6.98344320924</v>
      </c>
      <c r="E412" t="n">
        <v>4</v>
      </c>
      <c r="F412" t="n">
        <v>4</v>
      </c>
      <c r="G412" t="n">
        <v>4</v>
      </c>
      <c r="J412" t="inlineStr">
        <is>
          <t>Moda</t>
        </is>
      </c>
      <c r="K412" t="n">
        <v>4</v>
      </c>
      <c r="L412" t="n">
        <v>3.219</v>
      </c>
      <c r="M412" t="n">
        <v>1</v>
      </c>
      <c r="N412" t="inlineStr">
        <is>
          <t>val</t>
        </is>
      </c>
      <c r="O412">
        <f>HYPERLINK("4\0\marker_549_380706.png", "Ver Imagen")</f>
        <v/>
      </c>
      <c r="P412">
        <f>HYPERLINK("SE\A-497\A-497__112.png", "Ver Imagen")</f>
        <v/>
      </c>
    </row>
    <row r="413">
      <c r="A413" t="n">
        <v>3614</v>
      </c>
      <c r="B413" t="inlineStr">
        <is>
          <t>A-497__97</t>
        </is>
      </c>
      <c r="C413" t="n">
        <v>37.2701188818</v>
      </c>
      <c r="D413" t="n">
        <v>-6.97987968149</v>
      </c>
      <c r="E413" t="n">
        <v>4</v>
      </c>
      <c r="F413" t="n">
        <v>4</v>
      </c>
      <c r="G413" t="n">
        <v>4</v>
      </c>
      <c r="J413" t="inlineStr">
        <is>
          <t>Moda</t>
        </is>
      </c>
      <c r="K413" t="n">
        <v>4</v>
      </c>
      <c r="L413" t="n">
        <v>3.451</v>
      </c>
      <c r="M413" t="n">
        <v>1</v>
      </c>
      <c r="N413" t="inlineStr">
        <is>
          <t>val</t>
        </is>
      </c>
      <c r="O413">
        <f>HYPERLINK("4\0\marker_114_380866.png", "Ver Imagen")</f>
        <v/>
      </c>
      <c r="P413">
        <f>HYPERLINK("SE\A-497\A-497__97.png", "Ver Imagen")</f>
        <v/>
      </c>
    </row>
    <row r="414">
      <c r="A414" t="n">
        <v>3619</v>
      </c>
      <c r="B414" t="inlineStr">
        <is>
          <t>A-5052__404</t>
        </is>
      </c>
      <c r="C414" t="n">
        <v>37.2043791243</v>
      </c>
      <c r="D414" t="n">
        <v>-7.02754230021</v>
      </c>
      <c r="E414" t="n">
        <v>3</v>
      </c>
      <c r="F414" t="n">
        <v>4</v>
      </c>
      <c r="G414" t="n">
        <v>4</v>
      </c>
      <c r="J414" t="inlineStr">
        <is>
          <t>Moda</t>
        </is>
      </c>
      <c r="K414" t="n">
        <v>4</v>
      </c>
      <c r="L414" t="n">
        <v>3.438</v>
      </c>
      <c r="M414" t="n">
        <v>1</v>
      </c>
      <c r="N414" t="inlineStr">
        <is>
          <t>train</t>
        </is>
      </c>
      <c r="O414">
        <f>HYPERLINK("4\1\marker_481_962710.png", "Ver Imagen")</f>
        <v/>
      </c>
      <c r="P414">
        <f>HYPERLINK("SE\A-5052\A-5052__404.png", "Ver Imagen")</f>
        <v/>
      </c>
    </row>
    <row r="415">
      <c r="A415" t="n">
        <v>3632</v>
      </c>
      <c r="B415" t="inlineStr">
        <is>
          <t>A-490__3</t>
        </is>
      </c>
      <c r="C415" t="n">
        <v>37.4472647652</v>
      </c>
      <c r="D415" t="n">
        <v>-7.1269836869</v>
      </c>
      <c r="E415" t="n">
        <v>4</v>
      </c>
      <c r="F415" t="n">
        <v>5</v>
      </c>
      <c r="G415" t="n">
        <v>4</v>
      </c>
      <c r="J415" t="inlineStr">
        <is>
          <t>Moda</t>
        </is>
      </c>
      <c r="K415" t="n">
        <v>4</v>
      </c>
      <c r="L415" t="n">
        <v>3.111</v>
      </c>
      <c r="M415" t="n">
        <v>1</v>
      </c>
      <c r="N415" t="inlineStr">
        <is>
          <t>train</t>
        </is>
      </c>
      <c r="O415">
        <f>HYPERLINK("4\1\marker_163_817296.png", "Ver Imagen")</f>
        <v/>
      </c>
      <c r="P415">
        <f>HYPERLINK("NE\A-490\A-490__3.png", "Ver Imagen")</f>
        <v/>
      </c>
    </row>
    <row r="416">
      <c r="A416" t="n">
        <v>3636</v>
      </c>
      <c r="B416" t="inlineStr">
        <is>
          <t>A-490__15</t>
        </is>
      </c>
      <c r="C416" t="n">
        <v>37.4470435673</v>
      </c>
      <c r="D416" t="n">
        <v>-7.1300083677</v>
      </c>
      <c r="E416" t="n">
        <v>4</v>
      </c>
      <c r="F416" t="n">
        <v>5</v>
      </c>
      <c r="G416" t="n">
        <v>4</v>
      </c>
      <c r="J416" t="inlineStr">
        <is>
          <t>Moda</t>
        </is>
      </c>
      <c r="K416" t="n">
        <v>4</v>
      </c>
      <c r="L416" t="n">
        <v>2.897</v>
      </c>
      <c r="M416" t="n">
        <v>1</v>
      </c>
      <c r="N416" t="inlineStr">
        <is>
          <t>test</t>
        </is>
      </c>
      <c r="O416">
        <f>HYPERLINK("4\1\marker_466_728126.png", "Ver Imagen")</f>
        <v/>
      </c>
      <c r="P416">
        <f>HYPERLINK("NE\A-490\A-490__15.png", "Ver Imagen")</f>
        <v/>
      </c>
    </row>
    <row r="417">
      <c r="A417" t="n">
        <v>3645</v>
      </c>
      <c r="B417" t="inlineStr">
        <is>
          <t>A-490__171</t>
        </is>
      </c>
      <c r="C417" t="n">
        <v>37.4556673027</v>
      </c>
      <c r="D417" t="n">
        <v>-7.1663911521</v>
      </c>
      <c r="E417" t="n">
        <v>3</v>
      </c>
      <c r="F417" t="n">
        <v>4</v>
      </c>
      <c r="G417" t="n">
        <v>4</v>
      </c>
      <c r="J417" t="inlineStr">
        <is>
          <t>Moda</t>
        </is>
      </c>
      <c r="K417" t="n">
        <v>4</v>
      </c>
      <c r="L417" t="n">
        <v>3.268</v>
      </c>
      <c r="M417" t="n">
        <v>1</v>
      </c>
      <c r="N417" t="inlineStr">
        <is>
          <t>test</t>
        </is>
      </c>
      <c r="O417">
        <f>HYPERLINK("4\1\marker_511_741501.png", "Ver Imagen")</f>
        <v/>
      </c>
      <c r="P417">
        <f>HYPERLINK("NE\A-490\A-490__171.png", "Ver Imagen")</f>
        <v/>
      </c>
    </row>
    <row r="418">
      <c r="A418" t="n">
        <v>3649</v>
      </c>
      <c r="B418" t="inlineStr">
        <is>
          <t>A-490__237</t>
        </is>
      </c>
      <c r="C418" t="n">
        <v>37.4643504212</v>
      </c>
      <c r="D418" t="n">
        <v>-7.17916923168</v>
      </c>
      <c r="E418" t="n">
        <v>4</v>
      </c>
      <c r="F418" t="n">
        <v>4</v>
      </c>
      <c r="G418" t="n">
        <v>5</v>
      </c>
      <c r="J418" t="inlineStr">
        <is>
          <t>Moda</t>
        </is>
      </c>
      <c r="K418" t="n">
        <v>4</v>
      </c>
      <c r="L418" t="n">
        <v>3.405</v>
      </c>
      <c r="M418" t="n">
        <v>1</v>
      </c>
      <c r="N418" t="inlineStr">
        <is>
          <t>train</t>
        </is>
      </c>
      <c r="O418">
        <f>HYPERLINK("4\1\marker_101_744049.png", "Ver Imagen")</f>
        <v/>
      </c>
      <c r="P418">
        <f>HYPERLINK("NE\A-490\A-490__237.png", "Ver Imagen")</f>
        <v/>
      </c>
    </row>
    <row r="419">
      <c r="A419" t="n">
        <v>3656</v>
      </c>
      <c r="B419" t="inlineStr">
        <is>
          <t>A-495R__40</t>
        </is>
      </c>
      <c r="C419" t="n">
        <v>37.4523688332</v>
      </c>
      <c r="D419" t="n">
        <v>-7.11172010097</v>
      </c>
      <c r="E419" t="n">
        <v>4</v>
      </c>
      <c r="F419" t="n">
        <v>5</v>
      </c>
      <c r="G419" t="n">
        <v>4</v>
      </c>
      <c r="J419" t="inlineStr">
        <is>
          <t>Moda</t>
        </is>
      </c>
      <c r="K419" t="n">
        <v>4</v>
      </c>
      <c r="L419" t="n">
        <v>3.477</v>
      </c>
      <c r="M419" t="n">
        <v>1</v>
      </c>
      <c r="N419" t="inlineStr">
        <is>
          <t>train</t>
        </is>
      </c>
      <c r="O419">
        <f>HYPERLINK("4\1\marker_280_936521.png", "Ver Imagen")</f>
        <v/>
      </c>
      <c r="P419">
        <f>HYPERLINK("NE\A-495R\A-495R__40.png", "Ver Imagen")</f>
        <v/>
      </c>
    </row>
    <row r="420">
      <c r="A420" t="n">
        <v>3657</v>
      </c>
      <c r="B420" t="inlineStr">
        <is>
          <t>A-492__14</t>
        </is>
      </c>
      <c r="C420" t="n">
        <v>37.2741768647</v>
      </c>
      <c r="D420" t="n">
        <v>-6.99130787766</v>
      </c>
      <c r="E420" t="n">
        <v>3</v>
      </c>
      <c r="F420" t="n">
        <v>4</v>
      </c>
      <c r="G420" t="n">
        <v>4</v>
      </c>
      <c r="J420" t="inlineStr">
        <is>
          <t>Moda</t>
        </is>
      </c>
      <c r="K420" t="n">
        <v>4</v>
      </c>
      <c r="L420" t="n">
        <v>2.825</v>
      </c>
      <c r="M420" t="n">
        <v>1</v>
      </c>
      <c r="N420" t="inlineStr">
        <is>
          <t>val</t>
        </is>
      </c>
      <c r="O420">
        <f>HYPERLINK("4\1\marker_339_821945.png", "Ver Imagen")</f>
        <v/>
      </c>
      <c r="P420">
        <f>HYPERLINK("SE\A-492\A-492__14.png", "Ver Imagen")</f>
        <v/>
      </c>
    </row>
    <row r="421">
      <c r="A421" t="n">
        <v>3662</v>
      </c>
      <c r="B421" t="inlineStr">
        <is>
          <t>A-492__69</t>
        </is>
      </c>
      <c r="C421" t="n">
        <v>37.2802713915</v>
      </c>
      <c r="D421" t="n">
        <v>-6.99999700258</v>
      </c>
      <c r="E421" t="n">
        <v>4</v>
      </c>
      <c r="F421" t="n">
        <v>3</v>
      </c>
      <c r="G421" t="n">
        <v>4</v>
      </c>
      <c r="J421" t="inlineStr">
        <is>
          <t>Moda</t>
        </is>
      </c>
      <c r="K421" t="n">
        <v>4</v>
      </c>
      <c r="L421" t="n">
        <v>3.261</v>
      </c>
      <c r="M421" t="n">
        <v>1</v>
      </c>
      <c r="N421" t="inlineStr">
        <is>
          <t>val</t>
        </is>
      </c>
      <c r="O421">
        <f>HYPERLINK("4\1\marker_342_823273.png", "Ver Imagen")</f>
        <v/>
      </c>
      <c r="P421">
        <f>HYPERLINK("SE\A-492\A-492__69.png", "Ver Imagen")</f>
        <v/>
      </c>
    </row>
    <row r="422">
      <c r="A422" t="n">
        <v>3683</v>
      </c>
      <c r="B422" t="inlineStr">
        <is>
          <t>A-5053__277</t>
        </is>
      </c>
      <c r="C422" t="n">
        <v>37.2701589667</v>
      </c>
      <c r="D422" t="n">
        <v>-7.13969102151</v>
      </c>
      <c r="E422" t="n">
        <v>4</v>
      </c>
      <c r="F422" t="n">
        <v>3</v>
      </c>
      <c r="G422" t="n">
        <v>4</v>
      </c>
      <c r="J422" t="inlineStr">
        <is>
          <t>Moda</t>
        </is>
      </c>
      <c r="K422" t="n">
        <v>4</v>
      </c>
      <c r="L422" t="n">
        <v>2.653</v>
      </c>
      <c r="M422" t="n">
        <v>1</v>
      </c>
      <c r="N422" t="inlineStr">
        <is>
          <t>val</t>
        </is>
      </c>
      <c r="O422">
        <f>HYPERLINK("4\1\marker_645_965087.png", "Ver Imagen")</f>
        <v/>
      </c>
      <c r="P422">
        <f>HYPERLINK("SO\A-5053\A-5053__277.png", "Ver Imagen")</f>
        <v/>
      </c>
    </row>
    <row r="423">
      <c r="A423" t="n">
        <v>3685</v>
      </c>
      <c r="B423" t="inlineStr">
        <is>
          <t>A-5053__267</t>
        </is>
      </c>
      <c r="C423" t="n">
        <v>37.2687942341</v>
      </c>
      <c r="D423" t="n">
        <v>-7.13794240552</v>
      </c>
      <c r="E423" t="n">
        <v>4</v>
      </c>
      <c r="F423" t="n">
        <v>3</v>
      </c>
      <c r="G423" t="n">
        <v>4</v>
      </c>
      <c r="J423" t="inlineStr">
        <is>
          <t>Moda</t>
        </is>
      </c>
      <c r="K423" t="n">
        <v>4</v>
      </c>
      <c r="L423" t="n">
        <v>3.235</v>
      </c>
      <c r="M423" t="n">
        <v>1</v>
      </c>
      <c r="N423" t="inlineStr">
        <is>
          <t>test</t>
        </is>
      </c>
      <c r="O423">
        <f>HYPERLINK("4\1\marker_953_965173.png", "Ver Imagen")</f>
        <v/>
      </c>
      <c r="P423">
        <f>HYPERLINK("SO\A-5053\A-5053__267.png", "Ver Imagen")</f>
        <v/>
      </c>
    </row>
    <row r="424">
      <c r="A424" t="n">
        <v>3686</v>
      </c>
      <c r="B424" t="inlineStr">
        <is>
          <t>A-5053__266</t>
        </is>
      </c>
      <c r="C424" t="n">
        <v>37.2687178733</v>
      </c>
      <c r="D424" t="n">
        <v>-7.13768796822</v>
      </c>
      <c r="E424" t="n">
        <v>5</v>
      </c>
      <c r="F424" t="n">
        <v>4</v>
      </c>
      <c r="G424" t="n">
        <v>4</v>
      </c>
      <c r="J424" t="inlineStr">
        <is>
          <t>Moda</t>
        </is>
      </c>
      <c r="K424" t="n">
        <v>4</v>
      </c>
      <c r="L424" t="n">
        <v>2.994</v>
      </c>
      <c r="M424" t="n">
        <v>1</v>
      </c>
      <c r="N424" t="inlineStr">
        <is>
          <t>val</t>
        </is>
      </c>
      <c r="O424">
        <f>HYPERLINK("4\1\marker_724_965182.png", "Ver Imagen")</f>
        <v/>
      </c>
      <c r="P424">
        <f>HYPERLINK("SO\A-5053\A-5053__266.png", "Ver Imagen")</f>
        <v/>
      </c>
    </row>
    <row r="425">
      <c r="A425" t="n">
        <v>3698</v>
      </c>
      <c r="B425" t="inlineStr">
        <is>
          <t>A-5058__169</t>
        </is>
      </c>
      <c r="C425" t="n">
        <v>37.2338479038</v>
      </c>
      <c r="D425" t="n">
        <v>-7.06605329536</v>
      </c>
      <c r="E425" t="n">
        <v>4</v>
      </c>
      <c r="F425" t="n">
        <v>3</v>
      </c>
      <c r="G425" t="n">
        <v>4</v>
      </c>
      <c r="J425" t="inlineStr">
        <is>
          <t>Moda</t>
        </is>
      </c>
      <c r="K425" t="n">
        <v>4</v>
      </c>
      <c r="L425" t="n">
        <v>2.99</v>
      </c>
      <c r="M425" t="n">
        <v>1</v>
      </c>
      <c r="N425" t="inlineStr">
        <is>
          <t>test</t>
        </is>
      </c>
      <c r="O425">
        <f>HYPERLINK("4\1\marker_790_382375.png", "Ver Imagen")</f>
        <v/>
      </c>
      <c r="P425">
        <f>HYPERLINK("SE\A-5058\A-5058__169.png", "Ver Imagen")</f>
        <v/>
      </c>
    </row>
    <row r="426">
      <c r="A426" t="n">
        <v>3701</v>
      </c>
      <c r="B426" t="inlineStr">
        <is>
          <t>A-5058__172</t>
        </is>
      </c>
      <c r="C426" t="n">
        <v>37.2338777619</v>
      </c>
      <c r="D426" t="n">
        <v>-7.0666647479</v>
      </c>
      <c r="E426" t="n">
        <v>4</v>
      </c>
      <c r="F426" t="n">
        <v>3</v>
      </c>
      <c r="G426" t="n">
        <v>4</v>
      </c>
      <c r="J426" t="inlineStr">
        <is>
          <t>Moda</t>
        </is>
      </c>
      <c r="K426" t="n">
        <v>4</v>
      </c>
      <c r="L426" t="n">
        <v>2.811</v>
      </c>
      <c r="M426" t="n">
        <v>1</v>
      </c>
      <c r="N426" t="inlineStr">
        <is>
          <t>val</t>
        </is>
      </c>
      <c r="O426">
        <f>HYPERLINK("4\1\marker_441_382414.png", "Ver Imagen")</f>
        <v/>
      </c>
      <c r="P426">
        <f>HYPERLINK("SE\A-5058\A-5058__172.png", "Ver Imagen")</f>
        <v/>
      </c>
    </row>
    <row r="427">
      <c r="A427" t="n">
        <v>3702</v>
      </c>
      <c r="B427" t="inlineStr">
        <is>
          <t>A-5058__200</t>
        </is>
      </c>
      <c r="C427" t="n">
        <v>37.2351595584</v>
      </c>
      <c r="D427" t="n">
        <v>-7.07329642498</v>
      </c>
      <c r="E427" t="n">
        <v>4</v>
      </c>
      <c r="F427" t="n">
        <v>3</v>
      </c>
      <c r="G427" t="n">
        <v>4</v>
      </c>
      <c r="J427" t="inlineStr">
        <is>
          <t>Moda</t>
        </is>
      </c>
      <c r="K427" t="n">
        <v>4</v>
      </c>
      <c r="L427" t="n">
        <v>2.812</v>
      </c>
      <c r="M427" t="n">
        <v>1</v>
      </c>
      <c r="N427" t="inlineStr">
        <is>
          <t>test</t>
        </is>
      </c>
      <c r="O427">
        <f>HYPERLINK("4\1\marker_661_382893.png", "Ver Imagen")</f>
        <v/>
      </c>
      <c r="P427">
        <f>HYPERLINK("SE\A-5058\A-5058__200.png", "Ver Imagen")</f>
        <v/>
      </c>
    </row>
    <row r="428">
      <c r="A428" t="n">
        <v>3703</v>
      </c>
      <c r="B428" t="inlineStr">
        <is>
          <t>A-5058__205</t>
        </is>
      </c>
      <c r="C428" t="n">
        <v>37.235759551</v>
      </c>
      <c r="D428" t="n">
        <v>-7.07437519135</v>
      </c>
      <c r="E428" t="n">
        <v>4</v>
      </c>
      <c r="F428" t="n">
        <v>3</v>
      </c>
      <c r="G428" t="n">
        <v>4</v>
      </c>
      <c r="J428" t="inlineStr">
        <is>
          <t>Moda</t>
        </is>
      </c>
      <c r="K428" t="n">
        <v>4</v>
      </c>
      <c r="L428" t="n">
        <v>2.784</v>
      </c>
      <c r="M428" t="n">
        <v>1</v>
      </c>
      <c r="N428" t="inlineStr">
        <is>
          <t>val</t>
        </is>
      </c>
      <c r="O428">
        <f>HYPERLINK("4\1\marker_136_382951.png", "Ver Imagen")</f>
        <v/>
      </c>
      <c r="P428">
        <f>HYPERLINK("SE\A-5058\A-5058__205.png", "Ver Imagen")</f>
        <v/>
      </c>
    </row>
    <row r="429">
      <c r="A429" t="n">
        <v>3703</v>
      </c>
      <c r="B429" t="inlineStr">
        <is>
          <t>A-5058__205</t>
        </is>
      </c>
      <c r="C429" t="n">
        <v>37.235759551</v>
      </c>
      <c r="D429" t="n">
        <v>-7.07437519135</v>
      </c>
      <c r="E429" t="n">
        <v>4</v>
      </c>
      <c r="F429" t="n">
        <v>3</v>
      </c>
      <c r="G429" t="n">
        <v>4</v>
      </c>
      <c r="J429" t="inlineStr">
        <is>
          <t>Moda</t>
        </is>
      </c>
      <c r="K429" t="n">
        <v>4</v>
      </c>
      <c r="L429" t="n">
        <v>3.399</v>
      </c>
      <c r="M429" t="n">
        <v>1</v>
      </c>
      <c r="N429" t="inlineStr">
        <is>
          <t>val</t>
        </is>
      </c>
      <c r="O429">
        <f>HYPERLINK("4\1\marker_136_382951.png", "Ver Imagen")</f>
        <v/>
      </c>
      <c r="P429">
        <f>HYPERLINK("SO\A-5058\A-5058__205.png", "Ver Imagen")</f>
        <v/>
      </c>
    </row>
    <row r="430">
      <c r="A430" t="n">
        <v>3705</v>
      </c>
      <c r="B430" t="inlineStr">
        <is>
          <t>A-5058__216</t>
        </is>
      </c>
      <c r="C430" t="n">
        <v>37.2370287539</v>
      </c>
      <c r="D430" t="n">
        <v>-7.07664457148</v>
      </c>
      <c r="E430" t="n">
        <v>4</v>
      </c>
      <c r="F430" t="n">
        <v>3</v>
      </c>
      <c r="G430" t="n">
        <v>4</v>
      </c>
      <c r="J430" t="inlineStr">
        <is>
          <t>Moda</t>
        </is>
      </c>
      <c r="K430" t="n">
        <v>4</v>
      </c>
      <c r="L430" t="n">
        <v>2.809</v>
      </c>
      <c r="M430" t="n">
        <v>1</v>
      </c>
      <c r="N430" t="inlineStr">
        <is>
          <t>test</t>
        </is>
      </c>
      <c r="O430">
        <f>HYPERLINK("4\1\marker_305_383080.png", "Ver Imagen")</f>
        <v/>
      </c>
      <c r="P430">
        <f>HYPERLINK("SE\A-5058\A-5058__216.png", "Ver Imagen")</f>
        <v/>
      </c>
    </row>
    <row r="431">
      <c r="A431" t="n">
        <v>3713</v>
      </c>
      <c r="B431" t="inlineStr">
        <is>
          <t>A-5058__286</t>
        </is>
      </c>
      <c r="C431" t="n">
        <v>37.2446994702</v>
      </c>
      <c r="D431" t="n">
        <v>-7.09135281075</v>
      </c>
      <c r="E431" t="n">
        <v>4</v>
      </c>
      <c r="F431" t="n">
        <v>3</v>
      </c>
      <c r="G431" t="n">
        <v>4</v>
      </c>
      <c r="J431" t="inlineStr">
        <is>
          <t>Moda</t>
        </is>
      </c>
      <c r="K431" t="n">
        <v>4</v>
      </c>
      <c r="L431" t="n">
        <v>3.39</v>
      </c>
      <c r="M431" t="n">
        <v>1</v>
      </c>
      <c r="N431" t="inlineStr">
        <is>
          <t>train</t>
        </is>
      </c>
      <c r="O431">
        <f>HYPERLINK("4\1\marker_343_384094.png", "Ver Imagen")</f>
        <v/>
      </c>
      <c r="P431">
        <f>HYPERLINK("SE\A-5058\A-5058__286.png", "Ver Imagen")</f>
        <v/>
      </c>
    </row>
    <row r="432">
      <c r="A432" t="n">
        <v>3713</v>
      </c>
      <c r="B432" t="inlineStr">
        <is>
          <t>A-5058__286</t>
        </is>
      </c>
      <c r="C432" t="n">
        <v>37.2446994702</v>
      </c>
      <c r="D432" t="n">
        <v>-7.09135281075</v>
      </c>
      <c r="E432" t="n">
        <v>4</v>
      </c>
      <c r="F432" t="n">
        <v>3</v>
      </c>
      <c r="G432" t="n">
        <v>4</v>
      </c>
      <c r="J432" t="inlineStr">
        <is>
          <t>Moda</t>
        </is>
      </c>
      <c r="K432" t="n">
        <v>4</v>
      </c>
      <c r="L432" t="n">
        <v>3.354</v>
      </c>
      <c r="M432" t="n">
        <v>1</v>
      </c>
      <c r="N432" t="inlineStr">
        <is>
          <t>train</t>
        </is>
      </c>
      <c r="O432">
        <f>HYPERLINK("4\1\marker_343_384094.png", "Ver Imagen")</f>
        <v/>
      </c>
      <c r="P432">
        <f>HYPERLINK("SO\A-5058\A-5058__286.png", "Ver Imagen")</f>
        <v/>
      </c>
    </row>
    <row r="433">
      <c r="A433" t="n">
        <v>3714</v>
      </c>
      <c r="B433" t="inlineStr">
        <is>
          <t>A-5058__291</t>
        </is>
      </c>
      <c r="C433" t="n">
        <v>37.2451808787</v>
      </c>
      <c r="D433" t="n">
        <v>-7.09246419013</v>
      </c>
      <c r="E433" t="n">
        <v>4</v>
      </c>
      <c r="F433" t="n">
        <v>3</v>
      </c>
      <c r="G433" t="n">
        <v>4</v>
      </c>
      <c r="J433" t="inlineStr">
        <is>
          <t>Moda</t>
        </is>
      </c>
      <c r="K433" t="n">
        <v>4</v>
      </c>
      <c r="L433" t="n">
        <v>3.49</v>
      </c>
      <c r="M433" t="n">
        <v>1</v>
      </c>
      <c r="N433" t="inlineStr">
        <is>
          <t>train</t>
        </is>
      </c>
      <c r="O433">
        <f>HYPERLINK("4\1\marker_579_384159.png", "Ver Imagen")</f>
        <v/>
      </c>
      <c r="P433">
        <f>HYPERLINK("SO\A-5058\A-5058__291.png", "Ver Imagen")</f>
        <v/>
      </c>
    </row>
    <row r="434">
      <c r="A434" t="n">
        <v>3715</v>
      </c>
      <c r="B434" t="inlineStr">
        <is>
          <t>A-5058__296</t>
        </is>
      </c>
      <c r="C434" t="n">
        <v>37.2454067041</v>
      </c>
      <c r="D434" t="n">
        <v>-7.09370971925</v>
      </c>
      <c r="E434" t="n">
        <v>4</v>
      </c>
      <c r="F434" t="n">
        <v>3</v>
      </c>
      <c r="G434" t="n">
        <v>4</v>
      </c>
      <c r="J434" t="inlineStr">
        <is>
          <t>Moda</t>
        </is>
      </c>
      <c r="K434" t="n">
        <v>4</v>
      </c>
      <c r="L434" t="n">
        <v>3.328</v>
      </c>
      <c r="M434" t="n">
        <v>1</v>
      </c>
      <c r="N434" t="inlineStr">
        <is>
          <t>test</t>
        </is>
      </c>
      <c r="O434">
        <f>HYPERLINK("4\1\marker_916_384224.png", "Ver Imagen")</f>
        <v/>
      </c>
      <c r="P434">
        <f>HYPERLINK("SE\A-5058\A-5058__296.png", "Ver Imagen")</f>
        <v/>
      </c>
    </row>
    <row r="435">
      <c r="A435" t="n">
        <v>3716</v>
      </c>
      <c r="B435" t="inlineStr">
        <is>
          <t>A-5058__298</t>
        </is>
      </c>
      <c r="C435" t="n">
        <v>37.2454496735</v>
      </c>
      <c r="D435" t="n">
        <v>-7.09423117543</v>
      </c>
      <c r="E435" t="n">
        <v>4</v>
      </c>
      <c r="F435" t="n">
        <v>3</v>
      </c>
      <c r="G435" t="n">
        <v>4</v>
      </c>
      <c r="J435" t="inlineStr">
        <is>
          <t>Moda</t>
        </is>
      </c>
      <c r="K435" t="n">
        <v>4</v>
      </c>
      <c r="L435" t="n">
        <v>2.64</v>
      </c>
      <c r="M435" t="n">
        <v>1</v>
      </c>
      <c r="N435" t="inlineStr">
        <is>
          <t>val</t>
        </is>
      </c>
      <c r="O435">
        <f>HYPERLINK("4\1\marker_518_384247.png", "Ver Imagen")</f>
        <v/>
      </c>
      <c r="P435">
        <f>HYPERLINK("SE\A-5058\A-5058__298.png", "Ver Imagen")</f>
        <v/>
      </c>
    </row>
    <row r="436">
      <c r="A436" t="n">
        <v>3718</v>
      </c>
      <c r="B436" t="inlineStr">
        <is>
          <t>A-5058__317</t>
        </is>
      </c>
      <c r="C436" t="n">
        <v>37.2462844842</v>
      </c>
      <c r="D436" t="n">
        <v>-7.09883330519</v>
      </c>
      <c r="E436" t="n">
        <v>4</v>
      </c>
      <c r="F436" t="n">
        <v>3</v>
      </c>
      <c r="G436" t="n">
        <v>4</v>
      </c>
      <c r="J436" t="inlineStr">
        <is>
          <t>Moda</t>
        </is>
      </c>
      <c r="K436" t="n">
        <v>4</v>
      </c>
      <c r="L436" t="n">
        <v>3.442</v>
      </c>
      <c r="M436" t="n">
        <v>1</v>
      </c>
      <c r="N436" t="inlineStr">
        <is>
          <t>train</t>
        </is>
      </c>
      <c r="O436">
        <f>HYPERLINK("4\1\marker_965_384468.png", "Ver Imagen")</f>
        <v/>
      </c>
      <c r="P436">
        <f>HYPERLINK("SO\A-5058\A-5058__317.png", "Ver Imagen")</f>
        <v/>
      </c>
    </row>
    <row r="437">
      <c r="A437" t="n">
        <v>3719</v>
      </c>
      <c r="B437" t="inlineStr">
        <is>
          <t>A-5058__321</t>
        </is>
      </c>
      <c r="C437" t="n">
        <v>37.2467951901</v>
      </c>
      <c r="D437" t="n">
        <v>-7.09963555975</v>
      </c>
      <c r="E437" t="n">
        <v>4</v>
      </c>
      <c r="F437" t="n">
        <v>3</v>
      </c>
      <c r="G437" t="n">
        <v>4</v>
      </c>
      <c r="J437" t="inlineStr">
        <is>
          <t>Moda</t>
        </is>
      </c>
      <c r="K437" t="n">
        <v>4</v>
      </c>
      <c r="L437" t="n">
        <v>3.242</v>
      </c>
      <c r="M437" t="n">
        <v>1</v>
      </c>
      <c r="N437" t="inlineStr">
        <is>
          <t>train</t>
        </is>
      </c>
      <c r="O437">
        <f>HYPERLINK("4\1\marker_892_384511.png", "Ver Imagen")</f>
        <v/>
      </c>
      <c r="P437">
        <f>HYPERLINK("SO\A-5058\A-5058__321.png", "Ver Imagen")</f>
        <v/>
      </c>
    </row>
    <row r="438">
      <c r="A438" t="n">
        <v>3721</v>
      </c>
      <c r="B438" t="inlineStr">
        <is>
          <t>A-5058__333</t>
        </is>
      </c>
      <c r="C438" t="n">
        <v>37.2484226202</v>
      </c>
      <c r="D438" t="n">
        <v>-7.10188068823</v>
      </c>
      <c r="E438" t="n">
        <v>4</v>
      </c>
      <c r="F438" t="n">
        <v>3</v>
      </c>
      <c r="G438" t="n">
        <v>4</v>
      </c>
      <c r="J438" t="inlineStr">
        <is>
          <t>Moda</t>
        </is>
      </c>
      <c r="K438" t="n">
        <v>4</v>
      </c>
      <c r="L438" t="n">
        <v>3.331</v>
      </c>
      <c r="M438" t="n">
        <v>1</v>
      </c>
      <c r="N438" t="inlineStr">
        <is>
          <t>test</t>
        </is>
      </c>
      <c r="O438">
        <f>HYPERLINK("4\1\marker_630_384667.png", "Ver Imagen")</f>
        <v/>
      </c>
      <c r="P438">
        <f>HYPERLINK("SE\A-5058\A-5058__333.png", "Ver Imagen")</f>
        <v/>
      </c>
    </row>
    <row r="439">
      <c r="A439" t="n">
        <v>3722</v>
      </c>
      <c r="B439" t="inlineStr">
        <is>
          <t>A-5058__335</t>
        </is>
      </c>
      <c r="C439" t="n">
        <v>37.2487868944</v>
      </c>
      <c r="D439" t="n">
        <v>-7.10212826679</v>
      </c>
      <c r="E439" t="n">
        <v>4</v>
      </c>
      <c r="F439" t="n">
        <v>3</v>
      </c>
      <c r="G439" t="n">
        <v>4</v>
      </c>
      <c r="J439" t="inlineStr">
        <is>
          <t>Moda</t>
        </is>
      </c>
      <c r="K439" t="n">
        <v>4</v>
      </c>
      <c r="L439" t="n">
        <v>3.358</v>
      </c>
      <c r="M439" t="n">
        <v>1</v>
      </c>
      <c r="N439" t="inlineStr">
        <is>
          <t>val</t>
        </is>
      </c>
      <c r="O439">
        <f>HYPERLINK("4\1\marker_294_384704.png", "Ver Imagen")</f>
        <v/>
      </c>
      <c r="P439">
        <f>HYPERLINK("SO\A-5058\A-5058__335.png", "Ver Imagen")</f>
        <v/>
      </c>
    </row>
    <row r="440">
      <c r="A440" t="n">
        <v>3725</v>
      </c>
      <c r="B440" t="inlineStr">
        <is>
          <t>A-495_1__170</t>
        </is>
      </c>
      <c r="C440" t="n">
        <v>37.4803324241</v>
      </c>
      <c r="D440" t="n">
        <v>-7.12779180342</v>
      </c>
      <c r="E440" t="n">
        <v>4</v>
      </c>
      <c r="F440" t="n">
        <v>3</v>
      </c>
      <c r="G440" t="n">
        <v>4</v>
      </c>
      <c r="J440" t="inlineStr">
        <is>
          <t>Moda</t>
        </is>
      </c>
      <c r="K440" t="n">
        <v>4</v>
      </c>
      <c r="L440" t="n">
        <v>2.886</v>
      </c>
      <c r="M440" t="n">
        <v>1</v>
      </c>
      <c r="N440" t="inlineStr">
        <is>
          <t>val</t>
        </is>
      </c>
      <c r="O440">
        <f>HYPERLINK("4\1\marker_357_383986.png", "Ver Imagen")</f>
        <v/>
      </c>
      <c r="P440">
        <f>HYPERLINK("NE\A-495_1\A-495_1__170.png", "Ver Imagen")</f>
        <v/>
      </c>
    </row>
    <row r="441">
      <c r="A441" t="n">
        <v>3738</v>
      </c>
      <c r="B441" t="inlineStr">
        <is>
          <t>A-495_1__121</t>
        </is>
      </c>
      <c r="C441" t="n">
        <v>37.4712862727</v>
      </c>
      <c r="D441" t="n">
        <v>-7.12563804834</v>
      </c>
      <c r="E441" t="n">
        <v>4</v>
      </c>
      <c r="F441" t="n">
        <v>3</v>
      </c>
      <c r="G441" t="n">
        <v>4</v>
      </c>
      <c r="J441" t="inlineStr">
        <is>
          <t>Moda</t>
        </is>
      </c>
      <c r="K441" t="n">
        <v>4</v>
      </c>
      <c r="L441" t="n">
        <v>3.018</v>
      </c>
      <c r="M441" t="n">
        <v>1</v>
      </c>
      <c r="N441" t="inlineStr">
        <is>
          <t>test</t>
        </is>
      </c>
      <c r="O441">
        <f>HYPERLINK("4\1\marker_635_384560.png", "Ver Imagen")</f>
        <v/>
      </c>
      <c r="P441">
        <f>HYPERLINK("NE\A-495_1\A-495_1__121.png", "Ver Imagen")</f>
        <v/>
      </c>
    </row>
    <row r="442">
      <c r="A442" t="n">
        <v>3750</v>
      </c>
      <c r="B442" t="inlineStr">
        <is>
          <t>A-497_2C__78</t>
        </is>
      </c>
      <c r="C442" t="n">
        <v>37.2692867241</v>
      </c>
      <c r="D442" t="n">
        <v>-6.97653117972</v>
      </c>
      <c r="E442" t="n">
        <v>4</v>
      </c>
      <c r="F442" t="n">
        <v>3</v>
      </c>
      <c r="G442" t="n">
        <v>4</v>
      </c>
      <c r="J442" t="inlineStr">
        <is>
          <t>Moda</t>
        </is>
      </c>
      <c r="K442" t="n">
        <v>4</v>
      </c>
      <c r="L442" t="n">
        <v>3.406</v>
      </c>
      <c r="M442" t="n">
        <v>1</v>
      </c>
      <c r="N442" t="inlineStr">
        <is>
          <t>train</t>
        </is>
      </c>
      <c r="O442">
        <f>HYPERLINK("4\1\marker_727_655108.png", "Ver Imagen")</f>
        <v/>
      </c>
      <c r="P442">
        <f>HYPERLINK("SE\A-497_2C\A-497_2C__78.png", "Ver Imagen")</f>
        <v/>
      </c>
    </row>
    <row r="443">
      <c r="A443" t="n">
        <v>3753</v>
      </c>
      <c r="B443" t="inlineStr">
        <is>
          <t>A-497__723</t>
        </is>
      </c>
      <c r="C443" t="n">
        <v>37.1923955694</v>
      </c>
      <c r="D443" t="n">
        <v>-6.97749210608</v>
      </c>
      <c r="E443" t="n">
        <v>4</v>
      </c>
      <c r="F443" t="n">
        <v>3</v>
      </c>
      <c r="G443" t="n">
        <v>4</v>
      </c>
      <c r="J443" t="inlineStr">
        <is>
          <t>Moda</t>
        </is>
      </c>
      <c r="K443" t="n">
        <v>4</v>
      </c>
      <c r="L443" t="n">
        <v>2.976</v>
      </c>
      <c r="M443" t="n">
        <v>1</v>
      </c>
      <c r="N443" t="inlineStr">
        <is>
          <t>val</t>
        </is>
      </c>
      <c r="O443">
        <f>HYPERLINK("4\1\marker_455_369034.png", "Ver Imagen")</f>
        <v/>
      </c>
      <c r="P443">
        <f>HYPERLINK("SE\A-497\A-497__723.png", "Ver Imagen")</f>
        <v/>
      </c>
    </row>
    <row r="444">
      <c r="A444" t="n">
        <v>3756</v>
      </c>
      <c r="B444" t="inlineStr">
        <is>
          <t>A-497__596</t>
        </is>
      </c>
      <c r="C444" t="n">
        <v>37.203072258</v>
      </c>
      <c r="D444" t="n">
        <v>-7.00359437334</v>
      </c>
      <c r="E444" t="n">
        <v>4</v>
      </c>
      <c r="F444" t="n">
        <v>3</v>
      </c>
      <c r="G444" t="n">
        <v>4</v>
      </c>
      <c r="J444" t="inlineStr">
        <is>
          <t>Moda</t>
        </is>
      </c>
      <c r="K444" t="n">
        <v>4</v>
      </c>
      <c r="L444" t="n">
        <v>3.001</v>
      </c>
      <c r="M444" t="n">
        <v>1</v>
      </c>
      <c r="N444" t="inlineStr">
        <is>
          <t>val</t>
        </is>
      </c>
      <c r="O444">
        <f>HYPERLINK("4\1\marker_928_371748.png", "Ver Imagen")</f>
        <v/>
      </c>
      <c r="P444">
        <f>HYPERLINK("SE\A-497\A-497__596.png", "Ver Imagen")</f>
        <v/>
      </c>
    </row>
    <row r="445">
      <c r="A445" t="n">
        <v>3763</v>
      </c>
      <c r="B445" t="inlineStr">
        <is>
          <t>A-497__541</t>
        </is>
      </c>
      <c r="C445" t="n">
        <v>37.2053599259</v>
      </c>
      <c r="D445" t="n">
        <v>-7.01724486874</v>
      </c>
      <c r="E445" t="n">
        <v>4</v>
      </c>
      <c r="F445" t="n">
        <v>3</v>
      </c>
      <c r="G445" t="n">
        <v>4</v>
      </c>
      <c r="J445" t="inlineStr">
        <is>
          <t>Moda</t>
        </is>
      </c>
      <c r="K445" t="n">
        <v>4</v>
      </c>
      <c r="L445" t="n">
        <v>2.557</v>
      </c>
      <c r="M445" t="n">
        <v>1</v>
      </c>
      <c r="N445" t="inlineStr">
        <is>
          <t>val</t>
        </is>
      </c>
      <c r="O445">
        <f>HYPERLINK("4\1\marker_611_372366.png", "Ver Imagen")</f>
        <v/>
      </c>
      <c r="P445">
        <f>HYPERLINK("SE\A-497\A-497__541.png", "Ver Imagen")</f>
        <v/>
      </c>
    </row>
    <row r="446">
      <c r="A446" t="n">
        <v>3773</v>
      </c>
      <c r="B446" t="inlineStr">
        <is>
          <t>A-497_2C__460</t>
        </is>
      </c>
      <c r="C446" t="n">
        <v>37.2181827526</v>
      </c>
      <c r="D446" t="n">
        <v>-7.02304033131</v>
      </c>
      <c r="E446" t="n">
        <v>4</v>
      </c>
      <c r="F446" t="n">
        <v>3</v>
      </c>
      <c r="G446" t="n">
        <v>4</v>
      </c>
      <c r="J446" t="inlineStr">
        <is>
          <t>Moda</t>
        </is>
      </c>
      <c r="K446" t="n">
        <v>4</v>
      </c>
      <c r="L446" t="n">
        <v>2.726</v>
      </c>
      <c r="M446" t="n">
        <v>1</v>
      </c>
      <c r="N446" t="inlineStr">
        <is>
          <t>val</t>
        </is>
      </c>
      <c r="O446">
        <f>HYPERLINK("4\1\marker_825_363535.png", "Ver Imagen")</f>
        <v/>
      </c>
      <c r="P446">
        <f>HYPERLINK("SE\A-497_2C\A-497_2C__460.png", "Ver Imagen")</f>
        <v/>
      </c>
    </row>
    <row r="447">
      <c r="A447" t="n">
        <v>3782</v>
      </c>
      <c r="B447" t="inlineStr">
        <is>
          <t>A-497_2C__502</t>
        </is>
      </c>
      <c r="C447" t="n">
        <v>37.2097890244</v>
      </c>
      <c r="D447" t="n">
        <v>-7.0236374397</v>
      </c>
      <c r="E447" t="n">
        <v>4</v>
      </c>
      <c r="F447" t="n">
        <v>3</v>
      </c>
      <c r="G447" t="n">
        <v>4</v>
      </c>
      <c r="J447" t="inlineStr">
        <is>
          <t>Moda</t>
        </is>
      </c>
      <c r="K447" t="n">
        <v>4</v>
      </c>
      <c r="L447" t="n">
        <v>2.574</v>
      </c>
      <c r="M447" t="n">
        <v>1</v>
      </c>
      <c r="N447" t="inlineStr">
        <is>
          <t>val</t>
        </is>
      </c>
      <c r="O447">
        <f>HYPERLINK("4\1\marker_956_364082.png", "Ver Imagen")</f>
        <v/>
      </c>
      <c r="P447">
        <f>HYPERLINK("SE\A-497_2C\A-497_2C__502.png", "Ver Imagen")</f>
        <v/>
      </c>
    </row>
    <row r="448">
      <c r="A448" t="n">
        <v>3793</v>
      </c>
      <c r="B448" t="inlineStr">
        <is>
          <t>A-497__247</t>
        </is>
      </c>
      <c r="C448" t="n">
        <v>37.2599957855</v>
      </c>
      <c r="D448" t="n">
        <v>-7.01150907109</v>
      </c>
      <c r="E448" t="n">
        <v>4</v>
      </c>
      <c r="F448" t="n">
        <v>3</v>
      </c>
      <c r="G448" t="n">
        <v>4</v>
      </c>
      <c r="J448" t="inlineStr">
        <is>
          <t>Moda</t>
        </is>
      </c>
      <c r="K448" t="n">
        <v>4</v>
      </c>
      <c r="L448" t="n">
        <v>2.656</v>
      </c>
      <c r="M448" t="n">
        <v>1</v>
      </c>
      <c r="N448" t="inlineStr">
        <is>
          <t>test</t>
        </is>
      </c>
      <c r="O448">
        <f>HYPERLINK("4\1\marker_534_378812.png", "Ver Imagen")</f>
        <v/>
      </c>
      <c r="P448">
        <f>HYPERLINK("SE\A-497\A-497__247.png", "Ver Imagen")</f>
        <v/>
      </c>
    </row>
    <row r="449">
      <c r="A449" t="n">
        <v>3794</v>
      </c>
      <c r="B449" t="inlineStr">
        <is>
          <t>A-497__227</t>
        </is>
      </c>
      <c r="C449" t="n">
        <v>37.2630197448</v>
      </c>
      <c r="D449" t="n">
        <v>-7.00842203856</v>
      </c>
      <c r="E449" t="n">
        <v>4</v>
      </c>
      <c r="F449" t="n">
        <v>3</v>
      </c>
      <c r="G449" t="n">
        <v>4</v>
      </c>
      <c r="J449" t="inlineStr">
        <is>
          <t>Moda</t>
        </is>
      </c>
      <c r="K449" t="n">
        <v>4</v>
      </c>
      <c r="L449" t="n">
        <v>2.893</v>
      </c>
      <c r="M449" t="n">
        <v>1</v>
      </c>
      <c r="N449" t="inlineStr">
        <is>
          <t>test</t>
        </is>
      </c>
      <c r="O449">
        <f>HYPERLINK("4\1\marker_174_379070.png", "Ver Imagen")</f>
        <v/>
      </c>
      <c r="P449">
        <f>HYPERLINK("SE\A-497\A-497__227.png", "Ver Imagen")</f>
        <v/>
      </c>
    </row>
    <row r="450">
      <c r="A450" t="n">
        <v>3796</v>
      </c>
      <c r="B450" t="inlineStr">
        <is>
          <t>A-497__111</t>
        </is>
      </c>
      <c r="C450" t="n">
        <v>37.2710731592</v>
      </c>
      <c r="D450" t="n">
        <v>-6.98321022986</v>
      </c>
      <c r="E450" t="n">
        <v>4</v>
      </c>
      <c r="F450" t="n">
        <v>3</v>
      </c>
      <c r="G450" t="n">
        <v>4</v>
      </c>
      <c r="J450" t="inlineStr">
        <is>
          <t>Moda</t>
        </is>
      </c>
      <c r="K450" t="n">
        <v>4</v>
      </c>
      <c r="L450" t="n">
        <v>3.435</v>
      </c>
      <c r="M450" t="n">
        <v>1</v>
      </c>
      <c r="N450" t="inlineStr">
        <is>
          <t>test</t>
        </is>
      </c>
      <c r="O450">
        <f>HYPERLINK("4\1\marker_970_380714.png", "Ver Imagen")</f>
        <v/>
      </c>
      <c r="P450">
        <f>HYPERLINK("SE\A-497\A-497__111.png", "Ver Imagen")</f>
        <v/>
      </c>
    </row>
    <row r="451">
      <c r="A451" t="n">
        <v>3797</v>
      </c>
      <c r="B451" t="inlineStr">
        <is>
          <t>A-497__108</t>
        </is>
      </c>
      <c r="C451" t="n">
        <v>37.2708671831</v>
      </c>
      <c r="D451" t="n">
        <v>-6.98249115457</v>
      </c>
      <c r="E451" t="n">
        <v>4</v>
      </c>
      <c r="F451" t="n">
        <v>3</v>
      </c>
      <c r="G451" t="n">
        <v>4</v>
      </c>
      <c r="J451" t="inlineStr">
        <is>
          <t>Moda</t>
        </is>
      </c>
      <c r="K451" t="n">
        <v>4</v>
      </c>
      <c r="L451" t="n">
        <v>3.282</v>
      </c>
      <c r="M451" t="n">
        <v>1</v>
      </c>
      <c r="N451" t="inlineStr">
        <is>
          <t>test</t>
        </is>
      </c>
      <c r="O451">
        <f>HYPERLINK("4\1\marker_460_380747.png", "Ver Imagen")</f>
        <v/>
      </c>
      <c r="P451">
        <f>HYPERLINK("SE\A-497\A-497__108.png", "Ver Imagen")</f>
        <v/>
      </c>
    </row>
    <row r="452">
      <c r="A452" t="n">
        <v>3798</v>
      </c>
      <c r="B452" t="inlineStr">
        <is>
          <t>A-497__94</t>
        </is>
      </c>
      <c r="C452" t="n">
        <v>37.26989731</v>
      </c>
      <c r="D452" t="n">
        <v>-6.97910546889</v>
      </c>
      <c r="E452" t="n">
        <v>4</v>
      </c>
      <c r="F452" t="n">
        <v>3</v>
      </c>
      <c r="G452" t="n">
        <v>4</v>
      </c>
      <c r="J452" t="inlineStr">
        <is>
          <t>Moda</t>
        </is>
      </c>
      <c r="K452" t="n">
        <v>4</v>
      </c>
      <c r="L452" t="n">
        <v>3.48</v>
      </c>
      <c r="M452" t="n">
        <v>1</v>
      </c>
      <c r="N452" t="inlineStr">
        <is>
          <t>test</t>
        </is>
      </c>
      <c r="O452">
        <f>HYPERLINK("4\1\marker_734_380898.png", "Ver Imagen")</f>
        <v/>
      </c>
      <c r="P452">
        <f>HYPERLINK("SE\A-497\A-497__94.png", "Ver Imagen")</f>
        <v/>
      </c>
    </row>
    <row r="453">
      <c r="A453" t="n">
        <v>3812</v>
      </c>
      <c r="B453" t="inlineStr">
        <is>
          <t>A-497__77</t>
        </is>
      </c>
      <c r="C453" t="n">
        <v>37.2687896353</v>
      </c>
      <c r="D453" t="n">
        <v>-6.97501187966</v>
      </c>
      <c r="E453" t="n">
        <v>4</v>
      </c>
      <c r="F453" t="n">
        <v>4</v>
      </c>
      <c r="G453" t="n">
        <v>5</v>
      </c>
      <c r="J453" t="inlineStr">
        <is>
          <t>Moda</t>
        </is>
      </c>
      <c r="K453" t="n">
        <v>4</v>
      </c>
      <c r="L453" t="n">
        <v>3.361</v>
      </c>
      <c r="M453" t="n">
        <v>1</v>
      </c>
      <c r="N453" t="inlineStr">
        <is>
          <t>train</t>
        </is>
      </c>
      <c r="O453">
        <f>HYPERLINK("4\1\marker_799_937970.png", "Ver Imagen")</f>
        <v/>
      </c>
      <c r="P453">
        <f>HYPERLINK("SE\A-497\A-497__77.png", "Ver Imagen")</f>
        <v/>
      </c>
    </row>
    <row r="454">
      <c r="A454" t="n">
        <v>3819</v>
      </c>
      <c r="B454" t="inlineStr">
        <is>
          <t>A-492__21</t>
        </is>
      </c>
      <c r="C454" t="n">
        <v>37.2755935563</v>
      </c>
      <c r="D454" t="n">
        <v>-6.99112765106</v>
      </c>
      <c r="E454" t="n">
        <v>3</v>
      </c>
      <c r="F454" t="n">
        <v>4</v>
      </c>
      <c r="G454" t="n">
        <v>4</v>
      </c>
      <c r="J454" t="inlineStr">
        <is>
          <t>Moda</t>
        </is>
      </c>
      <c r="K454" t="n">
        <v>4</v>
      </c>
      <c r="L454" t="n">
        <v>3.218</v>
      </c>
      <c r="M454" t="n">
        <v>1</v>
      </c>
      <c r="N454" t="inlineStr">
        <is>
          <t>val</t>
        </is>
      </c>
      <c r="O454">
        <f>HYPERLINK("4\1\marker_424_822039.png", "Ver Imagen")</f>
        <v/>
      </c>
      <c r="P454">
        <f>HYPERLINK("SE\A-492\A-492__21.png", "Ver Imagen")</f>
        <v/>
      </c>
    </row>
    <row r="455">
      <c r="A455" t="n">
        <v>3824</v>
      </c>
      <c r="B455" t="inlineStr">
        <is>
          <t>A-492__460</t>
        </is>
      </c>
      <c r="C455" t="n">
        <v>37.3160920505</v>
      </c>
      <c r="D455" t="n">
        <v>-7.06917468918</v>
      </c>
      <c r="E455" t="n">
        <v>3</v>
      </c>
      <c r="F455" t="n">
        <v>4</v>
      </c>
      <c r="G455" t="n">
        <v>4</v>
      </c>
      <c r="J455" t="inlineStr">
        <is>
          <t>Moda</t>
        </is>
      </c>
      <c r="K455" t="n">
        <v>4</v>
      </c>
      <c r="L455" t="n">
        <v>2.955</v>
      </c>
      <c r="M455" t="n">
        <v>1</v>
      </c>
      <c r="N455" t="inlineStr">
        <is>
          <t>val</t>
        </is>
      </c>
      <c r="O455">
        <f>HYPERLINK("4\1\marker_995_839929.png", "Ver Imagen")</f>
        <v/>
      </c>
      <c r="P455">
        <f>HYPERLINK("SE\A-492\A-492__460.png", "Ver Imagen")</f>
        <v/>
      </c>
    </row>
    <row r="456">
      <c r="A456" t="n">
        <v>3825</v>
      </c>
      <c r="B456" t="inlineStr">
        <is>
          <t>A-495R__65</t>
        </is>
      </c>
      <c r="C456" t="n">
        <v>37.457163583</v>
      </c>
      <c r="D456" t="n">
        <v>-7.11396894629</v>
      </c>
      <c r="E456" t="n">
        <v>3</v>
      </c>
      <c r="F456" t="n">
        <v>4</v>
      </c>
      <c r="G456" t="n">
        <v>4</v>
      </c>
      <c r="J456" t="inlineStr">
        <is>
          <t>Moda</t>
        </is>
      </c>
      <c r="K456" t="n">
        <v>4</v>
      </c>
      <c r="L456" t="n">
        <v>4.612</v>
      </c>
      <c r="M456" t="n">
        <v>1</v>
      </c>
      <c r="O456">
        <f>HYPERLINK("4\1\marker_414_935386.png", "Ver Imagen")</f>
        <v/>
      </c>
      <c r="P456">
        <f>HYPERLINK("NE\A-495R\A-495R__65.png", "Ver Imagen")</f>
        <v/>
      </c>
    </row>
    <row r="457">
      <c r="A457" t="n">
        <v>3841</v>
      </c>
      <c r="B457" t="inlineStr">
        <is>
          <t>A-495__119</t>
        </is>
      </c>
      <c r="C457" t="n">
        <v>37.4354266087</v>
      </c>
      <c r="D457" t="n">
        <v>-7.0732497807</v>
      </c>
      <c r="E457" t="n">
        <v>4</v>
      </c>
      <c r="F457" t="n">
        <v>4</v>
      </c>
      <c r="G457" t="n">
        <v>5</v>
      </c>
      <c r="J457" t="inlineStr">
        <is>
          <t>Moda</t>
        </is>
      </c>
      <c r="K457" t="n">
        <v>4</v>
      </c>
      <c r="L457" t="n">
        <v>3.497</v>
      </c>
      <c r="M457" t="n">
        <v>1</v>
      </c>
      <c r="N457" t="inlineStr">
        <is>
          <t>train</t>
        </is>
      </c>
      <c r="O457">
        <f>HYPERLINK("4\1\marker_349_382358.png", "Ver Imagen")</f>
        <v/>
      </c>
      <c r="P457">
        <f>HYPERLINK("NE\A-495\A-495__119.png", "Ver Imagen")</f>
        <v/>
      </c>
    </row>
    <row r="458">
      <c r="A458" t="n">
        <v>3846</v>
      </c>
      <c r="B458" t="inlineStr">
        <is>
          <t>A-5058__338</t>
        </is>
      </c>
      <c r="C458" t="n">
        <v>37.2493200073</v>
      </c>
      <c r="D458" t="n">
        <v>-7.10243882414</v>
      </c>
      <c r="E458" t="n">
        <v>3</v>
      </c>
      <c r="F458" t="n">
        <v>4</v>
      </c>
      <c r="G458" t="n">
        <v>4</v>
      </c>
      <c r="J458" t="inlineStr">
        <is>
          <t>Moda</t>
        </is>
      </c>
      <c r="K458" t="n">
        <v>4</v>
      </c>
      <c r="L458" t="n">
        <v>3.094</v>
      </c>
      <c r="M458" t="n">
        <v>1</v>
      </c>
      <c r="N458" t="inlineStr">
        <is>
          <t>val</t>
        </is>
      </c>
      <c r="O458">
        <f>HYPERLINK("4\1\marker_735_384731.png", "Ver Imagen")</f>
        <v/>
      </c>
      <c r="P458">
        <f>HYPERLINK("SE\A-5058\A-5058__338.png", "Ver Imagen")</f>
        <v/>
      </c>
    </row>
    <row r="459">
      <c r="A459" t="n">
        <v>3847</v>
      </c>
      <c r="B459" t="inlineStr">
        <is>
          <t>A-5058__395</t>
        </is>
      </c>
      <c r="C459" t="n">
        <v>37.2549936497</v>
      </c>
      <c r="D459" t="n">
        <v>-7.11315857748</v>
      </c>
      <c r="E459" t="n">
        <v>3</v>
      </c>
      <c r="F459" t="n">
        <v>4</v>
      </c>
      <c r="G459" t="n">
        <v>4</v>
      </c>
      <c r="J459" t="inlineStr">
        <is>
          <t>Moda</t>
        </is>
      </c>
      <c r="K459" t="n">
        <v>4</v>
      </c>
      <c r="L459" t="n">
        <v>3.414</v>
      </c>
      <c r="M459" t="n">
        <v>1</v>
      </c>
      <c r="N459" t="inlineStr">
        <is>
          <t>val</t>
        </is>
      </c>
      <c r="O459">
        <f>HYPERLINK("4\1\marker_719_385369.png", "Ver Imagen")</f>
        <v/>
      </c>
      <c r="P459">
        <f>HYPERLINK("SO\A-5058\A-5058__395.png", "Ver Imagen")</f>
        <v/>
      </c>
    </row>
    <row r="460">
      <c r="A460" t="n">
        <v>3849</v>
      </c>
      <c r="B460" t="inlineStr">
        <is>
          <t>A-495__55</t>
        </is>
      </c>
      <c r="C460" t="n">
        <v>37.4400377526</v>
      </c>
      <c r="D460" t="n">
        <v>-7.08773395547</v>
      </c>
      <c r="E460" t="n">
        <v>4</v>
      </c>
      <c r="F460" t="n">
        <v>4</v>
      </c>
      <c r="G460" t="n">
        <v>3</v>
      </c>
      <c r="J460" t="inlineStr">
        <is>
          <t>Moda</t>
        </is>
      </c>
      <c r="K460" t="n">
        <v>4</v>
      </c>
      <c r="L460" t="n">
        <v>3.394</v>
      </c>
      <c r="M460" t="n">
        <v>1</v>
      </c>
      <c r="N460" t="inlineStr">
        <is>
          <t>train</t>
        </is>
      </c>
      <c r="O460">
        <f>HYPERLINK("4\1\marker_267_381661.png", "Ver Imagen")</f>
        <v/>
      </c>
      <c r="P460">
        <f>HYPERLINK("NE\A-495\A-495__55.png", "Ver Imagen")</f>
        <v/>
      </c>
    </row>
    <row r="461">
      <c r="A461" t="n">
        <v>3850</v>
      </c>
      <c r="B461" t="inlineStr">
        <is>
          <t>A-495_1__162</t>
        </is>
      </c>
      <c r="C461" t="n">
        <v>37.4787379415</v>
      </c>
      <c r="D461" t="n">
        <v>-7.12788493148</v>
      </c>
      <c r="E461" t="n">
        <v>4</v>
      </c>
      <c r="F461" t="n">
        <v>4</v>
      </c>
      <c r="G461" t="n">
        <v>3</v>
      </c>
      <c r="J461" t="inlineStr">
        <is>
          <t>Moda</t>
        </is>
      </c>
      <c r="K461" t="n">
        <v>4</v>
      </c>
      <c r="L461" t="n">
        <v>3.189</v>
      </c>
      <c r="M461" t="n">
        <v>1</v>
      </c>
      <c r="N461" t="inlineStr">
        <is>
          <t>val</t>
        </is>
      </c>
      <c r="O461">
        <f>HYPERLINK("4\1\marker_235_384064.png", "Ver Imagen")</f>
        <v/>
      </c>
      <c r="P461">
        <f>HYPERLINK("NE\A-495_1\A-495_1__162.png", "Ver Imagen")</f>
        <v/>
      </c>
    </row>
    <row r="462">
      <c r="A462" t="n">
        <v>3863</v>
      </c>
      <c r="B462" t="inlineStr">
        <is>
          <t>A-497_2C__168</t>
        </is>
      </c>
      <c r="C462" t="n">
        <v>37.265655191</v>
      </c>
      <c r="D462" t="n">
        <v>-6.99520561647</v>
      </c>
      <c r="E462" t="n">
        <v>5</v>
      </c>
      <c r="F462" t="n">
        <v>4</v>
      </c>
      <c r="G462" t="n">
        <v>4</v>
      </c>
      <c r="J462" t="inlineStr">
        <is>
          <t>Moda</t>
        </is>
      </c>
      <c r="K462" t="n">
        <v>4</v>
      </c>
      <c r="L462" t="n">
        <v>2.93</v>
      </c>
      <c r="M462" t="n">
        <v>1</v>
      </c>
      <c r="N462" t="inlineStr">
        <is>
          <t>val</t>
        </is>
      </c>
      <c r="O462">
        <f>HYPERLINK("4\1\marker_369_656179.png", "Ver Imagen")</f>
        <v/>
      </c>
      <c r="P462">
        <f>HYPERLINK("SE\A-497_2C\A-497_2C__168.png", "Ver Imagen")</f>
        <v/>
      </c>
    </row>
    <row r="463">
      <c r="A463" t="n">
        <v>3867</v>
      </c>
      <c r="B463" t="inlineStr">
        <is>
          <t>A-497_2C__185</t>
        </is>
      </c>
      <c r="C463" t="n">
        <v>37.2649103839</v>
      </c>
      <c r="D463" t="n">
        <v>-6.99939971831</v>
      </c>
      <c r="E463" t="n">
        <v>4</v>
      </c>
      <c r="F463" t="n">
        <v>4</v>
      </c>
      <c r="G463" t="n">
        <v>3</v>
      </c>
      <c r="J463" t="inlineStr">
        <is>
          <t>Moda</t>
        </is>
      </c>
      <c r="K463" t="n">
        <v>4</v>
      </c>
      <c r="L463" t="n">
        <v>2.972</v>
      </c>
      <c r="M463" t="n">
        <v>1</v>
      </c>
      <c r="N463" t="inlineStr">
        <is>
          <t>test</t>
        </is>
      </c>
      <c r="O463">
        <f>HYPERLINK("4\1\marker_746_656373.png", "Ver Imagen")</f>
        <v/>
      </c>
      <c r="P463">
        <f>HYPERLINK("SE\A-497_2C\A-497_2C__185.png", "Ver Imagen")</f>
        <v/>
      </c>
    </row>
    <row r="464">
      <c r="A464" t="n">
        <v>3869</v>
      </c>
      <c r="B464" t="inlineStr">
        <is>
          <t>A-497__705</t>
        </is>
      </c>
      <c r="C464" t="n">
        <v>37.1958700494</v>
      </c>
      <c r="D464" t="n">
        <v>-6.9783332737</v>
      </c>
      <c r="E464" t="n">
        <v>3</v>
      </c>
      <c r="F464" t="n">
        <v>4</v>
      </c>
      <c r="G464" t="n">
        <v>4</v>
      </c>
      <c r="J464" t="inlineStr">
        <is>
          <t>Moda</t>
        </is>
      </c>
      <c r="K464" t="n">
        <v>4</v>
      </c>
      <c r="L464" t="n">
        <v>2.973</v>
      </c>
      <c r="M464" t="n">
        <v>1</v>
      </c>
      <c r="N464" t="inlineStr">
        <is>
          <t>val</t>
        </is>
      </c>
      <c r="O464">
        <f>HYPERLINK("4\1\marker_269_370330.png", "Ver Imagen")</f>
        <v/>
      </c>
      <c r="P464">
        <f>HYPERLINK("SE\A-497\A-497__705.png", "Ver Imagen")</f>
        <v/>
      </c>
    </row>
    <row r="465">
      <c r="A465" t="n">
        <v>3871</v>
      </c>
      <c r="B465" t="inlineStr">
        <is>
          <t>A-497_2C__191</t>
        </is>
      </c>
      <c r="C465" t="n">
        <v>37.264651823</v>
      </c>
      <c r="D465" t="n">
        <v>-7.00087757449</v>
      </c>
      <c r="E465" t="n">
        <v>4</v>
      </c>
      <c r="F465" t="n">
        <v>4</v>
      </c>
      <c r="G465" t="n">
        <v>3</v>
      </c>
      <c r="J465" t="inlineStr">
        <is>
          <t>Moda</t>
        </is>
      </c>
      <c r="K465" t="n">
        <v>4</v>
      </c>
      <c r="L465" t="n">
        <v>3.432</v>
      </c>
      <c r="M465" t="n">
        <v>1</v>
      </c>
      <c r="N465" t="inlineStr">
        <is>
          <t>train</t>
        </is>
      </c>
      <c r="O465">
        <f>HYPERLINK("4\1\marker_947_656434.png", "Ver Imagen")</f>
        <v/>
      </c>
      <c r="P465">
        <f>HYPERLINK("SE\A-497_2C\A-497_2C__191.png", "Ver Imagen")</f>
        <v/>
      </c>
    </row>
    <row r="466">
      <c r="A466" t="n">
        <v>3872</v>
      </c>
      <c r="B466" t="inlineStr">
        <is>
          <t>A-497__689</t>
        </is>
      </c>
      <c r="C466" t="n">
        <v>37.1983364089</v>
      </c>
      <c r="D466" t="n">
        <v>-6.98097567009</v>
      </c>
      <c r="E466" t="n">
        <v>3</v>
      </c>
      <c r="F466" t="n">
        <v>4</v>
      </c>
      <c r="G466" t="n">
        <v>4</v>
      </c>
      <c r="J466" t="inlineStr">
        <is>
          <t>Moda</t>
        </is>
      </c>
      <c r="K466" t="n">
        <v>4</v>
      </c>
      <c r="L466" t="n">
        <v>3.409</v>
      </c>
      <c r="M466" t="n">
        <v>1</v>
      </c>
      <c r="N466" t="inlineStr">
        <is>
          <t>train</t>
        </is>
      </c>
      <c r="O466">
        <f>HYPERLINK("4\1\marker_119_370484.png", "Ver Imagen")</f>
        <v/>
      </c>
      <c r="P466">
        <f>HYPERLINK("SE\A-497\A-497__689.png", "Ver Imagen")</f>
        <v/>
      </c>
    </row>
    <row r="467">
      <c r="A467" t="n">
        <v>3873</v>
      </c>
      <c r="B467" t="inlineStr">
        <is>
          <t>A-497_2C__231</t>
        </is>
      </c>
      <c r="C467" t="n">
        <v>37.2619925219</v>
      </c>
      <c r="D467" t="n">
        <v>-7.01027357868</v>
      </c>
      <c r="E467" t="n">
        <v>3</v>
      </c>
      <c r="F467" t="n">
        <v>4</v>
      </c>
      <c r="G467" t="n">
        <v>4</v>
      </c>
      <c r="J467" t="inlineStr">
        <is>
          <t>Moda</t>
        </is>
      </c>
      <c r="K467" t="n">
        <v>4</v>
      </c>
      <c r="L467" t="n">
        <v>2.875</v>
      </c>
      <c r="M467" t="n">
        <v>1</v>
      </c>
      <c r="N467" t="inlineStr">
        <is>
          <t>val</t>
        </is>
      </c>
      <c r="O467">
        <f>HYPERLINK("4\1\marker_576_656891.png", "Ver Imagen")</f>
        <v/>
      </c>
      <c r="P467">
        <f>HYPERLINK("SE\A-497_2C\A-497_2C__231.png", "Ver Imagen")</f>
        <v/>
      </c>
    </row>
    <row r="468">
      <c r="A468" t="n">
        <v>3874</v>
      </c>
      <c r="B468" t="inlineStr">
        <is>
          <t>A-497_2C__232</t>
        </is>
      </c>
      <c r="C468" t="n">
        <v>37.2618171897</v>
      </c>
      <c r="D468" t="n">
        <v>-7.01044333322</v>
      </c>
      <c r="E468" t="n">
        <v>3</v>
      </c>
      <c r="F468" t="n">
        <v>4</v>
      </c>
      <c r="G468" t="n">
        <v>4</v>
      </c>
      <c r="J468" t="inlineStr">
        <is>
          <t>Moda</t>
        </is>
      </c>
      <c r="K468" t="n">
        <v>4</v>
      </c>
      <c r="L468" t="n">
        <v>3.416</v>
      </c>
      <c r="M468" t="n">
        <v>1</v>
      </c>
      <c r="N468" t="inlineStr">
        <is>
          <t>train</t>
        </is>
      </c>
      <c r="O468">
        <f>HYPERLINK("4\1\marker_456_656899.png", "Ver Imagen")</f>
        <v/>
      </c>
      <c r="P468">
        <f>HYPERLINK("SE\A-497_2C\A-497_2C__232.png", "Ver Imagen")</f>
        <v/>
      </c>
    </row>
    <row r="469">
      <c r="A469" t="n">
        <v>3875</v>
      </c>
      <c r="B469" t="inlineStr">
        <is>
          <t>A-497__656</t>
        </is>
      </c>
      <c r="C469" t="n">
        <v>37.2006739469</v>
      </c>
      <c r="D469" t="n">
        <v>-6.98871386162</v>
      </c>
      <c r="E469" t="n">
        <v>5</v>
      </c>
      <c r="F469" t="n">
        <v>4</v>
      </c>
      <c r="G469" t="n">
        <v>4</v>
      </c>
      <c r="J469" t="inlineStr">
        <is>
          <t>Moda</t>
        </is>
      </c>
      <c r="K469" t="n">
        <v>4</v>
      </c>
      <c r="L469" t="n">
        <v>3.478</v>
      </c>
      <c r="M469" t="n">
        <v>1</v>
      </c>
      <c r="N469" t="inlineStr">
        <is>
          <t>train</t>
        </is>
      </c>
      <c r="O469">
        <f>HYPERLINK("4\1\marker_462_371183.png", "Ver Imagen")</f>
        <v/>
      </c>
      <c r="P469">
        <f>HYPERLINK("SE\A-497\A-497__656.png", "Ver Imagen")</f>
        <v/>
      </c>
    </row>
    <row r="470">
      <c r="A470" t="n">
        <v>3876</v>
      </c>
      <c r="B470" t="inlineStr">
        <is>
          <t>A-497__655</t>
        </is>
      </c>
      <c r="C470" t="n">
        <v>37.2007364192</v>
      </c>
      <c r="D470" t="n">
        <v>-6.98899303645</v>
      </c>
      <c r="E470" t="n">
        <v>5</v>
      </c>
      <c r="F470" t="n">
        <v>4</v>
      </c>
      <c r="G470" t="n">
        <v>4</v>
      </c>
      <c r="J470" t="inlineStr">
        <is>
          <t>Moda</t>
        </is>
      </c>
      <c r="K470" t="n">
        <v>4</v>
      </c>
      <c r="L470" t="n">
        <v>3.486</v>
      </c>
      <c r="M470" t="n">
        <v>1</v>
      </c>
      <c r="N470" t="inlineStr">
        <is>
          <t>train</t>
        </is>
      </c>
      <c r="O470">
        <f>HYPERLINK("4\1\marker_610_371193.png", "Ver Imagen")</f>
        <v/>
      </c>
      <c r="P470">
        <f>HYPERLINK("SE\A-497\A-497__655.png", "Ver Imagen")</f>
        <v/>
      </c>
    </row>
    <row r="471">
      <c r="A471" t="n">
        <v>3878</v>
      </c>
      <c r="B471" t="inlineStr">
        <is>
          <t>A-497__620</t>
        </is>
      </c>
      <c r="C471" t="n">
        <v>37.2023309453</v>
      </c>
      <c r="D471" t="n">
        <v>-6.99764645152</v>
      </c>
      <c r="E471" t="n">
        <v>5</v>
      </c>
      <c r="F471" t="n">
        <v>4</v>
      </c>
      <c r="G471" t="n">
        <v>4</v>
      </c>
      <c r="J471" t="inlineStr">
        <is>
          <t>Moda</t>
        </is>
      </c>
      <c r="K471" t="n">
        <v>4</v>
      </c>
      <c r="L471" t="n">
        <v>2.666</v>
      </c>
      <c r="M471" t="n">
        <v>1</v>
      </c>
      <c r="N471" t="inlineStr">
        <is>
          <t>test</t>
        </is>
      </c>
      <c r="O471">
        <f>HYPERLINK("4\1\marker_641_371528.png", "Ver Imagen")</f>
        <v/>
      </c>
      <c r="P471">
        <f>HYPERLINK("SE\A-497\A-497__620.png", "Ver Imagen")</f>
        <v/>
      </c>
    </row>
    <row r="472">
      <c r="A472" t="n">
        <v>3879</v>
      </c>
      <c r="B472" t="inlineStr">
        <is>
          <t>A-497__612</t>
        </is>
      </c>
      <c r="C472" t="n">
        <v>37.2026168905</v>
      </c>
      <c r="D472" t="n">
        <v>-6.99966788734</v>
      </c>
      <c r="E472" t="n">
        <v>4</v>
      </c>
      <c r="F472" t="n">
        <v>4</v>
      </c>
      <c r="G472" t="n">
        <v>3</v>
      </c>
      <c r="J472" t="inlineStr">
        <is>
          <t>Moda</t>
        </is>
      </c>
      <c r="K472" t="n">
        <v>4</v>
      </c>
      <c r="L472" t="n">
        <v>3.393</v>
      </c>
      <c r="M472" t="n">
        <v>1</v>
      </c>
      <c r="N472" t="inlineStr">
        <is>
          <t>train</t>
        </is>
      </c>
      <c r="O472">
        <f>HYPERLINK("4\1\marker_882_371603.png", "Ver Imagen")</f>
        <v/>
      </c>
      <c r="P472">
        <f>HYPERLINK("SE\A-497\A-497__612.png", "Ver Imagen")</f>
        <v/>
      </c>
    </row>
    <row r="473">
      <c r="A473" t="n">
        <v>3881</v>
      </c>
      <c r="B473" t="inlineStr">
        <is>
          <t>A-497__587</t>
        </is>
      </c>
      <c r="C473" t="n">
        <v>37.2033518208</v>
      </c>
      <c r="D473" t="n">
        <v>-7.00587293036</v>
      </c>
      <c r="E473" t="n">
        <v>5</v>
      </c>
      <c r="F473" t="n">
        <v>4</v>
      </c>
      <c r="G473" t="n">
        <v>4</v>
      </c>
      <c r="J473" t="inlineStr">
        <is>
          <t>Moda</t>
        </is>
      </c>
      <c r="K473" t="n">
        <v>4</v>
      </c>
      <c r="L473" t="n">
        <v>3.451</v>
      </c>
      <c r="M473" t="n">
        <v>1</v>
      </c>
      <c r="N473" t="inlineStr">
        <is>
          <t>train</t>
        </is>
      </c>
      <c r="O473">
        <f>HYPERLINK("4\1\marker_247_371861.png", "Ver Imagen")</f>
        <v/>
      </c>
      <c r="P473">
        <f>HYPERLINK("SE\A-497\A-497__587.png", "Ver Imagen")</f>
        <v/>
      </c>
    </row>
    <row r="474">
      <c r="A474" t="n">
        <v>3895</v>
      </c>
      <c r="B474" t="inlineStr">
        <is>
          <t>A-497_2C__329</t>
        </is>
      </c>
      <c r="C474" t="n">
        <v>37.2436812187</v>
      </c>
      <c r="D474" t="n">
        <v>-7.01853947248</v>
      </c>
      <c r="E474" t="n">
        <v>3</v>
      </c>
      <c r="F474" t="n">
        <v>4</v>
      </c>
      <c r="G474" t="n">
        <v>4</v>
      </c>
      <c r="J474" t="inlineStr">
        <is>
          <t>Moda</t>
        </is>
      </c>
      <c r="K474" t="n">
        <v>4</v>
      </c>
      <c r="L474" t="n">
        <v>3.264</v>
      </c>
      <c r="M474" t="n">
        <v>1</v>
      </c>
      <c r="N474" t="inlineStr">
        <is>
          <t>test</t>
        </is>
      </c>
      <c r="O474">
        <f>HYPERLINK("4\1\marker_443_362009.png", "Ver Imagen")</f>
        <v/>
      </c>
      <c r="P474">
        <f>HYPERLINK("SE\A-497_2C\A-497_2C__329.png", "Ver Imagen")</f>
        <v/>
      </c>
    </row>
    <row r="475">
      <c r="A475" t="n">
        <v>3897</v>
      </c>
      <c r="B475" t="inlineStr">
        <is>
          <t>A-497_2C__332</t>
        </is>
      </c>
      <c r="C475" t="n">
        <v>37.2430381784</v>
      </c>
      <c r="D475" t="n">
        <v>-7.01856546173</v>
      </c>
      <c r="E475" t="n">
        <v>4</v>
      </c>
      <c r="F475" t="n">
        <v>4</v>
      </c>
      <c r="G475" t="n">
        <v>5</v>
      </c>
      <c r="J475" t="inlineStr">
        <is>
          <t>Moda</t>
        </is>
      </c>
      <c r="K475" t="n">
        <v>4</v>
      </c>
      <c r="L475" t="n">
        <v>3.422</v>
      </c>
      <c r="M475" t="n">
        <v>1</v>
      </c>
      <c r="N475" t="inlineStr">
        <is>
          <t>test</t>
        </is>
      </c>
      <c r="O475">
        <f>HYPERLINK("4\1\marker_159_362037.png", "Ver Imagen")</f>
        <v/>
      </c>
      <c r="P475">
        <f>HYPERLINK("SE\A-497_2C\A-497_2C__332.png", "Ver Imagen")</f>
        <v/>
      </c>
    </row>
    <row r="476">
      <c r="A476" t="n">
        <v>3902</v>
      </c>
      <c r="B476" t="inlineStr">
        <is>
          <t>A-497_2C__366</t>
        </is>
      </c>
      <c r="C476" t="n">
        <v>37.2361509877</v>
      </c>
      <c r="D476" t="n">
        <v>-7.01857841223</v>
      </c>
      <c r="E476" t="n">
        <v>5</v>
      </c>
      <c r="F476" t="n">
        <v>4</v>
      </c>
      <c r="G476" t="n">
        <v>4</v>
      </c>
      <c r="J476" t="inlineStr">
        <is>
          <t>Moda</t>
        </is>
      </c>
      <c r="K476" t="n">
        <v>4</v>
      </c>
      <c r="L476" t="n">
        <v>2.776</v>
      </c>
      <c r="M476" t="n">
        <v>1</v>
      </c>
      <c r="N476" t="inlineStr">
        <is>
          <t>test</t>
        </is>
      </c>
      <c r="O476">
        <f>HYPERLINK("4\1\marker_629_362424.png", "Ver Imagen")</f>
        <v/>
      </c>
      <c r="P476">
        <f>HYPERLINK("SE\A-497_2C\A-497_2C__366.png", "Ver Imagen")</f>
        <v/>
      </c>
    </row>
    <row r="477">
      <c r="A477" t="n">
        <v>3914</v>
      </c>
      <c r="B477" t="inlineStr">
        <is>
          <t>A-497_2C__584</t>
        </is>
      </c>
      <c r="C477" t="n">
        <v>37.2032004015</v>
      </c>
      <c r="D477" t="n">
        <v>-7.00582198922</v>
      </c>
      <c r="E477" t="n">
        <v>4</v>
      </c>
      <c r="F477" t="n">
        <v>4</v>
      </c>
      <c r="G477" t="n">
        <v>3</v>
      </c>
      <c r="J477" t="inlineStr">
        <is>
          <t>Moda</t>
        </is>
      </c>
      <c r="K477" t="n">
        <v>4</v>
      </c>
      <c r="L477" t="n">
        <v>3.484</v>
      </c>
      <c r="M477" t="n">
        <v>1</v>
      </c>
      <c r="N477" t="inlineStr">
        <is>
          <t>train</t>
        </is>
      </c>
      <c r="O477">
        <f>HYPERLINK("4\1\marker_348_366609.png", "Ver Imagen")</f>
        <v/>
      </c>
      <c r="P477">
        <f>HYPERLINK("SE\A-497_2C\A-497_2C__584.png", "Ver Imagen")</f>
        <v/>
      </c>
    </row>
    <row r="478">
      <c r="A478" t="n">
        <v>3916</v>
      </c>
      <c r="B478" t="inlineStr">
        <is>
          <t>A-497_2C__591</t>
        </is>
      </c>
      <c r="C478" t="n">
        <v>37.2029826141</v>
      </c>
      <c r="D478" t="n">
        <v>-7.00411234586</v>
      </c>
      <c r="E478" t="n">
        <v>3</v>
      </c>
      <c r="F478" t="n">
        <v>4</v>
      </c>
      <c r="G478" t="n">
        <v>4</v>
      </c>
      <c r="J478" t="inlineStr">
        <is>
          <t>Moda</t>
        </is>
      </c>
      <c r="K478" t="n">
        <v>4</v>
      </c>
      <c r="L478" t="n">
        <v>3.081</v>
      </c>
      <c r="M478" t="n">
        <v>1</v>
      </c>
      <c r="N478" t="inlineStr">
        <is>
          <t>val</t>
        </is>
      </c>
      <c r="O478">
        <f>HYPERLINK("4\1\marker_892_366680.png", "Ver Imagen")</f>
        <v/>
      </c>
      <c r="P478">
        <f>HYPERLINK("SE\A-497_2C\A-497_2C__591.png", "Ver Imagen")</f>
        <v/>
      </c>
    </row>
    <row r="479">
      <c r="A479" t="n">
        <v>3918</v>
      </c>
      <c r="B479" t="inlineStr">
        <is>
          <t>A-497_2C__623</t>
        </is>
      </c>
      <c r="C479" t="n">
        <v>37.201940321</v>
      </c>
      <c r="D479" t="n">
        <v>-6.99608278553</v>
      </c>
      <c r="E479" t="n">
        <v>4</v>
      </c>
      <c r="F479" t="n">
        <v>4</v>
      </c>
      <c r="G479" t="n">
        <v>3</v>
      </c>
      <c r="J479" t="inlineStr">
        <is>
          <t>Moda</t>
        </is>
      </c>
      <c r="K479" t="n">
        <v>4</v>
      </c>
      <c r="L479" t="n">
        <v>3.235</v>
      </c>
      <c r="M479" t="n">
        <v>1</v>
      </c>
      <c r="N479" t="inlineStr">
        <is>
          <t>val</t>
        </is>
      </c>
      <c r="O479">
        <f>HYPERLINK("4\1\marker_417_367017.png", "Ver Imagen")</f>
        <v/>
      </c>
      <c r="P479">
        <f>HYPERLINK("SE\A-497_2C\A-497_2C__623.png", "Ver Imagen")</f>
        <v/>
      </c>
    </row>
    <row r="480">
      <c r="A480" t="n">
        <v>3921</v>
      </c>
      <c r="B480" t="inlineStr">
        <is>
          <t>A-497__402</t>
        </is>
      </c>
      <c r="C480" t="n">
        <v>37.2302791098</v>
      </c>
      <c r="D480" t="n">
        <v>-7.02004244231</v>
      </c>
      <c r="E480" t="n">
        <v>4</v>
      </c>
      <c r="F480" t="n">
        <v>4</v>
      </c>
      <c r="G480" t="n">
        <v>3</v>
      </c>
      <c r="J480" t="inlineStr">
        <is>
          <t>Moda</t>
        </is>
      </c>
      <c r="K480" t="n">
        <v>4</v>
      </c>
      <c r="L480" t="n">
        <v>3.486</v>
      </c>
      <c r="M480" t="n">
        <v>1</v>
      </c>
      <c r="N480" t="inlineStr">
        <is>
          <t>train</t>
        </is>
      </c>
      <c r="O480">
        <f>HYPERLINK("4\1\marker_394_377176.png", "Ver Imagen")</f>
        <v/>
      </c>
      <c r="P480">
        <f>HYPERLINK("SE\A-497\A-497__402.png", "Ver Imagen")</f>
        <v/>
      </c>
    </row>
    <row r="481">
      <c r="A481" t="n">
        <v>3922</v>
      </c>
      <c r="B481" t="inlineStr">
        <is>
          <t>A-497__400</t>
        </is>
      </c>
      <c r="C481" t="n">
        <v>37.2306386635</v>
      </c>
      <c r="D481" t="n">
        <v>-7.01976575165</v>
      </c>
      <c r="E481" t="n">
        <v>4</v>
      </c>
      <c r="F481" t="n">
        <v>4</v>
      </c>
      <c r="G481" t="n">
        <v>3</v>
      </c>
      <c r="J481" t="inlineStr">
        <is>
          <t>Moda</t>
        </is>
      </c>
      <c r="K481" t="n">
        <v>4</v>
      </c>
      <c r="L481" t="n">
        <v>2.741</v>
      </c>
      <c r="M481" t="n">
        <v>1</v>
      </c>
      <c r="N481" t="inlineStr">
        <is>
          <t>test</t>
        </is>
      </c>
      <c r="O481">
        <f>HYPERLINK("4\1\marker_263_377194.png", "Ver Imagen")</f>
        <v/>
      </c>
      <c r="P481">
        <f>HYPERLINK("SE\A-497\A-497__400.png", "Ver Imagen")</f>
        <v/>
      </c>
    </row>
    <row r="482">
      <c r="A482" t="n">
        <v>3930</v>
      </c>
      <c r="B482" t="inlineStr">
        <is>
          <t>A-497__220</t>
        </is>
      </c>
      <c r="C482" t="n">
        <v>37.2634786059</v>
      </c>
      <c r="D482" t="n">
        <v>-7.00679077171</v>
      </c>
      <c r="E482" t="n">
        <v>4</v>
      </c>
      <c r="F482" t="n">
        <v>4</v>
      </c>
      <c r="G482" t="n">
        <v>3</v>
      </c>
      <c r="J482" t="inlineStr">
        <is>
          <t>Moda</t>
        </is>
      </c>
      <c r="K482" t="n">
        <v>4</v>
      </c>
      <c r="L482" t="n">
        <v>3.496</v>
      </c>
      <c r="M482" t="n">
        <v>1</v>
      </c>
      <c r="N482" t="inlineStr">
        <is>
          <t>train</t>
        </is>
      </c>
      <c r="O482">
        <f>HYPERLINK("4\1\marker_639_379144.png", "Ver Imagen")</f>
        <v/>
      </c>
      <c r="P482">
        <f>HYPERLINK("SE\A-497\A-497__220.png", "Ver Imagen")</f>
        <v/>
      </c>
    </row>
    <row r="483">
      <c r="A483" t="n">
        <v>3935</v>
      </c>
      <c r="B483" t="inlineStr">
        <is>
          <t>A-495R__51</t>
        </is>
      </c>
      <c r="C483" t="n">
        <v>37.454462034</v>
      </c>
      <c r="D483" t="n">
        <v>-7.11286004727</v>
      </c>
      <c r="E483" t="n">
        <v>5</v>
      </c>
      <c r="F483" t="n">
        <v>5</v>
      </c>
      <c r="G483" t="n">
        <v>5</v>
      </c>
      <c r="J483" t="inlineStr">
        <is>
          <t>Moda</t>
        </is>
      </c>
      <c r="K483" t="n">
        <v>5</v>
      </c>
      <c r="L483" t="n">
        <v>4.178</v>
      </c>
      <c r="M483" t="n">
        <v>1</v>
      </c>
      <c r="N483" t="inlineStr">
        <is>
          <t>val</t>
        </is>
      </c>
      <c r="O483">
        <f>HYPERLINK("5\0\marker_750_935651.png", "Ver Imagen")</f>
        <v/>
      </c>
      <c r="P483">
        <f>HYPERLINK("NE\A-495R\A-495R__51.png", "Ver Imagen")</f>
        <v/>
      </c>
    </row>
    <row r="484">
      <c r="A484" t="n">
        <v>3937</v>
      </c>
      <c r="B484" t="inlineStr">
        <is>
          <t>A-495R__30</t>
        </is>
      </c>
      <c r="C484" t="n">
        <v>37.4506234657</v>
      </c>
      <c r="D484" t="n">
        <v>-7.11059612729</v>
      </c>
      <c r="E484" t="n">
        <v>5</v>
      </c>
      <c r="F484" t="n">
        <v>5</v>
      </c>
      <c r="G484" t="n">
        <v>5</v>
      </c>
      <c r="J484" t="inlineStr">
        <is>
          <t>Moda</t>
        </is>
      </c>
      <c r="K484" t="n">
        <v>5</v>
      </c>
      <c r="L484" t="n">
        <v>4.362</v>
      </c>
      <c r="M484" t="n">
        <v>1</v>
      </c>
      <c r="N484" t="inlineStr">
        <is>
          <t>val</t>
        </is>
      </c>
      <c r="O484">
        <f>HYPERLINK("5\0\marker_994_936622.png", "Ver Imagen")</f>
        <v/>
      </c>
      <c r="P484">
        <f>HYPERLINK("NE\A-495R\A-495R__30.png", "Ver Imagen")</f>
        <v/>
      </c>
    </row>
    <row r="485">
      <c r="A485" t="n">
        <v>3956</v>
      </c>
      <c r="B485" t="inlineStr">
        <is>
          <t>A-495R__38</t>
        </is>
      </c>
      <c r="C485" t="n">
        <v>37.4520316656</v>
      </c>
      <c r="D485" t="n">
        <v>-7.11153660802</v>
      </c>
      <c r="E485" t="n">
        <v>5</v>
      </c>
      <c r="F485" t="n">
        <v>4</v>
      </c>
      <c r="G485" t="n">
        <v>5</v>
      </c>
      <c r="J485" t="inlineStr">
        <is>
          <t>Moda</t>
        </is>
      </c>
      <c r="K485" t="n">
        <v>5</v>
      </c>
      <c r="L485" t="n">
        <v>4.205</v>
      </c>
      <c r="M485" t="n">
        <v>1</v>
      </c>
      <c r="N485" t="inlineStr">
        <is>
          <t>val</t>
        </is>
      </c>
      <c r="O485">
        <f>HYPERLINK("5\1\marker_620_936541.png", "Ver Imagen")</f>
        <v/>
      </c>
      <c r="P485">
        <f>HYPERLINK("NE\A-495R\A-495R__38.png", "Ver Imagen")</f>
        <v/>
      </c>
    </row>
    <row r="486">
      <c r="A486" t="n">
        <v>3960</v>
      </c>
      <c r="B486" t="inlineStr">
        <is>
          <t>A-5052__250</t>
        </is>
      </c>
      <c r="C486" t="n">
        <v>37.213224074</v>
      </c>
      <c r="D486" t="n">
        <v>-7.06366603785</v>
      </c>
      <c r="E486" t="n">
        <v>5</v>
      </c>
      <c r="F486" t="n">
        <v>4</v>
      </c>
      <c r="G486" t="n">
        <v>5</v>
      </c>
      <c r="J486" t="inlineStr">
        <is>
          <t>Moda</t>
        </is>
      </c>
      <c r="K486" t="n">
        <v>5</v>
      </c>
      <c r="L486" t="n">
        <v>3.712</v>
      </c>
      <c r="M486" t="n">
        <v>1</v>
      </c>
      <c r="N486" t="inlineStr">
        <is>
          <t>test</t>
        </is>
      </c>
      <c r="O486">
        <f>HYPERLINK("5\1\marker_583_960093.png", "Ver Imagen")</f>
        <v/>
      </c>
      <c r="P486">
        <f>HYPERLINK("SE\A-5052\A-5052__250.png", "Ver Imagen")</f>
        <v/>
      </c>
    </row>
    <row r="487">
      <c r="A487" t="n">
        <v>3983</v>
      </c>
      <c r="B487" t="inlineStr">
        <is>
          <t>A-497__607</t>
        </is>
      </c>
      <c r="C487" t="n">
        <v>37.2027676977</v>
      </c>
      <c r="D487" t="n">
        <v>-7.00089095041</v>
      </c>
      <c r="E487" t="n">
        <v>5</v>
      </c>
      <c r="F487" t="n">
        <v>4</v>
      </c>
      <c r="G487" t="n">
        <v>5</v>
      </c>
      <c r="J487" t="inlineStr">
        <is>
          <t>Moda</t>
        </is>
      </c>
      <c r="K487" t="n">
        <v>5</v>
      </c>
      <c r="L487" t="n">
        <v>3.571</v>
      </c>
      <c r="M487" t="n">
        <v>1</v>
      </c>
      <c r="N487" t="inlineStr">
        <is>
          <t>test</t>
        </is>
      </c>
      <c r="O487">
        <f>HYPERLINK("5\1\marker_942_371650.png", "Ver Imagen")</f>
        <v/>
      </c>
      <c r="P487">
        <f>HYPERLINK("SE\A-497\A-497__607.png", "Ver Imagen")</f>
        <v/>
      </c>
    </row>
    <row r="488">
      <c r="A488" t="n">
        <v>3989</v>
      </c>
      <c r="B488" t="inlineStr">
        <is>
          <t>A-497_2C__350</t>
        </is>
      </c>
      <c r="C488" t="n">
        <v>37.2394274153</v>
      </c>
      <c r="D488" t="n">
        <v>-7.01870019996</v>
      </c>
      <c r="E488" t="n">
        <v>5</v>
      </c>
      <c r="F488" t="n">
        <v>4</v>
      </c>
      <c r="G488" t="n">
        <v>5</v>
      </c>
      <c r="J488" t="inlineStr">
        <is>
          <t>Moda</t>
        </is>
      </c>
      <c r="K488" t="n">
        <v>5</v>
      </c>
      <c r="L488" t="n">
        <v>4.037</v>
      </c>
      <c r="M488" t="n">
        <v>1</v>
      </c>
      <c r="N488" t="inlineStr">
        <is>
          <t>test</t>
        </is>
      </c>
      <c r="O488">
        <f>HYPERLINK("5\1\marker_497_362231.png", "Ver Imagen")</f>
        <v/>
      </c>
      <c r="P488">
        <f>HYPERLINK("SE\A-497_2C\A-497_2C__350.png", "Ver Imagen")</f>
        <v/>
      </c>
    </row>
    <row r="489">
      <c r="A489" t="n">
        <v>3992</v>
      </c>
      <c r="B489" t="inlineStr">
        <is>
          <t>A-497__281</t>
        </is>
      </c>
      <c r="C489" t="n">
        <v>37.2537942191</v>
      </c>
      <c r="D489" t="n">
        <v>-7.01546273504</v>
      </c>
      <c r="E489" t="n">
        <v>5</v>
      </c>
      <c r="F489" t="n">
        <v>4</v>
      </c>
      <c r="G489" t="n">
        <v>5</v>
      </c>
      <c r="J489" t="inlineStr">
        <is>
          <t>Moda</t>
        </is>
      </c>
      <c r="K489" t="n">
        <v>5</v>
      </c>
      <c r="L489" t="n">
        <v>3.57</v>
      </c>
      <c r="M489" t="n">
        <v>1</v>
      </c>
      <c r="N489" t="inlineStr">
        <is>
          <t>val</t>
        </is>
      </c>
      <c r="O489">
        <f>HYPERLINK("5\1\marker_454_378457.png", "Ver Imagen")</f>
        <v/>
      </c>
      <c r="P489">
        <f>HYPERLINK("SE\A-497\A-497__281.png", "Ver Imagen")</f>
        <v/>
      </c>
    </row>
    <row r="490">
      <c r="A490" t="n">
        <v>4008</v>
      </c>
      <c r="B490" t="inlineStr">
        <is>
          <t>A-5050__138</t>
        </is>
      </c>
      <c r="C490" t="n">
        <v>37.1942164398</v>
      </c>
      <c r="D490" t="n">
        <v>-6.99823143089</v>
      </c>
      <c r="E490" t="n">
        <v>1</v>
      </c>
      <c r="F490" t="n">
        <v>3</v>
      </c>
      <c r="G490" t="n">
        <v>2</v>
      </c>
      <c r="H490" t="n">
        <v>2</v>
      </c>
      <c r="I490" t="n">
        <v>2</v>
      </c>
      <c r="J490" t="inlineStr">
        <is>
          <t>Mediana</t>
        </is>
      </c>
      <c r="K490" t="n">
        <v>2</v>
      </c>
      <c r="L490" t="n">
        <v>1.463</v>
      </c>
      <c r="M490" t="n">
        <v>1</v>
      </c>
      <c r="N490" t="inlineStr">
        <is>
          <t>val</t>
        </is>
      </c>
      <c r="O490">
        <f>HYPERLINK("NoConsenso\marker_342_945862.png", "Ver Imagen")</f>
        <v/>
      </c>
      <c r="P490">
        <f>HYPERLINK("SE\A-5050\A-5050__138.png", "Ver Imagen")</f>
        <v/>
      </c>
    </row>
    <row r="491">
      <c r="A491" t="n">
        <v>4017</v>
      </c>
      <c r="B491" t="inlineStr">
        <is>
          <t>A-5052__181</t>
        </is>
      </c>
      <c r="C491" t="n">
        <v>37.2153049625</v>
      </c>
      <c r="D491" t="n">
        <v>-7.08073415139</v>
      </c>
      <c r="E491" t="n">
        <v>1</v>
      </c>
      <c r="F491" t="n">
        <v>2</v>
      </c>
      <c r="G491" t="n">
        <v>3</v>
      </c>
      <c r="H491" t="n">
        <v>1</v>
      </c>
      <c r="I491" t="n">
        <v>1</v>
      </c>
      <c r="J491" t="inlineStr">
        <is>
          <t>Mediana</t>
        </is>
      </c>
      <c r="K491" t="n">
        <v>1</v>
      </c>
      <c r="L491" t="n">
        <v>1.733</v>
      </c>
      <c r="M491" t="n">
        <v>1</v>
      </c>
      <c r="N491" t="inlineStr">
        <is>
          <t>val</t>
        </is>
      </c>
      <c r="O491">
        <f>HYPERLINK("NoConsenso\marker_905_959094.png", "Ver Imagen")</f>
        <v/>
      </c>
      <c r="P491">
        <f>HYPERLINK("SE\A-5052\A-5052__181.png", "Ver Imagen")</f>
        <v/>
      </c>
    </row>
    <row r="492">
      <c r="A492" t="n">
        <v>4026</v>
      </c>
      <c r="B492" t="inlineStr">
        <is>
          <t>A-495__62</t>
        </is>
      </c>
      <c r="C492" t="n">
        <v>37.4393024031</v>
      </c>
      <c r="D492" t="n">
        <v>-7.08618152307</v>
      </c>
      <c r="E492" t="n">
        <v>3</v>
      </c>
      <c r="F492" t="n">
        <v>2</v>
      </c>
      <c r="G492" t="n">
        <v>1</v>
      </c>
      <c r="H492" t="n">
        <v>2</v>
      </c>
      <c r="I492" t="n">
        <v>2</v>
      </c>
      <c r="J492" t="inlineStr">
        <is>
          <t>Mediana</t>
        </is>
      </c>
      <c r="K492" t="n">
        <v>2</v>
      </c>
      <c r="L492" t="n">
        <v>2.582</v>
      </c>
      <c r="M492" t="n">
        <v>1</v>
      </c>
      <c r="N492" t="inlineStr">
        <is>
          <t>train</t>
        </is>
      </c>
      <c r="O492">
        <f>HYPERLINK("NoConsenso\marker_321_381730.png", "Ver Imagen")</f>
        <v/>
      </c>
      <c r="P492">
        <f>HYPERLINK("NE\A-495\A-495__62.png", "Ver Imagen")</f>
        <v/>
      </c>
    </row>
    <row r="493">
      <c r="A493" t="n">
        <v>4070</v>
      </c>
      <c r="B493" t="inlineStr">
        <is>
          <t>A-492__359</t>
        </is>
      </c>
      <c r="C493" t="n">
        <v>37.3007105313</v>
      </c>
      <c r="D493" t="n">
        <v>-7.05596135321</v>
      </c>
      <c r="E493" t="n">
        <v>2</v>
      </c>
      <c r="F493" t="n">
        <v>3</v>
      </c>
      <c r="G493" t="n">
        <v>4</v>
      </c>
      <c r="H493" t="n">
        <v>3</v>
      </c>
      <c r="I493" t="n">
        <v>2</v>
      </c>
      <c r="J493" t="inlineStr">
        <is>
          <t>Mediana</t>
        </is>
      </c>
      <c r="K493" t="n">
        <v>3</v>
      </c>
      <c r="L493" t="n">
        <v>2.141</v>
      </c>
      <c r="M493" t="n">
        <v>1</v>
      </c>
      <c r="N493" t="inlineStr">
        <is>
          <t>test</t>
        </is>
      </c>
      <c r="O493">
        <f>HYPERLINK("NoConsenso\marker_304_838618.png", "Ver Imagen")</f>
        <v/>
      </c>
      <c r="P493">
        <f>HYPERLINK("SE\A-492\A-492__359.png", "Ver Imagen")</f>
        <v/>
      </c>
    </row>
    <row r="494">
      <c r="A494" t="n">
        <v>4071</v>
      </c>
      <c r="B494" t="inlineStr">
        <is>
          <t>A-492__361</t>
        </is>
      </c>
      <c r="C494" t="n">
        <v>37.3011079479</v>
      </c>
      <c r="D494" t="n">
        <v>-7.05620393248</v>
      </c>
      <c r="E494" t="n">
        <v>2</v>
      </c>
      <c r="F494" t="n">
        <v>3</v>
      </c>
      <c r="G494" t="n">
        <v>4</v>
      </c>
      <c r="H494" t="n">
        <v>2</v>
      </c>
      <c r="I494" t="n">
        <v>2</v>
      </c>
      <c r="J494" t="inlineStr">
        <is>
          <t>Modificada</t>
        </is>
      </c>
      <c r="K494" t="n">
        <v>3</v>
      </c>
      <c r="L494" t="n">
        <v>2.487</v>
      </c>
      <c r="M494" t="n">
        <v>1</v>
      </c>
      <c r="N494" t="inlineStr">
        <is>
          <t>test</t>
        </is>
      </c>
      <c r="O494">
        <f>HYPERLINK("NoConsenso\marker_911_838638.png", "Ver Imagen")</f>
        <v/>
      </c>
      <c r="P494">
        <f>HYPERLINK("SE\A-492\A-492__361.png", "Ver Imagen")</f>
        <v/>
      </c>
    </row>
    <row r="495">
      <c r="A495" t="n">
        <v>4081</v>
      </c>
      <c r="B495" t="inlineStr">
        <is>
          <t>A-492__416</t>
        </is>
      </c>
      <c r="C495" t="n">
        <v>37.3115985021</v>
      </c>
      <c r="D495" t="n">
        <v>-7.05966275789</v>
      </c>
      <c r="E495" t="n">
        <v>2</v>
      </c>
      <c r="F495" t="n">
        <v>1</v>
      </c>
      <c r="G495" t="n">
        <v>3</v>
      </c>
      <c r="H495" t="n">
        <v>1</v>
      </c>
      <c r="I495" t="n">
        <v>1</v>
      </c>
      <c r="J495" t="inlineStr">
        <is>
          <t>Mediana</t>
        </is>
      </c>
      <c r="K495" t="n">
        <v>1</v>
      </c>
      <c r="L495" t="n">
        <v>2.49</v>
      </c>
      <c r="M495" t="n">
        <v>1</v>
      </c>
      <c r="N495" t="inlineStr">
        <is>
          <t>test</t>
        </is>
      </c>
      <c r="O495">
        <f>HYPERLINK("NoConsenso\marker_543_839353.png", "Ver Imagen")</f>
        <v/>
      </c>
      <c r="P495">
        <f>HYPERLINK("SE\A-492\A-492__416.png", "Ver Imagen")</f>
        <v/>
      </c>
    </row>
    <row r="496">
      <c r="A496" t="n">
        <v>4091</v>
      </c>
      <c r="B496" t="inlineStr">
        <is>
          <t>A-497__52</t>
        </is>
      </c>
      <c r="C496" t="n">
        <v>37.2677610677</v>
      </c>
      <c r="D496" t="n">
        <v>-6.96881587883</v>
      </c>
      <c r="E496" t="n">
        <v>2</v>
      </c>
      <c r="F496" t="n">
        <v>4</v>
      </c>
      <c r="G496" t="n">
        <v>2</v>
      </c>
      <c r="H496" t="n">
        <v>3</v>
      </c>
      <c r="I496" t="n">
        <v>4</v>
      </c>
      <c r="J496" t="inlineStr">
        <is>
          <t>Modificada</t>
        </is>
      </c>
      <c r="K496" t="n">
        <v>4</v>
      </c>
      <c r="L496" t="n">
        <v>3.39</v>
      </c>
      <c r="M496" t="n">
        <v>1</v>
      </c>
      <c r="N496" t="inlineStr">
        <is>
          <t>train</t>
        </is>
      </c>
      <c r="O496">
        <f>HYPERLINK("NoConsenso\marker_840_938366.png", "Ver Imagen")</f>
        <v/>
      </c>
      <c r="P496">
        <f>HYPERLINK("SE\A-497\A-497__52.png", "Ver Imagen")</f>
        <v/>
      </c>
    </row>
    <row r="497">
      <c r="A497" t="n">
        <v>4093</v>
      </c>
      <c r="B497" t="inlineStr">
        <is>
          <t>A-497__44</t>
        </is>
      </c>
      <c r="C497" t="n">
        <v>37.2676047609</v>
      </c>
      <c r="D497" t="n">
        <v>-6.96680122779</v>
      </c>
      <c r="E497" t="n">
        <v>2</v>
      </c>
      <c r="F497" t="n">
        <v>4</v>
      </c>
      <c r="G497" t="n">
        <v>2</v>
      </c>
      <c r="H497" t="n">
        <v>3</v>
      </c>
      <c r="I497" t="n">
        <v>3</v>
      </c>
      <c r="J497" t="inlineStr">
        <is>
          <t>Modificada</t>
        </is>
      </c>
      <c r="K497" t="n">
        <v>4</v>
      </c>
      <c r="L497" t="n">
        <v>3.352</v>
      </c>
      <c r="M497" t="n">
        <v>1</v>
      </c>
      <c r="N497" t="inlineStr">
        <is>
          <t>train</t>
        </is>
      </c>
      <c r="O497">
        <f>HYPERLINK("NoConsenso\marker_786_938459.png", "Ver Imagen")</f>
        <v/>
      </c>
      <c r="P497">
        <f>HYPERLINK("SE\A-497\A-497__44.png", "Ver Imagen")</f>
        <v/>
      </c>
    </row>
    <row r="498">
      <c r="A498" t="n">
        <v>4097</v>
      </c>
      <c r="B498" t="inlineStr">
        <is>
          <t>A-497__4</t>
        </is>
      </c>
      <c r="C498" t="n">
        <v>37.2670411948</v>
      </c>
      <c r="D498" t="n">
        <v>-6.95723291208</v>
      </c>
      <c r="E498" t="n">
        <v>2</v>
      </c>
      <c r="F498" t="n">
        <v>2</v>
      </c>
      <c r="G498" t="n">
        <v>4</v>
      </c>
      <c r="H498" t="n">
        <v>1</v>
      </c>
      <c r="I498" t="n">
        <v>1</v>
      </c>
      <c r="J498" t="inlineStr">
        <is>
          <t>Mediana</t>
        </is>
      </c>
      <c r="K498" t="n">
        <v>2</v>
      </c>
      <c r="L498" t="n">
        <v>3.238</v>
      </c>
      <c r="M498" t="n">
        <v>1</v>
      </c>
      <c r="N498" t="inlineStr">
        <is>
          <t>test</t>
        </is>
      </c>
      <c r="O498">
        <f>HYPERLINK("NoConsenso\marker_886_944040.png", "Ver Imagen")</f>
        <v/>
      </c>
      <c r="P498">
        <f>HYPERLINK("SE\A-497\A-497__4.png", "Ver Imagen")</f>
        <v/>
      </c>
    </row>
    <row r="499">
      <c r="A499" t="n">
        <v>4103</v>
      </c>
      <c r="B499" t="inlineStr">
        <is>
          <t>A-5050__54</t>
        </is>
      </c>
      <c r="C499" t="n">
        <v>37.2034329715</v>
      </c>
      <c r="D499" t="n">
        <v>-7.0160130132</v>
      </c>
      <c r="E499" t="n">
        <v>2</v>
      </c>
      <c r="F499" t="n">
        <v>3</v>
      </c>
      <c r="G499" t="n">
        <v>4</v>
      </c>
      <c r="H499" t="n">
        <v>3</v>
      </c>
      <c r="I499" t="n">
        <v>4</v>
      </c>
      <c r="J499" t="inlineStr">
        <is>
          <t>Modificada</t>
        </is>
      </c>
      <c r="K499" t="n">
        <v>4</v>
      </c>
      <c r="L499" t="n">
        <v>3.402</v>
      </c>
      <c r="M499" t="n">
        <v>1</v>
      </c>
      <c r="N499" t="inlineStr">
        <is>
          <t>train</t>
        </is>
      </c>
      <c r="O499">
        <f>HYPERLINK("NoConsenso\marker_880_949118.png", "Ver Imagen")</f>
        <v/>
      </c>
      <c r="P499">
        <f>HYPERLINK("SE\A-5050\A-5050__54.png", "Ver Imagen")</f>
        <v/>
      </c>
    </row>
    <row r="500">
      <c r="A500" t="n">
        <v>4129</v>
      </c>
      <c r="B500" t="inlineStr">
        <is>
          <t>A-495_1__136</t>
        </is>
      </c>
      <c r="C500" t="n">
        <v>37.4741448546</v>
      </c>
      <c r="D500" t="n">
        <v>-7.12619107499</v>
      </c>
      <c r="E500" t="n">
        <v>4</v>
      </c>
      <c r="F500" t="n">
        <v>3</v>
      </c>
      <c r="G500" t="n">
        <v>2</v>
      </c>
      <c r="H500" t="n">
        <v>2</v>
      </c>
      <c r="I500" t="n">
        <v>2</v>
      </c>
      <c r="J500" t="inlineStr">
        <is>
          <t>Mediana</t>
        </is>
      </c>
      <c r="K500" t="n">
        <v>2</v>
      </c>
      <c r="L500" t="n">
        <v>2.522</v>
      </c>
      <c r="M500" t="n">
        <v>1</v>
      </c>
      <c r="N500" t="inlineStr">
        <is>
          <t>test</t>
        </is>
      </c>
      <c r="O500">
        <f>HYPERLINK("NoConsenso\marker_321_384413.png", "Ver Imagen")</f>
        <v/>
      </c>
      <c r="P500">
        <f>HYPERLINK("NE\A-495_1\A-495_1__136.png", "Ver Imagen")</f>
        <v/>
      </c>
    </row>
    <row r="501">
      <c r="A501" t="n">
        <v>4131</v>
      </c>
      <c r="B501" t="inlineStr">
        <is>
          <t>A-499__45</t>
        </is>
      </c>
      <c r="C501" t="n">
        <v>37.4952757885</v>
      </c>
      <c r="D501" t="n">
        <v>-7.27644438321</v>
      </c>
      <c r="E501" t="n">
        <v>4</v>
      </c>
      <c r="F501" t="n">
        <v>2</v>
      </c>
      <c r="G501" t="n">
        <v>2</v>
      </c>
      <c r="H501" t="n">
        <v>2</v>
      </c>
      <c r="I501" t="n">
        <v>2</v>
      </c>
      <c r="J501" t="inlineStr">
        <is>
          <t>Mediana</t>
        </is>
      </c>
      <c r="K501" t="n">
        <v>2</v>
      </c>
      <c r="L501" t="n">
        <v>3.43</v>
      </c>
      <c r="M501" t="n">
        <v>1</v>
      </c>
      <c r="N501" t="inlineStr">
        <is>
          <t>val</t>
        </is>
      </c>
      <c r="O501">
        <f>HYPERLINK("NoConsenso\marker_303_534812.png", "Ver Imagen")</f>
        <v/>
      </c>
      <c r="P501">
        <f>HYPERLINK("NO\A-499\A-499__45.png", "Ver Imagen")</f>
        <v/>
      </c>
    </row>
    <row r="502">
      <c r="A502" t="n">
        <v>4135</v>
      </c>
      <c r="B502" t="inlineStr">
        <is>
          <t>A-499__188</t>
        </is>
      </c>
      <c r="C502" t="n">
        <v>37.5156046122</v>
      </c>
      <c r="D502" t="n">
        <v>-7.26824560795</v>
      </c>
      <c r="E502" t="n">
        <v>2</v>
      </c>
      <c r="F502" t="n">
        <v>1</v>
      </c>
      <c r="G502" t="n">
        <v>3</v>
      </c>
      <c r="H502" t="n">
        <v>2</v>
      </c>
      <c r="I502" t="n">
        <v>1</v>
      </c>
      <c r="J502" t="inlineStr">
        <is>
          <t>Modificada</t>
        </is>
      </c>
      <c r="K502" t="n">
        <v>1</v>
      </c>
      <c r="L502" t="n">
        <v>1.891</v>
      </c>
      <c r="M502" t="n">
        <v>1</v>
      </c>
      <c r="N502" t="inlineStr">
        <is>
          <t>val</t>
        </is>
      </c>
      <c r="O502">
        <f>HYPERLINK("NoConsenso\marker_198_795779.png", "Ver Imagen")</f>
        <v/>
      </c>
      <c r="P502">
        <f>HYPERLINK("NO\A-499\A-499__188.png", "Ver Imagen")</f>
        <v/>
      </c>
    </row>
    <row r="503">
      <c r="A503" t="n">
        <v>4137</v>
      </c>
      <c r="B503" t="inlineStr">
        <is>
          <t>A-499__232</t>
        </is>
      </c>
      <c r="C503" t="n">
        <v>37.5214024548</v>
      </c>
      <c r="D503" t="n">
        <v>-7.25995736544</v>
      </c>
      <c r="E503" t="n">
        <v>2</v>
      </c>
      <c r="F503" t="n">
        <v>1</v>
      </c>
      <c r="G503" t="n">
        <v>3</v>
      </c>
      <c r="H503" t="n">
        <v>1</v>
      </c>
      <c r="I503" t="n">
        <v>1</v>
      </c>
      <c r="J503" t="inlineStr">
        <is>
          <t>Mediana</t>
        </is>
      </c>
      <c r="K503" t="n">
        <v>1</v>
      </c>
      <c r="L503" t="n">
        <v>1.856</v>
      </c>
      <c r="M503" t="n">
        <v>1</v>
      </c>
      <c r="N503" t="inlineStr">
        <is>
          <t>test</t>
        </is>
      </c>
      <c r="O503">
        <f>HYPERLINK("NoConsenso\marker_585_796669.png", "Ver Imagen")</f>
        <v/>
      </c>
      <c r="P503">
        <f>HYPERLINK("NO\A-499\A-499__232.png", "Ver Imagen")</f>
        <v/>
      </c>
    </row>
    <row r="504">
      <c r="A504" t="n">
        <v>4140</v>
      </c>
      <c r="B504" t="inlineStr">
        <is>
          <t>A-499__266</t>
        </is>
      </c>
      <c r="C504" t="n">
        <v>37.5268523561</v>
      </c>
      <c r="D504" t="n">
        <v>-7.25505453511</v>
      </c>
      <c r="E504" t="n">
        <v>2</v>
      </c>
      <c r="F504" t="n">
        <v>1</v>
      </c>
      <c r="G504" t="n">
        <v>3</v>
      </c>
      <c r="H504" t="n">
        <v>1</v>
      </c>
      <c r="I504" t="n">
        <v>1</v>
      </c>
      <c r="J504" t="inlineStr">
        <is>
          <t>Mediana</t>
        </is>
      </c>
      <c r="K504" t="n">
        <v>1</v>
      </c>
      <c r="L504" t="n">
        <v>1.927</v>
      </c>
      <c r="M504" t="n">
        <v>1</v>
      </c>
      <c r="N504" t="inlineStr">
        <is>
          <t>test</t>
        </is>
      </c>
      <c r="O504">
        <f>HYPERLINK("NoConsenso\marker_556_797341.png", "Ver Imagen")</f>
        <v/>
      </c>
      <c r="P504">
        <f>HYPERLINK("NO\A-499\A-499__266.png", "Ver Imagen")</f>
        <v/>
      </c>
    </row>
    <row r="505">
      <c r="A505" t="n">
        <v>4155</v>
      </c>
      <c r="B505" t="inlineStr">
        <is>
          <t>A-490__81</t>
        </is>
      </c>
      <c r="C505" t="n">
        <v>37.4486290896</v>
      </c>
      <c r="D505" t="n">
        <v>-7.14595383318</v>
      </c>
      <c r="E505" t="n">
        <v>3</v>
      </c>
      <c r="F505" t="n">
        <v>4</v>
      </c>
      <c r="G505" t="n">
        <v>5</v>
      </c>
      <c r="H505" t="n">
        <v>3</v>
      </c>
      <c r="I505" t="n">
        <v>3</v>
      </c>
      <c r="J505" t="inlineStr">
        <is>
          <t>Mediana</t>
        </is>
      </c>
      <c r="K505" t="n">
        <v>3</v>
      </c>
      <c r="L505" t="n">
        <v>3.69</v>
      </c>
      <c r="M505" t="n">
        <v>1</v>
      </c>
      <c r="N505" t="inlineStr">
        <is>
          <t>train</t>
        </is>
      </c>
      <c r="O505">
        <f>HYPERLINK("NoConsenso\marker_719_738677.png", "Ver Imagen")</f>
        <v/>
      </c>
      <c r="P505">
        <f>HYPERLINK("NE\A-490\A-490__81.png", "Ver Imagen")</f>
        <v/>
      </c>
    </row>
    <row r="506">
      <c r="A506" t="n">
        <v>4163</v>
      </c>
      <c r="B506" t="inlineStr">
        <is>
          <t>A-490__156</t>
        </is>
      </c>
      <c r="C506" t="n">
        <v>37.453853381</v>
      </c>
      <c r="D506" t="n">
        <v>-7.16347369157</v>
      </c>
      <c r="E506" t="n">
        <v>2</v>
      </c>
      <c r="F506" t="n">
        <v>4</v>
      </c>
      <c r="G506" t="n">
        <v>3</v>
      </c>
      <c r="H506" t="n">
        <v>2</v>
      </c>
      <c r="I506" t="n">
        <v>2</v>
      </c>
      <c r="J506" t="inlineStr">
        <is>
          <t>Mediana</t>
        </is>
      </c>
      <c r="K506" t="n">
        <v>2</v>
      </c>
      <c r="L506" t="n">
        <v>2.818</v>
      </c>
      <c r="M506" t="n">
        <v>1</v>
      </c>
      <c r="N506" t="inlineStr">
        <is>
          <t>val</t>
        </is>
      </c>
      <c r="O506">
        <f>HYPERLINK("NoConsenso\marker_774_740894.png", "Ver Imagen")</f>
        <v/>
      </c>
      <c r="P506">
        <f>HYPERLINK("NE\A-490\A-490__156.png", "Ver Imagen")</f>
        <v/>
      </c>
    </row>
    <row r="507">
      <c r="A507" t="n">
        <v>4165</v>
      </c>
      <c r="B507" t="inlineStr">
        <is>
          <t>A-490__165</t>
        </is>
      </c>
      <c r="C507" t="n">
        <v>37.4548390575</v>
      </c>
      <c r="D507" t="n">
        <v>-7.16534634287</v>
      </c>
      <c r="E507" t="n">
        <v>1</v>
      </c>
      <c r="F507" t="n">
        <v>3</v>
      </c>
      <c r="G507" t="n">
        <v>3</v>
      </c>
      <c r="H507" t="n">
        <v>2</v>
      </c>
      <c r="I507" t="n">
        <v>2</v>
      </c>
      <c r="J507" t="inlineStr">
        <is>
          <t>Mediana</t>
        </is>
      </c>
      <c r="K507" t="n">
        <v>2</v>
      </c>
      <c r="L507" t="n">
        <v>3.449</v>
      </c>
      <c r="M507" t="n">
        <v>1</v>
      </c>
      <c r="N507" t="inlineStr">
        <is>
          <t>val</t>
        </is>
      </c>
      <c r="O507">
        <f>HYPERLINK("NoConsenso\marker_754_741353.png", "Ver Imagen")</f>
        <v/>
      </c>
      <c r="P507">
        <f>HYPERLINK("NE\A-490\A-490__165.png", "Ver Imagen")</f>
        <v/>
      </c>
    </row>
    <row r="508">
      <c r="A508" t="n">
        <v>4170</v>
      </c>
      <c r="B508" t="inlineStr">
        <is>
          <t>A-490__208</t>
        </is>
      </c>
      <c r="C508" t="n">
        <v>37.4608440027</v>
      </c>
      <c r="D508" t="n">
        <v>-7.17322332256</v>
      </c>
      <c r="E508" t="n">
        <v>1</v>
      </c>
      <c r="F508" t="n">
        <v>3</v>
      </c>
      <c r="G508" t="n">
        <v>3</v>
      </c>
      <c r="H508" t="n">
        <v>2</v>
      </c>
      <c r="I508" t="n">
        <v>2</v>
      </c>
      <c r="J508" t="inlineStr">
        <is>
          <t>Mediana</t>
        </is>
      </c>
      <c r="K508" t="n">
        <v>2</v>
      </c>
      <c r="L508" t="n">
        <v>2.878</v>
      </c>
      <c r="M508" t="n">
        <v>1</v>
      </c>
      <c r="N508" t="inlineStr">
        <is>
          <t>val</t>
        </is>
      </c>
      <c r="O508">
        <f>HYPERLINK("NoConsenso\marker_402_742625.png", "Ver Imagen")</f>
        <v/>
      </c>
      <c r="P508">
        <f>HYPERLINK("NE\A-490\A-490__208.png", "Ver Imagen")</f>
        <v/>
      </c>
    </row>
    <row r="509">
      <c r="A509" t="n">
        <v>4200</v>
      </c>
      <c r="B509" t="inlineStr">
        <is>
          <t>A-490__622</t>
        </is>
      </c>
      <c r="C509" t="n">
        <v>37.4945537552</v>
      </c>
      <c r="D509" t="n">
        <v>-7.2662345513</v>
      </c>
      <c r="E509" t="n">
        <v>1</v>
      </c>
      <c r="F509" t="n">
        <v>3</v>
      </c>
      <c r="G509" t="n">
        <v>3</v>
      </c>
      <c r="H509" t="n">
        <v>3</v>
      </c>
      <c r="I509" t="n">
        <v>2</v>
      </c>
      <c r="J509" t="inlineStr">
        <is>
          <t>Mediana</t>
        </is>
      </c>
      <c r="K509" t="n">
        <v>3</v>
      </c>
      <c r="L509" t="n">
        <v>1.885</v>
      </c>
      <c r="M509" t="n">
        <v>1</v>
      </c>
      <c r="N509" t="inlineStr">
        <is>
          <t>test</t>
        </is>
      </c>
      <c r="O509">
        <f>HYPERLINK("NoConsenso\marker_779_820331.png", "Ver Imagen")</f>
        <v/>
      </c>
      <c r="P509">
        <f>HYPERLINK("NO\A-490\A-490__622.png", "Ver Imagen")</f>
        <v/>
      </c>
    </row>
    <row r="510">
      <c r="A510" t="n">
        <v>4207</v>
      </c>
      <c r="B510" t="inlineStr">
        <is>
          <t>A-492__132</t>
        </is>
      </c>
      <c r="C510" t="n">
        <v>37.2761965827</v>
      </c>
      <c r="D510" t="n">
        <v>-7.01417126114</v>
      </c>
      <c r="E510" t="n">
        <v>3</v>
      </c>
      <c r="F510" t="n">
        <v>2</v>
      </c>
      <c r="G510" t="n">
        <v>4</v>
      </c>
      <c r="H510" t="n">
        <v>3</v>
      </c>
      <c r="I510" t="n">
        <v>3</v>
      </c>
      <c r="J510" t="inlineStr">
        <is>
          <t>Mediana</t>
        </is>
      </c>
      <c r="K510" t="n">
        <v>3</v>
      </c>
      <c r="L510" t="n">
        <v>2.181</v>
      </c>
      <c r="M510" t="n">
        <v>1</v>
      </c>
      <c r="N510" t="inlineStr">
        <is>
          <t>val</t>
        </is>
      </c>
      <c r="O510">
        <f>HYPERLINK("NoConsenso\marker_271_824565.png", "Ver Imagen")</f>
        <v/>
      </c>
      <c r="P510">
        <f>HYPERLINK("SE\A-492\A-492__132.png", "Ver Imagen")</f>
        <v/>
      </c>
    </row>
    <row r="511">
      <c r="A511" t="n">
        <v>4208</v>
      </c>
      <c r="B511" t="inlineStr">
        <is>
          <t>A-492__139</t>
        </is>
      </c>
      <c r="C511" t="n">
        <v>37.2756161601</v>
      </c>
      <c r="D511" t="n">
        <v>-7.01561164286</v>
      </c>
      <c r="E511" t="n">
        <v>3</v>
      </c>
      <c r="F511" t="n">
        <v>2</v>
      </c>
      <c r="G511" t="n">
        <v>4</v>
      </c>
      <c r="H511" t="n">
        <v>2</v>
      </c>
      <c r="I511" t="n">
        <v>3</v>
      </c>
      <c r="J511" t="inlineStr">
        <is>
          <t>Modificada</t>
        </is>
      </c>
      <c r="K511" t="n">
        <v>2</v>
      </c>
      <c r="L511" t="n">
        <v>3.145</v>
      </c>
      <c r="M511" t="n">
        <v>1</v>
      </c>
      <c r="N511" t="inlineStr">
        <is>
          <t>test</t>
        </is>
      </c>
      <c r="O511">
        <f>HYPERLINK("NoConsenso\marker_746_824661.png", "Ver Imagen")</f>
        <v/>
      </c>
      <c r="P511">
        <f>HYPERLINK("SE\A-492\A-492__139.png", "Ver Imagen")</f>
        <v/>
      </c>
    </row>
    <row r="512">
      <c r="A512" t="n">
        <v>4210</v>
      </c>
      <c r="B512" t="inlineStr">
        <is>
          <t>A-492__165</t>
        </is>
      </c>
      <c r="C512" t="n">
        <v>37.2760512738</v>
      </c>
      <c r="D512" t="n">
        <v>-7.02200994889</v>
      </c>
      <c r="E512" t="n">
        <v>1</v>
      </c>
      <c r="F512" t="n">
        <v>3</v>
      </c>
      <c r="G512" t="n">
        <v>3</v>
      </c>
      <c r="H512" t="n">
        <v>3</v>
      </c>
      <c r="I512" t="n">
        <v>3</v>
      </c>
      <c r="J512" t="inlineStr">
        <is>
          <t>Mediana</t>
        </is>
      </c>
      <c r="K512" t="n">
        <v>3</v>
      </c>
      <c r="L512" t="n">
        <v>1.948</v>
      </c>
      <c r="M512" t="n">
        <v>1</v>
      </c>
      <c r="N512" t="inlineStr">
        <is>
          <t>test</t>
        </is>
      </c>
      <c r="O512">
        <f>HYPERLINK("NoConsenso\marker_968_831380.png", "Ver Imagen")</f>
        <v/>
      </c>
      <c r="P512">
        <f>HYPERLINK("SE\A-492\A-492__165.png", "Ver Imagen")</f>
        <v/>
      </c>
    </row>
    <row r="513">
      <c r="A513" t="n">
        <v>4237</v>
      </c>
      <c r="B513" t="inlineStr">
        <is>
          <t>A-5058__106</t>
        </is>
      </c>
      <c r="C513" t="n">
        <v>37.2312785491</v>
      </c>
      <c r="D513" t="n">
        <v>-7.05094470035</v>
      </c>
      <c r="E513" t="n">
        <v>3</v>
      </c>
      <c r="F513" t="n">
        <v>1</v>
      </c>
      <c r="G513" t="n">
        <v>3</v>
      </c>
      <c r="H513" t="n">
        <v>2</v>
      </c>
      <c r="I513" t="n">
        <v>2</v>
      </c>
      <c r="J513" t="inlineStr">
        <is>
          <t>Mediana</t>
        </is>
      </c>
      <c r="K513" t="n">
        <v>2</v>
      </c>
      <c r="L513" t="n">
        <v>2.872</v>
      </c>
      <c r="M513" t="n">
        <v>1</v>
      </c>
      <c r="N513" t="inlineStr">
        <is>
          <t>test</t>
        </is>
      </c>
      <c r="O513">
        <f>HYPERLINK("NoConsenso\marker_547_381200.png", "Ver Imagen")</f>
        <v/>
      </c>
      <c r="P513">
        <f>HYPERLINK("SE\A-5058\A-5058__106.png", "Ver Imagen")</f>
        <v/>
      </c>
    </row>
    <row r="514">
      <c r="A514" t="n">
        <v>4239</v>
      </c>
      <c r="B514" t="inlineStr">
        <is>
          <t>A-5058__331</t>
        </is>
      </c>
      <c r="C514" t="n">
        <v>37.2481019737</v>
      </c>
      <c r="D514" t="n">
        <v>-7.10156740511</v>
      </c>
      <c r="E514" t="n">
        <v>3</v>
      </c>
      <c r="F514" t="n">
        <v>1</v>
      </c>
      <c r="G514" t="n">
        <v>3</v>
      </c>
      <c r="H514" t="n">
        <v>2</v>
      </c>
      <c r="I514" t="n">
        <v>2</v>
      </c>
      <c r="J514" t="inlineStr">
        <is>
          <t>Mediana</t>
        </is>
      </c>
      <c r="K514" t="n">
        <v>2</v>
      </c>
      <c r="L514" t="n">
        <v>3.134</v>
      </c>
      <c r="M514" t="n">
        <v>1</v>
      </c>
      <c r="N514" t="inlineStr">
        <is>
          <t>test</t>
        </is>
      </c>
      <c r="O514">
        <f>HYPERLINK("NoConsenso\marker_526_384645.png", "Ver Imagen")</f>
        <v/>
      </c>
      <c r="P514">
        <f>HYPERLINK("SO\A-5058\A-5058__331.png", "Ver Imagen")</f>
        <v/>
      </c>
    </row>
    <row r="515">
      <c r="A515" t="n">
        <v>4245</v>
      </c>
      <c r="B515" t="inlineStr">
        <is>
          <t>A-5058__379</t>
        </is>
      </c>
      <c r="C515" t="n">
        <v>37.2550567832</v>
      </c>
      <c r="D515" t="n">
        <v>-7.10925967448</v>
      </c>
      <c r="E515" t="n">
        <v>3</v>
      </c>
      <c r="F515" t="n">
        <v>1</v>
      </c>
      <c r="G515" t="n">
        <v>3</v>
      </c>
      <c r="H515" t="n">
        <v>2</v>
      </c>
      <c r="I515" t="n">
        <v>2</v>
      </c>
      <c r="J515" t="inlineStr">
        <is>
          <t>Mediana</t>
        </is>
      </c>
      <c r="K515" t="n">
        <v>2</v>
      </c>
      <c r="L515" t="n">
        <v>3.421</v>
      </c>
      <c r="M515" t="n">
        <v>1</v>
      </c>
      <c r="N515" t="inlineStr">
        <is>
          <t>test</t>
        </is>
      </c>
      <c r="O515">
        <f>HYPERLINK("NoConsenso\marker_840_385185.png", "Ver Imagen")</f>
        <v/>
      </c>
      <c r="P515">
        <f>HYPERLINK("SO\A-5058\A-5058__379.png", "Ver Imagen")</f>
        <v/>
      </c>
    </row>
    <row r="516">
      <c r="A516" t="n">
        <v>4254</v>
      </c>
      <c r="B516" t="inlineStr">
        <is>
          <t>A-497__521</t>
        </is>
      </c>
      <c r="C516" t="n">
        <v>37.207348985</v>
      </c>
      <c r="D516" t="n">
        <v>-7.02157464857</v>
      </c>
      <c r="E516" t="n">
        <v>3</v>
      </c>
      <c r="F516" t="n">
        <v>1</v>
      </c>
      <c r="G516" t="n">
        <v>3</v>
      </c>
      <c r="H516" t="n">
        <v>2</v>
      </c>
      <c r="I516" t="n">
        <v>2</v>
      </c>
      <c r="J516" t="inlineStr">
        <is>
          <t>Mediana</t>
        </is>
      </c>
      <c r="K516" t="n">
        <v>2</v>
      </c>
      <c r="L516" t="n">
        <v>2.72</v>
      </c>
      <c r="M516" t="n">
        <v>1</v>
      </c>
      <c r="N516" t="inlineStr">
        <is>
          <t>val</t>
        </is>
      </c>
      <c r="O516">
        <f>HYPERLINK("NoConsenso\marker_579_372584.png", "Ver Imagen")</f>
        <v/>
      </c>
      <c r="P516">
        <f>HYPERLINK("SE\A-497\A-497__521.png", "Ver Imagen")</f>
        <v/>
      </c>
    </row>
    <row r="517">
      <c r="A517" t="n">
        <v>4258</v>
      </c>
      <c r="B517" t="inlineStr">
        <is>
          <t>A-490__20</t>
        </is>
      </c>
      <c r="C517" t="n">
        <v>37.4467321157</v>
      </c>
      <c r="D517" t="n">
        <v>-7.13126886902</v>
      </c>
      <c r="E517" t="n">
        <v>2</v>
      </c>
      <c r="F517" t="n">
        <v>4</v>
      </c>
      <c r="G517" t="n">
        <v>4</v>
      </c>
      <c r="H517" t="n">
        <v>4</v>
      </c>
      <c r="I517" t="n">
        <v>4</v>
      </c>
      <c r="J517" t="inlineStr">
        <is>
          <t>Mediana</t>
        </is>
      </c>
      <c r="K517" t="n">
        <v>4</v>
      </c>
      <c r="L517" t="n">
        <v>2.891</v>
      </c>
      <c r="M517" t="n">
        <v>1</v>
      </c>
      <c r="N517" t="inlineStr">
        <is>
          <t>test</t>
        </is>
      </c>
      <c r="O517">
        <f>HYPERLINK("NoConsenso\marker_812_730666.png", "Ver Imagen")</f>
        <v/>
      </c>
      <c r="P517">
        <f>HYPERLINK("NE\A-490\A-490__20.png", "Ver Imagen")</f>
        <v/>
      </c>
    </row>
    <row r="518">
      <c r="A518" t="n">
        <v>4259</v>
      </c>
      <c r="B518" t="inlineStr">
        <is>
          <t>A-490__33</t>
        </is>
      </c>
      <c r="C518" t="n">
        <v>37.4462610945</v>
      </c>
      <c r="D518" t="n">
        <v>-7.13447958234</v>
      </c>
      <c r="E518" t="n">
        <v>2</v>
      </c>
      <c r="F518" t="n">
        <v>4</v>
      </c>
      <c r="G518" t="n">
        <v>4</v>
      </c>
      <c r="H518" t="n">
        <v>4</v>
      </c>
      <c r="I518" t="n">
        <v>4</v>
      </c>
      <c r="J518" t="inlineStr">
        <is>
          <t>Mediana</t>
        </is>
      </c>
      <c r="K518" t="n">
        <v>4</v>
      </c>
      <c r="L518" t="n">
        <v>3.423</v>
      </c>
      <c r="M518" t="n">
        <v>1</v>
      </c>
      <c r="N518" t="inlineStr">
        <is>
          <t>train</t>
        </is>
      </c>
      <c r="O518">
        <f>HYPERLINK("NoConsenso\marker_703_731013.png", "Ver Imagen")</f>
        <v/>
      </c>
      <c r="P518">
        <f>HYPERLINK("NE\A-490\A-490__33.png", "Ver Imagen")</f>
        <v/>
      </c>
    </row>
    <row r="519">
      <c r="A519" t="n">
        <v>4260</v>
      </c>
      <c r="B519" t="inlineStr">
        <is>
          <t>A-490__48</t>
        </is>
      </c>
      <c r="C519" t="n">
        <v>37.4466478556</v>
      </c>
      <c r="D519" t="n">
        <v>-7.1381317957</v>
      </c>
      <c r="E519" t="n">
        <v>2</v>
      </c>
      <c r="F519" t="n">
        <v>4</v>
      </c>
      <c r="G519" t="n">
        <v>4</v>
      </c>
      <c r="H519" t="n">
        <v>4</v>
      </c>
      <c r="I519" t="n">
        <v>5</v>
      </c>
      <c r="J519" t="inlineStr">
        <is>
          <t>Mediana</t>
        </is>
      </c>
      <c r="K519" t="n">
        <v>4</v>
      </c>
      <c r="L519" t="n">
        <v>2.798</v>
      </c>
      <c r="M519" t="n">
        <v>1</v>
      </c>
      <c r="N519" t="inlineStr">
        <is>
          <t>test</t>
        </is>
      </c>
      <c r="O519">
        <f>HYPERLINK("NoConsenso\marker_138_731408.png", "Ver Imagen")</f>
        <v/>
      </c>
      <c r="P519">
        <f>HYPERLINK("NE\A-490\A-490__48.png", "Ver Imagen")</f>
        <v/>
      </c>
    </row>
    <row r="520">
      <c r="A520" t="n">
        <v>4261</v>
      </c>
      <c r="B520" t="inlineStr">
        <is>
          <t>A-490__53</t>
        </is>
      </c>
      <c r="C520" t="n">
        <v>37.4469984994</v>
      </c>
      <c r="D520" t="n">
        <v>-7.13928850498</v>
      </c>
      <c r="E520" t="n">
        <v>2</v>
      </c>
      <c r="F520" t="n">
        <v>3</v>
      </c>
      <c r="G520" t="n">
        <v>4</v>
      </c>
      <c r="H520" t="n">
        <v>4</v>
      </c>
      <c r="I520" t="n">
        <v>4</v>
      </c>
      <c r="J520" t="inlineStr">
        <is>
          <t>Mediana</t>
        </is>
      </c>
      <c r="K520" t="n">
        <v>4</v>
      </c>
      <c r="L520" t="n">
        <v>3.487</v>
      </c>
      <c r="M520" t="n">
        <v>1</v>
      </c>
      <c r="N520" t="inlineStr">
        <is>
          <t>train</t>
        </is>
      </c>
      <c r="O520">
        <f>HYPERLINK("NoConsenso\marker_865_732363.png", "Ver Imagen")</f>
        <v/>
      </c>
      <c r="P520">
        <f>HYPERLINK("NE\A-490\A-490__53.png", "Ver Imagen")</f>
        <v/>
      </c>
    </row>
    <row r="521">
      <c r="A521" t="n">
        <v>4263</v>
      </c>
      <c r="B521" t="inlineStr">
        <is>
          <t>A-490__62</t>
        </is>
      </c>
      <c r="C521" t="n">
        <v>37.4478746438</v>
      </c>
      <c r="D521" t="n">
        <v>-7.14132947062</v>
      </c>
      <c r="E521" t="n">
        <v>2</v>
      </c>
      <c r="F521" t="n">
        <v>3</v>
      </c>
      <c r="G521" t="n">
        <v>4</v>
      </c>
      <c r="H521" t="n">
        <v>4</v>
      </c>
      <c r="I521" t="n">
        <v>4</v>
      </c>
      <c r="J521" t="inlineStr">
        <is>
          <t>Mediana</t>
        </is>
      </c>
      <c r="K521" t="n">
        <v>4</v>
      </c>
      <c r="L521" t="n">
        <v>3.426</v>
      </c>
      <c r="M521" t="n">
        <v>1</v>
      </c>
      <c r="N521" t="inlineStr">
        <is>
          <t>train</t>
        </is>
      </c>
      <c r="O521">
        <f>HYPERLINK("NoConsenso\marker_655_737950.png", "Ver Imagen")</f>
        <v/>
      </c>
      <c r="P521">
        <f>HYPERLINK("NE\A-490\A-490__62.png", "Ver Imagen")</f>
        <v/>
      </c>
    </row>
    <row r="522">
      <c r="A522" t="n">
        <v>4282</v>
      </c>
      <c r="B522" t="inlineStr">
        <is>
          <t>A-490__251</t>
        </is>
      </c>
      <c r="C522" t="n">
        <v>37.465960205</v>
      </c>
      <c r="D522" t="n">
        <v>-7.18210224676</v>
      </c>
      <c r="E522" t="n">
        <v>3</v>
      </c>
      <c r="F522" t="n">
        <v>5</v>
      </c>
      <c r="G522" t="n">
        <v>4</v>
      </c>
      <c r="H522" t="n">
        <v>4</v>
      </c>
      <c r="I522" t="n">
        <v>4</v>
      </c>
      <c r="J522" t="inlineStr">
        <is>
          <t>Mediana</t>
        </is>
      </c>
      <c r="K522" t="n">
        <v>4</v>
      </c>
      <c r="L522" t="n">
        <v>3.069</v>
      </c>
      <c r="M522" t="n">
        <v>1</v>
      </c>
      <c r="N522" t="inlineStr">
        <is>
          <t>test</t>
        </is>
      </c>
      <c r="O522">
        <f>HYPERLINK("NoConsenso\marker_124_749514.png", "Ver Imagen")</f>
        <v/>
      </c>
      <c r="P522">
        <f>HYPERLINK("NE\A-490\A-490__251.png", "Ver Imagen")</f>
        <v/>
      </c>
    </row>
    <row r="523">
      <c r="A523" t="n">
        <v>4297</v>
      </c>
      <c r="B523" t="inlineStr">
        <is>
          <t>A-492__456</t>
        </is>
      </c>
      <c r="C523" t="n">
        <v>37.3157216183</v>
      </c>
      <c r="D523" t="n">
        <v>-7.06825555239</v>
      </c>
      <c r="E523" t="n">
        <v>2</v>
      </c>
      <c r="F523" t="n">
        <v>3</v>
      </c>
      <c r="G523" t="n">
        <v>4</v>
      </c>
      <c r="H523" t="n">
        <v>3</v>
      </c>
      <c r="I523" t="n">
        <v>4</v>
      </c>
      <c r="J523" t="inlineStr">
        <is>
          <t>Mediana</t>
        </is>
      </c>
      <c r="K523" t="n">
        <v>3</v>
      </c>
      <c r="L523" t="n">
        <v>1.819</v>
      </c>
      <c r="M523" t="n">
        <v>1</v>
      </c>
      <c r="N523" t="inlineStr">
        <is>
          <t>test</t>
        </is>
      </c>
      <c r="O523">
        <f>HYPERLINK("NoConsenso\marker_353_839879.png", "Ver Imagen")</f>
        <v/>
      </c>
      <c r="P523">
        <f>HYPERLINK("SE\A-492\A-492__456.png", "Ver Imagen")</f>
        <v/>
      </c>
    </row>
    <row r="524">
      <c r="A524" t="n">
        <v>4304</v>
      </c>
      <c r="B524" t="inlineStr">
        <is>
          <t>A-5052__19</t>
        </is>
      </c>
      <c r="C524" t="n">
        <v>37.2179662255</v>
      </c>
      <c r="D524" t="n">
        <v>-7.12128775492</v>
      </c>
      <c r="E524" t="n">
        <v>5</v>
      </c>
      <c r="F524" t="n">
        <v>3</v>
      </c>
      <c r="G524" t="n">
        <v>4</v>
      </c>
      <c r="H524" t="n">
        <v>4</v>
      </c>
      <c r="I524" t="n">
        <v>4</v>
      </c>
      <c r="J524" t="inlineStr">
        <is>
          <t>Mediana</t>
        </is>
      </c>
      <c r="K524" t="n">
        <v>4</v>
      </c>
      <c r="L524" t="n">
        <v>2.76</v>
      </c>
      <c r="M524" t="n">
        <v>1</v>
      </c>
      <c r="N524" t="inlineStr">
        <is>
          <t>test</t>
        </is>
      </c>
      <c r="O524">
        <f>HYPERLINK("NoConsenso\marker_254_950289.png", "Ver Imagen")</f>
        <v/>
      </c>
      <c r="P524">
        <f>HYPERLINK("SO\A-5052\A-5052__19.png", "Ver Imagen")</f>
        <v/>
      </c>
    </row>
    <row r="525">
      <c r="A525" t="n">
        <v>4306</v>
      </c>
      <c r="B525" t="inlineStr">
        <is>
          <t>A-5058__292</t>
        </is>
      </c>
      <c r="C525" t="n">
        <v>37.2452487614</v>
      </c>
      <c r="D525" t="n">
        <v>-7.09270327231</v>
      </c>
      <c r="E525" t="n">
        <v>4</v>
      </c>
      <c r="F525" t="n">
        <v>2</v>
      </c>
      <c r="G525" t="n">
        <v>4</v>
      </c>
      <c r="H525" t="n">
        <v>3</v>
      </c>
      <c r="I525" t="n">
        <v>3</v>
      </c>
      <c r="J525" t="inlineStr">
        <is>
          <t>Mediana</t>
        </is>
      </c>
      <c r="K525" t="n">
        <v>3</v>
      </c>
      <c r="L525" t="n">
        <v>2.312</v>
      </c>
      <c r="M525" t="n">
        <v>1</v>
      </c>
      <c r="N525" t="inlineStr">
        <is>
          <t>val</t>
        </is>
      </c>
      <c r="O525">
        <f>HYPERLINK("NoConsenso\marker_197_384170.png", "Ver Imagen")</f>
        <v/>
      </c>
      <c r="P525">
        <f>HYPERLINK("SO\A-5058\A-5058__292.png", "Ver Imagen")</f>
        <v/>
      </c>
    </row>
    <row r="526">
      <c r="A526" t="n">
        <v>4318</v>
      </c>
      <c r="B526" t="inlineStr">
        <is>
          <t>A-497__659</t>
        </is>
      </c>
      <c r="C526" t="n">
        <v>37.2005253429</v>
      </c>
      <c r="D526" t="n">
        <v>-6.9880467531</v>
      </c>
      <c r="E526" t="n">
        <v>4</v>
      </c>
      <c r="F526" t="n">
        <v>2</v>
      </c>
      <c r="G526" t="n">
        <v>4</v>
      </c>
      <c r="H526" t="n">
        <v>2</v>
      </c>
      <c r="I526" t="n">
        <v>1</v>
      </c>
      <c r="J526" t="inlineStr">
        <is>
          <t>Mediana</t>
        </is>
      </c>
      <c r="K526" t="n">
        <v>2</v>
      </c>
      <c r="L526" t="n">
        <v>2.946</v>
      </c>
      <c r="M526" t="n">
        <v>1</v>
      </c>
      <c r="N526" t="inlineStr">
        <is>
          <t>test</t>
        </is>
      </c>
      <c r="O526">
        <f>HYPERLINK("NoConsenso\marker_529_371156.png", "Ver Imagen")</f>
        <v/>
      </c>
      <c r="P526">
        <f>HYPERLINK("SE\A-497\A-497__659.png", "Ver Imagen")</f>
        <v/>
      </c>
    </row>
    <row r="527">
      <c r="A527" t="n">
        <v>4335</v>
      </c>
      <c r="B527" t="inlineStr">
        <is>
          <t>A-497__82</t>
        </is>
      </c>
      <c r="C527" t="n">
        <v>37.2690995848</v>
      </c>
      <c r="D527" t="n">
        <v>-6.97627510693</v>
      </c>
      <c r="E527" t="n">
        <v>3</v>
      </c>
      <c r="F527" t="n">
        <v>4</v>
      </c>
      <c r="G527" t="n">
        <v>5</v>
      </c>
      <c r="H527" t="n">
        <v>4</v>
      </c>
      <c r="I527" t="n">
        <v>4</v>
      </c>
      <c r="J527" t="inlineStr">
        <is>
          <t>Mediana</t>
        </is>
      </c>
      <c r="K527" t="n">
        <v>4</v>
      </c>
      <c r="L527" t="n">
        <v>3.471</v>
      </c>
      <c r="M527" t="n">
        <v>1</v>
      </c>
      <c r="N527" t="inlineStr">
        <is>
          <t>train</t>
        </is>
      </c>
      <c r="O527">
        <f>HYPERLINK("NoConsenso\marker_122_937440.png", "Ver Imagen")</f>
        <v/>
      </c>
      <c r="P527">
        <f>HYPERLINK("SE\A-497\A-497__82.png", "Ver Imagen")</f>
        <v/>
      </c>
    </row>
    <row r="528">
      <c r="A528" t="n">
        <v>4349</v>
      </c>
      <c r="B528" t="inlineStr">
        <is>
          <t>A-490__30</t>
        </is>
      </c>
      <c r="C528" t="n">
        <v>37.4463473932</v>
      </c>
      <c r="D528" t="n">
        <v>-7.1337630319</v>
      </c>
      <c r="E528" t="n">
        <v>2</v>
      </c>
      <c r="F528" t="n">
        <v>4</v>
      </c>
      <c r="G528" t="n">
        <v>3</v>
      </c>
      <c r="H528" t="n">
        <v>4</v>
      </c>
      <c r="I528" t="n">
        <v>4</v>
      </c>
      <c r="J528" t="inlineStr">
        <is>
          <t>Mediana</t>
        </is>
      </c>
      <c r="K528" t="n">
        <v>4</v>
      </c>
      <c r="L528" t="n">
        <v>2.634</v>
      </c>
      <c r="M528" t="n">
        <v>1</v>
      </c>
      <c r="N528" t="inlineStr">
        <is>
          <t>test</t>
        </is>
      </c>
      <c r="O528">
        <f>HYPERLINK("NoConsenso\marker_928_730925.png", "Ver Imagen")</f>
        <v/>
      </c>
      <c r="P528">
        <f>HYPERLINK("NE\A-490\A-490__30.png", "Ver Imagen")</f>
        <v/>
      </c>
    </row>
    <row r="529">
      <c r="A529" t="n">
        <v>4359</v>
      </c>
      <c r="B529" t="inlineStr">
        <is>
          <t>A-490__83</t>
        </is>
      </c>
      <c r="C529" t="n">
        <v>37.4486491211</v>
      </c>
      <c r="D529" t="n">
        <v>-7.14644664032</v>
      </c>
      <c r="E529" t="n">
        <v>2</v>
      </c>
      <c r="F529" t="n">
        <v>2</v>
      </c>
      <c r="G529" t="n">
        <v>4</v>
      </c>
      <c r="H529" t="n">
        <v>3</v>
      </c>
      <c r="I529" t="n">
        <v>3</v>
      </c>
      <c r="J529" t="inlineStr">
        <is>
          <t>Mediana</t>
        </is>
      </c>
      <c r="K529" t="n">
        <v>3</v>
      </c>
      <c r="L529" t="n">
        <v>3.749</v>
      </c>
      <c r="M529" t="n">
        <v>1</v>
      </c>
      <c r="N529" t="inlineStr">
        <is>
          <t>train</t>
        </is>
      </c>
      <c r="O529">
        <f>HYPERLINK("NoConsenso\marker_165_738734.png", "Ver Imagen")</f>
        <v/>
      </c>
      <c r="P529">
        <f>HYPERLINK("NE\A-490\A-490__83.png", "Ver Imagen")</f>
        <v/>
      </c>
    </row>
    <row r="530">
      <c r="A530" t="n">
        <v>4367</v>
      </c>
      <c r="B530" t="inlineStr">
        <is>
          <t>A-490__121</t>
        </is>
      </c>
      <c r="C530" t="n">
        <v>37.4513549669</v>
      </c>
      <c r="D530" t="n">
        <v>-7.15523651392</v>
      </c>
      <c r="E530" t="n">
        <v>2</v>
      </c>
      <c r="F530" t="n">
        <v>4</v>
      </c>
      <c r="G530" t="n">
        <v>4</v>
      </c>
      <c r="H530" t="n">
        <v>3</v>
      </c>
      <c r="I530" t="n">
        <v>3</v>
      </c>
      <c r="J530" t="inlineStr">
        <is>
          <t>Mediana</t>
        </is>
      </c>
      <c r="K530" t="n">
        <v>3</v>
      </c>
      <c r="L530" t="n">
        <v>3.563</v>
      </c>
      <c r="M530" t="n">
        <v>1</v>
      </c>
      <c r="N530" t="inlineStr">
        <is>
          <t>val</t>
        </is>
      </c>
      <c r="O530">
        <f>HYPERLINK("NoConsenso\marker_857_740038.png", "Ver Imagen")</f>
        <v/>
      </c>
      <c r="P530">
        <f>HYPERLINK("NE\A-490\A-490__121.png", "Ver Imagen")</f>
        <v/>
      </c>
    </row>
    <row r="531">
      <c r="A531" t="n">
        <v>4368</v>
      </c>
      <c r="B531" t="inlineStr">
        <is>
          <t>A-490__122</t>
        </is>
      </c>
      <c r="C531" t="n">
        <v>37.4514482334</v>
      </c>
      <c r="D531" t="n">
        <v>-7.15567107061</v>
      </c>
      <c r="E531" t="n">
        <v>3</v>
      </c>
      <c r="F531" t="n">
        <v>4</v>
      </c>
      <c r="G531" t="n">
        <v>5</v>
      </c>
      <c r="H531" t="n">
        <v>5</v>
      </c>
      <c r="I531" t="n">
        <v>4</v>
      </c>
      <c r="J531" t="inlineStr">
        <is>
          <t>Mediana</t>
        </is>
      </c>
      <c r="K531" t="n">
        <v>4</v>
      </c>
      <c r="L531" t="n">
        <v>3.23</v>
      </c>
      <c r="M531" t="n">
        <v>1</v>
      </c>
      <c r="N531" t="inlineStr">
        <is>
          <t>train</t>
        </is>
      </c>
      <c r="O531">
        <f>HYPERLINK("NoConsenso\marker_411_740073.png", "Ver Imagen")</f>
        <v/>
      </c>
      <c r="P531">
        <f>HYPERLINK("NE\A-490\A-490__122.png", "Ver Imagen")</f>
        <v/>
      </c>
    </row>
    <row r="532">
      <c r="A532" t="n">
        <v>4373</v>
      </c>
      <c r="B532" t="inlineStr">
        <is>
          <t>A-490__130</t>
        </is>
      </c>
      <c r="C532" t="n">
        <v>37.4518295212</v>
      </c>
      <c r="D532" t="n">
        <v>-7.15747761838</v>
      </c>
      <c r="E532" t="n">
        <v>1</v>
      </c>
      <c r="F532" t="n">
        <v>2</v>
      </c>
      <c r="G532" t="n">
        <v>3</v>
      </c>
      <c r="H532" t="n">
        <v>2</v>
      </c>
      <c r="I532" t="n">
        <v>2</v>
      </c>
      <c r="J532" t="inlineStr">
        <is>
          <t>Mediana</t>
        </is>
      </c>
      <c r="K532" t="n">
        <v>2</v>
      </c>
      <c r="L532" t="n">
        <v>2.657</v>
      </c>
      <c r="M532" t="n">
        <v>1</v>
      </c>
      <c r="N532" t="inlineStr">
        <is>
          <t>test</t>
        </is>
      </c>
      <c r="O532">
        <f>HYPERLINK("NoConsenso\marker_714_740241.png", "Ver Imagen")</f>
        <v/>
      </c>
      <c r="P532">
        <f>HYPERLINK("NE\A-490\A-490__130.png", "Ver Imagen")</f>
        <v/>
      </c>
    </row>
    <row r="533">
      <c r="A533" t="n">
        <v>4379</v>
      </c>
      <c r="B533" t="inlineStr">
        <is>
          <t>A-490__148</t>
        </is>
      </c>
      <c r="C533" t="n">
        <v>37.4529905875</v>
      </c>
      <c r="D533" t="n">
        <v>-7.16177723004</v>
      </c>
      <c r="E533" t="n">
        <v>1</v>
      </c>
      <c r="F533" t="n">
        <v>3</v>
      </c>
      <c r="G533" t="n">
        <v>3</v>
      </c>
      <c r="H533" t="n">
        <v>2</v>
      </c>
      <c r="I533" t="n">
        <v>1</v>
      </c>
      <c r="J533" t="inlineStr">
        <is>
          <t>Mediana</t>
        </is>
      </c>
      <c r="K533" t="n">
        <v>2</v>
      </c>
      <c r="L533" t="n">
        <v>2.63</v>
      </c>
      <c r="M533" t="n">
        <v>1</v>
      </c>
      <c r="N533" t="inlineStr">
        <is>
          <t>train</t>
        </is>
      </c>
      <c r="O533">
        <f>HYPERLINK("NoConsenso\marker_875_740718.png", "Ver Imagen")</f>
        <v/>
      </c>
      <c r="P533">
        <f>HYPERLINK("NE\A-490\A-490__148.png", "Ver Imagen")</f>
        <v/>
      </c>
    </row>
    <row r="534">
      <c r="A534" t="n">
        <v>4381</v>
      </c>
      <c r="B534" t="inlineStr">
        <is>
          <t>A-490__159</t>
        </is>
      </c>
      <c r="C534" t="n">
        <v>37.4541701596</v>
      </c>
      <c r="D534" t="n">
        <v>-7.16410897441</v>
      </c>
      <c r="E534" t="n">
        <v>1</v>
      </c>
      <c r="F534" t="n">
        <v>3</v>
      </c>
      <c r="G534" t="n">
        <v>3</v>
      </c>
      <c r="H534" t="n">
        <v>1</v>
      </c>
      <c r="I534" t="n">
        <v>1</v>
      </c>
      <c r="J534" t="inlineStr">
        <is>
          <t>Mediana</t>
        </is>
      </c>
      <c r="K534" t="n">
        <v>1</v>
      </c>
      <c r="L534" t="n">
        <v>1.567</v>
      </c>
      <c r="M534" t="n">
        <v>1</v>
      </c>
      <c r="N534" t="inlineStr">
        <is>
          <t>train</t>
        </is>
      </c>
      <c r="O534">
        <f>HYPERLINK("NoConsenso\marker_517_741201.png", "Ver Imagen")</f>
        <v/>
      </c>
      <c r="P534">
        <f>HYPERLINK("NE\A-490\A-490__159.png", "Ver Imagen")</f>
        <v/>
      </c>
    </row>
    <row r="535">
      <c r="A535" t="n">
        <v>4390</v>
      </c>
      <c r="B535" t="inlineStr">
        <is>
          <t>A-490__200</t>
        </is>
      </c>
      <c r="C535" t="n">
        <v>37.4598497992</v>
      </c>
      <c r="D535" t="n">
        <v>-7.17160969412</v>
      </c>
      <c r="E535" t="n">
        <v>1</v>
      </c>
      <c r="F535" t="n">
        <v>3</v>
      </c>
      <c r="G535" t="n">
        <v>2</v>
      </c>
      <c r="H535" t="n">
        <v>2</v>
      </c>
      <c r="I535" t="n">
        <v>3</v>
      </c>
      <c r="J535" t="inlineStr">
        <is>
          <t>Mediana</t>
        </is>
      </c>
      <c r="K535" t="n">
        <v>2</v>
      </c>
      <c r="L535" t="n">
        <v>2.801</v>
      </c>
      <c r="M535" t="n">
        <v>1</v>
      </c>
      <c r="N535" t="inlineStr">
        <is>
          <t>val</t>
        </is>
      </c>
      <c r="O535">
        <f>HYPERLINK("NoConsenso\marker_399_742352.png", "Ver Imagen")</f>
        <v/>
      </c>
      <c r="P535">
        <f>HYPERLINK("NE\A-490\A-490__200.png", "Ver Imagen")</f>
        <v/>
      </c>
    </row>
    <row r="536">
      <c r="A536" t="n">
        <v>4396</v>
      </c>
      <c r="B536" t="inlineStr">
        <is>
          <t>A-490__236</t>
        </is>
      </c>
      <c r="C536" t="n">
        <v>37.4642460513</v>
      </c>
      <c r="D536" t="n">
        <v>-7.17897794555</v>
      </c>
      <c r="E536" t="n">
        <v>2</v>
      </c>
      <c r="F536" t="n">
        <v>3</v>
      </c>
      <c r="G536" t="n">
        <v>4</v>
      </c>
      <c r="H536" t="n">
        <v>2</v>
      </c>
      <c r="I536" t="n">
        <v>2</v>
      </c>
      <c r="J536" t="inlineStr">
        <is>
          <t>Mediana</t>
        </is>
      </c>
      <c r="K536" t="n">
        <v>2</v>
      </c>
      <c r="L536" t="n">
        <v>2.591</v>
      </c>
      <c r="M536" t="n">
        <v>1</v>
      </c>
      <c r="N536" t="inlineStr">
        <is>
          <t>train</t>
        </is>
      </c>
      <c r="O536">
        <f>HYPERLINK("NoConsenso\marker_226_744014.png", "Ver Imagen")</f>
        <v/>
      </c>
      <c r="P536">
        <f>HYPERLINK("NE\A-490\A-490__236.png", "Ver Imagen")</f>
        <v/>
      </c>
    </row>
    <row r="537">
      <c r="A537" t="n">
        <v>4447</v>
      </c>
      <c r="B537" t="inlineStr">
        <is>
          <t>A-490__560</t>
        </is>
      </c>
      <c r="C537" t="n">
        <v>37.4906560147</v>
      </c>
      <c r="D537" t="n">
        <v>-7.25273619797</v>
      </c>
      <c r="E537" t="n">
        <v>1</v>
      </c>
      <c r="F537" t="n">
        <v>3</v>
      </c>
      <c r="G537" t="n">
        <v>2</v>
      </c>
      <c r="H537" t="n">
        <v>2</v>
      </c>
      <c r="I537" t="n">
        <v>1</v>
      </c>
      <c r="J537" t="inlineStr">
        <is>
          <t>Mediana</t>
        </is>
      </c>
      <c r="K537" t="n">
        <v>2</v>
      </c>
      <c r="L537" t="n">
        <v>1.251</v>
      </c>
      <c r="M537" t="n">
        <v>1</v>
      </c>
      <c r="N537" t="inlineStr">
        <is>
          <t>train</t>
        </is>
      </c>
      <c r="O537">
        <f>HYPERLINK("NoConsenso\marker_903_819175.png", "Ver Imagen")</f>
        <v/>
      </c>
      <c r="P537">
        <f>HYPERLINK("NO\A-490\A-490__560.png", "Ver Imagen")</f>
        <v/>
      </c>
    </row>
    <row r="538">
      <c r="A538" t="n">
        <v>4448</v>
      </c>
      <c r="B538" t="inlineStr">
        <is>
          <t>A-490__573</t>
        </is>
      </c>
      <c r="C538" t="n">
        <v>37.4903880445</v>
      </c>
      <c r="D538" t="n">
        <v>-7.25596807374</v>
      </c>
      <c r="E538" t="n">
        <v>1</v>
      </c>
      <c r="F538" t="n">
        <v>3</v>
      </c>
      <c r="G538" t="n">
        <v>2</v>
      </c>
      <c r="H538" t="n">
        <v>2</v>
      </c>
      <c r="I538" t="n">
        <v>2</v>
      </c>
      <c r="J538" t="inlineStr">
        <is>
          <t>Mediana</t>
        </is>
      </c>
      <c r="K538" t="n">
        <v>2</v>
      </c>
      <c r="L538" t="n">
        <v>1.158</v>
      </c>
      <c r="M538" t="n">
        <v>1</v>
      </c>
      <c r="N538" t="inlineStr">
        <is>
          <t>train</t>
        </is>
      </c>
      <c r="O538">
        <f>HYPERLINK("NoConsenso\marker_998_819375.png", "Ver Imagen")</f>
        <v/>
      </c>
      <c r="P538">
        <f>HYPERLINK("NO\A-490\A-490__573.png", "Ver Imagen")</f>
        <v/>
      </c>
    </row>
    <row r="539">
      <c r="A539" t="n">
        <v>4450</v>
      </c>
      <c r="B539" t="inlineStr">
        <is>
          <t>A-490__590</t>
        </is>
      </c>
      <c r="C539" t="n">
        <v>37.4905380275</v>
      </c>
      <c r="D539" t="n">
        <v>-7.26004519725</v>
      </c>
      <c r="E539" t="n">
        <v>1</v>
      </c>
      <c r="F539" t="n">
        <v>3</v>
      </c>
      <c r="G539" t="n">
        <v>3</v>
      </c>
      <c r="H539" t="n">
        <v>2</v>
      </c>
      <c r="I539" t="n">
        <v>1</v>
      </c>
      <c r="J539" t="inlineStr">
        <is>
          <t>Modificada</t>
        </is>
      </c>
      <c r="K539" t="n">
        <v>1</v>
      </c>
      <c r="L539" t="n">
        <v>1.79</v>
      </c>
      <c r="M539" t="n">
        <v>1</v>
      </c>
      <c r="N539" t="inlineStr">
        <is>
          <t>val</t>
        </is>
      </c>
      <c r="O539">
        <f>HYPERLINK("NoConsenso\marker_976_819627.png", "Ver Imagen")</f>
        <v/>
      </c>
      <c r="P539">
        <f>HYPERLINK("NO\A-490\A-490__590.png", "Ver Imagen")</f>
        <v/>
      </c>
    </row>
    <row r="540">
      <c r="A540" t="n">
        <v>4454</v>
      </c>
      <c r="B540" t="inlineStr">
        <is>
          <t>A-490__599</t>
        </is>
      </c>
      <c r="C540" t="n">
        <v>37.4919376158</v>
      </c>
      <c r="D540" t="n">
        <v>-7.26144353318</v>
      </c>
      <c r="E540" t="n">
        <v>2</v>
      </c>
      <c r="F540" t="n">
        <v>4</v>
      </c>
      <c r="G540" t="n">
        <v>3</v>
      </c>
      <c r="H540" t="n">
        <v>3</v>
      </c>
      <c r="I540" t="n">
        <v>3</v>
      </c>
      <c r="J540" t="inlineStr">
        <is>
          <t>Mediana</t>
        </is>
      </c>
      <c r="K540" t="n">
        <v>3</v>
      </c>
      <c r="L540" t="n">
        <v>3.802</v>
      </c>
      <c r="M540" t="n">
        <v>1</v>
      </c>
      <c r="N540" t="inlineStr">
        <is>
          <t>train</t>
        </is>
      </c>
      <c r="O540">
        <f>HYPERLINK("NoConsenso\marker_348_819813.png", "Ver Imagen")</f>
        <v/>
      </c>
      <c r="P540">
        <f>HYPERLINK("NO\A-490\A-490__599.png", "Ver Imagen")</f>
        <v/>
      </c>
    </row>
    <row r="541">
      <c r="A541" t="n">
        <v>4456</v>
      </c>
      <c r="B541" t="inlineStr">
        <is>
          <t>A-490__606</t>
        </is>
      </c>
      <c r="C541" t="n">
        <v>37.4928970295</v>
      </c>
      <c r="D541" t="n">
        <v>-7.2628089264</v>
      </c>
      <c r="E541" t="n">
        <v>1</v>
      </c>
      <c r="F541" t="n">
        <v>3</v>
      </c>
      <c r="G541" t="n">
        <v>2</v>
      </c>
      <c r="H541" t="n">
        <v>1</v>
      </c>
      <c r="I541" t="n">
        <v>2</v>
      </c>
      <c r="J541" t="inlineStr">
        <is>
          <t>Modificada</t>
        </is>
      </c>
      <c r="K541" t="n">
        <v>1</v>
      </c>
      <c r="L541" t="n">
        <v>1.623</v>
      </c>
      <c r="M541" t="n">
        <v>1</v>
      </c>
      <c r="N541" t="inlineStr">
        <is>
          <t>train</t>
        </is>
      </c>
      <c r="O541">
        <f>HYPERLINK("NoConsenso\marker_723_820163.png", "Ver Imagen")</f>
        <v/>
      </c>
      <c r="P541">
        <f>HYPERLINK("NO\A-490\A-490__606.png", "Ver Imagen")</f>
        <v/>
      </c>
    </row>
    <row r="542">
      <c r="A542" t="n">
        <v>4479</v>
      </c>
      <c r="B542" t="inlineStr">
        <is>
          <t>A-492__154</t>
        </is>
      </c>
      <c r="C542" t="n">
        <v>37.2756864688</v>
      </c>
      <c r="D542" t="n">
        <v>-7.01927299808</v>
      </c>
      <c r="E542" t="n">
        <v>1</v>
      </c>
      <c r="F542" t="n">
        <v>2</v>
      </c>
      <c r="G542" t="n">
        <v>3</v>
      </c>
      <c r="H542" t="n">
        <v>1</v>
      </c>
      <c r="I542" t="n">
        <v>1</v>
      </c>
      <c r="J542" t="inlineStr">
        <is>
          <t>Mediana</t>
        </is>
      </c>
      <c r="K542" t="n">
        <v>1</v>
      </c>
      <c r="L542" t="n">
        <v>1.782</v>
      </c>
      <c r="M542" t="n">
        <v>1</v>
      </c>
      <c r="N542" t="inlineStr">
        <is>
          <t>val</t>
        </is>
      </c>
      <c r="O542">
        <f>HYPERLINK("NoConsenso\marker_188_824885.png", "Ver Imagen")</f>
        <v/>
      </c>
      <c r="P542">
        <f>HYPERLINK("SE\A-492\A-492__154.png", "Ver Imagen")</f>
        <v/>
      </c>
    </row>
    <row r="543">
      <c r="A543" t="n">
        <v>4481</v>
      </c>
      <c r="B543" t="inlineStr">
        <is>
          <t>A-492__156</t>
        </is>
      </c>
      <c r="C543" t="n">
        <v>37.2757591115</v>
      </c>
      <c r="D543" t="n">
        <v>-7.01981766009</v>
      </c>
      <c r="E543" t="n">
        <v>1</v>
      </c>
      <c r="F543" t="n">
        <v>3</v>
      </c>
      <c r="G543" t="n">
        <v>3</v>
      </c>
      <c r="H543" t="n">
        <v>2</v>
      </c>
      <c r="I543" t="n">
        <v>2</v>
      </c>
      <c r="J543" t="inlineStr">
        <is>
          <t>Mediana</t>
        </is>
      </c>
      <c r="K543" t="n">
        <v>2</v>
      </c>
      <c r="L543" t="n">
        <v>3.027</v>
      </c>
      <c r="M543" t="n">
        <v>1</v>
      </c>
      <c r="N543" t="inlineStr">
        <is>
          <t>val</t>
        </is>
      </c>
      <c r="O543">
        <f>HYPERLINK("NoConsenso\marker_818_824908.png", "Ver Imagen")</f>
        <v/>
      </c>
      <c r="P543">
        <f>HYPERLINK("SE\A-492\A-492__156.png", "Ver Imagen")</f>
        <v/>
      </c>
    </row>
    <row r="544">
      <c r="A544" t="n">
        <v>4527</v>
      </c>
      <c r="B544" t="inlineStr">
        <is>
          <t>A-492__318</t>
        </is>
      </c>
      <c r="C544" t="n">
        <v>37.2950772699</v>
      </c>
      <c r="D544" t="n">
        <v>-7.04872048584</v>
      </c>
      <c r="E544" t="n">
        <v>2</v>
      </c>
      <c r="F544" t="n">
        <v>3</v>
      </c>
      <c r="G544" t="n">
        <v>4</v>
      </c>
      <c r="H544" t="n">
        <v>3</v>
      </c>
      <c r="I544" t="n">
        <v>3</v>
      </c>
      <c r="J544" t="inlineStr">
        <is>
          <t>Mediana</t>
        </is>
      </c>
      <c r="K544" t="n">
        <v>3</v>
      </c>
      <c r="L544" t="n">
        <v>2.289</v>
      </c>
      <c r="M544" t="n">
        <v>1</v>
      </c>
      <c r="N544" t="inlineStr">
        <is>
          <t>val</t>
        </is>
      </c>
      <c r="O544">
        <f>HYPERLINK("NoConsenso\marker_757_837928.png", "Ver Imagen")</f>
        <v/>
      </c>
      <c r="P544">
        <f>HYPERLINK("SE\A-492\A-492__318.png", "Ver Imagen")</f>
        <v/>
      </c>
    </row>
    <row r="545">
      <c r="A545" t="n">
        <v>4538</v>
      </c>
      <c r="B545" t="inlineStr">
        <is>
          <t>A-492__413</t>
        </is>
      </c>
      <c r="C545" t="n">
        <v>37.3111229731</v>
      </c>
      <c r="D545" t="n">
        <v>-7.05919033483</v>
      </c>
      <c r="E545" t="n">
        <v>1</v>
      </c>
      <c r="F545" t="n">
        <v>2</v>
      </c>
      <c r="G545" t="n">
        <v>3</v>
      </c>
      <c r="H545" t="n">
        <v>1</v>
      </c>
      <c r="I545" t="n">
        <v>2</v>
      </c>
      <c r="J545" t="inlineStr">
        <is>
          <t>Modificada</t>
        </is>
      </c>
      <c r="K545" t="n">
        <v>1</v>
      </c>
      <c r="L545" t="n">
        <v>2.095</v>
      </c>
      <c r="M545" t="n">
        <v>1</v>
      </c>
      <c r="N545" t="inlineStr">
        <is>
          <t>test</t>
        </is>
      </c>
      <c r="O545">
        <f>HYPERLINK("NoConsenso\marker_427_839322.png", "Ver Imagen")</f>
        <v/>
      </c>
      <c r="P545">
        <f>HYPERLINK("SE\A-492\A-492__413.png", "Ver Imagen")</f>
        <v/>
      </c>
    </row>
    <row r="546">
      <c r="A546" t="n">
        <v>4555</v>
      </c>
      <c r="B546" t="inlineStr">
        <is>
          <t>A-497__85</t>
        </is>
      </c>
      <c r="C546" t="n">
        <v>37.2692825511</v>
      </c>
      <c r="D546" t="n">
        <v>-6.97694645269</v>
      </c>
      <c r="E546" t="n">
        <v>3</v>
      </c>
      <c r="F546" t="n">
        <v>4</v>
      </c>
      <c r="G546" t="n">
        <v>5</v>
      </c>
      <c r="H546" t="n">
        <v>3</v>
      </c>
      <c r="I546" t="n">
        <v>4</v>
      </c>
      <c r="J546" t="inlineStr">
        <is>
          <t>Mediana</t>
        </is>
      </c>
      <c r="K546" t="n">
        <v>4</v>
      </c>
      <c r="L546" t="n">
        <v>2.951</v>
      </c>
      <c r="M546" t="n">
        <v>1</v>
      </c>
      <c r="N546" t="inlineStr">
        <is>
          <t>test</t>
        </is>
      </c>
      <c r="O546">
        <f>HYPERLINK("NoConsenso\marker_529_937406.png", "Ver Imagen")</f>
        <v/>
      </c>
      <c r="P546">
        <f>HYPERLINK("SE\A-497\A-497__85.png", "Ver Imagen")</f>
        <v/>
      </c>
    </row>
    <row r="547">
      <c r="A547" t="n">
        <v>4573</v>
      </c>
      <c r="B547" t="inlineStr">
        <is>
          <t>A-497__8</t>
        </is>
      </c>
      <c r="C547" t="n">
        <v>37.2666375152</v>
      </c>
      <c r="D547" t="n">
        <v>-6.95793610022</v>
      </c>
      <c r="E547" t="n">
        <v>2</v>
      </c>
      <c r="F547" t="n">
        <v>2</v>
      </c>
      <c r="G547" t="n">
        <v>4</v>
      </c>
      <c r="H547" t="n">
        <v>2</v>
      </c>
      <c r="I547" t="n">
        <v>3</v>
      </c>
      <c r="J547" t="inlineStr">
        <is>
          <t>Mediana</t>
        </is>
      </c>
      <c r="K547" t="n">
        <v>2</v>
      </c>
      <c r="L547" t="n">
        <v>3.307</v>
      </c>
      <c r="M547" t="n">
        <v>1</v>
      </c>
      <c r="N547" t="inlineStr">
        <is>
          <t>val</t>
        </is>
      </c>
      <c r="O547">
        <f>HYPERLINK("NoConsenso\marker_244_943995.png", "Ver Imagen")</f>
        <v/>
      </c>
      <c r="P547">
        <f>HYPERLINK("SE\A-497\A-497__8.png", "Ver Imagen")</f>
        <v/>
      </c>
    </row>
    <row r="548">
      <c r="A548" t="n">
        <v>4594</v>
      </c>
      <c r="B548" t="inlineStr">
        <is>
          <t>A-5053__254</t>
        </is>
      </c>
      <c r="C548" t="n">
        <v>37.267940994</v>
      </c>
      <c r="D548" t="n">
        <v>-7.13476942611</v>
      </c>
      <c r="E548" t="n">
        <v>5</v>
      </c>
      <c r="F548" t="n">
        <v>3</v>
      </c>
      <c r="G548" t="n">
        <v>4</v>
      </c>
      <c r="H548" t="n">
        <v>3</v>
      </c>
      <c r="I548" t="n">
        <v>4</v>
      </c>
      <c r="J548" t="inlineStr">
        <is>
          <t>Mediana</t>
        </is>
      </c>
      <c r="K548" t="n">
        <v>4</v>
      </c>
      <c r="L548" t="n">
        <v>3.274</v>
      </c>
      <c r="M548" t="n">
        <v>1</v>
      </c>
      <c r="N548" t="inlineStr">
        <is>
          <t>train</t>
        </is>
      </c>
      <c r="O548">
        <f>HYPERLINK("NoConsenso\marker_705_965314.png", "Ver Imagen")</f>
        <v/>
      </c>
      <c r="P548">
        <f>HYPERLINK("SO\A-5053\A-5053__254.png", "Ver Imagen")</f>
        <v/>
      </c>
    </row>
    <row r="549">
      <c r="A549" t="n">
        <v>4603</v>
      </c>
      <c r="B549" t="inlineStr">
        <is>
          <t>A-495__64</t>
        </is>
      </c>
      <c r="C549" t="n">
        <v>37.4391015909</v>
      </c>
      <c r="D549" t="n">
        <v>-7.08573929323</v>
      </c>
      <c r="E549" t="n">
        <v>3</v>
      </c>
      <c r="F549" t="n">
        <v>3</v>
      </c>
      <c r="G549" t="n">
        <v>5</v>
      </c>
      <c r="H549" t="n">
        <v>2</v>
      </c>
      <c r="I549" t="n">
        <v>1</v>
      </c>
      <c r="J549" t="inlineStr">
        <is>
          <t>Modificada</t>
        </is>
      </c>
      <c r="K549" t="n">
        <v>2</v>
      </c>
      <c r="L549" t="n">
        <v>2.773</v>
      </c>
      <c r="M549" t="n">
        <v>1</v>
      </c>
      <c r="N549" t="inlineStr">
        <is>
          <t>val</t>
        </is>
      </c>
      <c r="O549">
        <f>HYPERLINK("NoConsenso\marker_638_381752.png", "Ver Imagen")</f>
        <v/>
      </c>
      <c r="P549">
        <f>HYPERLINK("NE\A-495\A-495__64.png", "Ver Imagen")</f>
        <v/>
      </c>
    </row>
    <row r="550">
      <c r="A550" t="n">
        <v>4617</v>
      </c>
      <c r="B550" t="inlineStr">
        <is>
          <t>A-495__129</t>
        </is>
      </c>
      <c r="C550" t="n">
        <v>37.435171062</v>
      </c>
      <c r="D550" t="n">
        <v>-7.0707321871</v>
      </c>
      <c r="E550" t="n">
        <v>3</v>
      </c>
      <c r="F550" t="n">
        <v>3</v>
      </c>
      <c r="G550" t="n">
        <v>1</v>
      </c>
      <c r="H550" t="n">
        <v>3</v>
      </c>
      <c r="I550" t="n">
        <v>3</v>
      </c>
      <c r="J550" t="inlineStr">
        <is>
          <t>Mediana</t>
        </is>
      </c>
      <c r="K550" t="n">
        <v>3</v>
      </c>
      <c r="L550" t="n">
        <v>2.274</v>
      </c>
      <c r="M550" t="n">
        <v>1</v>
      </c>
      <c r="N550" t="inlineStr">
        <is>
          <t>train</t>
        </is>
      </c>
      <c r="O550">
        <f>HYPERLINK("NoConsenso\marker_569_382466.png", "Ver Imagen")</f>
        <v/>
      </c>
      <c r="P550">
        <f>HYPERLINK("NE\A-495\A-495__129.png", "Ver Imagen")</f>
        <v/>
      </c>
    </row>
    <row r="551">
      <c r="A551" t="n">
        <v>4618</v>
      </c>
      <c r="B551" t="inlineStr">
        <is>
          <t>A-495__134</t>
        </is>
      </c>
      <c r="C551" t="n">
        <v>37.4349035992</v>
      </c>
      <c r="D551" t="n">
        <v>-7.0695227485</v>
      </c>
      <c r="E551" t="n">
        <v>3</v>
      </c>
      <c r="F551" t="n">
        <v>3</v>
      </c>
      <c r="G551" t="n">
        <v>1</v>
      </c>
      <c r="H551" t="n">
        <v>3</v>
      </c>
      <c r="I551" t="n">
        <v>3</v>
      </c>
      <c r="J551" t="inlineStr">
        <is>
          <t>Mediana</t>
        </is>
      </c>
      <c r="K551" t="n">
        <v>3</v>
      </c>
      <c r="L551" t="n">
        <v>1.912</v>
      </c>
      <c r="M551" t="n">
        <v>1</v>
      </c>
      <c r="N551" t="inlineStr">
        <is>
          <t>val</t>
        </is>
      </c>
      <c r="O551">
        <f>HYPERLINK("NoConsenso\marker_994_382519.png", "Ver Imagen")</f>
        <v/>
      </c>
      <c r="P551">
        <f>HYPERLINK("NE\A-495\A-495__134.png", "Ver Imagen")</f>
        <v/>
      </c>
    </row>
    <row r="552">
      <c r="A552" t="n">
        <v>4624</v>
      </c>
      <c r="B552" t="inlineStr">
        <is>
          <t>A-5058__254</t>
        </is>
      </c>
      <c r="C552" t="n">
        <v>37.2418042616</v>
      </c>
      <c r="D552" t="n">
        <v>-7.0841646257</v>
      </c>
      <c r="E552" t="n">
        <v>3</v>
      </c>
      <c r="F552" t="n">
        <v>2</v>
      </c>
      <c r="G552" t="n">
        <v>4</v>
      </c>
      <c r="H552" t="n">
        <v>2</v>
      </c>
      <c r="I552" t="n">
        <v>2</v>
      </c>
      <c r="J552" t="inlineStr">
        <is>
          <t>Mediana</t>
        </is>
      </c>
      <c r="K552" t="n">
        <v>2</v>
      </c>
      <c r="L552" t="n">
        <v>2.566</v>
      </c>
      <c r="M552" t="n">
        <v>1</v>
      </c>
      <c r="N552" t="inlineStr">
        <is>
          <t>train</t>
        </is>
      </c>
      <c r="O552">
        <f>HYPERLINK("NoConsenso\marker_309_383584.png", "Ver Imagen")</f>
        <v/>
      </c>
      <c r="P552">
        <f>HYPERLINK("SE\A-5058\A-5058__254.png", "Ver Imagen")</f>
        <v/>
      </c>
    </row>
    <row r="553">
      <c r="A553" t="n">
        <v>4624</v>
      </c>
      <c r="B553" t="inlineStr">
        <is>
          <t>A-5058__254</t>
        </is>
      </c>
      <c r="C553" t="n">
        <v>37.2418042616</v>
      </c>
      <c r="D553" t="n">
        <v>-7.0841646257</v>
      </c>
      <c r="E553" t="n">
        <v>3</v>
      </c>
      <c r="F553" t="n">
        <v>2</v>
      </c>
      <c r="G553" t="n">
        <v>4</v>
      </c>
      <c r="H553" t="n">
        <v>2</v>
      </c>
      <c r="I553" t="n">
        <v>2</v>
      </c>
      <c r="J553" t="inlineStr">
        <is>
          <t>Mediana</t>
        </is>
      </c>
      <c r="K553" t="n">
        <v>2</v>
      </c>
      <c r="L553" t="n">
        <v>2.604</v>
      </c>
      <c r="M553" t="n">
        <v>1</v>
      </c>
      <c r="N553" t="inlineStr">
        <is>
          <t>train</t>
        </is>
      </c>
      <c r="O553">
        <f>HYPERLINK("NoConsenso\marker_309_383584.png", "Ver Imagen")</f>
        <v/>
      </c>
      <c r="P553">
        <f>HYPERLINK("SO\A-5058\A-5058__254.png", "Ver Imagen")</f>
        <v/>
      </c>
    </row>
    <row r="554">
      <c r="A554" t="n">
        <v>4625</v>
      </c>
      <c r="B554" t="inlineStr">
        <is>
          <t>A-5058__329</t>
        </is>
      </c>
      <c r="C554" t="n">
        <v>37.2478216587</v>
      </c>
      <c r="D554" t="n">
        <v>-7.10118083706</v>
      </c>
      <c r="E554" t="n">
        <v>3</v>
      </c>
      <c r="F554" t="n">
        <v>2</v>
      </c>
      <c r="G554" t="n">
        <v>4</v>
      </c>
      <c r="H554" t="n">
        <v>2</v>
      </c>
      <c r="I554" t="n">
        <v>3</v>
      </c>
      <c r="J554" t="inlineStr">
        <is>
          <t>Modificada</t>
        </is>
      </c>
      <c r="K554" t="n">
        <v>2</v>
      </c>
      <c r="L554" t="n">
        <v>2.659</v>
      </c>
      <c r="M554" t="n">
        <v>1</v>
      </c>
      <c r="N554" t="inlineStr">
        <is>
          <t>val</t>
        </is>
      </c>
      <c r="O554">
        <f>HYPERLINK("NoConsenso\marker_336_384611.png", "Ver Imagen")</f>
        <v/>
      </c>
      <c r="P554">
        <f>HYPERLINK("SE\A-5058\A-5058__329.png", "Ver Imagen")</f>
        <v/>
      </c>
    </row>
    <row r="555">
      <c r="A555" t="n">
        <v>4625</v>
      </c>
      <c r="B555" t="inlineStr">
        <is>
          <t>A-5058__329</t>
        </is>
      </c>
      <c r="C555" t="n">
        <v>37.2478216587</v>
      </c>
      <c r="D555" t="n">
        <v>-7.10118083706</v>
      </c>
      <c r="E555" t="n">
        <v>3</v>
      </c>
      <c r="F555" t="n">
        <v>2</v>
      </c>
      <c r="G555" t="n">
        <v>4</v>
      </c>
      <c r="H555" t="n">
        <v>2</v>
      </c>
      <c r="I555" t="n">
        <v>3</v>
      </c>
      <c r="J555" t="inlineStr">
        <is>
          <t>Modificada</t>
        </is>
      </c>
      <c r="K555" t="n">
        <v>2</v>
      </c>
      <c r="L555" t="n">
        <v>3.143</v>
      </c>
      <c r="M555" t="n">
        <v>1</v>
      </c>
      <c r="N555" t="inlineStr">
        <is>
          <t>val</t>
        </is>
      </c>
      <c r="O555">
        <f>HYPERLINK("NoConsenso\marker_336_384611.png", "Ver Imagen")</f>
        <v/>
      </c>
      <c r="P555">
        <f>HYPERLINK("SO\A-5058\A-5058__329.png", "Ver Imagen")</f>
        <v/>
      </c>
    </row>
    <row r="556">
      <c r="A556" t="n">
        <v>4636</v>
      </c>
      <c r="B556" t="inlineStr">
        <is>
          <t>A-5058__459</t>
        </is>
      </c>
      <c r="C556" t="n">
        <v>37.2598711331</v>
      </c>
      <c r="D556" t="n">
        <v>-7.126470216</v>
      </c>
      <c r="E556" t="n">
        <v>3</v>
      </c>
      <c r="F556" t="n">
        <v>2</v>
      </c>
      <c r="G556" t="n">
        <v>4</v>
      </c>
      <c r="H556" t="n">
        <v>2</v>
      </c>
      <c r="I556" t="n">
        <v>2</v>
      </c>
      <c r="J556" t="inlineStr">
        <is>
          <t>Mediana</t>
        </is>
      </c>
      <c r="K556" t="n">
        <v>2</v>
      </c>
      <c r="L556" t="n">
        <v>2.676</v>
      </c>
      <c r="M556" t="n">
        <v>1</v>
      </c>
      <c r="N556" t="inlineStr">
        <is>
          <t>train</t>
        </is>
      </c>
      <c r="O556">
        <f>HYPERLINK("NoConsenso\marker_807_389303.png", "Ver Imagen")</f>
        <v/>
      </c>
      <c r="P556">
        <f>HYPERLINK("SO\A-5058\A-5058__459.png", "Ver Imagen")</f>
        <v/>
      </c>
    </row>
    <row r="557">
      <c r="A557" t="n">
        <v>4637</v>
      </c>
      <c r="B557" t="inlineStr">
        <is>
          <t>A-5058__463</t>
        </is>
      </c>
      <c r="C557" t="n">
        <v>37.2604935375</v>
      </c>
      <c r="D557" t="n">
        <v>-7.12709472064</v>
      </c>
      <c r="E557" t="n">
        <v>3</v>
      </c>
      <c r="F557" t="n">
        <v>2</v>
      </c>
      <c r="G557" t="n">
        <v>4</v>
      </c>
      <c r="H557" t="n">
        <v>2</v>
      </c>
      <c r="I557" t="n">
        <v>2</v>
      </c>
      <c r="J557" t="inlineStr">
        <is>
          <t>Mediana</t>
        </is>
      </c>
      <c r="K557" t="n">
        <v>2</v>
      </c>
      <c r="L557" t="n">
        <v>2.546</v>
      </c>
      <c r="M557" t="n">
        <v>1</v>
      </c>
      <c r="N557" t="inlineStr">
        <is>
          <t>train</t>
        </is>
      </c>
      <c r="O557">
        <f>HYPERLINK("NoConsenso\marker_358_389342.png", "Ver Imagen")</f>
        <v/>
      </c>
      <c r="P557">
        <f>HYPERLINK("SO\A-5058\A-5058__463.png", "Ver Imagen")</f>
        <v/>
      </c>
    </row>
    <row r="558">
      <c r="A558" t="n">
        <v>4639</v>
      </c>
      <c r="B558" t="inlineStr">
        <is>
          <t>A-495__2</t>
        </is>
      </c>
      <c r="C558" t="n">
        <v>37.4440861116</v>
      </c>
      <c r="D558" t="n">
        <v>-7.10000214935</v>
      </c>
      <c r="E558" t="n">
        <v>5</v>
      </c>
      <c r="F558" t="n">
        <v>3</v>
      </c>
      <c r="G558" t="n">
        <v>3</v>
      </c>
      <c r="H558" t="n">
        <v>4</v>
      </c>
      <c r="I558" t="n">
        <v>3</v>
      </c>
      <c r="J558" t="inlineStr">
        <is>
          <t>Mediana</t>
        </is>
      </c>
      <c r="K558" t="n">
        <v>3</v>
      </c>
      <c r="L558" t="n">
        <v>2.432</v>
      </c>
      <c r="M558" t="n">
        <v>1</v>
      </c>
      <c r="N558" t="inlineStr">
        <is>
          <t>test</t>
        </is>
      </c>
      <c r="O558">
        <f>HYPERLINK("NoConsenso\marker_986_380981.png", "Ver Imagen")</f>
        <v/>
      </c>
      <c r="P558">
        <f>HYPERLINK("NE\A-495\A-495__2.png", "Ver Imagen")</f>
        <v/>
      </c>
    </row>
    <row r="559">
      <c r="A559" t="n">
        <v>4652</v>
      </c>
      <c r="B559" t="inlineStr">
        <is>
          <t>A-497__755</t>
        </is>
      </c>
      <c r="C559" t="n">
        <v>37.1863844679</v>
      </c>
      <c r="D559" t="n">
        <v>-6.9797013794</v>
      </c>
      <c r="E559" t="n">
        <v>3</v>
      </c>
      <c r="F559" t="n">
        <v>4</v>
      </c>
      <c r="G559" t="n">
        <v>5</v>
      </c>
      <c r="H559" t="n">
        <v>3</v>
      </c>
      <c r="I559" t="n">
        <v>4</v>
      </c>
      <c r="J559" t="inlineStr">
        <is>
          <t>Mediana</t>
        </is>
      </c>
      <c r="K559" t="n">
        <v>4</v>
      </c>
      <c r="L559" t="n">
        <v>3.152</v>
      </c>
      <c r="M559" t="n">
        <v>1</v>
      </c>
      <c r="N559" t="inlineStr">
        <is>
          <t>test</t>
        </is>
      </c>
      <c r="O559">
        <f>HYPERLINK("NoConsenso\marker_531_368623.png", "Ver Imagen")</f>
        <v/>
      </c>
      <c r="P559">
        <f>HYPERLINK("SE\A-497\A-497__755.png", "Ver Imagen")</f>
        <v/>
      </c>
    </row>
    <row r="560">
      <c r="A560" t="n">
        <v>4660</v>
      </c>
      <c r="B560" t="inlineStr">
        <is>
          <t>A-499__148</t>
        </is>
      </c>
      <c r="C560" t="n">
        <v>37.5080514294</v>
      </c>
      <c r="D560" t="n">
        <v>-7.26640151679</v>
      </c>
      <c r="E560" t="n">
        <v>2</v>
      </c>
      <c r="F560" t="n">
        <v>1</v>
      </c>
      <c r="G560" t="n">
        <v>3</v>
      </c>
      <c r="H560" t="n">
        <v>1</v>
      </c>
      <c r="I560" t="n">
        <v>1</v>
      </c>
      <c r="J560" t="inlineStr">
        <is>
          <t>Mediana</t>
        </is>
      </c>
      <c r="K560" t="n">
        <v>1</v>
      </c>
      <c r="L560" t="n">
        <v>2.272</v>
      </c>
      <c r="M560" t="n">
        <v>1</v>
      </c>
      <c r="N560" t="inlineStr">
        <is>
          <t>val</t>
        </is>
      </c>
      <c r="O560">
        <f>HYPERLINK("NoConsenso\marker_814_794252.png", "Ver Imagen")</f>
        <v/>
      </c>
      <c r="P560">
        <f>HYPERLINK("NO\A-499\A-499__148.png", "Ver Imagen")</f>
        <v/>
      </c>
    </row>
    <row r="561">
      <c r="A561" t="n">
        <v>4668</v>
      </c>
      <c r="B561" t="inlineStr">
        <is>
          <t>A-499__236</t>
        </is>
      </c>
      <c r="C561" t="n">
        <v>37.5221139959</v>
      </c>
      <c r="D561" t="n">
        <v>-7.25950412397</v>
      </c>
      <c r="E561" t="n">
        <v>2</v>
      </c>
      <c r="F561" t="n">
        <v>1</v>
      </c>
      <c r="G561" t="n">
        <v>3</v>
      </c>
      <c r="H561" t="n">
        <v>1</v>
      </c>
      <c r="I561" t="n">
        <v>1</v>
      </c>
      <c r="J561" t="inlineStr">
        <is>
          <t>Mediana</t>
        </is>
      </c>
      <c r="K561" t="n">
        <v>1</v>
      </c>
      <c r="L561" t="n">
        <v>1.924</v>
      </c>
      <c r="M561" t="n">
        <v>1</v>
      </c>
      <c r="N561" t="inlineStr">
        <is>
          <t>test</t>
        </is>
      </c>
      <c r="O561">
        <f>HYPERLINK("NoConsenso\marker_538_796726.png", "Ver Imagen")</f>
        <v/>
      </c>
      <c r="P561">
        <f>HYPERLINK("NO\A-499\A-499__236.png", "Ver Imagen")</f>
        <v/>
      </c>
    </row>
    <row r="562">
      <c r="A562" t="n">
        <v>4681</v>
      </c>
      <c r="B562" t="inlineStr">
        <is>
          <t>A-497__674</t>
        </is>
      </c>
      <c r="C562" t="n">
        <v>37.1996242826</v>
      </c>
      <c r="D562" t="n">
        <v>-6.98437926403</v>
      </c>
      <c r="E562" t="n">
        <v>2</v>
      </c>
      <c r="F562" t="n">
        <v>3</v>
      </c>
      <c r="G562" t="n">
        <v>4</v>
      </c>
      <c r="H562" t="n">
        <v>2</v>
      </c>
      <c r="I562" t="n">
        <v>1</v>
      </c>
      <c r="J562" t="inlineStr">
        <is>
          <t>Mediana</t>
        </is>
      </c>
      <c r="K562" t="n">
        <v>2</v>
      </c>
      <c r="L562" t="n">
        <v>2.663</v>
      </c>
      <c r="M562" t="n">
        <v>1</v>
      </c>
      <c r="N562" t="inlineStr">
        <is>
          <t>test</t>
        </is>
      </c>
      <c r="O562">
        <f>HYPERLINK("NoConsenso\marker_449_370740.png", "Ver Imagen")</f>
        <v/>
      </c>
      <c r="P562">
        <f>HYPERLINK("SE\A-497\A-497__674.png", "Ver Imagen")</f>
        <v/>
      </c>
    </row>
    <row r="563">
      <c r="A563" t="n">
        <v>4689</v>
      </c>
      <c r="B563" t="inlineStr">
        <is>
          <t>A-497_2C__263</t>
        </is>
      </c>
      <c r="C563" t="n">
        <v>37.2562801006</v>
      </c>
      <c r="D563" t="n">
        <v>-7.01407125835</v>
      </c>
      <c r="E563" t="n">
        <v>2</v>
      </c>
      <c r="F563" t="n">
        <v>4</v>
      </c>
      <c r="G563" t="n">
        <v>3</v>
      </c>
      <c r="H563" t="n">
        <v>3</v>
      </c>
      <c r="I563" t="n">
        <v>2</v>
      </c>
      <c r="J563" t="inlineStr">
        <is>
          <t>Mediana</t>
        </is>
      </c>
      <c r="K563" t="n">
        <v>3</v>
      </c>
      <c r="L563" t="n">
        <v>2.482</v>
      </c>
      <c r="M563" t="n">
        <v>1</v>
      </c>
      <c r="N563" t="inlineStr">
        <is>
          <t>val</t>
        </is>
      </c>
      <c r="O563">
        <f>HYPERLINK("NoConsenso\marker_100_319657.png", "Ver Imagen")</f>
        <v/>
      </c>
      <c r="P563">
        <f>HYPERLINK("SE\A-497_2C\A-497_2C__263.png", "Ver Imagen")</f>
        <v/>
      </c>
    </row>
    <row r="564">
      <c r="A564" t="n">
        <v>4691</v>
      </c>
      <c r="B564" t="inlineStr">
        <is>
          <t>A-497__582</t>
        </is>
      </c>
      <c r="C564" t="n">
        <v>37.20352481</v>
      </c>
      <c r="D564" t="n">
        <v>-7.00716489834</v>
      </c>
      <c r="E564" t="n">
        <v>5</v>
      </c>
      <c r="F564" t="n">
        <v>3</v>
      </c>
      <c r="G564" t="n">
        <v>4</v>
      </c>
      <c r="H564" t="n">
        <v>2</v>
      </c>
      <c r="I564" t="n">
        <v>2</v>
      </c>
      <c r="J564" t="inlineStr">
        <is>
          <t>Mediana</t>
        </is>
      </c>
      <c r="K564" t="n">
        <v>3</v>
      </c>
      <c r="L564" t="n">
        <v>3.819</v>
      </c>
      <c r="M564" t="n">
        <v>1</v>
      </c>
      <c r="N564" t="inlineStr">
        <is>
          <t>val</t>
        </is>
      </c>
      <c r="O564">
        <f>HYPERLINK("NoConsenso\marker_780_371907.png", "Ver Imagen")</f>
        <v/>
      </c>
      <c r="P564">
        <f>HYPERLINK("SE\A-497\A-497__582.png", "Ver Imagen")</f>
        <v/>
      </c>
    </row>
    <row r="565">
      <c r="A565" t="n">
        <v>4694</v>
      </c>
      <c r="B565" t="inlineStr">
        <is>
          <t>A-497__577</t>
        </is>
      </c>
      <c r="C565" t="n">
        <v>37.2036983114</v>
      </c>
      <c r="D565" t="n">
        <v>-7.00833121135</v>
      </c>
      <c r="E565" t="n">
        <v>5</v>
      </c>
      <c r="F565" t="n">
        <v>4</v>
      </c>
      <c r="G565" t="n">
        <v>3</v>
      </c>
      <c r="H565" t="n">
        <v>3</v>
      </c>
      <c r="I565" t="n">
        <v>4</v>
      </c>
      <c r="J565" t="inlineStr">
        <is>
          <t>Mediana</t>
        </is>
      </c>
      <c r="K565" t="n">
        <v>4</v>
      </c>
      <c r="L565" t="n">
        <v>3.386</v>
      </c>
      <c r="M565" t="n">
        <v>1</v>
      </c>
      <c r="N565" t="inlineStr">
        <is>
          <t>train</t>
        </is>
      </c>
      <c r="O565">
        <f>HYPERLINK("NoConsenso\marker_823_371954.png", "Ver Imagen")</f>
        <v/>
      </c>
      <c r="P565">
        <f>HYPERLINK("SE\A-497\A-497__577.png", "Ver Imagen")</f>
        <v/>
      </c>
    </row>
    <row r="566">
      <c r="A566" t="n">
        <v>4702</v>
      </c>
      <c r="B566" t="inlineStr">
        <is>
          <t>A-497__535</t>
        </is>
      </c>
      <c r="C566" t="n">
        <v>37.2057694828</v>
      </c>
      <c r="D566" t="n">
        <v>-7.01864074472</v>
      </c>
      <c r="E566" t="n">
        <v>5</v>
      </c>
      <c r="F566" t="n">
        <v>3</v>
      </c>
      <c r="G566" t="n">
        <v>4</v>
      </c>
      <c r="H566" t="n">
        <v>3</v>
      </c>
      <c r="I566" t="n">
        <v>2</v>
      </c>
      <c r="J566" t="inlineStr">
        <is>
          <t>Mediana</t>
        </is>
      </c>
      <c r="K566" t="n">
        <v>3</v>
      </c>
      <c r="L566" t="n">
        <v>2.36</v>
      </c>
      <c r="M566" t="n">
        <v>1</v>
      </c>
      <c r="N566" t="inlineStr">
        <is>
          <t>val</t>
        </is>
      </c>
      <c r="O566">
        <f>HYPERLINK("NoConsenso\marker_665_372441.png", "Ver Imagen")</f>
        <v/>
      </c>
      <c r="P566">
        <f>HYPERLINK("SE\A-497\A-497__535.png", "Ver Imagen")</f>
        <v/>
      </c>
    </row>
    <row r="567">
      <c r="A567" t="n">
        <v>4710</v>
      </c>
      <c r="B567" t="inlineStr">
        <is>
          <t>A-497_2C__373</t>
        </is>
      </c>
      <c r="C567" t="n">
        <v>37.2347861795</v>
      </c>
      <c r="D567" t="n">
        <v>-7.01823234776</v>
      </c>
      <c r="E567" t="n">
        <v>4</v>
      </c>
      <c r="F567" t="n">
        <v>2</v>
      </c>
      <c r="G567" t="n">
        <v>3</v>
      </c>
      <c r="H567" t="n">
        <v>2</v>
      </c>
      <c r="I567" t="n">
        <v>2</v>
      </c>
      <c r="J567" t="inlineStr">
        <is>
          <t>Mediana</t>
        </is>
      </c>
      <c r="K567" t="n">
        <v>2</v>
      </c>
      <c r="L567" t="n">
        <v>2.927</v>
      </c>
      <c r="M567" t="n">
        <v>1</v>
      </c>
      <c r="N567" t="inlineStr">
        <is>
          <t>val</t>
        </is>
      </c>
      <c r="O567">
        <f>HYPERLINK("NoConsenso\marker_830_362521.png", "Ver Imagen")</f>
        <v/>
      </c>
      <c r="P567">
        <f>HYPERLINK("SE\A-497_2C\A-497_2C__373.png", "Ver Imagen")</f>
        <v/>
      </c>
    </row>
    <row r="568">
      <c r="A568" t="n">
        <v>4722</v>
      </c>
      <c r="B568" t="inlineStr">
        <is>
          <t>A-497__235</t>
        </is>
      </c>
      <c r="C568" t="n">
        <v>37.2620191092</v>
      </c>
      <c r="D568" t="n">
        <v>-7.01001355212</v>
      </c>
      <c r="E568" t="n">
        <v>4</v>
      </c>
      <c r="F568" t="n">
        <v>2</v>
      </c>
      <c r="G568" t="n">
        <v>3</v>
      </c>
      <c r="H568" t="n">
        <v>2</v>
      </c>
      <c r="I568" t="n">
        <v>2</v>
      </c>
      <c r="J568" t="inlineStr">
        <is>
          <t>Mediana</t>
        </is>
      </c>
      <c r="K568" t="n">
        <v>2</v>
      </c>
      <c r="L568" t="n">
        <v>2.68</v>
      </c>
      <c r="M568" t="n">
        <v>1</v>
      </c>
      <c r="N568" t="inlineStr">
        <is>
          <t>test</t>
        </is>
      </c>
      <c r="O568">
        <f>HYPERLINK("NoConsenso\marker_183_378976.png", "Ver Imagen")</f>
        <v/>
      </c>
      <c r="P568">
        <f>HYPERLINK("SE\A-497\A-497__235.png", "Ver Imagen")</f>
        <v/>
      </c>
    </row>
    <row r="569">
      <c r="A569" t="n">
        <v>4730</v>
      </c>
      <c r="B569" t="inlineStr">
        <is>
          <t>A-497__679</t>
        </is>
      </c>
      <c r="C569" t="n">
        <v>37.1992882352</v>
      </c>
      <c r="D569" t="n">
        <v>-6.98323079123</v>
      </c>
      <c r="E569" t="n">
        <v>2</v>
      </c>
      <c r="F569" t="n">
        <v>3</v>
      </c>
      <c r="G569" t="n">
        <v>5</v>
      </c>
      <c r="H569" t="n">
        <v>2</v>
      </c>
      <c r="I569" t="n">
        <v>3</v>
      </c>
      <c r="J569" t="inlineStr">
        <is>
          <t>Mediana</t>
        </is>
      </c>
      <c r="K569" t="n">
        <v>3</v>
      </c>
      <c r="L569" t="n">
        <v>2.162</v>
      </c>
      <c r="M569" t="n">
        <v>1</v>
      </c>
      <c r="N569" t="inlineStr">
        <is>
          <t>test</t>
        </is>
      </c>
      <c r="O569">
        <f>HYPERLINK("NoConsenso\marker_546_370583.png", "Ver Imagen")</f>
        <v/>
      </c>
      <c r="P569">
        <f>HYPERLINK("SE\A-497\A-497__679.png", "Ver Imagen")</f>
        <v/>
      </c>
    </row>
    <row r="570">
      <c r="A570" t="n">
        <v>4735</v>
      </c>
      <c r="B570" t="inlineStr">
        <is>
          <t>A-490__114</t>
        </is>
      </c>
      <c r="C570" t="n">
        <v>37.4508363802</v>
      </c>
      <c r="D570" t="n">
        <v>-7.15362006327</v>
      </c>
      <c r="E570" t="n">
        <v>2</v>
      </c>
      <c r="F570" t="n">
        <v>5</v>
      </c>
      <c r="G570" t="n">
        <v>4</v>
      </c>
      <c r="H570" t="n">
        <v>4</v>
      </c>
      <c r="I570" t="n">
        <v>4</v>
      </c>
      <c r="J570" t="inlineStr">
        <is>
          <t>Mediana</t>
        </is>
      </c>
      <c r="K570" t="n">
        <v>4</v>
      </c>
      <c r="L570" t="n">
        <v>3.404</v>
      </c>
      <c r="M570" t="n">
        <v>1</v>
      </c>
      <c r="N570" t="inlineStr">
        <is>
          <t>train</t>
        </is>
      </c>
      <c r="O570">
        <f>HYPERLINK("NoConsenso\marker_164_739861.png", "Ver Imagen")</f>
        <v/>
      </c>
      <c r="P570">
        <f>HYPERLINK("NE\A-490\A-490__114.png", "Ver Imagen")</f>
        <v/>
      </c>
    </row>
    <row r="571">
      <c r="A571" t="n">
        <v>4741</v>
      </c>
      <c r="B571" t="inlineStr">
        <is>
          <t>A-490__54</t>
        </is>
      </c>
      <c r="C571" t="n">
        <v>37.4470728854</v>
      </c>
      <c r="D571" t="n">
        <v>-7.13952394084</v>
      </c>
      <c r="E571" t="n">
        <v>2</v>
      </c>
      <c r="F571" t="n">
        <v>5</v>
      </c>
      <c r="G571" t="n">
        <v>5</v>
      </c>
      <c r="H571" t="n">
        <v>4</v>
      </c>
      <c r="I571" t="n">
        <v>5</v>
      </c>
      <c r="J571" t="inlineStr">
        <is>
          <t>Mediana</t>
        </is>
      </c>
      <c r="K571" t="n">
        <v>5</v>
      </c>
      <c r="L571" t="n">
        <v>3.829</v>
      </c>
      <c r="M571" t="n">
        <v>1</v>
      </c>
      <c r="N571" t="inlineStr">
        <is>
          <t>test</t>
        </is>
      </c>
      <c r="O571">
        <f>HYPERLINK("NoConsenso\marker_904_732381.png", "Ver Imagen")</f>
        <v/>
      </c>
      <c r="P571">
        <f>HYPERLINK("NE\A-490\A-490__54.png", "Ver Imagen")</f>
        <v/>
      </c>
    </row>
    <row r="572">
      <c r="A572" t="n">
        <v>4742</v>
      </c>
      <c r="B572" t="inlineStr">
        <is>
          <t>A-497__86</t>
        </is>
      </c>
      <c r="C572" t="n">
        <v>37.2693459323</v>
      </c>
      <c r="D572" t="n">
        <v>-6.97717464687</v>
      </c>
      <c r="E572" t="n">
        <v>2</v>
      </c>
      <c r="F572" t="n">
        <v>4</v>
      </c>
      <c r="G572" t="n">
        <v>5</v>
      </c>
      <c r="H572" t="n">
        <v>4</v>
      </c>
      <c r="I572" t="n">
        <v>4</v>
      </c>
      <c r="J572" t="inlineStr">
        <is>
          <t>Mediana</t>
        </is>
      </c>
      <c r="K572" t="n">
        <v>4</v>
      </c>
      <c r="L572" t="n">
        <v>2.975</v>
      </c>
      <c r="M572" t="n">
        <v>1</v>
      </c>
      <c r="N572" t="inlineStr">
        <is>
          <t>val</t>
        </is>
      </c>
      <c r="O572">
        <f>HYPERLINK("NoConsenso\marker_880_937391.png", "Ver Imagen")</f>
        <v/>
      </c>
      <c r="P572">
        <f>HYPERLINK("SE\A-497\A-497__86.png", "Ver Imagen")</f>
        <v/>
      </c>
    </row>
    <row r="573">
      <c r="A573" t="n">
        <v>4747</v>
      </c>
      <c r="B573" t="inlineStr">
        <is>
          <t>A-490__47</t>
        </is>
      </c>
      <c r="C573" t="n">
        <v>37.446588611</v>
      </c>
      <c r="D573" t="n">
        <v>-7.13792195364</v>
      </c>
      <c r="E573" t="n">
        <v>2</v>
      </c>
      <c r="F573" t="n">
        <v>5</v>
      </c>
      <c r="G573" t="n">
        <v>4</v>
      </c>
      <c r="H573" t="n">
        <v>4</v>
      </c>
      <c r="I573" t="n">
        <v>4</v>
      </c>
      <c r="J573" t="inlineStr">
        <is>
          <t>Mediana</t>
        </is>
      </c>
      <c r="K573" t="n">
        <v>4</v>
      </c>
      <c r="L573" t="n">
        <v>2.647</v>
      </c>
      <c r="M573" t="n">
        <v>1</v>
      </c>
      <c r="N573" t="inlineStr">
        <is>
          <t>test</t>
        </is>
      </c>
      <c r="O573">
        <f>HYPERLINK("NoConsenso\marker_823_731377.png", "Ver Imagen")</f>
        <v/>
      </c>
      <c r="P573">
        <f>HYPERLINK("NE\A-490\A-490__47.png", "Ver Imagen")</f>
        <v/>
      </c>
    </row>
    <row r="574">
      <c r="A574" t="n">
        <v>4749</v>
      </c>
      <c r="B574" t="inlineStr">
        <is>
          <t>A-490__76</t>
        </is>
      </c>
      <c r="C574" t="n">
        <v>37.4485624286</v>
      </c>
      <c r="D574" t="n">
        <v>-7.14467705803</v>
      </c>
      <c r="E574" t="n">
        <v>2</v>
      </c>
      <c r="F574" t="n">
        <v>3</v>
      </c>
      <c r="G574" t="n">
        <v>5</v>
      </c>
      <c r="H574" t="n">
        <v>3</v>
      </c>
      <c r="I574" t="n">
        <v>3</v>
      </c>
      <c r="J574" t="inlineStr">
        <is>
          <t>Mediana</t>
        </is>
      </c>
      <c r="K574" t="n">
        <v>3</v>
      </c>
      <c r="L574" t="n">
        <v>3.615</v>
      </c>
      <c r="M574" t="n">
        <v>1</v>
      </c>
      <c r="N574" t="inlineStr">
        <is>
          <t>val</t>
        </is>
      </c>
      <c r="O574">
        <f>HYPERLINK("NoConsenso\marker_600_738485.png", "Ver Imagen")</f>
        <v/>
      </c>
      <c r="P574">
        <f>HYPERLINK("NE\A-490\A-490__76.png", "Ver Imagen")</f>
        <v/>
      </c>
    </row>
    <row r="575">
      <c r="A575" t="n">
        <v>4781</v>
      </c>
      <c r="B575" t="inlineStr">
        <is>
          <t>A-492__412</t>
        </is>
      </c>
      <c r="C575" t="n">
        <v>37.3109382615</v>
      </c>
      <c r="D575" t="n">
        <v>-7.05903111119</v>
      </c>
      <c r="E575" t="n">
        <v>1</v>
      </c>
      <c r="F575" t="n">
        <v>1</v>
      </c>
      <c r="G575" t="n">
        <v>4</v>
      </c>
      <c r="H575" t="n">
        <v>1</v>
      </c>
      <c r="I575" t="n">
        <v>1</v>
      </c>
      <c r="J575" t="inlineStr">
        <is>
          <t>Mediana</t>
        </is>
      </c>
      <c r="K575" t="n">
        <v>1</v>
      </c>
      <c r="L575" t="n">
        <v>2.15</v>
      </c>
      <c r="M575" t="n">
        <v>1</v>
      </c>
      <c r="N575" t="inlineStr">
        <is>
          <t>val</t>
        </is>
      </c>
      <c r="O575">
        <f>HYPERLINK("NoConsenso\marker_522_839309.png", "Ver Imagen")</f>
        <v/>
      </c>
      <c r="P575">
        <f>HYPERLINK("SE\A-492\A-492__412.png", "Ver Imagen")</f>
        <v/>
      </c>
    </row>
    <row r="576">
      <c r="A576" t="n">
        <v>4785</v>
      </c>
      <c r="B576" t="inlineStr">
        <is>
          <t>A-495__69</t>
        </is>
      </c>
      <c r="C576" t="n">
        <v>37.4386493243</v>
      </c>
      <c r="D576" t="n">
        <v>-7.08462739636</v>
      </c>
      <c r="E576" t="n">
        <v>3</v>
      </c>
      <c r="F576" t="n">
        <v>2</v>
      </c>
      <c r="G576" t="n">
        <v>5</v>
      </c>
      <c r="H576" t="n">
        <v>2</v>
      </c>
      <c r="I576" t="n">
        <v>3</v>
      </c>
      <c r="J576" t="inlineStr">
        <is>
          <t>Modificada</t>
        </is>
      </c>
      <c r="K576" t="n">
        <v>2</v>
      </c>
      <c r="L576" t="n">
        <v>2.547</v>
      </c>
      <c r="M576" t="n">
        <v>1</v>
      </c>
      <c r="N576" t="inlineStr">
        <is>
          <t>test</t>
        </is>
      </c>
      <c r="O576">
        <f>HYPERLINK("NoConsenso\marker_358_381804.png", "Ver Imagen")</f>
        <v/>
      </c>
      <c r="P576">
        <f>HYPERLINK("NE\A-495\A-495__69.png", "Ver Imagen")</f>
        <v/>
      </c>
    </row>
    <row r="577">
      <c r="A577" t="n">
        <v>4786</v>
      </c>
      <c r="B577" t="inlineStr">
        <is>
          <t>A-495__70</t>
        </is>
      </c>
      <c r="C577" t="n">
        <v>37.4385713726</v>
      </c>
      <c r="D577" t="n">
        <v>-7.08441436955</v>
      </c>
      <c r="E577" t="n">
        <v>3</v>
      </c>
      <c r="F577" t="n">
        <v>2</v>
      </c>
      <c r="G577" t="n">
        <v>5</v>
      </c>
      <c r="H577" t="n">
        <v>2</v>
      </c>
      <c r="I577" t="n">
        <v>2</v>
      </c>
      <c r="J577" t="inlineStr">
        <is>
          <t>Mediana</t>
        </is>
      </c>
      <c r="K577" t="n">
        <v>2</v>
      </c>
      <c r="L577" t="n">
        <v>2.97</v>
      </c>
      <c r="M577" t="n">
        <v>1</v>
      </c>
      <c r="N577" t="inlineStr">
        <is>
          <t>val</t>
        </is>
      </c>
      <c r="O577">
        <f>HYPERLINK("NoConsenso\marker_643_381816.png", "Ver Imagen")</f>
        <v/>
      </c>
      <c r="P577">
        <f>HYPERLINK("NE\A-495\A-495__70.png", "Ver Imagen")</f>
        <v/>
      </c>
    </row>
    <row r="578">
      <c r="A578" t="n">
        <v>4788</v>
      </c>
      <c r="B578" t="inlineStr">
        <is>
          <t>A-495__73</t>
        </is>
      </c>
      <c r="C578" t="n">
        <v>37.4383272674</v>
      </c>
      <c r="D578" t="n">
        <v>-7.08370429487</v>
      </c>
      <c r="E578" t="n">
        <v>2</v>
      </c>
      <c r="F578" t="n">
        <v>3</v>
      </c>
      <c r="G578" t="n">
        <v>5</v>
      </c>
      <c r="H578" t="n">
        <v>2</v>
      </c>
      <c r="I578" t="n">
        <v>2</v>
      </c>
      <c r="J578" t="inlineStr">
        <is>
          <t>Modificada</t>
        </is>
      </c>
      <c r="K578" t="n">
        <v>2</v>
      </c>
      <c r="L578" t="n">
        <v>2.964</v>
      </c>
      <c r="M578" t="n">
        <v>1</v>
      </c>
      <c r="N578" t="inlineStr">
        <is>
          <t>test</t>
        </is>
      </c>
      <c r="O578">
        <f>HYPERLINK("NoConsenso\marker_376_381844.png", "Ver Imagen")</f>
        <v/>
      </c>
      <c r="P578">
        <f>HYPERLINK("NE\A-495\A-495__73.png", "Ver Imagen")</f>
        <v/>
      </c>
    </row>
    <row r="579">
      <c r="A579" t="n">
        <v>4804</v>
      </c>
      <c r="B579" t="inlineStr">
        <is>
          <t>A-497__307</t>
        </is>
      </c>
      <c r="C579" t="n">
        <v>37.2490374655</v>
      </c>
      <c r="D579" t="n">
        <v>-7.01810233856</v>
      </c>
      <c r="E579" t="n">
        <v>2</v>
      </c>
      <c r="G579" t="n">
        <v>2</v>
      </c>
      <c r="H579" t="n">
        <v>2</v>
      </c>
      <c r="I579" t="n">
        <v>2</v>
      </c>
      <c r="J579" t="inlineStr">
        <is>
          <t>Mediana</t>
        </is>
      </c>
      <c r="K579" t="n">
        <v>2</v>
      </c>
      <c r="L579" t="n">
        <v>2.516</v>
      </c>
      <c r="M579" t="n">
        <v>1</v>
      </c>
      <c r="N579" t="inlineStr">
        <is>
          <t>train</t>
        </is>
      </c>
      <c r="O579">
        <f>HYPERLINK("Solo2\marker_473_378128.png", "Ver Imagen")</f>
        <v/>
      </c>
      <c r="P579">
        <f>HYPERLINK("SE\A-497\A-497__307.png", "Ver Imagen")</f>
        <v/>
      </c>
    </row>
    <row r="580">
      <c r="A580" t="n">
        <v>4811</v>
      </c>
      <c r="B580" t="inlineStr">
        <is>
          <t>A-490__8</t>
        </is>
      </c>
      <c r="C580" t="n">
        <v>37.4471336475</v>
      </c>
      <c r="D580" t="n">
        <v>-7.12825457455</v>
      </c>
      <c r="E580" t="n">
        <v>2</v>
      </c>
      <c r="G580" t="n">
        <v>3</v>
      </c>
      <c r="H580" t="n">
        <v>3</v>
      </c>
      <c r="I580" t="n">
        <v>3</v>
      </c>
      <c r="J580" t="inlineStr">
        <is>
          <t>Mediana</t>
        </is>
      </c>
      <c r="K580" t="n">
        <v>3</v>
      </c>
      <c r="L580" t="n">
        <v>1.863</v>
      </c>
      <c r="M580" t="n">
        <v>1</v>
      </c>
      <c r="N580" t="inlineStr">
        <is>
          <t>val</t>
        </is>
      </c>
      <c r="O580">
        <f>HYPERLINK("Solo2\marker_857_641313.png", "Ver Imagen")</f>
        <v/>
      </c>
      <c r="P580">
        <f>HYPERLINK("NE\A-490\A-490__8.png", "Ver Imagen")</f>
        <v/>
      </c>
    </row>
    <row r="581">
      <c r="A581" t="n">
        <v>4812</v>
      </c>
      <c r="B581" t="inlineStr">
        <is>
          <t>A-490__87</t>
        </is>
      </c>
      <c r="C581" t="n">
        <v>37.4487023034</v>
      </c>
      <c r="D581" t="n">
        <v>-7.14751605844</v>
      </c>
      <c r="E581" t="n">
        <v>2</v>
      </c>
      <c r="G581" t="n">
        <v>3</v>
      </c>
      <c r="H581" t="n">
        <v>4</v>
      </c>
      <c r="I581" t="n">
        <v>4</v>
      </c>
      <c r="J581" t="inlineStr">
        <is>
          <t>Mediana</t>
        </is>
      </c>
      <c r="K581" t="n">
        <v>3.5</v>
      </c>
      <c r="L581" t="n">
        <v>3.279</v>
      </c>
      <c r="M581" t="n">
        <v>1</v>
      </c>
      <c r="N581" t="inlineStr">
        <is>
          <t>train</t>
        </is>
      </c>
      <c r="O581">
        <f>HYPERLINK("Solo2\marker_606_649431.png", "Ver Imagen")</f>
        <v/>
      </c>
      <c r="P581">
        <f>HYPERLINK("NE\A-490\A-490__87.png", "Ver Imagen")</f>
        <v/>
      </c>
    </row>
    <row r="582">
      <c r="A582" t="n">
        <v>4818</v>
      </c>
      <c r="B582" t="inlineStr">
        <is>
          <t>A-497__232</t>
        </is>
      </c>
      <c r="C582" t="n">
        <v>37.2624681334</v>
      </c>
      <c r="D582" t="n">
        <v>-7.00943979636</v>
      </c>
      <c r="E582" t="n">
        <v>2</v>
      </c>
      <c r="G582" t="n">
        <v>3</v>
      </c>
      <c r="H582" t="n">
        <v>2</v>
      </c>
      <c r="I582" t="n">
        <v>4</v>
      </c>
      <c r="J582" t="inlineStr">
        <is>
          <t>Mediana</t>
        </is>
      </c>
      <c r="K582" t="n">
        <v>2.5</v>
      </c>
      <c r="L582" t="n">
        <v>2.85</v>
      </c>
      <c r="M582" t="n">
        <v>1</v>
      </c>
      <c r="N582" t="inlineStr">
        <is>
          <t>test</t>
        </is>
      </c>
      <c r="O582">
        <f>HYPERLINK("Solo2\marker_326_895145.png", "Ver Imagen")</f>
        <v/>
      </c>
      <c r="P582">
        <f>HYPERLINK("SE\A-497\A-497__232.png", "Ver Imagen")</f>
        <v/>
      </c>
    </row>
    <row r="583">
      <c r="A583" t="n">
        <v>4824</v>
      </c>
      <c r="B583" t="inlineStr">
        <is>
          <t>A-492__38</t>
        </is>
      </c>
      <c r="C583" t="n">
        <v>37.278204929</v>
      </c>
      <c r="D583" t="n">
        <v>-6.99292602815</v>
      </c>
      <c r="E583" t="n">
        <v>3</v>
      </c>
      <c r="G583" t="n">
        <v>4</v>
      </c>
      <c r="H583" t="n">
        <v>4</v>
      </c>
      <c r="I583" t="n">
        <v>4</v>
      </c>
      <c r="J583" t="inlineStr">
        <is>
          <t>Mediana</t>
        </is>
      </c>
      <c r="K583" t="n">
        <v>4</v>
      </c>
      <c r="L583" t="n">
        <v>3.473</v>
      </c>
      <c r="M583" t="n">
        <v>1</v>
      </c>
      <c r="N583" t="inlineStr">
        <is>
          <t>train</t>
        </is>
      </c>
      <c r="O583">
        <f>HYPERLINK("Solo2\marker_413_822839.png", "Ver Imagen")</f>
        <v/>
      </c>
      <c r="P583">
        <f>HYPERLINK("SE\A-492\A-492__38.png", "Ver Imagen")</f>
        <v/>
      </c>
    </row>
    <row r="584">
      <c r="A584" t="n">
        <v>4833</v>
      </c>
      <c r="B584" t="inlineStr">
        <is>
          <t>A-490__283</t>
        </is>
      </c>
      <c r="C584" t="n">
        <v>37.4695597835</v>
      </c>
      <c r="D584" t="n">
        <v>-7.18885298694</v>
      </c>
      <c r="E584" t="n">
        <v>2</v>
      </c>
      <c r="F584" t="n">
        <v>1</v>
      </c>
      <c r="H584" t="n">
        <v>1</v>
      </c>
      <c r="I584" t="n">
        <v>1</v>
      </c>
      <c r="J584" t="inlineStr">
        <is>
          <t>Mediana</t>
        </is>
      </c>
      <c r="K584" t="n">
        <v>1</v>
      </c>
      <c r="L584" t="n">
        <v>1.519</v>
      </c>
      <c r="M584" t="n">
        <v>1</v>
      </c>
      <c r="N584" t="inlineStr">
        <is>
          <t>val</t>
        </is>
      </c>
      <c r="O584">
        <f>HYPERLINK("Solo2\marker_226_750216.png", "Ver Imagen")</f>
        <v/>
      </c>
      <c r="P584">
        <f>HYPERLINK("NO\A-490\A-490__283.png", "Ver Imagen")</f>
        <v/>
      </c>
    </row>
    <row r="585">
      <c r="A585" t="n">
        <v>4835</v>
      </c>
      <c r="B585" t="inlineStr">
        <is>
          <t>A-492__230</t>
        </is>
      </c>
      <c r="C585" t="n">
        <v>37.2836129473</v>
      </c>
      <c r="D585" t="n">
        <v>-7.03390271002</v>
      </c>
      <c r="E585" t="n">
        <v>2</v>
      </c>
      <c r="F585" t="n">
        <v>2</v>
      </c>
      <c r="H585" t="n">
        <v>2</v>
      </c>
      <c r="I585" t="n">
        <v>1</v>
      </c>
      <c r="J585" t="inlineStr">
        <is>
          <t>Mediana</t>
        </is>
      </c>
      <c r="K585" t="n">
        <v>1</v>
      </c>
      <c r="L585" t="n">
        <v>2.158</v>
      </c>
      <c r="M585" t="n">
        <v>1</v>
      </c>
      <c r="N585" t="inlineStr">
        <is>
          <t>val</t>
        </is>
      </c>
      <c r="O585">
        <f>HYPERLINK("Solo2\marker_319_835795.png", "Ver Imagen")</f>
        <v/>
      </c>
      <c r="P585">
        <f>HYPERLINK("SE\A-492\A-492__230.png", "Ver Imagen")</f>
        <v/>
      </c>
    </row>
    <row r="586">
      <c r="A586" t="n">
        <v>4846</v>
      </c>
      <c r="B586" t="inlineStr">
        <is>
          <t>A-5053__214</t>
        </is>
      </c>
      <c r="C586" t="n">
        <v>37.2610798567</v>
      </c>
      <c r="D586" t="n">
        <v>-7.129664443</v>
      </c>
      <c r="F586" t="n">
        <v>3</v>
      </c>
      <c r="G586" t="n">
        <v>3</v>
      </c>
      <c r="H586" t="n">
        <v>3</v>
      </c>
      <c r="I586" t="n">
        <v>4</v>
      </c>
      <c r="J586" t="inlineStr">
        <is>
          <t>Modificada</t>
        </is>
      </c>
      <c r="K586" t="n">
        <v>4</v>
      </c>
      <c r="L586" t="n">
        <v>3.193</v>
      </c>
      <c r="M586" t="n">
        <v>1</v>
      </c>
      <c r="N586" t="inlineStr">
        <is>
          <t>val</t>
        </is>
      </c>
      <c r="O586">
        <f>HYPERLINK("Solo2\marker_904_965747.png", "Ver Imagen")</f>
        <v/>
      </c>
      <c r="P586">
        <f>HYPERLINK("SO\A-5053\A-5053__214.png", "Ver Imagen")</f>
        <v/>
      </c>
    </row>
    <row r="587">
      <c r="A587" t="n">
        <v>4851</v>
      </c>
      <c r="B587" t="inlineStr">
        <is>
          <t>A-490__304</t>
        </is>
      </c>
      <c r="C587" t="n">
        <v>37.4719830104</v>
      </c>
      <c r="D587" t="n">
        <v>-7.19316023656</v>
      </c>
      <c r="E587" t="n">
        <v>2</v>
      </c>
      <c r="F587" t="n">
        <v>4</v>
      </c>
      <c r="H587" t="n">
        <v>3</v>
      </c>
      <c r="I587" t="n">
        <v>3</v>
      </c>
      <c r="J587" t="inlineStr">
        <is>
          <t>Mediana</t>
        </is>
      </c>
      <c r="K587" t="n">
        <v>3</v>
      </c>
      <c r="L587" t="n">
        <v>2.273</v>
      </c>
      <c r="M587" t="n">
        <v>1</v>
      </c>
      <c r="N587" t="inlineStr">
        <is>
          <t>train</t>
        </is>
      </c>
      <c r="O587">
        <f>HYPERLINK("Solo2\marker_904_750639.png", "Ver Imagen")</f>
        <v/>
      </c>
      <c r="P587">
        <f>HYPERLINK("NO\A-490\A-490__304.png", "Ver Imagen")</f>
        <v/>
      </c>
    </row>
    <row r="588">
      <c r="A588" t="n">
        <v>4852</v>
      </c>
      <c r="B588" t="inlineStr">
        <is>
          <t>A-490__336</t>
        </is>
      </c>
      <c r="C588" t="n">
        <v>37.4755227156</v>
      </c>
      <c r="D588" t="n">
        <v>-7.19994589649</v>
      </c>
      <c r="E588" t="n">
        <v>1</v>
      </c>
      <c r="F588" t="n">
        <v>3</v>
      </c>
      <c r="H588" t="n">
        <v>3</v>
      </c>
      <c r="I588" t="n">
        <v>3</v>
      </c>
      <c r="J588" t="inlineStr">
        <is>
          <t>Mediana</t>
        </is>
      </c>
      <c r="K588" t="n">
        <v>3</v>
      </c>
      <c r="L588" t="n">
        <v>3.543</v>
      </c>
      <c r="M588" t="n">
        <v>1</v>
      </c>
      <c r="N588" t="inlineStr">
        <is>
          <t>train</t>
        </is>
      </c>
      <c r="O588">
        <f>HYPERLINK("Solo2\marker_903_751408.png", "Ver Imagen")</f>
        <v/>
      </c>
      <c r="P588">
        <f>HYPERLINK("NO\A-490\A-490__336.png", "Ver Imagen")</f>
        <v/>
      </c>
    </row>
    <row r="589">
      <c r="A589" t="n">
        <v>4859</v>
      </c>
      <c r="B589" t="inlineStr">
        <is>
          <t>A-490__275</t>
        </is>
      </c>
      <c r="C589" t="n">
        <v>37.468650296</v>
      </c>
      <c r="D589" t="n">
        <v>-7.18717395097</v>
      </c>
      <c r="E589" t="n">
        <v>1</v>
      </c>
      <c r="F589" t="n">
        <v>2</v>
      </c>
      <c r="H589" t="n">
        <v>1</v>
      </c>
      <c r="I589" t="n">
        <v>1</v>
      </c>
      <c r="J589" t="inlineStr">
        <is>
          <t>Mediana</t>
        </is>
      </c>
      <c r="K589" t="n">
        <v>1</v>
      </c>
      <c r="L589" t="n">
        <v>1.83</v>
      </c>
      <c r="M589" t="n">
        <v>1</v>
      </c>
      <c r="N589" t="inlineStr">
        <is>
          <t>test</t>
        </is>
      </c>
      <c r="O589">
        <f>HYPERLINK("Solo2\marker_978_750010.png", "Ver Imagen")</f>
        <v/>
      </c>
      <c r="P589">
        <f>HYPERLINK("NO\A-490\A-490__275.png", "Ver Imagen")</f>
        <v/>
      </c>
    </row>
    <row r="590">
      <c r="A590" t="n">
        <v>4861</v>
      </c>
      <c r="B590" t="inlineStr">
        <is>
          <t>A-490__277</t>
        </is>
      </c>
      <c r="C590" t="n">
        <v>37.4688546035</v>
      </c>
      <c r="D590" t="n">
        <v>-7.18754834922</v>
      </c>
      <c r="E590" t="n">
        <v>2</v>
      </c>
      <c r="F590" t="n">
        <v>4</v>
      </c>
      <c r="H590" t="n">
        <v>3</v>
      </c>
      <c r="I590" t="n">
        <v>3</v>
      </c>
      <c r="J590" t="inlineStr">
        <is>
          <t>Mediana</t>
        </is>
      </c>
      <c r="K590" t="n">
        <v>3</v>
      </c>
      <c r="L590" t="n">
        <v>1.507</v>
      </c>
      <c r="M590" t="n">
        <v>1</v>
      </c>
      <c r="N590" t="inlineStr">
        <is>
          <t>test</t>
        </is>
      </c>
      <c r="O590">
        <f>HYPERLINK("Solo2\marker_357_750049.png", "Ver Imagen")</f>
        <v/>
      </c>
      <c r="P590">
        <f>HYPERLINK("NE\A-490\A-490__277.png", "Ver Imagen")</f>
        <v/>
      </c>
    </row>
    <row r="591">
      <c r="A591" t="n">
        <v>4861</v>
      </c>
      <c r="B591" t="inlineStr">
        <is>
          <t>A-490__277</t>
        </is>
      </c>
      <c r="C591" t="n">
        <v>37.4688546035</v>
      </c>
      <c r="D591" t="n">
        <v>-7.18754834922</v>
      </c>
      <c r="E591" t="n">
        <v>2</v>
      </c>
      <c r="F591" t="n">
        <v>4</v>
      </c>
      <c r="H591" t="n">
        <v>3</v>
      </c>
      <c r="I591" t="n">
        <v>3</v>
      </c>
      <c r="J591" t="inlineStr">
        <is>
          <t>Mediana</t>
        </is>
      </c>
      <c r="K591" t="n">
        <v>3</v>
      </c>
      <c r="L591" t="n">
        <v>1.985</v>
      </c>
      <c r="M591" t="n">
        <v>1</v>
      </c>
      <c r="N591" t="inlineStr">
        <is>
          <t>test</t>
        </is>
      </c>
      <c r="O591">
        <f>HYPERLINK("Solo2\marker_357_750049.png", "Ver Imagen")</f>
        <v/>
      </c>
      <c r="P591">
        <f>HYPERLINK("NO\A-490\A-490__277.png", "Ver Imagen")</f>
        <v/>
      </c>
    </row>
    <row r="592">
      <c r="A592" t="n">
        <v>4868</v>
      </c>
      <c r="B592" t="inlineStr">
        <is>
          <t>A-490__285</t>
        </is>
      </c>
      <c r="C592" t="n">
        <v>37.4698041853</v>
      </c>
      <c r="D592" t="n">
        <v>-7.18930531787</v>
      </c>
      <c r="E592" t="n">
        <v>1</v>
      </c>
      <c r="F592" t="n">
        <v>2</v>
      </c>
      <c r="H592" t="n">
        <v>1</v>
      </c>
      <c r="I592" t="n">
        <v>1</v>
      </c>
      <c r="J592" t="inlineStr">
        <is>
          <t>Mediana</t>
        </is>
      </c>
      <c r="K592" t="n">
        <v>1</v>
      </c>
      <c r="L592" t="n">
        <v>1.509</v>
      </c>
      <c r="M592" t="n">
        <v>1</v>
      </c>
      <c r="N592" t="inlineStr">
        <is>
          <t>val</t>
        </is>
      </c>
      <c r="O592">
        <f>HYPERLINK("Solo2\marker_426_750247.png", "Ver Imagen")</f>
        <v/>
      </c>
      <c r="P592">
        <f>HYPERLINK("NE\A-490\A-490__285.png", "Ver Imagen")</f>
        <v/>
      </c>
    </row>
    <row r="593">
      <c r="A593" t="n">
        <v>4874</v>
      </c>
      <c r="B593" t="inlineStr">
        <is>
          <t>A-490__291</t>
        </is>
      </c>
      <c r="C593" t="n">
        <v>37.4704633917</v>
      </c>
      <c r="D593" t="n">
        <v>-7.19053335564</v>
      </c>
      <c r="E593" t="n">
        <v>1</v>
      </c>
      <c r="F593" t="n">
        <v>2</v>
      </c>
      <c r="H593" t="n">
        <v>1</v>
      </c>
      <c r="I593" t="n">
        <v>1</v>
      </c>
      <c r="J593" t="inlineStr">
        <is>
          <t>Mediana</t>
        </is>
      </c>
      <c r="K593" t="n">
        <v>1</v>
      </c>
      <c r="L593" t="n">
        <v>1.858</v>
      </c>
      <c r="M593" t="n">
        <v>1</v>
      </c>
      <c r="N593" t="inlineStr">
        <is>
          <t>test</t>
        </is>
      </c>
      <c r="O593">
        <f>HYPERLINK("Solo2\marker_284_750358.png", "Ver Imagen")</f>
        <v/>
      </c>
      <c r="P593">
        <f>HYPERLINK("NO\A-490\A-490__291.png", "Ver Imagen")</f>
        <v/>
      </c>
    </row>
    <row r="594">
      <c r="A594" t="n">
        <v>4876</v>
      </c>
      <c r="B594" t="inlineStr">
        <is>
          <t>A-490__293</t>
        </is>
      </c>
      <c r="C594" t="n">
        <v>37.470700817</v>
      </c>
      <c r="D594" t="n">
        <v>-7.19096993205</v>
      </c>
      <c r="E594" t="n">
        <v>1</v>
      </c>
      <c r="F594" t="n">
        <v>2</v>
      </c>
      <c r="H594" t="n">
        <v>1</v>
      </c>
      <c r="I594" t="n">
        <v>1</v>
      </c>
      <c r="J594" t="inlineStr">
        <is>
          <t>Mediana</t>
        </is>
      </c>
      <c r="K594" t="n">
        <v>1</v>
      </c>
      <c r="L594" t="n">
        <v>1.977</v>
      </c>
      <c r="M594" t="n">
        <v>1</v>
      </c>
      <c r="N594" t="inlineStr">
        <is>
          <t>test</t>
        </is>
      </c>
      <c r="O594">
        <f>HYPERLINK("Solo2\marker_858_750393.png", "Ver Imagen")</f>
        <v/>
      </c>
      <c r="P594">
        <f>HYPERLINK("NE\A-490\A-490__293.png", "Ver Imagen")</f>
        <v/>
      </c>
    </row>
    <row r="595">
      <c r="A595" t="n">
        <v>4883</v>
      </c>
      <c r="B595" t="inlineStr">
        <is>
          <t>A-490__300</t>
        </is>
      </c>
      <c r="C595" t="n">
        <v>37.4715185399</v>
      </c>
      <c r="D595" t="n">
        <v>-7.19238047361</v>
      </c>
      <c r="E595" t="n">
        <v>1</v>
      </c>
      <c r="F595" t="n">
        <v>3</v>
      </c>
      <c r="H595" t="n">
        <v>3</v>
      </c>
      <c r="I595" t="n">
        <v>2</v>
      </c>
      <c r="J595" t="inlineStr">
        <is>
          <t>Mediana</t>
        </is>
      </c>
      <c r="K595" t="n">
        <v>2.5</v>
      </c>
      <c r="L595" t="n">
        <v>1.389</v>
      </c>
      <c r="M595" t="n">
        <v>1</v>
      </c>
      <c r="N595" t="inlineStr">
        <is>
          <t>test</t>
        </is>
      </c>
      <c r="O595">
        <f>HYPERLINK("Solo2\marker_365_750560.png", "Ver Imagen")</f>
        <v/>
      </c>
      <c r="P595">
        <f>HYPERLINK("NE\A-490\A-490__300.png", "Ver Imagen")</f>
        <v/>
      </c>
    </row>
    <row r="596">
      <c r="A596" t="n">
        <v>4887</v>
      </c>
      <c r="B596" t="inlineStr">
        <is>
          <t>A-490__306</t>
        </is>
      </c>
      <c r="C596" t="n">
        <v>37.4722819859</v>
      </c>
      <c r="D596" t="n">
        <v>-7.19366003748</v>
      </c>
      <c r="E596" t="n">
        <v>2</v>
      </c>
      <c r="F596" t="n">
        <v>3</v>
      </c>
      <c r="H596" t="n">
        <v>3</v>
      </c>
      <c r="I596" t="n">
        <v>3</v>
      </c>
      <c r="J596" t="inlineStr">
        <is>
          <t>Mediana</t>
        </is>
      </c>
      <c r="K596" t="n">
        <v>3</v>
      </c>
      <c r="L596" t="n">
        <v>1.733</v>
      </c>
      <c r="M596" t="n">
        <v>1</v>
      </c>
      <c r="N596" t="inlineStr">
        <is>
          <t>val</t>
        </is>
      </c>
      <c r="O596">
        <f>HYPERLINK("Solo2\marker_982_750699.png", "Ver Imagen")</f>
        <v/>
      </c>
      <c r="P596">
        <f>HYPERLINK("NE\A-490\A-490__306.png", "Ver Imagen")</f>
        <v/>
      </c>
    </row>
    <row r="597">
      <c r="A597" t="n">
        <v>4887</v>
      </c>
      <c r="B597" t="inlineStr">
        <is>
          <t>A-490__306</t>
        </is>
      </c>
      <c r="C597" t="n">
        <v>37.4722819859</v>
      </c>
      <c r="D597" t="n">
        <v>-7.19366003748</v>
      </c>
      <c r="E597" t="n">
        <v>2</v>
      </c>
      <c r="F597" t="n">
        <v>3</v>
      </c>
      <c r="H597" t="n">
        <v>3</v>
      </c>
      <c r="I597" t="n">
        <v>3</v>
      </c>
      <c r="J597" t="inlineStr">
        <is>
          <t>Mediana</t>
        </is>
      </c>
      <c r="K597" t="n">
        <v>3</v>
      </c>
      <c r="L597" t="n">
        <v>2.466</v>
      </c>
      <c r="M597" t="n">
        <v>1</v>
      </c>
      <c r="N597" t="inlineStr">
        <is>
          <t>val</t>
        </is>
      </c>
      <c r="O597">
        <f>HYPERLINK("Solo2\marker_982_750699.png", "Ver Imagen")</f>
        <v/>
      </c>
      <c r="P597">
        <f>HYPERLINK("NO\A-490\A-490__306.png", "Ver Imagen")</f>
        <v/>
      </c>
    </row>
    <row r="598">
      <c r="A598" t="n">
        <v>4893</v>
      </c>
      <c r="B598" t="inlineStr">
        <is>
          <t>A-490__312</t>
        </is>
      </c>
      <c r="C598" t="n">
        <v>37.47295591</v>
      </c>
      <c r="D598" t="n">
        <v>-7.19479349575</v>
      </c>
      <c r="E598" t="n">
        <v>2</v>
      </c>
      <c r="F598" t="n">
        <v>4</v>
      </c>
      <c r="H598" t="n">
        <v>3</v>
      </c>
      <c r="I598" t="n">
        <v>3</v>
      </c>
      <c r="J598" t="inlineStr">
        <is>
          <t>Mediana</t>
        </is>
      </c>
      <c r="K598" t="n">
        <v>3</v>
      </c>
      <c r="L598" t="n">
        <v>3.515</v>
      </c>
      <c r="M598" t="n">
        <v>1</v>
      </c>
      <c r="N598" t="inlineStr">
        <is>
          <t>train</t>
        </is>
      </c>
      <c r="O598">
        <f>HYPERLINK("Solo2\marker_265_750814.png", "Ver Imagen")</f>
        <v/>
      </c>
      <c r="P598">
        <f>HYPERLINK("NO\A-490\A-490__312.png", "Ver Imagen")</f>
        <v/>
      </c>
    </row>
    <row r="599">
      <c r="A599" t="n">
        <v>4894</v>
      </c>
      <c r="B599" t="inlineStr">
        <is>
          <t>A-490__313</t>
        </is>
      </c>
      <c r="C599" t="n">
        <v>37.4731090061</v>
      </c>
      <c r="D599" t="n">
        <v>-7.1950482885</v>
      </c>
      <c r="E599" t="n">
        <v>2</v>
      </c>
      <c r="F599" t="n">
        <v>4</v>
      </c>
      <c r="H599" t="n">
        <v>3</v>
      </c>
      <c r="I599" t="n">
        <v>3</v>
      </c>
      <c r="J599" t="inlineStr">
        <is>
          <t>Mediana</t>
        </is>
      </c>
      <c r="K599" t="n">
        <v>3</v>
      </c>
      <c r="L599" t="n">
        <v>3.513</v>
      </c>
      <c r="M599" t="n">
        <v>1</v>
      </c>
      <c r="N599" t="inlineStr">
        <is>
          <t>train</t>
        </is>
      </c>
      <c r="O599">
        <f>HYPERLINK("Solo2\marker_125_750832.png", "Ver Imagen")</f>
        <v/>
      </c>
      <c r="P599">
        <f>HYPERLINK("NO\A-490\A-490__313.png", "Ver Imagen")</f>
        <v/>
      </c>
    </row>
    <row r="600">
      <c r="A600" t="n">
        <v>4913</v>
      </c>
      <c r="B600" t="inlineStr">
        <is>
          <t>A-490__332</t>
        </is>
      </c>
      <c r="C600" t="n">
        <v>37.4751279424</v>
      </c>
      <c r="D600" t="n">
        <v>-7.19904321954</v>
      </c>
      <c r="E600" t="n">
        <v>2</v>
      </c>
      <c r="F600" t="n">
        <v>3</v>
      </c>
      <c r="H600" t="n">
        <v>3</v>
      </c>
      <c r="I600" t="n">
        <v>3</v>
      </c>
      <c r="J600" t="inlineStr">
        <is>
          <t>Mediana</t>
        </is>
      </c>
      <c r="K600" t="n">
        <v>3</v>
      </c>
      <c r="L600" t="n">
        <v>2.084</v>
      </c>
      <c r="M600" t="n">
        <v>1</v>
      </c>
      <c r="N600" t="inlineStr">
        <is>
          <t>test</t>
        </is>
      </c>
      <c r="O600">
        <f>HYPERLINK("Solo2\marker_287_751295.png", "Ver Imagen")</f>
        <v/>
      </c>
      <c r="P600">
        <f>HYPERLINK("NO\A-490\A-490__332.png", "Ver Imagen")</f>
        <v/>
      </c>
    </row>
    <row r="601">
      <c r="A601" t="n">
        <v>4914</v>
      </c>
      <c r="B601" t="inlineStr">
        <is>
          <t>A-490__333</t>
        </is>
      </c>
      <c r="C601" t="n">
        <v>37.4752450383</v>
      </c>
      <c r="D601" t="n">
        <v>-7.19930973459</v>
      </c>
      <c r="E601" t="n">
        <v>2</v>
      </c>
      <c r="F601" t="n">
        <v>3</v>
      </c>
      <c r="H601" t="n">
        <v>2</v>
      </c>
      <c r="I601" t="n">
        <v>2</v>
      </c>
      <c r="J601" t="inlineStr">
        <is>
          <t>Mediana</t>
        </is>
      </c>
      <c r="K601" t="n">
        <v>2</v>
      </c>
      <c r="L601" t="n">
        <v>2.533</v>
      </c>
      <c r="M601" t="n">
        <v>1</v>
      </c>
      <c r="N601" t="inlineStr">
        <is>
          <t>val</t>
        </is>
      </c>
      <c r="O601">
        <f>HYPERLINK("Solo2\marker_417_751317.png", "Ver Imagen")</f>
        <v/>
      </c>
      <c r="P601">
        <f>HYPERLINK("NO\A-490\A-490__333.png", "Ver Imagen")</f>
        <v/>
      </c>
    </row>
    <row r="602">
      <c r="A602" t="n">
        <v>4917</v>
      </c>
      <c r="B602" t="inlineStr">
        <is>
          <t>A-490__337</t>
        </is>
      </c>
      <c r="C602" t="n">
        <v>37.4756333365</v>
      </c>
      <c r="D602" t="n">
        <v>-7.20020621671</v>
      </c>
      <c r="E602" t="n">
        <v>2</v>
      </c>
      <c r="F602" t="n">
        <v>4</v>
      </c>
      <c r="H602" t="n">
        <v>3</v>
      </c>
      <c r="I602" t="n">
        <v>3</v>
      </c>
      <c r="J602" t="inlineStr">
        <is>
          <t>Mediana</t>
        </is>
      </c>
      <c r="K602" t="n">
        <v>3</v>
      </c>
      <c r="L602" t="n">
        <v>2.124</v>
      </c>
      <c r="M602" t="n">
        <v>1</v>
      </c>
      <c r="N602" t="inlineStr">
        <is>
          <t>test</t>
        </is>
      </c>
      <c r="O602">
        <f>HYPERLINK("Solo2\marker_399_751429.png", "Ver Imagen")</f>
        <v/>
      </c>
      <c r="P602">
        <f>HYPERLINK("NE\A-490\A-490__337.png", "Ver Imagen")</f>
        <v/>
      </c>
    </row>
    <row r="603">
      <c r="A603" t="n">
        <v>4918</v>
      </c>
      <c r="B603" t="inlineStr">
        <is>
          <t>A-490__338</t>
        </is>
      </c>
      <c r="C603" t="n">
        <v>37.4757317658</v>
      </c>
      <c r="D603" t="n">
        <v>-7.20043698585</v>
      </c>
      <c r="E603" t="n">
        <v>2</v>
      </c>
      <c r="F603" t="n">
        <v>3</v>
      </c>
      <c r="H603" t="n">
        <v>3</v>
      </c>
      <c r="I603" t="n">
        <v>3</v>
      </c>
      <c r="J603" t="inlineStr">
        <is>
          <t>Mediana</t>
        </is>
      </c>
      <c r="K603" t="n">
        <v>3</v>
      </c>
      <c r="L603" t="n">
        <v>2.243</v>
      </c>
      <c r="M603" t="n">
        <v>1</v>
      </c>
      <c r="N603" t="inlineStr">
        <is>
          <t>test</t>
        </is>
      </c>
      <c r="O603">
        <f>HYPERLINK("Solo2\marker_629_751453.png", "Ver Imagen")</f>
        <v/>
      </c>
      <c r="P603">
        <f>HYPERLINK("NO\A-490\A-490__338.png", "Ver Imagen")</f>
        <v/>
      </c>
    </row>
    <row r="604">
      <c r="A604" t="n">
        <v>4923</v>
      </c>
      <c r="B604" t="inlineStr">
        <is>
          <t>A-490__343</t>
        </is>
      </c>
      <c r="C604" t="n">
        <v>37.47622609</v>
      </c>
      <c r="D604" t="n">
        <v>-7.20158697377</v>
      </c>
      <c r="E604" t="n">
        <v>1</v>
      </c>
      <c r="F604" t="n">
        <v>2</v>
      </c>
      <c r="H604" t="n">
        <v>1</v>
      </c>
      <c r="I604" t="n">
        <v>1</v>
      </c>
      <c r="J604" t="inlineStr">
        <is>
          <t>Mediana</t>
        </is>
      </c>
      <c r="K604" t="n">
        <v>1</v>
      </c>
      <c r="L604" t="n">
        <v>2.065</v>
      </c>
      <c r="M604" t="n">
        <v>1</v>
      </c>
      <c r="N604" t="inlineStr">
        <is>
          <t>test</t>
        </is>
      </c>
      <c r="O604">
        <f>HYPERLINK("Solo2\marker_114_751549.png", "Ver Imagen")</f>
        <v/>
      </c>
      <c r="P604">
        <f>HYPERLINK("NE\A-490\A-490__343.png", "Ver Imagen")</f>
        <v/>
      </c>
    </row>
    <row r="605">
      <c r="A605" t="n">
        <v>4938</v>
      </c>
      <c r="B605" t="inlineStr">
        <is>
          <t>A-492__249</t>
        </is>
      </c>
      <c r="C605" t="n">
        <v>37.2844687619</v>
      </c>
      <c r="D605" t="n">
        <v>-7.03858232169</v>
      </c>
      <c r="E605" t="n">
        <v>1</v>
      </c>
      <c r="F605" t="n">
        <v>1</v>
      </c>
      <c r="H605" t="n">
        <v>1</v>
      </c>
      <c r="I605" t="n">
        <v>1</v>
      </c>
      <c r="J605" t="inlineStr">
        <is>
          <t>Mediana</t>
        </is>
      </c>
      <c r="K605" t="n">
        <v>1</v>
      </c>
      <c r="L605" t="n">
        <v>2.364</v>
      </c>
      <c r="M605" t="n">
        <v>1</v>
      </c>
      <c r="N605" t="inlineStr">
        <is>
          <t>val</t>
        </is>
      </c>
      <c r="O605">
        <f>HYPERLINK("Solo2\marker_396_836086.png", "Ver Imagen")</f>
        <v/>
      </c>
      <c r="P605">
        <f>HYPERLINK("SE\A-492\A-492__249.png", "Ver Imagen")</f>
        <v/>
      </c>
    </row>
    <row r="606">
      <c r="A606" t="n">
        <v>4943</v>
      </c>
      <c r="B606" t="inlineStr">
        <is>
          <t>A-495R__120</t>
        </is>
      </c>
      <c r="C606" t="n">
        <v>37.4653499911</v>
      </c>
      <c r="D606" t="n">
        <v>-7.12228229203</v>
      </c>
      <c r="E606" t="n">
        <v>3</v>
      </c>
      <c r="F606" t="n">
        <v>2</v>
      </c>
      <c r="H606" t="n">
        <v>1</v>
      </c>
      <c r="I606" t="n">
        <v>2</v>
      </c>
      <c r="J606" t="inlineStr">
        <is>
          <t>Mediana</t>
        </is>
      </c>
      <c r="K606" t="n">
        <v>2</v>
      </c>
      <c r="L606" t="n">
        <v>2.584</v>
      </c>
      <c r="M606" t="n">
        <v>1</v>
      </c>
      <c r="N606" t="inlineStr">
        <is>
          <t>train</t>
        </is>
      </c>
      <c r="O606">
        <f>HYPERLINK("Solo2\marker_433_895376.png", "Ver Imagen")</f>
        <v/>
      </c>
      <c r="P606">
        <f>HYPERLINK("NE\A-495R\A-495R__120.png", "Ver Imagen")</f>
        <v/>
      </c>
    </row>
    <row r="607">
      <c r="A607" t="n">
        <v>4945</v>
      </c>
      <c r="B607" t="inlineStr">
        <is>
          <t>A-495R__117</t>
        </is>
      </c>
      <c r="C607" t="n">
        <v>37.4651372425</v>
      </c>
      <c r="D607" t="n">
        <v>-7.12153447429</v>
      </c>
      <c r="E607" t="n">
        <v>2</v>
      </c>
      <c r="F607" t="n">
        <v>1</v>
      </c>
      <c r="H607" t="n">
        <v>1</v>
      </c>
      <c r="I607" t="n">
        <v>1</v>
      </c>
      <c r="J607" t="inlineStr">
        <is>
          <t>Mediana</t>
        </is>
      </c>
      <c r="K607" t="n">
        <v>1</v>
      </c>
      <c r="L607" t="n">
        <v>1.884</v>
      </c>
      <c r="M607" t="n">
        <v>1</v>
      </c>
      <c r="O607">
        <f>HYPERLINK("Solo2\marker_767_895431.png", "Ver Imagen")</f>
        <v/>
      </c>
      <c r="P607">
        <f>HYPERLINK("NE\A-495R\A-495R__117.png", "Ver Imagen")</f>
        <v/>
      </c>
    </row>
    <row r="608">
      <c r="A608" t="n">
        <v>4950</v>
      </c>
      <c r="B608" t="inlineStr">
        <is>
          <t>A-5052__78</t>
        </is>
      </c>
      <c r="C608" t="n">
        <v>37.217238312</v>
      </c>
      <c r="D608" t="n">
        <v>-7.10650632833</v>
      </c>
      <c r="F608" t="n">
        <v>2</v>
      </c>
      <c r="G608" t="n">
        <v>2</v>
      </c>
      <c r="H608" t="n">
        <v>1</v>
      </c>
      <c r="I608" t="n">
        <v>1</v>
      </c>
      <c r="J608" t="inlineStr">
        <is>
          <t>Modificada</t>
        </is>
      </c>
      <c r="K608" t="n">
        <v>1</v>
      </c>
      <c r="L608" t="n">
        <v>1.554</v>
      </c>
      <c r="M608" t="n">
        <v>1</v>
      </c>
      <c r="N608" t="inlineStr">
        <is>
          <t>val</t>
        </is>
      </c>
      <c r="O608">
        <f>HYPERLINK("Solo2\marker_205_957264.png", "Ver Imagen")</f>
        <v/>
      </c>
      <c r="P608">
        <f>HYPERLINK("SO\A-5052\A-5052__78.png", "Ver Imagen")</f>
        <v/>
      </c>
    </row>
    <row r="609">
      <c r="A609" t="n">
        <v>4959</v>
      </c>
      <c r="B609" t="inlineStr">
        <is>
          <t>A-5052__502</t>
        </is>
      </c>
      <c r="C609" t="n">
        <v>37.1967311315</v>
      </c>
      <c r="D609" t="n">
        <v>-7.00482457909</v>
      </c>
      <c r="E609" t="n">
        <v>2</v>
      </c>
      <c r="F609" t="n">
        <v>2</v>
      </c>
      <c r="H609" t="n">
        <v>1</v>
      </c>
      <c r="I609" t="n">
        <v>1</v>
      </c>
      <c r="J609" t="inlineStr">
        <is>
          <t>Mediana</t>
        </is>
      </c>
      <c r="K609" t="n">
        <v>1.5</v>
      </c>
      <c r="L609" t="n">
        <v>1.387</v>
      </c>
      <c r="M609" t="n">
        <v>1</v>
      </c>
      <c r="N609" t="inlineStr">
        <is>
          <t>train</t>
        </is>
      </c>
      <c r="O609">
        <f>HYPERLINK("Solo2\marker_676_963699.png", "Ver Imagen")</f>
        <v/>
      </c>
      <c r="P609">
        <f>HYPERLINK("SE\A-5052\A-5052__502.png", "Ver Imagen")</f>
        <v/>
      </c>
    </row>
    <row r="610">
      <c r="A610" t="n">
        <v>4965</v>
      </c>
      <c r="B610" t="inlineStr">
        <is>
          <t>A-495__31</t>
        </is>
      </c>
      <c r="C610" t="n">
        <v>37.4424468255</v>
      </c>
      <c r="D610" t="n">
        <v>-7.09301397804</v>
      </c>
      <c r="E610" t="n">
        <v>3</v>
      </c>
      <c r="F610" t="n">
        <v>3</v>
      </c>
      <c r="H610" t="n">
        <v>2</v>
      </c>
      <c r="I610" t="n">
        <v>2</v>
      </c>
      <c r="J610" t="inlineStr">
        <is>
          <t>Mediana</t>
        </is>
      </c>
      <c r="K610" t="n">
        <v>2.5</v>
      </c>
      <c r="L610" t="n">
        <v>2.624</v>
      </c>
      <c r="M610" t="n">
        <v>1</v>
      </c>
      <c r="N610" t="inlineStr">
        <is>
          <t>val</t>
        </is>
      </c>
      <c r="O610">
        <f>HYPERLINK("Solo2\marker_575_381405.png", "Ver Imagen")</f>
        <v/>
      </c>
      <c r="P610">
        <f>HYPERLINK("NE\A-495\A-495__31.png", "Ver Imagen")</f>
        <v/>
      </c>
    </row>
    <row r="611">
      <c r="A611" t="n">
        <v>4978</v>
      </c>
      <c r="B611" t="inlineStr">
        <is>
          <t>A-5058__426</t>
        </is>
      </c>
      <c r="C611" t="n">
        <v>37.257277081</v>
      </c>
      <c r="D611" t="n">
        <v>-7.11933224613</v>
      </c>
      <c r="F611" t="n">
        <v>3</v>
      </c>
      <c r="G611" t="n">
        <v>4</v>
      </c>
      <c r="H611" t="n">
        <v>3</v>
      </c>
      <c r="I611" t="n">
        <v>2</v>
      </c>
      <c r="J611" t="inlineStr">
        <is>
          <t>Modificada</t>
        </is>
      </c>
      <c r="K611" t="n">
        <v>2</v>
      </c>
      <c r="L611" t="n">
        <v>2.505</v>
      </c>
      <c r="M611" t="n">
        <v>1</v>
      </c>
      <c r="N611" t="inlineStr">
        <is>
          <t>train</t>
        </is>
      </c>
      <c r="O611">
        <f>HYPERLINK("Solo2\marker_731_388817.png", "Ver Imagen")</f>
        <v/>
      </c>
      <c r="P611">
        <f>HYPERLINK("SO\A-5058\A-5058__426.png", "Ver Imagen")</f>
        <v/>
      </c>
    </row>
    <row r="612">
      <c r="A612" t="n">
        <v>4986</v>
      </c>
      <c r="B612" t="inlineStr">
        <is>
          <t>A-497__758</t>
        </is>
      </c>
      <c r="C612" t="n">
        <v>37.1858581274</v>
      </c>
      <c r="D612" t="n">
        <v>-6.98004135349</v>
      </c>
      <c r="F612" t="n">
        <v>4</v>
      </c>
      <c r="G612" t="n">
        <v>4</v>
      </c>
      <c r="H612" t="n">
        <v>3</v>
      </c>
      <c r="I612" t="n">
        <v>4</v>
      </c>
      <c r="J612" t="inlineStr">
        <is>
          <t>Mediana</t>
        </is>
      </c>
      <c r="K612" t="n">
        <v>4</v>
      </c>
      <c r="L612" t="n">
        <v>3.468</v>
      </c>
      <c r="M612" t="n">
        <v>1</v>
      </c>
      <c r="N612" t="inlineStr">
        <is>
          <t>train</t>
        </is>
      </c>
      <c r="O612">
        <f>HYPERLINK("Solo2\marker_513_368591.png", "Ver Imagen")</f>
        <v/>
      </c>
      <c r="P612">
        <f>HYPERLINK("SE\A-497\A-497__758.png", "Ver Imagen")</f>
        <v/>
      </c>
    </row>
    <row r="613">
      <c r="A613" t="n">
        <v>4991</v>
      </c>
      <c r="B613" t="inlineStr">
        <is>
          <t>A-497__619</t>
        </is>
      </c>
      <c r="C613" t="n">
        <v>37.2023673926</v>
      </c>
      <c r="D613" t="n">
        <v>-6.99789811204</v>
      </c>
      <c r="F613" t="n">
        <v>4</v>
      </c>
      <c r="G613" t="n">
        <v>5</v>
      </c>
      <c r="H613" t="n">
        <v>3</v>
      </c>
      <c r="I613" t="n">
        <v>3</v>
      </c>
      <c r="J613" t="inlineStr">
        <is>
          <t>Modificada</t>
        </is>
      </c>
      <c r="K613" t="n">
        <v>3</v>
      </c>
      <c r="L613" t="n">
        <v>3.516</v>
      </c>
      <c r="M613" t="n">
        <v>1</v>
      </c>
      <c r="N613" t="inlineStr">
        <is>
          <t>test</t>
        </is>
      </c>
      <c r="O613">
        <f>HYPERLINK("Solo2\marker_229_371537.png", "Ver Imagen")</f>
        <v/>
      </c>
      <c r="P613">
        <f>HYPERLINK("SE\A-497\A-497__619.png", "Ver Imagen")</f>
        <v/>
      </c>
    </row>
    <row r="614">
      <c r="A614" t="n">
        <v>4993</v>
      </c>
      <c r="B614" t="inlineStr">
        <is>
          <t>A-497_2C__319</t>
        </is>
      </c>
      <c r="C614" t="n">
        <v>37.2456973348</v>
      </c>
      <c r="D614" t="n">
        <v>-7.01846146404</v>
      </c>
      <c r="E614" t="n">
        <v>3</v>
      </c>
      <c r="F614" t="n">
        <v>4</v>
      </c>
      <c r="H614" t="n">
        <v>3</v>
      </c>
      <c r="I614" t="n">
        <v>3</v>
      </c>
      <c r="J614" t="inlineStr">
        <is>
          <t>Mediana</t>
        </is>
      </c>
      <c r="K614" t="n">
        <v>3</v>
      </c>
      <c r="L614" t="n">
        <v>3.649</v>
      </c>
      <c r="M614" t="n">
        <v>1</v>
      </c>
      <c r="N614" t="inlineStr">
        <is>
          <t>test</t>
        </is>
      </c>
      <c r="O614">
        <f>HYPERLINK("Solo2\marker_160_361918.png", "Ver Imagen")</f>
        <v/>
      </c>
      <c r="P614">
        <f>HYPERLINK("SE\A-497_2C\A-497_2C__319.png", "Ver Imagen")</f>
        <v/>
      </c>
    </row>
    <row r="615">
      <c r="A615" t="n">
        <v>4994</v>
      </c>
      <c r="B615" t="inlineStr">
        <is>
          <t>A-499__81</t>
        </is>
      </c>
      <c r="C615" t="n">
        <v>37.4951954321</v>
      </c>
      <c r="D615" t="n">
        <v>-7.267660023</v>
      </c>
      <c r="E615" t="n">
        <v>3</v>
      </c>
      <c r="H615" t="n">
        <v>2</v>
      </c>
      <c r="I615" t="n">
        <v>3</v>
      </c>
      <c r="J615" t="inlineStr">
        <is>
          <t>Mediana</t>
        </is>
      </c>
      <c r="K615" t="n">
        <v>3</v>
      </c>
      <c r="L615" t="n">
        <v>2.305</v>
      </c>
      <c r="M615" t="n">
        <v>1</v>
      </c>
      <c r="N615" t="inlineStr">
        <is>
          <t>train</t>
        </is>
      </c>
      <c r="O615">
        <f>HYPERLINK("Solo2\marker_656_799839.png", "Ver Imagen")</f>
        <v/>
      </c>
      <c r="P615">
        <f>HYPERLINK("NO\A-499\A-499__81.png", "Ver Imagen")</f>
        <v/>
      </c>
    </row>
    <row r="616">
      <c r="A616" t="n">
        <v>1</v>
      </c>
      <c r="B616" t="inlineStr">
        <is>
          <t>A-490__564</t>
        </is>
      </c>
      <c r="C616" t="n">
        <v>37.4905848821</v>
      </c>
      <c r="D616" t="n">
        <v>-7.25369247382</v>
      </c>
      <c r="E616" t="n">
        <v>1</v>
      </c>
      <c r="F616" t="n">
        <v>1</v>
      </c>
      <c r="G616" t="n">
        <v>1</v>
      </c>
      <c r="J616" t="inlineStr">
        <is>
          <t>Moda</t>
        </is>
      </c>
      <c r="K616" t="n">
        <v>1</v>
      </c>
      <c r="L616" t="n">
        <v>1.019</v>
      </c>
      <c r="M616" t="n">
        <v>0</v>
      </c>
      <c r="N616" t="inlineStr">
        <is>
          <t>train</t>
        </is>
      </c>
      <c r="O616">
        <f>HYPERLINK("1\0\marker_306_819233.png", "Ver Imagen")</f>
        <v/>
      </c>
      <c r="P616">
        <f>HYPERLINK("NO\A-490\A-490__564.png", "Ver Imagen")</f>
        <v/>
      </c>
    </row>
    <row r="617">
      <c r="A617" t="n">
        <v>2</v>
      </c>
      <c r="B617" t="inlineStr">
        <is>
          <t>A-490__569</t>
        </is>
      </c>
      <c r="C617" t="n">
        <v>37.4904739997</v>
      </c>
      <c r="D617" t="n">
        <v>-7.25497482603</v>
      </c>
      <c r="E617" t="n">
        <v>1</v>
      </c>
      <c r="F617" t="n">
        <v>1</v>
      </c>
      <c r="G617" t="n">
        <v>1</v>
      </c>
      <c r="J617" t="inlineStr">
        <is>
          <t>Moda</t>
        </is>
      </c>
      <c r="K617" t="n">
        <v>1</v>
      </c>
      <c r="L617" t="n">
        <v>1</v>
      </c>
      <c r="M617" t="n">
        <v>0</v>
      </c>
      <c r="N617" t="inlineStr">
        <is>
          <t>train</t>
        </is>
      </c>
      <c r="O617">
        <f>HYPERLINK("1\0\marker_718_819307.png", "Ver Imagen")</f>
        <v/>
      </c>
      <c r="P617">
        <f>HYPERLINK("NO\A-490\A-490__569.png", "Ver Imagen")</f>
        <v/>
      </c>
    </row>
    <row r="618">
      <c r="A618" t="n">
        <v>3</v>
      </c>
      <c r="B618" t="inlineStr">
        <is>
          <t>A-490__572</t>
        </is>
      </c>
      <c r="C618" t="n">
        <v>37.4904082259</v>
      </c>
      <c r="D618" t="n">
        <v>-7.25574412662</v>
      </c>
      <c r="E618" t="n">
        <v>1</v>
      </c>
      <c r="F618" t="n">
        <v>1</v>
      </c>
      <c r="G618" t="n">
        <v>1</v>
      </c>
      <c r="J618" t="inlineStr">
        <is>
          <t>Moda</t>
        </is>
      </c>
      <c r="K618" t="n">
        <v>1</v>
      </c>
      <c r="L618" t="n">
        <v>1.126</v>
      </c>
      <c r="M618" t="n">
        <v>0</v>
      </c>
      <c r="N618" t="inlineStr">
        <is>
          <t>train</t>
        </is>
      </c>
      <c r="O618">
        <f>HYPERLINK("1\0\marker_478_819358.png", "Ver Imagen")</f>
        <v/>
      </c>
      <c r="P618">
        <f>HYPERLINK("NO\A-490\A-490__572.png", "Ver Imagen")</f>
        <v/>
      </c>
    </row>
    <row r="619">
      <c r="A619" t="n">
        <v>4</v>
      </c>
      <c r="B619" t="inlineStr">
        <is>
          <t>A-490__577</t>
        </is>
      </c>
      <c r="C619" t="n">
        <v>37.4902857716</v>
      </c>
      <c r="D619" t="n">
        <v>-7.2570025382</v>
      </c>
      <c r="E619" t="n">
        <v>1</v>
      </c>
      <c r="F619" t="n">
        <v>1</v>
      </c>
      <c r="G619" t="n">
        <v>1</v>
      </c>
      <c r="J619" t="inlineStr">
        <is>
          <t>Moda</t>
        </is>
      </c>
      <c r="K619" t="n">
        <v>1</v>
      </c>
      <c r="L619" t="n">
        <v>1</v>
      </c>
      <c r="M619" t="n">
        <v>0</v>
      </c>
      <c r="N619" t="inlineStr">
        <is>
          <t>train</t>
        </is>
      </c>
      <c r="O619">
        <f>HYPERLINK("1\0\marker_851_819431.png", "Ver Imagen")</f>
        <v/>
      </c>
      <c r="P619">
        <f>HYPERLINK("NO\A-490\A-490__577.png", "Ver Imagen")</f>
        <v/>
      </c>
    </row>
    <row r="620">
      <c r="A620" t="n">
        <v>5</v>
      </c>
      <c r="B620" t="inlineStr">
        <is>
          <t>A-490__580</t>
        </is>
      </c>
      <c r="C620" t="n">
        <v>37.4901839678</v>
      </c>
      <c r="D620" t="n">
        <v>-7.25774933283</v>
      </c>
      <c r="E620" t="n">
        <v>1</v>
      </c>
      <c r="F620" t="n">
        <v>1</v>
      </c>
      <c r="G620" t="n">
        <v>1</v>
      </c>
      <c r="J620" t="inlineStr">
        <is>
          <t>Moda</t>
        </is>
      </c>
      <c r="K620" t="n">
        <v>1</v>
      </c>
      <c r="L620" t="n">
        <v>1.065</v>
      </c>
      <c r="M620" t="n">
        <v>0</v>
      </c>
      <c r="N620" t="inlineStr">
        <is>
          <t>train</t>
        </is>
      </c>
      <c r="O620">
        <f>HYPERLINK("1\0\marker_387_819473.png", "Ver Imagen")</f>
        <v/>
      </c>
      <c r="P620">
        <f>HYPERLINK("NO\A-490\A-490__580.png", "Ver Imagen")</f>
        <v/>
      </c>
    </row>
    <row r="621">
      <c r="A621" t="n">
        <v>6</v>
      </c>
      <c r="B621" t="inlineStr">
        <is>
          <t>A-490__582</t>
        </is>
      </c>
      <c r="C621" t="n">
        <v>37.4901215166</v>
      </c>
      <c r="D621" t="n">
        <v>-7.25823158207</v>
      </c>
      <c r="E621" t="n">
        <v>1</v>
      </c>
      <c r="F621" t="n">
        <v>1</v>
      </c>
      <c r="G621" t="n">
        <v>1</v>
      </c>
      <c r="J621" t="inlineStr">
        <is>
          <t>Moda</t>
        </is>
      </c>
      <c r="K621" t="n">
        <v>1</v>
      </c>
      <c r="L621" t="n">
        <v>1.495</v>
      </c>
      <c r="M621" t="n">
        <v>0</v>
      </c>
      <c r="N621" t="inlineStr">
        <is>
          <t>train</t>
        </is>
      </c>
      <c r="O621">
        <f>HYPERLINK("1\0\marker_683_819501.png", "Ver Imagen")</f>
        <v/>
      </c>
      <c r="P621">
        <f>HYPERLINK("NO\A-490\A-490__582.png", "Ver Imagen")</f>
        <v/>
      </c>
    </row>
    <row r="622">
      <c r="A622" t="n">
        <v>7</v>
      </c>
      <c r="B622" t="inlineStr">
        <is>
          <t>A-490__617</t>
        </is>
      </c>
      <c r="C622" t="n">
        <v>37.4939120718</v>
      </c>
      <c r="D622" t="n">
        <v>-7.26525380477</v>
      </c>
      <c r="E622" t="n">
        <v>1</v>
      </c>
      <c r="F622" t="n">
        <v>1</v>
      </c>
      <c r="G622" t="n">
        <v>1</v>
      </c>
      <c r="J622" t="inlineStr">
        <is>
          <t>Moda</t>
        </is>
      </c>
      <c r="K622" t="n">
        <v>1</v>
      </c>
      <c r="L622" t="n">
        <v>1</v>
      </c>
      <c r="M622" t="n">
        <v>0</v>
      </c>
      <c r="N622" t="inlineStr">
        <is>
          <t>train</t>
        </is>
      </c>
      <c r="O622">
        <f>HYPERLINK("1\0\marker_303_820275.png", "Ver Imagen")</f>
        <v/>
      </c>
      <c r="P622">
        <f>HYPERLINK("NO\A-490\A-490__617.png", "Ver Imagen")</f>
        <v/>
      </c>
    </row>
    <row r="623">
      <c r="A623" t="n">
        <v>8</v>
      </c>
      <c r="B623" t="inlineStr">
        <is>
          <t>A-495R__116</t>
        </is>
      </c>
      <c r="C623" t="n">
        <v>37.465062512</v>
      </c>
      <c r="D623" t="n">
        <v>-7.12131727414</v>
      </c>
      <c r="E623" t="n">
        <v>1</v>
      </c>
      <c r="F623" t="n">
        <v>1</v>
      </c>
      <c r="G623" t="n">
        <v>1</v>
      </c>
      <c r="J623" t="inlineStr">
        <is>
          <t>Moda</t>
        </is>
      </c>
      <c r="K623" t="n">
        <v>1</v>
      </c>
      <c r="L623" t="n">
        <v>1.088</v>
      </c>
      <c r="M623" t="n">
        <v>0</v>
      </c>
      <c r="N623" t="inlineStr">
        <is>
          <t>train</t>
        </is>
      </c>
      <c r="O623">
        <f>HYPERLINK("1\0\marker_263_895446.png", "Ver Imagen")</f>
        <v/>
      </c>
      <c r="P623">
        <f>HYPERLINK("NE\A-495R\A-495R__116.png", "Ver Imagen")</f>
        <v/>
      </c>
    </row>
    <row r="624">
      <c r="A624" t="n">
        <v>9</v>
      </c>
      <c r="B624" t="inlineStr">
        <is>
          <t>A-495R__114</t>
        </is>
      </c>
      <c r="C624" t="n">
        <v>37.4649051778</v>
      </c>
      <c r="D624" t="n">
        <v>-7.12083626177</v>
      </c>
      <c r="E624" t="n">
        <v>1</v>
      </c>
      <c r="F624" t="n">
        <v>1</v>
      </c>
      <c r="G624" t="n">
        <v>1</v>
      </c>
      <c r="J624" t="inlineStr">
        <is>
          <t>Moda</t>
        </is>
      </c>
      <c r="K624" t="n">
        <v>1</v>
      </c>
      <c r="L624" t="n">
        <v>1</v>
      </c>
      <c r="M624" t="n">
        <v>0</v>
      </c>
      <c r="N624" t="inlineStr">
        <is>
          <t>train</t>
        </is>
      </c>
      <c r="O624">
        <f>HYPERLINK("1\0\marker_846_895649.png", "Ver Imagen")</f>
        <v/>
      </c>
      <c r="P624">
        <f>HYPERLINK("NE\A-495R\A-495R__114.png", "Ver Imagen")</f>
        <v/>
      </c>
    </row>
    <row r="625">
      <c r="A625" t="n">
        <v>13</v>
      </c>
      <c r="B625" t="inlineStr">
        <is>
          <t>A-495R__110</t>
        </is>
      </c>
      <c r="C625" t="n">
        <v>37.4645916325</v>
      </c>
      <c r="D625" t="n">
        <v>-7.11985857373</v>
      </c>
      <c r="E625" t="n">
        <v>1</v>
      </c>
      <c r="F625" t="n">
        <v>1</v>
      </c>
      <c r="G625" t="n">
        <v>1</v>
      </c>
      <c r="J625" t="inlineStr">
        <is>
          <t>Moda</t>
        </is>
      </c>
      <c r="K625" t="n">
        <v>1</v>
      </c>
      <c r="L625" t="n">
        <v>1</v>
      </c>
      <c r="M625" t="n">
        <v>0</v>
      </c>
      <c r="N625" t="inlineStr">
        <is>
          <t>train</t>
        </is>
      </c>
      <c r="O625">
        <f>HYPERLINK("1\0\marker_787_895727.png", "Ver Imagen")</f>
        <v/>
      </c>
      <c r="P625">
        <f>HYPERLINK("NE\A-495R\A-495R__110.png", "Ver Imagen")</f>
        <v/>
      </c>
    </row>
    <row r="626">
      <c r="A626" t="n">
        <v>14</v>
      </c>
      <c r="B626" t="inlineStr">
        <is>
          <t>A-495R__109</t>
        </is>
      </c>
      <c r="C626" t="n">
        <v>37.4645183226</v>
      </c>
      <c r="D626" t="n">
        <v>-7.11964083234</v>
      </c>
      <c r="E626" t="n">
        <v>1</v>
      </c>
      <c r="F626" t="n">
        <v>1</v>
      </c>
      <c r="G626" t="n">
        <v>1</v>
      </c>
      <c r="J626" t="inlineStr">
        <is>
          <t>Moda</t>
        </is>
      </c>
      <c r="K626" t="n">
        <v>1</v>
      </c>
      <c r="L626" t="n">
        <v>1</v>
      </c>
      <c r="M626" t="n">
        <v>0</v>
      </c>
      <c r="N626" t="inlineStr">
        <is>
          <t>train</t>
        </is>
      </c>
      <c r="O626">
        <f>HYPERLINK("1\0\marker_979_895762.png", "Ver Imagen")</f>
        <v/>
      </c>
      <c r="P626">
        <f>HYPERLINK("NE\A-495R\A-495R__109.png", "Ver Imagen")</f>
        <v/>
      </c>
    </row>
    <row r="627">
      <c r="A627" t="n">
        <v>15</v>
      </c>
      <c r="B627" t="inlineStr">
        <is>
          <t>A-5052__255</t>
        </is>
      </c>
      <c r="C627" t="n">
        <v>37.2131342418</v>
      </c>
      <c r="D627" t="n">
        <v>-7.06240666205</v>
      </c>
      <c r="E627" t="n">
        <v>1</v>
      </c>
      <c r="F627" t="n">
        <v>1</v>
      </c>
      <c r="G627" t="n">
        <v>1</v>
      </c>
      <c r="J627" t="inlineStr">
        <is>
          <t>Moda</t>
        </is>
      </c>
      <c r="K627" t="n">
        <v>1</v>
      </c>
      <c r="L627" t="n">
        <v>1.24</v>
      </c>
      <c r="M627" t="n">
        <v>0</v>
      </c>
      <c r="N627" t="inlineStr">
        <is>
          <t>train</t>
        </is>
      </c>
      <c r="O627">
        <f>HYPERLINK("1\0\marker_728_960145.png", "Ver Imagen")</f>
        <v/>
      </c>
      <c r="P627">
        <f>HYPERLINK("SE\A-5052\A-5052__255.png", "Ver Imagen")</f>
        <v/>
      </c>
    </row>
    <row r="628">
      <c r="A628" t="n">
        <v>17</v>
      </c>
      <c r="B628" t="inlineStr">
        <is>
          <t>A-5052__421</t>
        </is>
      </c>
      <c r="C628" t="n">
        <v>37.2030174225</v>
      </c>
      <c r="D628" t="n">
        <v>-7.02357485254</v>
      </c>
      <c r="E628" t="n">
        <v>1</v>
      </c>
      <c r="F628" t="n">
        <v>1</v>
      </c>
      <c r="G628" t="n">
        <v>1</v>
      </c>
      <c r="J628" t="inlineStr">
        <is>
          <t>Moda</t>
        </is>
      </c>
      <c r="K628" t="n">
        <v>1</v>
      </c>
      <c r="L628" t="n">
        <v>1.071</v>
      </c>
      <c r="M628" t="n">
        <v>0</v>
      </c>
      <c r="N628" t="inlineStr">
        <is>
          <t>train</t>
        </is>
      </c>
      <c r="O628">
        <f>HYPERLINK("1\0\marker_870_962882.png", "Ver Imagen")</f>
        <v/>
      </c>
      <c r="P628">
        <f>HYPERLINK("SE\A-5052\A-5052__421.png", "Ver Imagen")</f>
        <v/>
      </c>
    </row>
    <row r="629">
      <c r="A629" t="n">
        <v>18</v>
      </c>
      <c r="B629" t="inlineStr">
        <is>
          <t>A-5052__422</t>
        </is>
      </c>
      <c r="C629" t="n">
        <v>37.2029417726</v>
      </c>
      <c r="D629" t="n">
        <v>-7.02338006215</v>
      </c>
      <c r="E629" t="n">
        <v>1</v>
      </c>
      <c r="F629" t="n">
        <v>1</v>
      </c>
      <c r="G629" t="n">
        <v>1</v>
      </c>
      <c r="J629" t="inlineStr">
        <is>
          <t>Moda</t>
        </is>
      </c>
      <c r="K629" t="n">
        <v>1</v>
      </c>
      <c r="L629" t="n">
        <v>1.08</v>
      </c>
      <c r="M629" t="n">
        <v>0</v>
      </c>
      <c r="N629" t="inlineStr">
        <is>
          <t>train</t>
        </is>
      </c>
      <c r="O629">
        <f>HYPERLINK("1\0\marker_828_962895.png", "Ver Imagen")</f>
        <v/>
      </c>
      <c r="P629">
        <f>HYPERLINK("SE\A-5052\A-5052__422.png", "Ver Imagen")</f>
        <v/>
      </c>
    </row>
    <row r="630">
      <c r="A630" t="n">
        <v>19</v>
      </c>
      <c r="B630" t="inlineStr">
        <is>
          <t>A-5052__424</t>
        </is>
      </c>
      <c r="C630" t="n">
        <v>37.2027682632</v>
      </c>
      <c r="D630" t="n">
        <v>-7.02290963999</v>
      </c>
      <c r="E630" t="n">
        <v>1</v>
      </c>
      <c r="F630" t="n">
        <v>1</v>
      </c>
      <c r="G630" t="n">
        <v>1</v>
      </c>
      <c r="J630" t="inlineStr">
        <is>
          <t>Moda</t>
        </is>
      </c>
      <c r="K630" t="n">
        <v>1</v>
      </c>
      <c r="L630" t="n">
        <v>1.091</v>
      </c>
      <c r="M630" t="n">
        <v>0</v>
      </c>
      <c r="N630" t="inlineStr">
        <is>
          <t>train</t>
        </is>
      </c>
      <c r="O630">
        <f>HYPERLINK("1\0\marker_322_962914.png", "Ver Imagen")</f>
        <v/>
      </c>
      <c r="P630">
        <f>HYPERLINK("SE\A-5052\A-5052__424.png", "Ver Imagen")</f>
        <v/>
      </c>
    </row>
    <row r="631">
      <c r="A631" t="n">
        <v>20</v>
      </c>
      <c r="B631" t="inlineStr">
        <is>
          <t>A-5052__425</t>
        </is>
      </c>
      <c r="C631" t="n">
        <v>37.2026794199</v>
      </c>
      <c r="D631" t="n">
        <v>-7.02267521067</v>
      </c>
      <c r="E631" t="n">
        <v>1</v>
      </c>
      <c r="F631" t="n">
        <v>1</v>
      </c>
      <c r="G631" t="n">
        <v>1</v>
      </c>
      <c r="J631" t="inlineStr">
        <is>
          <t>Moda</t>
        </is>
      </c>
      <c r="K631" t="n">
        <v>1</v>
      </c>
      <c r="L631" t="n">
        <v>1.08</v>
      </c>
      <c r="M631" t="n">
        <v>0</v>
      </c>
      <c r="N631" t="inlineStr">
        <is>
          <t>train</t>
        </is>
      </c>
      <c r="O631">
        <f>HYPERLINK("1\0\marker_362_962923.png", "Ver Imagen")</f>
        <v/>
      </c>
      <c r="P631">
        <f>HYPERLINK("SE\A-5052\A-5052__425.png", "Ver Imagen")</f>
        <v/>
      </c>
    </row>
    <row r="632">
      <c r="A632" t="n">
        <v>21</v>
      </c>
      <c r="B632" t="inlineStr">
        <is>
          <t>A-5052__426</t>
        </is>
      </c>
      <c r="C632" t="n">
        <v>37.2025916403</v>
      </c>
      <c r="D632" t="n">
        <v>-7.0224453321</v>
      </c>
      <c r="E632" t="n">
        <v>1</v>
      </c>
      <c r="F632" t="n">
        <v>1</v>
      </c>
      <c r="G632" t="n">
        <v>1</v>
      </c>
      <c r="J632" t="inlineStr">
        <is>
          <t>Moda</t>
        </is>
      </c>
      <c r="K632" t="n">
        <v>1</v>
      </c>
      <c r="L632" t="n">
        <v>1</v>
      </c>
      <c r="M632" t="n">
        <v>0</v>
      </c>
      <c r="N632" t="inlineStr">
        <is>
          <t>train</t>
        </is>
      </c>
      <c r="O632">
        <f>HYPERLINK("1\0\marker_493_962931.png", "Ver Imagen")</f>
        <v/>
      </c>
      <c r="P632">
        <f>HYPERLINK("SE\A-5052\A-5052__426.png", "Ver Imagen")</f>
        <v/>
      </c>
    </row>
    <row r="633">
      <c r="A633" t="n">
        <v>22</v>
      </c>
      <c r="B633" t="inlineStr">
        <is>
          <t>A-5052__427</t>
        </is>
      </c>
      <c r="C633" t="n">
        <v>37.2025007426</v>
      </c>
      <c r="D633" t="n">
        <v>-7.02220926321</v>
      </c>
      <c r="E633" t="n">
        <v>1</v>
      </c>
      <c r="F633" t="n">
        <v>1</v>
      </c>
      <c r="G633" t="n">
        <v>1</v>
      </c>
      <c r="J633" t="inlineStr">
        <is>
          <t>Moda</t>
        </is>
      </c>
      <c r="K633" t="n">
        <v>1</v>
      </c>
      <c r="L633" t="n">
        <v>1.388</v>
      </c>
      <c r="M633" t="n">
        <v>0</v>
      </c>
      <c r="N633" t="inlineStr">
        <is>
          <t>train</t>
        </is>
      </c>
      <c r="O633">
        <f>HYPERLINK("1\0\marker_636_962939.png", "Ver Imagen")</f>
        <v/>
      </c>
      <c r="P633">
        <f>HYPERLINK("SE\A-5052\A-5052__427.png", "Ver Imagen")</f>
        <v/>
      </c>
    </row>
    <row r="634">
      <c r="A634" t="n">
        <v>23</v>
      </c>
      <c r="B634" t="inlineStr">
        <is>
          <t>A-5052__428</t>
        </is>
      </c>
      <c r="C634" t="n">
        <v>37.2024198177</v>
      </c>
      <c r="D634" t="n">
        <v>-7.02200075478</v>
      </c>
      <c r="E634" t="n">
        <v>1</v>
      </c>
      <c r="F634" t="n">
        <v>1</v>
      </c>
      <c r="G634" t="n">
        <v>1</v>
      </c>
      <c r="J634" t="inlineStr">
        <is>
          <t>Moda</t>
        </is>
      </c>
      <c r="K634" t="n">
        <v>1</v>
      </c>
      <c r="L634" t="n">
        <v>1.418</v>
      </c>
      <c r="M634" t="n">
        <v>0</v>
      </c>
      <c r="N634" t="inlineStr">
        <is>
          <t>val</t>
        </is>
      </c>
      <c r="O634">
        <f>HYPERLINK("1\0\marker_988_962947.png", "Ver Imagen")</f>
        <v/>
      </c>
      <c r="P634">
        <f>HYPERLINK("SE\A-5052\A-5052__428.png", "Ver Imagen")</f>
        <v/>
      </c>
    </row>
    <row r="635">
      <c r="A635" t="n">
        <v>24</v>
      </c>
      <c r="B635" t="inlineStr">
        <is>
          <t>A-5052__431</t>
        </is>
      </c>
      <c r="C635" t="n">
        <v>37.2021541074</v>
      </c>
      <c r="D635" t="n">
        <v>-7.02130689422</v>
      </c>
      <c r="E635" t="n">
        <v>1</v>
      </c>
      <c r="F635" t="n">
        <v>1</v>
      </c>
      <c r="G635" t="n">
        <v>1</v>
      </c>
      <c r="J635" t="inlineStr">
        <is>
          <t>Moda</t>
        </is>
      </c>
      <c r="K635" t="n">
        <v>1</v>
      </c>
      <c r="L635" t="n">
        <v>1.14</v>
      </c>
      <c r="M635" t="n">
        <v>0</v>
      </c>
      <c r="N635" t="inlineStr">
        <is>
          <t>train</t>
        </is>
      </c>
      <c r="O635">
        <f>HYPERLINK("1\0\marker_898_962974.png", "Ver Imagen")</f>
        <v/>
      </c>
      <c r="P635">
        <f>HYPERLINK("SE\A-5052\A-5052__431.png", "Ver Imagen")</f>
        <v/>
      </c>
    </row>
    <row r="636">
      <c r="A636" t="n">
        <v>25</v>
      </c>
      <c r="B636" t="inlineStr">
        <is>
          <t>A-5052__432</t>
        </is>
      </c>
      <c r="C636" t="n">
        <v>37.2020663522</v>
      </c>
      <c r="D636" t="n">
        <v>-7.02107645285</v>
      </c>
      <c r="E636" t="n">
        <v>1</v>
      </c>
      <c r="F636" t="n">
        <v>1</v>
      </c>
      <c r="G636" t="n">
        <v>1</v>
      </c>
      <c r="J636" t="inlineStr">
        <is>
          <t>Moda</t>
        </is>
      </c>
      <c r="K636" t="n">
        <v>1</v>
      </c>
      <c r="L636" t="n">
        <v>1.455</v>
      </c>
      <c r="M636" t="n">
        <v>0</v>
      </c>
      <c r="N636" t="inlineStr">
        <is>
          <t>train</t>
        </is>
      </c>
      <c r="O636">
        <f>HYPERLINK("1\0\marker_839_962996.png", "Ver Imagen")</f>
        <v/>
      </c>
      <c r="P636">
        <f>HYPERLINK("SE\A-5052\A-5052__432.png", "Ver Imagen")</f>
        <v/>
      </c>
    </row>
    <row r="637">
      <c r="A637" t="n">
        <v>26</v>
      </c>
      <c r="B637" t="inlineStr">
        <is>
          <t>A-5052__433</t>
        </is>
      </c>
      <c r="C637" t="n">
        <v>37.2019807667</v>
      </c>
      <c r="D637" t="n">
        <v>-7.02085271098</v>
      </c>
      <c r="E637" t="n">
        <v>1</v>
      </c>
      <c r="F637" t="n">
        <v>1</v>
      </c>
      <c r="G637" t="n">
        <v>1</v>
      </c>
      <c r="J637" t="inlineStr">
        <is>
          <t>Moda</t>
        </is>
      </c>
      <c r="K637" t="n">
        <v>1</v>
      </c>
      <c r="L637" t="n">
        <v>1.078</v>
      </c>
      <c r="M637" t="n">
        <v>0</v>
      </c>
      <c r="N637" t="inlineStr">
        <is>
          <t>train</t>
        </is>
      </c>
      <c r="O637">
        <f>HYPERLINK("1\0\marker_439_963006.png", "Ver Imagen")</f>
        <v/>
      </c>
      <c r="P637">
        <f>HYPERLINK("SE\A-5052\A-5052__433.png", "Ver Imagen")</f>
        <v/>
      </c>
    </row>
    <row r="638">
      <c r="A638" t="n">
        <v>27</v>
      </c>
      <c r="B638" t="inlineStr">
        <is>
          <t>A-5052__436</t>
        </is>
      </c>
      <c r="C638" t="n">
        <v>37.2017139417</v>
      </c>
      <c r="D638" t="n">
        <v>-7.02015977536</v>
      </c>
      <c r="E638" t="n">
        <v>1</v>
      </c>
      <c r="F638" t="n">
        <v>1</v>
      </c>
      <c r="G638" t="n">
        <v>1</v>
      </c>
      <c r="J638" t="inlineStr">
        <is>
          <t>Moda</t>
        </is>
      </c>
      <c r="K638" t="n">
        <v>1</v>
      </c>
      <c r="L638" t="n">
        <v>1.179</v>
      </c>
      <c r="M638" t="n">
        <v>0</v>
      </c>
      <c r="N638" t="inlineStr">
        <is>
          <t>train</t>
        </is>
      </c>
      <c r="O638">
        <f>HYPERLINK("1\0\marker_455_963038.png", "Ver Imagen")</f>
        <v/>
      </c>
      <c r="P638">
        <f>HYPERLINK("SE\A-5052\A-5052__436.png", "Ver Imagen")</f>
        <v/>
      </c>
    </row>
    <row r="639">
      <c r="A639" t="n">
        <v>28</v>
      </c>
      <c r="B639" t="inlineStr">
        <is>
          <t>A-5052__452</t>
        </is>
      </c>
      <c r="C639" t="n">
        <v>37.2003086704</v>
      </c>
      <c r="D639" t="n">
        <v>-7.0165034045</v>
      </c>
      <c r="E639" t="n">
        <v>1</v>
      </c>
      <c r="F639" t="n">
        <v>1</v>
      </c>
      <c r="G639" t="n">
        <v>1</v>
      </c>
      <c r="J639" t="inlineStr">
        <is>
          <t>Moda</t>
        </is>
      </c>
      <c r="K639" t="n">
        <v>1</v>
      </c>
      <c r="L639" t="n">
        <v>1.345</v>
      </c>
      <c r="M639" t="n">
        <v>0</v>
      </c>
      <c r="N639" t="inlineStr">
        <is>
          <t>test</t>
        </is>
      </c>
      <c r="O639">
        <f>HYPERLINK("1\0\marker_490_963199.png", "Ver Imagen")</f>
        <v/>
      </c>
      <c r="P639">
        <f>HYPERLINK("SE\A-5052\A-5052__452.png", "Ver Imagen")</f>
        <v/>
      </c>
    </row>
    <row r="640">
      <c r="A640" t="n">
        <v>29</v>
      </c>
      <c r="B640" t="inlineStr">
        <is>
          <t>A-5052__453</t>
        </is>
      </c>
      <c r="C640" t="n">
        <v>37.2002272942</v>
      </c>
      <c r="D640" t="n">
        <v>-7.01629366525</v>
      </c>
      <c r="E640" t="n">
        <v>1</v>
      </c>
      <c r="F640" t="n">
        <v>1</v>
      </c>
      <c r="G640" t="n">
        <v>1</v>
      </c>
      <c r="J640" t="inlineStr">
        <is>
          <t>Moda</t>
        </is>
      </c>
      <c r="K640" t="n">
        <v>1</v>
      </c>
      <c r="L640" t="n">
        <v>1.078</v>
      </c>
      <c r="M640" t="n">
        <v>0</v>
      </c>
      <c r="N640" t="inlineStr">
        <is>
          <t>train</t>
        </is>
      </c>
      <c r="O640">
        <f>HYPERLINK("1\0\marker_439_963207.png", "Ver Imagen")</f>
        <v/>
      </c>
      <c r="P640">
        <f>HYPERLINK("SE\A-5052\A-5052__453.png", "Ver Imagen")</f>
        <v/>
      </c>
    </row>
    <row r="641">
      <c r="A641" t="n">
        <v>30</v>
      </c>
      <c r="B641" t="inlineStr">
        <is>
          <t>A-5052__458</t>
        </is>
      </c>
      <c r="C641" t="n">
        <v>37.1997810481</v>
      </c>
      <c r="D641" t="n">
        <v>-7.01511430093</v>
      </c>
      <c r="E641" t="n">
        <v>1</v>
      </c>
      <c r="F641" t="n">
        <v>1</v>
      </c>
      <c r="G641" t="n">
        <v>1</v>
      </c>
      <c r="J641" t="inlineStr">
        <is>
          <t>Moda</t>
        </is>
      </c>
      <c r="K641" t="n">
        <v>1</v>
      </c>
      <c r="L641" t="n">
        <v>1.016</v>
      </c>
      <c r="M641" t="n">
        <v>0</v>
      </c>
      <c r="N641" t="inlineStr">
        <is>
          <t>train</t>
        </is>
      </c>
      <c r="O641">
        <f>HYPERLINK("1\0\marker_545_963261.png", "Ver Imagen")</f>
        <v/>
      </c>
      <c r="P641">
        <f>HYPERLINK("SE\A-5052\A-5052__458.png", "Ver Imagen")</f>
        <v/>
      </c>
    </row>
    <row r="642">
      <c r="A642" t="n">
        <v>31</v>
      </c>
      <c r="B642" t="inlineStr">
        <is>
          <t>A-5052__463</t>
        </is>
      </c>
      <c r="C642" t="n">
        <v>37.1993582295</v>
      </c>
      <c r="D642" t="n">
        <v>-7.01401269849</v>
      </c>
      <c r="E642" t="n">
        <v>1</v>
      </c>
      <c r="F642" t="n">
        <v>1</v>
      </c>
      <c r="G642" t="n">
        <v>1</v>
      </c>
      <c r="J642" t="inlineStr">
        <is>
          <t>Moda</t>
        </is>
      </c>
      <c r="K642" t="n">
        <v>1</v>
      </c>
      <c r="L642" t="n">
        <v>1.025</v>
      </c>
      <c r="M642" t="n">
        <v>0</v>
      </c>
      <c r="N642" t="inlineStr">
        <is>
          <t>train</t>
        </is>
      </c>
      <c r="O642">
        <f>HYPERLINK("1\0\marker_563_963306.png", "Ver Imagen")</f>
        <v/>
      </c>
      <c r="P642">
        <f>HYPERLINK("SE\A-5052\A-5052__463.png", "Ver Imagen")</f>
        <v/>
      </c>
    </row>
    <row r="643">
      <c r="A643" t="n">
        <v>32</v>
      </c>
      <c r="B643" t="inlineStr">
        <is>
          <t>A-5052__464</t>
        </is>
      </c>
      <c r="C643" t="n">
        <v>37.199265428</v>
      </c>
      <c r="D643" t="n">
        <v>-7.01377104109</v>
      </c>
      <c r="E643" t="n">
        <v>1</v>
      </c>
      <c r="F643" t="n">
        <v>1</v>
      </c>
      <c r="G643" t="n">
        <v>1</v>
      </c>
      <c r="J643" t="inlineStr">
        <is>
          <t>Moda</t>
        </is>
      </c>
      <c r="K643" t="n">
        <v>1</v>
      </c>
      <c r="L643" t="n">
        <v>1</v>
      </c>
      <c r="M643" t="n">
        <v>0</v>
      </c>
      <c r="N643" t="inlineStr">
        <is>
          <t>train</t>
        </is>
      </c>
      <c r="O643">
        <f>HYPERLINK("1\0\marker_843_963316.png", "Ver Imagen")</f>
        <v/>
      </c>
      <c r="P643">
        <f>HYPERLINK("SE\A-5052\A-5052__464.png", "Ver Imagen")</f>
        <v/>
      </c>
    </row>
    <row r="644">
      <c r="A644" t="n">
        <v>33</v>
      </c>
      <c r="B644" t="inlineStr">
        <is>
          <t>A-5052__465</t>
        </is>
      </c>
      <c r="C644" t="n">
        <v>37.1991744016</v>
      </c>
      <c r="D644" t="n">
        <v>-7.01353512154</v>
      </c>
      <c r="E644" t="n">
        <v>1</v>
      </c>
      <c r="F644" t="n">
        <v>1</v>
      </c>
      <c r="G644" t="n">
        <v>1</v>
      </c>
      <c r="J644" t="inlineStr">
        <is>
          <t>Moda</t>
        </is>
      </c>
      <c r="K644" t="n">
        <v>1</v>
      </c>
      <c r="L644" t="n">
        <v>1.124</v>
      </c>
      <c r="M644" t="n">
        <v>0</v>
      </c>
      <c r="N644" t="inlineStr">
        <is>
          <t>train</t>
        </is>
      </c>
      <c r="O644">
        <f>HYPERLINK("1\0\marker_224_963344.png", "Ver Imagen")</f>
        <v/>
      </c>
      <c r="P644">
        <f>HYPERLINK("SE\A-5052\A-5052__465.png", "Ver Imagen")</f>
        <v/>
      </c>
    </row>
    <row r="645">
      <c r="A645" t="n">
        <v>34</v>
      </c>
      <c r="B645" t="inlineStr">
        <is>
          <t>A-5052__485</t>
        </is>
      </c>
      <c r="C645" t="n">
        <v>37.1974462202</v>
      </c>
      <c r="D645" t="n">
        <v>-7.00898306179</v>
      </c>
      <c r="E645" t="n">
        <v>1</v>
      </c>
      <c r="F645" t="n">
        <v>1</v>
      </c>
      <c r="G645" t="n">
        <v>1</v>
      </c>
      <c r="J645" t="inlineStr">
        <is>
          <t>Moda</t>
        </is>
      </c>
      <c r="K645" t="n">
        <v>1</v>
      </c>
      <c r="L645" t="n">
        <v>1.31</v>
      </c>
      <c r="M645" t="n">
        <v>0</v>
      </c>
      <c r="N645" t="inlineStr">
        <is>
          <t>train</t>
        </is>
      </c>
      <c r="O645">
        <f>HYPERLINK("1\0\marker_345_963541.png", "Ver Imagen")</f>
        <v/>
      </c>
      <c r="P645">
        <f>HYPERLINK("SE\A-5052\A-5052__485.png", "Ver Imagen")</f>
        <v/>
      </c>
    </row>
    <row r="646">
      <c r="A646" t="n">
        <v>35</v>
      </c>
      <c r="B646" t="inlineStr">
        <is>
          <t>A-5052__486</t>
        </is>
      </c>
      <c r="C646" t="n">
        <v>37.1973939036</v>
      </c>
      <c r="D646" t="n">
        <v>-7.0087512994</v>
      </c>
      <c r="E646" t="n">
        <v>1</v>
      </c>
      <c r="F646" t="n">
        <v>1</v>
      </c>
      <c r="G646" t="n">
        <v>1</v>
      </c>
      <c r="J646" t="inlineStr">
        <is>
          <t>Moda</t>
        </is>
      </c>
      <c r="K646" t="n">
        <v>1</v>
      </c>
      <c r="L646" t="n">
        <v>1.198</v>
      </c>
      <c r="M646" t="n">
        <v>0</v>
      </c>
      <c r="N646" t="inlineStr">
        <is>
          <t>train</t>
        </is>
      </c>
      <c r="O646">
        <f>HYPERLINK("1\0\marker_546_963550.png", "Ver Imagen")</f>
        <v/>
      </c>
      <c r="P646">
        <f>HYPERLINK("SE\A-5052\A-5052__486.png", "Ver Imagen")</f>
        <v/>
      </c>
    </row>
    <row r="647">
      <c r="A647" t="n">
        <v>36</v>
      </c>
      <c r="B647" t="inlineStr">
        <is>
          <t>A-5052__488</t>
        </is>
      </c>
      <c r="C647" t="n">
        <v>37.1973261495</v>
      </c>
      <c r="D647" t="n">
        <v>-7.00825405601</v>
      </c>
      <c r="E647" t="n">
        <v>1</v>
      </c>
      <c r="F647" t="n">
        <v>1</v>
      </c>
      <c r="G647" t="n">
        <v>1</v>
      </c>
      <c r="J647" t="inlineStr">
        <is>
          <t>Moda</t>
        </is>
      </c>
      <c r="K647" t="n">
        <v>1</v>
      </c>
      <c r="L647" t="n">
        <v>1</v>
      </c>
      <c r="M647" t="n">
        <v>0</v>
      </c>
      <c r="N647" t="inlineStr">
        <is>
          <t>train</t>
        </is>
      </c>
      <c r="O647">
        <f>HYPERLINK("1\0\marker_401_963569.png", "Ver Imagen")</f>
        <v/>
      </c>
      <c r="P647">
        <f>HYPERLINK("SE\A-5052\A-5052__488.png", "Ver Imagen")</f>
        <v/>
      </c>
    </row>
    <row r="648">
      <c r="A648" t="n">
        <v>37</v>
      </c>
      <c r="B648" t="inlineStr">
        <is>
          <t>A-5052__494</t>
        </is>
      </c>
      <c r="C648" t="n">
        <v>37.1971769668</v>
      </c>
      <c r="D648" t="n">
        <v>-7.00670160414</v>
      </c>
      <c r="E648" t="n">
        <v>1</v>
      </c>
      <c r="F648" t="n">
        <v>1</v>
      </c>
      <c r="G648" t="n">
        <v>1</v>
      </c>
      <c r="J648" t="inlineStr">
        <is>
          <t>Moda</t>
        </is>
      </c>
      <c r="K648" t="n">
        <v>1</v>
      </c>
      <c r="L648" t="n">
        <v>1.376</v>
      </c>
      <c r="M648" t="n">
        <v>0</v>
      </c>
      <c r="N648" t="inlineStr">
        <is>
          <t>train</t>
        </is>
      </c>
      <c r="O648">
        <f>HYPERLINK("1\0\marker_626_963624.png", "Ver Imagen")</f>
        <v/>
      </c>
      <c r="P648">
        <f>HYPERLINK("SE\A-5052\A-5052__494.png", "Ver Imagen")</f>
        <v/>
      </c>
    </row>
    <row r="649">
      <c r="A649" t="n">
        <v>38</v>
      </c>
      <c r="B649" t="inlineStr">
        <is>
          <t>A-495_1__88</t>
        </is>
      </c>
      <c r="C649" t="n">
        <v>37.465212517</v>
      </c>
      <c r="D649" t="n">
        <v>-7.12307771163</v>
      </c>
      <c r="E649" t="n">
        <v>1</v>
      </c>
      <c r="F649" t="n">
        <v>1</v>
      </c>
      <c r="G649" t="n">
        <v>1</v>
      </c>
      <c r="J649" t="inlineStr">
        <is>
          <t>Moda</t>
        </is>
      </c>
      <c r="K649" t="n">
        <v>1</v>
      </c>
      <c r="L649" t="n">
        <v>1.235</v>
      </c>
      <c r="M649" t="n">
        <v>0</v>
      </c>
      <c r="N649" t="inlineStr">
        <is>
          <t>train</t>
        </is>
      </c>
      <c r="O649">
        <f>HYPERLINK("1\0\marker_291_385165.png", "Ver Imagen")</f>
        <v/>
      </c>
      <c r="P649">
        <f>HYPERLINK("NE\A-495_1\A-495_1__88.png", "Ver Imagen")</f>
        <v/>
      </c>
    </row>
    <row r="650">
      <c r="A650" t="n">
        <v>39</v>
      </c>
      <c r="B650" t="inlineStr">
        <is>
          <t>A-495_1__51</t>
        </is>
      </c>
      <c r="C650" t="n">
        <v>37.4580456355</v>
      </c>
      <c r="D650" t="n">
        <v>-7.12560935351</v>
      </c>
      <c r="E650" t="n">
        <v>1</v>
      </c>
      <c r="F650" t="n">
        <v>1</v>
      </c>
      <c r="G650" t="n">
        <v>1</v>
      </c>
      <c r="J650" t="inlineStr">
        <is>
          <t>Moda</t>
        </is>
      </c>
      <c r="K650" t="n">
        <v>1</v>
      </c>
      <c r="L650" t="n">
        <v>1.032</v>
      </c>
      <c r="M650" t="n">
        <v>0</v>
      </c>
      <c r="N650" t="inlineStr">
        <is>
          <t>train</t>
        </is>
      </c>
      <c r="O650">
        <f>HYPERLINK("1\0\marker_539_385553.png", "Ver Imagen")</f>
        <v/>
      </c>
      <c r="P650">
        <f>HYPERLINK("NE\A-495_1\A-495_1__51.png", "Ver Imagen")</f>
        <v/>
      </c>
    </row>
    <row r="651">
      <c r="A651" t="n">
        <v>40</v>
      </c>
      <c r="B651" t="inlineStr">
        <is>
          <t>A-495_1__29</t>
        </is>
      </c>
      <c r="C651" t="n">
        <v>37.4537768802</v>
      </c>
      <c r="D651" t="n">
        <v>-7.12715749496</v>
      </c>
      <c r="E651" t="n">
        <v>1</v>
      </c>
      <c r="F651" t="n">
        <v>1</v>
      </c>
      <c r="G651" t="n">
        <v>1</v>
      </c>
      <c r="J651" t="inlineStr">
        <is>
          <t>Moda</t>
        </is>
      </c>
      <c r="K651" t="n">
        <v>1</v>
      </c>
      <c r="L651" t="n">
        <v>1.004</v>
      </c>
      <c r="M651" t="n">
        <v>0</v>
      </c>
      <c r="N651" t="inlineStr">
        <is>
          <t>train</t>
        </is>
      </c>
      <c r="O651">
        <f>HYPERLINK("1\0\marker_667_385889.png", "Ver Imagen")</f>
        <v/>
      </c>
      <c r="P651">
        <f>HYPERLINK("NE\A-495_1\A-495_1__29.png", "Ver Imagen")</f>
        <v/>
      </c>
    </row>
    <row r="652">
      <c r="A652" t="n">
        <v>44</v>
      </c>
      <c r="B652" t="inlineStr">
        <is>
          <t>A-497_2C__507</t>
        </is>
      </c>
      <c r="C652" t="n">
        <v>37.208885279</v>
      </c>
      <c r="D652" t="n">
        <v>-7.02317399888</v>
      </c>
      <c r="E652" t="n">
        <v>1</v>
      </c>
      <c r="F652" t="n">
        <v>1</v>
      </c>
      <c r="G652" t="n">
        <v>1</v>
      </c>
      <c r="J652" t="inlineStr">
        <is>
          <t>Moda</t>
        </is>
      </c>
      <c r="K652" t="n">
        <v>1</v>
      </c>
      <c r="L652" t="n">
        <v>1.092</v>
      </c>
      <c r="M652" t="n">
        <v>0</v>
      </c>
      <c r="N652" t="inlineStr">
        <is>
          <t>train</t>
        </is>
      </c>
      <c r="O652">
        <f>HYPERLINK("1\0\marker_495_364130.png", "Ver Imagen")</f>
        <v/>
      </c>
      <c r="P652">
        <f>HYPERLINK("SE\A-497_2C\A-497_2C__507.png", "Ver Imagen")</f>
        <v/>
      </c>
    </row>
    <row r="653">
      <c r="A653" t="n">
        <v>45</v>
      </c>
      <c r="B653" t="inlineStr">
        <is>
          <t>A-497__412</t>
        </is>
      </c>
      <c r="C653" t="n">
        <v>37.2285615402</v>
      </c>
      <c r="D653" t="n">
        <v>-7.02135240554</v>
      </c>
      <c r="E653" t="n">
        <v>1</v>
      </c>
      <c r="F653" t="n">
        <v>1</v>
      </c>
      <c r="G653" t="n">
        <v>1</v>
      </c>
      <c r="J653" t="inlineStr">
        <is>
          <t>Moda</t>
        </is>
      </c>
      <c r="K653" t="n">
        <v>1</v>
      </c>
      <c r="L653" t="n">
        <v>1.338</v>
      </c>
      <c r="M653" t="n">
        <v>0</v>
      </c>
      <c r="N653" t="inlineStr">
        <is>
          <t>val</t>
        </is>
      </c>
      <c r="O653">
        <f>HYPERLINK("1\0\marker_583_377084.png", "Ver Imagen")</f>
        <v/>
      </c>
      <c r="P653">
        <f>HYPERLINK("SE\A-497\A-497__412.png", "Ver Imagen")</f>
        <v/>
      </c>
    </row>
    <row r="654">
      <c r="A654" t="n">
        <v>46</v>
      </c>
      <c r="B654" t="inlineStr">
        <is>
          <t>A-497__411</t>
        </is>
      </c>
      <c r="C654" t="n">
        <v>37.228707952</v>
      </c>
      <c r="D654" t="n">
        <v>-7.02123956101</v>
      </c>
      <c r="E654" t="n">
        <v>1</v>
      </c>
      <c r="F654" t="n">
        <v>1</v>
      </c>
      <c r="G654" t="n">
        <v>1</v>
      </c>
      <c r="J654" t="inlineStr">
        <is>
          <t>Moda</t>
        </is>
      </c>
      <c r="K654" t="n">
        <v>1</v>
      </c>
      <c r="L654" t="n">
        <v>1.347</v>
      </c>
      <c r="M654" t="n">
        <v>0</v>
      </c>
      <c r="N654" t="inlineStr">
        <is>
          <t>test</t>
        </is>
      </c>
      <c r="O654">
        <f>HYPERLINK("1\0\marker_448_377091.png", "Ver Imagen")</f>
        <v/>
      </c>
      <c r="P654">
        <f>HYPERLINK("SE\A-497\A-497__411.png", "Ver Imagen")</f>
        <v/>
      </c>
    </row>
    <row r="655">
      <c r="A655" t="n">
        <v>47</v>
      </c>
      <c r="B655" t="inlineStr">
        <is>
          <t>A-497__410</t>
        </is>
      </c>
      <c r="C655" t="n">
        <v>37.2288344918</v>
      </c>
      <c r="D655" t="n">
        <v>-7.02114249645</v>
      </c>
      <c r="E655" t="n">
        <v>1</v>
      </c>
      <c r="F655" t="n">
        <v>1</v>
      </c>
      <c r="G655" t="n">
        <v>1</v>
      </c>
      <c r="J655" t="inlineStr">
        <is>
          <t>Moda</t>
        </is>
      </c>
      <c r="K655" t="n">
        <v>1</v>
      </c>
      <c r="L655" t="n">
        <v>1</v>
      </c>
      <c r="M655" t="n">
        <v>0</v>
      </c>
      <c r="N655" t="inlineStr">
        <is>
          <t>train</t>
        </is>
      </c>
      <c r="O655">
        <f>HYPERLINK("1\0\marker_622_377099.png", "Ver Imagen")</f>
        <v/>
      </c>
      <c r="P655">
        <f>HYPERLINK("SE\A-497\A-497__410.png", "Ver Imagen")</f>
        <v/>
      </c>
    </row>
    <row r="656">
      <c r="A656" t="n">
        <v>48</v>
      </c>
      <c r="B656" t="inlineStr">
        <is>
          <t>A-497__409</t>
        </is>
      </c>
      <c r="C656" t="n">
        <v>37.2290287006</v>
      </c>
      <c r="D656" t="n">
        <v>-7.02099454952</v>
      </c>
      <c r="E656" t="n">
        <v>1</v>
      </c>
      <c r="F656" t="n">
        <v>1</v>
      </c>
      <c r="G656" t="n">
        <v>1</v>
      </c>
      <c r="J656" t="inlineStr">
        <is>
          <t>Moda</t>
        </is>
      </c>
      <c r="K656" t="n">
        <v>1</v>
      </c>
      <c r="L656" t="n">
        <v>1</v>
      </c>
      <c r="M656" t="n">
        <v>0</v>
      </c>
      <c r="N656" t="inlineStr">
        <is>
          <t>train</t>
        </is>
      </c>
      <c r="O656">
        <f>HYPERLINK("1\0\marker_820_377108.png", "Ver Imagen")</f>
        <v/>
      </c>
      <c r="P656">
        <f>HYPERLINK("SE\A-497\A-497__409.png", "Ver Imagen")</f>
        <v/>
      </c>
    </row>
    <row r="657">
      <c r="A657" t="n">
        <v>49</v>
      </c>
      <c r="B657" t="inlineStr">
        <is>
          <t>A-490__265</t>
        </is>
      </c>
      <c r="C657" t="n">
        <v>37.4675281888</v>
      </c>
      <c r="D657" t="n">
        <v>-7.18509304357</v>
      </c>
      <c r="E657" t="n">
        <v>1</v>
      </c>
      <c r="F657" t="n">
        <v>2</v>
      </c>
      <c r="G657" t="n">
        <v>1</v>
      </c>
      <c r="J657" t="inlineStr">
        <is>
          <t>Moda</t>
        </is>
      </c>
      <c r="K657" t="n">
        <v>1</v>
      </c>
      <c r="L657" t="n">
        <v>1.233</v>
      </c>
      <c r="M657" t="n">
        <v>0</v>
      </c>
      <c r="N657" t="inlineStr">
        <is>
          <t>train</t>
        </is>
      </c>
      <c r="O657">
        <f>HYPERLINK("1\1\marker_134_749807.png", "Ver Imagen")</f>
        <v/>
      </c>
      <c r="P657">
        <f>HYPERLINK("NE\A-490\A-490__265.png", "Ver Imagen")</f>
        <v/>
      </c>
    </row>
    <row r="658">
      <c r="A658" t="n">
        <v>49</v>
      </c>
      <c r="B658" t="inlineStr">
        <is>
          <t>A-490__265</t>
        </is>
      </c>
      <c r="C658" t="n">
        <v>37.4675281888</v>
      </c>
      <c r="D658" t="n">
        <v>-7.18509304357</v>
      </c>
      <c r="E658" t="n">
        <v>1</v>
      </c>
      <c r="F658" t="n">
        <v>2</v>
      </c>
      <c r="G658" t="n">
        <v>1</v>
      </c>
      <c r="J658" t="inlineStr">
        <is>
          <t>Moda</t>
        </is>
      </c>
      <c r="K658" t="n">
        <v>1</v>
      </c>
      <c r="L658" t="n">
        <v>1.304</v>
      </c>
      <c r="M658" t="n">
        <v>0</v>
      </c>
      <c r="N658" t="inlineStr">
        <is>
          <t>train</t>
        </is>
      </c>
      <c r="O658">
        <f>HYPERLINK("1\1\marker_134_749807.png", "Ver Imagen")</f>
        <v/>
      </c>
      <c r="P658">
        <f>HYPERLINK("NO\A-490\A-490__265.png", "Ver Imagen")</f>
        <v/>
      </c>
    </row>
    <row r="659">
      <c r="A659" t="n">
        <v>50</v>
      </c>
      <c r="B659" t="inlineStr">
        <is>
          <t>A-490__266</t>
        </is>
      </c>
      <c r="C659" t="n">
        <v>37.4676189867</v>
      </c>
      <c r="D659" t="n">
        <v>-7.18526211163</v>
      </c>
      <c r="E659" t="n">
        <v>1</v>
      </c>
      <c r="F659" t="n">
        <v>2</v>
      </c>
      <c r="G659" t="n">
        <v>1</v>
      </c>
      <c r="J659" t="inlineStr">
        <is>
          <t>Moda</t>
        </is>
      </c>
      <c r="K659" t="n">
        <v>1</v>
      </c>
      <c r="L659" t="n">
        <v>1.144</v>
      </c>
      <c r="M659" t="n">
        <v>0</v>
      </c>
      <c r="N659" t="inlineStr">
        <is>
          <t>train</t>
        </is>
      </c>
      <c r="O659">
        <f>HYPERLINK("1\1\marker_933_749826.png", "Ver Imagen")</f>
        <v/>
      </c>
      <c r="P659">
        <f>HYPERLINK("NE\A-490\A-490__266.png", "Ver Imagen")</f>
        <v/>
      </c>
    </row>
    <row r="660">
      <c r="A660" t="n">
        <v>50</v>
      </c>
      <c r="B660" t="inlineStr">
        <is>
          <t>A-490__266</t>
        </is>
      </c>
      <c r="C660" t="n">
        <v>37.4676189867</v>
      </c>
      <c r="D660" t="n">
        <v>-7.18526211163</v>
      </c>
      <c r="E660" t="n">
        <v>1</v>
      </c>
      <c r="F660" t="n">
        <v>2</v>
      </c>
      <c r="G660" t="n">
        <v>1</v>
      </c>
      <c r="J660" t="inlineStr">
        <is>
          <t>Moda</t>
        </is>
      </c>
      <c r="K660" t="n">
        <v>1</v>
      </c>
      <c r="L660" t="n">
        <v>1.062</v>
      </c>
      <c r="M660" t="n">
        <v>0</v>
      </c>
      <c r="N660" t="inlineStr">
        <is>
          <t>train</t>
        </is>
      </c>
      <c r="O660">
        <f>HYPERLINK("1\1\marker_933_749826.png", "Ver Imagen")</f>
        <v/>
      </c>
      <c r="P660">
        <f>HYPERLINK("NO\A-490\A-490__266.png", "Ver Imagen")</f>
        <v/>
      </c>
    </row>
    <row r="661">
      <c r="A661" t="n">
        <v>51</v>
      </c>
      <c r="B661" t="inlineStr">
        <is>
          <t>A-490__267</t>
        </is>
      </c>
      <c r="C661" t="n">
        <v>37.4677631108</v>
      </c>
      <c r="D661" t="n">
        <v>-7.1855302332</v>
      </c>
      <c r="E661" t="n">
        <v>1</v>
      </c>
      <c r="F661" t="n">
        <v>2</v>
      </c>
      <c r="G661" t="n">
        <v>1</v>
      </c>
      <c r="J661" t="inlineStr">
        <is>
          <t>Moda</t>
        </is>
      </c>
      <c r="K661" t="n">
        <v>1</v>
      </c>
      <c r="L661" t="n">
        <v>1.065</v>
      </c>
      <c r="M661" t="n">
        <v>0</v>
      </c>
      <c r="N661" t="inlineStr">
        <is>
          <t>train</t>
        </is>
      </c>
      <c r="O661">
        <f>HYPERLINK("1\1\marker_333_749843.png", "Ver Imagen")</f>
        <v/>
      </c>
      <c r="P661">
        <f>HYPERLINK("NE\A-490\A-490__267.png", "Ver Imagen")</f>
        <v/>
      </c>
    </row>
    <row r="662">
      <c r="A662" t="n">
        <v>51</v>
      </c>
      <c r="B662" t="inlineStr">
        <is>
          <t>A-490__267</t>
        </is>
      </c>
      <c r="C662" t="n">
        <v>37.4677631108</v>
      </c>
      <c r="D662" t="n">
        <v>-7.1855302332</v>
      </c>
      <c r="E662" t="n">
        <v>1</v>
      </c>
      <c r="F662" t="n">
        <v>2</v>
      </c>
      <c r="G662" t="n">
        <v>1</v>
      </c>
      <c r="J662" t="inlineStr">
        <is>
          <t>Moda</t>
        </is>
      </c>
      <c r="K662" t="n">
        <v>1</v>
      </c>
      <c r="L662" t="n">
        <v>1.132</v>
      </c>
      <c r="M662" t="n">
        <v>0</v>
      </c>
      <c r="N662" t="inlineStr">
        <is>
          <t>train</t>
        </is>
      </c>
      <c r="O662">
        <f>HYPERLINK("1\1\marker_333_749843.png", "Ver Imagen")</f>
        <v/>
      </c>
      <c r="P662">
        <f>HYPERLINK("NO\A-490\A-490__267.png", "Ver Imagen")</f>
        <v/>
      </c>
    </row>
    <row r="663">
      <c r="A663" t="n">
        <v>52</v>
      </c>
      <c r="B663" t="inlineStr">
        <is>
          <t>A-490__268</t>
        </is>
      </c>
      <c r="C663" t="n">
        <v>37.4678336006</v>
      </c>
      <c r="D663" t="n">
        <v>-7.18566131994</v>
      </c>
      <c r="E663" t="n">
        <v>1</v>
      </c>
      <c r="F663" t="n">
        <v>2</v>
      </c>
      <c r="G663" t="n">
        <v>1</v>
      </c>
      <c r="J663" t="inlineStr">
        <is>
          <t>Moda</t>
        </is>
      </c>
      <c r="K663" t="n">
        <v>1</v>
      </c>
      <c r="L663" t="n">
        <v>1.078</v>
      </c>
      <c r="M663" t="n">
        <v>0</v>
      </c>
      <c r="N663" t="inlineStr">
        <is>
          <t>train</t>
        </is>
      </c>
      <c r="O663">
        <f>HYPERLINK("1\1\marker_690_749857.png", "Ver Imagen")</f>
        <v/>
      </c>
      <c r="P663">
        <f>HYPERLINK("NE\A-490\A-490__268.png", "Ver Imagen")</f>
        <v/>
      </c>
    </row>
    <row r="664">
      <c r="A664" t="n">
        <v>52</v>
      </c>
      <c r="B664" t="inlineStr">
        <is>
          <t>A-490__268</t>
        </is>
      </c>
      <c r="C664" t="n">
        <v>37.4678336006</v>
      </c>
      <c r="D664" t="n">
        <v>-7.18566131994</v>
      </c>
      <c r="E664" t="n">
        <v>1</v>
      </c>
      <c r="F664" t="n">
        <v>2</v>
      </c>
      <c r="G664" t="n">
        <v>1</v>
      </c>
      <c r="J664" t="inlineStr">
        <is>
          <t>Moda</t>
        </is>
      </c>
      <c r="K664" t="n">
        <v>1</v>
      </c>
      <c r="L664" t="n">
        <v>1.27</v>
      </c>
      <c r="M664" t="n">
        <v>0</v>
      </c>
      <c r="N664" t="inlineStr">
        <is>
          <t>train</t>
        </is>
      </c>
      <c r="O664">
        <f>HYPERLINK("1\1\marker_690_749857.png", "Ver Imagen")</f>
        <v/>
      </c>
      <c r="P664">
        <f>HYPERLINK("NO\A-490\A-490__268.png", "Ver Imagen")</f>
        <v/>
      </c>
    </row>
    <row r="665">
      <c r="A665" t="n">
        <v>53</v>
      </c>
      <c r="B665" t="inlineStr">
        <is>
          <t>A-490__544</t>
        </is>
      </c>
      <c r="C665" t="n">
        <v>37.4900800952</v>
      </c>
      <c r="D665" t="n">
        <v>-7.24887074819</v>
      </c>
      <c r="E665" t="n">
        <v>1</v>
      </c>
      <c r="F665" t="n">
        <v>2</v>
      </c>
      <c r="G665" t="n">
        <v>1</v>
      </c>
      <c r="J665" t="inlineStr">
        <is>
          <t>Moda</t>
        </is>
      </c>
      <c r="K665" t="n">
        <v>1</v>
      </c>
      <c r="L665" t="n">
        <v>1.274</v>
      </c>
      <c r="M665" t="n">
        <v>0</v>
      </c>
      <c r="N665" t="inlineStr">
        <is>
          <t>train</t>
        </is>
      </c>
      <c r="O665">
        <f>HYPERLINK("1\1\marker_218_818404.png", "Ver Imagen")</f>
        <v/>
      </c>
      <c r="P665">
        <f>HYPERLINK("NO\A-490\A-490__544.png", "Ver Imagen")</f>
        <v/>
      </c>
    </row>
    <row r="666">
      <c r="A666" t="n">
        <v>54</v>
      </c>
      <c r="B666" t="inlineStr">
        <is>
          <t>A-490__583</t>
        </is>
      </c>
      <c r="C666" t="n">
        <v>37.4900871614</v>
      </c>
      <c r="D666" t="n">
        <v>-7.25853909259</v>
      </c>
      <c r="E666" t="n">
        <v>1</v>
      </c>
      <c r="F666" t="n">
        <v>2</v>
      </c>
      <c r="G666" t="n">
        <v>1</v>
      </c>
      <c r="J666" t="inlineStr">
        <is>
          <t>Moda</t>
        </is>
      </c>
      <c r="K666" t="n">
        <v>1</v>
      </c>
      <c r="L666" t="n">
        <v>1</v>
      </c>
      <c r="M666" t="n">
        <v>0</v>
      </c>
      <c r="N666" t="inlineStr">
        <is>
          <t>train</t>
        </is>
      </c>
      <c r="O666">
        <f>HYPERLINK("1\1\marker_219_819513.png", "Ver Imagen")</f>
        <v/>
      </c>
      <c r="P666">
        <f>HYPERLINK("NO\A-490\A-490__583.png", "Ver Imagen")</f>
        <v/>
      </c>
    </row>
    <row r="667">
      <c r="A667" t="n">
        <v>56</v>
      </c>
      <c r="B667" t="inlineStr">
        <is>
          <t>A-490__347</t>
        </is>
      </c>
      <c r="C667" t="n">
        <v>37.4766149282</v>
      </c>
      <c r="D667" t="n">
        <v>-7.20249479934</v>
      </c>
      <c r="E667" t="n">
        <v>1</v>
      </c>
      <c r="F667" t="n">
        <v>2</v>
      </c>
      <c r="G667" t="n">
        <v>1</v>
      </c>
      <c r="J667" t="inlineStr">
        <is>
          <t>Moda</t>
        </is>
      </c>
      <c r="K667" t="n">
        <v>1</v>
      </c>
      <c r="L667" t="n">
        <v>1.06</v>
      </c>
      <c r="M667" t="n">
        <v>0</v>
      </c>
      <c r="N667" t="inlineStr">
        <is>
          <t>val</t>
        </is>
      </c>
      <c r="O667">
        <f>HYPERLINK("1\1\marker_213_751630.png", "Ver Imagen")</f>
        <v/>
      </c>
      <c r="P667">
        <f>HYPERLINK("NE\A-490\A-490__347.png", "Ver Imagen")</f>
        <v/>
      </c>
    </row>
    <row r="668">
      <c r="A668" t="n">
        <v>58</v>
      </c>
      <c r="B668" t="inlineStr">
        <is>
          <t>A-490__406</t>
        </is>
      </c>
      <c r="C668" t="n">
        <v>37.4820793343</v>
      </c>
      <c r="D668" t="n">
        <v>-7.21579079085</v>
      </c>
      <c r="E668" t="n">
        <v>1</v>
      </c>
      <c r="F668" t="n">
        <v>2</v>
      </c>
      <c r="G668" t="n">
        <v>1</v>
      </c>
      <c r="J668" t="inlineStr">
        <is>
          <t>Moda</t>
        </is>
      </c>
      <c r="K668" t="n">
        <v>1</v>
      </c>
      <c r="L668" t="n">
        <v>1.12</v>
      </c>
      <c r="M668" t="n">
        <v>0</v>
      </c>
      <c r="N668" t="inlineStr">
        <is>
          <t>train</t>
        </is>
      </c>
      <c r="O668">
        <f>HYPERLINK("1\1\marker_900_753151.png", "Ver Imagen")</f>
        <v/>
      </c>
      <c r="P668">
        <f>HYPERLINK("NO\A-490\A-490__406.png", "Ver Imagen")</f>
        <v/>
      </c>
    </row>
    <row r="669">
      <c r="A669" t="n">
        <v>59</v>
      </c>
      <c r="B669" t="inlineStr">
        <is>
          <t>A-490__433</t>
        </is>
      </c>
      <c r="C669" t="n">
        <v>37.4834507808</v>
      </c>
      <c r="D669" t="n">
        <v>-7.22245668305</v>
      </c>
      <c r="E669" t="n">
        <v>1</v>
      </c>
      <c r="F669" t="n">
        <v>2</v>
      </c>
      <c r="G669" t="n">
        <v>1</v>
      </c>
      <c r="J669" t="inlineStr">
        <is>
          <t>Moda</t>
        </is>
      </c>
      <c r="K669" t="n">
        <v>1</v>
      </c>
      <c r="L669" t="n">
        <v>1.007</v>
      </c>
      <c r="M669" t="n">
        <v>0</v>
      </c>
      <c r="N669" t="inlineStr">
        <is>
          <t>train</t>
        </is>
      </c>
      <c r="O669">
        <f>HYPERLINK("1\1\marker_423_754540.png", "Ver Imagen")</f>
        <v/>
      </c>
      <c r="P669">
        <f>HYPERLINK("NO\A-490\A-490__433.png", "Ver Imagen")</f>
        <v/>
      </c>
    </row>
    <row r="670">
      <c r="A670" t="n">
        <v>60</v>
      </c>
      <c r="B670" t="inlineStr">
        <is>
          <t>A-490__434</t>
        </is>
      </c>
      <c r="C670" t="n">
        <v>37.4834862685</v>
      </c>
      <c r="D670" t="n">
        <v>-7.22264086824</v>
      </c>
      <c r="E670" t="n">
        <v>1</v>
      </c>
      <c r="F670" t="n">
        <v>2</v>
      </c>
      <c r="G670" t="n">
        <v>1</v>
      </c>
      <c r="J670" t="inlineStr">
        <is>
          <t>Moda</t>
        </is>
      </c>
      <c r="K670" t="n">
        <v>1</v>
      </c>
      <c r="L670" t="n">
        <v>1.399</v>
      </c>
      <c r="M670" t="n">
        <v>0</v>
      </c>
      <c r="N670" t="inlineStr">
        <is>
          <t>train</t>
        </is>
      </c>
      <c r="O670">
        <f>HYPERLINK("1\1\marker_752_754560.png", "Ver Imagen")</f>
        <v/>
      </c>
      <c r="P670">
        <f>HYPERLINK("NO\A-490\A-490__434.png", "Ver Imagen")</f>
        <v/>
      </c>
    </row>
    <row r="671">
      <c r="A671" t="n">
        <v>62</v>
      </c>
      <c r="B671" t="inlineStr">
        <is>
          <t>A-490__481</t>
        </is>
      </c>
      <c r="C671" t="n">
        <v>37.4857262399</v>
      </c>
      <c r="D671" t="n">
        <v>-7.23426446896</v>
      </c>
      <c r="E671" t="n">
        <v>1</v>
      </c>
      <c r="F671" t="n">
        <v>2</v>
      </c>
      <c r="G671" t="n">
        <v>1</v>
      </c>
      <c r="J671" t="inlineStr">
        <is>
          <t>Moda</t>
        </is>
      </c>
      <c r="K671" t="n">
        <v>1</v>
      </c>
      <c r="L671" t="n">
        <v>1.281</v>
      </c>
      <c r="M671" t="n">
        <v>0</v>
      </c>
      <c r="N671" t="inlineStr">
        <is>
          <t>train</t>
        </is>
      </c>
      <c r="O671">
        <f>HYPERLINK("1\1\marker_230_755606.png", "Ver Imagen")</f>
        <v/>
      </c>
      <c r="P671">
        <f>HYPERLINK("NO\A-490\A-490__481.png", "Ver Imagen")</f>
        <v/>
      </c>
    </row>
    <row r="672">
      <c r="A672" t="n">
        <v>63</v>
      </c>
      <c r="B672" t="inlineStr">
        <is>
          <t>A-490__528</t>
        </is>
      </c>
      <c r="C672" t="n">
        <v>37.4881311842</v>
      </c>
      <c r="D672" t="n">
        <v>-7.24573575377</v>
      </c>
      <c r="E672" t="n">
        <v>1</v>
      </c>
      <c r="F672" t="n">
        <v>2</v>
      </c>
      <c r="G672" t="n">
        <v>1</v>
      </c>
      <c r="J672" t="inlineStr">
        <is>
          <t>Moda</t>
        </is>
      </c>
      <c r="K672" t="n">
        <v>1</v>
      </c>
      <c r="L672" t="n">
        <v>1</v>
      </c>
      <c r="M672" t="n">
        <v>0</v>
      </c>
      <c r="N672" t="inlineStr">
        <is>
          <t>train</t>
        </is>
      </c>
      <c r="O672">
        <f>HYPERLINK("1\1\marker_897_818180.png", "Ver Imagen")</f>
        <v/>
      </c>
      <c r="P672">
        <f>HYPERLINK("NO\A-490\A-490__528.png", "Ver Imagen")</f>
        <v/>
      </c>
    </row>
    <row r="673">
      <c r="A673" t="n">
        <v>64</v>
      </c>
      <c r="B673" t="inlineStr">
        <is>
          <t>A-490__529</t>
        </is>
      </c>
      <c r="C673" t="n">
        <v>37.488235333</v>
      </c>
      <c r="D673" t="n">
        <v>-7.24600414071</v>
      </c>
      <c r="E673" t="n">
        <v>1</v>
      </c>
      <c r="F673" t="n">
        <v>2</v>
      </c>
      <c r="G673" t="n">
        <v>1</v>
      </c>
      <c r="J673" t="inlineStr">
        <is>
          <t>Moda</t>
        </is>
      </c>
      <c r="K673" t="n">
        <v>1</v>
      </c>
      <c r="L673" t="n">
        <v>1</v>
      </c>
      <c r="M673" t="n">
        <v>0</v>
      </c>
      <c r="N673" t="inlineStr">
        <is>
          <t>train</t>
        </is>
      </c>
      <c r="O673">
        <f>HYPERLINK("1\1\marker_511_818192.png", "Ver Imagen")</f>
        <v/>
      </c>
      <c r="P673">
        <f>HYPERLINK("NO\A-490\A-490__529.png", "Ver Imagen")</f>
        <v/>
      </c>
    </row>
    <row r="674">
      <c r="A674" t="n">
        <v>67</v>
      </c>
      <c r="B674" t="inlineStr">
        <is>
          <t>A-490__555</t>
        </is>
      </c>
      <c r="C674" t="n">
        <v>37.49070582</v>
      </c>
      <c r="D674" t="n">
        <v>-7.25142788791</v>
      </c>
      <c r="E674" t="n">
        <v>1</v>
      </c>
      <c r="F674" t="n">
        <v>2</v>
      </c>
      <c r="G674" t="n">
        <v>1</v>
      </c>
      <c r="J674" t="inlineStr">
        <is>
          <t>Moda</t>
        </is>
      </c>
      <c r="K674" t="n">
        <v>1</v>
      </c>
      <c r="L674" t="n">
        <v>1</v>
      </c>
      <c r="M674" t="n">
        <v>0</v>
      </c>
      <c r="N674" t="inlineStr">
        <is>
          <t>train</t>
        </is>
      </c>
      <c r="O674">
        <f>HYPERLINK("1\1\marker_529_818698.png", "Ver Imagen")</f>
        <v/>
      </c>
      <c r="P674">
        <f>HYPERLINK("NO\A-490\A-490__555.png", "Ver Imagen")</f>
        <v/>
      </c>
    </row>
    <row r="675">
      <c r="A675" t="n">
        <v>68</v>
      </c>
      <c r="B675" t="inlineStr">
        <is>
          <t>A-490__557</t>
        </is>
      </c>
      <c r="C675" t="n">
        <v>37.4906901156</v>
      </c>
      <c r="D675" t="n">
        <v>-7.25196729773</v>
      </c>
      <c r="E675" t="n">
        <v>1</v>
      </c>
      <c r="F675" t="n">
        <v>2</v>
      </c>
      <c r="G675" t="n">
        <v>1</v>
      </c>
      <c r="J675" t="inlineStr">
        <is>
          <t>Moda</t>
        </is>
      </c>
      <c r="K675" t="n">
        <v>1</v>
      </c>
      <c r="L675" t="n">
        <v>1.154</v>
      </c>
      <c r="M675" t="n">
        <v>0</v>
      </c>
      <c r="N675" t="inlineStr">
        <is>
          <t>train</t>
        </is>
      </c>
      <c r="O675">
        <f>HYPERLINK("1\1\marker_749_819120.png", "Ver Imagen")</f>
        <v/>
      </c>
      <c r="P675">
        <f>HYPERLINK("NO\A-490\A-490__557.png", "Ver Imagen")</f>
        <v/>
      </c>
    </row>
    <row r="676">
      <c r="A676" t="n">
        <v>69</v>
      </c>
      <c r="B676" t="inlineStr">
        <is>
          <t>A-490__558</t>
        </is>
      </c>
      <c r="C676" t="n">
        <v>37.4906799262</v>
      </c>
      <c r="D676" t="n">
        <v>-7.25225297558</v>
      </c>
      <c r="E676" t="n">
        <v>1</v>
      </c>
      <c r="F676" t="n">
        <v>2</v>
      </c>
      <c r="G676" t="n">
        <v>1</v>
      </c>
      <c r="J676" t="inlineStr">
        <is>
          <t>Moda</t>
        </is>
      </c>
      <c r="K676" t="n">
        <v>1</v>
      </c>
      <c r="L676" t="n">
        <v>1.028</v>
      </c>
      <c r="M676" t="n">
        <v>0</v>
      </c>
      <c r="N676" t="inlineStr">
        <is>
          <t>train</t>
        </is>
      </c>
      <c r="O676">
        <f>HYPERLINK("1\1\marker_919_819141.png", "Ver Imagen")</f>
        <v/>
      </c>
      <c r="P676">
        <f>HYPERLINK("NO\A-490\A-490__558.png", "Ver Imagen")</f>
        <v/>
      </c>
    </row>
    <row r="677">
      <c r="A677" t="n">
        <v>70</v>
      </c>
      <c r="B677" t="inlineStr">
        <is>
          <t>A-490__559</t>
        </is>
      </c>
      <c r="C677" t="n">
        <v>37.4906682332</v>
      </c>
      <c r="D677" t="n">
        <v>-7.25251100482</v>
      </c>
      <c r="E677" t="n">
        <v>1</v>
      </c>
      <c r="F677" t="n">
        <v>2</v>
      </c>
      <c r="G677" t="n">
        <v>1</v>
      </c>
      <c r="J677" t="inlineStr">
        <is>
          <t>Moda</t>
        </is>
      </c>
      <c r="K677" t="n">
        <v>1</v>
      </c>
      <c r="L677" t="n">
        <v>1</v>
      </c>
      <c r="M677" t="n">
        <v>0</v>
      </c>
      <c r="N677" t="inlineStr">
        <is>
          <t>train</t>
        </is>
      </c>
      <c r="O677">
        <f>HYPERLINK("1\1\marker_863_819158.png", "Ver Imagen")</f>
        <v/>
      </c>
      <c r="P677">
        <f>HYPERLINK("NO\A-490\A-490__559.png", "Ver Imagen")</f>
        <v/>
      </c>
    </row>
    <row r="678">
      <c r="A678" t="n">
        <v>71</v>
      </c>
      <c r="B678" t="inlineStr">
        <is>
          <t>A-490__563</t>
        </is>
      </c>
      <c r="C678" t="n">
        <v>37.4906034762</v>
      </c>
      <c r="D678" t="n">
        <v>-7.25346488985</v>
      </c>
      <c r="E678" t="n">
        <v>1</v>
      </c>
      <c r="F678" t="n">
        <v>2</v>
      </c>
      <c r="G678" t="n">
        <v>1</v>
      </c>
      <c r="J678" t="inlineStr">
        <is>
          <t>Moda</t>
        </is>
      </c>
      <c r="K678" t="n">
        <v>1</v>
      </c>
      <c r="L678" t="n">
        <v>1.028</v>
      </c>
      <c r="M678" t="n">
        <v>0</v>
      </c>
      <c r="N678" t="inlineStr">
        <is>
          <t>train</t>
        </is>
      </c>
      <c r="O678">
        <f>HYPERLINK("1\1\marker_146_819219.png", "Ver Imagen")</f>
        <v/>
      </c>
      <c r="P678">
        <f>HYPERLINK("NO\A-490\A-490__563.png", "Ver Imagen")</f>
        <v/>
      </c>
    </row>
    <row r="679">
      <c r="A679" t="n">
        <v>72</v>
      </c>
      <c r="B679" t="inlineStr">
        <is>
          <t>A-490__565</t>
        </is>
      </c>
      <c r="C679" t="n">
        <v>37.4905625377</v>
      </c>
      <c r="D679" t="n">
        <v>-7.25395859014</v>
      </c>
      <c r="E679" t="n">
        <v>1</v>
      </c>
      <c r="F679" t="n">
        <v>2</v>
      </c>
      <c r="G679" t="n">
        <v>1</v>
      </c>
      <c r="J679" t="inlineStr">
        <is>
          <t>Moda</t>
        </is>
      </c>
      <c r="K679" t="n">
        <v>1</v>
      </c>
      <c r="L679" t="n">
        <v>1.141</v>
      </c>
      <c r="M679" t="n">
        <v>0</v>
      </c>
      <c r="N679" t="inlineStr">
        <is>
          <t>train</t>
        </is>
      </c>
      <c r="O679">
        <f>HYPERLINK("1\1\marker_423_819248.png", "Ver Imagen")</f>
        <v/>
      </c>
      <c r="P679">
        <f>HYPERLINK("NO\A-490\A-490__565.png", "Ver Imagen")</f>
        <v/>
      </c>
    </row>
    <row r="680">
      <c r="A680" t="n">
        <v>73</v>
      </c>
      <c r="B680" t="inlineStr">
        <is>
          <t>A-490__566</t>
        </is>
      </c>
      <c r="C680" t="n">
        <v>37.4905407598</v>
      </c>
      <c r="D680" t="n">
        <v>-7.25420952413</v>
      </c>
      <c r="E680" t="n">
        <v>1</v>
      </c>
      <c r="F680" t="n">
        <v>2</v>
      </c>
      <c r="G680" t="n">
        <v>1</v>
      </c>
      <c r="J680" t="inlineStr">
        <is>
          <t>Moda</t>
        </is>
      </c>
      <c r="K680" t="n">
        <v>1</v>
      </c>
      <c r="L680" t="n">
        <v>1</v>
      </c>
      <c r="M680" t="n">
        <v>0</v>
      </c>
      <c r="N680" t="inlineStr">
        <is>
          <t>train</t>
        </is>
      </c>
      <c r="O680">
        <f>HYPERLINK("1\1\marker_845_819262.png", "Ver Imagen")</f>
        <v/>
      </c>
      <c r="P680">
        <f>HYPERLINK("NO\A-490\A-490__566.png", "Ver Imagen")</f>
        <v/>
      </c>
    </row>
    <row r="681">
      <c r="A681" t="n">
        <v>74</v>
      </c>
      <c r="B681" t="inlineStr">
        <is>
          <t>A-490__567</t>
        </is>
      </c>
      <c r="C681" t="n">
        <v>37.4905137129</v>
      </c>
      <c r="D681" t="n">
        <v>-7.25451493764</v>
      </c>
      <c r="E681" t="n">
        <v>1</v>
      </c>
      <c r="F681" t="n">
        <v>2</v>
      </c>
      <c r="G681" t="n">
        <v>1</v>
      </c>
      <c r="J681" t="inlineStr">
        <is>
          <t>Moda</t>
        </is>
      </c>
      <c r="K681" t="n">
        <v>1</v>
      </c>
      <c r="L681" t="n">
        <v>1</v>
      </c>
      <c r="M681" t="n">
        <v>0</v>
      </c>
      <c r="N681" t="inlineStr">
        <is>
          <t>train</t>
        </is>
      </c>
      <c r="O681">
        <f>HYPERLINK("1\1\marker_896_819277.png", "Ver Imagen")</f>
        <v/>
      </c>
      <c r="P681">
        <f>HYPERLINK("NO\A-490\A-490__567.png", "Ver Imagen")</f>
        <v/>
      </c>
    </row>
    <row r="682">
      <c r="A682" t="n">
        <v>75</v>
      </c>
      <c r="B682" t="inlineStr">
        <is>
          <t>A-490__570</t>
        </is>
      </c>
      <c r="C682" t="n">
        <v>37.4904484455</v>
      </c>
      <c r="D682" t="n">
        <v>-7.25527932811</v>
      </c>
      <c r="E682" t="n">
        <v>1</v>
      </c>
      <c r="F682" t="n">
        <v>2</v>
      </c>
      <c r="G682" t="n">
        <v>1</v>
      </c>
      <c r="J682" t="inlineStr">
        <is>
          <t>Moda</t>
        </is>
      </c>
      <c r="K682" t="n">
        <v>1</v>
      </c>
      <c r="L682" t="n">
        <v>1</v>
      </c>
      <c r="M682" t="n">
        <v>0</v>
      </c>
      <c r="N682" t="inlineStr">
        <is>
          <t>train</t>
        </is>
      </c>
      <c r="O682">
        <f>HYPERLINK("1\1\marker_480_819328.png", "Ver Imagen")</f>
        <v/>
      </c>
      <c r="P682">
        <f>HYPERLINK("NO\A-490\A-490__570.png", "Ver Imagen")</f>
        <v/>
      </c>
    </row>
    <row r="683">
      <c r="A683" t="n">
        <v>76</v>
      </c>
      <c r="B683" t="inlineStr">
        <is>
          <t>A-490__574</t>
        </is>
      </c>
      <c r="C683" t="n">
        <v>37.4903636894</v>
      </c>
      <c r="D683" t="n">
        <v>-7.25624204678</v>
      </c>
      <c r="E683" t="n">
        <v>1</v>
      </c>
      <c r="F683" t="n">
        <v>2</v>
      </c>
      <c r="G683" t="n">
        <v>1</v>
      </c>
      <c r="J683" t="inlineStr">
        <is>
          <t>Moda</t>
        </is>
      </c>
      <c r="K683" t="n">
        <v>1</v>
      </c>
      <c r="L683" t="n">
        <v>1.034</v>
      </c>
      <c r="M683" t="n">
        <v>0</v>
      </c>
      <c r="N683" t="inlineStr">
        <is>
          <t>train</t>
        </is>
      </c>
      <c r="O683">
        <f>HYPERLINK("1\1\marker_114_819394.png", "Ver Imagen")</f>
        <v/>
      </c>
      <c r="P683">
        <f>HYPERLINK("NO\A-490\A-490__574.png", "Ver Imagen")</f>
        <v/>
      </c>
    </row>
    <row r="684">
      <c r="A684" t="n">
        <v>77</v>
      </c>
      <c r="B684" t="inlineStr">
        <is>
          <t>A-490__575</t>
        </is>
      </c>
      <c r="C684" t="n">
        <v>37.4903406611</v>
      </c>
      <c r="D684" t="n">
        <v>-7.25649779728</v>
      </c>
      <c r="E684" t="n">
        <v>1</v>
      </c>
      <c r="F684" t="n">
        <v>2</v>
      </c>
      <c r="G684" t="n">
        <v>1</v>
      </c>
      <c r="J684" t="inlineStr">
        <is>
          <t>Moda</t>
        </is>
      </c>
      <c r="K684" t="n">
        <v>1</v>
      </c>
      <c r="L684" t="n">
        <v>1</v>
      </c>
      <c r="M684" t="n">
        <v>0</v>
      </c>
      <c r="N684" t="inlineStr">
        <is>
          <t>train</t>
        </is>
      </c>
      <c r="O684">
        <f>HYPERLINK("1\1\marker_297_819408.png", "Ver Imagen")</f>
        <v/>
      </c>
      <c r="P684">
        <f>HYPERLINK("NO\A-490\A-490__575.png", "Ver Imagen")</f>
        <v/>
      </c>
    </row>
    <row r="685">
      <c r="A685" t="n">
        <v>78</v>
      </c>
      <c r="B685" t="inlineStr">
        <is>
          <t>A-490__576</t>
        </is>
      </c>
      <c r="C685" t="n">
        <v>37.4903124966</v>
      </c>
      <c r="D685" t="n">
        <v>-7.25677384026</v>
      </c>
      <c r="E685" t="n">
        <v>1</v>
      </c>
      <c r="F685" t="n">
        <v>2</v>
      </c>
      <c r="G685" t="n">
        <v>1</v>
      </c>
      <c r="J685" t="inlineStr">
        <is>
          <t>Moda</t>
        </is>
      </c>
      <c r="K685" t="n">
        <v>1</v>
      </c>
      <c r="L685" t="n">
        <v>1.118</v>
      </c>
      <c r="M685" t="n">
        <v>0</v>
      </c>
      <c r="N685" t="inlineStr">
        <is>
          <t>train</t>
        </is>
      </c>
      <c r="O685">
        <f>HYPERLINK("1\1\marker_376_819420.png", "Ver Imagen")</f>
        <v/>
      </c>
      <c r="P685">
        <f>HYPERLINK("NO\A-490\A-490__576.png", "Ver Imagen")</f>
        <v/>
      </c>
    </row>
    <row r="686">
      <c r="A686" t="n">
        <v>79</v>
      </c>
      <c r="B686" t="inlineStr">
        <is>
          <t>A-490__578</t>
        </is>
      </c>
      <c r="C686" t="n">
        <v>37.4902549898</v>
      </c>
      <c r="D686" t="n">
        <v>-7.25724185951</v>
      </c>
      <c r="E686" t="n">
        <v>1</v>
      </c>
      <c r="F686" t="n">
        <v>2</v>
      </c>
      <c r="G686" t="n">
        <v>1</v>
      </c>
      <c r="J686" t="inlineStr">
        <is>
          <t>Moda</t>
        </is>
      </c>
      <c r="K686" t="n">
        <v>1</v>
      </c>
      <c r="L686" t="n">
        <v>1.036</v>
      </c>
      <c r="M686" t="n">
        <v>0</v>
      </c>
      <c r="N686" t="inlineStr">
        <is>
          <t>train</t>
        </is>
      </c>
      <c r="O686">
        <f>HYPERLINK("1\1\marker_464_819445.png", "Ver Imagen")</f>
        <v/>
      </c>
      <c r="P686">
        <f>HYPERLINK("NO\A-490\A-490__578.png", "Ver Imagen")</f>
        <v/>
      </c>
    </row>
    <row r="687">
      <c r="A687" t="n">
        <v>80</v>
      </c>
      <c r="B687" t="inlineStr">
        <is>
          <t>A-490__579</t>
        </is>
      </c>
      <c r="C687" t="n">
        <v>37.490220811</v>
      </c>
      <c r="D687" t="n">
        <v>-7.25748971784</v>
      </c>
      <c r="E687" t="n">
        <v>1</v>
      </c>
      <c r="F687" t="n">
        <v>2</v>
      </c>
      <c r="G687" t="n">
        <v>1</v>
      </c>
      <c r="J687" t="inlineStr">
        <is>
          <t>Moda</t>
        </is>
      </c>
      <c r="K687" t="n">
        <v>1</v>
      </c>
      <c r="L687" t="n">
        <v>1</v>
      </c>
      <c r="M687" t="n">
        <v>0</v>
      </c>
      <c r="N687" t="inlineStr">
        <is>
          <t>train</t>
        </is>
      </c>
      <c r="O687">
        <f>HYPERLINK("1\1\marker_145_819457.png", "Ver Imagen")</f>
        <v/>
      </c>
      <c r="P687">
        <f>HYPERLINK("NO\A-490\A-490__579.png", "Ver Imagen")</f>
        <v/>
      </c>
    </row>
    <row r="688">
      <c r="A688" t="n">
        <v>82</v>
      </c>
      <c r="B688" t="inlineStr">
        <is>
          <t>A-490__609</t>
        </is>
      </c>
      <c r="C688" t="n">
        <v>37.493137106</v>
      </c>
      <c r="D688" t="n">
        <v>-7.26348380423</v>
      </c>
      <c r="E688" t="n">
        <v>1</v>
      </c>
      <c r="F688" t="n">
        <v>2</v>
      </c>
      <c r="G688" t="n">
        <v>1</v>
      </c>
      <c r="J688" t="inlineStr">
        <is>
          <t>Moda</t>
        </is>
      </c>
      <c r="K688" t="n">
        <v>1</v>
      </c>
      <c r="L688" t="n">
        <v>1.005</v>
      </c>
      <c r="M688" t="n">
        <v>0</v>
      </c>
      <c r="N688" t="inlineStr">
        <is>
          <t>train</t>
        </is>
      </c>
      <c r="O688">
        <f>HYPERLINK("1\1\marker_729_820194.png", "Ver Imagen")</f>
        <v/>
      </c>
      <c r="P688">
        <f>HYPERLINK("NO\A-490\A-490__609.png", "Ver Imagen")</f>
        <v/>
      </c>
    </row>
    <row r="689">
      <c r="A689" t="n">
        <v>83</v>
      </c>
      <c r="B689" t="inlineStr">
        <is>
          <t>A-495R__115</t>
        </is>
      </c>
      <c r="C689" t="n">
        <v>37.4649742369</v>
      </c>
      <c r="D689" t="n">
        <v>-7.12105081921</v>
      </c>
      <c r="E689" t="n">
        <v>1</v>
      </c>
      <c r="F689" t="n">
        <v>1</v>
      </c>
      <c r="G689" t="n">
        <v>2</v>
      </c>
      <c r="J689" t="inlineStr">
        <is>
          <t>Moda</t>
        </is>
      </c>
      <c r="K689" t="n">
        <v>1</v>
      </c>
      <c r="L689" t="n">
        <v>1</v>
      </c>
      <c r="M689" t="n">
        <v>0</v>
      </c>
      <c r="N689" t="inlineStr">
        <is>
          <t>train</t>
        </is>
      </c>
      <c r="O689">
        <f>HYPERLINK("1\1\marker_472_895631.png", "Ver Imagen")</f>
        <v/>
      </c>
      <c r="P689">
        <f>HYPERLINK("NE\A-495R\A-495R__115.png", "Ver Imagen")</f>
        <v/>
      </c>
    </row>
    <row r="690">
      <c r="A690" t="n">
        <v>84</v>
      </c>
      <c r="B690" t="inlineStr">
        <is>
          <t>A-495R__108</t>
        </is>
      </c>
      <c r="C690" t="n">
        <v>37.4644311572</v>
      </c>
      <c r="D690" t="n">
        <v>-7.11939034558</v>
      </c>
      <c r="E690" t="n">
        <v>1</v>
      </c>
      <c r="F690" t="n">
        <v>1</v>
      </c>
      <c r="G690" t="n">
        <v>2</v>
      </c>
      <c r="J690" t="inlineStr">
        <is>
          <t>Moda</t>
        </is>
      </c>
      <c r="K690" t="n">
        <v>1</v>
      </c>
      <c r="L690" t="n">
        <v>1</v>
      </c>
      <c r="M690" t="n">
        <v>0</v>
      </c>
      <c r="N690" t="inlineStr">
        <is>
          <t>train</t>
        </is>
      </c>
      <c r="O690">
        <f>HYPERLINK("1\1\marker_608_895773.png", "Ver Imagen")</f>
        <v/>
      </c>
      <c r="P690">
        <f>HYPERLINK("NE\A-495R\A-495R__108.png", "Ver Imagen")</f>
        <v/>
      </c>
    </row>
    <row r="691">
      <c r="A691" t="n">
        <v>87</v>
      </c>
      <c r="B691" t="inlineStr">
        <is>
          <t>A-495R__100</t>
        </is>
      </c>
      <c r="C691" t="n">
        <v>37.4633182928</v>
      </c>
      <c r="D691" t="n">
        <v>-7.1179926809</v>
      </c>
      <c r="E691" t="n">
        <v>1</v>
      </c>
      <c r="F691" t="n">
        <v>1</v>
      </c>
      <c r="G691" t="n">
        <v>2</v>
      </c>
      <c r="J691" t="inlineStr">
        <is>
          <t>Moda</t>
        </is>
      </c>
      <c r="K691" t="n">
        <v>1</v>
      </c>
      <c r="L691" t="n">
        <v>1</v>
      </c>
      <c r="M691" t="n">
        <v>0</v>
      </c>
      <c r="N691" t="inlineStr">
        <is>
          <t>train</t>
        </is>
      </c>
      <c r="O691">
        <f>HYPERLINK("1\1\marker_420_896595.png", "Ver Imagen")</f>
        <v/>
      </c>
      <c r="P691">
        <f>HYPERLINK("NE\A-495R\A-495R__100.png", "Ver Imagen")</f>
        <v/>
      </c>
    </row>
    <row r="692">
      <c r="A692" t="n">
        <v>88</v>
      </c>
      <c r="B692" t="inlineStr">
        <is>
          <t>A-495R__99</t>
        </is>
      </c>
      <c r="C692" t="n">
        <v>37.4631548118</v>
      </c>
      <c r="D692" t="n">
        <v>-7.11787171418</v>
      </c>
      <c r="E692" t="n">
        <v>1</v>
      </c>
      <c r="F692" t="n">
        <v>1</v>
      </c>
      <c r="G692" t="n">
        <v>2</v>
      </c>
      <c r="J692" t="inlineStr">
        <is>
          <t>Moda</t>
        </is>
      </c>
      <c r="K692" t="n">
        <v>1</v>
      </c>
      <c r="L692" t="n">
        <v>1.014</v>
      </c>
      <c r="M692" t="n">
        <v>0</v>
      </c>
      <c r="N692" t="inlineStr">
        <is>
          <t>train</t>
        </is>
      </c>
      <c r="O692">
        <f>HYPERLINK("1\1\marker_390_896605.png", "Ver Imagen")</f>
        <v/>
      </c>
      <c r="P692">
        <f>HYPERLINK("NE\A-495R\A-495R__99.png", "Ver Imagen")</f>
        <v/>
      </c>
    </row>
    <row r="693">
      <c r="A693" t="n">
        <v>89</v>
      </c>
      <c r="B693" t="inlineStr">
        <is>
          <t>A-495R__97</t>
        </is>
      </c>
      <c r="C693" t="n">
        <v>37.462790816</v>
      </c>
      <c r="D693" t="n">
        <v>-7.11763364354</v>
      </c>
      <c r="E693" t="n">
        <v>1</v>
      </c>
      <c r="F693" t="n">
        <v>1</v>
      </c>
      <c r="G693" t="n">
        <v>2</v>
      </c>
      <c r="J693" t="inlineStr">
        <is>
          <t>Moda</t>
        </is>
      </c>
      <c r="K693" t="n">
        <v>1</v>
      </c>
      <c r="L693" t="n">
        <v>1.159</v>
      </c>
      <c r="M693" t="n">
        <v>0</v>
      </c>
      <c r="N693" t="inlineStr">
        <is>
          <t>test</t>
        </is>
      </c>
      <c r="O693">
        <f>HYPERLINK("1\1\marker_279_906537.png", "Ver Imagen")</f>
        <v/>
      </c>
      <c r="P693">
        <f>HYPERLINK("NE\A-495R\A-495R__97.png", "Ver Imagen")</f>
        <v/>
      </c>
    </row>
    <row r="694">
      <c r="A694" t="n">
        <v>90</v>
      </c>
      <c r="B694" t="inlineStr">
        <is>
          <t>A-495R__95</t>
        </is>
      </c>
      <c r="C694" t="n">
        <v>37.46241035</v>
      </c>
      <c r="D694" t="n">
        <v>-7.11738555144</v>
      </c>
      <c r="E694" t="n">
        <v>1</v>
      </c>
      <c r="F694" t="n">
        <v>1</v>
      </c>
      <c r="G694" t="n">
        <v>2</v>
      </c>
      <c r="J694" t="inlineStr">
        <is>
          <t>Moda</t>
        </is>
      </c>
      <c r="K694" t="n">
        <v>1</v>
      </c>
      <c r="L694" t="n">
        <v>1.451</v>
      </c>
      <c r="M694" t="n">
        <v>0</v>
      </c>
      <c r="N694" t="inlineStr">
        <is>
          <t>train</t>
        </is>
      </c>
      <c r="O694">
        <f>HYPERLINK("1\1\marker_485_906559.png", "Ver Imagen")</f>
        <v/>
      </c>
      <c r="P694">
        <f>HYPERLINK("NE\A-495R\A-495R__95.png", "Ver Imagen")</f>
        <v/>
      </c>
    </row>
    <row r="695">
      <c r="A695" t="n">
        <v>92</v>
      </c>
      <c r="B695" t="inlineStr">
        <is>
          <t>A-495R__93</t>
        </is>
      </c>
      <c r="C695" t="n">
        <v>37.4620967702</v>
      </c>
      <c r="D695" t="n">
        <v>-7.11713713557</v>
      </c>
      <c r="E695" t="n">
        <v>1</v>
      </c>
      <c r="F695" t="n">
        <v>1</v>
      </c>
      <c r="G695" t="n">
        <v>2</v>
      </c>
      <c r="J695" t="inlineStr">
        <is>
          <t>Moda</t>
        </is>
      </c>
      <c r="K695" t="n">
        <v>1</v>
      </c>
      <c r="L695" t="n">
        <v>1</v>
      </c>
      <c r="M695" t="n">
        <v>0</v>
      </c>
      <c r="N695" t="inlineStr">
        <is>
          <t>train</t>
        </is>
      </c>
      <c r="O695">
        <f>HYPERLINK("1\1\marker_845_906580.png", "Ver Imagen")</f>
        <v/>
      </c>
      <c r="P695">
        <f>HYPERLINK("NE\A-495R\A-495R__93.png", "Ver Imagen")</f>
        <v/>
      </c>
    </row>
    <row r="696">
      <c r="A696" t="n">
        <v>93</v>
      </c>
      <c r="B696" t="inlineStr">
        <is>
          <t>A-495R__92</t>
        </is>
      </c>
      <c r="C696" t="n">
        <v>37.4619249239</v>
      </c>
      <c r="D696" t="n">
        <v>-7.11697666199</v>
      </c>
      <c r="E696" t="n">
        <v>1</v>
      </c>
      <c r="F696" t="n">
        <v>1</v>
      </c>
      <c r="G696" t="n">
        <v>2</v>
      </c>
      <c r="J696" t="inlineStr">
        <is>
          <t>Moda</t>
        </is>
      </c>
      <c r="K696" t="n">
        <v>1</v>
      </c>
      <c r="L696" t="n">
        <v>1.303</v>
      </c>
      <c r="M696" t="n">
        <v>0</v>
      </c>
      <c r="N696" t="inlineStr">
        <is>
          <t>train</t>
        </is>
      </c>
      <c r="O696">
        <f>HYPERLINK("1\1\marker_229_906591.png", "Ver Imagen")</f>
        <v/>
      </c>
      <c r="P696">
        <f>HYPERLINK("NE\A-495R\A-495R__92.png", "Ver Imagen")</f>
        <v/>
      </c>
    </row>
    <row r="697">
      <c r="A697" t="n">
        <v>97</v>
      </c>
      <c r="B697" t="inlineStr">
        <is>
          <t>A-495R__87</t>
        </is>
      </c>
      <c r="C697" t="n">
        <v>37.4611926819</v>
      </c>
      <c r="D697" t="n">
        <v>-7.11610156661</v>
      </c>
      <c r="E697" t="n">
        <v>1</v>
      </c>
      <c r="F697" t="n">
        <v>1</v>
      </c>
      <c r="G697" t="n">
        <v>2</v>
      </c>
      <c r="J697" t="inlineStr">
        <is>
          <t>Moda</t>
        </is>
      </c>
      <c r="K697" t="n">
        <v>1</v>
      </c>
      <c r="L697" t="n">
        <v>1</v>
      </c>
      <c r="M697" t="n">
        <v>0</v>
      </c>
      <c r="N697" t="inlineStr">
        <is>
          <t>train</t>
        </is>
      </c>
      <c r="O697">
        <f>HYPERLINK("1\1\marker_942_906648.png", "Ver Imagen")</f>
        <v/>
      </c>
      <c r="P697">
        <f>HYPERLINK("NE\A-495R\A-495R__87.png", "Ver Imagen")</f>
        <v/>
      </c>
    </row>
    <row r="698">
      <c r="A698" t="n">
        <v>99</v>
      </c>
      <c r="B698" t="inlineStr">
        <is>
          <t>A-5052__38</t>
        </is>
      </c>
      <c r="C698" t="n">
        <v>37.2178367628</v>
      </c>
      <c r="D698" t="n">
        <v>-7.11651172589</v>
      </c>
      <c r="E698" t="n">
        <v>1</v>
      </c>
      <c r="F698" t="n">
        <v>1</v>
      </c>
      <c r="G698" t="n">
        <v>2</v>
      </c>
      <c r="J698" t="inlineStr">
        <is>
          <t>Moda</t>
        </is>
      </c>
      <c r="K698" t="n">
        <v>1</v>
      </c>
      <c r="L698" t="n">
        <v>1.224</v>
      </c>
      <c r="M698" t="n">
        <v>0</v>
      </c>
      <c r="N698" t="inlineStr">
        <is>
          <t>train</t>
        </is>
      </c>
      <c r="O698">
        <f>HYPERLINK("1\1\marker_346_956781.png", "Ver Imagen")</f>
        <v/>
      </c>
      <c r="P698">
        <f>HYPERLINK("SO\A-5052\A-5052__38.png", "Ver Imagen")</f>
        <v/>
      </c>
    </row>
    <row r="699">
      <c r="A699" t="n">
        <v>100</v>
      </c>
      <c r="B699" t="inlineStr">
        <is>
          <t>A-5052__39</t>
        </is>
      </c>
      <c r="C699" t="n">
        <v>37.2178006167</v>
      </c>
      <c r="D699" t="n">
        <v>-7.11625119402</v>
      </c>
      <c r="E699" t="n">
        <v>1</v>
      </c>
      <c r="F699" t="n">
        <v>1</v>
      </c>
      <c r="G699" t="n">
        <v>2</v>
      </c>
      <c r="J699" t="inlineStr">
        <is>
          <t>Moda</t>
        </is>
      </c>
      <c r="K699" t="n">
        <v>1</v>
      </c>
      <c r="L699" t="n">
        <v>1.055</v>
      </c>
      <c r="M699" t="n">
        <v>0</v>
      </c>
      <c r="N699" t="inlineStr">
        <is>
          <t>train</t>
        </is>
      </c>
      <c r="O699">
        <f>HYPERLINK("1\1\marker_237_956791.png", "Ver Imagen")</f>
        <v/>
      </c>
      <c r="P699">
        <f>HYPERLINK("SO\A-5052\A-5052__39.png", "Ver Imagen")</f>
        <v/>
      </c>
    </row>
    <row r="700">
      <c r="A700" t="n">
        <v>101</v>
      </c>
      <c r="B700" t="inlineStr">
        <is>
          <t>A-5052__40</t>
        </is>
      </c>
      <c r="C700" t="n">
        <v>37.2177680803</v>
      </c>
      <c r="D700" t="n">
        <v>-7.11600838226</v>
      </c>
      <c r="E700" t="n">
        <v>1</v>
      </c>
      <c r="F700" t="n">
        <v>1</v>
      </c>
      <c r="G700" t="n">
        <v>2</v>
      </c>
      <c r="J700" t="inlineStr">
        <is>
          <t>Moda</t>
        </is>
      </c>
      <c r="K700" t="n">
        <v>1</v>
      </c>
      <c r="L700" t="n">
        <v>1.07</v>
      </c>
      <c r="M700" t="n">
        <v>0</v>
      </c>
      <c r="N700" t="inlineStr">
        <is>
          <t>train</t>
        </is>
      </c>
      <c r="O700">
        <f>HYPERLINK("1\1\marker_121_956809.png", "Ver Imagen")</f>
        <v/>
      </c>
      <c r="P700">
        <f>HYPERLINK("SO\A-5052\A-5052__40.png", "Ver Imagen")</f>
        <v/>
      </c>
    </row>
    <row r="701">
      <c r="A701" t="n">
        <v>102</v>
      </c>
      <c r="B701" t="inlineStr">
        <is>
          <t>A-5052__41</t>
        </is>
      </c>
      <c r="C701" t="n">
        <v>37.2177325906</v>
      </c>
      <c r="D701" t="n">
        <v>-7.1157445933</v>
      </c>
      <c r="E701" t="n">
        <v>1</v>
      </c>
      <c r="F701" t="n">
        <v>1</v>
      </c>
      <c r="G701" t="n">
        <v>2</v>
      </c>
      <c r="J701" t="inlineStr">
        <is>
          <t>Moda</t>
        </is>
      </c>
      <c r="K701" t="n">
        <v>1</v>
      </c>
      <c r="L701" t="n">
        <v>1.042</v>
      </c>
      <c r="M701" t="n">
        <v>0</v>
      </c>
      <c r="N701" t="inlineStr">
        <is>
          <t>train</t>
        </is>
      </c>
      <c r="O701">
        <f>HYPERLINK("1\1\marker_644_956821.png", "Ver Imagen")</f>
        <v/>
      </c>
      <c r="P701">
        <f>HYPERLINK("SO\A-5052\A-5052__41.png", "Ver Imagen")</f>
        <v/>
      </c>
    </row>
    <row r="702">
      <c r="A702" t="n">
        <v>103</v>
      </c>
      <c r="B702" t="inlineStr">
        <is>
          <t>A-5052__45</t>
        </is>
      </c>
      <c r="C702" t="n">
        <v>37.2175929427</v>
      </c>
      <c r="D702" t="n">
        <v>-7.11470679473</v>
      </c>
      <c r="E702" t="n">
        <v>1</v>
      </c>
      <c r="F702" t="n">
        <v>1</v>
      </c>
      <c r="G702" t="n">
        <v>2</v>
      </c>
      <c r="J702" t="inlineStr">
        <is>
          <t>Moda</t>
        </is>
      </c>
      <c r="K702" t="n">
        <v>1</v>
      </c>
      <c r="L702" t="n">
        <v>1.281</v>
      </c>
      <c r="M702" t="n">
        <v>0</v>
      </c>
      <c r="N702" t="inlineStr">
        <is>
          <t>train</t>
        </is>
      </c>
      <c r="O702">
        <f>HYPERLINK("1\1\marker_734_956868.png", "Ver Imagen")</f>
        <v/>
      </c>
      <c r="P702">
        <f>HYPERLINK("SO\A-5052\A-5052__45.png", "Ver Imagen")</f>
        <v/>
      </c>
    </row>
    <row r="703">
      <c r="A703" t="n">
        <v>104</v>
      </c>
      <c r="B703" t="inlineStr">
        <is>
          <t>A-5052__62</t>
        </is>
      </c>
      <c r="C703" t="n">
        <v>37.2176408009</v>
      </c>
      <c r="D703" t="n">
        <v>-7.11044826286</v>
      </c>
      <c r="E703" t="n">
        <v>1</v>
      </c>
      <c r="F703" t="n">
        <v>1</v>
      </c>
      <c r="G703" t="n">
        <v>2</v>
      </c>
      <c r="J703" t="inlineStr">
        <is>
          <t>Moda</t>
        </is>
      </c>
      <c r="K703" t="n">
        <v>1</v>
      </c>
      <c r="L703" t="n">
        <v>1.111</v>
      </c>
      <c r="M703" t="n">
        <v>0</v>
      </c>
      <c r="N703" t="inlineStr">
        <is>
          <t>train</t>
        </is>
      </c>
      <c r="O703">
        <f>HYPERLINK("1\1\marker_421_957088.png", "Ver Imagen")</f>
        <v/>
      </c>
      <c r="P703">
        <f>HYPERLINK("SO\A-5052\A-5052__62.png", "Ver Imagen")</f>
        <v/>
      </c>
    </row>
    <row r="704">
      <c r="A704" t="n">
        <v>105</v>
      </c>
      <c r="B704" t="inlineStr">
        <is>
          <t>A-5052__63</t>
        </is>
      </c>
      <c r="C704" t="n">
        <v>37.2176500686</v>
      </c>
      <c r="D704" t="n">
        <v>-7.1101947003</v>
      </c>
      <c r="E704" t="n">
        <v>1</v>
      </c>
      <c r="F704" t="n">
        <v>1</v>
      </c>
      <c r="G704" t="n">
        <v>2</v>
      </c>
      <c r="J704" t="inlineStr">
        <is>
          <t>Moda</t>
        </is>
      </c>
      <c r="K704" t="n">
        <v>1</v>
      </c>
      <c r="L704" t="n">
        <v>1.118</v>
      </c>
      <c r="M704" t="n">
        <v>0</v>
      </c>
      <c r="N704" t="inlineStr">
        <is>
          <t>train</t>
        </is>
      </c>
      <c r="O704">
        <f>HYPERLINK("1\1\marker_195_957100.png", "Ver Imagen")</f>
        <v/>
      </c>
      <c r="P704">
        <f>HYPERLINK("SO\A-5052\A-5052__63.png", "Ver Imagen")</f>
        <v/>
      </c>
    </row>
    <row r="705">
      <c r="A705" t="n">
        <v>107</v>
      </c>
      <c r="B705" t="inlineStr">
        <is>
          <t>A-5052__77</t>
        </is>
      </c>
      <c r="C705" t="n">
        <v>37.2172629376</v>
      </c>
      <c r="D705" t="n">
        <v>-7.10667926807</v>
      </c>
      <c r="E705" t="n">
        <v>1</v>
      </c>
      <c r="F705" t="n">
        <v>1</v>
      </c>
      <c r="G705" t="n">
        <v>2</v>
      </c>
      <c r="J705" t="inlineStr">
        <is>
          <t>Moda</t>
        </is>
      </c>
      <c r="K705" t="n">
        <v>1</v>
      </c>
      <c r="L705" t="n">
        <v>1.482</v>
      </c>
      <c r="M705" t="n">
        <v>0</v>
      </c>
      <c r="N705" t="inlineStr">
        <is>
          <t>train</t>
        </is>
      </c>
      <c r="O705">
        <f>HYPERLINK("1\1\marker_475_957254.png", "Ver Imagen")</f>
        <v/>
      </c>
      <c r="P705">
        <f>HYPERLINK("SO\A-5052\A-5052__77.png", "Ver Imagen")</f>
        <v/>
      </c>
    </row>
    <row r="706">
      <c r="A706" t="n">
        <v>108</v>
      </c>
      <c r="B706" t="inlineStr">
        <is>
          <t>A-5052__79</t>
        </is>
      </c>
      <c r="C706" t="n">
        <v>37.217196227</v>
      </c>
      <c r="D706" t="n">
        <v>-7.10620071707</v>
      </c>
      <c r="E706" t="n">
        <v>1</v>
      </c>
      <c r="F706" t="n">
        <v>1</v>
      </c>
      <c r="G706" t="n">
        <v>2</v>
      </c>
      <c r="J706" t="inlineStr">
        <is>
          <t>Moda</t>
        </is>
      </c>
      <c r="K706" t="n">
        <v>1</v>
      </c>
      <c r="L706" t="n">
        <v>1.088</v>
      </c>
      <c r="M706" t="n">
        <v>0</v>
      </c>
      <c r="N706" t="inlineStr">
        <is>
          <t>val</t>
        </is>
      </c>
      <c r="O706">
        <f>HYPERLINK("1\1\marker_987_957274.png", "Ver Imagen")</f>
        <v/>
      </c>
      <c r="P706">
        <f>HYPERLINK("SO\A-5052\A-5052__79.png", "Ver Imagen")</f>
        <v/>
      </c>
    </row>
    <row r="707">
      <c r="A707" t="n">
        <v>109</v>
      </c>
      <c r="B707" t="inlineStr">
        <is>
          <t>A-5052__80</t>
        </is>
      </c>
      <c r="C707" t="n">
        <v>37.2171610132</v>
      </c>
      <c r="D707" t="n">
        <v>-7.10594204263</v>
      </c>
      <c r="E707" t="n">
        <v>1</v>
      </c>
      <c r="F707" t="n">
        <v>1</v>
      </c>
      <c r="G707" t="n">
        <v>2</v>
      </c>
      <c r="J707" t="inlineStr">
        <is>
          <t>Moda</t>
        </is>
      </c>
      <c r="K707" t="n">
        <v>1</v>
      </c>
      <c r="L707" t="n">
        <v>1.247</v>
      </c>
      <c r="M707" t="n">
        <v>0</v>
      </c>
      <c r="N707" t="inlineStr">
        <is>
          <t>train</t>
        </is>
      </c>
      <c r="O707">
        <f>HYPERLINK("1\1\marker_570_957286.png", "Ver Imagen")</f>
        <v/>
      </c>
      <c r="P707">
        <f>HYPERLINK("SO\A-5052\A-5052__80.png", "Ver Imagen")</f>
        <v/>
      </c>
    </row>
    <row r="708">
      <c r="A708" t="n">
        <v>110</v>
      </c>
      <c r="B708" t="inlineStr">
        <is>
          <t>A-5052__89</t>
        </is>
      </c>
      <c r="C708" t="n">
        <v>37.2169441095</v>
      </c>
      <c r="D708" t="n">
        <v>-7.10368038064</v>
      </c>
      <c r="E708" t="n">
        <v>1</v>
      </c>
      <c r="F708" t="n">
        <v>1</v>
      </c>
      <c r="G708" t="n">
        <v>2</v>
      </c>
      <c r="J708" t="inlineStr">
        <is>
          <t>Moda</t>
        </is>
      </c>
      <c r="K708" t="n">
        <v>1</v>
      </c>
      <c r="L708" t="n">
        <v>1.008</v>
      </c>
      <c r="M708" t="n">
        <v>0</v>
      </c>
      <c r="N708" t="inlineStr">
        <is>
          <t>train</t>
        </is>
      </c>
      <c r="O708">
        <f>HYPERLINK("1\1\marker_134_957487.png", "Ver Imagen")</f>
        <v/>
      </c>
      <c r="P708">
        <f>HYPERLINK("SO\A-5052\A-5052__89.png", "Ver Imagen")</f>
        <v/>
      </c>
    </row>
    <row r="709">
      <c r="A709" t="n">
        <v>111</v>
      </c>
      <c r="B709" t="inlineStr">
        <is>
          <t>A-5052__90</t>
        </is>
      </c>
      <c r="C709" t="n">
        <v>37.2169227654</v>
      </c>
      <c r="D709" t="n">
        <v>-7.10344312843</v>
      </c>
      <c r="E709" t="n">
        <v>1</v>
      </c>
      <c r="F709" t="n">
        <v>1</v>
      </c>
      <c r="G709" t="n">
        <v>2</v>
      </c>
      <c r="J709" t="inlineStr">
        <is>
          <t>Moda</t>
        </is>
      </c>
      <c r="K709" t="n">
        <v>1</v>
      </c>
      <c r="L709" t="n">
        <v>1.102</v>
      </c>
      <c r="M709" t="n">
        <v>0</v>
      </c>
      <c r="N709" t="inlineStr">
        <is>
          <t>train</t>
        </is>
      </c>
      <c r="O709">
        <f>HYPERLINK("1\1\marker_642_957497.png", "Ver Imagen")</f>
        <v/>
      </c>
      <c r="P709">
        <f>HYPERLINK("SO\A-5052\A-5052__90.png", "Ver Imagen")</f>
        <v/>
      </c>
    </row>
    <row r="710">
      <c r="A710" t="n">
        <v>112</v>
      </c>
      <c r="B710" t="inlineStr">
        <is>
          <t>A-5052__91</t>
        </is>
      </c>
      <c r="C710" t="n">
        <v>37.2169024886</v>
      </c>
      <c r="D710" t="n">
        <v>-7.10320628284</v>
      </c>
      <c r="E710" t="n">
        <v>1</v>
      </c>
      <c r="F710" t="n">
        <v>1</v>
      </c>
      <c r="G710" t="n">
        <v>2</v>
      </c>
      <c r="J710" t="inlineStr">
        <is>
          <t>Moda</t>
        </is>
      </c>
      <c r="K710" t="n">
        <v>1</v>
      </c>
      <c r="L710" t="n">
        <v>1.143</v>
      </c>
      <c r="M710" t="n">
        <v>0</v>
      </c>
      <c r="N710" t="inlineStr">
        <is>
          <t>train</t>
        </is>
      </c>
      <c r="O710">
        <f>HYPERLINK("1\1\marker_932_957508.png", "Ver Imagen")</f>
        <v/>
      </c>
      <c r="P710">
        <f>HYPERLINK("SE\A-5052\A-5052__91.png", "Ver Imagen")</f>
        <v/>
      </c>
    </row>
    <row r="711">
      <c r="A711" t="n">
        <v>112</v>
      </c>
      <c r="B711" t="inlineStr">
        <is>
          <t>A-5052__91</t>
        </is>
      </c>
      <c r="C711" t="n">
        <v>37.2169024886</v>
      </c>
      <c r="D711" t="n">
        <v>-7.10320628284</v>
      </c>
      <c r="E711" t="n">
        <v>1</v>
      </c>
      <c r="F711" t="n">
        <v>1</v>
      </c>
      <c r="G711" t="n">
        <v>2</v>
      </c>
      <c r="J711" t="inlineStr">
        <is>
          <t>Moda</t>
        </is>
      </c>
      <c r="K711" t="n">
        <v>1</v>
      </c>
      <c r="L711" t="n">
        <v>1.159</v>
      </c>
      <c r="M711" t="n">
        <v>0</v>
      </c>
      <c r="N711" t="inlineStr">
        <is>
          <t>train</t>
        </is>
      </c>
      <c r="O711">
        <f>HYPERLINK("1\1\marker_932_957508.png", "Ver Imagen")</f>
        <v/>
      </c>
      <c r="P711">
        <f>HYPERLINK("SO\A-5052\A-5052__91.png", "Ver Imagen")</f>
        <v/>
      </c>
    </row>
    <row r="712">
      <c r="A712" t="n">
        <v>113</v>
      </c>
      <c r="B712" t="inlineStr">
        <is>
          <t>A-5052__96</t>
        </is>
      </c>
      <c r="C712" t="n">
        <v>37.2167875928</v>
      </c>
      <c r="D712" t="n">
        <v>-7.10192561734</v>
      </c>
      <c r="E712" t="n">
        <v>1</v>
      </c>
      <c r="F712" t="n">
        <v>1</v>
      </c>
      <c r="G712" t="n">
        <v>2</v>
      </c>
      <c r="J712" t="inlineStr">
        <is>
          <t>Moda</t>
        </is>
      </c>
      <c r="K712" t="n">
        <v>1</v>
      </c>
      <c r="L712" t="n">
        <v>1.009</v>
      </c>
      <c r="M712" t="n">
        <v>0</v>
      </c>
      <c r="N712" t="inlineStr">
        <is>
          <t>train</t>
        </is>
      </c>
      <c r="O712">
        <f>HYPERLINK("1\1\marker_323_957613.png", "Ver Imagen")</f>
        <v/>
      </c>
      <c r="P712">
        <f>HYPERLINK("SE\A-5052\A-5052__96.png", "Ver Imagen")</f>
        <v/>
      </c>
    </row>
    <row r="713">
      <c r="A713" t="n">
        <v>113</v>
      </c>
      <c r="B713" t="inlineStr">
        <is>
          <t>A-5052__96</t>
        </is>
      </c>
      <c r="C713" t="n">
        <v>37.2167875928</v>
      </c>
      <c r="D713" t="n">
        <v>-7.10192561734</v>
      </c>
      <c r="E713" t="n">
        <v>1</v>
      </c>
      <c r="F713" t="n">
        <v>1</v>
      </c>
      <c r="G713" t="n">
        <v>2</v>
      </c>
      <c r="J713" t="inlineStr">
        <is>
          <t>Moda</t>
        </is>
      </c>
      <c r="K713" t="n">
        <v>1</v>
      </c>
      <c r="L713" t="n">
        <v>1.317</v>
      </c>
      <c r="M713" t="n">
        <v>0</v>
      </c>
      <c r="N713" t="inlineStr">
        <is>
          <t>train</t>
        </is>
      </c>
      <c r="O713">
        <f>HYPERLINK("1\1\marker_323_957613.png", "Ver Imagen")</f>
        <v/>
      </c>
      <c r="P713">
        <f>HYPERLINK("SO\A-5052\A-5052__96.png", "Ver Imagen")</f>
        <v/>
      </c>
    </row>
    <row r="714">
      <c r="A714" t="n">
        <v>114</v>
      </c>
      <c r="B714" t="inlineStr">
        <is>
          <t>A-5052__99</t>
        </is>
      </c>
      <c r="C714" t="n">
        <v>37.2168259709</v>
      </c>
      <c r="D714" t="n">
        <v>-7.10116289064</v>
      </c>
      <c r="E714" t="n">
        <v>1</v>
      </c>
      <c r="F714" t="n">
        <v>1</v>
      </c>
      <c r="G714" t="n">
        <v>2</v>
      </c>
      <c r="J714" t="inlineStr">
        <is>
          <t>Moda</t>
        </is>
      </c>
      <c r="K714" t="n">
        <v>1</v>
      </c>
      <c r="L714" t="n">
        <v>1.06</v>
      </c>
      <c r="M714" t="n">
        <v>0</v>
      </c>
      <c r="N714" t="inlineStr">
        <is>
          <t>val</t>
        </is>
      </c>
      <c r="O714">
        <f>HYPERLINK("1\1\marker_104_957649.png", "Ver Imagen")</f>
        <v/>
      </c>
      <c r="P714">
        <f>HYPERLINK("SE\A-5052\A-5052__99.png", "Ver Imagen")</f>
        <v/>
      </c>
    </row>
    <row r="715">
      <c r="A715" t="n">
        <v>114</v>
      </c>
      <c r="B715" t="inlineStr">
        <is>
          <t>A-5052__99</t>
        </is>
      </c>
      <c r="C715" t="n">
        <v>37.2168259709</v>
      </c>
      <c r="D715" t="n">
        <v>-7.10116289064</v>
      </c>
      <c r="E715" t="n">
        <v>1</v>
      </c>
      <c r="F715" t="n">
        <v>1</v>
      </c>
      <c r="G715" t="n">
        <v>2</v>
      </c>
      <c r="J715" t="inlineStr">
        <is>
          <t>Moda</t>
        </is>
      </c>
      <c r="K715" t="n">
        <v>1</v>
      </c>
      <c r="L715" t="n">
        <v>1.434</v>
      </c>
      <c r="M715" t="n">
        <v>0</v>
      </c>
      <c r="N715" t="inlineStr">
        <is>
          <t>val</t>
        </is>
      </c>
      <c r="O715">
        <f>HYPERLINK("1\1\marker_104_957649.png", "Ver Imagen")</f>
        <v/>
      </c>
      <c r="P715">
        <f>HYPERLINK("SO\A-5052\A-5052__99.png", "Ver Imagen")</f>
        <v/>
      </c>
    </row>
    <row r="716">
      <c r="A716" t="n">
        <v>115</v>
      </c>
      <c r="B716" t="inlineStr">
        <is>
          <t>A-5052__121</t>
        </is>
      </c>
      <c r="C716" t="n">
        <v>37.2166573911</v>
      </c>
      <c r="D716" t="n">
        <v>-7.09565970392</v>
      </c>
      <c r="E716" t="n">
        <v>1</v>
      </c>
      <c r="F716" t="n">
        <v>1</v>
      </c>
      <c r="G716" t="n">
        <v>2</v>
      </c>
      <c r="J716" t="inlineStr">
        <is>
          <t>Moda</t>
        </is>
      </c>
      <c r="K716" t="n">
        <v>1</v>
      </c>
      <c r="L716" t="n">
        <v>1.13</v>
      </c>
      <c r="M716" t="n">
        <v>0</v>
      </c>
      <c r="N716" t="inlineStr">
        <is>
          <t>val</t>
        </is>
      </c>
      <c r="O716">
        <f>HYPERLINK("1\1\marker_532_957950.png", "Ver Imagen")</f>
        <v/>
      </c>
      <c r="P716">
        <f>HYPERLINK("SE\A-5052\A-5052__121.png", "Ver Imagen")</f>
        <v/>
      </c>
    </row>
    <row r="717">
      <c r="A717" t="n">
        <v>116</v>
      </c>
      <c r="B717" t="inlineStr">
        <is>
          <t>A-5052__153</t>
        </is>
      </c>
      <c r="C717" t="n">
        <v>37.2160215488</v>
      </c>
      <c r="D717" t="n">
        <v>-7.08761441804</v>
      </c>
      <c r="E717" t="n">
        <v>1</v>
      </c>
      <c r="F717" t="n">
        <v>1</v>
      </c>
      <c r="G717" t="n">
        <v>2</v>
      </c>
      <c r="J717" t="inlineStr">
        <is>
          <t>Moda</t>
        </is>
      </c>
      <c r="K717" t="n">
        <v>1</v>
      </c>
      <c r="L717" t="n">
        <v>1.103</v>
      </c>
      <c r="M717" t="n">
        <v>0</v>
      </c>
      <c r="N717" t="inlineStr">
        <is>
          <t>train</t>
        </is>
      </c>
      <c r="O717">
        <f>HYPERLINK("1\1\marker_590_958567.png", "Ver Imagen")</f>
        <v/>
      </c>
      <c r="P717">
        <f>HYPERLINK("SE\A-5052\A-5052__153.png", "Ver Imagen")</f>
        <v/>
      </c>
    </row>
    <row r="718">
      <c r="A718" t="n">
        <v>116</v>
      </c>
      <c r="B718" t="inlineStr">
        <is>
          <t>A-5052__153</t>
        </is>
      </c>
      <c r="C718" t="n">
        <v>37.2160215488</v>
      </c>
      <c r="D718" t="n">
        <v>-7.08761441804</v>
      </c>
      <c r="E718" t="n">
        <v>1</v>
      </c>
      <c r="F718" t="n">
        <v>1</v>
      </c>
      <c r="G718" t="n">
        <v>2</v>
      </c>
      <c r="J718" t="inlineStr">
        <is>
          <t>Moda</t>
        </is>
      </c>
      <c r="K718" t="n">
        <v>1</v>
      </c>
      <c r="L718" t="n">
        <v>1</v>
      </c>
      <c r="M718" t="n">
        <v>0</v>
      </c>
      <c r="N718" t="inlineStr">
        <is>
          <t>train</t>
        </is>
      </c>
      <c r="O718">
        <f>HYPERLINK("1\1\marker_590_958567.png", "Ver Imagen")</f>
        <v/>
      </c>
      <c r="P718">
        <f>HYPERLINK("SO\A-5052\A-5052__153.png", "Ver Imagen")</f>
        <v/>
      </c>
    </row>
    <row r="719">
      <c r="A719" t="n">
        <v>117</v>
      </c>
      <c r="B719" t="inlineStr">
        <is>
          <t>A-5052__166</t>
        </is>
      </c>
      <c r="C719" t="n">
        <v>37.216227173</v>
      </c>
      <c r="D719" t="n">
        <v>-7.08438348384</v>
      </c>
      <c r="E719" t="n">
        <v>1</v>
      </c>
      <c r="F719" t="n">
        <v>1</v>
      </c>
      <c r="G719" t="n">
        <v>2</v>
      </c>
      <c r="J719" t="inlineStr">
        <is>
          <t>Moda</t>
        </is>
      </c>
      <c r="K719" t="n">
        <v>1</v>
      </c>
      <c r="L719" t="n">
        <v>1.064</v>
      </c>
      <c r="M719" t="n">
        <v>0</v>
      </c>
      <c r="N719" t="inlineStr">
        <is>
          <t>test</t>
        </is>
      </c>
      <c r="O719">
        <f>HYPERLINK("1\1\marker_710_958849.png", "Ver Imagen")</f>
        <v/>
      </c>
      <c r="P719">
        <f>HYPERLINK("SO\A-5052\A-5052__166.png", "Ver Imagen")</f>
        <v/>
      </c>
    </row>
    <row r="720">
      <c r="A720" t="n">
        <v>118</v>
      </c>
      <c r="B720" t="inlineStr">
        <is>
          <t>A-5052__176</t>
        </is>
      </c>
      <c r="C720" t="n">
        <v>37.215662479</v>
      </c>
      <c r="D720" t="n">
        <v>-7.08199533654</v>
      </c>
      <c r="E720" t="n">
        <v>1</v>
      </c>
      <c r="F720" t="n">
        <v>1</v>
      </c>
      <c r="G720" t="n">
        <v>2</v>
      </c>
      <c r="J720" t="inlineStr">
        <is>
          <t>Moda</t>
        </is>
      </c>
      <c r="K720" t="n">
        <v>1</v>
      </c>
      <c r="L720" t="n">
        <v>1.143</v>
      </c>
      <c r="M720" t="n">
        <v>0</v>
      </c>
      <c r="N720" t="inlineStr">
        <is>
          <t>train</t>
        </is>
      </c>
      <c r="O720">
        <f>HYPERLINK("1\1\marker_220_959029.png", "Ver Imagen")</f>
        <v/>
      </c>
      <c r="P720">
        <f>HYPERLINK("SE\A-5052\A-5052__176.png", "Ver Imagen")</f>
        <v/>
      </c>
    </row>
    <row r="721">
      <c r="A721" t="n">
        <v>118</v>
      </c>
      <c r="B721" t="inlineStr">
        <is>
          <t>A-5052__176</t>
        </is>
      </c>
      <c r="C721" t="n">
        <v>37.215662479</v>
      </c>
      <c r="D721" t="n">
        <v>-7.08199533654</v>
      </c>
      <c r="E721" t="n">
        <v>1</v>
      </c>
      <c r="F721" t="n">
        <v>1</v>
      </c>
      <c r="G721" t="n">
        <v>2</v>
      </c>
      <c r="J721" t="inlineStr">
        <is>
          <t>Moda</t>
        </is>
      </c>
      <c r="K721" t="n">
        <v>1</v>
      </c>
      <c r="L721" t="n">
        <v>1.344</v>
      </c>
      <c r="M721" t="n">
        <v>0</v>
      </c>
      <c r="N721" t="inlineStr">
        <is>
          <t>train</t>
        </is>
      </c>
      <c r="O721">
        <f>HYPERLINK("1\1\marker_220_959029.png", "Ver Imagen")</f>
        <v/>
      </c>
      <c r="P721">
        <f>HYPERLINK("SO\A-5052\A-5052__176.png", "Ver Imagen")</f>
        <v/>
      </c>
    </row>
    <row r="722">
      <c r="A722" t="n">
        <v>120</v>
      </c>
      <c r="B722" t="inlineStr">
        <is>
          <t>A-5052__194</t>
        </is>
      </c>
      <c r="C722" t="n">
        <v>37.2146018969</v>
      </c>
      <c r="D722" t="n">
        <v>-7.07757333296</v>
      </c>
      <c r="E722" t="n">
        <v>1</v>
      </c>
      <c r="F722" t="n">
        <v>1</v>
      </c>
      <c r="G722" t="n">
        <v>2</v>
      </c>
      <c r="J722" t="inlineStr">
        <is>
          <t>Moda</t>
        </is>
      </c>
      <c r="K722" t="n">
        <v>1</v>
      </c>
      <c r="L722" t="n">
        <v>1.17</v>
      </c>
      <c r="M722" t="n">
        <v>0</v>
      </c>
      <c r="N722" t="inlineStr">
        <is>
          <t>train</t>
        </is>
      </c>
      <c r="O722">
        <f>HYPERLINK("1\1\marker_834_959393.png", "Ver Imagen")</f>
        <v/>
      </c>
      <c r="P722">
        <f>HYPERLINK("SE\A-5052\A-5052__194.png", "Ver Imagen")</f>
        <v/>
      </c>
    </row>
    <row r="723">
      <c r="A723" t="n">
        <v>120</v>
      </c>
      <c r="B723" t="inlineStr">
        <is>
          <t>A-5052__194</t>
        </is>
      </c>
      <c r="C723" t="n">
        <v>37.2146018969</v>
      </c>
      <c r="D723" t="n">
        <v>-7.07757333296</v>
      </c>
      <c r="E723" t="n">
        <v>1</v>
      </c>
      <c r="F723" t="n">
        <v>1</v>
      </c>
      <c r="G723" t="n">
        <v>2</v>
      </c>
      <c r="J723" t="inlineStr">
        <is>
          <t>Moda</t>
        </is>
      </c>
      <c r="K723" t="n">
        <v>1</v>
      </c>
      <c r="L723" t="n">
        <v>1.173</v>
      </c>
      <c r="M723" t="n">
        <v>0</v>
      </c>
      <c r="N723" t="inlineStr">
        <is>
          <t>train</t>
        </is>
      </c>
      <c r="O723">
        <f>HYPERLINK("1\1\marker_834_959393.png", "Ver Imagen")</f>
        <v/>
      </c>
      <c r="P723">
        <f>HYPERLINK("SO\A-5052\A-5052__194.png", "Ver Imagen")</f>
        <v/>
      </c>
    </row>
    <row r="724">
      <c r="A724" t="n">
        <v>121</v>
      </c>
      <c r="B724" t="inlineStr">
        <is>
          <t>A-5052__195</t>
        </is>
      </c>
      <c r="C724" t="n">
        <v>37.2145551412</v>
      </c>
      <c r="D724" t="n">
        <v>-7.07732809825</v>
      </c>
      <c r="E724" t="n">
        <v>1</v>
      </c>
      <c r="F724" t="n">
        <v>1</v>
      </c>
      <c r="G724" t="n">
        <v>2</v>
      </c>
      <c r="J724" t="inlineStr">
        <is>
          <t>Moda</t>
        </is>
      </c>
      <c r="K724" t="n">
        <v>1</v>
      </c>
      <c r="L724" t="n">
        <v>1.044</v>
      </c>
      <c r="M724" t="n">
        <v>0</v>
      </c>
      <c r="N724" t="inlineStr">
        <is>
          <t>train</t>
        </is>
      </c>
      <c r="O724">
        <f>HYPERLINK("1\1\marker_226_959402.png", "Ver Imagen")</f>
        <v/>
      </c>
      <c r="P724">
        <f>HYPERLINK("SE\A-5052\A-5052__195.png", "Ver Imagen")</f>
        <v/>
      </c>
    </row>
    <row r="725">
      <c r="A725" t="n">
        <v>121</v>
      </c>
      <c r="B725" t="inlineStr">
        <is>
          <t>A-5052__195</t>
        </is>
      </c>
      <c r="C725" t="n">
        <v>37.2145551412</v>
      </c>
      <c r="D725" t="n">
        <v>-7.07732809825</v>
      </c>
      <c r="E725" t="n">
        <v>1</v>
      </c>
      <c r="F725" t="n">
        <v>1</v>
      </c>
      <c r="G725" t="n">
        <v>2</v>
      </c>
      <c r="J725" t="inlineStr">
        <is>
          <t>Moda</t>
        </is>
      </c>
      <c r="K725" t="n">
        <v>1</v>
      </c>
      <c r="L725" t="n">
        <v>1</v>
      </c>
      <c r="M725" t="n">
        <v>0</v>
      </c>
      <c r="N725" t="inlineStr">
        <is>
          <t>train</t>
        </is>
      </c>
      <c r="O725">
        <f>HYPERLINK("1\1\marker_226_959402.png", "Ver Imagen")</f>
        <v/>
      </c>
      <c r="P725">
        <f>HYPERLINK("SO\A-5052\A-5052__195.png", "Ver Imagen")</f>
        <v/>
      </c>
    </row>
    <row r="726">
      <c r="A726" t="n">
        <v>122</v>
      </c>
      <c r="B726" t="inlineStr">
        <is>
          <t>A-5052__197</t>
        </is>
      </c>
      <c r="C726" t="n">
        <v>37.2144626147</v>
      </c>
      <c r="D726" t="n">
        <v>-7.07683664073</v>
      </c>
      <c r="E726" t="n">
        <v>1</v>
      </c>
      <c r="F726" t="n">
        <v>1</v>
      </c>
      <c r="G726" t="n">
        <v>2</v>
      </c>
      <c r="J726" t="inlineStr">
        <is>
          <t>Moda</t>
        </is>
      </c>
      <c r="K726" t="n">
        <v>1</v>
      </c>
      <c r="L726" t="n">
        <v>1</v>
      </c>
      <c r="M726" t="n">
        <v>0</v>
      </c>
      <c r="N726" t="inlineStr">
        <is>
          <t>test</t>
        </is>
      </c>
      <c r="O726">
        <f>HYPERLINK("1\1\marker_567_959419.png", "Ver Imagen")</f>
        <v/>
      </c>
      <c r="P726">
        <f>HYPERLINK("SE\A-5052\A-5052__197.png", "Ver Imagen")</f>
        <v/>
      </c>
    </row>
    <row r="727">
      <c r="A727" t="n">
        <v>122</v>
      </c>
      <c r="B727" t="inlineStr">
        <is>
          <t>A-5052__197</t>
        </is>
      </c>
      <c r="C727" t="n">
        <v>37.2144626147</v>
      </c>
      <c r="D727" t="n">
        <v>-7.07683664073</v>
      </c>
      <c r="E727" t="n">
        <v>1</v>
      </c>
      <c r="F727" t="n">
        <v>1</v>
      </c>
      <c r="G727" t="n">
        <v>2</v>
      </c>
      <c r="J727" t="inlineStr">
        <is>
          <t>Moda</t>
        </is>
      </c>
      <c r="K727" t="n">
        <v>1</v>
      </c>
      <c r="L727" t="n">
        <v>1.012</v>
      </c>
      <c r="M727" t="n">
        <v>0</v>
      </c>
      <c r="N727" t="inlineStr">
        <is>
          <t>test</t>
        </is>
      </c>
      <c r="O727">
        <f>HYPERLINK("1\1\marker_567_959419.png", "Ver Imagen")</f>
        <v/>
      </c>
      <c r="P727">
        <f>HYPERLINK("SO\A-5052\A-5052__197.png", "Ver Imagen")</f>
        <v/>
      </c>
    </row>
    <row r="728">
      <c r="A728" t="n">
        <v>123</v>
      </c>
      <c r="B728" t="inlineStr">
        <is>
          <t>A-5052__198</t>
        </is>
      </c>
      <c r="C728" t="n">
        <v>37.2144095697</v>
      </c>
      <c r="D728" t="n">
        <v>-7.07655222816</v>
      </c>
      <c r="E728" t="n">
        <v>1</v>
      </c>
      <c r="F728" t="n">
        <v>1</v>
      </c>
      <c r="G728" t="n">
        <v>2</v>
      </c>
      <c r="J728" t="inlineStr">
        <is>
          <t>Moda</t>
        </is>
      </c>
      <c r="K728" t="n">
        <v>1</v>
      </c>
      <c r="L728" t="n">
        <v>1.027</v>
      </c>
      <c r="M728" t="n">
        <v>0</v>
      </c>
      <c r="N728" t="inlineStr">
        <is>
          <t>train</t>
        </is>
      </c>
      <c r="O728">
        <f>HYPERLINK("1\1\marker_155_959442.png", "Ver Imagen")</f>
        <v/>
      </c>
      <c r="P728">
        <f>HYPERLINK("SE\A-5052\A-5052__198.png", "Ver Imagen")</f>
        <v/>
      </c>
    </row>
    <row r="729">
      <c r="A729" t="n">
        <v>123</v>
      </c>
      <c r="B729" t="inlineStr">
        <is>
          <t>A-5052__198</t>
        </is>
      </c>
      <c r="C729" t="n">
        <v>37.2144095697</v>
      </c>
      <c r="D729" t="n">
        <v>-7.07655222816</v>
      </c>
      <c r="E729" t="n">
        <v>1</v>
      </c>
      <c r="F729" t="n">
        <v>1</v>
      </c>
      <c r="G729" t="n">
        <v>2</v>
      </c>
      <c r="J729" t="inlineStr">
        <is>
          <t>Moda</t>
        </is>
      </c>
      <c r="K729" t="n">
        <v>1</v>
      </c>
      <c r="L729" t="n">
        <v>1.091</v>
      </c>
      <c r="M729" t="n">
        <v>0</v>
      </c>
      <c r="N729" t="inlineStr">
        <is>
          <t>train</t>
        </is>
      </c>
      <c r="O729">
        <f>HYPERLINK("1\1\marker_155_959442.png", "Ver Imagen")</f>
        <v/>
      </c>
      <c r="P729">
        <f>HYPERLINK("SO\A-5052\A-5052__198.png", "Ver Imagen")</f>
        <v/>
      </c>
    </row>
    <row r="730">
      <c r="A730" t="n">
        <v>124</v>
      </c>
      <c r="B730" t="inlineStr">
        <is>
          <t>A-5052__199</t>
        </is>
      </c>
      <c r="C730" t="n">
        <v>37.2143729572</v>
      </c>
      <c r="D730" t="n">
        <v>-7.07636070397</v>
      </c>
      <c r="E730" t="n">
        <v>1</v>
      </c>
      <c r="F730" t="n">
        <v>1</v>
      </c>
      <c r="G730" t="n">
        <v>2</v>
      </c>
      <c r="J730" t="inlineStr">
        <is>
          <t>Moda</t>
        </is>
      </c>
      <c r="K730" t="n">
        <v>1</v>
      </c>
      <c r="L730" t="n">
        <v>1</v>
      </c>
      <c r="M730" t="n">
        <v>0</v>
      </c>
      <c r="N730" t="inlineStr">
        <is>
          <t>train</t>
        </is>
      </c>
      <c r="O730">
        <f>HYPERLINK("1\1\marker_691_959454.png", "Ver Imagen")</f>
        <v/>
      </c>
      <c r="P730">
        <f>HYPERLINK("SE\A-5052\A-5052__199.png", "Ver Imagen")</f>
        <v/>
      </c>
    </row>
    <row r="731">
      <c r="A731" t="n">
        <v>124</v>
      </c>
      <c r="B731" t="inlineStr">
        <is>
          <t>A-5052__199</t>
        </is>
      </c>
      <c r="C731" t="n">
        <v>37.2143729572</v>
      </c>
      <c r="D731" t="n">
        <v>-7.07636070397</v>
      </c>
      <c r="E731" t="n">
        <v>1</v>
      </c>
      <c r="F731" t="n">
        <v>1</v>
      </c>
      <c r="G731" t="n">
        <v>2</v>
      </c>
      <c r="J731" t="inlineStr">
        <is>
          <t>Moda</t>
        </is>
      </c>
      <c r="K731" t="n">
        <v>1</v>
      </c>
      <c r="L731" t="n">
        <v>1.015</v>
      </c>
      <c r="M731" t="n">
        <v>0</v>
      </c>
      <c r="N731" t="inlineStr">
        <is>
          <t>train</t>
        </is>
      </c>
      <c r="O731">
        <f>HYPERLINK("1\1\marker_691_959454.png", "Ver Imagen")</f>
        <v/>
      </c>
      <c r="P731">
        <f>HYPERLINK("SO\A-5052\A-5052__199.png", "Ver Imagen")</f>
        <v/>
      </c>
    </row>
    <row r="732">
      <c r="A732" t="n">
        <v>125</v>
      </c>
      <c r="B732" t="inlineStr">
        <is>
          <t>A-5052__200</t>
        </is>
      </c>
      <c r="C732" t="n">
        <v>37.2143231282</v>
      </c>
      <c r="D732" t="n">
        <v>-7.07610883433</v>
      </c>
      <c r="E732" t="n">
        <v>1</v>
      </c>
      <c r="F732" t="n">
        <v>1</v>
      </c>
      <c r="G732" t="n">
        <v>2</v>
      </c>
      <c r="J732" t="inlineStr">
        <is>
          <t>Moda</t>
        </is>
      </c>
      <c r="K732" t="n">
        <v>1</v>
      </c>
      <c r="L732" t="n">
        <v>1.209</v>
      </c>
      <c r="M732" t="n">
        <v>0</v>
      </c>
      <c r="N732" t="inlineStr">
        <is>
          <t>train</t>
        </is>
      </c>
      <c r="O732">
        <f>HYPERLINK("1\1\marker_382_959472.png", "Ver Imagen")</f>
        <v/>
      </c>
      <c r="P732">
        <f>HYPERLINK("SE\A-5052\A-5052__200.png", "Ver Imagen")</f>
        <v/>
      </c>
    </row>
    <row r="733">
      <c r="A733" t="n">
        <v>125</v>
      </c>
      <c r="B733" t="inlineStr">
        <is>
          <t>A-5052__200</t>
        </is>
      </c>
      <c r="C733" t="n">
        <v>37.2143231282</v>
      </c>
      <c r="D733" t="n">
        <v>-7.07610883433</v>
      </c>
      <c r="E733" t="n">
        <v>1</v>
      </c>
      <c r="F733" t="n">
        <v>1</v>
      </c>
      <c r="G733" t="n">
        <v>2</v>
      </c>
      <c r="J733" t="inlineStr">
        <is>
          <t>Moda</t>
        </is>
      </c>
      <c r="K733" t="n">
        <v>1</v>
      </c>
      <c r="L733" t="n">
        <v>1.388</v>
      </c>
      <c r="M733" t="n">
        <v>0</v>
      </c>
      <c r="N733" t="inlineStr">
        <is>
          <t>train</t>
        </is>
      </c>
      <c r="O733">
        <f>HYPERLINK("1\1\marker_382_959472.png", "Ver Imagen")</f>
        <v/>
      </c>
      <c r="P733">
        <f>HYPERLINK("SO\A-5052\A-5052__200.png", "Ver Imagen")</f>
        <v/>
      </c>
    </row>
    <row r="734">
      <c r="A734" t="n">
        <v>126</v>
      </c>
      <c r="B734" t="inlineStr">
        <is>
          <t>A-5052__201</t>
        </is>
      </c>
      <c r="C734" t="n">
        <v>37.2142803161</v>
      </c>
      <c r="D734" t="n">
        <v>-7.07589045704</v>
      </c>
      <c r="E734" t="n">
        <v>1</v>
      </c>
      <c r="F734" t="n">
        <v>1</v>
      </c>
      <c r="G734" t="n">
        <v>2</v>
      </c>
      <c r="J734" t="inlineStr">
        <is>
          <t>Moda</t>
        </is>
      </c>
      <c r="K734" t="n">
        <v>1</v>
      </c>
      <c r="L734" t="n">
        <v>1.166</v>
      </c>
      <c r="M734" t="n">
        <v>0</v>
      </c>
      <c r="N734" t="inlineStr">
        <is>
          <t>train</t>
        </is>
      </c>
      <c r="O734">
        <f>HYPERLINK("1\1\marker_906_959482.png", "Ver Imagen")</f>
        <v/>
      </c>
      <c r="P734">
        <f>HYPERLINK("SE\A-5052\A-5052__201.png", "Ver Imagen")</f>
        <v/>
      </c>
    </row>
    <row r="735">
      <c r="A735" t="n">
        <v>126</v>
      </c>
      <c r="B735" t="inlineStr">
        <is>
          <t>A-5052__201</t>
        </is>
      </c>
      <c r="C735" t="n">
        <v>37.2142803161</v>
      </c>
      <c r="D735" t="n">
        <v>-7.07589045704</v>
      </c>
      <c r="E735" t="n">
        <v>1</v>
      </c>
      <c r="F735" t="n">
        <v>1</v>
      </c>
      <c r="G735" t="n">
        <v>2</v>
      </c>
      <c r="J735" t="inlineStr">
        <is>
          <t>Moda</t>
        </is>
      </c>
      <c r="K735" t="n">
        <v>1</v>
      </c>
      <c r="L735" t="n">
        <v>1.134</v>
      </c>
      <c r="M735" t="n">
        <v>0</v>
      </c>
      <c r="N735" t="inlineStr">
        <is>
          <t>train</t>
        </is>
      </c>
      <c r="O735">
        <f>HYPERLINK("1\1\marker_906_959482.png", "Ver Imagen")</f>
        <v/>
      </c>
      <c r="P735">
        <f>HYPERLINK("SO\A-5052\A-5052__201.png", "Ver Imagen")</f>
        <v/>
      </c>
    </row>
    <row r="736">
      <c r="A736" t="n">
        <v>127</v>
      </c>
      <c r="B736" t="inlineStr">
        <is>
          <t>A-5052__202</t>
        </is>
      </c>
      <c r="C736" t="n">
        <v>37.2142291734</v>
      </c>
      <c r="D736" t="n">
        <v>-7.0756251793</v>
      </c>
      <c r="E736" t="n">
        <v>1</v>
      </c>
      <c r="F736" t="n">
        <v>1</v>
      </c>
      <c r="G736" t="n">
        <v>2</v>
      </c>
      <c r="J736" t="inlineStr">
        <is>
          <t>Moda</t>
        </is>
      </c>
      <c r="K736" t="n">
        <v>1</v>
      </c>
      <c r="L736" t="n">
        <v>1.255</v>
      </c>
      <c r="M736" t="n">
        <v>0</v>
      </c>
      <c r="N736" t="inlineStr">
        <is>
          <t>train</t>
        </is>
      </c>
      <c r="O736">
        <f>HYPERLINK("1\1\marker_899_959490.png", "Ver Imagen")</f>
        <v/>
      </c>
      <c r="P736">
        <f>HYPERLINK("SE\A-5052\A-5052__202.png", "Ver Imagen")</f>
        <v/>
      </c>
    </row>
    <row r="737">
      <c r="A737" t="n">
        <v>127</v>
      </c>
      <c r="B737" t="inlineStr">
        <is>
          <t>A-5052__202</t>
        </is>
      </c>
      <c r="C737" t="n">
        <v>37.2142291734</v>
      </c>
      <c r="D737" t="n">
        <v>-7.0756251793</v>
      </c>
      <c r="E737" t="n">
        <v>1</v>
      </c>
      <c r="F737" t="n">
        <v>1</v>
      </c>
      <c r="G737" t="n">
        <v>2</v>
      </c>
      <c r="J737" t="inlineStr">
        <is>
          <t>Moda</t>
        </is>
      </c>
      <c r="K737" t="n">
        <v>1</v>
      </c>
      <c r="L737" t="n">
        <v>1.132</v>
      </c>
      <c r="M737" t="n">
        <v>0</v>
      </c>
      <c r="N737" t="inlineStr">
        <is>
          <t>train</t>
        </is>
      </c>
      <c r="O737">
        <f>HYPERLINK("1\1\marker_899_959490.png", "Ver Imagen")</f>
        <v/>
      </c>
      <c r="P737">
        <f>HYPERLINK("SO\A-5052\A-5052__202.png", "Ver Imagen")</f>
        <v/>
      </c>
    </row>
    <row r="738">
      <c r="A738" t="n">
        <v>128</v>
      </c>
      <c r="B738" t="inlineStr">
        <is>
          <t>A-5052__203</t>
        </is>
      </c>
      <c r="C738" t="n">
        <v>37.2141838384</v>
      </c>
      <c r="D738" t="n">
        <v>-7.07538416538</v>
      </c>
      <c r="E738" t="n">
        <v>1</v>
      </c>
      <c r="F738" t="n">
        <v>1</v>
      </c>
      <c r="G738" t="n">
        <v>2</v>
      </c>
      <c r="J738" t="inlineStr">
        <is>
          <t>Moda</t>
        </is>
      </c>
      <c r="K738" t="n">
        <v>1</v>
      </c>
      <c r="L738" t="n">
        <v>1.095</v>
      </c>
      <c r="M738" t="n">
        <v>0</v>
      </c>
      <c r="N738" t="inlineStr">
        <is>
          <t>train</t>
        </is>
      </c>
      <c r="O738">
        <f>HYPERLINK("1\1\marker_695_959499.png", "Ver Imagen")</f>
        <v/>
      </c>
      <c r="P738">
        <f>HYPERLINK("SE\A-5052\A-5052__203.png", "Ver Imagen")</f>
        <v/>
      </c>
    </row>
    <row r="739">
      <c r="A739" t="n">
        <v>128</v>
      </c>
      <c r="B739" t="inlineStr">
        <is>
          <t>A-5052__203</t>
        </is>
      </c>
      <c r="C739" t="n">
        <v>37.2141838384</v>
      </c>
      <c r="D739" t="n">
        <v>-7.07538416538</v>
      </c>
      <c r="E739" t="n">
        <v>1</v>
      </c>
      <c r="F739" t="n">
        <v>1</v>
      </c>
      <c r="G739" t="n">
        <v>2</v>
      </c>
      <c r="J739" t="inlineStr">
        <is>
          <t>Moda</t>
        </is>
      </c>
      <c r="K739" t="n">
        <v>1</v>
      </c>
      <c r="L739" t="n">
        <v>1.463</v>
      </c>
      <c r="M739" t="n">
        <v>0</v>
      </c>
      <c r="N739" t="inlineStr">
        <is>
          <t>train</t>
        </is>
      </c>
      <c r="O739">
        <f>HYPERLINK("1\1\marker_695_959499.png", "Ver Imagen")</f>
        <v/>
      </c>
      <c r="P739">
        <f>HYPERLINK("SO\A-5052\A-5052__203.png", "Ver Imagen")</f>
        <v/>
      </c>
    </row>
    <row r="740">
      <c r="A740" t="n">
        <v>129</v>
      </c>
      <c r="B740" t="inlineStr">
        <is>
          <t>A-5052__207</t>
        </is>
      </c>
      <c r="C740" t="n">
        <v>37.2140094482</v>
      </c>
      <c r="D740" t="n">
        <v>-7.07440724843</v>
      </c>
      <c r="E740" t="n">
        <v>1</v>
      </c>
      <c r="F740" t="n">
        <v>1</v>
      </c>
      <c r="G740" t="n">
        <v>2</v>
      </c>
      <c r="J740" t="inlineStr">
        <is>
          <t>Moda</t>
        </is>
      </c>
      <c r="K740" t="n">
        <v>1</v>
      </c>
      <c r="L740" t="n">
        <v>1.077</v>
      </c>
      <c r="M740" t="n">
        <v>0</v>
      </c>
      <c r="N740" t="inlineStr">
        <is>
          <t>train</t>
        </is>
      </c>
      <c r="O740">
        <f>HYPERLINK("1\1\marker_473_959556.png", "Ver Imagen")</f>
        <v/>
      </c>
      <c r="P740">
        <f>HYPERLINK("SE\A-5052\A-5052__207.png", "Ver Imagen")</f>
        <v/>
      </c>
    </row>
    <row r="741">
      <c r="A741" t="n">
        <v>129</v>
      </c>
      <c r="B741" t="inlineStr">
        <is>
          <t>A-5052__207</t>
        </is>
      </c>
      <c r="C741" t="n">
        <v>37.2140094482</v>
      </c>
      <c r="D741" t="n">
        <v>-7.07440724843</v>
      </c>
      <c r="E741" t="n">
        <v>1</v>
      </c>
      <c r="F741" t="n">
        <v>1</v>
      </c>
      <c r="G741" t="n">
        <v>2</v>
      </c>
      <c r="J741" t="inlineStr">
        <is>
          <t>Moda</t>
        </is>
      </c>
      <c r="K741" t="n">
        <v>1</v>
      </c>
      <c r="L741" t="n">
        <v>1</v>
      </c>
      <c r="M741" t="n">
        <v>0</v>
      </c>
      <c r="N741" t="inlineStr">
        <is>
          <t>train</t>
        </is>
      </c>
      <c r="O741">
        <f>HYPERLINK("1\1\marker_473_959556.png", "Ver Imagen")</f>
        <v/>
      </c>
      <c r="P741">
        <f>HYPERLINK("SO\A-5052\A-5052__207.png", "Ver Imagen")</f>
        <v/>
      </c>
    </row>
    <row r="742">
      <c r="A742" t="n">
        <v>130</v>
      </c>
      <c r="B742" t="inlineStr">
        <is>
          <t>A-5052__220</t>
        </is>
      </c>
      <c r="C742" t="n">
        <v>37.2136128899</v>
      </c>
      <c r="D742" t="n">
        <v>-7.07111852193</v>
      </c>
      <c r="E742" t="n">
        <v>1</v>
      </c>
      <c r="F742" t="n">
        <v>1</v>
      </c>
      <c r="G742" t="n">
        <v>2</v>
      </c>
      <c r="J742" t="inlineStr">
        <is>
          <t>Moda</t>
        </is>
      </c>
      <c r="K742" t="n">
        <v>1</v>
      </c>
      <c r="L742" t="n">
        <v>1.084</v>
      </c>
      <c r="M742" t="n">
        <v>0</v>
      </c>
      <c r="N742" t="inlineStr">
        <is>
          <t>train</t>
        </is>
      </c>
      <c r="O742">
        <f>HYPERLINK("1\1\marker_920_959721.png", "Ver Imagen")</f>
        <v/>
      </c>
      <c r="P742">
        <f>HYPERLINK("SE\A-5052\A-5052__220.png", "Ver Imagen")</f>
        <v/>
      </c>
    </row>
    <row r="743">
      <c r="A743" t="n">
        <v>131</v>
      </c>
      <c r="B743" t="inlineStr">
        <is>
          <t>A-5052__222</t>
        </is>
      </c>
      <c r="C743" t="n">
        <v>37.213557827</v>
      </c>
      <c r="D743" t="n">
        <v>-7.07062412477</v>
      </c>
      <c r="E743" t="n">
        <v>1</v>
      </c>
      <c r="F743" t="n">
        <v>1</v>
      </c>
      <c r="G743" t="n">
        <v>2</v>
      </c>
      <c r="J743" t="inlineStr">
        <is>
          <t>Moda</t>
        </is>
      </c>
      <c r="K743" t="n">
        <v>1</v>
      </c>
      <c r="L743" t="n">
        <v>1.14</v>
      </c>
      <c r="M743" t="n">
        <v>0</v>
      </c>
      <c r="N743" t="inlineStr">
        <is>
          <t>train</t>
        </is>
      </c>
      <c r="O743">
        <f>HYPERLINK("1\1\marker_984_959739.png", "Ver Imagen")</f>
        <v/>
      </c>
      <c r="P743">
        <f>HYPERLINK("SE\A-5052\A-5052__222.png", "Ver Imagen")</f>
        <v/>
      </c>
    </row>
    <row r="744">
      <c r="A744" t="n">
        <v>133</v>
      </c>
      <c r="B744" t="inlineStr">
        <is>
          <t>A-5052__224</t>
        </is>
      </c>
      <c r="C744" t="n">
        <v>37.2135124763</v>
      </c>
      <c r="D744" t="n">
        <v>-7.07014968984</v>
      </c>
      <c r="E744" t="n">
        <v>1</v>
      </c>
      <c r="F744" t="n">
        <v>1</v>
      </c>
      <c r="G744" t="n">
        <v>2</v>
      </c>
      <c r="J744" t="inlineStr">
        <is>
          <t>Moda</t>
        </is>
      </c>
      <c r="K744" t="n">
        <v>1</v>
      </c>
      <c r="L744" t="n">
        <v>1.438</v>
      </c>
      <c r="M744" t="n">
        <v>0</v>
      </c>
      <c r="N744" t="inlineStr">
        <is>
          <t>train</t>
        </is>
      </c>
      <c r="O744">
        <f>HYPERLINK("1\1\marker_434_959757.png", "Ver Imagen")</f>
        <v/>
      </c>
      <c r="P744">
        <f>HYPERLINK("SE\A-5052\A-5052__224.png", "Ver Imagen")</f>
        <v/>
      </c>
    </row>
    <row r="745">
      <c r="A745" t="n">
        <v>134</v>
      </c>
      <c r="B745" t="inlineStr">
        <is>
          <t>A-5052__225</t>
        </is>
      </c>
      <c r="C745" t="n">
        <v>37.2134935182</v>
      </c>
      <c r="D745" t="n">
        <v>-7.0698987902</v>
      </c>
      <c r="E745" t="n">
        <v>1</v>
      </c>
      <c r="F745" t="n">
        <v>1</v>
      </c>
      <c r="G745" t="n">
        <v>2</v>
      </c>
      <c r="J745" t="inlineStr">
        <is>
          <t>Moda</t>
        </is>
      </c>
      <c r="K745" t="n">
        <v>1</v>
      </c>
      <c r="L745" t="n">
        <v>1.285</v>
      </c>
      <c r="M745" t="n">
        <v>0</v>
      </c>
      <c r="N745" t="inlineStr">
        <is>
          <t>train</t>
        </is>
      </c>
      <c r="O745">
        <f>HYPERLINK("1\1\marker_186_959770.png", "Ver Imagen")</f>
        <v/>
      </c>
      <c r="P745">
        <f>HYPERLINK("SE\A-5052\A-5052__225.png", "Ver Imagen")</f>
        <v/>
      </c>
    </row>
    <row r="746">
      <c r="A746" t="n">
        <v>136</v>
      </c>
      <c r="B746" t="inlineStr">
        <is>
          <t>A-5052__228</t>
        </is>
      </c>
      <c r="C746" t="n">
        <v>37.2134582702</v>
      </c>
      <c r="D746" t="n">
        <v>-7.0691522952</v>
      </c>
      <c r="E746" t="n">
        <v>1</v>
      </c>
      <c r="F746" t="n">
        <v>1</v>
      </c>
      <c r="G746" t="n">
        <v>2</v>
      </c>
      <c r="J746" t="inlineStr">
        <is>
          <t>Moda</t>
        </is>
      </c>
      <c r="K746" t="n">
        <v>1</v>
      </c>
      <c r="L746" t="n">
        <v>1</v>
      </c>
      <c r="M746" t="n">
        <v>0</v>
      </c>
      <c r="N746" t="inlineStr">
        <is>
          <t>train</t>
        </is>
      </c>
      <c r="O746">
        <f>HYPERLINK("1\1\marker_428_959800.png", "Ver Imagen")</f>
        <v/>
      </c>
      <c r="P746">
        <f>HYPERLINK("SE\A-5052\A-5052__228.png", "Ver Imagen")</f>
        <v/>
      </c>
    </row>
    <row r="747">
      <c r="A747" t="n">
        <v>138</v>
      </c>
      <c r="B747" t="inlineStr">
        <is>
          <t>A-5052__233</t>
        </is>
      </c>
      <c r="C747" t="n">
        <v>37.2134012635</v>
      </c>
      <c r="D747" t="n">
        <v>-7.06785302663</v>
      </c>
      <c r="E747" t="n">
        <v>1</v>
      </c>
      <c r="F747" t="n">
        <v>1</v>
      </c>
      <c r="G747" t="n">
        <v>2</v>
      </c>
      <c r="J747" t="inlineStr">
        <is>
          <t>Moda</t>
        </is>
      </c>
      <c r="K747" t="n">
        <v>1</v>
      </c>
      <c r="L747" t="n">
        <v>1.069</v>
      </c>
      <c r="M747" t="n">
        <v>0</v>
      </c>
      <c r="N747" t="inlineStr">
        <is>
          <t>train</t>
        </is>
      </c>
      <c r="O747">
        <f>HYPERLINK("1\1\marker_293_959863.png", "Ver Imagen")</f>
        <v/>
      </c>
      <c r="P747">
        <f>HYPERLINK("SE\A-5052\A-5052__233.png", "Ver Imagen")</f>
        <v/>
      </c>
    </row>
    <row r="748">
      <c r="A748" t="n">
        <v>140</v>
      </c>
      <c r="B748" t="inlineStr">
        <is>
          <t>A-5052__243</t>
        </is>
      </c>
      <c r="C748" t="n">
        <v>37.2133078096</v>
      </c>
      <c r="D748" t="n">
        <v>-7.06535420364</v>
      </c>
      <c r="E748" t="n">
        <v>1</v>
      </c>
      <c r="F748" t="n">
        <v>1</v>
      </c>
      <c r="G748" t="n">
        <v>2</v>
      </c>
      <c r="J748" t="inlineStr">
        <is>
          <t>Moda</t>
        </is>
      </c>
      <c r="K748" t="n">
        <v>1</v>
      </c>
      <c r="L748" t="n">
        <v>1.28</v>
      </c>
      <c r="M748" t="n">
        <v>0</v>
      </c>
      <c r="N748" t="inlineStr">
        <is>
          <t>train</t>
        </is>
      </c>
      <c r="O748">
        <f>HYPERLINK("1\1\marker_608_959988.png", "Ver Imagen")</f>
        <v/>
      </c>
      <c r="P748">
        <f>HYPERLINK("SE\A-5052\A-5052__243.png", "Ver Imagen")</f>
        <v/>
      </c>
    </row>
    <row r="749">
      <c r="A749" t="n">
        <v>141</v>
      </c>
      <c r="B749" t="inlineStr">
        <is>
          <t>A-5052__270</t>
        </is>
      </c>
      <c r="C749" t="n">
        <v>37.2119471503</v>
      </c>
      <c r="D749" t="n">
        <v>-7.05890510303</v>
      </c>
      <c r="E749" t="n">
        <v>2</v>
      </c>
      <c r="F749" t="n">
        <v>1</v>
      </c>
      <c r="G749" t="n">
        <v>1</v>
      </c>
      <c r="J749" t="inlineStr">
        <is>
          <t>Moda</t>
        </is>
      </c>
      <c r="K749" t="n">
        <v>1</v>
      </c>
      <c r="L749" t="n">
        <v>1.101</v>
      </c>
      <c r="M749" t="n">
        <v>0</v>
      </c>
      <c r="N749" t="inlineStr">
        <is>
          <t>train</t>
        </is>
      </c>
      <c r="O749">
        <f>HYPERLINK("1\1\marker_174_960318.png", "Ver Imagen")</f>
        <v/>
      </c>
      <c r="P749">
        <f>HYPERLINK("SE\A-5052\A-5052__270.png", "Ver Imagen")</f>
        <v/>
      </c>
    </row>
    <row r="750">
      <c r="A750" t="n">
        <v>143</v>
      </c>
      <c r="B750" t="inlineStr">
        <is>
          <t>A-5052__411</t>
        </is>
      </c>
      <c r="C750" t="n">
        <v>37.2039170019</v>
      </c>
      <c r="D750" t="n">
        <v>-7.02587933634</v>
      </c>
      <c r="E750" t="n">
        <v>1</v>
      </c>
      <c r="F750" t="n">
        <v>2</v>
      </c>
      <c r="G750" t="n">
        <v>1</v>
      </c>
      <c r="J750" t="inlineStr">
        <is>
          <t>Moda</t>
        </is>
      </c>
      <c r="K750" t="n">
        <v>1</v>
      </c>
      <c r="L750" t="n">
        <v>1.122</v>
      </c>
      <c r="M750" t="n">
        <v>0</v>
      </c>
      <c r="N750" t="inlineStr">
        <is>
          <t>train</t>
        </is>
      </c>
      <c r="O750">
        <f>HYPERLINK("1\1\marker_850_962784.png", "Ver Imagen")</f>
        <v/>
      </c>
      <c r="P750">
        <f>HYPERLINK("SE\A-5052\A-5052__411.png", "Ver Imagen")</f>
        <v/>
      </c>
    </row>
    <row r="751">
      <c r="A751" t="n">
        <v>144</v>
      </c>
      <c r="B751" t="inlineStr">
        <is>
          <t>A-5052__412</t>
        </is>
      </c>
      <c r="C751" t="n">
        <v>37.2038267807</v>
      </c>
      <c r="D751" t="n">
        <v>-7.02564514432</v>
      </c>
      <c r="E751" t="n">
        <v>1</v>
      </c>
      <c r="F751" t="n">
        <v>2</v>
      </c>
      <c r="G751" t="n">
        <v>1</v>
      </c>
      <c r="J751" t="inlineStr">
        <is>
          <t>Moda</t>
        </is>
      </c>
      <c r="K751" t="n">
        <v>1</v>
      </c>
      <c r="L751" t="n">
        <v>1.096</v>
      </c>
      <c r="M751" t="n">
        <v>0</v>
      </c>
      <c r="N751" t="inlineStr">
        <is>
          <t>train</t>
        </is>
      </c>
      <c r="O751">
        <f>HYPERLINK("1\1\marker_781_962793.png", "Ver Imagen")</f>
        <v/>
      </c>
      <c r="P751">
        <f>HYPERLINK("SE\A-5052\A-5052__412.png", "Ver Imagen")</f>
        <v/>
      </c>
    </row>
    <row r="752">
      <c r="A752" t="n">
        <v>146</v>
      </c>
      <c r="B752" t="inlineStr">
        <is>
          <t>A-5052__423</t>
        </is>
      </c>
      <c r="C752" t="n">
        <v>37.2028498619</v>
      </c>
      <c r="D752" t="n">
        <v>-7.02313032383</v>
      </c>
      <c r="E752" t="n">
        <v>1</v>
      </c>
      <c r="F752" t="n">
        <v>2</v>
      </c>
      <c r="G752" t="n">
        <v>1</v>
      </c>
      <c r="J752" t="inlineStr">
        <is>
          <t>Moda</t>
        </is>
      </c>
      <c r="K752" t="n">
        <v>1</v>
      </c>
      <c r="L752" t="n">
        <v>1.229</v>
      </c>
      <c r="M752" t="n">
        <v>0</v>
      </c>
      <c r="N752" t="inlineStr">
        <is>
          <t>train</t>
        </is>
      </c>
      <c r="O752">
        <f>HYPERLINK("1\1\marker_832_962905.png", "Ver Imagen")</f>
        <v/>
      </c>
      <c r="P752">
        <f>HYPERLINK("SE\A-5052\A-5052__423.png", "Ver Imagen")</f>
        <v/>
      </c>
    </row>
    <row r="753">
      <c r="A753" t="n">
        <v>147</v>
      </c>
      <c r="B753" t="inlineStr">
        <is>
          <t>A-5052__429</t>
        </is>
      </c>
      <c r="C753" t="n">
        <v>37.2023287627</v>
      </c>
      <c r="D753" t="n">
        <v>-7.021765552</v>
      </c>
      <c r="E753" t="n">
        <v>1</v>
      </c>
      <c r="F753" t="n">
        <v>1</v>
      </c>
      <c r="G753" t="n">
        <v>2</v>
      </c>
      <c r="J753" t="inlineStr">
        <is>
          <t>Moda</t>
        </is>
      </c>
      <c r="K753" t="n">
        <v>1</v>
      </c>
      <c r="L753" t="n">
        <v>1</v>
      </c>
      <c r="M753" t="n">
        <v>0</v>
      </c>
      <c r="N753" t="inlineStr">
        <is>
          <t>train</t>
        </is>
      </c>
      <c r="O753">
        <f>HYPERLINK("1\1\marker_645_962956.png", "Ver Imagen")</f>
        <v/>
      </c>
      <c r="P753">
        <f>HYPERLINK("SE\A-5052\A-5052__429.png", "Ver Imagen")</f>
        <v/>
      </c>
    </row>
    <row r="754">
      <c r="A754" t="n">
        <v>148</v>
      </c>
      <c r="B754" t="inlineStr">
        <is>
          <t>A-5052__430</t>
        </is>
      </c>
      <c r="C754" t="n">
        <v>37.2022320669</v>
      </c>
      <c r="D754" t="n">
        <v>-7.02151297718</v>
      </c>
      <c r="E754" t="n">
        <v>1</v>
      </c>
      <c r="F754" t="n">
        <v>2</v>
      </c>
      <c r="G754" t="n">
        <v>1</v>
      </c>
      <c r="J754" t="inlineStr">
        <is>
          <t>Moda</t>
        </is>
      </c>
      <c r="K754" t="n">
        <v>1</v>
      </c>
      <c r="L754" t="n">
        <v>1.034</v>
      </c>
      <c r="M754" t="n">
        <v>0</v>
      </c>
      <c r="N754" t="inlineStr">
        <is>
          <t>train</t>
        </is>
      </c>
      <c r="O754">
        <f>HYPERLINK("1\1\marker_683_962965.png", "Ver Imagen")</f>
        <v/>
      </c>
      <c r="P754">
        <f>HYPERLINK("SE\A-5052\A-5052__430.png", "Ver Imagen")</f>
        <v/>
      </c>
    </row>
    <row r="755">
      <c r="A755" t="n">
        <v>149</v>
      </c>
      <c r="B755" t="inlineStr">
        <is>
          <t>A-5052__435</t>
        </is>
      </c>
      <c r="C755" t="n">
        <v>37.2017954798</v>
      </c>
      <c r="D755" t="n">
        <v>-7.02037208515</v>
      </c>
      <c r="E755" t="n">
        <v>1</v>
      </c>
      <c r="F755" t="n">
        <v>1</v>
      </c>
      <c r="G755" t="n">
        <v>2</v>
      </c>
      <c r="J755" t="inlineStr">
        <is>
          <t>Moda</t>
        </is>
      </c>
      <c r="K755" t="n">
        <v>1</v>
      </c>
      <c r="L755" t="n">
        <v>1</v>
      </c>
      <c r="M755" t="n">
        <v>0</v>
      </c>
      <c r="N755" t="inlineStr">
        <is>
          <t>train</t>
        </is>
      </c>
      <c r="O755">
        <f>HYPERLINK("1\1\marker_313_963026.png", "Ver Imagen")</f>
        <v/>
      </c>
      <c r="P755">
        <f>HYPERLINK("SE\A-5052\A-5052__435.png", "Ver Imagen")</f>
        <v/>
      </c>
    </row>
    <row r="756">
      <c r="A756" t="n">
        <v>150</v>
      </c>
      <c r="B756" t="inlineStr">
        <is>
          <t>A-5052__450</t>
        </is>
      </c>
      <c r="C756" t="n">
        <v>37.2004889973</v>
      </c>
      <c r="D756" t="n">
        <v>-7.01697007404</v>
      </c>
      <c r="E756" t="n">
        <v>2</v>
      </c>
      <c r="F756" t="n">
        <v>1</v>
      </c>
      <c r="G756" t="n">
        <v>1</v>
      </c>
      <c r="J756" t="inlineStr">
        <is>
          <t>Moda</t>
        </is>
      </c>
      <c r="K756" t="n">
        <v>1</v>
      </c>
      <c r="L756" t="n">
        <v>1</v>
      </c>
      <c r="M756" t="n">
        <v>0</v>
      </c>
      <c r="N756" t="inlineStr">
        <is>
          <t>train</t>
        </is>
      </c>
      <c r="O756">
        <f>HYPERLINK("1\1\marker_226_963179.png", "Ver Imagen")</f>
        <v/>
      </c>
      <c r="P756">
        <f>HYPERLINK("SE\A-5052\A-5052__450.png", "Ver Imagen")</f>
        <v/>
      </c>
    </row>
    <row r="757">
      <c r="A757" t="n">
        <v>151</v>
      </c>
      <c r="B757" t="inlineStr">
        <is>
          <t>A-5052__454</t>
        </is>
      </c>
      <c r="C757" t="n">
        <v>37.2001369134</v>
      </c>
      <c r="D757" t="n">
        <v>-7.01605741469</v>
      </c>
      <c r="E757" t="n">
        <v>1</v>
      </c>
      <c r="F757" t="n">
        <v>1</v>
      </c>
      <c r="G757" t="n">
        <v>2</v>
      </c>
      <c r="J757" t="inlineStr">
        <is>
          <t>Moda</t>
        </is>
      </c>
      <c r="K757" t="n">
        <v>1</v>
      </c>
      <c r="L757" t="n">
        <v>1.118</v>
      </c>
      <c r="M757" t="n">
        <v>0</v>
      </c>
      <c r="N757" t="inlineStr">
        <is>
          <t>train</t>
        </is>
      </c>
      <c r="O757">
        <f>HYPERLINK("1\1\marker_347_963225.png", "Ver Imagen")</f>
        <v/>
      </c>
      <c r="P757">
        <f>HYPERLINK("SE\A-5052\A-5052__454.png", "Ver Imagen")</f>
        <v/>
      </c>
    </row>
    <row r="758">
      <c r="A758" t="n">
        <v>152</v>
      </c>
      <c r="B758" t="inlineStr">
        <is>
          <t>A-5052__459</t>
        </is>
      </c>
      <c r="C758" t="n">
        <v>37.1996929679</v>
      </c>
      <c r="D758" t="n">
        <v>-7.01488407037</v>
      </c>
      <c r="E758" t="n">
        <v>1</v>
      </c>
      <c r="F758" t="n">
        <v>1</v>
      </c>
      <c r="G758" t="n">
        <v>2</v>
      </c>
      <c r="J758" t="inlineStr">
        <is>
          <t>Moda</t>
        </is>
      </c>
      <c r="K758" t="n">
        <v>1</v>
      </c>
      <c r="L758" t="n">
        <v>1.033</v>
      </c>
      <c r="M758" t="n">
        <v>0</v>
      </c>
      <c r="N758" t="inlineStr">
        <is>
          <t>train</t>
        </is>
      </c>
      <c r="O758">
        <f>HYPERLINK("1\1\marker_803_963271.png", "Ver Imagen")</f>
        <v/>
      </c>
      <c r="P758">
        <f>HYPERLINK("SE\A-5052\A-5052__459.png", "Ver Imagen")</f>
        <v/>
      </c>
    </row>
    <row r="759">
      <c r="A759" t="n">
        <v>153</v>
      </c>
      <c r="B759" t="inlineStr">
        <is>
          <t>A-5052__460</t>
        </is>
      </c>
      <c r="C759" t="n">
        <v>37.1996009163</v>
      </c>
      <c r="D759" t="n">
        <v>-7.01464467076</v>
      </c>
      <c r="E759" t="n">
        <v>1</v>
      </c>
      <c r="F759" t="n">
        <v>1</v>
      </c>
      <c r="G759" t="n">
        <v>2</v>
      </c>
      <c r="J759" t="inlineStr">
        <is>
          <t>Moda</t>
        </is>
      </c>
      <c r="K759" t="n">
        <v>1</v>
      </c>
      <c r="L759" t="n">
        <v>1.217</v>
      </c>
      <c r="M759" t="n">
        <v>0</v>
      </c>
      <c r="N759" t="inlineStr">
        <is>
          <t>train</t>
        </is>
      </c>
      <c r="O759">
        <f>HYPERLINK("1\1\marker_507_963280.png", "Ver Imagen")</f>
        <v/>
      </c>
      <c r="P759">
        <f>HYPERLINK("SE\A-5052\A-5052__460.png", "Ver Imagen")</f>
        <v/>
      </c>
    </row>
    <row r="760">
      <c r="A760" t="n">
        <v>154</v>
      </c>
      <c r="B760" t="inlineStr">
        <is>
          <t>A-5052__461</t>
        </is>
      </c>
      <c r="C760" t="n">
        <v>37.1995242898</v>
      </c>
      <c r="D760" t="n">
        <v>-7.01444456313</v>
      </c>
      <c r="E760" t="n">
        <v>0</v>
      </c>
      <c r="F760" t="n">
        <v>1</v>
      </c>
      <c r="G760" t="n">
        <v>1</v>
      </c>
      <c r="J760" t="inlineStr">
        <is>
          <t>Moda</t>
        </is>
      </c>
      <c r="K760" t="n">
        <v>1</v>
      </c>
      <c r="L760" t="n">
        <v>1.091</v>
      </c>
      <c r="M760" t="n">
        <v>0</v>
      </c>
      <c r="N760" t="inlineStr">
        <is>
          <t>train</t>
        </is>
      </c>
      <c r="O760">
        <f>HYPERLINK("1\1\marker_832_963288.png", "Ver Imagen")</f>
        <v/>
      </c>
      <c r="P760">
        <f>HYPERLINK("SE\A-5052\A-5052__461.png", "Ver Imagen")</f>
        <v/>
      </c>
    </row>
    <row r="761">
      <c r="A761" t="n">
        <v>155</v>
      </c>
      <c r="B761" t="inlineStr">
        <is>
          <t>A-5052__462</t>
        </is>
      </c>
      <c r="C761" t="n">
        <v>37.1994402131</v>
      </c>
      <c r="D761" t="n">
        <v>-7.01422586899</v>
      </c>
      <c r="E761" t="n">
        <v>1</v>
      </c>
      <c r="F761" t="n">
        <v>1</v>
      </c>
      <c r="G761" t="n">
        <v>2</v>
      </c>
      <c r="J761" t="inlineStr">
        <is>
          <t>Moda</t>
        </is>
      </c>
      <c r="K761" t="n">
        <v>1</v>
      </c>
      <c r="L761" t="n">
        <v>1.021</v>
      </c>
      <c r="M761" t="n">
        <v>0</v>
      </c>
      <c r="N761" t="inlineStr">
        <is>
          <t>train</t>
        </is>
      </c>
      <c r="O761">
        <f>HYPERLINK("1\1\marker_921_963297.png", "Ver Imagen")</f>
        <v/>
      </c>
      <c r="P761">
        <f>HYPERLINK("SE\A-5052\A-5052__462.png", "Ver Imagen")</f>
        <v/>
      </c>
    </row>
    <row r="762">
      <c r="A762" t="n">
        <v>156</v>
      </c>
      <c r="B762" t="inlineStr">
        <is>
          <t>A-5052__489</t>
        </is>
      </c>
      <c r="C762" t="n">
        <v>37.1973005233</v>
      </c>
      <c r="D762" t="n">
        <v>-7.00797595758</v>
      </c>
      <c r="E762" t="n">
        <v>1</v>
      </c>
      <c r="F762" t="n">
        <v>1</v>
      </c>
      <c r="G762" t="n">
        <v>2</v>
      </c>
      <c r="J762" t="inlineStr">
        <is>
          <t>Moda</t>
        </is>
      </c>
      <c r="K762" t="n">
        <v>1</v>
      </c>
      <c r="L762" t="n">
        <v>1.289</v>
      </c>
      <c r="M762" t="n">
        <v>0</v>
      </c>
      <c r="N762" t="inlineStr">
        <is>
          <t>train</t>
        </is>
      </c>
      <c r="O762">
        <f>HYPERLINK("1\1\marker_879_963579.png", "Ver Imagen")</f>
        <v/>
      </c>
      <c r="P762">
        <f>HYPERLINK("SE\A-5052\A-5052__489.png", "Ver Imagen")</f>
        <v/>
      </c>
    </row>
    <row r="763">
      <c r="A763" t="n">
        <v>157</v>
      </c>
      <c r="B763" t="inlineStr">
        <is>
          <t>A-5052__495</t>
        </is>
      </c>
      <c r="C763" t="n">
        <v>37.1971435952</v>
      </c>
      <c r="D763" t="n">
        <v>-7.00646385057</v>
      </c>
      <c r="E763" t="n">
        <v>1</v>
      </c>
      <c r="F763" t="n">
        <v>2</v>
      </c>
      <c r="G763" t="n">
        <v>1</v>
      </c>
      <c r="J763" t="inlineStr">
        <is>
          <t>Moda</t>
        </is>
      </c>
      <c r="K763" t="n">
        <v>1</v>
      </c>
      <c r="L763" t="n">
        <v>1.257</v>
      </c>
      <c r="M763" t="n">
        <v>0</v>
      </c>
      <c r="N763" t="inlineStr">
        <is>
          <t>train</t>
        </is>
      </c>
      <c r="O763">
        <f>HYPERLINK("1\1\marker_100_963633.png", "Ver Imagen")</f>
        <v/>
      </c>
      <c r="P763">
        <f>HYPERLINK("SE\A-5052\A-5052__495.png", "Ver Imagen")</f>
        <v/>
      </c>
    </row>
    <row r="764">
      <c r="A764" t="n">
        <v>158</v>
      </c>
      <c r="B764" t="inlineStr">
        <is>
          <t>A-5053__368</t>
        </is>
      </c>
      <c r="C764" t="n">
        <v>37.2861301693</v>
      </c>
      <c r="D764" t="n">
        <v>-7.14176651622</v>
      </c>
      <c r="E764" t="n">
        <v>1</v>
      </c>
      <c r="F764" t="n">
        <v>1</v>
      </c>
      <c r="G764" t="n">
        <v>2</v>
      </c>
      <c r="J764" t="inlineStr">
        <is>
          <t>Moda</t>
        </is>
      </c>
      <c r="K764" t="n">
        <v>1</v>
      </c>
      <c r="L764" t="n">
        <v>1.141</v>
      </c>
      <c r="M764" t="n">
        <v>0</v>
      </c>
      <c r="N764" t="inlineStr">
        <is>
          <t>train</t>
        </is>
      </c>
      <c r="O764">
        <f>HYPERLINK("1\1\marker_847_963978.png", "Ver Imagen")</f>
        <v/>
      </c>
      <c r="P764">
        <f>HYPERLINK("SO\A-5053\A-5053__368.png", "Ver Imagen")</f>
        <v/>
      </c>
    </row>
    <row r="765">
      <c r="A765" t="n">
        <v>159</v>
      </c>
      <c r="B765" t="inlineStr">
        <is>
          <t>A-5053__345</t>
        </is>
      </c>
      <c r="C765" t="n">
        <v>37.2821186698</v>
      </c>
      <c r="D765" t="n">
        <v>-7.14428917118</v>
      </c>
      <c r="E765" t="n">
        <v>1</v>
      </c>
      <c r="F765" t="n">
        <v>1</v>
      </c>
      <c r="G765" t="n">
        <v>2</v>
      </c>
      <c r="J765" t="inlineStr">
        <is>
          <t>Moda</t>
        </is>
      </c>
      <c r="K765" t="n">
        <v>1</v>
      </c>
      <c r="L765" t="n">
        <v>1.137</v>
      </c>
      <c r="M765" t="n">
        <v>0</v>
      </c>
      <c r="N765" t="inlineStr">
        <is>
          <t>train</t>
        </is>
      </c>
      <c r="O765">
        <f>HYPERLINK("1\1\marker_854_964226.png", "Ver Imagen")</f>
        <v/>
      </c>
      <c r="P765">
        <f>HYPERLINK("SO\A-5053\A-5053__345.png", "Ver Imagen")</f>
        <v/>
      </c>
    </row>
    <row r="766">
      <c r="A766" t="n">
        <v>160</v>
      </c>
      <c r="B766" t="inlineStr">
        <is>
          <t>A-5053__113</t>
        </is>
      </c>
      <c r="C766" t="n">
        <v>37.2412319249</v>
      </c>
      <c r="D766" t="n">
        <v>-7.12857217257</v>
      </c>
      <c r="E766" t="n">
        <v>1</v>
      </c>
      <c r="F766" t="n">
        <v>1</v>
      </c>
      <c r="G766" t="n">
        <v>2</v>
      </c>
      <c r="J766" t="inlineStr">
        <is>
          <t>Moda</t>
        </is>
      </c>
      <c r="K766" t="n">
        <v>1</v>
      </c>
      <c r="L766" t="n">
        <v>1.16</v>
      </c>
      <c r="M766" t="n">
        <v>0</v>
      </c>
      <c r="N766" t="inlineStr">
        <is>
          <t>train</t>
        </is>
      </c>
      <c r="O766">
        <f>HYPERLINK("1\1\marker_648_019675.png", "Ver Imagen")</f>
        <v/>
      </c>
      <c r="P766">
        <f>HYPERLINK("SO\A-5053\A-5053__113.png", "Ver Imagen")</f>
        <v/>
      </c>
    </row>
    <row r="767">
      <c r="A767" t="n">
        <v>161</v>
      </c>
      <c r="B767" t="inlineStr">
        <is>
          <t>A-5053__15</t>
        </is>
      </c>
      <c r="C767" t="n">
        <v>37.2218070471</v>
      </c>
      <c r="D767" t="n">
        <v>-7.12521929342</v>
      </c>
      <c r="E767" t="n">
        <v>1</v>
      </c>
      <c r="F767" t="n">
        <v>1</v>
      </c>
      <c r="G767" t="n">
        <v>2</v>
      </c>
      <c r="J767" t="inlineStr">
        <is>
          <t>Moda</t>
        </is>
      </c>
      <c r="K767" t="n">
        <v>1</v>
      </c>
      <c r="L767" t="n">
        <v>1.117</v>
      </c>
      <c r="M767" t="n">
        <v>0</v>
      </c>
      <c r="N767" t="inlineStr">
        <is>
          <t>train</t>
        </is>
      </c>
      <c r="O767">
        <f>HYPERLINK("1\1\marker_544_025051.png", "Ver Imagen")</f>
        <v/>
      </c>
      <c r="P767">
        <f>HYPERLINK("SO\A-5053\A-5053__15.png", "Ver Imagen")</f>
        <v/>
      </c>
    </row>
    <row r="768">
      <c r="A768" t="n">
        <v>162</v>
      </c>
      <c r="B768" t="inlineStr">
        <is>
          <t>A-495__103</t>
        </is>
      </c>
      <c r="C768" t="n">
        <v>37.4358876838</v>
      </c>
      <c r="D768" t="n">
        <v>-7.07694562387</v>
      </c>
      <c r="E768" t="n">
        <v>2</v>
      </c>
      <c r="F768" t="n">
        <v>1</v>
      </c>
      <c r="G768" t="n">
        <v>1</v>
      </c>
      <c r="J768" t="inlineStr">
        <is>
          <t>Moda</t>
        </is>
      </c>
      <c r="K768" t="n">
        <v>1</v>
      </c>
      <c r="L768" t="n">
        <v>1</v>
      </c>
      <c r="M768" t="n">
        <v>0</v>
      </c>
      <c r="N768" t="inlineStr">
        <is>
          <t>train</t>
        </is>
      </c>
      <c r="O768">
        <f>HYPERLINK("1\1\marker_159_382185.png", "Ver Imagen")</f>
        <v/>
      </c>
      <c r="P768">
        <f>HYPERLINK("NE\A-495\A-495__103.png", "Ver Imagen")</f>
        <v/>
      </c>
    </row>
    <row r="769">
      <c r="A769" t="n">
        <v>163</v>
      </c>
      <c r="B769" t="inlineStr">
        <is>
          <t>A-495__105</t>
        </is>
      </c>
      <c r="C769" t="n">
        <v>37.4354684087</v>
      </c>
      <c r="D769" t="n">
        <v>-7.07668533225</v>
      </c>
      <c r="E769" t="n">
        <v>1</v>
      </c>
      <c r="F769" t="n">
        <v>2</v>
      </c>
      <c r="G769" t="n">
        <v>1</v>
      </c>
      <c r="J769" t="inlineStr">
        <is>
          <t>Moda</t>
        </is>
      </c>
      <c r="K769" t="n">
        <v>1</v>
      </c>
      <c r="L769" t="n">
        <v>1.052</v>
      </c>
      <c r="M769" t="n">
        <v>0</v>
      </c>
      <c r="N769" t="inlineStr">
        <is>
          <t>train</t>
        </is>
      </c>
      <c r="O769">
        <f>HYPERLINK("1\1\marker_995_382211.png", "Ver Imagen")</f>
        <v/>
      </c>
      <c r="P769">
        <f>HYPERLINK("NE\A-495\A-495__105.png", "Ver Imagen")</f>
        <v/>
      </c>
    </row>
    <row r="770">
      <c r="A770" t="n">
        <v>165</v>
      </c>
      <c r="B770" t="inlineStr">
        <is>
          <t>A-495_1__91</t>
        </is>
      </c>
      <c r="C770" t="n">
        <v>37.4658182909</v>
      </c>
      <c r="D770" t="n">
        <v>-7.12280292175</v>
      </c>
      <c r="E770" t="n">
        <v>1</v>
      </c>
      <c r="F770" t="n">
        <v>2</v>
      </c>
      <c r="G770" t="n">
        <v>1</v>
      </c>
      <c r="J770" t="inlineStr">
        <is>
          <t>Moda</t>
        </is>
      </c>
      <c r="K770" t="n">
        <v>1</v>
      </c>
      <c r="L770" t="n">
        <v>1</v>
      </c>
      <c r="M770" t="n">
        <v>0</v>
      </c>
      <c r="N770" t="inlineStr">
        <is>
          <t>train</t>
        </is>
      </c>
      <c r="O770">
        <f>HYPERLINK("1\1\marker_293_385127.png", "Ver Imagen")</f>
        <v/>
      </c>
      <c r="P770">
        <f>HYPERLINK("NE\A-495_1\A-495_1__91.png", "Ver Imagen")</f>
        <v/>
      </c>
    </row>
    <row r="771">
      <c r="A771" t="n">
        <v>168</v>
      </c>
      <c r="B771" t="inlineStr">
        <is>
          <t>A-495_1__77</t>
        </is>
      </c>
      <c r="C771" t="n">
        <v>37.4631909842</v>
      </c>
      <c r="D771" t="n">
        <v>-7.12413013755</v>
      </c>
      <c r="E771" t="n">
        <v>1</v>
      </c>
      <c r="F771" t="n">
        <v>1</v>
      </c>
      <c r="G771" t="n">
        <v>2</v>
      </c>
      <c r="J771" t="inlineStr">
        <is>
          <t>Moda</t>
        </is>
      </c>
      <c r="K771" t="n">
        <v>1</v>
      </c>
      <c r="L771" t="n">
        <v>1</v>
      </c>
      <c r="M771" t="n">
        <v>0</v>
      </c>
      <c r="N771" t="inlineStr">
        <is>
          <t>train</t>
        </is>
      </c>
      <c r="O771">
        <f>HYPERLINK("1\1\marker_316_385260.png", "Ver Imagen")</f>
        <v/>
      </c>
      <c r="P771">
        <f>HYPERLINK("NE\A-495_1\A-495_1__77.png", "Ver Imagen")</f>
        <v/>
      </c>
    </row>
    <row r="772">
      <c r="A772" t="n">
        <v>170</v>
      </c>
      <c r="B772" t="inlineStr">
        <is>
          <t>A-495_1__59</t>
        </is>
      </c>
      <c r="C772" t="n">
        <v>37.4596211405</v>
      </c>
      <c r="D772" t="n">
        <v>-7.12503114057</v>
      </c>
      <c r="E772" t="n">
        <v>1</v>
      </c>
      <c r="F772" t="n">
        <v>1</v>
      </c>
      <c r="G772" t="n">
        <v>2</v>
      </c>
      <c r="J772" t="inlineStr">
        <is>
          <t>Moda</t>
        </is>
      </c>
      <c r="K772" t="n">
        <v>1</v>
      </c>
      <c r="L772" t="n">
        <v>1.215</v>
      </c>
      <c r="M772" t="n">
        <v>0</v>
      </c>
      <c r="N772" t="inlineStr">
        <is>
          <t>train</t>
        </is>
      </c>
      <c r="O772">
        <f>HYPERLINK("1\1\marker_996_385479.png", "Ver Imagen")</f>
        <v/>
      </c>
      <c r="P772">
        <f>HYPERLINK("NE\A-495_1\A-495_1__59.png", "Ver Imagen")</f>
        <v/>
      </c>
    </row>
    <row r="773">
      <c r="A773" t="n">
        <v>172</v>
      </c>
      <c r="B773" t="inlineStr">
        <is>
          <t>A-495_1__53</t>
        </is>
      </c>
      <c r="C773" t="n">
        <v>37.4584425802</v>
      </c>
      <c r="D773" t="n">
        <v>-7.1254625141</v>
      </c>
      <c r="E773" t="n">
        <v>1</v>
      </c>
      <c r="F773" t="n">
        <v>1</v>
      </c>
      <c r="G773" t="n">
        <v>2</v>
      </c>
      <c r="J773" t="inlineStr">
        <is>
          <t>Moda</t>
        </is>
      </c>
      <c r="K773" t="n">
        <v>1</v>
      </c>
      <c r="L773" t="n">
        <v>1.366</v>
      </c>
      <c r="M773" t="n">
        <v>0</v>
      </c>
      <c r="N773" t="inlineStr">
        <is>
          <t>train</t>
        </is>
      </c>
      <c r="O773">
        <f>HYPERLINK("1\1\marker_591_385536.png", "Ver Imagen")</f>
        <v/>
      </c>
      <c r="P773">
        <f>HYPERLINK("NE\A-495_1\A-495_1__53.png", "Ver Imagen")</f>
        <v/>
      </c>
    </row>
    <row r="774">
      <c r="A774" t="n">
        <v>173</v>
      </c>
      <c r="B774" t="inlineStr">
        <is>
          <t>A-495_1__52</t>
        </is>
      </c>
      <c r="C774" t="n">
        <v>37.4582651323</v>
      </c>
      <c r="D774" t="n">
        <v>-7.12552821004</v>
      </c>
      <c r="E774" t="n">
        <v>1</v>
      </c>
      <c r="F774" t="n">
        <v>1</v>
      </c>
      <c r="G774" t="n">
        <v>2</v>
      </c>
      <c r="J774" t="inlineStr">
        <is>
          <t>Moda</t>
        </is>
      </c>
      <c r="K774" t="n">
        <v>1</v>
      </c>
      <c r="L774" t="n">
        <v>1.139</v>
      </c>
      <c r="M774" t="n">
        <v>0</v>
      </c>
      <c r="N774" t="inlineStr">
        <is>
          <t>train</t>
        </is>
      </c>
      <c r="O774">
        <f>HYPERLINK("1\1\marker_881_385544.png", "Ver Imagen")</f>
        <v/>
      </c>
      <c r="P774">
        <f>HYPERLINK("NE\A-495_1\A-495_1__52.png", "Ver Imagen")</f>
        <v/>
      </c>
    </row>
    <row r="775">
      <c r="A775" t="n">
        <v>174</v>
      </c>
      <c r="B775" t="inlineStr">
        <is>
          <t>A-495_1__43</t>
        </is>
      </c>
      <c r="C775" t="n">
        <v>37.4564930695</v>
      </c>
      <c r="D775" t="n">
        <v>-7.12617656979</v>
      </c>
      <c r="E775" t="n">
        <v>1</v>
      </c>
      <c r="F775" t="n">
        <v>1</v>
      </c>
      <c r="G775" t="n">
        <v>2</v>
      </c>
      <c r="J775" t="inlineStr">
        <is>
          <t>Moda</t>
        </is>
      </c>
      <c r="K775" t="n">
        <v>1</v>
      </c>
      <c r="L775" t="n">
        <v>1.236</v>
      </c>
      <c r="M775" t="n">
        <v>0</v>
      </c>
      <c r="N775" t="inlineStr">
        <is>
          <t>train</t>
        </is>
      </c>
      <c r="O775">
        <f>HYPERLINK("1\1\marker_776_385627.png", "Ver Imagen")</f>
        <v/>
      </c>
      <c r="P775">
        <f>HYPERLINK("NE\A-495_1\A-495_1__43.png", "Ver Imagen")</f>
        <v/>
      </c>
    </row>
    <row r="776">
      <c r="A776" t="n">
        <v>175</v>
      </c>
      <c r="B776" t="inlineStr">
        <is>
          <t>A-495_1__37</t>
        </is>
      </c>
      <c r="C776" t="n">
        <v>37.4553349116</v>
      </c>
      <c r="D776" t="n">
        <v>-7.12660319893</v>
      </c>
      <c r="E776" t="n">
        <v>2</v>
      </c>
      <c r="F776" t="n">
        <v>1</v>
      </c>
      <c r="G776" t="n">
        <v>1</v>
      </c>
      <c r="J776" t="inlineStr">
        <is>
          <t>Moda</t>
        </is>
      </c>
      <c r="K776" t="n">
        <v>1</v>
      </c>
      <c r="L776" t="n">
        <v>1.163</v>
      </c>
      <c r="M776" t="n">
        <v>0</v>
      </c>
      <c r="N776" t="inlineStr">
        <is>
          <t>train</t>
        </is>
      </c>
      <c r="O776">
        <f>HYPERLINK("1\1\marker_890_385681.png", "Ver Imagen")</f>
        <v/>
      </c>
      <c r="P776">
        <f>HYPERLINK("NE\A-495_1\A-495_1__37.png", "Ver Imagen")</f>
        <v/>
      </c>
    </row>
    <row r="777">
      <c r="A777" t="n">
        <v>176</v>
      </c>
      <c r="B777" t="inlineStr">
        <is>
          <t>A-495_1__35</t>
        </is>
      </c>
      <c r="C777" t="n">
        <v>37.4549596897</v>
      </c>
      <c r="D777" t="n">
        <v>-7.12674188543</v>
      </c>
      <c r="E777" t="n">
        <v>1</v>
      </c>
      <c r="F777" t="n">
        <v>1</v>
      </c>
      <c r="G777" t="n">
        <v>2</v>
      </c>
      <c r="J777" t="inlineStr">
        <is>
          <t>Moda</t>
        </is>
      </c>
      <c r="K777" t="n">
        <v>1</v>
      </c>
      <c r="L777" t="n">
        <v>1.284</v>
      </c>
      <c r="M777" t="n">
        <v>0</v>
      </c>
      <c r="N777" t="inlineStr">
        <is>
          <t>train</t>
        </is>
      </c>
      <c r="O777">
        <f>HYPERLINK("1\1\marker_845_385732.png", "Ver Imagen")</f>
        <v/>
      </c>
      <c r="P777">
        <f>HYPERLINK("NE\A-495_1\A-495_1__35.png", "Ver Imagen")</f>
        <v/>
      </c>
    </row>
    <row r="778">
      <c r="A778" t="n">
        <v>177</v>
      </c>
      <c r="B778" t="inlineStr">
        <is>
          <t>A-495_1__33</t>
        </is>
      </c>
      <c r="C778" t="n">
        <v>37.4545779421</v>
      </c>
      <c r="D778" t="n">
        <v>-7.12688194653</v>
      </c>
      <c r="E778" t="n">
        <v>1</v>
      </c>
      <c r="F778" t="n">
        <v>1</v>
      </c>
      <c r="G778" t="n">
        <v>2</v>
      </c>
      <c r="J778" t="inlineStr">
        <is>
          <t>Moda</t>
        </is>
      </c>
      <c r="K778" t="n">
        <v>1</v>
      </c>
      <c r="L778" t="n">
        <v>1</v>
      </c>
      <c r="M778" t="n">
        <v>0</v>
      </c>
      <c r="N778" t="inlineStr">
        <is>
          <t>train</t>
        </is>
      </c>
      <c r="O778">
        <f>HYPERLINK("1\1\marker_372_385845.png", "Ver Imagen")</f>
        <v/>
      </c>
      <c r="P778">
        <f>HYPERLINK("NE\A-495_1\A-495_1__33.png", "Ver Imagen")</f>
        <v/>
      </c>
    </row>
    <row r="779">
      <c r="A779" t="n">
        <v>178</v>
      </c>
      <c r="B779" t="inlineStr">
        <is>
          <t>A-495_1__32</t>
        </is>
      </c>
      <c r="C779" t="n">
        <v>37.4543721689</v>
      </c>
      <c r="D779" t="n">
        <v>-7.12695617175</v>
      </c>
      <c r="E779" t="n">
        <v>2</v>
      </c>
      <c r="F779" t="n">
        <v>1</v>
      </c>
      <c r="G779" t="n">
        <v>1</v>
      </c>
      <c r="J779" t="inlineStr">
        <is>
          <t>Moda</t>
        </is>
      </c>
      <c r="K779" t="n">
        <v>1</v>
      </c>
      <c r="L779" t="n">
        <v>1.04</v>
      </c>
      <c r="M779" t="n">
        <v>0</v>
      </c>
      <c r="N779" t="inlineStr">
        <is>
          <t>train</t>
        </is>
      </c>
      <c r="O779">
        <f>HYPERLINK("1\1\marker_356_385854.png", "Ver Imagen")</f>
        <v/>
      </c>
      <c r="P779">
        <f>HYPERLINK("NE\A-495_1\A-495_1__32.png", "Ver Imagen")</f>
        <v/>
      </c>
    </row>
    <row r="780">
      <c r="A780" t="n">
        <v>179</v>
      </c>
      <c r="B780" t="inlineStr">
        <is>
          <t>A-495_1__26</t>
        </is>
      </c>
      <c r="C780" t="n">
        <v>37.4532205634</v>
      </c>
      <c r="D780" t="n">
        <v>-7.12730763019</v>
      </c>
      <c r="E780" t="n">
        <v>1</v>
      </c>
      <c r="F780" t="n">
        <v>1</v>
      </c>
      <c r="G780" t="n">
        <v>2</v>
      </c>
      <c r="J780" t="inlineStr">
        <is>
          <t>Moda</t>
        </is>
      </c>
      <c r="K780" t="n">
        <v>1</v>
      </c>
      <c r="L780" t="n">
        <v>1.204</v>
      </c>
      <c r="M780" t="n">
        <v>0</v>
      </c>
      <c r="N780" t="inlineStr">
        <is>
          <t>train</t>
        </is>
      </c>
      <c r="O780">
        <f>HYPERLINK("1\1\marker_788_385916.png", "Ver Imagen")</f>
        <v/>
      </c>
      <c r="P780">
        <f>HYPERLINK("NE\A-495_1\A-495_1__26.png", "Ver Imagen")</f>
        <v/>
      </c>
    </row>
    <row r="781">
      <c r="A781" t="n">
        <v>181</v>
      </c>
      <c r="B781" t="inlineStr">
        <is>
          <t>A-495_1__22</t>
        </is>
      </c>
      <c r="C781" t="n">
        <v>37.4523866515</v>
      </c>
      <c r="D781" t="n">
        <v>-7.12744031712</v>
      </c>
      <c r="E781" t="n">
        <v>1</v>
      </c>
      <c r="F781" t="n">
        <v>1</v>
      </c>
      <c r="G781" t="n">
        <v>2</v>
      </c>
      <c r="J781" t="inlineStr">
        <is>
          <t>Moda</t>
        </is>
      </c>
      <c r="K781" t="n">
        <v>1</v>
      </c>
      <c r="L781" t="n">
        <v>1.157</v>
      </c>
      <c r="M781" t="n">
        <v>0</v>
      </c>
      <c r="N781" t="inlineStr">
        <is>
          <t>train</t>
        </is>
      </c>
      <c r="O781">
        <f>HYPERLINK("1\1\marker_452_385952.png", "Ver Imagen")</f>
        <v/>
      </c>
      <c r="P781">
        <f>HYPERLINK("NE\A-495_1\A-495_1__22.png", "Ver Imagen")</f>
        <v/>
      </c>
    </row>
    <row r="782">
      <c r="A782" t="n">
        <v>182</v>
      </c>
      <c r="B782" t="inlineStr">
        <is>
          <t>A-495_1__21</t>
        </is>
      </c>
      <c r="C782" t="n">
        <v>37.4522110202</v>
      </c>
      <c r="D782" t="n">
        <v>-7.12745433268</v>
      </c>
      <c r="E782" t="n">
        <v>1</v>
      </c>
      <c r="F782" t="n">
        <v>1</v>
      </c>
      <c r="G782" t="n">
        <v>2</v>
      </c>
      <c r="J782" t="inlineStr">
        <is>
          <t>Moda</t>
        </is>
      </c>
      <c r="K782" t="n">
        <v>1</v>
      </c>
      <c r="L782" t="n">
        <v>1.236</v>
      </c>
      <c r="M782" t="n">
        <v>0</v>
      </c>
      <c r="N782" t="inlineStr">
        <is>
          <t>train</t>
        </is>
      </c>
      <c r="O782">
        <f>HYPERLINK("1\1\marker_893_385971.png", "Ver Imagen")</f>
        <v/>
      </c>
      <c r="P782">
        <f>HYPERLINK("NE\A-495_1\A-495_1__21.png", "Ver Imagen")</f>
        <v/>
      </c>
    </row>
    <row r="783">
      <c r="A783" t="n">
        <v>185</v>
      </c>
      <c r="B783" t="inlineStr">
        <is>
          <t>A-499__36</t>
        </is>
      </c>
      <c r="C783" t="n">
        <v>37.4936086801</v>
      </c>
      <c r="D783" t="n">
        <v>-7.27710620381</v>
      </c>
      <c r="E783" t="n">
        <v>1</v>
      </c>
      <c r="F783" t="n">
        <v>1</v>
      </c>
      <c r="G783" t="n">
        <v>2</v>
      </c>
      <c r="J783" t="inlineStr">
        <is>
          <t>Moda</t>
        </is>
      </c>
      <c r="K783" t="n">
        <v>1</v>
      </c>
      <c r="L783" t="n">
        <v>1.357</v>
      </c>
      <c r="M783" t="n">
        <v>0</v>
      </c>
      <c r="N783" t="inlineStr">
        <is>
          <t>train</t>
        </is>
      </c>
      <c r="O783">
        <f>HYPERLINK("1\1\marker_385_529986.png", "Ver Imagen")</f>
        <v/>
      </c>
      <c r="P783">
        <f>HYPERLINK("NO\A-499\A-499__36.png", "Ver Imagen")</f>
        <v/>
      </c>
    </row>
    <row r="784">
      <c r="A784" t="n">
        <v>186</v>
      </c>
      <c r="B784" t="inlineStr">
        <is>
          <t>A-499__107</t>
        </is>
      </c>
      <c r="C784" t="n">
        <v>37.5001695807</v>
      </c>
      <c r="D784" t="n">
        <v>-7.26704140248</v>
      </c>
      <c r="E784" t="n">
        <v>1</v>
      </c>
      <c r="F784" t="n">
        <v>1</v>
      </c>
      <c r="G784" t="n">
        <v>2</v>
      </c>
      <c r="J784" t="inlineStr">
        <is>
          <t>Moda</t>
        </is>
      </c>
      <c r="K784" t="n">
        <v>1</v>
      </c>
      <c r="L784" t="n">
        <v>1.267</v>
      </c>
      <c r="M784" t="n">
        <v>0</v>
      </c>
      <c r="N784" t="inlineStr">
        <is>
          <t>train</t>
        </is>
      </c>
      <c r="O784">
        <f>HYPERLINK("1\1\marker_598_793336.png", "Ver Imagen")</f>
        <v/>
      </c>
      <c r="P784">
        <f>HYPERLINK("NO\A-499\A-499__107.png", "Ver Imagen")</f>
        <v/>
      </c>
    </row>
    <row r="785">
      <c r="A785" t="n">
        <v>187</v>
      </c>
      <c r="B785" t="inlineStr">
        <is>
          <t>A-499__206</t>
        </is>
      </c>
      <c r="C785" t="n">
        <v>37.5176889125</v>
      </c>
      <c r="D785" t="n">
        <v>-7.26451197025</v>
      </c>
      <c r="E785" t="n">
        <v>1</v>
      </c>
      <c r="F785" t="n">
        <v>1</v>
      </c>
      <c r="G785" t="n">
        <v>2</v>
      </c>
      <c r="J785" t="inlineStr">
        <is>
          <t>Moda</t>
        </is>
      </c>
      <c r="K785" t="n">
        <v>1</v>
      </c>
      <c r="L785" t="n">
        <v>1</v>
      </c>
      <c r="M785" t="n">
        <v>0</v>
      </c>
      <c r="N785" t="inlineStr">
        <is>
          <t>train</t>
        </is>
      </c>
      <c r="O785">
        <f>HYPERLINK("1\1\marker_164_796224.png", "Ver Imagen")</f>
        <v/>
      </c>
      <c r="P785">
        <f>HYPERLINK("NO\A-499\A-499__206.png", "Ver Imagen")</f>
        <v/>
      </c>
    </row>
    <row r="786">
      <c r="A786" t="n">
        <v>188</v>
      </c>
      <c r="B786" t="inlineStr">
        <is>
          <t>A-499__209</t>
        </is>
      </c>
      <c r="C786" t="n">
        <v>37.5180136544</v>
      </c>
      <c r="D786" t="n">
        <v>-7.26387536173</v>
      </c>
      <c r="E786" t="n">
        <v>1</v>
      </c>
      <c r="F786" t="n">
        <v>1</v>
      </c>
      <c r="G786" t="n">
        <v>2</v>
      </c>
      <c r="J786" t="inlineStr">
        <is>
          <t>Moda</t>
        </is>
      </c>
      <c r="K786" t="n">
        <v>1</v>
      </c>
      <c r="L786" t="n">
        <v>1.371</v>
      </c>
      <c r="M786" t="n">
        <v>0</v>
      </c>
      <c r="N786" t="inlineStr">
        <is>
          <t>train</t>
        </is>
      </c>
      <c r="O786">
        <f>HYPERLINK("1\1\marker_331_796299.png", "Ver Imagen")</f>
        <v/>
      </c>
      <c r="P786">
        <f>HYPERLINK("NO\A-499\A-499__209.png", "Ver Imagen")</f>
        <v/>
      </c>
    </row>
    <row r="787">
      <c r="A787" t="n">
        <v>189</v>
      </c>
      <c r="B787" t="inlineStr">
        <is>
          <t>A-497_2C__130</t>
        </is>
      </c>
      <c r="C787" t="n">
        <v>37.2710080467</v>
      </c>
      <c r="D787" t="n">
        <v>-6.98886267542</v>
      </c>
      <c r="E787" t="n">
        <v>2</v>
      </c>
      <c r="F787" t="n">
        <v>1</v>
      </c>
      <c r="G787" t="n">
        <v>1</v>
      </c>
      <c r="J787" t="inlineStr">
        <is>
          <t>Moda</t>
        </is>
      </c>
      <c r="K787" t="n">
        <v>1</v>
      </c>
      <c r="L787" t="n">
        <v>1.336</v>
      </c>
      <c r="M787" t="n">
        <v>0</v>
      </c>
      <c r="N787" t="inlineStr">
        <is>
          <t>train</t>
        </is>
      </c>
      <c r="O787">
        <f>HYPERLINK("1\1\marker_697_655773.png", "Ver Imagen")</f>
        <v/>
      </c>
      <c r="P787">
        <f>HYPERLINK("SE\A-497_2C\A-497_2C__130.png", "Ver Imagen")</f>
        <v/>
      </c>
    </row>
    <row r="788">
      <c r="A788" t="n">
        <v>190</v>
      </c>
      <c r="B788" t="inlineStr">
        <is>
          <t>A-497_2C__133</t>
        </is>
      </c>
      <c r="C788" t="n">
        <v>37.2704768646</v>
      </c>
      <c r="D788" t="n">
        <v>-6.989315984</v>
      </c>
      <c r="E788" t="n">
        <v>1</v>
      </c>
      <c r="F788" t="n">
        <v>1</v>
      </c>
      <c r="G788" t="n">
        <v>2</v>
      </c>
      <c r="J788" t="inlineStr">
        <is>
          <t>Moda</t>
        </is>
      </c>
      <c r="K788" t="n">
        <v>1</v>
      </c>
      <c r="L788" t="n">
        <v>1</v>
      </c>
      <c r="M788" t="n">
        <v>0</v>
      </c>
      <c r="N788" t="inlineStr">
        <is>
          <t>train</t>
        </is>
      </c>
      <c r="O788">
        <f>HYPERLINK("1\1\marker_646_655800.png", "Ver Imagen")</f>
        <v/>
      </c>
      <c r="P788">
        <f>HYPERLINK("SE\A-497_2C\A-497_2C__133.png", "Ver Imagen")</f>
        <v/>
      </c>
    </row>
    <row r="789">
      <c r="A789" t="n">
        <v>191</v>
      </c>
      <c r="B789" t="inlineStr">
        <is>
          <t>A-497_2C__134</t>
        </is>
      </c>
      <c r="C789" t="n">
        <v>37.2703098992</v>
      </c>
      <c r="D789" t="n">
        <v>-6.98943285758</v>
      </c>
      <c r="E789" t="n">
        <v>1</v>
      </c>
      <c r="F789" t="n">
        <v>1</v>
      </c>
      <c r="G789" t="n">
        <v>2</v>
      </c>
      <c r="J789" t="inlineStr">
        <is>
          <t>Moda</t>
        </is>
      </c>
      <c r="K789" t="n">
        <v>1</v>
      </c>
      <c r="L789" t="n">
        <v>1.397</v>
      </c>
      <c r="M789" t="n">
        <v>0</v>
      </c>
      <c r="N789" t="inlineStr">
        <is>
          <t>train</t>
        </is>
      </c>
      <c r="O789">
        <f>HYPERLINK("1\1\marker_638_655808.png", "Ver Imagen")</f>
        <v/>
      </c>
      <c r="P789">
        <f>HYPERLINK("SE\A-497_2C\A-497_2C__134.png", "Ver Imagen")</f>
        <v/>
      </c>
    </row>
    <row r="790">
      <c r="A790" t="n">
        <v>192</v>
      </c>
      <c r="B790" t="inlineStr">
        <is>
          <t>A-497_2C__171</t>
        </is>
      </c>
      <c r="C790" t="n">
        <v>37.2655222438</v>
      </c>
      <c r="D790" t="n">
        <v>-6.99595348882</v>
      </c>
      <c r="E790" t="n">
        <v>2</v>
      </c>
      <c r="F790" t="n">
        <v>1</v>
      </c>
      <c r="G790" t="n">
        <v>1</v>
      </c>
      <c r="J790" t="inlineStr">
        <is>
          <t>Moda</t>
        </is>
      </c>
      <c r="K790" t="n">
        <v>1</v>
      </c>
      <c r="L790" t="n">
        <v>1.107</v>
      </c>
      <c r="M790" t="n">
        <v>0</v>
      </c>
      <c r="N790" t="inlineStr">
        <is>
          <t>train</t>
        </is>
      </c>
      <c r="O790">
        <f>HYPERLINK("1\1\marker_491_656209.png", "Ver Imagen")</f>
        <v/>
      </c>
      <c r="P790">
        <f>HYPERLINK("SE\A-497_2C\A-497_2C__171.png", "Ver Imagen")</f>
        <v/>
      </c>
    </row>
    <row r="791">
      <c r="A791" t="n">
        <v>193</v>
      </c>
      <c r="B791" t="inlineStr">
        <is>
          <t>A-497_2C__172</t>
        </is>
      </c>
      <c r="C791" t="n">
        <v>37.265479635</v>
      </c>
      <c r="D791" t="n">
        <v>-6.99618049027</v>
      </c>
      <c r="E791" t="n">
        <v>1</v>
      </c>
      <c r="F791" t="n">
        <v>2</v>
      </c>
      <c r="G791" t="n">
        <v>1</v>
      </c>
      <c r="J791" t="inlineStr">
        <is>
          <t>Moda</t>
        </is>
      </c>
      <c r="K791" t="n">
        <v>1</v>
      </c>
      <c r="L791" t="n">
        <v>1.211</v>
      </c>
      <c r="M791" t="n">
        <v>0</v>
      </c>
      <c r="N791" t="inlineStr">
        <is>
          <t>train</t>
        </is>
      </c>
      <c r="O791">
        <f>HYPERLINK("1\1\marker_532_656217.png", "Ver Imagen")</f>
        <v/>
      </c>
      <c r="P791">
        <f>HYPERLINK("SE\A-497_2C\A-497_2C__172.png", "Ver Imagen")</f>
        <v/>
      </c>
    </row>
    <row r="792">
      <c r="A792" t="n">
        <v>194</v>
      </c>
      <c r="B792" t="inlineStr">
        <is>
          <t>A-497__488</t>
        </is>
      </c>
      <c r="C792" t="n">
        <v>37.213597397</v>
      </c>
      <c r="D792" t="n">
        <v>-7.02365960931</v>
      </c>
      <c r="E792" t="n">
        <v>1</v>
      </c>
      <c r="F792" t="n">
        <v>1</v>
      </c>
      <c r="G792" t="n">
        <v>2</v>
      </c>
      <c r="J792" t="inlineStr">
        <is>
          <t>Moda</t>
        </is>
      </c>
      <c r="K792" t="n">
        <v>1</v>
      </c>
      <c r="L792" t="n">
        <v>1.22</v>
      </c>
      <c r="M792" t="n">
        <v>0</v>
      </c>
      <c r="N792" t="inlineStr">
        <is>
          <t>train</t>
        </is>
      </c>
      <c r="O792">
        <f>HYPERLINK("1\1\marker_654_376217.png", "Ver Imagen")</f>
        <v/>
      </c>
      <c r="P792">
        <f>HYPERLINK("SE\A-497\A-497__488.png", "Ver Imagen")</f>
        <v/>
      </c>
    </row>
    <row r="793">
      <c r="A793" t="n">
        <v>195</v>
      </c>
      <c r="B793" t="inlineStr">
        <is>
          <t>A-497__486</t>
        </is>
      </c>
      <c r="C793" t="n">
        <v>37.2139729568</v>
      </c>
      <c r="D793" t="n">
        <v>-7.02359477662</v>
      </c>
      <c r="E793" t="n">
        <v>1</v>
      </c>
      <c r="F793" t="n">
        <v>1</v>
      </c>
      <c r="G793" t="n">
        <v>2</v>
      </c>
      <c r="J793" t="inlineStr">
        <is>
          <t>Moda</t>
        </is>
      </c>
      <c r="K793" t="n">
        <v>1</v>
      </c>
      <c r="L793" t="n">
        <v>1.32</v>
      </c>
      <c r="M793" t="n">
        <v>0</v>
      </c>
      <c r="N793" t="inlineStr">
        <is>
          <t>train</t>
        </is>
      </c>
      <c r="O793">
        <f>HYPERLINK("1\1\marker_664_376239.png", "Ver Imagen")</f>
        <v/>
      </c>
      <c r="P793">
        <f>HYPERLINK("SE\A-497\A-497__486.png", "Ver Imagen")</f>
        <v/>
      </c>
    </row>
    <row r="794">
      <c r="A794" t="n">
        <v>196</v>
      </c>
      <c r="B794" t="inlineStr">
        <is>
          <t>A-497__485</t>
        </is>
      </c>
      <c r="C794" t="n">
        <v>37.2141546133</v>
      </c>
      <c r="D794" t="n">
        <v>-7.02356327422</v>
      </c>
      <c r="E794" t="n">
        <v>1</v>
      </c>
      <c r="F794" t="n">
        <v>1</v>
      </c>
      <c r="G794" t="n">
        <v>2</v>
      </c>
      <c r="J794" t="inlineStr">
        <is>
          <t>Moda</t>
        </is>
      </c>
      <c r="K794" t="n">
        <v>1</v>
      </c>
      <c r="L794" t="n">
        <v>1.435</v>
      </c>
      <c r="M794" t="n">
        <v>0</v>
      </c>
      <c r="N794" t="inlineStr">
        <is>
          <t>train</t>
        </is>
      </c>
      <c r="O794">
        <f>HYPERLINK("1\1\marker_443_376249.png", "Ver Imagen")</f>
        <v/>
      </c>
      <c r="P794">
        <f>HYPERLINK("SE\A-497\A-497__485.png", "Ver Imagen")</f>
        <v/>
      </c>
    </row>
    <row r="795">
      <c r="A795" t="n">
        <v>198</v>
      </c>
      <c r="B795" t="inlineStr">
        <is>
          <t>A-497_2C__425</t>
        </is>
      </c>
      <c r="C795" t="n">
        <v>37.2252934805</v>
      </c>
      <c r="D795" t="n">
        <v>-7.0233598681</v>
      </c>
      <c r="E795" t="n">
        <v>1</v>
      </c>
      <c r="F795" t="n">
        <v>1</v>
      </c>
      <c r="G795" t="n">
        <v>2</v>
      </c>
      <c r="J795" t="inlineStr">
        <is>
          <t>Moda</t>
        </is>
      </c>
      <c r="K795" t="n">
        <v>1</v>
      </c>
      <c r="L795" t="n">
        <v>1.393</v>
      </c>
      <c r="M795" t="n">
        <v>0</v>
      </c>
      <c r="N795" t="inlineStr">
        <is>
          <t>train</t>
        </is>
      </c>
      <c r="O795">
        <f>HYPERLINK("1\1\marker_526_363160.png", "Ver Imagen")</f>
        <v/>
      </c>
      <c r="P795">
        <f>HYPERLINK("SE\A-497_2C\A-497_2C__425.png", "Ver Imagen")</f>
        <v/>
      </c>
    </row>
    <row r="796">
      <c r="A796" t="n">
        <v>199</v>
      </c>
      <c r="B796" t="inlineStr">
        <is>
          <t>A-497_2C__426</t>
        </is>
      </c>
      <c r="C796" t="n">
        <v>37.2251181027</v>
      </c>
      <c r="D796" t="n">
        <v>-7.02337950778</v>
      </c>
      <c r="E796" t="n">
        <v>1</v>
      </c>
      <c r="F796" t="n">
        <v>1</v>
      </c>
      <c r="G796" t="n">
        <v>2</v>
      </c>
      <c r="J796" t="inlineStr">
        <is>
          <t>Moda</t>
        </is>
      </c>
      <c r="K796" t="n">
        <v>1</v>
      </c>
      <c r="L796" t="n">
        <v>1.065</v>
      </c>
      <c r="M796" t="n">
        <v>0</v>
      </c>
      <c r="N796" t="inlineStr">
        <is>
          <t>train</t>
        </is>
      </c>
      <c r="O796">
        <f>HYPERLINK("1\1\marker_205_363169.png", "Ver Imagen")</f>
        <v/>
      </c>
      <c r="P796">
        <f>HYPERLINK("SE\A-497_2C\A-497_2C__426.png", "Ver Imagen")</f>
        <v/>
      </c>
    </row>
    <row r="797">
      <c r="A797" t="n">
        <v>200</v>
      </c>
      <c r="B797" t="inlineStr">
        <is>
          <t>A-497_2C__431</t>
        </is>
      </c>
      <c r="C797" t="n">
        <v>37.2240967685</v>
      </c>
      <c r="D797" t="n">
        <v>-7.02335079397</v>
      </c>
      <c r="E797" t="n">
        <v>1</v>
      </c>
      <c r="F797" t="n">
        <v>1</v>
      </c>
      <c r="G797" t="n">
        <v>2</v>
      </c>
      <c r="J797" t="inlineStr">
        <is>
          <t>Moda</t>
        </is>
      </c>
      <c r="K797" t="n">
        <v>1</v>
      </c>
      <c r="L797" t="n">
        <v>1.425</v>
      </c>
      <c r="M797" t="n">
        <v>0</v>
      </c>
      <c r="N797" t="inlineStr">
        <is>
          <t>train</t>
        </is>
      </c>
      <c r="O797">
        <f>HYPERLINK("1\1\marker_230_363215.png", "Ver Imagen")</f>
        <v/>
      </c>
      <c r="P797">
        <f>HYPERLINK("SE\A-497_2C\A-497_2C__431.png", "Ver Imagen")</f>
        <v/>
      </c>
    </row>
    <row r="798">
      <c r="A798" t="n">
        <v>201</v>
      </c>
      <c r="B798" t="inlineStr">
        <is>
          <t>A-497_2C__432</t>
        </is>
      </c>
      <c r="C798" t="n">
        <v>37.2238980268</v>
      </c>
      <c r="D798" t="n">
        <v>-7.0233324848</v>
      </c>
      <c r="E798" t="n">
        <v>1</v>
      </c>
      <c r="F798" t="n">
        <v>1</v>
      </c>
      <c r="G798" t="n">
        <v>2</v>
      </c>
      <c r="J798" t="inlineStr">
        <is>
          <t>Moda</t>
        </is>
      </c>
      <c r="K798" t="n">
        <v>1</v>
      </c>
      <c r="L798" t="n">
        <v>1.457</v>
      </c>
      <c r="M798" t="n">
        <v>0</v>
      </c>
      <c r="N798" t="inlineStr">
        <is>
          <t>train</t>
        </is>
      </c>
      <c r="O798">
        <f>HYPERLINK("1\1\marker_822_363224.png", "Ver Imagen")</f>
        <v/>
      </c>
      <c r="P798">
        <f>HYPERLINK("SE\A-497_2C\A-497_2C__432.png", "Ver Imagen")</f>
        <v/>
      </c>
    </row>
    <row r="799">
      <c r="A799" t="n">
        <v>202</v>
      </c>
      <c r="B799" t="inlineStr">
        <is>
          <t>A-497_2C__504</t>
        </is>
      </c>
      <c r="C799" t="n">
        <v>37.2094067195</v>
      </c>
      <c r="D799" t="n">
        <v>-7.02346636901</v>
      </c>
      <c r="E799" t="n">
        <v>1</v>
      </c>
      <c r="F799" t="n">
        <v>1</v>
      </c>
      <c r="G799" t="n">
        <v>2</v>
      </c>
      <c r="J799" t="inlineStr">
        <is>
          <t>Moda</t>
        </is>
      </c>
      <c r="K799" t="n">
        <v>1</v>
      </c>
      <c r="L799" t="n">
        <v>1.114</v>
      </c>
      <c r="M799" t="n">
        <v>0</v>
      </c>
      <c r="N799" t="inlineStr">
        <is>
          <t>train</t>
        </is>
      </c>
      <c r="O799">
        <f>HYPERLINK("1\1\marker_809_364100.png", "Ver Imagen")</f>
        <v/>
      </c>
      <c r="P799">
        <f>HYPERLINK("SE\A-497_2C\A-497_2C__504.png", "Ver Imagen")</f>
        <v/>
      </c>
    </row>
    <row r="800">
      <c r="A800" t="n">
        <v>203</v>
      </c>
      <c r="B800" t="inlineStr">
        <is>
          <t>A-497_2C__505</t>
        </is>
      </c>
      <c r="C800" t="n">
        <v>37.2092259211</v>
      </c>
      <c r="D800" t="n">
        <v>-7.02337297549</v>
      </c>
      <c r="E800" t="n">
        <v>1</v>
      </c>
      <c r="F800" t="n">
        <v>1</v>
      </c>
      <c r="G800" t="n">
        <v>2</v>
      </c>
      <c r="J800" t="inlineStr">
        <is>
          <t>Moda</t>
        </is>
      </c>
      <c r="K800" t="n">
        <v>1</v>
      </c>
      <c r="L800" t="n">
        <v>1.418</v>
      </c>
      <c r="M800" t="n">
        <v>0</v>
      </c>
      <c r="N800" t="inlineStr">
        <is>
          <t>test</t>
        </is>
      </c>
      <c r="O800">
        <f>HYPERLINK("1\1\marker_679_364110.png", "Ver Imagen")</f>
        <v/>
      </c>
      <c r="P800">
        <f>HYPERLINK("SE\A-497_2C\A-497_2C__505.png", "Ver Imagen")</f>
        <v/>
      </c>
    </row>
    <row r="801">
      <c r="A801" t="n">
        <v>204</v>
      </c>
      <c r="B801" t="inlineStr">
        <is>
          <t>A-497_2C__506</t>
        </is>
      </c>
      <c r="C801" t="n">
        <v>37.2090523099</v>
      </c>
      <c r="D801" t="n">
        <v>-7.0232755116</v>
      </c>
      <c r="E801" t="n">
        <v>1</v>
      </c>
      <c r="F801" t="n">
        <v>1</v>
      </c>
      <c r="G801" t="n">
        <v>2</v>
      </c>
      <c r="J801" t="inlineStr">
        <is>
          <t>Moda</t>
        </is>
      </c>
      <c r="K801" t="n">
        <v>1</v>
      </c>
      <c r="L801" t="n">
        <v>1.178</v>
      </c>
      <c r="M801" t="n">
        <v>0</v>
      </c>
      <c r="N801" t="inlineStr">
        <is>
          <t>train</t>
        </is>
      </c>
      <c r="O801">
        <f>HYPERLINK("1\1\marker_569_364120.png", "Ver Imagen")</f>
        <v/>
      </c>
      <c r="P801">
        <f>HYPERLINK("SE\A-497_2C\A-497_2C__506.png", "Ver Imagen")</f>
        <v/>
      </c>
    </row>
    <row r="802">
      <c r="A802" t="n">
        <v>208</v>
      </c>
      <c r="B802" t="inlineStr">
        <is>
          <t>A-497_2C__537</t>
        </is>
      </c>
      <c r="C802" t="n">
        <v>37.2052325344</v>
      </c>
      <c r="D802" t="n">
        <v>-7.01734578742</v>
      </c>
      <c r="E802" t="n">
        <v>1</v>
      </c>
      <c r="F802" t="n">
        <v>1</v>
      </c>
      <c r="G802" t="n">
        <v>2</v>
      </c>
      <c r="J802" t="inlineStr">
        <is>
          <t>Moda</t>
        </is>
      </c>
      <c r="K802" t="n">
        <v>1</v>
      </c>
      <c r="L802" t="n">
        <v>1.215</v>
      </c>
      <c r="M802" t="n">
        <v>0</v>
      </c>
      <c r="N802" t="inlineStr">
        <is>
          <t>train</t>
        </is>
      </c>
      <c r="O802">
        <f>HYPERLINK("1\1\marker_734_364511.png", "Ver Imagen")</f>
        <v/>
      </c>
      <c r="P802">
        <f>HYPERLINK("SE\A-497_2C\A-497_2C__537.png", "Ver Imagen")</f>
        <v/>
      </c>
    </row>
    <row r="803">
      <c r="A803" t="n">
        <v>209</v>
      </c>
      <c r="B803" t="inlineStr">
        <is>
          <t>A-497__448</t>
        </is>
      </c>
      <c r="C803" t="n">
        <v>37.2216489259</v>
      </c>
      <c r="D803" t="n">
        <v>-7.02293178401</v>
      </c>
      <c r="E803" t="n">
        <v>1</v>
      </c>
      <c r="F803" t="n">
        <v>1</v>
      </c>
      <c r="G803" t="n">
        <v>2</v>
      </c>
      <c r="J803" t="inlineStr">
        <is>
          <t>Moda</t>
        </is>
      </c>
      <c r="K803" t="n">
        <v>1</v>
      </c>
      <c r="L803" t="n">
        <v>1</v>
      </c>
      <c r="M803" t="n">
        <v>0</v>
      </c>
      <c r="N803" t="inlineStr">
        <is>
          <t>train</t>
        </is>
      </c>
      <c r="O803">
        <f>HYPERLINK("1\1\marker_907_376709.png", "Ver Imagen")</f>
        <v/>
      </c>
      <c r="P803">
        <f>HYPERLINK("SE\A-497\A-497__448.png", "Ver Imagen")</f>
        <v/>
      </c>
    </row>
    <row r="804">
      <c r="A804" t="n">
        <v>212</v>
      </c>
      <c r="B804" t="inlineStr">
        <is>
          <t>A-497__417</t>
        </is>
      </c>
      <c r="C804" t="n">
        <v>37.2276250433</v>
      </c>
      <c r="D804" t="n">
        <v>-7.02205868186</v>
      </c>
      <c r="E804" t="n">
        <v>2</v>
      </c>
      <c r="F804" t="n">
        <v>1</v>
      </c>
      <c r="G804" t="n">
        <v>1</v>
      </c>
      <c r="J804" t="inlineStr">
        <is>
          <t>Moda</t>
        </is>
      </c>
      <c r="K804" t="n">
        <v>1</v>
      </c>
      <c r="L804" t="n">
        <v>1.098</v>
      </c>
      <c r="M804" t="n">
        <v>0</v>
      </c>
      <c r="N804" t="inlineStr">
        <is>
          <t>train</t>
        </is>
      </c>
      <c r="O804">
        <f>HYPERLINK("1\1\marker_986_377040.png", "Ver Imagen")</f>
        <v/>
      </c>
      <c r="P804">
        <f>HYPERLINK("SE\A-497\A-497__417.png", "Ver Imagen")</f>
        <v/>
      </c>
    </row>
    <row r="805">
      <c r="A805" t="n">
        <v>213</v>
      </c>
      <c r="B805" t="inlineStr">
        <is>
          <t>A-497__413</t>
        </is>
      </c>
      <c r="C805" t="n">
        <v>37.2283785917</v>
      </c>
      <c r="D805" t="n">
        <v>-7.02149246304</v>
      </c>
      <c r="E805" t="n">
        <v>1</v>
      </c>
      <c r="F805" t="n">
        <v>1</v>
      </c>
      <c r="G805" t="n">
        <v>2</v>
      </c>
      <c r="J805" t="inlineStr">
        <is>
          <t>Moda</t>
        </is>
      </c>
      <c r="K805" t="n">
        <v>1</v>
      </c>
      <c r="L805" t="n">
        <v>1.008</v>
      </c>
      <c r="M805" t="n">
        <v>0</v>
      </c>
      <c r="N805" t="inlineStr">
        <is>
          <t>train</t>
        </is>
      </c>
      <c r="O805">
        <f>HYPERLINK("1\1\marker_689_377075.png", "Ver Imagen")</f>
        <v/>
      </c>
      <c r="P805">
        <f>HYPERLINK("SE\A-497\A-497__413.png", "Ver Imagen")</f>
        <v/>
      </c>
    </row>
    <row r="806">
      <c r="A806" t="n">
        <v>214</v>
      </c>
      <c r="B806" t="inlineStr">
        <is>
          <t>A-497__408</t>
        </is>
      </c>
      <c r="C806" t="n">
        <v>37.2292101764</v>
      </c>
      <c r="D806" t="n">
        <v>-7.02085702326</v>
      </c>
      <c r="E806" t="n">
        <v>1</v>
      </c>
      <c r="F806" t="n">
        <v>1</v>
      </c>
      <c r="G806" t="n">
        <v>2</v>
      </c>
      <c r="J806" t="inlineStr">
        <is>
          <t>Moda</t>
        </is>
      </c>
      <c r="K806" t="n">
        <v>1</v>
      </c>
      <c r="L806" t="n">
        <v>1</v>
      </c>
      <c r="M806" t="n">
        <v>0</v>
      </c>
      <c r="N806" t="inlineStr">
        <is>
          <t>train</t>
        </is>
      </c>
      <c r="O806">
        <f>HYPERLINK("1\1\marker_961_377117.png", "Ver Imagen")</f>
        <v/>
      </c>
      <c r="P806">
        <f>HYPERLINK("SE\A-497\A-497__408.png", "Ver Imagen")</f>
        <v/>
      </c>
    </row>
    <row r="807">
      <c r="A807" t="n">
        <v>215</v>
      </c>
      <c r="B807" t="inlineStr">
        <is>
          <t>A-497__188</t>
        </is>
      </c>
      <c r="C807" t="n">
        <v>37.2648821431</v>
      </c>
      <c r="D807" t="n">
        <v>-6.99890172409</v>
      </c>
      <c r="E807" t="n">
        <v>1</v>
      </c>
      <c r="F807" t="n">
        <v>2</v>
      </c>
      <c r="G807" t="n">
        <v>1</v>
      </c>
      <c r="J807" t="inlineStr">
        <is>
          <t>Moda</t>
        </is>
      </c>
      <c r="K807" t="n">
        <v>1</v>
      </c>
      <c r="L807" t="n">
        <v>1</v>
      </c>
      <c r="M807" t="n">
        <v>0</v>
      </c>
      <c r="N807" t="inlineStr">
        <is>
          <t>train</t>
        </is>
      </c>
      <c r="O807">
        <f>HYPERLINK("1\1\marker_566_379542.png", "Ver Imagen")</f>
        <v/>
      </c>
      <c r="P807">
        <f>HYPERLINK("SE\A-497\A-497__188.png", "Ver Imagen")</f>
        <v/>
      </c>
    </row>
    <row r="808">
      <c r="A808" t="n">
        <v>216</v>
      </c>
      <c r="B808" t="inlineStr">
        <is>
          <t>A-497__185</t>
        </is>
      </c>
      <c r="C808" t="n">
        <v>37.2650146792</v>
      </c>
      <c r="D808" t="n">
        <v>-6.99814422857</v>
      </c>
      <c r="E808" t="n">
        <v>1</v>
      </c>
      <c r="F808" t="n">
        <v>2</v>
      </c>
      <c r="G808" t="n">
        <v>1</v>
      </c>
      <c r="J808" t="inlineStr">
        <is>
          <t>Moda</t>
        </is>
      </c>
      <c r="K808" t="n">
        <v>1</v>
      </c>
      <c r="L808" t="n">
        <v>1</v>
      </c>
      <c r="M808" t="n">
        <v>0</v>
      </c>
      <c r="N808" t="inlineStr">
        <is>
          <t>train</t>
        </is>
      </c>
      <c r="O808">
        <f>HYPERLINK("1\1\marker_506_379584.png", "Ver Imagen")</f>
        <v/>
      </c>
      <c r="P808">
        <f>HYPERLINK("SE\A-497\A-497__185.png", "Ver Imagen")</f>
        <v/>
      </c>
    </row>
    <row r="809">
      <c r="A809" t="n">
        <v>217</v>
      </c>
      <c r="B809" t="inlineStr">
        <is>
          <t>A-497__179</t>
        </is>
      </c>
      <c r="C809" t="n">
        <v>37.2652846739</v>
      </c>
      <c r="D809" t="n">
        <v>-6.99664990496</v>
      </c>
      <c r="E809" t="n">
        <v>1</v>
      </c>
      <c r="F809" t="n">
        <v>2</v>
      </c>
      <c r="G809" t="n">
        <v>1</v>
      </c>
      <c r="J809" t="inlineStr">
        <is>
          <t>Moda</t>
        </is>
      </c>
      <c r="K809" t="n">
        <v>1</v>
      </c>
      <c r="L809" t="n">
        <v>1</v>
      </c>
      <c r="M809" t="n">
        <v>0</v>
      </c>
      <c r="N809" t="inlineStr">
        <is>
          <t>train</t>
        </is>
      </c>
      <c r="O809">
        <f>HYPERLINK("1\1\marker_940_379652.png", "Ver Imagen")</f>
        <v/>
      </c>
      <c r="P809">
        <f>HYPERLINK("SE\A-497\A-497__179.png", "Ver Imagen")</f>
        <v/>
      </c>
    </row>
    <row r="810">
      <c r="A810" t="n">
        <v>218</v>
      </c>
      <c r="B810" t="inlineStr">
        <is>
          <t>A-497__174</t>
        </is>
      </c>
      <c r="C810" t="n">
        <v>37.2655055725</v>
      </c>
      <c r="D810" t="n">
        <v>-6.99539286519</v>
      </c>
      <c r="E810" t="n">
        <v>1</v>
      </c>
      <c r="F810" t="n">
        <v>2</v>
      </c>
      <c r="G810" t="n">
        <v>1</v>
      </c>
      <c r="J810" t="inlineStr">
        <is>
          <t>Moda</t>
        </is>
      </c>
      <c r="K810" t="n">
        <v>1</v>
      </c>
      <c r="L810" t="n">
        <v>1</v>
      </c>
      <c r="M810" t="n">
        <v>0</v>
      </c>
      <c r="N810" t="inlineStr">
        <is>
          <t>train</t>
        </is>
      </c>
      <c r="O810">
        <f>HYPERLINK("1\1\marker_434_379714.png", "Ver Imagen")</f>
        <v/>
      </c>
      <c r="P810">
        <f>HYPERLINK("SE\A-497\A-497__174.png", "Ver Imagen")</f>
        <v/>
      </c>
    </row>
    <row r="811">
      <c r="A811" t="n">
        <v>219</v>
      </c>
      <c r="B811" t="inlineStr">
        <is>
          <t>A-490__515</t>
        </is>
      </c>
      <c r="C811" t="n">
        <v>37.4871447966</v>
      </c>
      <c r="D811" t="n">
        <v>-7.24268274272</v>
      </c>
      <c r="E811" t="n">
        <v>1</v>
      </c>
      <c r="F811" t="n">
        <v>1</v>
      </c>
      <c r="G811" t="n">
        <v>2</v>
      </c>
      <c r="J811" t="inlineStr">
        <is>
          <t>Moda</t>
        </is>
      </c>
      <c r="K811" t="n">
        <v>1</v>
      </c>
      <c r="L811" t="n">
        <v>1.275</v>
      </c>
      <c r="M811" t="n">
        <v>0</v>
      </c>
      <c r="N811" t="inlineStr">
        <is>
          <t>train</t>
        </is>
      </c>
      <c r="O811">
        <f>HYPERLINK("1\1\marker_269_817901.png", "Ver Imagen")</f>
        <v/>
      </c>
      <c r="P811">
        <f>HYPERLINK("NO\A-490\A-490__515.png", "Ver Imagen")</f>
        <v/>
      </c>
    </row>
    <row r="812">
      <c r="A812" t="n">
        <v>220</v>
      </c>
      <c r="B812" t="inlineStr">
        <is>
          <t>A-490__443</t>
        </is>
      </c>
      <c r="C812" t="n">
        <v>37.4839254581</v>
      </c>
      <c r="D812" t="n">
        <v>-7.22493053017</v>
      </c>
      <c r="E812" t="n">
        <v>1</v>
      </c>
      <c r="F812" t="n">
        <v>1</v>
      </c>
      <c r="G812" t="n">
        <v>2</v>
      </c>
      <c r="J812" t="inlineStr">
        <is>
          <t>Moda</t>
        </is>
      </c>
      <c r="K812" t="n">
        <v>1</v>
      </c>
      <c r="L812" t="n">
        <v>1.036</v>
      </c>
      <c r="M812" t="n">
        <v>0</v>
      </c>
      <c r="N812" t="inlineStr">
        <is>
          <t>train</t>
        </is>
      </c>
      <c r="O812">
        <f>HYPERLINK("1\1\marker_155_754718.png", "Ver Imagen")</f>
        <v/>
      </c>
      <c r="P812">
        <f>HYPERLINK("NO\A-490\A-490__443.png", "Ver Imagen")</f>
        <v/>
      </c>
    </row>
    <row r="813">
      <c r="A813" t="n">
        <v>222</v>
      </c>
      <c r="B813" t="inlineStr">
        <is>
          <t>A-490__450</t>
        </is>
      </c>
      <c r="C813" t="n">
        <v>37.4842434589</v>
      </c>
      <c r="D813" t="n">
        <v>-7.22658213172</v>
      </c>
      <c r="E813" t="n">
        <v>1</v>
      </c>
      <c r="F813" t="n">
        <v>1</v>
      </c>
      <c r="G813" t="n">
        <v>2</v>
      </c>
      <c r="J813" t="inlineStr">
        <is>
          <t>Moda</t>
        </is>
      </c>
      <c r="K813" t="n">
        <v>1</v>
      </c>
      <c r="L813" t="n">
        <v>1.108</v>
      </c>
      <c r="M813" t="n">
        <v>0</v>
      </c>
      <c r="N813" t="inlineStr">
        <is>
          <t>train</t>
        </is>
      </c>
      <c r="O813">
        <f>HYPERLINK("1\1\marker_301_755035.png", "Ver Imagen")</f>
        <v/>
      </c>
      <c r="P813">
        <f>HYPERLINK("NO\A-490\A-490__450.png", "Ver Imagen")</f>
        <v/>
      </c>
    </row>
    <row r="814">
      <c r="A814" t="n">
        <v>223</v>
      </c>
      <c r="B814" t="inlineStr">
        <is>
          <t>A-490__451</t>
        </is>
      </c>
      <c r="C814" t="n">
        <v>37.4843163953</v>
      </c>
      <c r="D814" t="n">
        <v>-7.22695551447</v>
      </c>
      <c r="E814" t="n">
        <v>1</v>
      </c>
      <c r="F814" t="n">
        <v>1</v>
      </c>
      <c r="G814" t="n">
        <v>2</v>
      </c>
      <c r="J814" t="inlineStr">
        <is>
          <t>Moda</t>
        </is>
      </c>
      <c r="K814" t="n">
        <v>1</v>
      </c>
      <c r="L814" t="n">
        <v>1.143</v>
      </c>
      <c r="M814" t="n">
        <v>0</v>
      </c>
      <c r="N814" t="inlineStr">
        <is>
          <t>train</t>
        </is>
      </c>
      <c r="O814">
        <f>HYPERLINK("1\1\marker_943_755051.png", "Ver Imagen")</f>
        <v/>
      </c>
      <c r="P814">
        <f>HYPERLINK("NO\A-490\A-490__451.png", "Ver Imagen")</f>
        <v/>
      </c>
    </row>
    <row r="815">
      <c r="A815" t="n">
        <v>224</v>
      </c>
      <c r="B815" t="inlineStr">
        <is>
          <t>A-490__453</t>
        </is>
      </c>
      <c r="C815" t="n">
        <v>37.4843929002</v>
      </c>
      <c r="D815" t="n">
        <v>-7.22733997354</v>
      </c>
      <c r="E815" t="n">
        <v>1</v>
      </c>
      <c r="F815" t="n">
        <v>1</v>
      </c>
      <c r="G815" t="n">
        <v>2</v>
      </c>
      <c r="J815" t="inlineStr">
        <is>
          <t>Moda</t>
        </is>
      </c>
      <c r="K815" t="n">
        <v>1</v>
      </c>
      <c r="L815" t="n">
        <v>1.204</v>
      </c>
      <c r="M815" t="n">
        <v>0</v>
      </c>
      <c r="N815" t="inlineStr">
        <is>
          <t>train</t>
        </is>
      </c>
      <c r="O815">
        <f>HYPERLINK("1\1\marker_156_755097.png", "Ver Imagen")</f>
        <v/>
      </c>
      <c r="P815">
        <f>HYPERLINK("NO\A-490\A-490__453.png", "Ver Imagen")</f>
        <v/>
      </c>
    </row>
    <row r="816">
      <c r="A816" t="n">
        <v>225</v>
      </c>
      <c r="B816" t="inlineStr">
        <is>
          <t>A-490__463</t>
        </is>
      </c>
      <c r="C816" t="n">
        <v>37.4848786675</v>
      </c>
      <c r="D816" t="n">
        <v>-7.22982237332</v>
      </c>
      <c r="E816" t="n">
        <v>1</v>
      </c>
      <c r="F816" t="n">
        <v>1</v>
      </c>
      <c r="G816" t="n">
        <v>2</v>
      </c>
      <c r="J816" t="inlineStr">
        <is>
          <t>Moda</t>
        </is>
      </c>
      <c r="K816" t="n">
        <v>1</v>
      </c>
      <c r="L816" t="n">
        <v>1.326</v>
      </c>
      <c r="M816" t="n">
        <v>0</v>
      </c>
      <c r="N816" t="inlineStr">
        <is>
          <t>train</t>
        </is>
      </c>
      <c r="O816">
        <f>HYPERLINK("1\1\marker_465_755271.png", "Ver Imagen")</f>
        <v/>
      </c>
      <c r="P816">
        <f>HYPERLINK("NO\A-490\A-490__463.png", "Ver Imagen")</f>
        <v/>
      </c>
    </row>
    <row r="817">
      <c r="A817" t="n">
        <v>226</v>
      </c>
      <c r="B817" t="inlineStr">
        <is>
          <t>A-490__468</t>
        </is>
      </c>
      <c r="C817" t="n">
        <v>37.4851193975</v>
      </c>
      <c r="D817" t="n">
        <v>-7.23106448122</v>
      </c>
      <c r="E817" t="n">
        <v>1</v>
      </c>
      <c r="F817" t="n">
        <v>1</v>
      </c>
      <c r="G817" t="n">
        <v>2</v>
      </c>
      <c r="J817" t="inlineStr">
        <is>
          <t>Moda</t>
        </is>
      </c>
      <c r="K817" t="n">
        <v>1</v>
      </c>
      <c r="L817" t="n">
        <v>1.027</v>
      </c>
      <c r="M817" t="n">
        <v>0</v>
      </c>
      <c r="N817" t="inlineStr">
        <is>
          <t>train</t>
        </is>
      </c>
      <c r="O817">
        <f>HYPERLINK("1\1\marker_273_755360.png", "Ver Imagen")</f>
        <v/>
      </c>
      <c r="P817">
        <f>HYPERLINK("NO\A-490\A-490__468.png", "Ver Imagen")</f>
        <v/>
      </c>
    </row>
    <row r="818">
      <c r="A818" t="n">
        <v>227</v>
      </c>
      <c r="B818" t="inlineStr">
        <is>
          <t>A-490__469</t>
        </is>
      </c>
      <c r="C818" t="n">
        <v>37.4851589039</v>
      </c>
      <c r="D818" t="n">
        <v>-7.23126900745</v>
      </c>
      <c r="E818" t="n">
        <v>1</v>
      </c>
      <c r="F818" t="n">
        <v>1</v>
      </c>
      <c r="G818" t="n">
        <v>2</v>
      </c>
      <c r="J818" t="inlineStr">
        <is>
          <t>Moda</t>
        </is>
      </c>
      <c r="K818" t="n">
        <v>1</v>
      </c>
      <c r="L818" t="n">
        <v>1</v>
      </c>
      <c r="M818" t="n">
        <v>0</v>
      </c>
      <c r="N818" t="inlineStr">
        <is>
          <t>train</t>
        </is>
      </c>
      <c r="O818">
        <f>HYPERLINK("1\1\marker_521_755378.png", "Ver Imagen")</f>
        <v/>
      </c>
      <c r="P818">
        <f>HYPERLINK("NO\A-490\A-490__469.png", "Ver Imagen")</f>
        <v/>
      </c>
    </row>
    <row r="819">
      <c r="A819" t="n">
        <v>228</v>
      </c>
      <c r="B819" t="inlineStr">
        <is>
          <t>A-490__473</t>
        </is>
      </c>
      <c r="C819" t="n">
        <v>37.485354665</v>
      </c>
      <c r="D819" t="n">
        <v>-7.23230115944</v>
      </c>
      <c r="E819" t="n">
        <v>1</v>
      </c>
      <c r="F819" t="n">
        <v>1</v>
      </c>
      <c r="G819" t="n">
        <v>2</v>
      </c>
      <c r="J819" t="inlineStr">
        <is>
          <t>Moda</t>
        </is>
      </c>
      <c r="K819" t="n">
        <v>1</v>
      </c>
      <c r="L819" t="n">
        <v>1</v>
      </c>
      <c r="M819" t="n">
        <v>0</v>
      </c>
      <c r="N819" t="inlineStr">
        <is>
          <t>train</t>
        </is>
      </c>
      <c r="O819">
        <f>HYPERLINK("1\1\marker_562_755450.png", "Ver Imagen")</f>
        <v/>
      </c>
      <c r="P819">
        <f>HYPERLINK("NO\A-490\A-490__473.png", "Ver Imagen")</f>
        <v/>
      </c>
    </row>
    <row r="820">
      <c r="A820" t="n">
        <v>229</v>
      </c>
      <c r="B820" t="inlineStr">
        <is>
          <t>A-490__492</t>
        </is>
      </c>
      <c r="C820" t="n">
        <v>37.4862564151</v>
      </c>
      <c r="D820" t="n">
        <v>-7.2369854072</v>
      </c>
      <c r="E820" t="n">
        <v>1</v>
      </c>
      <c r="F820" t="n">
        <v>1</v>
      </c>
      <c r="G820" t="n">
        <v>2</v>
      </c>
      <c r="J820" t="inlineStr">
        <is>
          <t>Moda</t>
        </is>
      </c>
      <c r="K820" t="n">
        <v>1</v>
      </c>
      <c r="L820" t="n">
        <v>1.078</v>
      </c>
      <c r="M820" t="n">
        <v>0</v>
      </c>
      <c r="N820" t="inlineStr">
        <is>
          <t>train</t>
        </is>
      </c>
      <c r="O820">
        <f>HYPERLINK("1\1\marker_481_755796.png", "Ver Imagen")</f>
        <v/>
      </c>
      <c r="P820">
        <f>HYPERLINK("NO\A-490\A-490__492.png", "Ver Imagen")</f>
        <v/>
      </c>
    </row>
    <row r="821">
      <c r="A821" t="n">
        <v>230</v>
      </c>
      <c r="B821" t="inlineStr">
        <is>
          <t>A-490__539</t>
        </is>
      </c>
      <c r="C821" t="n">
        <v>37.4893515618</v>
      </c>
      <c r="D821" t="n">
        <v>-7.24804590351</v>
      </c>
      <c r="E821" t="n">
        <v>1</v>
      </c>
      <c r="F821" t="n">
        <v>1</v>
      </c>
      <c r="G821" t="n">
        <v>2</v>
      </c>
      <c r="J821" t="inlineStr">
        <is>
          <t>Moda</t>
        </is>
      </c>
      <c r="K821" t="n">
        <v>1</v>
      </c>
      <c r="L821" t="n">
        <v>1.353</v>
      </c>
      <c r="M821" t="n">
        <v>0</v>
      </c>
      <c r="N821" t="inlineStr">
        <is>
          <t>train</t>
        </is>
      </c>
      <c r="O821">
        <f>HYPERLINK("1\1\marker_175_818333.png", "Ver Imagen")</f>
        <v/>
      </c>
      <c r="P821">
        <f>HYPERLINK("NO\A-490\A-490__539.png", "Ver Imagen")</f>
        <v/>
      </c>
    </row>
    <row r="822">
      <c r="A822" t="n">
        <v>231</v>
      </c>
      <c r="B822" t="inlineStr">
        <is>
          <t>A-490__547</t>
        </is>
      </c>
      <c r="C822" t="n">
        <v>37.4905306565</v>
      </c>
      <c r="D822" t="n">
        <v>-7.24946375203</v>
      </c>
      <c r="E822" t="n">
        <v>1</v>
      </c>
      <c r="F822" t="n">
        <v>1</v>
      </c>
      <c r="G822" t="n">
        <v>2</v>
      </c>
      <c r="J822" t="inlineStr">
        <is>
          <t>Moda</t>
        </is>
      </c>
      <c r="K822" t="n">
        <v>1</v>
      </c>
      <c r="L822" t="n">
        <v>1.023</v>
      </c>
      <c r="M822" t="n">
        <v>0</v>
      </c>
      <c r="N822" t="inlineStr">
        <is>
          <t>train</t>
        </is>
      </c>
      <c r="O822">
        <f>HYPERLINK("1\1\marker_636_818479.png", "Ver Imagen")</f>
        <v/>
      </c>
      <c r="P822">
        <f>HYPERLINK("NO\A-490\A-490__547.png", "Ver Imagen")</f>
        <v/>
      </c>
    </row>
    <row r="823">
      <c r="A823" t="n">
        <v>232</v>
      </c>
      <c r="B823" t="inlineStr">
        <is>
          <t>A-490__591</t>
        </is>
      </c>
      <c r="C823" t="n">
        <v>37.4906821749</v>
      </c>
      <c r="D823" t="n">
        <v>-7.26020025126</v>
      </c>
      <c r="E823" t="n">
        <v>1</v>
      </c>
      <c r="F823" t="n">
        <v>1</v>
      </c>
      <c r="G823" t="n">
        <v>2</v>
      </c>
      <c r="J823" t="inlineStr">
        <is>
          <t>Moda</t>
        </is>
      </c>
      <c r="K823" t="n">
        <v>1</v>
      </c>
      <c r="L823" t="n">
        <v>1.17</v>
      </c>
      <c r="M823" t="n">
        <v>0</v>
      </c>
      <c r="N823" t="inlineStr">
        <is>
          <t>train</t>
        </is>
      </c>
      <c r="O823">
        <f>HYPERLINK("1\1\marker_483_819640.png", "Ver Imagen")</f>
        <v/>
      </c>
      <c r="P823">
        <f>HYPERLINK("NO\A-490\A-490__591.png", "Ver Imagen")</f>
        <v/>
      </c>
    </row>
    <row r="824">
      <c r="A824" t="n">
        <v>234</v>
      </c>
      <c r="B824" t="inlineStr">
        <is>
          <t>A-492__203</t>
        </is>
      </c>
      <c r="C824" t="n">
        <v>37.2789952435</v>
      </c>
      <c r="D824" t="n">
        <v>-7.03042812589</v>
      </c>
      <c r="E824" t="n">
        <v>1</v>
      </c>
      <c r="F824" t="n">
        <v>1</v>
      </c>
      <c r="G824" t="n">
        <v>2</v>
      </c>
      <c r="J824" t="inlineStr">
        <is>
          <t>Moda</t>
        </is>
      </c>
      <c r="K824" t="n">
        <v>1</v>
      </c>
      <c r="L824" t="n">
        <v>1.261</v>
      </c>
      <c r="M824" t="n">
        <v>0</v>
      </c>
      <c r="N824" t="inlineStr">
        <is>
          <t>train</t>
        </is>
      </c>
      <c r="O824">
        <f>HYPERLINK("1\1\marker_331_831958.png", "Ver Imagen")</f>
        <v/>
      </c>
      <c r="P824">
        <f>HYPERLINK("SE\A-492\A-492__203.png", "Ver Imagen")</f>
        <v/>
      </c>
    </row>
    <row r="825">
      <c r="A825" t="n">
        <v>235</v>
      </c>
      <c r="B825" t="inlineStr">
        <is>
          <t>A-492__238</t>
        </is>
      </c>
      <c r="C825" t="n">
        <v>37.2841039243</v>
      </c>
      <c r="D825" t="n">
        <v>-7.03583984014</v>
      </c>
      <c r="E825" t="n">
        <v>1</v>
      </c>
      <c r="F825" t="n">
        <v>1</v>
      </c>
      <c r="G825" t="n">
        <v>2</v>
      </c>
      <c r="J825" t="inlineStr">
        <is>
          <t>Moda</t>
        </is>
      </c>
      <c r="K825" t="n">
        <v>1</v>
      </c>
      <c r="L825" t="n">
        <v>1.223</v>
      </c>
      <c r="M825" t="n">
        <v>0</v>
      </c>
      <c r="N825" t="inlineStr">
        <is>
          <t>train</t>
        </is>
      </c>
      <c r="O825">
        <f>HYPERLINK("1\1\marker_993_835921.png", "Ver Imagen")</f>
        <v/>
      </c>
      <c r="P825">
        <f>HYPERLINK("SE\A-492\A-492__238.png", "Ver Imagen")</f>
        <v/>
      </c>
    </row>
    <row r="826">
      <c r="A826" t="n">
        <v>237</v>
      </c>
      <c r="B826" t="inlineStr">
        <is>
          <t>A-492__247</t>
        </is>
      </c>
      <c r="C826" t="n">
        <v>37.2843356131</v>
      </c>
      <c r="D826" t="n">
        <v>-7.03805521116</v>
      </c>
      <c r="E826" t="n">
        <v>1</v>
      </c>
      <c r="F826" t="n">
        <v>1</v>
      </c>
      <c r="G826" t="n">
        <v>2</v>
      </c>
      <c r="J826" t="inlineStr">
        <is>
          <t>Moda</t>
        </is>
      </c>
      <c r="K826" t="n">
        <v>1</v>
      </c>
      <c r="L826" t="n">
        <v>1.067</v>
      </c>
      <c r="M826" t="n">
        <v>0</v>
      </c>
      <c r="N826" t="inlineStr">
        <is>
          <t>train</t>
        </is>
      </c>
      <c r="O826">
        <f>HYPERLINK("1\1\marker_275_836056.png", "Ver Imagen")</f>
        <v/>
      </c>
      <c r="P826">
        <f>HYPERLINK("SE\A-492\A-492__247.png", "Ver Imagen")</f>
        <v/>
      </c>
    </row>
    <row r="827">
      <c r="A827" t="n">
        <v>238</v>
      </c>
      <c r="B827" t="inlineStr">
        <is>
          <t>A-492__248</t>
        </is>
      </c>
      <c r="C827" t="n">
        <v>37.2843948222</v>
      </c>
      <c r="D827" t="n">
        <v>-7.03828970217</v>
      </c>
      <c r="E827" t="n">
        <v>1</v>
      </c>
      <c r="F827" t="n">
        <v>1</v>
      </c>
      <c r="G827" t="n">
        <v>2</v>
      </c>
      <c r="J827" t="inlineStr">
        <is>
          <t>Moda</t>
        </is>
      </c>
      <c r="K827" t="n">
        <v>1</v>
      </c>
      <c r="L827" t="n">
        <v>1.138</v>
      </c>
      <c r="M827" t="n">
        <v>0</v>
      </c>
      <c r="N827" t="inlineStr">
        <is>
          <t>train</t>
        </is>
      </c>
      <c r="O827">
        <f>HYPERLINK("1\1\marker_940_836074.png", "Ver Imagen")</f>
        <v/>
      </c>
      <c r="P827">
        <f>HYPERLINK("SE\A-492\A-492__248.png", "Ver Imagen")</f>
        <v/>
      </c>
    </row>
    <row r="828">
      <c r="A828" t="n">
        <v>239</v>
      </c>
      <c r="B828" t="inlineStr">
        <is>
          <t>A-492__261</t>
        </is>
      </c>
      <c r="C828" t="n">
        <v>37.2856848167</v>
      </c>
      <c r="D828" t="n">
        <v>-7.04112571008</v>
      </c>
      <c r="E828" t="n">
        <v>1</v>
      </c>
      <c r="F828" t="n">
        <v>1</v>
      </c>
      <c r="G828" t="n">
        <v>2</v>
      </c>
      <c r="J828" t="inlineStr">
        <is>
          <t>Moda</t>
        </is>
      </c>
      <c r="K828" t="n">
        <v>1</v>
      </c>
      <c r="L828" t="n">
        <v>1.158</v>
      </c>
      <c r="M828" t="n">
        <v>0</v>
      </c>
      <c r="N828" t="inlineStr">
        <is>
          <t>train</t>
        </is>
      </c>
      <c r="O828">
        <f>HYPERLINK("1\1\marker_761_836595.png", "Ver Imagen")</f>
        <v/>
      </c>
      <c r="P828">
        <f>HYPERLINK("SE\A-492\A-492__261.png", "Ver Imagen")</f>
        <v/>
      </c>
    </row>
    <row r="829">
      <c r="A829" t="n">
        <v>240</v>
      </c>
      <c r="B829" t="inlineStr">
        <is>
          <t>A-492__262</t>
        </is>
      </c>
      <c r="C829" t="n">
        <v>37.2858226484</v>
      </c>
      <c r="D829" t="n">
        <v>-7.0412578183</v>
      </c>
      <c r="E829" t="n">
        <v>1</v>
      </c>
      <c r="F829" t="n">
        <v>1</v>
      </c>
      <c r="G829" t="n">
        <v>2</v>
      </c>
      <c r="J829" t="inlineStr">
        <is>
          <t>Moda</t>
        </is>
      </c>
      <c r="K829" t="n">
        <v>1</v>
      </c>
      <c r="L829" t="n">
        <v>1.186</v>
      </c>
      <c r="M829" t="n">
        <v>0</v>
      </c>
      <c r="N829" t="inlineStr">
        <is>
          <t>train</t>
        </is>
      </c>
      <c r="O829">
        <f>HYPERLINK("1\1\marker_410_836609.png", "Ver Imagen")</f>
        <v/>
      </c>
      <c r="P829">
        <f>HYPERLINK("SE\A-492\A-492__262.png", "Ver Imagen")</f>
        <v/>
      </c>
    </row>
    <row r="830">
      <c r="A830" t="n">
        <v>241</v>
      </c>
      <c r="B830" t="inlineStr">
        <is>
          <t>A-492__283</t>
        </is>
      </c>
      <c r="C830" t="n">
        <v>37.2893614867</v>
      </c>
      <c r="D830" t="n">
        <v>-7.04401660296</v>
      </c>
      <c r="E830" t="n">
        <v>1</v>
      </c>
      <c r="F830" t="n">
        <v>1</v>
      </c>
      <c r="G830" t="n">
        <v>2</v>
      </c>
      <c r="J830" t="inlineStr">
        <is>
          <t>Moda</t>
        </is>
      </c>
      <c r="K830" t="n">
        <v>1</v>
      </c>
      <c r="L830" t="n">
        <v>1.099</v>
      </c>
      <c r="M830" t="n">
        <v>0</v>
      </c>
      <c r="N830" t="inlineStr">
        <is>
          <t>train</t>
        </is>
      </c>
      <c r="O830">
        <f>HYPERLINK("1\1\marker_341_837338.png", "Ver Imagen")</f>
        <v/>
      </c>
      <c r="P830">
        <f>HYPERLINK("SE\A-492\A-492__283.png", "Ver Imagen")</f>
        <v/>
      </c>
    </row>
    <row r="831">
      <c r="A831" t="n">
        <v>242</v>
      </c>
      <c r="B831" t="inlineStr">
        <is>
          <t>A-492__315</t>
        </is>
      </c>
      <c r="C831" t="n">
        <v>37.294643174</v>
      </c>
      <c r="D831" t="n">
        <v>-7.04815605967</v>
      </c>
      <c r="E831" t="n">
        <v>1</v>
      </c>
      <c r="F831" t="n">
        <v>1</v>
      </c>
      <c r="G831" t="n">
        <v>2</v>
      </c>
      <c r="J831" t="inlineStr">
        <is>
          <t>Moda</t>
        </is>
      </c>
      <c r="K831" t="n">
        <v>1</v>
      </c>
      <c r="L831" t="n">
        <v>1</v>
      </c>
      <c r="M831" t="n">
        <v>0</v>
      </c>
      <c r="N831" t="inlineStr">
        <is>
          <t>train</t>
        </is>
      </c>
      <c r="O831">
        <f>HYPERLINK("1\1\marker_795_837727.png", "Ver Imagen")</f>
        <v/>
      </c>
      <c r="P831">
        <f>HYPERLINK("SE\A-492\A-492__315.png", "Ver Imagen")</f>
        <v/>
      </c>
    </row>
    <row r="832">
      <c r="A832" t="n">
        <v>243</v>
      </c>
      <c r="B832" t="inlineStr">
        <is>
          <t>A-492__370</t>
        </is>
      </c>
      <c r="C832" t="n">
        <v>37.3028933211</v>
      </c>
      <c r="D832" t="n">
        <v>-7.05662122262</v>
      </c>
      <c r="E832" t="n">
        <v>1</v>
      </c>
      <c r="F832" t="n">
        <v>1</v>
      </c>
      <c r="G832" t="n">
        <v>2</v>
      </c>
      <c r="J832" t="inlineStr">
        <is>
          <t>Moda</t>
        </is>
      </c>
      <c r="K832" t="n">
        <v>1</v>
      </c>
      <c r="L832" t="n">
        <v>1</v>
      </c>
      <c r="M832" t="n">
        <v>0</v>
      </c>
      <c r="N832" t="inlineStr">
        <is>
          <t>train</t>
        </is>
      </c>
      <c r="O832">
        <f>HYPERLINK("1\1\marker_651_838758.png", "Ver Imagen")</f>
        <v/>
      </c>
      <c r="P832">
        <f>HYPERLINK("SE\A-492\A-492__370.png", "Ver Imagen")</f>
        <v/>
      </c>
    </row>
    <row r="833">
      <c r="A833" t="n">
        <v>244</v>
      </c>
      <c r="B833" t="inlineStr">
        <is>
          <t>A-492__373</t>
        </is>
      </c>
      <c r="C833" t="n">
        <v>37.3034567897</v>
      </c>
      <c r="D833" t="n">
        <v>-7.05671069204</v>
      </c>
      <c r="E833" t="n">
        <v>1</v>
      </c>
      <c r="F833" t="n">
        <v>1</v>
      </c>
      <c r="G833" t="n">
        <v>2</v>
      </c>
      <c r="J833" t="inlineStr">
        <is>
          <t>Moda</t>
        </is>
      </c>
      <c r="K833" t="n">
        <v>1</v>
      </c>
      <c r="L833" t="n">
        <v>1</v>
      </c>
      <c r="M833" t="n">
        <v>0</v>
      </c>
      <c r="N833" t="inlineStr">
        <is>
          <t>train</t>
        </is>
      </c>
      <c r="O833">
        <f>HYPERLINK("1\1\marker_861_838793.png", "Ver Imagen")</f>
        <v/>
      </c>
      <c r="P833">
        <f>HYPERLINK("SE\A-492\A-492__373.png", "Ver Imagen")</f>
        <v/>
      </c>
    </row>
    <row r="834">
      <c r="A834" t="n">
        <v>246</v>
      </c>
      <c r="B834" t="inlineStr">
        <is>
          <t>A-492__381</t>
        </is>
      </c>
      <c r="C834" t="n">
        <v>37.3050946954</v>
      </c>
      <c r="D834" t="n">
        <v>-7.0567362267</v>
      </c>
      <c r="E834" t="n">
        <v>1</v>
      </c>
      <c r="F834" t="n">
        <v>1</v>
      </c>
      <c r="G834" t="n">
        <v>2</v>
      </c>
      <c r="J834" t="inlineStr">
        <is>
          <t>Moda</t>
        </is>
      </c>
      <c r="K834" t="n">
        <v>1</v>
      </c>
      <c r="L834" t="n">
        <v>1.296</v>
      </c>
      <c r="M834" t="n">
        <v>0</v>
      </c>
      <c r="N834" t="inlineStr">
        <is>
          <t>train</t>
        </is>
      </c>
      <c r="O834">
        <f>HYPERLINK("1\1\marker_579_838903.png", "Ver Imagen")</f>
        <v/>
      </c>
      <c r="P834">
        <f>HYPERLINK("SE\A-492\A-492__381.png", "Ver Imagen")</f>
        <v/>
      </c>
    </row>
    <row r="835">
      <c r="A835" t="n">
        <v>247</v>
      </c>
      <c r="B835" t="inlineStr">
        <is>
          <t>A-492__407</t>
        </is>
      </c>
      <c r="C835" t="n">
        <v>37.3100827353</v>
      </c>
      <c r="D835" t="n">
        <v>-7.0583043278</v>
      </c>
      <c r="E835" t="n">
        <v>1</v>
      </c>
      <c r="F835" t="n">
        <v>1</v>
      </c>
      <c r="G835" t="n">
        <v>2</v>
      </c>
      <c r="J835" t="inlineStr">
        <is>
          <t>Moda</t>
        </is>
      </c>
      <c r="K835" t="n">
        <v>1</v>
      </c>
      <c r="L835" t="n">
        <v>1.167</v>
      </c>
      <c r="M835" t="n">
        <v>0</v>
      </c>
      <c r="N835" t="inlineStr">
        <is>
          <t>train</t>
        </is>
      </c>
      <c r="O835">
        <f>HYPERLINK("1\1\marker_455_839258.png", "Ver Imagen")</f>
        <v/>
      </c>
      <c r="P835">
        <f>HYPERLINK("SE\A-492\A-492__407.png", "Ver Imagen")</f>
        <v/>
      </c>
    </row>
    <row r="836">
      <c r="A836" t="n">
        <v>248</v>
      </c>
      <c r="B836" t="inlineStr">
        <is>
          <t>A-492__435</t>
        </is>
      </c>
      <c r="C836" t="n">
        <v>37.3139435427</v>
      </c>
      <c r="D836" t="n">
        <v>-7.06348773163</v>
      </c>
      <c r="E836" t="n">
        <v>1</v>
      </c>
      <c r="F836" t="n">
        <v>1</v>
      </c>
      <c r="G836" t="n">
        <v>2</v>
      </c>
      <c r="J836" t="inlineStr">
        <is>
          <t>Moda</t>
        </is>
      </c>
      <c r="K836" t="n">
        <v>1</v>
      </c>
      <c r="L836" t="n">
        <v>1.329</v>
      </c>
      <c r="M836" t="n">
        <v>0</v>
      </c>
      <c r="N836" t="inlineStr">
        <is>
          <t>train</t>
        </is>
      </c>
      <c r="O836">
        <f>HYPERLINK("1\1\marker_596_839586.png", "Ver Imagen")</f>
        <v/>
      </c>
      <c r="P836">
        <f>HYPERLINK("SE\A-492\A-492__435.png", "Ver Imagen")</f>
        <v/>
      </c>
    </row>
    <row r="837">
      <c r="A837" t="n">
        <v>249</v>
      </c>
      <c r="B837" t="inlineStr">
        <is>
          <t>A-492__437</t>
        </is>
      </c>
      <c r="C837" t="n">
        <v>37.3141400177</v>
      </c>
      <c r="D837" t="n">
        <v>-7.06385801686</v>
      </c>
      <c r="E837" t="n">
        <v>1</v>
      </c>
      <c r="F837" t="n">
        <v>1</v>
      </c>
      <c r="G837" t="n">
        <v>2</v>
      </c>
      <c r="J837" t="inlineStr">
        <is>
          <t>Moda</t>
        </is>
      </c>
      <c r="K837" t="n">
        <v>1</v>
      </c>
      <c r="L837" t="n">
        <v>1.269</v>
      </c>
      <c r="M837" t="n">
        <v>0</v>
      </c>
      <c r="N837" t="inlineStr">
        <is>
          <t>train</t>
        </is>
      </c>
      <c r="O837">
        <f>HYPERLINK("1\1\marker_994_839617.png", "Ver Imagen")</f>
        <v/>
      </c>
      <c r="P837">
        <f>HYPERLINK("SE\A-492\A-492__437.png", "Ver Imagen")</f>
        <v/>
      </c>
    </row>
    <row r="838">
      <c r="A838" t="n">
        <v>250</v>
      </c>
      <c r="B838" t="inlineStr">
        <is>
          <t>A-492__439</t>
        </is>
      </c>
      <c r="C838" t="n">
        <v>37.3143827941</v>
      </c>
      <c r="D838" t="n">
        <v>-7.06431034611</v>
      </c>
      <c r="E838" t="n">
        <v>1</v>
      </c>
      <c r="F838" t="n">
        <v>1</v>
      </c>
      <c r="G838" t="n">
        <v>2</v>
      </c>
      <c r="J838" t="inlineStr">
        <is>
          <t>Moda</t>
        </is>
      </c>
      <c r="K838" t="n">
        <v>1</v>
      </c>
      <c r="L838" t="n">
        <v>1.38</v>
      </c>
      <c r="M838" t="n">
        <v>0</v>
      </c>
      <c r="N838" t="inlineStr">
        <is>
          <t>train</t>
        </is>
      </c>
      <c r="O838">
        <f>HYPERLINK("1\1\marker_471_839642.png", "Ver Imagen")</f>
        <v/>
      </c>
      <c r="P838">
        <f>HYPERLINK("SE\A-492\A-492__439.png", "Ver Imagen")</f>
        <v/>
      </c>
    </row>
    <row r="839">
      <c r="A839" t="n">
        <v>251</v>
      </c>
      <c r="B839" t="inlineStr">
        <is>
          <t>A-492__446</t>
        </is>
      </c>
      <c r="C839" t="n">
        <v>37.3151130136</v>
      </c>
      <c r="D839" t="n">
        <v>-7.06579998385</v>
      </c>
      <c r="E839" t="n">
        <v>1</v>
      </c>
      <c r="F839" t="n">
        <v>1</v>
      </c>
      <c r="G839" t="n">
        <v>2</v>
      </c>
      <c r="J839" t="inlineStr">
        <is>
          <t>Moda</t>
        </is>
      </c>
      <c r="K839" t="n">
        <v>1</v>
      </c>
      <c r="L839" t="n">
        <v>1.247</v>
      </c>
      <c r="M839" t="n">
        <v>0</v>
      </c>
      <c r="N839" t="inlineStr">
        <is>
          <t>train</t>
        </is>
      </c>
      <c r="O839">
        <f>HYPERLINK("1\1\marker_877_839774.png", "Ver Imagen")</f>
        <v/>
      </c>
      <c r="P839">
        <f>HYPERLINK("SE\A-492\A-492__446.png", "Ver Imagen")</f>
        <v/>
      </c>
    </row>
    <row r="840">
      <c r="A840" t="n">
        <v>252</v>
      </c>
      <c r="B840" t="inlineStr">
        <is>
          <t>A-492__447</t>
        </is>
      </c>
      <c r="C840" t="n">
        <v>37.3151885288</v>
      </c>
      <c r="D840" t="n">
        <v>-7.0660510212</v>
      </c>
      <c r="E840" t="n">
        <v>1</v>
      </c>
      <c r="F840" t="n">
        <v>1</v>
      </c>
      <c r="G840" t="n">
        <v>2</v>
      </c>
      <c r="J840" t="inlineStr">
        <is>
          <t>Moda</t>
        </is>
      </c>
      <c r="K840" t="n">
        <v>1</v>
      </c>
      <c r="L840" t="n">
        <v>1.108</v>
      </c>
      <c r="M840" t="n">
        <v>0</v>
      </c>
      <c r="N840" t="inlineStr">
        <is>
          <t>train</t>
        </is>
      </c>
      <c r="O840">
        <f>HYPERLINK("1\1\marker_508_839784.png", "Ver Imagen")</f>
        <v/>
      </c>
      <c r="P840">
        <f>HYPERLINK("SE\A-492\A-492__447.png", "Ver Imagen")</f>
        <v/>
      </c>
    </row>
    <row r="841">
      <c r="A841" t="n">
        <v>253</v>
      </c>
      <c r="B841" t="inlineStr">
        <is>
          <t>A-492__448</t>
        </is>
      </c>
      <c r="C841" t="n">
        <v>37.3152448568</v>
      </c>
      <c r="D841" t="n">
        <v>-7.06626954712</v>
      </c>
      <c r="E841" t="n">
        <v>1</v>
      </c>
      <c r="F841" t="n">
        <v>1</v>
      </c>
      <c r="G841" t="n">
        <v>2</v>
      </c>
      <c r="J841" t="inlineStr">
        <is>
          <t>Moda</t>
        </is>
      </c>
      <c r="K841" t="n">
        <v>1</v>
      </c>
      <c r="L841" t="n">
        <v>1.308</v>
      </c>
      <c r="M841" t="n">
        <v>0</v>
      </c>
      <c r="N841" t="inlineStr">
        <is>
          <t>train</t>
        </is>
      </c>
      <c r="O841">
        <f>HYPERLINK("1\1\marker_542_839794.png", "Ver Imagen")</f>
        <v/>
      </c>
      <c r="P841">
        <f>HYPERLINK("SE\A-492\A-492__448.png", "Ver Imagen")</f>
        <v/>
      </c>
    </row>
    <row r="842">
      <c r="A842" t="n">
        <v>255</v>
      </c>
      <c r="B842" t="inlineStr">
        <is>
          <t>A-492__450</t>
        </is>
      </c>
      <c r="C842" t="n">
        <v>37.3153734357</v>
      </c>
      <c r="D842" t="n">
        <v>-7.06681175384</v>
      </c>
      <c r="E842" t="n">
        <v>1</v>
      </c>
      <c r="F842" t="n">
        <v>1</v>
      </c>
      <c r="G842" t="n">
        <v>2</v>
      </c>
      <c r="J842" t="inlineStr">
        <is>
          <t>Moda</t>
        </is>
      </c>
      <c r="K842" t="n">
        <v>1</v>
      </c>
      <c r="L842" t="n">
        <v>1.111</v>
      </c>
      <c r="M842" t="n">
        <v>0</v>
      </c>
      <c r="N842" t="inlineStr">
        <is>
          <t>train</t>
        </is>
      </c>
      <c r="O842">
        <f>HYPERLINK("1\1\marker_243_839814.png", "Ver Imagen")</f>
        <v/>
      </c>
      <c r="P842">
        <f>HYPERLINK("SE\A-492\A-492__450.png", "Ver Imagen")</f>
        <v/>
      </c>
    </row>
    <row r="843">
      <c r="A843" t="n">
        <v>257</v>
      </c>
      <c r="B843" t="inlineStr">
        <is>
          <t>A-495R__77</t>
        </is>
      </c>
      <c r="C843" t="n">
        <v>37.459407171</v>
      </c>
      <c r="D843" t="n">
        <v>-7.11492347357</v>
      </c>
      <c r="E843" t="n">
        <v>1</v>
      </c>
      <c r="F843" t="n">
        <v>1</v>
      </c>
      <c r="G843" t="n">
        <v>2</v>
      </c>
      <c r="J843" t="inlineStr">
        <is>
          <t>Moda</t>
        </is>
      </c>
      <c r="K843" t="n">
        <v>1</v>
      </c>
      <c r="L843" t="n">
        <v>1.419</v>
      </c>
      <c r="M843" t="n">
        <v>0</v>
      </c>
      <c r="N843" t="inlineStr">
        <is>
          <t>test</t>
        </is>
      </c>
      <c r="O843">
        <f>HYPERLINK("1\1\marker_756_935135.png", "Ver Imagen")</f>
        <v/>
      </c>
      <c r="P843">
        <f>HYPERLINK("NE\A-495R\A-495R__77.png", "Ver Imagen")</f>
        <v/>
      </c>
    </row>
    <row r="844">
      <c r="A844" t="n">
        <v>259</v>
      </c>
      <c r="B844" t="inlineStr">
        <is>
          <t>A-495R__75</t>
        </is>
      </c>
      <c r="C844" t="n">
        <v>37.4590435811</v>
      </c>
      <c r="D844" t="n">
        <v>-7.11481909506</v>
      </c>
      <c r="E844" t="n">
        <v>1</v>
      </c>
      <c r="F844" t="n">
        <v>1</v>
      </c>
      <c r="G844" t="n">
        <v>2</v>
      </c>
      <c r="J844" t="inlineStr">
        <is>
          <t>Moda</t>
        </is>
      </c>
      <c r="K844" t="n">
        <v>1</v>
      </c>
      <c r="L844" t="n">
        <v>1.282</v>
      </c>
      <c r="M844" t="n">
        <v>0</v>
      </c>
      <c r="N844" t="inlineStr">
        <is>
          <t>train</t>
        </is>
      </c>
      <c r="O844">
        <f>HYPERLINK("1\1\marker_376_935159.png", "Ver Imagen")</f>
        <v/>
      </c>
      <c r="P844">
        <f>HYPERLINK("NE\A-495R\A-495R__75.png", "Ver Imagen")</f>
        <v/>
      </c>
    </row>
    <row r="845">
      <c r="A845" t="n">
        <v>260</v>
      </c>
      <c r="B845" t="inlineStr">
        <is>
          <t>A-5052__116</t>
        </is>
      </c>
      <c r="C845" t="n">
        <v>37.2167797197</v>
      </c>
      <c r="D845" t="n">
        <v>-7.09692212907</v>
      </c>
      <c r="E845" t="n">
        <v>1</v>
      </c>
      <c r="F845" t="n">
        <v>1</v>
      </c>
      <c r="G845" t="n">
        <v>2</v>
      </c>
      <c r="J845" t="inlineStr">
        <is>
          <t>Moda</t>
        </is>
      </c>
      <c r="K845" t="n">
        <v>1</v>
      </c>
      <c r="L845" t="n">
        <v>1.382</v>
      </c>
      <c r="M845" t="n">
        <v>0</v>
      </c>
      <c r="N845" t="inlineStr">
        <is>
          <t>train</t>
        </is>
      </c>
      <c r="O845">
        <f>HYPERLINK("1\1\marker_459_957895.png", "Ver Imagen")</f>
        <v/>
      </c>
      <c r="P845">
        <f>HYPERLINK("SE\A-5052\A-5052__116.png", "Ver Imagen")</f>
        <v/>
      </c>
    </row>
    <row r="846">
      <c r="A846" t="n">
        <v>260</v>
      </c>
      <c r="B846" t="inlineStr">
        <is>
          <t>A-5052__116</t>
        </is>
      </c>
      <c r="C846" t="n">
        <v>37.2167797197</v>
      </c>
      <c r="D846" t="n">
        <v>-7.09692212907</v>
      </c>
      <c r="E846" t="n">
        <v>1</v>
      </c>
      <c r="F846" t="n">
        <v>1</v>
      </c>
      <c r="G846" t="n">
        <v>2</v>
      </c>
      <c r="J846" t="inlineStr">
        <is>
          <t>Moda</t>
        </is>
      </c>
      <c r="K846" t="n">
        <v>1</v>
      </c>
      <c r="L846" t="n">
        <v>1</v>
      </c>
      <c r="M846" t="n">
        <v>0</v>
      </c>
      <c r="N846" t="inlineStr">
        <is>
          <t>train</t>
        </is>
      </c>
      <c r="O846">
        <f>HYPERLINK("1\1\marker_459_957895.png", "Ver Imagen")</f>
        <v/>
      </c>
      <c r="P846">
        <f>HYPERLINK("SO\A-5052\A-5052__116.png", "Ver Imagen")</f>
        <v/>
      </c>
    </row>
    <row r="847">
      <c r="A847" t="n">
        <v>261</v>
      </c>
      <c r="B847" t="inlineStr">
        <is>
          <t>A-5052__241</t>
        </is>
      </c>
      <c r="C847" t="n">
        <v>37.2133168525</v>
      </c>
      <c r="D847" t="n">
        <v>-7.06583851517</v>
      </c>
      <c r="E847" t="n">
        <v>1</v>
      </c>
      <c r="F847" t="n">
        <v>1</v>
      </c>
      <c r="G847" t="n">
        <v>2</v>
      </c>
      <c r="J847" t="inlineStr">
        <is>
          <t>Moda</t>
        </is>
      </c>
      <c r="K847" t="n">
        <v>1</v>
      </c>
      <c r="L847" t="n">
        <v>1.042</v>
      </c>
      <c r="M847" t="n">
        <v>0</v>
      </c>
      <c r="N847" t="inlineStr">
        <is>
          <t>train</t>
        </is>
      </c>
      <c r="O847">
        <f>HYPERLINK("1\1\marker_347_959965.png", "Ver Imagen")</f>
        <v/>
      </c>
      <c r="P847">
        <f>HYPERLINK("SE\A-5052\A-5052__241.png", "Ver Imagen")</f>
        <v/>
      </c>
    </row>
    <row r="848">
      <c r="A848" t="n">
        <v>262</v>
      </c>
      <c r="B848" t="inlineStr">
        <is>
          <t>A-5052__324</t>
        </is>
      </c>
      <c r="C848" t="n">
        <v>37.2113819218</v>
      </c>
      <c r="D848" t="n">
        <v>-7.04575107624</v>
      </c>
      <c r="E848" t="n">
        <v>1</v>
      </c>
      <c r="F848" t="n">
        <v>1</v>
      </c>
      <c r="G848" t="n">
        <v>2</v>
      </c>
      <c r="J848" t="inlineStr">
        <is>
          <t>Moda</t>
        </is>
      </c>
      <c r="K848" t="n">
        <v>1</v>
      </c>
      <c r="L848" t="n">
        <v>1.049</v>
      </c>
      <c r="M848" t="n">
        <v>0</v>
      </c>
      <c r="N848" t="inlineStr">
        <is>
          <t>train</t>
        </is>
      </c>
      <c r="O848">
        <f>HYPERLINK("1\1\marker_294_961314.png", "Ver Imagen")</f>
        <v/>
      </c>
      <c r="P848">
        <f>HYPERLINK("SE\A-5052\A-5052__324.png", "Ver Imagen")</f>
        <v/>
      </c>
    </row>
    <row r="849">
      <c r="A849" t="n">
        <v>263</v>
      </c>
      <c r="B849" t="inlineStr">
        <is>
          <t>A-495_1__133</t>
        </is>
      </c>
      <c r="C849" t="n">
        <v>37.4735585683</v>
      </c>
      <c r="D849" t="n">
        <v>-7.12631792804</v>
      </c>
      <c r="E849" t="n">
        <v>2</v>
      </c>
      <c r="F849" t="n">
        <v>1</v>
      </c>
      <c r="G849" t="n">
        <v>1</v>
      </c>
      <c r="J849" t="inlineStr">
        <is>
          <t>Moda</t>
        </is>
      </c>
      <c r="K849" t="n">
        <v>1</v>
      </c>
      <c r="L849" t="n">
        <v>1.207</v>
      </c>
      <c r="M849" t="n">
        <v>0</v>
      </c>
      <c r="N849" t="inlineStr">
        <is>
          <t>train</t>
        </is>
      </c>
      <c r="O849">
        <f>HYPERLINK("1\1\marker_791_384440.png", "Ver Imagen")</f>
        <v/>
      </c>
      <c r="P849">
        <f>HYPERLINK("NE\A-495_1\A-495_1__133.png", "Ver Imagen")</f>
        <v/>
      </c>
    </row>
    <row r="850">
      <c r="A850" t="n">
        <v>264</v>
      </c>
      <c r="B850" t="inlineStr">
        <is>
          <t>A-490__68</t>
        </is>
      </c>
      <c r="C850" t="n">
        <v>37.448423712</v>
      </c>
      <c r="D850" t="n">
        <v>-7.14264618638</v>
      </c>
      <c r="E850" t="n">
        <v>2</v>
      </c>
      <c r="F850" t="n">
        <v>2</v>
      </c>
      <c r="G850" t="n">
        <v>2</v>
      </c>
      <c r="J850" t="inlineStr">
        <is>
          <t>Moda</t>
        </is>
      </c>
      <c r="K850" t="n">
        <v>2</v>
      </c>
      <c r="L850" t="n">
        <v>1.894</v>
      </c>
      <c r="M850" t="n">
        <v>0</v>
      </c>
      <c r="N850" t="inlineStr">
        <is>
          <t>train</t>
        </is>
      </c>
      <c r="O850">
        <f>HYPERLINK("2\0\marker_512_738103.png", "Ver Imagen")</f>
        <v/>
      </c>
      <c r="P850">
        <f>HYPERLINK("NE\A-490\A-490__68.png", "Ver Imagen")</f>
        <v/>
      </c>
    </row>
    <row r="851">
      <c r="A851" t="n">
        <v>265</v>
      </c>
      <c r="B851" t="inlineStr">
        <is>
          <t>A-490__269</t>
        </is>
      </c>
      <c r="C851" t="n">
        <v>37.4679609874</v>
      </c>
      <c r="D851" t="n">
        <v>-7.18589862007</v>
      </c>
      <c r="E851" t="n">
        <v>2</v>
      </c>
      <c r="F851" t="n">
        <v>2</v>
      </c>
      <c r="G851" t="n">
        <v>2</v>
      </c>
      <c r="J851" t="inlineStr">
        <is>
          <t>Moda</t>
        </is>
      </c>
      <c r="K851" t="n">
        <v>2</v>
      </c>
      <c r="L851" t="n">
        <v>1.998</v>
      </c>
      <c r="M851" t="n">
        <v>0</v>
      </c>
      <c r="N851" t="inlineStr">
        <is>
          <t>train</t>
        </is>
      </c>
      <c r="O851">
        <f>HYPERLINK("2\0\marker_724_749880.png", "Ver Imagen")</f>
        <v/>
      </c>
      <c r="P851">
        <f>HYPERLINK("NE\A-490\A-490__269.png", "Ver Imagen")</f>
        <v/>
      </c>
    </row>
    <row r="852">
      <c r="A852" t="n">
        <v>265</v>
      </c>
      <c r="B852" t="inlineStr">
        <is>
          <t>A-490__269</t>
        </is>
      </c>
      <c r="C852" t="n">
        <v>37.4679609874</v>
      </c>
      <c r="D852" t="n">
        <v>-7.18589862007</v>
      </c>
      <c r="E852" t="n">
        <v>2</v>
      </c>
      <c r="F852" t="n">
        <v>2</v>
      </c>
      <c r="G852" t="n">
        <v>2</v>
      </c>
      <c r="J852" t="inlineStr">
        <is>
          <t>Moda</t>
        </is>
      </c>
      <c r="K852" t="n">
        <v>2</v>
      </c>
      <c r="L852" t="n">
        <v>1.805</v>
      </c>
      <c r="M852" t="n">
        <v>0</v>
      </c>
      <c r="N852" t="inlineStr">
        <is>
          <t>train</t>
        </is>
      </c>
      <c r="O852">
        <f>HYPERLINK("2\0\marker_724_749880.png", "Ver Imagen")</f>
        <v/>
      </c>
      <c r="P852">
        <f>HYPERLINK("NO\A-490\A-490__269.png", "Ver Imagen")</f>
        <v/>
      </c>
    </row>
    <row r="853">
      <c r="A853" t="n">
        <v>267</v>
      </c>
      <c r="B853" t="inlineStr">
        <is>
          <t>A-490__418</t>
        </is>
      </c>
      <c r="C853" t="n">
        <v>37.4827287986</v>
      </c>
      <c r="D853" t="n">
        <v>-7.21878945837</v>
      </c>
      <c r="E853" t="n">
        <v>2</v>
      </c>
      <c r="F853" t="n">
        <v>2</v>
      </c>
      <c r="G853" t="n">
        <v>2</v>
      </c>
      <c r="J853" t="inlineStr">
        <is>
          <t>Moda</t>
        </is>
      </c>
      <c r="K853" t="n">
        <v>2</v>
      </c>
      <c r="L853" t="n">
        <v>1.902</v>
      </c>
      <c r="M853" t="n">
        <v>0</v>
      </c>
      <c r="N853" t="inlineStr">
        <is>
          <t>train</t>
        </is>
      </c>
      <c r="O853">
        <f>HYPERLINK("2\0\marker_329_754266.png", "Ver Imagen")</f>
        <v/>
      </c>
      <c r="P853">
        <f>HYPERLINK("NO\A-490\A-490__418.png", "Ver Imagen")</f>
        <v/>
      </c>
    </row>
    <row r="854">
      <c r="A854" t="n">
        <v>268</v>
      </c>
      <c r="B854" t="inlineStr">
        <is>
          <t>A-490__439</t>
        </is>
      </c>
      <c r="C854" t="n">
        <v>37.4837397814</v>
      </c>
      <c r="D854" t="n">
        <v>-7.22395911839</v>
      </c>
      <c r="E854" t="n">
        <v>2</v>
      </c>
      <c r="F854" t="n">
        <v>2</v>
      </c>
      <c r="G854" t="n">
        <v>2</v>
      </c>
      <c r="J854" t="inlineStr">
        <is>
          <t>Moda</t>
        </is>
      </c>
      <c r="K854" t="n">
        <v>2</v>
      </c>
      <c r="L854" t="n">
        <v>2.214</v>
      </c>
      <c r="M854" t="n">
        <v>0</v>
      </c>
      <c r="N854" t="inlineStr">
        <is>
          <t>val</t>
        </is>
      </c>
      <c r="O854">
        <f>HYPERLINK("2\0\marker_633_754637.png", "Ver Imagen")</f>
        <v/>
      </c>
      <c r="P854">
        <f>HYPERLINK("NO\A-490\A-490__439.png", "Ver Imagen")</f>
        <v/>
      </c>
    </row>
    <row r="855">
      <c r="A855" t="n">
        <v>269</v>
      </c>
      <c r="B855" t="inlineStr">
        <is>
          <t>A-490__446</t>
        </is>
      </c>
      <c r="C855" t="n">
        <v>37.4840611264</v>
      </c>
      <c r="D855" t="n">
        <v>-7.22562426692</v>
      </c>
      <c r="E855" t="n">
        <v>2</v>
      </c>
      <c r="F855" t="n">
        <v>2</v>
      </c>
      <c r="G855" t="n">
        <v>2</v>
      </c>
      <c r="J855" t="inlineStr">
        <is>
          <t>Moda</t>
        </is>
      </c>
      <c r="K855" t="n">
        <v>2</v>
      </c>
      <c r="L855" t="n">
        <v>2.364</v>
      </c>
      <c r="M855" t="n">
        <v>0</v>
      </c>
      <c r="N855" t="inlineStr">
        <is>
          <t>train</t>
        </is>
      </c>
      <c r="O855">
        <f>HYPERLINK("2\0\marker_242_754904.png", "Ver Imagen")</f>
        <v/>
      </c>
      <c r="P855">
        <f>HYPERLINK("NO\A-490\A-490__446.png", "Ver Imagen")</f>
        <v/>
      </c>
    </row>
    <row r="856">
      <c r="A856" t="n">
        <v>270</v>
      </c>
      <c r="B856" t="inlineStr">
        <is>
          <t>A-490__448</t>
        </is>
      </c>
      <c r="C856" t="n">
        <v>37.4841493276</v>
      </c>
      <c r="D856" t="n">
        <v>-7.22608015338</v>
      </c>
      <c r="E856" t="n">
        <v>2</v>
      </c>
      <c r="F856" t="n">
        <v>2</v>
      </c>
      <c r="G856" t="n">
        <v>2</v>
      </c>
      <c r="J856" t="inlineStr">
        <is>
          <t>Moda</t>
        </is>
      </c>
      <c r="K856" t="n">
        <v>2</v>
      </c>
      <c r="L856" t="n">
        <v>2.128</v>
      </c>
      <c r="M856" t="n">
        <v>0</v>
      </c>
      <c r="N856" t="inlineStr">
        <is>
          <t>val</t>
        </is>
      </c>
      <c r="O856">
        <f>HYPERLINK("2\0\marker_282_754987.png", "Ver Imagen")</f>
        <v/>
      </c>
      <c r="P856">
        <f>HYPERLINK("NO\A-490\A-490__448.png", "Ver Imagen")</f>
        <v/>
      </c>
    </row>
    <row r="857">
      <c r="A857" t="n">
        <v>271</v>
      </c>
      <c r="B857" t="inlineStr">
        <is>
          <t>A-490__449</t>
        </is>
      </c>
      <c r="C857" t="n">
        <v>37.4842006509</v>
      </c>
      <c r="D857" t="n">
        <v>-7.22635336184</v>
      </c>
      <c r="E857" t="n">
        <v>2</v>
      </c>
      <c r="F857" t="n">
        <v>2</v>
      </c>
      <c r="G857" t="n">
        <v>2</v>
      </c>
      <c r="J857" t="inlineStr">
        <is>
          <t>Moda</t>
        </is>
      </c>
      <c r="K857" t="n">
        <v>2</v>
      </c>
      <c r="L857" t="n">
        <v>1.946</v>
      </c>
      <c r="M857" t="n">
        <v>0</v>
      </c>
      <c r="N857" t="inlineStr">
        <is>
          <t>train</t>
        </is>
      </c>
      <c r="O857">
        <f>HYPERLINK("2\0\marker_386_755003.png", "Ver Imagen")</f>
        <v/>
      </c>
      <c r="P857">
        <f>HYPERLINK("NO\A-490\A-490__449.png", "Ver Imagen")</f>
        <v/>
      </c>
    </row>
    <row r="858">
      <c r="A858" t="n">
        <v>272</v>
      </c>
      <c r="B858" t="inlineStr">
        <is>
          <t>A-490__457</t>
        </is>
      </c>
      <c r="C858" t="n">
        <v>37.4846006899</v>
      </c>
      <c r="D858" t="n">
        <v>-7.22839225504</v>
      </c>
      <c r="E858" t="n">
        <v>2</v>
      </c>
      <c r="F858" t="n">
        <v>2</v>
      </c>
      <c r="G858" t="n">
        <v>2</v>
      </c>
      <c r="J858" t="inlineStr">
        <is>
          <t>Moda</t>
        </is>
      </c>
      <c r="K858" t="n">
        <v>2</v>
      </c>
      <c r="L858" t="n">
        <v>1.812</v>
      </c>
      <c r="M858" t="n">
        <v>0</v>
      </c>
      <c r="N858" t="inlineStr">
        <is>
          <t>train</t>
        </is>
      </c>
      <c r="O858">
        <f>HYPERLINK("2\0\marker_349_755165.png", "Ver Imagen")</f>
        <v/>
      </c>
      <c r="P858">
        <f>HYPERLINK("NO\A-490\A-490__457.png", "Ver Imagen")</f>
        <v/>
      </c>
    </row>
    <row r="859">
      <c r="A859" t="n">
        <v>273</v>
      </c>
      <c r="B859" t="inlineStr">
        <is>
          <t>A-490__459</t>
        </is>
      </c>
      <c r="C859" t="n">
        <v>37.484683681</v>
      </c>
      <c r="D859" t="n">
        <v>-7.22881641769</v>
      </c>
      <c r="E859" t="n">
        <v>2</v>
      </c>
      <c r="F859" t="n">
        <v>2</v>
      </c>
      <c r="G859" t="n">
        <v>2</v>
      </c>
      <c r="J859" t="inlineStr">
        <is>
          <t>Moda</t>
        </is>
      </c>
      <c r="K859" t="n">
        <v>2</v>
      </c>
      <c r="L859" t="n">
        <v>2.167</v>
      </c>
      <c r="M859" t="n">
        <v>0</v>
      </c>
      <c r="N859" t="inlineStr">
        <is>
          <t>train</t>
        </is>
      </c>
      <c r="O859">
        <f>HYPERLINK("2\0\marker_154_755199.png", "Ver Imagen")</f>
        <v/>
      </c>
      <c r="P859">
        <f>HYPERLINK("NO\A-490\A-490__459.png", "Ver Imagen")</f>
        <v/>
      </c>
    </row>
    <row r="860">
      <c r="A860" t="n">
        <v>274</v>
      </c>
      <c r="B860" t="inlineStr">
        <is>
          <t>A-490__461</t>
        </is>
      </c>
      <c r="C860" t="n">
        <v>37.4847802852</v>
      </c>
      <c r="D860" t="n">
        <v>-7.22931698332</v>
      </c>
      <c r="E860" t="n">
        <v>2</v>
      </c>
      <c r="F860" t="n">
        <v>2</v>
      </c>
      <c r="G860" t="n">
        <v>2</v>
      </c>
      <c r="J860" t="inlineStr">
        <is>
          <t>Moda</t>
        </is>
      </c>
      <c r="K860" t="n">
        <v>2</v>
      </c>
      <c r="L860" t="n">
        <v>1.922</v>
      </c>
      <c r="M860" t="n">
        <v>0</v>
      </c>
      <c r="N860" t="inlineStr">
        <is>
          <t>train</t>
        </is>
      </c>
      <c r="O860">
        <f>HYPERLINK("2\0\marker_680_755233.png", "Ver Imagen")</f>
        <v/>
      </c>
      <c r="P860">
        <f>HYPERLINK("NO\A-490\A-490__461.png", "Ver Imagen")</f>
        <v/>
      </c>
    </row>
    <row r="861">
      <c r="A861" t="n">
        <v>275</v>
      </c>
      <c r="B861" t="inlineStr">
        <is>
          <t>A-490__471</t>
        </is>
      </c>
      <c r="C861" t="n">
        <v>37.4852683887</v>
      </c>
      <c r="D861" t="n">
        <v>-7.23184713925</v>
      </c>
      <c r="E861" t="n">
        <v>2</v>
      </c>
      <c r="F861" t="n">
        <v>2</v>
      </c>
      <c r="G861" t="n">
        <v>2</v>
      </c>
      <c r="J861" t="inlineStr">
        <is>
          <t>Moda</t>
        </is>
      </c>
      <c r="K861" t="n">
        <v>2</v>
      </c>
      <c r="L861" t="n">
        <v>1.738</v>
      </c>
      <c r="M861" t="n">
        <v>0</v>
      </c>
      <c r="N861" t="inlineStr">
        <is>
          <t>train</t>
        </is>
      </c>
      <c r="O861">
        <f>HYPERLINK("2\0\marker_143_755416.png", "Ver Imagen")</f>
        <v/>
      </c>
      <c r="P861">
        <f>HYPERLINK("NO\A-490\A-490__471.png", "Ver Imagen")</f>
        <v/>
      </c>
    </row>
    <row r="862">
      <c r="A862" t="n">
        <v>276</v>
      </c>
      <c r="B862" t="inlineStr">
        <is>
          <t>A-490__482</t>
        </is>
      </c>
      <c r="C862" t="n">
        <v>37.4857774625</v>
      </c>
      <c r="D862" t="n">
        <v>-7.23453318716</v>
      </c>
      <c r="E862" t="n">
        <v>2</v>
      </c>
      <c r="F862" t="n">
        <v>2</v>
      </c>
      <c r="G862" t="n">
        <v>2</v>
      </c>
      <c r="J862" t="inlineStr">
        <is>
          <t>Moda</t>
        </is>
      </c>
      <c r="K862" t="n">
        <v>2</v>
      </c>
      <c r="L862" t="n">
        <v>1.862</v>
      </c>
      <c r="M862" t="n">
        <v>0</v>
      </c>
      <c r="N862" t="inlineStr">
        <is>
          <t>train</t>
        </is>
      </c>
      <c r="O862">
        <f>HYPERLINK("2\0\marker_228_755620.png", "Ver Imagen")</f>
        <v/>
      </c>
      <c r="P862">
        <f>HYPERLINK("NO\A-490\A-490__482.png", "Ver Imagen")</f>
        <v/>
      </c>
    </row>
    <row r="863">
      <c r="A863" t="n">
        <v>277</v>
      </c>
      <c r="B863" t="inlineStr">
        <is>
          <t>A-490__483</t>
        </is>
      </c>
      <c r="C863" t="n">
        <v>37.4858302279</v>
      </c>
      <c r="D863" t="n">
        <v>-7.23480409484</v>
      </c>
      <c r="E863" t="n">
        <v>2</v>
      </c>
      <c r="F863" t="n">
        <v>2</v>
      </c>
      <c r="G863" t="n">
        <v>2</v>
      </c>
      <c r="J863" t="inlineStr">
        <is>
          <t>Moda</t>
        </is>
      </c>
      <c r="K863" t="n">
        <v>2</v>
      </c>
      <c r="L863" t="n">
        <v>1.989</v>
      </c>
      <c r="M863" t="n">
        <v>0</v>
      </c>
      <c r="N863" t="inlineStr">
        <is>
          <t>train</t>
        </is>
      </c>
      <c r="O863">
        <f>HYPERLINK("2\0\marker_472_755634.png", "Ver Imagen")</f>
        <v/>
      </c>
      <c r="P863">
        <f>HYPERLINK("NO\A-490\A-490__483.png", "Ver Imagen")</f>
        <v/>
      </c>
    </row>
    <row r="864">
      <c r="A864" t="n">
        <v>278</v>
      </c>
      <c r="B864" t="inlineStr">
        <is>
          <t>A-490__485</t>
        </is>
      </c>
      <c r="C864" t="n">
        <v>37.4859207909</v>
      </c>
      <c r="D864" t="n">
        <v>-7.23526307682</v>
      </c>
      <c r="E864" t="n">
        <v>2</v>
      </c>
      <c r="F864" t="n">
        <v>2</v>
      </c>
      <c r="G864" t="n">
        <v>2</v>
      </c>
      <c r="J864" t="inlineStr">
        <is>
          <t>Moda</t>
        </is>
      </c>
      <c r="K864" t="n">
        <v>2</v>
      </c>
      <c r="L864" t="n">
        <v>1.93</v>
      </c>
      <c r="M864" t="n">
        <v>0</v>
      </c>
      <c r="N864" t="inlineStr">
        <is>
          <t>val</t>
        </is>
      </c>
      <c r="O864">
        <f>HYPERLINK("2\0\marker_553_755672.png", "Ver Imagen")</f>
        <v/>
      </c>
      <c r="P864">
        <f>HYPERLINK("NO\A-490\A-490__485.png", "Ver Imagen")</f>
        <v/>
      </c>
    </row>
    <row r="865">
      <c r="A865" t="n">
        <v>279</v>
      </c>
      <c r="B865" t="inlineStr">
        <is>
          <t>A-490__486</t>
        </is>
      </c>
      <c r="C865" t="n">
        <v>37.4859643936</v>
      </c>
      <c r="D865" t="n">
        <v>-7.23548255156</v>
      </c>
      <c r="E865" t="n">
        <v>2</v>
      </c>
      <c r="F865" t="n">
        <v>2</v>
      </c>
      <c r="G865" t="n">
        <v>2</v>
      </c>
      <c r="J865" t="inlineStr">
        <is>
          <t>Moda</t>
        </is>
      </c>
      <c r="K865" t="n">
        <v>2</v>
      </c>
      <c r="L865" t="n">
        <v>1.525</v>
      </c>
      <c r="M865" t="n">
        <v>0</v>
      </c>
      <c r="N865" t="inlineStr">
        <is>
          <t>val</t>
        </is>
      </c>
      <c r="O865">
        <f>HYPERLINK("2\0\marker_161_755689.png", "Ver Imagen")</f>
        <v/>
      </c>
      <c r="P865">
        <f>HYPERLINK("NO\A-490\A-490__486.png", "Ver Imagen")</f>
        <v/>
      </c>
    </row>
    <row r="866">
      <c r="A866" t="n">
        <v>280</v>
      </c>
      <c r="B866" t="inlineStr">
        <is>
          <t>A-490__499</t>
        </is>
      </c>
      <c r="C866" t="n">
        <v>37.4865876247</v>
      </c>
      <c r="D866" t="n">
        <v>-7.23872835192</v>
      </c>
      <c r="E866" t="n">
        <v>2</v>
      </c>
      <c r="F866" t="n">
        <v>2</v>
      </c>
      <c r="G866" t="n">
        <v>2</v>
      </c>
      <c r="J866" t="inlineStr">
        <is>
          <t>Moda</t>
        </is>
      </c>
      <c r="K866" t="n">
        <v>2</v>
      </c>
      <c r="L866" t="n">
        <v>2.133</v>
      </c>
      <c r="M866" t="n">
        <v>0</v>
      </c>
      <c r="N866" t="inlineStr">
        <is>
          <t>train</t>
        </is>
      </c>
      <c r="O866">
        <f>HYPERLINK("2\0\marker_154_817552.png", "Ver Imagen")</f>
        <v/>
      </c>
      <c r="P866">
        <f>HYPERLINK("NO\A-490\A-490__499.png", "Ver Imagen")</f>
        <v/>
      </c>
    </row>
    <row r="867">
      <c r="A867" t="n">
        <v>281</v>
      </c>
      <c r="B867" t="inlineStr">
        <is>
          <t>A-490__510</t>
        </is>
      </c>
      <c r="C867" t="n">
        <v>37.4870336287</v>
      </c>
      <c r="D867" t="n">
        <v>-7.24145796569</v>
      </c>
      <c r="E867" t="n">
        <v>2</v>
      </c>
      <c r="F867" t="n">
        <v>2</v>
      </c>
      <c r="G867" t="n">
        <v>2</v>
      </c>
      <c r="J867" t="inlineStr">
        <is>
          <t>Moda</t>
        </is>
      </c>
      <c r="K867" t="n">
        <v>2</v>
      </c>
      <c r="L867" t="n">
        <v>1.902</v>
      </c>
      <c r="M867" t="n">
        <v>0</v>
      </c>
      <c r="N867" t="inlineStr">
        <is>
          <t>train</t>
        </is>
      </c>
      <c r="O867">
        <f>HYPERLINK("2\0\marker_168_817773.png", "Ver Imagen")</f>
        <v/>
      </c>
      <c r="P867">
        <f>HYPERLINK("NO\A-490\A-490__510.png", "Ver Imagen")</f>
        <v/>
      </c>
    </row>
    <row r="868">
      <c r="A868" t="n">
        <v>282</v>
      </c>
      <c r="B868" t="inlineStr">
        <is>
          <t>A-490__513</t>
        </is>
      </c>
      <c r="C868" t="n">
        <v>37.4871008081</v>
      </c>
      <c r="D868" t="n">
        <v>-7.24219832721</v>
      </c>
      <c r="E868" t="n">
        <v>2</v>
      </c>
      <c r="F868" t="n">
        <v>2</v>
      </c>
      <c r="G868" t="n">
        <v>2</v>
      </c>
      <c r="J868" t="inlineStr">
        <is>
          <t>Moda</t>
        </is>
      </c>
      <c r="K868" t="n">
        <v>2</v>
      </c>
      <c r="L868" t="n">
        <v>1.951</v>
      </c>
      <c r="M868" t="n">
        <v>0</v>
      </c>
      <c r="N868" t="inlineStr">
        <is>
          <t>train</t>
        </is>
      </c>
      <c r="O868">
        <f>HYPERLINK("2\0\marker_509_817870.png", "Ver Imagen")</f>
        <v/>
      </c>
      <c r="P868">
        <f>HYPERLINK("NO\A-490\A-490__513.png", "Ver Imagen")</f>
        <v/>
      </c>
    </row>
    <row r="869">
      <c r="A869" t="n">
        <v>283</v>
      </c>
      <c r="B869" t="inlineStr">
        <is>
          <t>A-490__522</t>
        </is>
      </c>
      <c r="C869" t="n">
        <v>37.4875929047</v>
      </c>
      <c r="D869" t="n">
        <v>-7.24437575193</v>
      </c>
      <c r="E869" t="n">
        <v>2</v>
      </c>
      <c r="F869" t="n">
        <v>2</v>
      </c>
      <c r="G869" t="n">
        <v>2</v>
      </c>
      <c r="J869" t="inlineStr">
        <is>
          <t>Moda</t>
        </is>
      </c>
      <c r="K869" t="n">
        <v>2</v>
      </c>
      <c r="L869" t="n">
        <v>2.487</v>
      </c>
      <c r="M869" t="n">
        <v>0</v>
      </c>
      <c r="N869" t="inlineStr">
        <is>
          <t>val</t>
        </is>
      </c>
      <c r="O869">
        <f>HYPERLINK("2\0\marker_864_818086.png", "Ver Imagen")</f>
        <v/>
      </c>
      <c r="P869">
        <f>HYPERLINK("NO\A-490\A-490__522.png", "Ver Imagen")</f>
        <v/>
      </c>
    </row>
    <row r="870">
      <c r="A870" t="n">
        <v>284</v>
      </c>
      <c r="B870" t="inlineStr">
        <is>
          <t>A-490__541</t>
        </is>
      </c>
      <c r="C870" t="n">
        <v>37.4896609185</v>
      </c>
      <c r="D870" t="n">
        <v>-7.24839515687</v>
      </c>
      <c r="E870" t="n">
        <v>2</v>
      </c>
      <c r="F870" t="n">
        <v>2</v>
      </c>
      <c r="G870" t="n">
        <v>2</v>
      </c>
      <c r="J870" t="inlineStr">
        <is>
          <t>Moda</t>
        </is>
      </c>
      <c r="K870" t="n">
        <v>2</v>
      </c>
      <c r="L870" t="n">
        <v>2.458</v>
      </c>
      <c r="M870" t="n">
        <v>0</v>
      </c>
      <c r="N870" t="inlineStr">
        <is>
          <t>train</t>
        </is>
      </c>
      <c r="O870">
        <f>HYPERLINK("2\0\marker_448_818359.png", "Ver Imagen")</f>
        <v/>
      </c>
      <c r="P870">
        <f>HYPERLINK("NO\A-490\A-490__541.png", "Ver Imagen")</f>
        <v/>
      </c>
    </row>
    <row r="871">
      <c r="A871" t="n">
        <v>285</v>
      </c>
      <c r="B871" t="inlineStr">
        <is>
          <t>A-490__593</t>
        </is>
      </c>
      <c r="C871" t="n">
        <v>37.4910080403</v>
      </c>
      <c r="D871" t="n">
        <v>-7.26052994375</v>
      </c>
      <c r="E871" t="n">
        <v>2</v>
      </c>
      <c r="F871" t="n">
        <v>2</v>
      </c>
      <c r="G871" t="n">
        <v>2</v>
      </c>
      <c r="J871" t="inlineStr">
        <is>
          <t>Moda</t>
        </is>
      </c>
      <c r="K871" t="n">
        <v>2</v>
      </c>
      <c r="L871" t="n">
        <v>2.028</v>
      </c>
      <c r="M871" t="n">
        <v>0</v>
      </c>
      <c r="N871" t="inlineStr">
        <is>
          <t>train</t>
        </is>
      </c>
      <c r="O871">
        <f>HYPERLINK("2\0\marker_790_819665.png", "Ver Imagen")</f>
        <v/>
      </c>
      <c r="P871">
        <f>HYPERLINK("NO\A-490\A-490__593.png", "Ver Imagen")</f>
        <v/>
      </c>
    </row>
    <row r="872">
      <c r="A872" t="n">
        <v>286</v>
      </c>
      <c r="B872" t="inlineStr">
        <is>
          <t>A-492__48</t>
        </is>
      </c>
      <c r="C872" t="n">
        <v>37.2791732547</v>
      </c>
      <c r="D872" t="n">
        <v>-6.99510404562</v>
      </c>
      <c r="E872" t="n">
        <v>2</v>
      </c>
      <c r="F872" t="n">
        <v>2</v>
      </c>
      <c r="G872" t="n">
        <v>2</v>
      </c>
      <c r="J872" t="inlineStr">
        <is>
          <t>Moda</t>
        </is>
      </c>
      <c r="K872" t="n">
        <v>2</v>
      </c>
      <c r="L872" t="n">
        <v>1.973</v>
      </c>
      <c r="M872" t="n">
        <v>0</v>
      </c>
      <c r="N872" t="inlineStr">
        <is>
          <t>train</t>
        </is>
      </c>
      <c r="O872">
        <f>HYPERLINK("2\0\marker_456_822972.png", "Ver Imagen")</f>
        <v/>
      </c>
      <c r="P872">
        <f>HYPERLINK("SE\A-492\A-492__48.png", "Ver Imagen")</f>
        <v/>
      </c>
    </row>
    <row r="873">
      <c r="A873" t="n">
        <v>287</v>
      </c>
      <c r="B873" t="inlineStr">
        <is>
          <t>A-492__49</t>
        </is>
      </c>
      <c r="C873" t="n">
        <v>37.2792358625</v>
      </c>
      <c r="D873" t="n">
        <v>-6.99535624059</v>
      </c>
      <c r="E873" t="n">
        <v>2</v>
      </c>
      <c r="F873" t="n">
        <v>2</v>
      </c>
      <c r="G873" t="n">
        <v>2</v>
      </c>
      <c r="J873" t="inlineStr">
        <is>
          <t>Moda</t>
        </is>
      </c>
      <c r="K873" t="n">
        <v>2</v>
      </c>
      <c r="L873" t="n">
        <v>1.613</v>
      </c>
      <c r="M873" t="n">
        <v>0</v>
      </c>
      <c r="N873" t="inlineStr">
        <is>
          <t>train</t>
        </is>
      </c>
      <c r="O873">
        <f>HYPERLINK("2\0\marker_570_822991.png", "Ver Imagen")</f>
        <v/>
      </c>
      <c r="P873">
        <f>HYPERLINK("SE\A-492\A-492__49.png", "Ver Imagen")</f>
        <v/>
      </c>
    </row>
    <row r="874">
      <c r="A874" t="n">
        <v>288</v>
      </c>
      <c r="B874" t="inlineStr">
        <is>
          <t>A-492__81</t>
        </is>
      </c>
      <c r="C874" t="n">
        <v>37.2806625701</v>
      </c>
      <c r="D874" t="n">
        <v>-7.0027589523</v>
      </c>
      <c r="E874" t="n">
        <v>2</v>
      </c>
      <c r="F874" t="n">
        <v>2</v>
      </c>
      <c r="G874" t="n">
        <v>2</v>
      </c>
      <c r="J874" t="inlineStr">
        <is>
          <t>Moda</t>
        </is>
      </c>
      <c r="K874" t="n">
        <v>2</v>
      </c>
      <c r="L874" t="n">
        <v>1.734</v>
      </c>
      <c r="M874" t="n">
        <v>0</v>
      </c>
      <c r="N874" t="inlineStr">
        <is>
          <t>train</t>
        </is>
      </c>
      <c r="O874">
        <f>HYPERLINK("2\0\marker_282_823501.png", "Ver Imagen")</f>
        <v/>
      </c>
      <c r="P874">
        <f>HYPERLINK("SE\A-492\A-492__81.png", "Ver Imagen")</f>
        <v/>
      </c>
    </row>
    <row r="875">
      <c r="A875" t="n">
        <v>289</v>
      </c>
      <c r="B875" t="inlineStr">
        <is>
          <t>A-492__144</t>
        </is>
      </c>
      <c r="C875" t="n">
        <v>37.2753580363</v>
      </c>
      <c r="D875" t="n">
        <v>-7.01672993536</v>
      </c>
      <c r="E875" t="n">
        <v>2</v>
      </c>
      <c r="F875" t="n">
        <v>2</v>
      </c>
      <c r="G875" t="n">
        <v>2</v>
      </c>
      <c r="J875" t="inlineStr">
        <is>
          <t>Moda</t>
        </is>
      </c>
      <c r="K875" t="n">
        <v>2</v>
      </c>
      <c r="L875" t="n">
        <v>1.781</v>
      </c>
      <c r="M875" t="n">
        <v>0</v>
      </c>
      <c r="N875" t="inlineStr">
        <is>
          <t>val</t>
        </is>
      </c>
      <c r="O875">
        <f>HYPERLINK("2\0\marker_917_824724.png", "Ver Imagen")</f>
        <v/>
      </c>
      <c r="P875">
        <f>HYPERLINK("SE\A-492\A-492__144.png", "Ver Imagen")</f>
        <v/>
      </c>
    </row>
    <row r="876">
      <c r="A876" t="n">
        <v>290</v>
      </c>
      <c r="B876" t="inlineStr">
        <is>
          <t>A-492__204</t>
        </is>
      </c>
      <c r="C876" t="n">
        <v>37.27917279</v>
      </c>
      <c r="D876" t="n">
        <v>-7.03059207396</v>
      </c>
      <c r="E876" t="n">
        <v>2</v>
      </c>
      <c r="F876" t="n">
        <v>2</v>
      </c>
      <c r="G876" t="n">
        <v>2</v>
      </c>
      <c r="J876" t="inlineStr">
        <is>
          <t>Moda</t>
        </is>
      </c>
      <c r="K876" t="n">
        <v>2</v>
      </c>
      <c r="L876" t="n">
        <v>1.732</v>
      </c>
      <c r="M876" t="n">
        <v>0</v>
      </c>
      <c r="N876" t="inlineStr">
        <is>
          <t>train</t>
        </is>
      </c>
      <c r="O876">
        <f>HYPERLINK("2\0\marker_137_831968.png", "Ver Imagen")</f>
        <v/>
      </c>
      <c r="P876">
        <f>HYPERLINK("SE\A-492\A-492__204.png", "Ver Imagen")</f>
        <v/>
      </c>
    </row>
    <row r="877">
      <c r="A877" t="n">
        <v>291</v>
      </c>
      <c r="B877" t="inlineStr">
        <is>
          <t>A-492__207</t>
        </is>
      </c>
      <c r="C877" t="n">
        <v>37.2796356629</v>
      </c>
      <c r="D877" t="n">
        <v>-7.0310154924</v>
      </c>
      <c r="E877" t="n">
        <v>2</v>
      </c>
      <c r="F877" t="n">
        <v>2</v>
      </c>
      <c r="G877" t="n">
        <v>2</v>
      </c>
      <c r="J877" t="inlineStr">
        <is>
          <t>Moda</t>
        </is>
      </c>
      <c r="K877" t="n">
        <v>2</v>
      </c>
      <c r="L877" t="n">
        <v>2.44</v>
      </c>
      <c r="M877" t="n">
        <v>0</v>
      </c>
      <c r="N877" t="inlineStr">
        <is>
          <t>test</t>
        </is>
      </c>
      <c r="O877">
        <f>HYPERLINK("2\0\marker_132_832006.png", "Ver Imagen")</f>
        <v/>
      </c>
      <c r="P877">
        <f>HYPERLINK("SE\A-492\A-492__207.png", "Ver Imagen")</f>
        <v/>
      </c>
    </row>
    <row r="878">
      <c r="A878" t="n">
        <v>292</v>
      </c>
      <c r="B878" t="inlineStr">
        <is>
          <t>A-492__208</t>
        </is>
      </c>
      <c r="C878" t="n">
        <v>37.2798401967</v>
      </c>
      <c r="D878" t="n">
        <v>-7.03119666723</v>
      </c>
      <c r="E878" t="n">
        <v>2</v>
      </c>
      <c r="F878" t="n">
        <v>2</v>
      </c>
      <c r="G878" t="n">
        <v>2</v>
      </c>
      <c r="J878" t="inlineStr">
        <is>
          <t>Moda</t>
        </is>
      </c>
      <c r="K878" t="n">
        <v>2</v>
      </c>
      <c r="L878" t="n">
        <v>1.979</v>
      </c>
      <c r="M878" t="n">
        <v>0</v>
      </c>
      <c r="N878" t="inlineStr">
        <is>
          <t>train</t>
        </is>
      </c>
      <c r="O878">
        <f>HYPERLINK("2\0\marker_822_832017.png", "Ver Imagen")</f>
        <v/>
      </c>
      <c r="P878">
        <f>HYPERLINK("SE\A-492\A-492__208.png", "Ver Imagen")</f>
        <v/>
      </c>
    </row>
    <row r="879">
      <c r="A879" t="n">
        <v>293</v>
      </c>
      <c r="B879" t="inlineStr">
        <is>
          <t>A-492__226</t>
        </is>
      </c>
      <c r="C879" t="n">
        <v>37.2830703631</v>
      </c>
      <c r="D879" t="n">
        <v>-7.033156645</v>
      </c>
      <c r="E879" t="n">
        <v>2</v>
      </c>
      <c r="F879" t="n">
        <v>2</v>
      </c>
      <c r="G879" t="n">
        <v>2</v>
      </c>
      <c r="J879" t="inlineStr">
        <is>
          <t>Moda</t>
        </is>
      </c>
      <c r="K879" t="n">
        <v>2</v>
      </c>
      <c r="L879" t="n">
        <v>1.798</v>
      </c>
      <c r="M879" t="n">
        <v>0</v>
      </c>
      <c r="N879" t="inlineStr">
        <is>
          <t>train</t>
        </is>
      </c>
      <c r="O879">
        <f>HYPERLINK("2\0\marker_268_835726.png", "Ver Imagen")</f>
        <v/>
      </c>
      <c r="P879">
        <f>HYPERLINK("SE\A-492\A-492__226.png", "Ver Imagen")</f>
        <v/>
      </c>
    </row>
    <row r="880">
      <c r="A880" t="n">
        <v>294</v>
      </c>
      <c r="B880" t="inlineStr">
        <is>
          <t>A-492__256</t>
        </is>
      </c>
      <c r="C880" t="n">
        <v>37.2850090245</v>
      </c>
      <c r="D880" t="n">
        <v>-7.04018263233</v>
      </c>
      <c r="E880" t="n">
        <v>2</v>
      </c>
      <c r="F880" t="n">
        <v>2</v>
      </c>
      <c r="G880" t="n">
        <v>2</v>
      </c>
      <c r="J880" t="inlineStr">
        <is>
          <t>Moda</t>
        </is>
      </c>
      <c r="K880" t="n">
        <v>2</v>
      </c>
      <c r="L880" t="n">
        <v>2</v>
      </c>
      <c r="M880" t="n">
        <v>0</v>
      </c>
      <c r="N880" t="inlineStr">
        <is>
          <t>train</t>
        </is>
      </c>
      <c r="O880">
        <f>HYPERLINK("2\0\marker_746_836185.png", "Ver Imagen")</f>
        <v/>
      </c>
      <c r="P880">
        <f>HYPERLINK("SE\A-492\A-492__256.png", "Ver Imagen")</f>
        <v/>
      </c>
    </row>
    <row r="881">
      <c r="A881" t="n">
        <v>295</v>
      </c>
      <c r="B881" t="inlineStr">
        <is>
          <t>A-492__257</t>
        </is>
      </c>
      <c r="C881" t="n">
        <v>37.2851096447</v>
      </c>
      <c r="D881" t="n">
        <v>-7.04036555956</v>
      </c>
      <c r="E881" t="n">
        <v>2</v>
      </c>
      <c r="F881" t="n">
        <v>2</v>
      </c>
      <c r="G881" t="n">
        <v>2</v>
      </c>
      <c r="J881" t="inlineStr">
        <is>
          <t>Moda</t>
        </is>
      </c>
      <c r="K881" t="n">
        <v>2</v>
      </c>
      <c r="L881" t="n">
        <v>2.245</v>
      </c>
      <c r="M881" t="n">
        <v>0</v>
      </c>
      <c r="N881" t="inlineStr">
        <is>
          <t>train</t>
        </is>
      </c>
      <c r="O881">
        <f>HYPERLINK("2\0\marker_536_836229.png", "Ver Imagen")</f>
        <v/>
      </c>
      <c r="P881">
        <f>HYPERLINK("SE\A-492\A-492__257.png", "Ver Imagen")</f>
        <v/>
      </c>
    </row>
    <row r="882">
      <c r="A882" t="n">
        <v>296</v>
      </c>
      <c r="B882" t="inlineStr">
        <is>
          <t>A-492__309</t>
        </is>
      </c>
      <c r="C882" t="n">
        <v>37.2938491494</v>
      </c>
      <c r="D882" t="n">
        <v>-7.04707226432</v>
      </c>
      <c r="E882" t="n">
        <v>2</v>
      </c>
      <c r="F882" t="n">
        <v>2</v>
      </c>
      <c r="G882" t="n">
        <v>2</v>
      </c>
      <c r="J882" t="inlineStr">
        <is>
          <t>Moda</t>
        </is>
      </c>
      <c r="K882" t="n">
        <v>2</v>
      </c>
      <c r="L882" t="n">
        <v>1.976</v>
      </c>
      <c r="M882" t="n">
        <v>0</v>
      </c>
      <c r="N882" t="inlineStr">
        <is>
          <t>train</t>
        </is>
      </c>
      <c r="O882">
        <f>HYPERLINK("2\0\marker_486_837660.png", "Ver Imagen")</f>
        <v/>
      </c>
      <c r="P882">
        <f>HYPERLINK("SE\A-492\A-492__309.png", "Ver Imagen")</f>
        <v/>
      </c>
    </row>
    <row r="883">
      <c r="A883" t="n">
        <v>297</v>
      </c>
      <c r="B883" t="inlineStr">
        <is>
          <t>A-492__313</t>
        </is>
      </c>
      <c r="C883" t="n">
        <v>37.2943679532</v>
      </c>
      <c r="D883" t="n">
        <v>-7.04778574505</v>
      </c>
      <c r="E883" t="n">
        <v>2</v>
      </c>
      <c r="F883" t="n">
        <v>2</v>
      </c>
      <c r="G883" t="n">
        <v>2</v>
      </c>
      <c r="J883" t="inlineStr">
        <is>
          <t>Moda</t>
        </is>
      </c>
      <c r="K883" t="n">
        <v>2</v>
      </c>
      <c r="L883" t="n">
        <v>2.258</v>
      </c>
      <c r="M883" t="n">
        <v>0</v>
      </c>
      <c r="N883" t="inlineStr">
        <is>
          <t>test</t>
        </is>
      </c>
      <c r="O883">
        <f>HYPERLINK("2\0\marker_575_837705.png", "Ver Imagen")</f>
        <v/>
      </c>
      <c r="P883">
        <f>HYPERLINK("SE\A-492\A-492__313.png", "Ver Imagen")</f>
        <v/>
      </c>
    </row>
    <row r="884">
      <c r="A884" t="n">
        <v>299</v>
      </c>
      <c r="B884" t="inlineStr">
        <is>
          <t>A-492__327</t>
        </is>
      </c>
      <c r="C884" t="n">
        <v>37.2964078702</v>
      </c>
      <c r="D884" t="n">
        <v>-7.05025742072</v>
      </c>
      <c r="E884" t="n">
        <v>2</v>
      </c>
      <c r="F884" t="n">
        <v>2</v>
      </c>
      <c r="G884" t="n">
        <v>2</v>
      </c>
      <c r="J884" t="inlineStr">
        <is>
          <t>Moda</t>
        </is>
      </c>
      <c r="K884" t="n">
        <v>2</v>
      </c>
      <c r="L884" t="n">
        <v>1.919</v>
      </c>
      <c r="M884" t="n">
        <v>0</v>
      </c>
      <c r="N884" t="inlineStr">
        <is>
          <t>train</t>
        </is>
      </c>
      <c r="O884">
        <f>HYPERLINK("2\0\marker_432_838045.png", "Ver Imagen")</f>
        <v/>
      </c>
      <c r="P884">
        <f>HYPERLINK("SE\A-492\A-492__327.png", "Ver Imagen")</f>
        <v/>
      </c>
    </row>
    <row r="885">
      <c r="A885" t="n">
        <v>300</v>
      </c>
      <c r="B885" t="inlineStr">
        <is>
          <t>A-492__331</t>
        </is>
      </c>
      <c r="C885" t="n">
        <v>37.2969201782</v>
      </c>
      <c r="D885" t="n">
        <v>-7.05111600859</v>
      </c>
      <c r="E885" t="n">
        <v>2</v>
      </c>
      <c r="F885" t="n">
        <v>2</v>
      </c>
      <c r="G885" t="n">
        <v>2</v>
      </c>
      <c r="J885" t="inlineStr">
        <is>
          <t>Moda</t>
        </is>
      </c>
      <c r="K885" t="n">
        <v>2</v>
      </c>
      <c r="L885" t="n">
        <v>1.952</v>
      </c>
      <c r="M885" t="n">
        <v>0</v>
      </c>
      <c r="N885" t="inlineStr">
        <is>
          <t>train</t>
        </is>
      </c>
      <c r="O885">
        <f>HYPERLINK("2\0\marker_894_838096.png", "Ver Imagen")</f>
        <v/>
      </c>
      <c r="P885">
        <f>HYPERLINK("SE\A-492\A-492__331.png", "Ver Imagen")</f>
        <v/>
      </c>
    </row>
    <row r="886">
      <c r="A886" t="n">
        <v>301</v>
      </c>
      <c r="B886" t="inlineStr">
        <is>
          <t>A-492__332</t>
        </is>
      </c>
      <c r="C886" t="n">
        <v>37.2970052408</v>
      </c>
      <c r="D886" t="n">
        <v>-7.0513168243</v>
      </c>
      <c r="E886" t="n">
        <v>2</v>
      </c>
      <c r="F886" t="n">
        <v>2</v>
      </c>
      <c r="G886" t="n">
        <v>2</v>
      </c>
      <c r="J886" t="inlineStr">
        <is>
          <t>Moda</t>
        </is>
      </c>
      <c r="K886" t="n">
        <v>2</v>
      </c>
      <c r="L886" t="n">
        <v>2.125</v>
      </c>
      <c r="M886" t="n">
        <v>0</v>
      </c>
      <c r="N886" t="inlineStr">
        <is>
          <t>train</t>
        </is>
      </c>
      <c r="O886">
        <f>HYPERLINK("2\0\marker_356_838109.png", "Ver Imagen")</f>
        <v/>
      </c>
      <c r="P886">
        <f>HYPERLINK("SE\A-492\A-492__332.png", "Ver Imagen")</f>
        <v/>
      </c>
    </row>
    <row r="887">
      <c r="A887" t="n">
        <v>302</v>
      </c>
      <c r="B887" t="inlineStr">
        <is>
          <t>A-492__345</t>
        </is>
      </c>
      <c r="C887" t="n">
        <v>37.2984185272</v>
      </c>
      <c r="D887" t="n">
        <v>-7.05392510126</v>
      </c>
      <c r="E887" t="n">
        <v>2</v>
      </c>
      <c r="F887" t="n">
        <v>2</v>
      </c>
      <c r="G887" t="n">
        <v>2</v>
      </c>
      <c r="J887" t="inlineStr">
        <is>
          <t>Moda</t>
        </is>
      </c>
      <c r="K887" t="n">
        <v>2</v>
      </c>
      <c r="L887" t="n">
        <v>2.228</v>
      </c>
      <c r="M887" t="n">
        <v>0</v>
      </c>
      <c r="N887" t="inlineStr">
        <is>
          <t>train</t>
        </is>
      </c>
      <c r="O887">
        <f>HYPERLINK("2\0\marker_320_838297.png", "Ver Imagen")</f>
        <v/>
      </c>
      <c r="P887">
        <f>HYPERLINK("SE\A-492\A-492__345.png", "Ver Imagen")</f>
        <v/>
      </c>
    </row>
    <row r="888">
      <c r="A888" t="n">
        <v>303</v>
      </c>
      <c r="B888" t="inlineStr">
        <is>
          <t>A-492__348</t>
        </is>
      </c>
      <c r="C888" t="n">
        <v>37.298973885</v>
      </c>
      <c r="D888" t="n">
        <v>-7.05427702237</v>
      </c>
      <c r="E888" t="n">
        <v>2</v>
      </c>
      <c r="F888" t="n">
        <v>2</v>
      </c>
      <c r="G888" t="n">
        <v>2</v>
      </c>
      <c r="J888" t="inlineStr">
        <is>
          <t>Moda</t>
        </is>
      </c>
      <c r="K888" t="n">
        <v>2</v>
      </c>
      <c r="L888" t="n">
        <v>1.984</v>
      </c>
      <c r="M888" t="n">
        <v>0</v>
      </c>
      <c r="N888" t="inlineStr">
        <is>
          <t>train</t>
        </is>
      </c>
      <c r="O888">
        <f>HYPERLINK("2\0\marker_104_838337.png", "Ver Imagen")</f>
        <v/>
      </c>
      <c r="P888">
        <f>HYPERLINK("SE\A-492\A-492__348.png", "Ver Imagen")</f>
        <v/>
      </c>
    </row>
    <row r="889">
      <c r="A889" t="n">
        <v>304</v>
      </c>
      <c r="B889" t="inlineStr">
        <is>
          <t>A-492__350</t>
        </is>
      </c>
      <c r="C889" t="n">
        <v>37.2993093758</v>
      </c>
      <c r="D889" t="n">
        <v>-7.05450514158</v>
      </c>
      <c r="E889" t="n">
        <v>2</v>
      </c>
      <c r="F889" t="n">
        <v>2</v>
      </c>
      <c r="G889" t="n">
        <v>2</v>
      </c>
      <c r="J889" t="inlineStr">
        <is>
          <t>Moda</t>
        </is>
      </c>
      <c r="K889" t="n">
        <v>2</v>
      </c>
      <c r="L889" t="n">
        <v>1.846</v>
      </c>
      <c r="M889" t="n">
        <v>0</v>
      </c>
      <c r="N889" t="inlineStr">
        <is>
          <t>train</t>
        </is>
      </c>
      <c r="O889">
        <f>HYPERLINK("2\0\marker_321_838366.png", "Ver Imagen")</f>
        <v/>
      </c>
      <c r="P889">
        <f>HYPERLINK("SE\A-492\A-492__350.png", "Ver Imagen")</f>
        <v/>
      </c>
    </row>
    <row r="890">
      <c r="A890" t="n">
        <v>306</v>
      </c>
      <c r="B890" t="inlineStr">
        <is>
          <t>A-492__355</t>
        </is>
      </c>
      <c r="C890" t="n">
        <v>37.30009858</v>
      </c>
      <c r="D890" t="n">
        <v>-7.05535223307</v>
      </c>
      <c r="E890" t="n">
        <v>2</v>
      </c>
      <c r="F890" t="n">
        <v>2</v>
      </c>
      <c r="G890" t="n">
        <v>2</v>
      </c>
      <c r="J890" t="inlineStr">
        <is>
          <t>Moda</t>
        </is>
      </c>
      <c r="K890" t="n">
        <v>2</v>
      </c>
      <c r="L890" t="n">
        <v>2.132</v>
      </c>
      <c r="M890" t="n">
        <v>0</v>
      </c>
      <c r="N890" t="inlineStr">
        <is>
          <t>train</t>
        </is>
      </c>
      <c r="O890">
        <f>HYPERLINK("2\0\marker_521_838576.png", "Ver Imagen")</f>
        <v/>
      </c>
      <c r="P890">
        <f>HYPERLINK("SE\A-492\A-492__355.png", "Ver Imagen")</f>
        <v/>
      </c>
    </row>
    <row r="891">
      <c r="A891" t="n">
        <v>307</v>
      </c>
      <c r="B891" t="inlineStr">
        <is>
          <t>A-492__405</t>
        </is>
      </c>
      <c r="C891" t="n">
        <v>37.3097695649</v>
      </c>
      <c r="D891" t="n">
        <v>-7.05804899079</v>
      </c>
      <c r="E891" t="n">
        <v>2</v>
      </c>
      <c r="F891" t="n">
        <v>2</v>
      </c>
      <c r="G891" t="n">
        <v>2</v>
      </c>
      <c r="J891" t="inlineStr">
        <is>
          <t>Moda</t>
        </is>
      </c>
      <c r="K891" t="n">
        <v>2</v>
      </c>
      <c r="L891" t="n">
        <v>1.964</v>
      </c>
      <c r="M891" t="n">
        <v>0</v>
      </c>
      <c r="N891" t="inlineStr">
        <is>
          <t>train</t>
        </is>
      </c>
      <c r="O891">
        <f>HYPERLINK("2\0\marker_334_839237.png", "Ver Imagen")</f>
        <v/>
      </c>
      <c r="P891">
        <f>HYPERLINK("SE\A-492\A-492__405.png", "Ver Imagen")</f>
        <v/>
      </c>
    </row>
    <row r="892">
      <c r="A892" t="n">
        <v>308</v>
      </c>
      <c r="B892" t="inlineStr">
        <is>
          <t>A-492__418</t>
        </is>
      </c>
      <c r="C892" t="n">
        <v>37.3118790455</v>
      </c>
      <c r="D892" t="n">
        <v>-7.06001541352</v>
      </c>
      <c r="E892" t="n">
        <v>2</v>
      </c>
      <c r="F892" t="n">
        <v>2</v>
      </c>
      <c r="G892" t="n">
        <v>2</v>
      </c>
      <c r="J892" t="inlineStr">
        <is>
          <t>Moda</t>
        </is>
      </c>
      <c r="K892" t="n">
        <v>2</v>
      </c>
      <c r="L892" t="n">
        <v>1.962</v>
      </c>
      <c r="M892" t="n">
        <v>0</v>
      </c>
      <c r="N892" t="inlineStr">
        <is>
          <t>train</t>
        </is>
      </c>
      <c r="O892">
        <f>HYPERLINK("2\0\marker_782_839377.png", "Ver Imagen")</f>
        <v/>
      </c>
      <c r="P892">
        <f>HYPERLINK("SE\A-492\A-492__418.png", "Ver Imagen")</f>
        <v/>
      </c>
    </row>
    <row r="893">
      <c r="A893" t="n">
        <v>309</v>
      </c>
      <c r="B893" t="inlineStr">
        <is>
          <t>A-492__434</t>
        </is>
      </c>
      <c r="C893" t="n">
        <v>37.3138468155</v>
      </c>
      <c r="D893" t="n">
        <v>-7.06330573705</v>
      </c>
      <c r="E893" t="n">
        <v>2</v>
      </c>
      <c r="F893" t="n">
        <v>2</v>
      </c>
      <c r="G893" t="n">
        <v>2</v>
      </c>
      <c r="J893" t="inlineStr">
        <is>
          <t>Moda</t>
        </is>
      </c>
      <c r="K893" t="n">
        <v>2</v>
      </c>
      <c r="L893" t="n">
        <v>1.883</v>
      </c>
      <c r="M893" t="n">
        <v>0</v>
      </c>
      <c r="N893" t="inlineStr">
        <is>
          <t>train</t>
        </is>
      </c>
      <c r="O893">
        <f>HYPERLINK("2\0\marker_563_839575.png", "Ver Imagen")</f>
        <v/>
      </c>
      <c r="P893">
        <f>HYPERLINK("SE\A-492\A-492__434.png", "Ver Imagen")</f>
        <v/>
      </c>
    </row>
    <row r="894">
      <c r="A894" t="n">
        <v>310</v>
      </c>
      <c r="B894" t="inlineStr">
        <is>
          <t>A-492__438</t>
        </is>
      </c>
      <c r="C894" t="n">
        <v>37.3142771088</v>
      </c>
      <c r="D894" t="n">
        <v>-7.06411449224</v>
      </c>
      <c r="E894" t="n">
        <v>2</v>
      </c>
      <c r="F894" t="n">
        <v>2</v>
      </c>
      <c r="G894" t="n">
        <v>2</v>
      </c>
      <c r="J894" t="inlineStr">
        <is>
          <t>Moda</t>
        </is>
      </c>
      <c r="K894" t="n">
        <v>2</v>
      </c>
      <c r="L894" t="n">
        <v>1.833</v>
      </c>
      <c r="M894" t="n">
        <v>0</v>
      </c>
      <c r="N894" t="inlineStr">
        <is>
          <t>train</t>
        </is>
      </c>
      <c r="O894">
        <f>HYPERLINK("2\0\marker_653_839629.png", "Ver Imagen")</f>
        <v/>
      </c>
      <c r="P894">
        <f>HYPERLINK("SE\A-492\A-492__438.png", "Ver Imagen")</f>
        <v/>
      </c>
    </row>
    <row r="895">
      <c r="A895" t="n">
        <v>311</v>
      </c>
      <c r="B895" t="inlineStr">
        <is>
          <t>A-492__451</t>
        </is>
      </c>
      <c r="C895" t="n">
        <v>37.3154254025</v>
      </c>
      <c r="D895" t="n">
        <v>-7.06703982642</v>
      </c>
      <c r="E895" t="n">
        <v>2</v>
      </c>
      <c r="F895" t="n">
        <v>2</v>
      </c>
      <c r="G895" t="n">
        <v>2</v>
      </c>
      <c r="J895" t="inlineStr">
        <is>
          <t>Moda</t>
        </is>
      </c>
      <c r="K895" t="n">
        <v>2</v>
      </c>
      <c r="L895" t="n">
        <v>1.81</v>
      </c>
      <c r="M895" t="n">
        <v>0</v>
      </c>
      <c r="N895" t="inlineStr">
        <is>
          <t>train</t>
        </is>
      </c>
      <c r="O895">
        <f>HYPERLINK("2\0\marker_380_839829.png", "Ver Imagen")</f>
        <v/>
      </c>
      <c r="P895">
        <f>HYPERLINK("SE\A-492\A-492__451.png", "Ver Imagen")</f>
        <v/>
      </c>
    </row>
    <row r="896">
      <c r="A896" t="n">
        <v>312</v>
      </c>
      <c r="B896" t="inlineStr">
        <is>
          <t>A-492__455</t>
        </is>
      </c>
      <c r="C896" t="n">
        <v>37.315654531</v>
      </c>
      <c r="D896" t="n">
        <v>-7.06803394631</v>
      </c>
      <c r="E896" t="n">
        <v>2</v>
      </c>
      <c r="F896" t="n">
        <v>2</v>
      </c>
      <c r="G896" t="n">
        <v>2</v>
      </c>
      <c r="J896" t="inlineStr">
        <is>
          <t>Moda</t>
        </is>
      </c>
      <c r="K896" t="n">
        <v>2</v>
      </c>
      <c r="L896" t="n">
        <v>1.995</v>
      </c>
      <c r="M896" t="n">
        <v>0</v>
      </c>
      <c r="N896" t="inlineStr">
        <is>
          <t>train</t>
        </is>
      </c>
      <c r="O896">
        <f>HYPERLINK("2\0\marker_425_839868.png", "Ver Imagen")</f>
        <v/>
      </c>
      <c r="P896">
        <f>HYPERLINK("SE\A-492\A-492__455.png", "Ver Imagen")</f>
        <v/>
      </c>
    </row>
    <row r="897">
      <c r="A897" t="n">
        <v>313</v>
      </c>
      <c r="B897" t="inlineStr">
        <is>
          <t>A-492__476</t>
        </is>
      </c>
      <c r="C897" t="n">
        <v>37.3185657897</v>
      </c>
      <c r="D897" t="n">
        <v>-7.07135394474</v>
      </c>
      <c r="E897" t="n">
        <v>2</v>
      </c>
      <c r="F897" t="n">
        <v>2</v>
      </c>
      <c r="G897" t="n">
        <v>2</v>
      </c>
      <c r="J897" t="inlineStr">
        <is>
          <t>Moda</t>
        </is>
      </c>
      <c r="K897" t="n">
        <v>2</v>
      </c>
      <c r="L897" t="n">
        <v>2.411</v>
      </c>
      <c r="M897" t="n">
        <v>0</v>
      </c>
      <c r="N897" t="inlineStr">
        <is>
          <t>train</t>
        </is>
      </c>
      <c r="O897">
        <f>HYPERLINK("2\0\marker_147_840112.png", "Ver Imagen")</f>
        <v/>
      </c>
      <c r="P897">
        <f>HYPERLINK("SE\A-492\A-492__476.png", "Ver Imagen")</f>
        <v/>
      </c>
    </row>
    <row r="898">
      <c r="A898" t="n">
        <v>314</v>
      </c>
      <c r="B898" t="inlineStr">
        <is>
          <t>A-497__23</t>
        </is>
      </c>
      <c r="C898" t="n">
        <v>37.2674654213</v>
      </c>
      <c r="D898" t="n">
        <v>-6.96150475179</v>
      </c>
      <c r="E898" t="n">
        <v>2</v>
      </c>
      <c r="F898" t="n">
        <v>2</v>
      </c>
      <c r="G898" t="n">
        <v>2</v>
      </c>
      <c r="J898" t="inlineStr">
        <is>
          <t>Moda</t>
        </is>
      </c>
      <c r="K898" t="n">
        <v>2</v>
      </c>
      <c r="L898" t="n">
        <v>1.941</v>
      </c>
      <c r="M898" t="n">
        <v>0</v>
      </c>
      <c r="N898" t="inlineStr">
        <is>
          <t>train</t>
        </is>
      </c>
      <c r="O898">
        <f>HYPERLINK("2\0\marker_931_943740.png", "Ver Imagen")</f>
        <v/>
      </c>
      <c r="P898">
        <f>HYPERLINK("SE\A-497\A-497__23.png", "Ver Imagen")</f>
        <v/>
      </c>
    </row>
    <row r="899">
      <c r="A899" t="n">
        <v>315</v>
      </c>
      <c r="B899" t="inlineStr">
        <is>
          <t>A-497__20</t>
        </is>
      </c>
      <c r="C899" t="n">
        <v>37.2674099937</v>
      </c>
      <c r="D899" t="n">
        <v>-6.96075382507</v>
      </c>
      <c r="E899" t="n">
        <v>2</v>
      </c>
      <c r="F899" t="n">
        <v>2</v>
      </c>
      <c r="G899" t="n">
        <v>2</v>
      </c>
      <c r="J899" t="inlineStr">
        <is>
          <t>Moda</t>
        </is>
      </c>
      <c r="K899" t="n">
        <v>2</v>
      </c>
      <c r="L899" t="n">
        <v>2.051</v>
      </c>
      <c r="M899" t="n">
        <v>0</v>
      </c>
      <c r="N899" t="inlineStr">
        <is>
          <t>train</t>
        </is>
      </c>
      <c r="O899">
        <f>HYPERLINK("2\0\marker_529_943777.png", "Ver Imagen")</f>
        <v/>
      </c>
      <c r="P899">
        <f>HYPERLINK("SE\A-497\A-497__20.png", "Ver Imagen")</f>
        <v/>
      </c>
    </row>
    <row r="900">
      <c r="A900" t="n">
        <v>316</v>
      </c>
      <c r="B900" t="inlineStr">
        <is>
          <t>A-497__18</t>
        </is>
      </c>
      <c r="C900" t="n">
        <v>37.2673318683</v>
      </c>
      <c r="D900" t="n">
        <v>-6.96026609421</v>
      </c>
      <c r="E900" t="n">
        <v>2</v>
      </c>
      <c r="F900" t="n">
        <v>2</v>
      </c>
      <c r="G900" t="n">
        <v>2</v>
      </c>
      <c r="J900" t="inlineStr">
        <is>
          <t>Moda</t>
        </is>
      </c>
      <c r="K900" t="n">
        <v>2</v>
      </c>
      <c r="L900" t="n">
        <v>2.095</v>
      </c>
      <c r="M900" t="n">
        <v>0</v>
      </c>
      <c r="N900" t="inlineStr">
        <is>
          <t>test</t>
        </is>
      </c>
      <c r="O900">
        <f>HYPERLINK("2\0\marker_198_943797.png", "Ver Imagen")</f>
        <v/>
      </c>
      <c r="P900">
        <f>HYPERLINK("SE\A-497\A-497__18.png", "Ver Imagen")</f>
        <v/>
      </c>
    </row>
    <row r="901">
      <c r="A901" t="n">
        <v>317</v>
      </c>
      <c r="B901" t="inlineStr">
        <is>
          <t>A-5050__147</t>
        </is>
      </c>
      <c r="C901" t="n">
        <v>37.1933785279</v>
      </c>
      <c r="D901" t="n">
        <v>-6.99623215348</v>
      </c>
      <c r="E901" t="n">
        <v>2</v>
      </c>
      <c r="F901" t="n">
        <v>2</v>
      </c>
      <c r="G901" t="n">
        <v>2</v>
      </c>
      <c r="J901" t="inlineStr">
        <is>
          <t>Moda</t>
        </is>
      </c>
      <c r="K901" t="n">
        <v>2</v>
      </c>
      <c r="L901" t="n">
        <v>2.413</v>
      </c>
      <c r="M901" t="n">
        <v>0</v>
      </c>
      <c r="N901" t="inlineStr">
        <is>
          <t>val</t>
        </is>
      </c>
      <c r="O901">
        <f>HYPERLINK("2\0\marker_369_945433.png", "Ver Imagen")</f>
        <v/>
      </c>
      <c r="P901">
        <f>HYPERLINK("SE\A-5050\A-5050__147.png", "Ver Imagen")</f>
        <v/>
      </c>
    </row>
    <row r="902">
      <c r="A902" t="n">
        <v>318</v>
      </c>
      <c r="B902" t="inlineStr">
        <is>
          <t>A-5050__145</t>
        </is>
      </c>
      <c r="C902" t="n">
        <v>37.1935640796</v>
      </c>
      <c r="D902" t="n">
        <v>-6.99665717127</v>
      </c>
      <c r="E902" t="n">
        <v>2</v>
      </c>
      <c r="F902" t="n">
        <v>2</v>
      </c>
      <c r="G902" t="n">
        <v>2</v>
      </c>
      <c r="J902" t="inlineStr">
        <is>
          <t>Moda</t>
        </is>
      </c>
      <c r="K902" t="n">
        <v>2</v>
      </c>
      <c r="L902" t="n">
        <v>1.686</v>
      </c>
      <c r="M902" t="n">
        <v>0</v>
      </c>
      <c r="N902" t="inlineStr">
        <is>
          <t>train</t>
        </is>
      </c>
      <c r="O902">
        <f>HYPERLINK("2\0\marker_340_945513.png", "Ver Imagen")</f>
        <v/>
      </c>
      <c r="P902">
        <f>HYPERLINK("SE\A-5050\A-5050__145.png", "Ver Imagen")</f>
        <v/>
      </c>
    </row>
    <row r="903">
      <c r="A903" t="n">
        <v>319</v>
      </c>
      <c r="B903" t="inlineStr">
        <is>
          <t>A-5050__140</t>
        </is>
      </c>
      <c r="C903" t="n">
        <v>37.194048099</v>
      </c>
      <c r="D903" t="n">
        <v>-6.99782554332</v>
      </c>
      <c r="E903" t="n">
        <v>2</v>
      </c>
      <c r="F903" t="n">
        <v>2</v>
      </c>
      <c r="G903" t="n">
        <v>2</v>
      </c>
      <c r="J903" t="inlineStr">
        <is>
          <t>Moda</t>
        </is>
      </c>
      <c r="K903" t="n">
        <v>2</v>
      </c>
      <c r="L903" t="n">
        <v>1.963</v>
      </c>
      <c r="M903" t="n">
        <v>0</v>
      </c>
      <c r="N903" t="inlineStr">
        <is>
          <t>train</t>
        </is>
      </c>
      <c r="O903">
        <f>HYPERLINK("2\0\marker_381_945839.png", "Ver Imagen")</f>
        <v/>
      </c>
      <c r="P903">
        <f>HYPERLINK("SE\A-5050\A-5050__140.png", "Ver Imagen")</f>
        <v/>
      </c>
    </row>
    <row r="904">
      <c r="A904" t="n">
        <v>320</v>
      </c>
      <c r="B904" t="inlineStr">
        <is>
          <t>A-5050__139</t>
        </is>
      </c>
      <c r="C904" t="n">
        <v>37.1941437971</v>
      </c>
      <c r="D904" t="n">
        <v>-6.99805769661</v>
      </c>
      <c r="E904" t="n">
        <v>2</v>
      </c>
      <c r="F904" t="n">
        <v>2</v>
      </c>
      <c r="G904" t="n">
        <v>2</v>
      </c>
      <c r="J904" t="inlineStr">
        <is>
          <t>Moda</t>
        </is>
      </c>
      <c r="K904" t="n">
        <v>2</v>
      </c>
      <c r="L904" t="n">
        <v>1.641</v>
      </c>
      <c r="M904" t="n">
        <v>0</v>
      </c>
      <c r="N904" t="inlineStr">
        <is>
          <t>train</t>
        </is>
      </c>
      <c r="O904">
        <f>HYPERLINK("2\0\marker_602_945848.png", "Ver Imagen")</f>
        <v/>
      </c>
      <c r="P904">
        <f>HYPERLINK("SE\A-5050\A-5050__139.png", "Ver Imagen")</f>
        <v/>
      </c>
    </row>
    <row r="905">
      <c r="A905" t="n">
        <v>321</v>
      </c>
      <c r="B905" t="inlineStr">
        <is>
          <t>A-5050__137</t>
        </is>
      </c>
      <c r="C905" t="n">
        <v>37.1943309</v>
      </c>
      <c r="D905" t="n">
        <v>-6.99850778507</v>
      </c>
      <c r="E905" t="n">
        <v>2</v>
      </c>
      <c r="F905" t="n">
        <v>2</v>
      </c>
      <c r="G905" t="n">
        <v>2</v>
      </c>
      <c r="J905" t="inlineStr">
        <is>
          <t>Moda</t>
        </is>
      </c>
      <c r="K905" t="n">
        <v>2</v>
      </c>
      <c r="L905" t="n">
        <v>1.772</v>
      </c>
      <c r="M905" t="n">
        <v>0</v>
      </c>
      <c r="N905" t="inlineStr">
        <is>
          <t>train</t>
        </is>
      </c>
      <c r="O905">
        <f>HYPERLINK("2\0\marker_437_945873.png", "Ver Imagen")</f>
        <v/>
      </c>
      <c r="P905">
        <f>HYPERLINK("SE\A-5050\A-5050__137.png", "Ver Imagen")</f>
        <v/>
      </c>
    </row>
    <row r="906">
      <c r="A906" t="n">
        <v>322</v>
      </c>
      <c r="B906" t="inlineStr">
        <is>
          <t>A-5050__136</t>
        </is>
      </c>
      <c r="C906" t="n">
        <v>37.1944251923</v>
      </c>
      <c r="D906" t="n">
        <v>-6.99873586921</v>
      </c>
      <c r="E906" t="n">
        <v>2</v>
      </c>
      <c r="F906" t="n">
        <v>2</v>
      </c>
      <c r="G906" t="n">
        <v>2</v>
      </c>
      <c r="J906" t="inlineStr">
        <is>
          <t>Moda</t>
        </is>
      </c>
      <c r="K906" t="n">
        <v>2</v>
      </c>
      <c r="L906" t="n">
        <v>2.094</v>
      </c>
      <c r="M906" t="n">
        <v>0</v>
      </c>
      <c r="N906" t="inlineStr">
        <is>
          <t>val</t>
        </is>
      </c>
      <c r="O906">
        <f>HYPERLINK("2\0\marker_136_945885.png", "Ver Imagen")</f>
        <v/>
      </c>
      <c r="P906">
        <f>HYPERLINK("SE\A-5050\A-5050__136.png", "Ver Imagen")</f>
        <v/>
      </c>
    </row>
    <row r="907">
      <c r="A907" t="n">
        <v>325</v>
      </c>
      <c r="B907" t="inlineStr">
        <is>
          <t>A-5050__125</t>
        </is>
      </c>
      <c r="C907" t="n">
        <v>37.1954363856</v>
      </c>
      <c r="D907" t="n">
        <v>-7.00120715736</v>
      </c>
      <c r="E907" t="n">
        <v>2</v>
      </c>
      <c r="F907" t="n">
        <v>2</v>
      </c>
      <c r="G907" t="n">
        <v>2</v>
      </c>
      <c r="J907" t="inlineStr">
        <is>
          <t>Moda</t>
        </is>
      </c>
      <c r="K907" t="n">
        <v>2</v>
      </c>
      <c r="L907" t="n">
        <v>1.792</v>
      </c>
      <c r="M907" t="n">
        <v>0</v>
      </c>
      <c r="N907" t="inlineStr">
        <is>
          <t>train</t>
        </is>
      </c>
      <c r="O907">
        <f>HYPERLINK("2\0\marker_976_946364.png", "Ver Imagen")</f>
        <v/>
      </c>
      <c r="P907">
        <f>HYPERLINK("SE\A-5050\A-5050__125.png", "Ver Imagen")</f>
        <v/>
      </c>
    </row>
    <row r="908">
      <c r="A908" t="n">
        <v>326</v>
      </c>
      <c r="B908" t="inlineStr">
        <is>
          <t>A-5050__65</t>
        </is>
      </c>
      <c r="C908" t="n">
        <v>37.202033041</v>
      </c>
      <c r="D908" t="n">
        <v>-7.0138701088</v>
      </c>
      <c r="E908" t="n">
        <v>2</v>
      </c>
      <c r="F908" t="n">
        <v>2</v>
      </c>
      <c r="G908" t="n">
        <v>2</v>
      </c>
      <c r="J908" t="inlineStr">
        <is>
          <t>Moda</t>
        </is>
      </c>
      <c r="K908" t="n">
        <v>2</v>
      </c>
      <c r="L908" t="n">
        <v>1.938</v>
      </c>
      <c r="M908" t="n">
        <v>0</v>
      </c>
      <c r="N908" t="inlineStr">
        <is>
          <t>train</t>
        </is>
      </c>
      <c r="O908">
        <f>HYPERLINK("2\0\marker_656_948975.png", "Ver Imagen")</f>
        <v/>
      </c>
      <c r="P908">
        <f>HYPERLINK("SE\A-5050\A-5050__65.png", "Ver Imagen")</f>
        <v/>
      </c>
    </row>
    <row r="909">
      <c r="A909" t="n">
        <v>327</v>
      </c>
      <c r="B909" t="inlineStr">
        <is>
          <t>A-5050__48</t>
        </is>
      </c>
      <c r="C909" t="n">
        <v>37.2042073625</v>
      </c>
      <c r="D909" t="n">
        <v>-7.01721276543</v>
      </c>
      <c r="E909" t="n">
        <v>2</v>
      </c>
      <c r="F909" t="n">
        <v>2</v>
      </c>
      <c r="G909" t="n">
        <v>2</v>
      </c>
      <c r="J909" t="inlineStr">
        <is>
          <t>Moda</t>
        </is>
      </c>
      <c r="K909" t="n">
        <v>2</v>
      </c>
      <c r="L909" t="n">
        <v>1.949</v>
      </c>
      <c r="M909" t="n">
        <v>0</v>
      </c>
      <c r="N909" t="inlineStr">
        <is>
          <t>train</t>
        </is>
      </c>
      <c r="O909">
        <f>HYPERLINK("2\0\marker_528_949172.png", "Ver Imagen")</f>
        <v/>
      </c>
      <c r="P909">
        <f>HYPERLINK("SE\A-5050\A-5050__48.png", "Ver Imagen")</f>
        <v/>
      </c>
    </row>
    <row r="910">
      <c r="A910" t="n">
        <v>328</v>
      </c>
      <c r="B910" t="inlineStr">
        <is>
          <t>A-5050__19</t>
        </is>
      </c>
      <c r="C910" t="n">
        <v>37.2080157454</v>
      </c>
      <c r="D910" t="n">
        <v>-7.02275194111</v>
      </c>
      <c r="E910" t="n">
        <v>2</v>
      </c>
      <c r="F910" t="n">
        <v>2</v>
      </c>
      <c r="G910" t="n">
        <v>2</v>
      </c>
      <c r="J910" t="inlineStr">
        <is>
          <t>Moda</t>
        </is>
      </c>
      <c r="K910" t="n">
        <v>2</v>
      </c>
      <c r="L910" t="n">
        <v>1.935</v>
      </c>
      <c r="M910" t="n">
        <v>0</v>
      </c>
      <c r="N910" t="inlineStr">
        <is>
          <t>train</t>
        </is>
      </c>
      <c r="O910">
        <f>HYPERLINK("2\0\marker_778_949468.png", "Ver Imagen")</f>
        <v/>
      </c>
      <c r="P910">
        <f>HYPERLINK("SE\A-5050\A-5050__19.png", "Ver Imagen")</f>
        <v/>
      </c>
    </row>
    <row r="911">
      <c r="A911" t="n">
        <v>329</v>
      </c>
      <c r="B911" t="inlineStr">
        <is>
          <t>A-5050__18</t>
        </is>
      </c>
      <c r="C911" t="n">
        <v>37.2081176211</v>
      </c>
      <c r="D911" t="n">
        <v>-7.02296429249</v>
      </c>
      <c r="E911" t="n">
        <v>2</v>
      </c>
      <c r="F911" t="n">
        <v>2</v>
      </c>
      <c r="G911" t="n">
        <v>2</v>
      </c>
      <c r="J911" t="inlineStr">
        <is>
          <t>Moda</t>
        </is>
      </c>
      <c r="K911" t="n">
        <v>2</v>
      </c>
      <c r="L911" t="n">
        <v>2.126</v>
      </c>
      <c r="M911" t="n">
        <v>0</v>
      </c>
      <c r="N911" t="inlineStr">
        <is>
          <t>train</t>
        </is>
      </c>
      <c r="O911">
        <f>HYPERLINK("2\0\marker_397_949514.png", "Ver Imagen")</f>
        <v/>
      </c>
      <c r="P911">
        <f>HYPERLINK("SE\A-5050\A-5050__18.png", "Ver Imagen")</f>
        <v/>
      </c>
    </row>
    <row r="912">
      <c r="A912" t="n">
        <v>330</v>
      </c>
      <c r="B912" t="inlineStr">
        <is>
          <t>A-5052__15</t>
        </is>
      </c>
      <c r="C912" t="n">
        <v>37.2179892476</v>
      </c>
      <c r="D912" t="n">
        <v>-7.12226186187</v>
      </c>
      <c r="E912" t="n">
        <v>2</v>
      </c>
      <c r="F912" t="n">
        <v>2</v>
      </c>
      <c r="G912" t="n">
        <v>2</v>
      </c>
      <c r="J912" t="inlineStr">
        <is>
          <t>Moda</t>
        </is>
      </c>
      <c r="K912" t="n">
        <v>2</v>
      </c>
      <c r="L912" t="n">
        <v>2.037</v>
      </c>
      <c r="M912" t="n">
        <v>0</v>
      </c>
      <c r="N912" t="inlineStr">
        <is>
          <t>train</t>
        </is>
      </c>
      <c r="O912">
        <f>HYPERLINK("2\0\marker_917_950157.png", "Ver Imagen")</f>
        <v/>
      </c>
      <c r="P912">
        <f>HYPERLINK("SO\A-5052\A-5052__15.png", "Ver Imagen")</f>
        <v/>
      </c>
    </row>
    <row r="913">
      <c r="A913" t="n">
        <v>331</v>
      </c>
      <c r="B913" t="inlineStr">
        <is>
          <t>A-5052__17</t>
        </is>
      </c>
      <c r="C913" t="n">
        <v>37.2178971399</v>
      </c>
      <c r="D913" t="n">
        <v>-7.12178579769</v>
      </c>
      <c r="E913" t="n">
        <v>2</v>
      </c>
      <c r="F913" t="n">
        <v>2</v>
      </c>
      <c r="G913" t="n">
        <v>2</v>
      </c>
      <c r="J913" t="inlineStr">
        <is>
          <t>Moda</t>
        </is>
      </c>
      <c r="K913" t="n">
        <v>2</v>
      </c>
      <c r="L913" t="n">
        <v>1.83</v>
      </c>
      <c r="M913" t="n">
        <v>0</v>
      </c>
      <c r="N913" t="inlineStr">
        <is>
          <t>train</t>
        </is>
      </c>
      <c r="O913">
        <f>HYPERLINK("2\0\marker_259_950185.png", "Ver Imagen")</f>
        <v/>
      </c>
      <c r="P913">
        <f>HYPERLINK("SO\A-5052\A-5052__17.png", "Ver Imagen")</f>
        <v/>
      </c>
    </row>
    <row r="914">
      <c r="A914" t="n">
        <v>332</v>
      </c>
      <c r="B914" t="inlineStr">
        <is>
          <t>A-5052__28</t>
        </is>
      </c>
      <c r="C914" t="n">
        <v>37.2181311539</v>
      </c>
      <c r="D914" t="n">
        <v>-7.11900182533</v>
      </c>
      <c r="E914" t="n">
        <v>2</v>
      </c>
      <c r="F914" t="n">
        <v>2</v>
      </c>
      <c r="G914" t="n">
        <v>2</v>
      </c>
      <c r="J914" t="inlineStr">
        <is>
          <t>Moda</t>
        </is>
      </c>
      <c r="K914" t="n">
        <v>2</v>
      </c>
      <c r="L914" t="n">
        <v>2.254</v>
      </c>
      <c r="M914" t="n">
        <v>0</v>
      </c>
      <c r="N914" t="inlineStr">
        <is>
          <t>val</t>
        </is>
      </c>
      <c r="O914">
        <f>HYPERLINK("2\0\marker_576_951575.png", "Ver Imagen")</f>
        <v/>
      </c>
      <c r="P914">
        <f>HYPERLINK("SO\A-5052\A-5052__28.png", "Ver Imagen")</f>
        <v/>
      </c>
    </row>
    <row r="915">
      <c r="A915" t="n">
        <v>333</v>
      </c>
      <c r="B915" t="inlineStr">
        <is>
          <t>A-5052__48</t>
        </is>
      </c>
      <c r="C915" t="n">
        <v>37.2175156969</v>
      </c>
      <c r="D915" t="n">
        <v>-7.1140023929</v>
      </c>
      <c r="E915" t="n">
        <v>2</v>
      </c>
      <c r="F915" t="n">
        <v>2</v>
      </c>
      <c r="G915" t="n">
        <v>2</v>
      </c>
      <c r="J915" t="inlineStr">
        <is>
          <t>Moda</t>
        </is>
      </c>
      <c r="K915" t="n">
        <v>2</v>
      </c>
      <c r="L915" t="n">
        <v>2.476</v>
      </c>
      <c r="M915" t="n">
        <v>0</v>
      </c>
      <c r="N915" t="inlineStr">
        <is>
          <t>val</t>
        </is>
      </c>
      <c r="O915">
        <f>HYPERLINK("2\0\marker_602_956903.png", "Ver Imagen")</f>
        <v/>
      </c>
      <c r="P915">
        <f>HYPERLINK("SO\A-5052\A-5052__48.png", "Ver Imagen")</f>
        <v/>
      </c>
    </row>
    <row r="916">
      <c r="A916" t="n">
        <v>334</v>
      </c>
      <c r="B916" t="inlineStr">
        <is>
          <t>A-5052__49</t>
        </is>
      </c>
      <c r="C916" t="n">
        <v>37.2175035662</v>
      </c>
      <c r="D916" t="n">
        <v>-7.11378196786</v>
      </c>
      <c r="E916" t="n">
        <v>2</v>
      </c>
      <c r="F916" t="n">
        <v>2</v>
      </c>
      <c r="G916" t="n">
        <v>2</v>
      </c>
      <c r="J916" t="inlineStr">
        <is>
          <t>Moda</t>
        </is>
      </c>
      <c r="K916" t="n">
        <v>2</v>
      </c>
      <c r="L916" t="n">
        <v>2.052</v>
      </c>
      <c r="M916" t="n">
        <v>0</v>
      </c>
      <c r="N916" t="inlineStr">
        <is>
          <t>train</t>
        </is>
      </c>
      <c r="O916">
        <f>HYPERLINK("2\0\marker_253_956913.png", "Ver Imagen")</f>
        <v/>
      </c>
      <c r="P916">
        <f>HYPERLINK("SO\A-5052\A-5052__49.png", "Ver Imagen")</f>
        <v/>
      </c>
    </row>
    <row r="917">
      <c r="A917" t="n">
        <v>335</v>
      </c>
      <c r="B917" t="inlineStr">
        <is>
          <t>A-5052__50</t>
        </is>
      </c>
      <c r="C917" t="n">
        <v>37.217502368</v>
      </c>
      <c r="D917" t="n">
        <v>-7.1135175574</v>
      </c>
      <c r="E917" t="n">
        <v>2</v>
      </c>
      <c r="F917" t="n">
        <v>2</v>
      </c>
      <c r="G917" t="n">
        <v>2</v>
      </c>
      <c r="J917" t="inlineStr">
        <is>
          <t>Moda</t>
        </is>
      </c>
      <c r="K917" t="n">
        <v>2</v>
      </c>
      <c r="L917" t="n">
        <v>1.921</v>
      </c>
      <c r="M917" t="n">
        <v>0</v>
      </c>
      <c r="N917" t="inlineStr">
        <is>
          <t>train</t>
        </is>
      </c>
      <c r="O917">
        <f>HYPERLINK("2\0\marker_412_956923.png", "Ver Imagen")</f>
        <v/>
      </c>
      <c r="P917">
        <f>HYPERLINK("SO\A-5052\A-5052__50.png", "Ver Imagen")</f>
        <v/>
      </c>
    </row>
    <row r="918">
      <c r="A918" t="n">
        <v>336</v>
      </c>
      <c r="B918" t="inlineStr">
        <is>
          <t>A-5052__51</t>
        </is>
      </c>
      <c r="C918" t="n">
        <v>37.217510964</v>
      </c>
      <c r="D918" t="n">
        <v>-7.11323750294</v>
      </c>
      <c r="E918" t="n">
        <v>2</v>
      </c>
      <c r="F918" t="n">
        <v>2</v>
      </c>
      <c r="G918" t="n">
        <v>2</v>
      </c>
      <c r="J918" t="inlineStr">
        <is>
          <t>Moda</t>
        </is>
      </c>
      <c r="K918" t="n">
        <v>2</v>
      </c>
      <c r="L918" t="n">
        <v>2.051</v>
      </c>
      <c r="M918" t="n">
        <v>0</v>
      </c>
      <c r="N918" t="inlineStr">
        <is>
          <t>train</t>
        </is>
      </c>
      <c r="O918">
        <f>HYPERLINK("2\0\marker_196_956934.png", "Ver Imagen")</f>
        <v/>
      </c>
      <c r="P918">
        <f>HYPERLINK("SO\A-5052\A-5052__51.png", "Ver Imagen")</f>
        <v/>
      </c>
    </row>
    <row r="919">
      <c r="A919" t="n">
        <v>337</v>
      </c>
      <c r="B919" t="inlineStr">
        <is>
          <t>A-5052__52</t>
        </is>
      </c>
      <c r="C919" t="n">
        <v>37.2175238765</v>
      </c>
      <c r="D919" t="n">
        <v>-7.11297957337</v>
      </c>
      <c r="E919" t="n">
        <v>2</v>
      </c>
      <c r="F919" t="n">
        <v>2</v>
      </c>
      <c r="G919" t="n">
        <v>2</v>
      </c>
      <c r="J919" t="inlineStr">
        <is>
          <t>Moda</t>
        </is>
      </c>
      <c r="K919" t="n">
        <v>2</v>
      </c>
      <c r="L919" t="n">
        <v>1.82</v>
      </c>
      <c r="M919" t="n">
        <v>0</v>
      </c>
      <c r="N919" t="inlineStr">
        <is>
          <t>train</t>
        </is>
      </c>
      <c r="O919">
        <f>HYPERLINK("2\0\marker_137_956945.png", "Ver Imagen")</f>
        <v/>
      </c>
      <c r="P919">
        <f>HYPERLINK("SO\A-5052\A-5052__52.png", "Ver Imagen")</f>
        <v/>
      </c>
    </row>
    <row r="920">
      <c r="A920" t="n">
        <v>338</v>
      </c>
      <c r="B920" t="inlineStr">
        <is>
          <t>A-5052__54</t>
        </is>
      </c>
      <c r="C920" t="n">
        <v>37.2175491574</v>
      </c>
      <c r="D920" t="n">
        <v>-7.11248287213</v>
      </c>
      <c r="E920" t="n">
        <v>2</v>
      </c>
      <c r="F920" t="n">
        <v>2</v>
      </c>
      <c r="G920" t="n">
        <v>2</v>
      </c>
      <c r="J920" t="inlineStr">
        <is>
          <t>Moda</t>
        </is>
      </c>
      <c r="K920" t="n">
        <v>2</v>
      </c>
      <c r="L920" t="n">
        <v>2.154</v>
      </c>
      <c r="M920" t="n">
        <v>0</v>
      </c>
      <c r="N920" t="inlineStr">
        <is>
          <t>test</t>
        </is>
      </c>
      <c r="O920">
        <f>HYPERLINK("2\0\marker_266_956969.png", "Ver Imagen")</f>
        <v/>
      </c>
      <c r="P920">
        <f>HYPERLINK("SO\A-5052\A-5052__54.png", "Ver Imagen")</f>
        <v/>
      </c>
    </row>
    <row r="921">
      <c r="A921" t="n">
        <v>339</v>
      </c>
      <c r="B921" t="inlineStr">
        <is>
          <t>A-5052__58</t>
        </is>
      </c>
      <c r="C921" t="n">
        <v>37.2175937949</v>
      </c>
      <c r="D921" t="n">
        <v>-7.11145760135</v>
      </c>
      <c r="E921" t="n">
        <v>2</v>
      </c>
      <c r="F921" t="n">
        <v>2</v>
      </c>
      <c r="G921" t="n">
        <v>2</v>
      </c>
      <c r="J921" t="inlineStr">
        <is>
          <t>Moda</t>
        </is>
      </c>
      <c r="K921" t="n">
        <v>2</v>
      </c>
      <c r="L921" t="n">
        <v>1.913</v>
      </c>
      <c r="M921" t="n">
        <v>0</v>
      </c>
      <c r="N921" t="inlineStr">
        <is>
          <t>train</t>
        </is>
      </c>
      <c r="O921">
        <f>HYPERLINK("2\0\marker_368_957017.png", "Ver Imagen")</f>
        <v/>
      </c>
      <c r="P921">
        <f>HYPERLINK("SO\A-5052\A-5052__58.png", "Ver Imagen")</f>
        <v/>
      </c>
    </row>
    <row r="922">
      <c r="A922" t="n">
        <v>341</v>
      </c>
      <c r="B922" t="inlineStr">
        <is>
          <t>A-5052__76</t>
        </is>
      </c>
      <c r="C922" t="n">
        <v>37.2173022666</v>
      </c>
      <c r="D922" t="n">
        <v>-7.10694147429</v>
      </c>
      <c r="E922" t="n">
        <v>2</v>
      </c>
      <c r="F922" t="n">
        <v>2</v>
      </c>
      <c r="G922" t="n">
        <v>2</v>
      </c>
      <c r="J922" t="inlineStr">
        <is>
          <t>Moda</t>
        </is>
      </c>
      <c r="K922" t="n">
        <v>2</v>
      </c>
      <c r="L922" t="n">
        <v>1.986</v>
      </c>
      <c r="M922" t="n">
        <v>0</v>
      </c>
      <c r="N922" t="inlineStr">
        <is>
          <t>train</t>
        </is>
      </c>
      <c r="O922">
        <f>HYPERLINK("2\0\marker_243_957244.png", "Ver Imagen")</f>
        <v/>
      </c>
      <c r="P922">
        <f>HYPERLINK("SO\A-5052\A-5052__76.png", "Ver Imagen")</f>
        <v/>
      </c>
    </row>
    <row r="923">
      <c r="A923" t="n">
        <v>342</v>
      </c>
      <c r="B923" t="inlineStr">
        <is>
          <t>A-5052__82</t>
        </is>
      </c>
      <c r="C923" t="n">
        <v>37.2171043096</v>
      </c>
      <c r="D923" t="n">
        <v>-7.1054224056</v>
      </c>
      <c r="E923" t="n">
        <v>2</v>
      </c>
      <c r="F923" t="n">
        <v>2</v>
      </c>
      <c r="G923" t="n">
        <v>2</v>
      </c>
      <c r="J923" t="inlineStr">
        <is>
          <t>Moda</t>
        </is>
      </c>
      <c r="K923" t="n">
        <v>2</v>
      </c>
      <c r="L923" t="n">
        <v>2.005</v>
      </c>
      <c r="M923" t="n">
        <v>0</v>
      </c>
      <c r="N923" t="inlineStr">
        <is>
          <t>train</t>
        </is>
      </c>
      <c r="O923">
        <f>HYPERLINK("2\0\marker_917_957310.png", "Ver Imagen")</f>
        <v/>
      </c>
      <c r="P923">
        <f>HYPERLINK("SO\A-5052\A-5052__82.png", "Ver Imagen")</f>
        <v/>
      </c>
    </row>
    <row r="924">
      <c r="A924" t="n">
        <v>343</v>
      </c>
      <c r="B924" t="inlineStr">
        <is>
          <t>A-5052__83</t>
        </is>
      </c>
      <c r="C924" t="n">
        <v>37.2170827938</v>
      </c>
      <c r="D924" t="n">
        <v>-7.10520836079</v>
      </c>
      <c r="E924" t="n">
        <v>2</v>
      </c>
      <c r="F924" t="n">
        <v>2</v>
      </c>
      <c r="G924" t="n">
        <v>2</v>
      </c>
      <c r="J924" t="inlineStr">
        <is>
          <t>Moda</t>
        </is>
      </c>
      <c r="K924" t="n">
        <v>2</v>
      </c>
      <c r="L924" t="n">
        <v>1.964</v>
      </c>
      <c r="M924" t="n">
        <v>0</v>
      </c>
      <c r="N924" t="inlineStr">
        <is>
          <t>train</t>
        </is>
      </c>
      <c r="O924">
        <f>HYPERLINK("2\0\marker_329_957322.png", "Ver Imagen")</f>
        <v/>
      </c>
      <c r="P924">
        <f>HYPERLINK("SO\A-5052\A-5052__83.png", "Ver Imagen")</f>
        <v/>
      </c>
    </row>
    <row r="925">
      <c r="A925" t="n">
        <v>344</v>
      </c>
      <c r="B925" t="inlineStr">
        <is>
          <t>A-5052__98</t>
        </is>
      </c>
      <c r="C925" t="n">
        <v>37.2167911148</v>
      </c>
      <c r="D925" t="n">
        <v>-7.10143628798</v>
      </c>
      <c r="E925" t="n">
        <v>2</v>
      </c>
      <c r="F925" t="n">
        <v>2</v>
      </c>
      <c r="G925" t="n">
        <v>2</v>
      </c>
      <c r="J925" t="inlineStr">
        <is>
          <t>Moda</t>
        </is>
      </c>
      <c r="K925" t="n">
        <v>2</v>
      </c>
      <c r="L925" t="n">
        <v>1.797</v>
      </c>
      <c r="M925" t="n">
        <v>0</v>
      </c>
      <c r="N925" t="inlineStr">
        <is>
          <t>test</t>
        </is>
      </c>
      <c r="O925">
        <f>HYPERLINK("2\0\marker_492_957635.png", "Ver Imagen")</f>
        <v/>
      </c>
      <c r="P925">
        <f>HYPERLINK("SE\A-5052\A-5052__98.png", "Ver Imagen")</f>
        <v/>
      </c>
    </row>
    <row r="926">
      <c r="A926" t="n">
        <v>344</v>
      </c>
      <c r="B926" t="inlineStr">
        <is>
          <t>A-5052__98</t>
        </is>
      </c>
      <c r="C926" t="n">
        <v>37.2167911148</v>
      </c>
      <c r="D926" t="n">
        <v>-7.10143628798</v>
      </c>
      <c r="E926" t="n">
        <v>2</v>
      </c>
      <c r="F926" t="n">
        <v>2</v>
      </c>
      <c r="G926" t="n">
        <v>2</v>
      </c>
      <c r="J926" t="inlineStr">
        <is>
          <t>Moda</t>
        </is>
      </c>
      <c r="K926" t="n">
        <v>2</v>
      </c>
      <c r="L926" t="n">
        <v>2.035</v>
      </c>
      <c r="M926" t="n">
        <v>0</v>
      </c>
      <c r="N926" t="inlineStr">
        <is>
          <t>test</t>
        </is>
      </c>
      <c r="O926">
        <f>HYPERLINK("2\0\marker_492_957635.png", "Ver Imagen")</f>
        <v/>
      </c>
      <c r="P926">
        <f>HYPERLINK("SO\A-5052\A-5052__98.png", "Ver Imagen")</f>
        <v/>
      </c>
    </row>
    <row r="927">
      <c r="A927" t="n">
        <v>345</v>
      </c>
      <c r="B927" t="inlineStr">
        <is>
          <t>A-5052__102</t>
        </is>
      </c>
      <c r="C927" t="n">
        <v>37.2169750801</v>
      </c>
      <c r="D927" t="n">
        <v>-7.1004355094</v>
      </c>
      <c r="E927" t="n">
        <v>2</v>
      </c>
      <c r="F927" t="n">
        <v>2</v>
      </c>
      <c r="G927" t="n">
        <v>2</v>
      </c>
      <c r="J927" t="inlineStr">
        <is>
          <t>Moda</t>
        </is>
      </c>
      <c r="K927" t="n">
        <v>2</v>
      </c>
      <c r="L927" t="n">
        <v>1.998</v>
      </c>
      <c r="M927" t="n">
        <v>0</v>
      </c>
      <c r="N927" t="inlineStr">
        <is>
          <t>train</t>
        </is>
      </c>
      <c r="O927">
        <f>HYPERLINK("2\0\marker_801_957690.png", "Ver Imagen")</f>
        <v/>
      </c>
      <c r="P927">
        <f>HYPERLINK("SE\A-5052\A-5052__102.png", "Ver Imagen")</f>
        <v/>
      </c>
    </row>
    <row r="928">
      <c r="A928" t="n">
        <v>345</v>
      </c>
      <c r="B928" t="inlineStr">
        <is>
          <t>A-5052__102</t>
        </is>
      </c>
      <c r="C928" t="n">
        <v>37.2169750801</v>
      </c>
      <c r="D928" t="n">
        <v>-7.1004355094</v>
      </c>
      <c r="E928" t="n">
        <v>2</v>
      </c>
      <c r="F928" t="n">
        <v>2</v>
      </c>
      <c r="G928" t="n">
        <v>2</v>
      </c>
      <c r="J928" t="inlineStr">
        <is>
          <t>Moda</t>
        </is>
      </c>
      <c r="K928" t="n">
        <v>2</v>
      </c>
      <c r="L928" t="n">
        <v>1.944</v>
      </c>
      <c r="M928" t="n">
        <v>0</v>
      </c>
      <c r="N928" t="inlineStr">
        <is>
          <t>train</t>
        </is>
      </c>
      <c r="O928">
        <f>HYPERLINK("2\0\marker_801_957690.png", "Ver Imagen")</f>
        <v/>
      </c>
      <c r="P928">
        <f>HYPERLINK("SO\A-5052\A-5052__102.png", "Ver Imagen")</f>
        <v/>
      </c>
    </row>
    <row r="929">
      <c r="A929" t="n">
        <v>346</v>
      </c>
      <c r="B929" t="inlineStr">
        <is>
          <t>A-5052__105</t>
        </is>
      </c>
      <c r="C929" t="n">
        <v>37.2170460368</v>
      </c>
      <c r="D929" t="n">
        <v>-7.09968711039</v>
      </c>
      <c r="E929" t="n">
        <v>2</v>
      </c>
      <c r="F929" t="n">
        <v>2</v>
      </c>
      <c r="G929" t="n">
        <v>2</v>
      </c>
      <c r="J929" t="inlineStr">
        <is>
          <t>Moda</t>
        </is>
      </c>
      <c r="K929" t="n">
        <v>2</v>
      </c>
      <c r="L929" t="n">
        <v>2.232</v>
      </c>
      <c r="M929" t="n">
        <v>0</v>
      </c>
      <c r="N929" t="inlineStr">
        <is>
          <t>train</t>
        </is>
      </c>
      <c r="O929">
        <f>HYPERLINK("2\0\marker_277_957733.png", "Ver Imagen")</f>
        <v/>
      </c>
      <c r="P929">
        <f>HYPERLINK("SE\A-5052\A-5052__105.png", "Ver Imagen")</f>
        <v/>
      </c>
    </row>
    <row r="930">
      <c r="A930" t="n">
        <v>346</v>
      </c>
      <c r="B930" t="inlineStr">
        <is>
          <t>A-5052__105</t>
        </is>
      </c>
      <c r="C930" t="n">
        <v>37.2170460368</v>
      </c>
      <c r="D930" t="n">
        <v>-7.09968711039</v>
      </c>
      <c r="E930" t="n">
        <v>2</v>
      </c>
      <c r="F930" t="n">
        <v>2</v>
      </c>
      <c r="G930" t="n">
        <v>2</v>
      </c>
      <c r="J930" t="inlineStr">
        <is>
          <t>Moda</t>
        </is>
      </c>
      <c r="K930" t="n">
        <v>2</v>
      </c>
      <c r="L930" t="n">
        <v>2.07</v>
      </c>
      <c r="M930" t="n">
        <v>0</v>
      </c>
      <c r="N930" t="inlineStr">
        <is>
          <t>train</t>
        </is>
      </c>
      <c r="O930">
        <f>HYPERLINK("2\0\marker_277_957733.png", "Ver Imagen")</f>
        <v/>
      </c>
      <c r="P930">
        <f>HYPERLINK("SO\A-5052\A-5052__105.png", "Ver Imagen")</f>
        <v/>
      </c>
    </row>
    <row r="931">
      <c r="A931" t="n">
        <v>347</v>
      </c>
      <c r="B931" t="inlineStr">
        <is>
          <t>A-5052__112</t>
        </is>
      </c>
      <c r="C931" t="n">
        <v>37.2168833951</v>
      </c>
      <c r="D931" t="n">
        <v>-7.09794443032</v>
      </c>
      <c r="E931" t="n">
        <v>2</v>
      </c>
      <c r="F931" t="n">
        <v>2</v>
      </c>
      <c r="G931" t="n">
        <v>2</v>
      </c>
      <c r="J931" t="inlineStr">
        <is>
          <t>Moda</t>
        </is>
      </c>
      <c r="K931" t="n">
        <v>2</v>
      </c>
      <c r="L931" t="n">
        <v>1.881</v>
      </c>
      <c r="M931" t="n">
        <v>0</v>
      </c>
      <c r="N931" t="inlineStr">
        <is>
          <t>val</t>
        </is>
      </c>
      <c r="O931">
        <f>HYPERLINK("2\0\marker_251_957819.png", "Ver Imagen")</f>
        <v/>
      </c>
      <c r="P931">
        <f>HYPERLINK("SE\A-5052\A-5052__112.png", "Ver Imagen")</f>
        <v/>
      </c>
    </row>
    <row r="932">
      <c r="A932" t="n">
        <v>347</v>
      </c>
      <c r="B932" t="inlineStr">
        <is>
          <t>A-5052__112</t>
        </is>
      </c>
      <c r="C932" t="n">
        <v>37.2168833951</v>
      </c>
      <c r="D932" t="n">
        <v>-7.09794443032</v>
      </c>
      <c r="E932" t="n">
        <v>2</v>
      </c>
      <c r="F932" t="n">
        <v>2</v>
      </c>
      <c r="G932" t="n">
        <v>2</v>
      </c>
      <c r="J932" t="inlineStr">
        <is>
          <t>Moda</t>
        </is>
      </c>
      <c r="K932" t="n">
        <v>2</v>
      </c>
      <c r="L932" t="n">
        <v>2.113</v>
      </c>
      <c r="M932" t="n">
        <v>0</v>
      </c>
      <c r="N932" t="inlineStr">
        <is>
          <t>val</t>
        </is>
      </c>
      <c r="O932">
        <f>HYPERLINK("2\0\marker_251_957819.png", "Ver Imagen")</f>
        <v/>
      </c>
      <c r="P932">
        <f>HYPERLINK("SO\A-5052\A-5052__112.png", "Ver Imagen")</f>
        <v/>
      </c>
    </row>
    <row r="933">
      <c r="A933" t="n">
        <v>348</v>
      </c>
      <c r="B933" t="inlineStr">
        <is>
          <t>A-5052__119</t>
        </is>
      </c>
      <c r="C933" t="n">
        <v>37.216710484</v>
      </c>
      <c r="D933" t="n">
        <v>-7.0961581775</v>
      </c>
      <c r="E933" t="n">
        <v>2</v>
      </c>
      <c r="F933" t="n">
        <v>2</v>
      </c>
      <c r="G933" t="n">
        <v>2</v>
      </c>
      <c r="J933" t="inlineStr">
        <is>
          <t>Moda</t>
        </is>
      </c>
      <c r="K933" t="n">
        <v>2</v>
      </c>
      <c r="L933" t="n">
        <v>1.936</v>
      </c>
      <c r="M933" t="n">
        <v>0</v>
      </c>
      <c r="N933" t="inlineStr">
        <is>
          <t>train</t>
        </is>
      </c>
      <c r="O933">
        <f>HYPERLINK("2\0\marker_903_957924.png", "Ver Imagen")</f>
        <v/>
      </c>
      <c r="P933">
        <f>HYPERLINK("SE\A-5052\A-5052__119.png", "Ver Imagen")</f>
        <v/>
      </c>
    </row>
    <row r="934">
      <c r="A934" t="n">
        <v>348</v>
      </c>
      <c r="B934" t="inlineStr">
        <is>
          <t>A-5052__119</t>
        </is>
      </c>
      <c r="C934" t="n">
        <v>37.216710484</v>
      </c>
      <c r="D934" t="n">
        <v>-7.0961581775</v>
      </c>
      <c r="E934" t="n">
        <v>2</v>
      </c>
      <c r="F934" t="n">
        <v>2</v>
      </c>
      <c r="G934" t="n">
        <v>2</v>
      </c>
      <c r="J934" t="inlineStr">
        <is>
          <t>Moda</t>
        </is>
      </c>
      <c r="K934" t="n">
        <v>2</v>
      </c>
      <c r="L934" t="n">
        <v>1.994</v>
      </c>
      <c r="M934" t="n">
        <v>0</v>
      </c>
      <c r="N934" t="inlineStr">
        <is>
          <t>train</t>
        </is>
      </c>
      <c r="O934">
        <f>HYPERLINK("2\0\marker_903_957924.png", "Ver Imagen")</f>
        <v/>
      </c>
      <c r="P934">
        <f>HYPERLINK("SO\A-5052\A-5052__119.png", "Ver Imagen")</f>
        <v/>
      </c>
    </row>
    <row r="935">
      <c r="A935" t="n">
        <v>349</v>
      </c>
      <c r="B935" t="inlineStr">
        <is>
          <t>A-5052__127</t>
        </is>
      </c>
      <c r="C935" t="n">
        <v>37.2166445141</v>
      </c>
      <c r="D935" t="n">
        <v>-7.09415185846</v>
      </c>
      <c r="E935" t="n">
        <v>2</v>
      </c>
      <c r="F935" t="n">
        <v>2</v>
      </c>
      <c r="G935" t="n">
        <v>2</v>
      </c>
      <c r="J935" t="inlineStr">
        <is>
          <t>Moda</t>
        </is>
      </c>
      <c r="K935" t="n">
        <v>2</v>
      </c>
      <c r="L935" t="n">
        <v>1.913</v>
      </c>
      <c r="M935" t="n">
        <v>0</v>
      </c>
      <c r="N935" t="inlineStr">
        <is>
          <t>val</t>
        </is>
      </c>
      <c r="O935">
        <f>HYPERLINK("2\0\marker_841_958048.png", "Ver Imagen")</f>
        <v/>
      </c>
      <c r="P935">
        <f>HYPERLINK("SE\A-5052\A-5052__127.png", "Ver Imagen")</f>
        <v/>
      </c>
    </row>
    <row r="936">
      <c r="A936" t="n">
        <v>349</v>
      </c>
      <c r="B936" t="inlineStr">
        <is>
          <t>A-5052__127</t>
        </is>
      </c>
      <c r="C936" t="n">
        <v>37.2166445141</v>
      </c>
      <c r="D936" t="n">
        <v>-7.09415185846</v>
      </c>
      <c r="E936" t="n">
        <v>2</v>
      </c>
      <c r="F936" t="n">
        <v>2</v>
      </c>
      <c r="G936" t="n">
        <v>2</v>
      </c>
      <c r="J936" t="inlineStr">
        <is>
          <t>Moda</t>
        </is>
      </c>
      <c r="K936" t="n">
        <v>2</v>
      </c>
      <c r="L936" t="n">
        <v>2.095</v>
      </c>
      <c r="M936" t="n">
        <v>0</v>
      </c>
      <c r="N936" t="inlineStr">
        <is>
          <t>val</t>
        </is>
      </c>
      <c r="O936">
        <f>HYPERLINK("2\0\marker_841_958048.png", "Ver Imagen")</f>
        <v/>
      </c>
      <c r="P936">
        <f>HYPERLINK("SO\A-5052\A-5052__127.png", "Ver Imagen")</f>
        <v/>
      </c>
    </row>
    <row r="937">
      <c r="A937" t="n">
        <v>350</v>
      </c>
      <c r="B937" t="inlineStr">
        <is>
          <t>A-5052__129</t>
        </is>
      </c>
      <c r="C937" t="n">
        <v>37.2166332885</v>
      </c>
      <c r="D937" t="n">
        <v>-7.09363553386</v>
      </c>
      <c r="E937" t="n">
        <v>2</v>
      </c>
      <c r="F937" t="n">
        <v>2</v>
      </c>
      <c r="G937" t="n">
        <v>2</v>
      </c>
      <c r="J937" t="inlineStr">
        <is>
          <t>Moda</t>
        </is>
      </c>
      <c r="K937" t="n">
        <v>2</v>
      </c>
      <c r="L937" t="n">
        <v>2.058</v>
      </c>
      <c r="M937" t="n">
        <v>0</v>
      </c>
      <c r="N937" t="inlineStr">
        <is>
          <t>val</t>
        </is>
      </c>
      <c r="O937">
        <f>HYPERLINK("2\0\marker_961_958083.png", "Ver Imagen")</f>
        <v/>
      </c>
      <c r="P937">
        <f>HYPERLINK("SE\A-5052\A-5052__129.png", "Ver Imagen")</f>
        <v/>
      </c>
    </row>
    <row r="938">
      <c r="A938" t="n">
        <v>350</v>
      </c>
      <c r="B938" t="inlineStr">
        <is>
          <t>A-5052__129</t>
        </is>
      </c>
      <c r="C938" t="n">
        <v>37.2166332885</v>
      </c>
      <c r="D938" t="n">
        <v>-7.09363553386</v>
      </c>
      <c r="E938" t="n">
        <v>2</v>
      </c>
      <c r="F938" t="n">
        <v>2</v>
      </c>
      <c r="G938" t="n">
        <v>2</v>
      </c>
      <c r="J938" t="inlineStr">
        <is>
          <t>Moda</t>
        </is>
      </c>
      <c r="K938" t="n">
        <v>2</v>
      </c>
      <c r="L938" t="n">
        <v>2.306</v>
      </c>
      <c r="M938" t="n">
        <v>0</v>
      </c>
      <c r="N938" t="inlineStr">
        <is>
          <t>val</t>
        </is>
      </c>
      <c r="O938">
        <f>HYPERLINK("2\0\marker_961_958083.png", "Ver Imagen")</f>
        <v/>
      </c>
      <c r="P938">
        <f>HYPERLINK("SO\A-5052\A-5052__129.png", "Ver Imagen")</f>
        <v/>
      </c>
    </row>
    <row r="939">
      <c r="A939" t="n">
        <v>351</v>
      </c>
      <c r="B939" t="inlineStr">
        <is>
          <t>A-5052__132</t>
        </is>
      </c>
      <c r="C939" t="n">
        <v>37.2165337042</v>
      </c>
      <c r="D939" t="n">
        <v>-7.09289485836</v>
      </c>
      <c r="E939" t="n">
        <v>2</v>
      </c>
      <c r="F939" t="n">
        <v>2</v>
      </c>
      <c r="G939" t="n">
        <v>2</v>
      </c>
      <c r="J939" t="inlineStr">
        <is>
          <t>Moda</t>
        </is>
      </c>
      <c r="K939" t="n">
        <v>2</v>
      </c>
      <c r="L939" t="n">
        <v>1.986</v>
      </c>
      <c r="M939" t="n">
        <v>0</v>
      </c>
      <c r="N939" t="inlineStr">
        <is>
          <t>train</t>
        </is>
      </c>
      <c r="O939">
        <f>HYPERLINK("2\0\marker_568_958132.png", "Ver Imagen")</f>
        <v/>
      </c>
      <c r="P939">
        <f>HYPERLINK("SE\A-5052\A-5052__132.png", "Ver Imagen")</f>
        <v/>
      </c>
    </row>
    <row r="940">
      <c r="A940" t="n">
        <v>351</v>
      </c>
      <c r="B940" t="inlineStr">
        <is>
          <t>A-5052__132</t>
        </is>
      </c>
      <c r="C940" t="n">
        <v>37.2165337042</v>
      </c>
      <c r="D940" t="n">
        <v>-7.09289485836</v>
      </c>
      <c r="E940" t="n">
        <v>2</v>
      </c>
      <c r="F940" t="n">
        <v>2</v>
      </c>
      <c r="G940" t="n">
        <v>2</v>
      </c>
      <c r="J940" t="inlineStr">
        <is>
          <t>Moda</t>
        </is>
      </c>
      <c r="K940" t="n">
        <v>2</v>
      </c>
      <c r="L940" t="n">
        <v>2.105</v>
      </c>
      <c r="M940" t="n">
        <v>0</v>
      </c>
      <c r="N940" t="inlineStr">
        <is>
          <t>train</t>
        </is>
      </c>
      <c r="O940">
        <f>HYPERLINK("2\0\marker_568_958132.png", "Ver Imagen")</f>
        <v/>
      </c>
      <c r="P940">
        <f>HYPERLINK("SO\A-5052\A-5052__132.png", "Ver Imagen")</f>
        <v/>
      </c>
    </row>
    <row r="941">
      <c r="A941" t="n">
        <v>352</v>
      </c>
      <c r="B941" t="inlineStr">
        <is>
          <t>A-5052__156</t>
        </is>
      </c>
      <c r="C941" t="n">
        <v>37.2160189524</v>
      </c>
      <c r="D941" t="n">
        <v>-7.08689279101</v>
      </c>
      <c r="E941" t="n">
        <v>2</v>
      </c>
      <c r="F941" t="n">
        <v>2</v>
      </c>
      <c r="G941" t="n">
        <v>2</v>
      </c>
      <c r="J941" t="inlineStr">
        <is>
          <t>Moda</t>
        </is>
      </c>
      <c r="K941" t="n">
        <v>2</v>
      </c>
      <c r="L941" t="n">
        <v>2.081</v>
      </c>
      <c r="M941" t="n">
        <v>0</v>
      </c>
      <c r="N941" t="inlineStr">
        <is>
          <t>test</t>
        </is>
      </c>
      <c r="O941">
        <f>HYPERLINK("2\0\marker_184_958619.png", "Ver Imagen")</f>
        <v/>
      </c>
      <c r="P941">
        <f>HYPERLINK("SE\A-5052\A-5052__156.png", "Ver Imagen")</f>
        <v/>
      </c>
    </row>
    <row r="942">
      <c r="A942" t="n">
        <v>352</v>
      </c>
      <c r="B942" t="inlineStr">
        <is>
          <t>A-5052__156</t>
        </is>
      </c>
      <c r="C942" t="n">
        <v>37.2160189524</v>
      </c>
      <c r="D942" t="n">
        <v>-7.08689279101</v>
      </c>
      <c r="E942" t="n">
        <v>2</v>
      </c>
      <c r="F942" t="n">
        <v>2</v>
      </c>
      <c r="G942" t="n">
        <v>2</v>
      </c>
      <c r="J942" t="inlineStr">
        <is>
          <t>Moda</t>
        </is>
      </c>
      <c r="K942" t="n">
        <v>2</v>
      </c>
      <c r="L942" t="n">
        <v>1.933</v>
      </c>
      <c r="M942" t="n">
        <v>0</v>
      </c>
      <c r="N942" t="inlineStr">
        <is>
          <t>test</t>
        </is>
      </c>
      <c r="O942">
        <f>HYPERLINK("2\0\marker_184_958619.png", "Ver Imagen")</f>
        <v/>
      </c>
      <c r="P942">
        <f>HYPERLINK("SO\A-5052\A-5052__156.png", "Ver Imagen")</f>
        <v/>
      </c>
    </row>
    <row r="943">
      <c r="A943" t="n">
        <v>353</v>
      </c>
      <c r="B943" t="inlineStr">
        <is>
          <t>A-5052__157</t>
        </is>
      </c>
      <c r="C943" t="n">
        <v>37.2160231172</v>
      </c>
      <c r="D943" t="n">
        <v>-7.08659855065</v>
      </c>
      <c r="E943" t="n">
        <v>2</v>
      </c>
      <c r="F943" t="n">
        <v>2</v>
      </c>
      <c r="G943" t="n">
        <v>2</v>
      </c>
      <c r="J943" t="inlineStr">
        <is>
          <t>Moda</t>
        </is>
      </c>
      <c r="K943" t="n">
        <v>2</v>
      </c>
      <c r="L943" t="n">
        <v>1.919</v>
      </c>
      <c r="M943" t="n">
        <v>0</v>
      </c>
      <c r="N943" t="inlineStr">
        <is>
          <t>train</t>
        </is>
      </c>
      <c r="O943">
        <f>HYPERLINK("2\0\marker_348_958629.png", "Ver Imagen")</f>
        <v/>
      </c>
      <c r="P943">
        <f>HYPERLINK("SE\A-5052\A-5052__157.png", "Ver Imagen")</f>
        <v/>
      </c>
    </row>
    <row r="944">
      <c r="A944" t="n">
        <v>353</v>
      </c>
      <c r="B944" t="inlineStr">
        <is>
          <t>A-5052__157</t>
        </is>
      </c>
      <c r="C944" t="n">
        <v>37.2160231172</v>
      </c>
      <c r="D944" t="n">
        <v>-7.08659855065</v>
      </c>
      <c r="E944" t="n">
        <v>2</v>
      </c>
      <c r="F944" t="n">
        <v>2</v>
      </c>
      <c r="G944" t="n">
        <v>2</v>
      </c>
      <c r="J944" t="inlineStr">
        <is>
          <t>Moda</t>
        </is>
      </c>
      <c r="K944" t="n">
        <v>2</v>
      </c>
      <c r="L944" t="n">
        <v>1.988</v>
      </c>
      <c r="M944" t="n">
        <v>0</v>
      </c>
      <c r="N944" t="inlineStr">
        <is>
          <t>train</t>
        </is>
      </c>
      <c r="O944">
        <f>HYPERLINK("2\0\marker_348_958629.png", "Ver Imagen")</f>
        <v/>
      </c>
      <c r="P944">
        <f>HYPERLINK("SO\A-5052\A-5052__157.png", "Ver Imagen")</f>
        <v/>
      </c>
    </row>
    <row r="945">
      <c r="A945" t="n">
        <v>354</v>
      </c>
      <c r="B945" t="inlineStr">
        <is>
          <t>A-5052__159</t>
        </is>
      </c>
      <c r="C945" t="n">
        <v>37.2160535866</v>
      </c>
      <c r="D945" t="n">
        <v>-7.08610182083</v>
      </c>
      <c r="E945" t="n">
        <v>2</v>
      </c>
      <c r="F945" t="n">
        <v>2</v>
      </c>
      <c r="G945" t="n">
        <v>2</v>
      </c>
      <c r="J945" t="inlineStr">
        <is>
          <t>Moda</t>
        </is>
      </c>
      <c r="K945" t="n">
        <v>2</v>
      </c>
      <c r="L945" t="n">
        <v>2.206</v>
      </c>
      <c r="M945" t="n">
        <v>0</v>
      </c>
      <c r="N945" t="inlineStr">
        <is>
          <t>train</t>
        </is>
      </c>
      <c r="O945">
        <f>HYPERLINK("2\0\marker_444_958672.png", "Ver Imagen")</f>
        <v/>
      </c>
      <c r="P945">
        <f>HYPERLINK("SE\A-5052\A-5052__159.png", "Ver Imagen")</f>
        <v/>
      </c>
    </row>
    <row r="946">
      <c r="A946" t="n">
        <v>354</v>
      </c>
      <c r="B946" t="inlineStr">
        <is>
          <t>A-5052__159</t>
        </is>
      </c>
      <c r="C946" t="n">
        <v>37.2160535866</v>
      </c>
      <c r="D946" t="n">
        <v>-7.08610182083</v>
      </c>
      <c r="E946" t="n">
        <v>2</v>
      </c>
      <c r="F946" t="n">
        <v>2</v>
      </c>
      <c r="G946" t="n">
        <v>2</v>
      </c>
      <c r="J946" t="inlineStr">
        <is>
          <t>Moda</t>
        </is>
      </c>
      <c r="K946" t="n">
        <v>2</v>
      </c>
      <c r="L946" t="n">
        <v>2.008</v>
      </c>
      <c r="M946" t="n">
        <v>0</v>
      </c>
      <c r="N946" t="inlineStr">
        <is>
          <t>train</t>
        </is>
      </c>
      <c r="O946">
        <f>HYPERLINK("2\0\marker_444_958672.png", "Ver Imagen")</f>
        <v/>
      </c>
      <c r="P946">
        <f>HYPERLINK("SO\A-5052\A-5052__159.png", "Ver Imagen")</f>
        <v/>
      </c>
    </row>
    <row r="947">
      <c r="A947" t="n">
        <v>355</v>
      </c>
      <c r="B947" t="inlineStr">
        <is>
          <t>A-5052__163</t>
        </is>
      </c>
      <c r="C947" t="n">
        <v>37.2161766835</v>
      </c>
      <c r="D947" t="n">
        <v>-7.08513422696</v>
      </c>
      <c r="E947" t="n">
        <v>2</v>
      </c>
      <c r="F947" t="n">
        <v>2</v>
      </c>
      <c r="G947" t="n">
        <v>2</v>
      </c>
      <c r="J947" t="inlineStr">
        <is>
          <t>Moda</t>
        </is>
      </c>
      <c r="K947" t="n">
        <v>2</v>
      </c>
      <c r="L947" t="n">
        <v>2.035</v>
      </c>
      <c r="M947" t="n">
        <v>0</v>
      </c>
      <c r="N947" t="inlineStr">
        <is>
          <t>val</t>
        </is>
      </c>
      <c r="O947">
        <f>HYPERLINK("2\0\marker_788_958713.png", "Ver Imagen")</f>
        <v/>
      </c>
      <c r="P947">
        <f>HYPERLINK("SE\A-5052\A-5052__163.png", "Ver Imagen")</f>
        <v/>
      </c>
    </row>
    <row r="948">
      <c r="A948" t="n">
        <v>355</v>
      </c>
      <c r="B948" t="inlineStr">
        <is>
          <t>A-5052__163</t>
        </is>
      </c>
      <c r="C948" t="n">
        <v>37.2161766835</v>
      </c>
      <c r="D948" t="n">
        <v>-7.08513422696</v>
      </c>
      <c r="E948" t="n">
        <v>2</v>
      </c>
      <c r="F948" t="n">
        <v>2</v>
      </c>
      <c r="G948" t="n">
        <v>2</v>
      </c>
      <c r="J948" t="inlineStr">
        <is>
          <t>Moda</t>
        </is>
      </c>
      <c r="K948" t="n">
        <v>2</v>
      </c>
      <c r="L948" t="n">
        <v>1.843</v>
      </c>
      <c r="M948" t="n">
        <v>0</v>
      </c>
      <c r="N948" t="inlineStr">
        <is>
          <t>val</t>
        </is>
      </c>
      <c r="O948">
        <f>HYPERLINK("2\0\marker_788_958713.png", "Ver Imagen")</f>
        <v/>
      </c>
      <c r="P948">
        <f>HYPERLINK("SO\A-5052\A-5052__163.png", "Ver Imagen")</f>
        <v/>
      </c>
    </row>
    <row r="949">
      <c r="A949" t="n">
        <v>356</v>
      </c>
      <c r="B949" t="inlineStr">
        <is>
          <t>A-5052__177</t>
        </is>
      </c>
      <c r="C949" t="n">
        <v>37.2155940344</v>
      </c>
      <c r="D949" t="n">
        <v>-7.08173651753</v>
      </c>
      <c r="E949" t="n">
        <v>2</v>
      </c>
      <c r="F949" t="n">
        <v>2</v>
      </c>
      <c r="G949" t="n">
        <v>2</v>
      </c>
      <c r="J949" t="inlineStr">
        <is>
          <t>Moda</t>
        </is>
      </c>
      <c r="K949" t="n">
        <v>2</v>
      </c>
      <c r="L949" t="n">
        <v>2.122</v>
      </c>
      <c r="M949" t="n">
        <v>0</v>
      </c>
      <c r="N949" t="inlineStr">
        <is>
          <t>val</t>
        </is>
      </c>
      <c r="O949">
        <f>HYPERLINK("2\0\marker_202_959044.png", "Ver Imagen")</f>
        <v/>
      </c>
      <c r="P949">
        <f>HYPERLINK("SE\A-5052\A-5052__177.png", "Ver Imagen")</f>
        <v/>
      </c>
    </row>
    <row r="950">
      <c r="A950" t="n">
        <v>356</v>
      </c>
      <c r="B950" t="inlineStr">
        <is>
          <t>A-5052__177</t>
        </is>
      </c>
      <c r="C950" t="n">
        <v>37.2155940344</v>
      </c>
      <c r="D950" t="n">
        <v>-7.08173651753</v>
      </c>
      <c r="E950" t="n">
        <v>2</v>
      </c>
      <c r="F950" t="n">
        <v>2</v>
      </c>
      <c r="G950" t="n">
        <v>2</v>
      </c>
      <c r="J950" t="inlineStr">
        <is>
          <t>Moda</t>
        </is>
      </c>
      <c r="K950" t="n">
        <v>2</v>
      </c>
      <c r="L950" t="n">
        <v>2.047</v>
      </c>
      <c r="M950" t="n">
        <v>0</v>
      </c>
      <c r="N950" t="inlineStr">
        <is>
          <t>val</t>
        </is>
      </c>
      <c r="O950">
        <f>HYPERLINK("2\0\marker_202_959044.png", "Ver Imagen")</f>
        <v/>
      </c>
      <c r="P950">
        <f>HYPERLINK("SO\A-5052\A-5052__177.png", "Ver Imagen")</f>
        <v/>
      </c>
    </row>
    <row r="951">
      <c r="A951" t="n">
        <v>357</v>
      </c>
      <c r="B951" t="inlineStr">
        <is>
          <t>A-5052__178</t>
        </is>
      </c>
      <c r="C951" t="n">
        <v>37.2155234357</v>
      </c>
      <c r="D951" t="n">
        <v>-7.08148231761</v>
      </c>
      <c r="E951" t="n">
        <v>2</v>
      </c>
      <c r="F951" t="n">
        <v>2</v>
      </c>
      <c r="G951" t="n">
        <v>2</v>
      </c>
      <c r="J951" t="inlineStr">
        <is>
          <t>Moda</t>
        </is>
      </c>
      <c r="K951" t="n">
        <v>2</v>
      </c>
      <c r="L951" t="n">
        <v>1.935</v>
      </c>
      <c r="M951" t="n">
        <v>0</v>
      </c>
      <c r="N951" t="inlineStr">
        <is>
          <t>test</t>
        </is>
      </c>
      <c r="O951">
        <f>HYPERLINK("2\0\marker_984_959053.png", "Ver Imagen")</f>
        <v/>
      </c>
      <c r="P951">
        <f>HYPERLINK("SE\A-5052\A-5052__178.png", "Ver Imagen")</f>
        <v/>
      </c>
    </row>
    <row r="952">
      <c r="A952" t="n">
        <v>357</v>
      </c>
      <c r="B952" t="inlineStr">
        <is>
          <t>A-5052__178</t>
        </is>
      </c>
      <c r="C952" t="n">
        <v>37.2155234357</v>
      </c>
      <c r="D952" t="n">
        <v>-7.08148231761</v>
      </c>
      <c r="E952" t="n">
        <v>2</v>
      </c>
      <c r="F952" t="n">
        <v>2</v>
      </c>
      <c r="G952" t="n">
        <v>2</v>
      </c>
      <c r="J952" t="inlineStr">
        <is>
          <t>Moda</t>
        </is>
      </c>
      <c r="K952" t="n">
        <v>2</v>
      </c>
      <c r="L952" t="n">
        <v>1.787</v>
      </c>
      <c r="M952" t="n">
        <v>0</v>
      </c>
      <c r="N952" t="inlineStr">
        <is>
          <t>test</t>
        </is>
      </c>
      <c r="O952">
        <f>HYPERLINK("2\0\marker_984_959053.png", "Ver Imagen")</f>
        <v/>
      </c>
      <c r="P952">
        <f>HYPERLINK("SO\A-5052\A-5052__178.png", "Ver Imagen")</f>
        <v/>
      </c>
    </row>
    <row r="953">
      <c r="A953" t="n">
        <v>358</v>
      </c>
      <c r="B953" t="inlineStr">
        <is>
          <t>A-5052__183</t>
        </is>
      </c>
      <c r="C953" t="n">
        <v>37.2151881614</v>
      </c>
      <c r="D953" t="n">
        <v>-7.08032007</v>
      </c>
      <c r="E953" t="n">
        <v>2</v>
      </c>
      <c r="F953" t="n">
        <v>2</v>
      </c>
      <c r="G953" t="n">
        <v>2</v>
      </c>
      <c r="J953" t="inlineStr">
        <is>
          <t>Moda</t>
        </is>
      </c>
      <c r="K953" t="n">
        <v>2</v>
      </c>
      <c r="L953" t="n">
        <v>1.974</v>
      </c>
      <c r="M953" t="n">
        <v>0</v>
      </c>
      <c r="N953" t="inlineStr">
        <is>
          <t>train</t>
        </is>
      </c>
      <c r="O953">
        <f>HYPERLINK("2\0\marker_941_959200.png", "Ver Imagen")</f>
        <v/>
      </c>
      <c r="P953">
        <f>HYPERLINK("SE\A-5052\A-5052__183.png", "Ver Imagen")</f>
        <v/>
      </c>
    </row>
    <row r="954">
      <c r="A954" t="n">
        <v>358</v>
      </c>
      <c r="B954" t="inlineStr">
        <is>
          <t>A-5052__183</t>
        </is>
      </c>
      <c r="C954" t="n">
        <v>37.2151881614</v>
      </c>
      <c r="D954" t="n">
        <v>-7.08032007</v>
      </c>
      <c r="E954" t="n">
        <v>2</v>
      </c>
      <c r="F954" t="n">
        <v>2</v>
      </c>
      <c r="G954" t="n">
        <v>2</v>
      </c>
      <c r="J954" t="inlineStr">
        <is>
          <t>Moda</t>
        </is>
      </c>
      <c r="K954" t="n">
        <v>2</v>
      </c>
      <c r="L954" t="n">
        <v>1.911</v>
      </c>
      <c r="M954" t="n">
        <v>0</v>
      </c>
      <c r="N954" t="inlineStr">
        <is>
          <t>train</t>
        </is>
      </c>
      <c r="O954">
        <f>HYPERLINK("2\0\marker_941_959200.png", "Ver Imagen")</f>
        <v/>
      </c>
      <c r="P954">
        <f>HYPERLINK("SO\A-5052\A-5052__183.png", "Ver Imagen")</f>
        <v/>
      </c>
    </row>
    <row r="955">
      <c r="A955" t="n">
        <v>359</v>
      </c>
      <c r="B955" t="inlineStr">
        <is>
          <t>A-5052__184</t>
        </is>
      </c>
      <c r="C955" t="n">
        <v>37.2151114895</v>
      </c>
      <c r="D955" t="n">
        <v>-7.08003806805</v>
      </c>
      <c r="E955" t="n">
        <v>2</v>
      </c>
      <c r="F955" t="n">
        <v>2</v>
      </c>
      <c r="G955" t="n">
        <v>2</v>
      </c>
      <c r="J955" t="inlineStr">
        <is>
          <t>Moda</t>
        </is>
      </c>
      <c r="K955" t="n">
        <v>2</v>
      </c>
      <c r="L955" t="n">
        <v>1.974</v>
      </c>
      <c r="M955" t="n">
        <v>0</v>
      </c>
      <c r="N955" t="inlineStr">
        <is>
          <t>train</t>
        </is>
      </c>
      <c r="O955">
        <f>HYPERLINK("2\0\marker_445_959209.png", "Ver Imagen")</f>
        <v/>
      </c>
      <c r="P955">
        <f>HYPERLINK("SE\A-5052\A-5052__184.png", "Ver Imagen")</f>
        <v/>
      </c>
    </row>
    <row r="956">
      <c r="A956" t="n">
        <v>359</v>
      </c>
      <c r="B956" t="inlineStr">
        <is>
          <t>A-5052__184</t>
        </is>
      </c>
      <c r="C956" t="n">
        <v>37.2151114895</v>
      </c>
      <c r="D956" t="n">
        <v>-7.08003806805</v>
      </c>
      <c r="E956" t="n">
        <v>2</v>
      </c>
      <c r="F956" t="n">
        <v>2</v>
      </c>
      <c r="G956" t="n">
        <v>2</v>
      </c>
      <c r="J956" t="inlineStr">
        <is>
          <t>Moda</t>
        </is>
      </c>
      <c r="K956" t="n">
        <v>2</v>
      </c>
      <c r="L956" t="n">
        <v>2.333</v>
      </c>
      <c r="M956" t="n">
        <v>0</v>
      </c>
      <c r="N956" t="inlineStr">
        <is>
          <t>train</t>
        </is>
      </c>
      <c r="O956">
        <f>HYPERLINK("2\0\marker_445_959209.png", "Ver Imagen")</f>
        <v/>
      </c>
      <c r="P956">
        <f>HYPERLINK("SO\A-5052\A-5052__184.png", "Ver Imagen")</f>
        <v/>
      </c>
    </row>
    <row r="957">
      <c r="A957" t="n">
        <v>360</v>
      </c>
      <c r="B957" t="inlineStr">
        <is>
          <t>A-5052__185</t>
        </is>
      </c>
      <c r="C957" t="n">
        <v>37.2150443926</v>
      </c>
      <c r="D957" t="n">
        <v>-7.07977839136</v>
      </c>
      <c r="E957" t="n">
        <v>2</v>
      </c>
      <c r="F957" t="n">
        <v>2</v>
      </c>
      <c r="G957" t="n">
        <v>2</v>
      </c>
      <c r="J957" t="inlineStr">
        <is>
          <t>Moda</t>
        </is>
      </c>
      <c r="K957" t="n">
        <v>2</v>
      </c>
      <c r="L957" t="n">
        <v>1.961</v>
      </c>
      <c r="M957" t="n">
        <v>0</v>
      </c>
      <c r="N957" t="inlineStr">
        <is>
          <t>train</t>
        </is>
      </c>
      <c r="O957">
        <f>HYPERLINK("2\0\marker_952_959226.png", "Ver Imagen")</f>
        <v/>
      </c>
      <c r="P957">
        <f>HYPERLINK("SE\A-5052\A-5052__185.png", "Ver Imagen")</f>
        <v/>
      </c>
    </row>
    <row r="958">
      <c r="A958" t="n">
        <v>360</v>
      </c>
      <c r="B958" t="inlineStr">
        <is>
          <t>A-5052__185</t>
        </is>
      </c>
      <c r="C958" t="n">
        <v>37.2150443926</v>
      </c>
      <c r="D958" t="n">
        <v>-7.07977839136</v>
      </c>
      <c r="E958" t="n">
        <v>2</v>
      </c>
      <c r="F958" t="n">
        <v>2</v>
      </c>
      <c r="G958" t="n">
        <v>2</v>
      </c>
      <c r="J958" t="inlineStr">
        <is>
          <t>Moda</t>
        </is>
      </c>
      <c r="K958" t="n">
        <v>2</v>
      </c>
      <c r="L958" t="n">
        <v>1.707</v>
      </c>
      <c r="M958" t="n">
        <v>0</v>
      </c>
      <c r="N958" t="inlineStr">
        <is>
          <t>train</t>
        </is>
      </c>
      <c r="O958">
        <f>HYPERLINK("2\0\marker_952_959226.png", "Ver Imagen")</f>
        <v/>
      </c>
      <c r="P958">
        <f>HYPERLINK("SO\A-5052\A-5052__185.png", "Ver Imagen")</f>
        <v/>
      </c>
    </row>
    <row r="959">
      <c r="A959" t="n">
        <v>361</v>
      </c>
      <c r="B959" t="inlineStr">
        <is>
          <t>A-5052__186</t>
        </is>
      </c>
      <c r="C959" t="n">
        <v>37.2149920756</v>
      </c>
      <c r="D959" t="n">
        <v>-7.07955583802</v>
      </c>
      <c r="E959" t="n">
        <v>2</v>
      </c>
      <c r="F959" t="n">
        <v>2</v>
      </c>
      <c r="G959" t="n">
        <v>2</v>
      </c>
      <c r="J959" t="inlineStr">
        <is>
          <t>Moda</t>
        </is>
      </c>
      <c r="K959" t="n">
        <v>2</v>
      </c>
      <c r="L959" t="n">
        <v>2.172</v>
      </c>
      <c r="M959" t="n">
        <v>0</v>
      </c>
      <c r="N959" t="inlineStr">
        <is>
          <t>train</t>
        </is>
      </c>
      <c r="O959">
        <f>HYPERLINK("2\0\marker_637_959268.png", "Ver Imagen")</f>
        <v/>
      </c>
      <c r="P959">
        <f>HYPERLINK("SE\A-5052\A-5052__186.png", "Ver Imagen")</f>
        <v/>
      </c>
    </row>
    <row r="960">
      <c r="A960" t="n">
        <v>361</v>
      </c>
      <c r="B960" t="inlineStr">
        <is>
          <t>A-5052__186</t>
        </is>
      </c>
      <c r="C960" t="n">
        <v>37.2149920756</v>
      </c>
      <c r="D960" t="n">
        <v>-7.07955583802</v>
      </c>
      <c r="E960" t="n">
        <v>2</v>
      </c>
      <c r="F960" t="n">
        <v>2</v>
      </c>
      <c r="G960" t="n">
        <v>2</v>
      </c>
      <c r="J960" t="inlineStr">
        <is>
          <t>Moda</t>
        </is>
      </c>
      <c r="K960" t="n">
        <v>2</v>
      </c>
      <c r="L960" t="n">
        <v>1.872</v>
      </c>
      <c r="M960" t="n">
        <v>0</v>
      </c>
      <c r="N960" t="inlineStr">
        <is>
          <t>train</t>
        </is>
      </c>
      <c r="O960">
        <f>HYPERLINK("2\0\marker_637_959268.png", "Ver Imagen")</f>
        <v/>
      </c>
      <c r="P960">
        <f>HYPERLINK("SO\A-5052\A-5052__186.png", "Ver Imagen")</f>
        <v/>
      </c>
    </row>
    <row r="961">
      <c r="A961" t="n">
        <v>362</v>
      </c>
      <c r="B961" t="inlineStr">
        <is>
          <t>A-5052__235</t>
        </is>
      </c>
      <c r="C961" t="n">
        <v>37.2133777287</v>
      </c>
      <c r="D961" t="n">
        <v>-7.06736797335</v>
      </c>
      <c r="E961" t="n">
        <v>2</v>
      </c>
      <c r="F961" t="n">
        <v>2</v>
      </c>
      <c r="G961" t="n">
        <v>2</v>
      </c>
      <c r="J961" t="inlineStr">
        <is>
          <t>Moda</t>
        </is>
      </c>
      <c r="K961" t="n">
        <v>2</v>
      </c>
      <c r="L961" t="n">
        <v>2.487</v>
      </c>
      <c r="M961" t="n">
        <v>0</v>
      </c>
      <c r="N961" t="inlineStr">
        <is>
          <t>val</t>
        </is>
      </c>
      <c r="O961">
        <f>HYPERLINK("2\0\marker_408_959884.png", "Ver Imagen")</f>
        <v/>
      </c>
      <c r="P961">
        <f>HYPERLINK("SE\A-5052\A-5052__235.png", "Ver Imagen")</f>
        <v/>
      </c>
    </row>
    <row r="962">
      <c r="A962" t="n">
        <v>363</v>
      </c>
      <c r="B962" t="inlineStr">
        <is>
          <t>A-5052__237</t>
        </is>
      </c>
      <c r="C962" t="n">
        <v>37.2133571755</v>
      </c>
      <c r="D962" t="n">
        <v>-7.06686498174</v>
      </c>
      <c r="E962" t="n">
        <v>2</v>
      </c>
      <c r="F962" t="n">
        <v>2</v>
      </c>
      <c r="G962" t="n">
        <v>2</v>
      </c>
      <c r="J962" t="inlineStr">
        <is>
          <t>Moda</t>
        </is>
      </c>
      <c r="K962" t="n">
        <v>2</v>
      </c>
      <c r="L962" t="n">
        <v>1.961</v>
      </c>
      <c r="M962" t="n">
        <v>0</v>
      </c>
      <c r="N962" t="inlineStr">
        <is>
          <t>train</t>
        </is>
      </c>
      <c r="O962">
        <f>HYPERLINK("2\0\marker_182_959915.png", "Ver Imagen")</f>
        <v/>
      </c>
      <c r="P962">
        <f>HYPERLINK("SE\A-5052\A-5052__237.png", "Ver Imagen")</f>
        <v/>
      </c>
    </row>
    <row r="963">
      <c r="A963" t="n">
        <v>364</v>
      </c>
      <c r="B963" t="inlineStr">
        <is>
          <t>A-5052__254</t>
        </is>
      </c>
      <c r="C963" t="n">
        <v>37.2131748753</v>
      </c>
      <c r="D963" t="n">
        <v>-7.06267194525</v>
      </c>
      <c r="E963" t="n">
        <v>2</v>
      </c>
      <c r="F963" t="n">
        <v>2</v>
      </c>
      <c r="G963" t="n">
        <v>2</v>
      </c>
      <c r="J963" t="inlineStr">
        <is>
          <t>Moda</t>
        </is>
      </c>
      <c r="K963" t="n">
        <v>2</v>
      </c>
      <c r="L963" t="n">
        <v>2.077</v>
      </c>
      <c r="M963" t="n">
        <v>0</v>
      </c>
      <c r="N963" t="inlineStr">
        <is>
          <t>train</t>
        </is>
      </c>
      <c r="O963">
        <f>HYPERLINK("2\0\marker_703_960135.png", "Ver Imagen")</f>
        <v/>
      </c>
      <c r="P963">
        <f>HYPERLINK("SE\A-5052\A-5052__254.png", "Ver Imagen")</f>
        <v/>
      </c>
    </row>
    <row r="964">
      <c r="A964" t="n">
        <v>366</v>
      </c>
      <c r="B964" t="inlineStr">
        <is>
          <t>A-5052__262</t>
        </is>
      </c>
      <c r="C964" t="n">
        <v>37.2126270339</v>
      </c>
      <c r="D964" t="n">
        <v>-7.06072434074</v>
      </c>
      <c r="E964" t="n">
        <v>2</v>
      </c>
      <c r="F964" t="n">
        <v>2</v>
      </c>
      <c r="G964" t="n">
        <v>2</v>
      </c>
      <c r="J964" t="inlineStr">
        <is>
          <t>Moda</t>
        </is>
      </c>
      <c r="K964" t="n">
        <v>2</v>
      </c>
      <c r="L964" t="n">
        <v>2.118</v>
      </c>
      <c r="M964" t="n">
        <v>0</v>
      </c>
      <c r="N964" t="inlineStr">
        <is>
          <t>train</t>
        </is>
      </c>
      <c r="O964">
        <f>HYPERLINK("2\0\marker_721_960224.png", "Ver Imagen")</f>
        <v/>
      </c>
      <c r="P964">
        <f>HYPERLINK("SE\A-5052\A-5052__262.png", "Ver Imagen")</f>
        <v/>
      </c>
    </row>
    <row r="965">
      <c r="A965" t="n">
        <v>367</v>
      </c>
      <c r="B965" t="inlineStr">
        <is>
          <t>A-5052__265</t>
        </is>
      </c>
      <c r="C965" t="n">
        <v>37.2123793718</v>
      </c>
      <c r="D965" t="n">
        <v>-7.06005907452</v>
      </c>
      <c r="E965" t="n">
        <v>2</v>
      </c>
      <c r="F965" t="n">
        <v>2</v>
      </c>
      <c r="G965" t="n">
        <v>2</v>
      </c>
      <c r="J965" t="inlineStr">
        <is>
          <t>Moda</t>
        </is>
      </c>
      <c r="K965" t="n">
        <v>2</v>
      </c>
      <c r="L965" t="n">
        <v>1.975</v>
      </c>
      <c r="M965" t="n">
        <v>0</v>
      </c>
      <c r="N965" t="inlineStr">
        <is>
          <t>train</t>
        </is>
      </c>
      <c r="O965">
        <f>HYPERLINK("2\0\marker_468_960259.png", "Ver Imagen")</f>
        <v/>
      </c>
      <c r="P965">
        <f>HYPERLINK("SE\A-5052\A-5052__265.png", "Ver Imagen")</f>
        <v/>
      </c>
    </row>
    <row r="966">
      <c r="A966" t="n">
        <v>368</v>
      </c>
      <c r="B966" t="inlineStr">
        <is>
          <t>A-5052__268</t>
        </is>
      </c>
      <c r="C966" t="n">
        <v>37.2121235269</v>
      </c>
      <c r="D966" t="n">
        <v>-7.05937562621</v>
      </c>
      <c r="E966" t="n">
        <v>2</v>
      </c>
      <c r="F966" t="n">
        <v>2</v>
      </c>
      <c r="G966" t="n">
        <v>2</v>
      </c>
      <c r="J966" t="inlineStr">
        <is>
          <t>Moda</t>
        </is>
      </c>
      <c r="K966" t="n">
        <v>2</v>
      </c>
      <c r="L966" t="n">
        <v>2.235</v>
      </c>
      <c r="M966" t="n">
        <v>0</v>
      </c>
      <c r="N966" t="inlineStr">
        <is>
          <t>train</t>
        </is>
      </c>
      <c r="O966">
        <f>HYPERLINK("2\0\marker_328_960294.png", "Ver Imagen")</f>
        <v/>
      </c>
      <c r="P966">
        <f>HYPERLINK("SE\A-5052\A-5052__268.png", "Ver Imagen")</f>
        <v/>
      </c>
    </row>
    <row r="967">
      <c r="A967" t="n">
        <v>369</v>
      </c>
      <c r="B967" t="inlineStr">
        <is>
          <t>A-5052__281</t>
        </is>
      </c>
      <c r="C967" t="n">
        <v>37.2112500387</v>
      </c>
      <c r="D967" t="n">
        <v>-7.05627745116</v>
      </c>
      <c r="E967" t="n">
        <v>2</v>
      </c>
      <c r="F967" t="n">
        <v>2</v>
      </c>
      <c r="G967" t="n">
        <v>2</v>
      </c>
      <c r="J967" t="inlineStr">
        <is>
          <t>Moda</t>
        </is>
      </c>
      <c r="K967" t="n">
        <v>2</v>
      </c>
      <c r="L967" t="n">
        <v>2.157</v>
      </c>
      <c r="M967" t="n">
        <v>0</v>
      </c>
      <c r="N967" t="inlineStr">
        <is>
          <t>train</t>
        </is>
      </c>
      <c r="O967">
        <f>HYPERLINK("2\0\marker_967_960526.png", "Ver Imagen")</f>
        <v/>
      </c>
      <c r="P967">
        <f>HYPERLINK("SE\A-5052\A-5052__281.png", "Ver Imagen")</f>
        <v/>
      </c>
    </row>
    <row r="968">
      <c r="A968" t="n">
        <v>370</v>
      </c>
      <c r="B968" t="inlineStr">
        <is>
          <t>A-5052__283</t>
        </is>
      </c>
      <c r="C968" t="n">
        <v>37.2111919563</v>
      </c>
      <c r="D968" t="n">
        <v>-7.0557783951</v>
      </c>
      <c r="E968" t="n">
        <v>2</v>
      </c>
      <c r="F968" t="n">
        <v>2</v>
      </c>
      <c r="G968" t="n">
        <v>2</v>
      </c>
      <c r="J968" t="inlineStr">
        <is>
          <t>Moda</t>
        </is>
      </c>
      <c r="K968" t="n">
        <v>2</v>
      </c>
      <c r="L968" t="n">
        <v>1.725</v>
      </c>
      <c r="M968" t="n">
        <v>0</v>
      </c>
      <c r="N968" t="inlineStr">
        <is>
          <t>train</t>
        </is>
      </c>
      <c r="O968">
        <f>HYPERLINK("2\0\marker_116_960561.png", "Ver Imagen")</f>
        <v/>
      </c>
      <c r="P968">
        <f>HYPERLINK("SE\A-5052\A-5052__283.png", "Ver Imagen")</f>
        <v/>
      </c>
    </row>
    <row r="969">
      <c r="A969" t="n">
        <v>371</v>
      </c>
      <c r="B969" t="inlineStr">
        <is>
          <t>A-5052__290</t>
        </is>
      </c>
      <c r="C969" t="n">
        <v>37.2109544858</v>
      </c>
      <c r="D969" t="n">
        <v>-7.05402409766</v>
      </c>
      <c r="E969" t="n">
        <v>2</v>
      </c>
      <c r="F969" t="n">
        <v>2</v>
      </c>
      <c r="G969" t="n">
        <v>2</v>
      </c>
      <c r="J969" t="inlineStr">
        <is>
          <t>Moda</t>
        </is>
      </c>
      <c r="K969" t="n">
        <v>2</v>
      </c>
      <c r="L969" t="n">
        <v>1.885</v>
      </c>
      <c r="M969" t="n">
        <v>0</v>
      </c>
      <c r="N969" t="inlineStr">
        <is>
          <t>train</t>
        </is>
      </c>
      <c r="O969">
        <f>HYPERLINK("2\0\marker_871_960653.png", "Ver Imagen")</f>
        <v/>
      </c>
      <c r="P969">
        <f>HYPERLINK("SE\A-5052\A-5052__290.png", "Ver Imagen")</f>
        <v/>
      </c>
    </row>
    <row r="970">
      <c r="A970" t="n">
        <v>372</v>
      </c>
      <c r="B970" t="inlineStr">
        <is>
          <t>A-5052__302</t>
        </is>
      </c>
      <c r="C970" t="n">
        <v>37.2109358187</v>
      </c>
      <c r="D970" t="n">
        <v>-7.05104161112</v>
      </c>
      <c r="E970" t="n">
        <v>2</v>
      </c>
      <c r="F970" t="n">
        <v>2</v>
      </c>
      <c r="G970" t="n">
        <v>2</v>
      </c>
      <c r="J970" t="inlineStr">
        <is>
          <t>Moda</t>
        </is>
      </c>
      <c r="K970" t="n">
        <v>2</v>
      </c>
      <c r="L970" t="n">
        <v>1.824</v>
      </c>
      <c r="M970" t="n">
        <v>0</v>
      </c>
      <c r="N970" t="inlineStr">
        <is>
          <t>train</t>
        </is>
      </c>
      <c r="O970">
        <f>HYPERLINK("2\0\marker_302_960944.png", "Ver Imagen")</f>
        <v/>
      </c>
      <c r="P970">
        <f>HYPERLINK("SE\A-5052\A-5052__302.png", "Ver Imagen")</f>
        <v/>
      </c>
    </row>
    <row r="971">
      <c r="A971" t="n">
        <v>373</v>
      </c>
      <c r="B971" t="inlineStr">
        <is>
          <t>A-5052__303</t>
        </is>
      </c>
      <c r="C971" t="n">
        <v>37.211000702</v>
      </c>
      <c r="D971" t="n">
        <v>-7.05082896519</v>
      </c>
      <c r="E971" t="n">
        <v>2</v>
      </c>
      <c r="F971" t="n">
        <v>2</v>
      </c>
      <c r="G971" t="n">
        <v>2</v>
      </c>
      <c r="J971" t="inlineStr">
        <is>
          <t>Moda</t>
        </is>
      </c>
      <c r="K971" t="n">
        <v>2</v>
      </c>
      <c r="L971" t="n">
        <v>2.171</v>
      </c>
      <c r="M971" t="n">
        <v>0</v>
      </c>
      <c r="N971" t="inlineStr">
        <is>
          <t>train</t>
        </is>
      </c>
      <c r="O971">
        <f>HYPERLINK("2\0\marker_293_960957.png", "Ver Imagen")</f>
        <v/>
      </c>
      <c r="P971">
        <f>HYPERLINK("SE\A-5052\A-5052__303.png", "Ver Imagen")</f>
        <v/>
      </c>
    </row>
    <row r="972">
      <c r="A972" t="n">
        <v>374</v>
      </c>
      <c r="B972" t="inlineStr">
        <is>
          <t>A-5052__308</t>
        </is>
      </c>
      <c r="C972" t="n">
        <v>37.2115000426</v>
      </c>
      <c r="D972" t="n">
        <v>-7.04969746569</v>
      </c>
      <c r="E972" t="n">
        <v>2</v>
      </c>
      <c r="F972" t="n">
        <v>2</v>
      </c>
      <c r="G972" t="n">
        <v>2</v>
      </c>
      <c r="J972" t="inlineStr">
        <is>
          <t>Moda</t>
        </is>
      </c>
      <c r="K972" t="n">
        <v>2</v>
      </c>
      <c r="L972" t="n">
        <v>1.898</v>
      </c>
      <c r="M972" t="n">
        <v>0</v>
      </c>
      <c r="N972" t="inlineStr">
        <is>
          <t>train</t>
        </is>
      </c>
      <c r="O972">
        <f>HYPERLINK("2\0\marker_146_961067.png", "Ver Imagen")</f>
        <v/>
      </c>
      <c r="P972">
        <f>HYPERLINK("SE\A-5052\A-5052__308.png", "Ver Imagen")</f>
        <v/>
      </c>
    </row>
    <row r="973">
      <c r="A973" t="n">
        <v>375</v>
      </c>
      <c r="B973" t="inlineStr">
        <is>
          <t>A-5052__309</t>
        </is>
      </c>
      <c r="C973" t="n">
        <v>37.2115754744</v>
      </c>
      <c r="D973" t="n">
        <v>-7.04947796728</v>
      </c>
      <c r="E973" t="n">
        <v>2</v>
      </c>
      <c r="F973" t="n">
        <v>2</v>
      </c>
      <c r="G973" t="n">
        <v>2</v>
      </c>
      <c r="J973" t="inlineStr">
        <is>
          <t>Moda</t>
        </is>
      </c>
      <c r="K973" t="n">
        <v>2</v>
      </c>
      <c r="L973" t="n">
        <v>1.903</v>
      </c>
      <c r="M973" t="n">
        <v>0</v>
      </c>
      <c r="N973" t="inlineStr">
        <is>
          <t>train</t>
        </is>
      </c>
      <c r="O973">
        <f>HYPERLINK("2\0\marker_718_961087.png", "Ver Imagen")</f>
        <v/>
      </c>
      <c r="P973">
        <f>HYPERLINK("SE\A-5052\A-5052__309.png", "Ver Imagen")</f>
        <v/>
      </c>
    </row>
    <row r="974">
      <c r="A974" t="n">
        <v>376</v>
      </c>
      <c r="B974" t="inlineStr">
        <is>
          <t>A-5052__310</t>
        </is>
      </c>
      <c r="C974" t="n">
        <v>37.211648704</v>
      </c>
      <c r="D974" t="n">
        <v>-7.04921425881</v>
      </c>
      <c r="E974" t="n">
        <v>2</v>
      </c>
      <c r="F974" t="n">
        <v>2</v>
      </c>
      <c r="G974" t="n">
        <v>2</v>
      </c>
      <c r="J974" t="inlineStr">
        <is>
          <t>Moda</t>
        </is>
      </c>
      <c r="K974" t="n">
        <v>2</v>
      </c>
      <c r="L974" t="n">
        <v>1.907</v>
      </c>
      <c r="M974" t="n">
        <v>0</v>
      </c>
      <c r="N974" t="inlineStr">
        <is>
          <t>train</t>
        </is>
      </c>
      <c r="O974">
        <f>HYPERLINK("2\0\marker_689_961109.png", "Ver Imagen")</f>
        <v/>
      </c>
      <c r="P974">
        <f>HYPERLINK("SE\A-5052\A-5052__310.png", "Ver Imagen")</f>
        <v/>
      </c>
    </row>
    <row r="975">
      <c r="A975" t="n">
        <v>377</v>
      </c>
      <c r="B975" t="inlineStr">
        <is>
          <t>A-5052__318</t>
        </is>
      </c>
      <c r="C975" t="n">
        <v>37.2116569339</v>
      </c>
      <c r="D975" t="n">
        <v>-7.04722897597</v>
      </c>
      <c r="E975" t="n">
        <v>2</v>
      </c>
      <c r="F975" t="n">
        <v>2</v>
      </c>
      <c r="G975" t="n">
        <v>2</v>
      </c>
      <c r="J975" t="inlineStr">
        <is>
          <t>Moda</t>
        </is>
      </c>
      <c r="K975" t="n">
        <v>2</v>
      </c>
      <c r="L975" t="n">
        <v>1.825</v>
      </c>
      <c r="M975" t="n">
        <v>0</v>
      </c>
      <c r="N975" t="inlineStr">
        <is>
          <t>train</t>
        </is>
      </c>
      <c r="O975">
        <f>HYPERLINK("2\0\marker_411_961230.png", "Ver Imagen")</f>
        <v/>
      </c>
      <c r="P975">
        <f>HYPERLINK("SE\A-5052\A-5052__318.png", "Ver Imagen")</f>
        <v/>
      </c>
    </row>
    <row r="976">
      <c r="A976" t="n">
        <v>379</v>
      </c>
      <c r="B976" t="inlineStr">
        <is>
          <t>A-5052__332</t>
        </is>
      </c>
      <c r="C976" t="n">
        <v>37.2107810119</v>
      </c>
      <c r="D976" t="n">
        <v>-7.0438400084</v>
      </c>
      <c r="E976" t="n">
        <v>2</v>
      </c>
      <c r="F976" t="n">
        <v>2</v>
      </c>
      <c r="G976" t="n">
        <v>2</v>
      </c>
      <c r="J976" t="inlineStr">
        <is>
          <t>Moda</t>
        </is>
      </c>
      <c r="K976" t="n">
        <v>2</v>
      </c>
      <c r="L976" t="n">
        <v>1.926</v>
      </c>
      <c r="M976" t="n">
        <v>0</v>
      </c>
      <c r="N976" t="inlineStr">
        <is>
          <t>val</t>
        </is>
      </c>
      <c r="O976">
        <f>HYPERLINK("2\0\marker_397_961521.png", "Ver Imagen")</f>
        <v/>
      </c>
      <c r="P976">
        <f>HYPERLINK("SE\A-5052\A-5052__332.png", "Ver Imagen")</f>
        <v/>
      </c>
    </row>
    <row r="977">
      <c r="A977" t="n">
        <v>380</v>
      </c>
      <c r="B977" t="inlineStr">
        <is>
          <t>A-5052__339</t>
        </is>
      </c>
      <c r="C977" t="n">
        <v>37.2101876904</v>
      </c>
      <c r="D977" t="n">
        <v>-7.04224664669</v>
      </c>
      <c r="E977" t="n">
        <v>2</v>
      </c>
      <c r="F977" t="n">
        <v>2</v>
      </c>
      <c r="G977" t="n">
        <v>2</v>
      </c>
      <c r="J977" t="inlineStr">
        <is>
          <t>Moda</t>
        </is>
      </c>
      <c r="K977" t="n">
        <v>2</v>
      </c>
      <c r="L977" t="n">
        <v>2.04</v>
      </c>
      <c r="M977" t="n">
        <v>0</v>
      </c>
      <c r="N977" t="inlineStr">
        <is>
          <t>train</t>
        </is>
      </c>
      <c r="O977">
        <f>HYPERLINK("2\0\marker_932_961609.png", "Ver Imagen")</f>
        <v/>
      </c>
      <c r="P977">
        <f>HYPERLINK("SE\A-5052\A-5052__339.png", "Ver Imagen")</f>
        <v/>
      </c>
    </row>
    <row r="978">
      <c r="A978" t="n">
        <v>381</v>
      </c>
      <c r="B978" t="inlineStr">
        <is>
          <t>A-5052__343</t>
        </is>
      </c>
      <c r="C978" t="n">
        <v>37.209853896</v>
      </c>
      <c r="D978" t="n">
        <v>-7.04134701979</v>
      </c>
      <c r="E978" t="n">
        <v>2</v>
      </c>
      <c r="F978" t="n">
        <v>2</v>
      </c>
      <c r="G978" t="n">
        <v>2</v>
      </c>
      <c r="J978" t="inlineStr">
        <is>
          <t>Moda</t>
        </is>
      </c>
      <c r="K978" t="n">
        <v>2</v>
      </c>
      <c r="L978" t="n">
        <v>1.955</v>
      </c>
      <c r="M978" t="n">
        <v>0</v>
      </c>
      <c r="N978" t="inlineStr">
        <is>
          <t>train</t>
        </is>
      </c>
      <c r="O978">
        <f>HYPERLINK("2\0\marker_219_961656.png", "Ver Imagen")</f>
        <v/>
      </c>
      <c r="P978">
        <f>HYPERLINK("SE\A-5052\A-5052__343.png", "Ver Imagen")</f>
        <v/>
      </c>
    </row>
    <row r="979">
      <c r="A979" t="n">
        <v>382</v>
      </c>
      <c r="B979" t="inlineStr">
        <is>
          <t>A-5052__345</t>
        </is>
      </c>
      <c r="C979" t="n">
        <v>37.2096779666</v>
      </c>
      <c r="D979" t="n">
        <v>-7.04088586639</v>
      </c>
      <c r="E979" t="n">
        <v>2</v>
      </c>
      <c r="F979" t="n">
        <v>2</v>
      </c>
      <c r="G979" t="n">
        <v>2</v>
      </c>
      <c r="J979" t="inlineStr">
        <is>
          <t>Moda</t>
        </is>
      </c>
      <c r="K979" t="n">
        <v>2</v>
      </c>
      <c r="L979" t="n">
        <v>1.95</v>
      </c>
      <c r="M979" t="n">
        <v>0</v>
      </c>
      <c r="N979" t="inlineStr">
        <is>
          <t>val</t>
        </is>
      </c>
      <c r="O979">
        <f>HYPERLINK("2\0\marker_861_961676.png", "Ver Imagen")</f>
        <v/>
      </c>
      <c r="P979">
        <f>HYPERLINK("SE\A-5052\A-5052__345.png", "Ver Imagen")</f>
        <v/>
      </c>
    </row>
    <row r="980">
      <c r="A980" t="n">
        <v>383</v>
      </c>
      <c r="B980" t="inlineStr">
        <is>
          <t>A-5052__347</t>
        </is>
      </c>
      <c r="C980" t="n">
        <v>37.2095244594</v>
      </c>
      <c r="D980" t="n">
        <v>-7.04047391424</v>
      </c>
      <c r="E980" t="n">
        <v>2</v>
      </c>
      <c r="F980" t="n">
        <v>2</v>
      </c>
      <c r="G980" t="n">
        <v>2</v>
      </c>
      <c r="J980" t="inlineStr">
        <is>
          <t>Moda</t>
        </is>
      </c>
      <c r="K980" t="n">
        <v>2</v>
      </c>
      <c r="L980" t="n">
        <v>2.119</v>
      </c>
      <c r="M980" t="n">
        <v>0</v>
      </c>
      <c r="N980" t="inlineStr">
        <is>
          <t>train</t>
        </is>
      </c>
      <c r="O980">
        <f>HYPERLINK("2\0\marker_985_961714.png", "Ver Imagen")</f>
        <v/>
      </c>
      <c r="P980">
        <f>HYPERLINK("SE\A-5052\A-5052__347.png", "Ver Imagen")</f>
        <v/>
      </c>
    </row>
    <row r="981">
      <c r="A981" t="n">
        <v>384</v>
      </c>
      <c r="B981" t="inlineStr">
        <is>
          <t>A-5052__420</t>
        </is>
      </c>
      <c r="C981" t="n">
        <v>37.20311067</v>
      </c>
      <c r="D981" t="n">
        <v>-7.02381001747</v>
      </c>
      <c r="E981" t="n">
        <v>2</v>
      </c>
      <c r="F981" t="n">
        <v>2</v>
      </c>
      <c r="G981" t="n">
        <v>2</v>
      </c>
      <c r="J981" t="inlineStr">
        <is>
          <t>Moda</t>
        </is>
      </c>
      <c r="K981" t="n">
        <v>2</v>
      </c>
      <c r="L981" t="n">
        <v>2.431</v>
      </c>
      <c r="M981" t="n">
        <v>0</v>
      </c>
      <c r="N981" t="inlineStr">
        <is>
          <t>val</t>
        </is>
      </c>
      <c r="O981">
        <f>HYPERLINK("2\0\marker_837_962875.png", "Ver Imagen")</f>
        <v/>
      </c>
      <c r="P981">
        <f>HYPERLINK("SE\A-5052\A-5052__420.png", "Ver Imagen")</f>
        <v/>
      </c>
    </row>
    <row r="982">
      <c r="A982" t="n">
        <v>385</v>
      </c>
      <c r="B982" t="inlineStr">
        <is>
          <t>A-5052__457</t>
        </is>
      </c>
      <c r="C982" t="n">
        <v>37.1998753303</v>
      </c>
      <c r="D982" t="n">
        <v>-7.01536193219</v>
      </c>
      <c r="E982" t="n">
        <v>2</v>
      </c>
      <c r="F982" t="n">
        <v>2</v>
      </c>
      <c r="G982" t="n">
        <v>2</v>
      </c>
      <c r="J982" t="inlineStr">
        <is>
          <t>Moda</t>
        </is>
      </c>
      <c r="K982" t="n">
        <v>2</v>
      </c>
      <c r="L982" t="n">
        <v>1.898</v>
      </c>
      <c r="M982" t="n">
        <v>0</v>
      </c>
      <c r="N982" t="inlineStr">
        <is>
          <t>train</t>
        </is>
      </c>
      <c r="O982">
        <f>HYPERLINK("2\0\marker_730_963252.png", "Ver Imagen")</f>
        <v/>
      </c>
      <c r="P982">
        <f>HYPERLINK("SE\A-5052\A-5052__457.png", "Ver Imagen")</f>
        <v/>
      </c>
    </row>
    <row r="983">
      <c r="A983" t="n">
        <v>386</v>
      </c>
      <c r="B983" t="inlineStr">
        <is>
          <t>A-5052__469</t>
        </is>
      </c>
      <c r="C983" t="n">
        <v>37.1988230341</v>
      </c>
      <c r="D983" t="n">
        <v>-7.01262495912</v>
      </c>
      <c r="E983" t="n">
        <v>2</v>
      </c>
      <c r="F983" t="n">
        <v>2</v>
      </c>
      <c r="G983" t="n">
        <v>2</v>
      </c>
      <c r="J983" t="inlineStr">
        <is>
          <t>Moda</t>
        </is>
      </c>
      <c r="K983" t="n">
        <v>2</v>
      </c>
      <c r="L983" t="n">
        <v>2.192</v>
      </c>
      <c r="M983" t="n">
        <v>0</v>
      </c>
      <c r="N983" t="inlineStr">
        <is>
          <t>train</t>
        </is>
      </c>
      <c r="O983">
        <f>HYPERLINK("2\0\marker_977_963382.png", "Ver Imagen")</f>
        <v/>
      </c>
      <c r="P983">
        <f>HYPERLINK("SE\A-5052\A-5052__469.png", "Ver Imagen")</f>
        <v/>
      </c>
    </row>
    <row r="984">
      <c r="A984" t="n">
        <v>387</v>
      </c>
      <c r="B984" t="inlineStr">
        <is>
          <t>A-5052__470</t>
        </is>
      </c>
      <c r="C984" t="n">
        <v>37.198737503</v>
      </c>
      <c r="D984" t="n">
        <v>-7.0124110669</v>
      </c>
      <c r="E984" t="n">
        <v>2</v>
      </c>
      <c r="F984" t="n">
        <v>2</v>
      </c>
      <c r="G984" t="n">
        <v>2</v>
      </c>
      <c r="J984" t="inlineStr">
        <is>
          <t>Moda</t>
        </is>
      </c>
      <c r="K984" t="n">
        <v>2</v>
      </c>
      <c r="L984" t="n">
        <v>2.276</v>
      </c>
      <c r="M984" t="n">
        <v>0</v>
      </c>
      <c r="N984" t="inlineStr">
        <is>
          <t>train</t>
        </is>
      </c>
      <c r="O984">
        <f>HYPERLINK("2\0\marker_795_963390.png", "Ver Imagen")</f>
        <v/>
      </c>
      <c r="P984">
        <f>HYPERLINK("SE\A-5052\A-5052__470.png", "Ver Imagen")</f>
        <v/>
      </c>
    </row>
    <row r="985">
      <c r="A985" t="n">
        <v>388</v>
      </c>
      <c r="B985" t="inlineStr">
        <is>
          <t>A-5052__472</t>
        </is>
      </c>
      <c r="C985" t="n">
        <v>37.1985579572</v>
      </c>
      <c r="D985" t="n">
        <v>-7.01194910985</v>
      </c>
      <c r="E985" t="n">
        <v>2</v>
      </c>
      <c r="F985" t="n">
        <v>2</v>
      </c>
      <c r="G985" t="n">
        <v>2</v>
      </c>
      <c r="J985" t="inlineStr">
        <is>
          <t>Moda</t>
        </is>
      </c>
      <c r="K985" t="n">
        <v>2</v>
      </c>
      <c r="L985" t="n">
        <v>2.263</v>
      </c>
      <c r="M985" t="n">
        <v>0</v>
      </c>
      <c r="N985" t="inlineStr">
        <is>
          <t>train</t>
        </is>
      </c>
      <c r="O985">
        <f>HYPERLINK("2\0\marker_355_963408.png", "Ver Imagen")</f>
        <v/>
      </c>
      <c r="P985">
        <f>HYPERLINK("SE\A-5052\A-5052__472.png", "Ver Imagen")</f>
        <v/>
      </c>
    </row>
    <row r="986">
      <c r="A986" t="n">
        <v>390</v>
      </c>
      <c r="B986" t="inlineStr">
        <is>
          <t>A-5052__477</t>
        </is>
      </c>
      <c r="C986" t="n">
        <v>37.1981065359</v>
      </c>
      <c r="D986" t="n">
        <v>-7.0107820947</v>
      </c>
      <c r="E986" t="n">
        <v>2</v>
      </c>
      <c r="F986" t="n">
        <v>2</v>
      </c>
      <c r="G986" t="n">
        <v>2</v>
      </c>
      <c r="J986" t="inlineStr">
        <is>
          <t>Moda</t>
        </is>
      </c>
      <c r="K986" t="n">
        <v>2</v>
      </c>
      <c r="L986" t="n">
        <v>1.977</v>
      </c>
      <c r="M986" t="n">
        <v>0</v>
      </c>
      <c r="N986" t="inlineStr">
        <is>
          <t>train</t>
        </is>
      </c>
      <c r="O986">
        <f>HYPERLINK("2\0\marker_761_963459.png", "Ver Imagen")</f>
        <v/>
      </c>
      <c r="P986">
        <f>HYPERLINK("SE\A-5052\A-5052__477.png", "Ver Imagen")</f>
        <v/>
      </c>
    </row>
    <row r="987">
      <c r="A987" t="n">
        <v>391</v>
      </c>
      <c r="B987" t="inlineStr">
        <is>
          <t>A-5052__482</t>
        </is>
      </c>
      <c r="C987" t="n">
        <v>37.1976828241</v>
      </c>
      <c r="D987" t="n">
        <v>-7.00968656361</v>
      </c>
      <c r="E987" t="n">
        <v>2</v>
      </c>
      <c r="F987" t="n">
        <v>2</v>
      </c>
      <c r="G987" t="n">
        <v>2</v>
      </c>
      <c r="J987" t="inlineStr">
        <is>
          <t>Moda</t>
        </is>
      </c>
      <c r="K987" t="n">
        <v>2</v>
      </c>
      <c r="L987" t="n">
        <v>2.154</v>
      </c>
      <c r="M987" t="n">
        <v>0</v>
      </c>
      <c r="N987" t="inlineStr">
        <is>
          <t>train</t>
        </is>
      </c>
      <c r="O987">
        <f>HYPERLINK("2\0\marker_343_963512.png", "Ver Imagen")</f>
        <v/>
      </c>
      <c r="P987">
        <f>HYPERLINK("SE\A-5052\A-5052__482.png", "Ver Imagen")</f>
        <v/>
      </c>
    </row>
    <row r="988">
      <c r="A988" t="n">
        <v>392</v>
      </c>
      <c r="B988" t="inlineStr">
        <is>
          <t>A-5052__484</t>
        </is>
      </c>
      <c r="C988" t="n">
        <v>37.1975057039</v>
      </c>
      <c r="D988" t="n">
        <v>-7.0091928487</v>
      </c>
      <c r="E988" t="n">
        <v>2</v>
      </c>
      <c r="F988" t="n">
        <v>2</v>
      </c>
      <c r="G988" t="n">
        <v>2</v>
      </c>
      <c r="J988" t="inlineStr">
        <is>
          <t>Moda</t>
        </is>
      </c>
      <c r="K988" t="n">
        <v>2</v>
      </c>
      <c r="L988" t="n">
        <v>2.232</v>
      </c>
      <c r="M988" t="n">
        <v>0</v>
      </c>
      <c r="N988" t="inlineStr">
        <is>
          <t>train</t>
        </is>
      </c>
      <c r="O988">
        <f>HYPERLINK("2\0\marker_952_963532.png", "Ver Imagen")</f>
        <v/>
      </c>
      <c r="P988">
        <f>HYPERLINK("SE\A-5052\A-5052__484.png", "Ver Imagen")</f>
        <v/>
      </c>
    </row>
    <row r="989">
      <c r="A989" t="n">
        <v>393</v>
      </c>
      <c r="B989" t="inlineStr">
        <is>
          <t>A-5052__490</t>
        </is>
      </c>
      <c r="C989" t="n">
        <v>37.1972787343</v>
      </c>
      <c r="D989" t="n">
        <v>-7.00772036934</v>
      </c>
      <c r="E989" t="n">
        <v>2</v>
      </c>
      <c r="F989" t="n">
        <v>2</v>
      </c>
      <c r="G989" t="n">
        <v>2</v>
      </c>
      <c r="J989" t="inlineStr">
        <is>
          <t>Moda</t>
        </is>
      </c>
      <c r="K989" t="n">
        <v>2</v>
      </c>
      <c r="L989" t="n">
        <v>1.972</v>
      </c>
      <c r="M989" t="n">
        <v>0</v>
      </c>
      <c r="N989" t="inlineStr">
        <is>
          <t>train</t>
        </is>
      </c>
      <c r="O989">
        <f>HYPERLINK("2\0\marker_170_963589.png", "Ver Imagen")</f>
        <v/>
      </c>
      <c r="P989">
        <f>HYPERLINK("SE\A-5052\A-5052__490.png", "Ver Imagen")</f>
        <v/>
      </c>
    </row>
    <row r="990">
      <c r="A990" t="n">
        <v>394</v>
      </c>
      <c r="B990" t="inlineStr">
        <is>
          <t>A-5052__491</t>
        </is>
      </c>
      <c r="C990" t="n">
        <v>37.197255701</v>
      </c>
      <c r="D990" t="n">
        <v>-7.00745893514</v>
      </c>
      <c r="E990" t="n">
        <v>2</v>
      </c>
      <c r="F990" t="n">
        <v>2</v>
      </c>
      <c r="G990" t="n">
        <v>2</v>
      </c>
      <c r="J990" t="inlineStr">
        <is>
          <t>Moda</t>
        </is>
      </c>
      <c r="K990" t="n">
        <v>2</v>
      </c>
      <c r="L990" t="n">
        <v>2.082</v>
      </c>
      <c r="M990" t="n">
        <v>0</v>
      </c>
      <c r="N990" t="inlineStr">
        <is>
          <t>train</t>
        </is>
      </c>
      <c r="O990">
        <f>HYPERLINK("2\0\marker_236_963597.png", "Ver Imagen")</f>
        <v/>
      </c>
      <c r="P990">
        <f>HYPERLINK("SE\A-5052\A-5052__491.png", "Ver Imagen")</f>
        <v/>
      </c>
    </row>
    <row r="991">
      <c r="A991" t="n">
        <v>395</v>
      </c>
      <c r="B991" t="inlineStr">
        <is>
          <t>A-5052__492</t>
        </is>
      </c>
      <c r="C991" t="n">
        <v>37.1972321064</v>
      </c>
      <c r="D991" t="n">
        <v>-7.00721039834</v>
      </c>
      <c r="E991" t="n">
        <v>2</v>
      </c>
      <c r="F991" t="n">
        <v>2</v>
      </c>
      <c r="G991" t="n">
        <v>2</v>
      </c>
      <c r="J991" t="inlineStr">
        <is>
          <t>Moda</t>
        </is>
      </c>
      <c r="K991" t="n">
        <v>2</v>
      </c>
      <c r="L991" t="n">
        <v>2.165</v>
      </c>
      <c r="M991" t="n">
        <v>0</v>
      </c>
      <c r="N991" t="inlineStr">
        <is>
          <t>train</t>
        </is>
      </c>
      <c r="O991">
        <f>HYPERLINK("2\0\marker_754_963606.png", "Ver Imagen")</f>
        <v/>
      </c>
      <c r="P991">
        <f>HYPERLINK("SE\A-5052\A-5052__492.png", "Ver Imagen")</f>
        <v/>
      </c>
    </row>
    <row r="992">
      <c r="A992" t="n">
        <v>396</v>
      </c>
      <c r="B992" t="inlineStr">
        <is>
          <t>A-5052__496</t>
        </is>
      </c>
      <c r="C992" t="n">
        <v>37.1971049624</v>
      </c>
      <c r="D992" t="n">
        <v>-7.00623753647</v>
      </c>
      <c r="E992" t="n">
        <v>2</v>
      </c>
      <c r="F992" t="n">
        <v>2</v>
      </c>
      <c r="G992" t="n">
        <v>2</v>
      </c>
      <c r="J992" t="inlineStr">
        <is>
          <t>Moda</t>
        </is>
      </c>
      <c r="K992" t="n">
        <v>2</v>
      </c>
      <c r="L992" t="n">
        <v>2.051</v>
      </c>
      <c r="M992" t="n">
        <v>0</v>
      </c>
      <c r="N992" t="inlineStr">
        <is>
          <t>train</t>
        </is>
      </c>
      <c r="O992">
        <f>HYPERLINK("2\0\marker_118_963642.png", "Ver Imagen")</f>
        <v/>
      </c>
      <c r="P992">
        <f>HYPERLINK("SE\A-5052\A-5052__496.png", "Ver Imagen")</f>
        <v/>
      </c>
    </row>
    <row r="993">
      <c r="A993" t="n">
        <v>397</v>
      </c>
      <c r="B993" t="inlineStr">
        <is>
          <t>A-5053__375</t>
        </is>
      </c>
      <c r="C993" t="n">
        <v>37.2874602768</v>
      </c>
      <c r="D993" t="n">
        <v>-7.14121038098</v>
      </c>
      <c r="E993" t="n">
        <v>2</v>
      </c>
      <c r="F993" t="n">
        <v>2</v>
      </c>
      <c r="G993" t="n">
        <v>2</v>
      </c>
      <c r="J993" t="inlineStr">
        <is>
          <t>Moda</t>
        </is>
      </c>
      <c r="K993" t="n">
        <v>2</v>
      </c>
      <c r="L993" t="n">
        <v>1.974</v>
      </c>
      <c r="M993" t="n">
        <v>0</v>
      </c>
      <c r="N993" t="inlineStr">
        <is>
          <t>train</t>
        </is>
      </c>
      <c r="O993">
        <f>HYPERLINK("2\0\marker_113_963908.png", "Ver Imagen")</f>
        <v/>
      </c>
      <c r="P993">
        <f>HYPERLINK("SO\A-5053\A-5053__375.png", "Ver Imagen")</f>
        <v/>
      </c>
    </row>
    <row r="994">
      <c r="A994" t="n">
        <v>398</v>
      </c>
      <c r="B994" t="inlineStr">
        <is>
          <t>A-5053__374</t>
        </is>
      </c>
      <c r="C994" t="n">
        <v>37.2872598744</v>
      </c>
      <c r="D994" t="n">
        <v>-7.14122270222</v>
      </c>
      <c r="E994" t="n">
        <v>2</v>
      </c>
      <c r="F994" t="n">
        <v>2</v>
      </c>
      <c r="G994" t="n">
        <v>2</v>
      </c>
      <c r="J994" t="inlineStr">
        <is>
          <t>Moda</t>
        </is>
      </c>
      <c r="K994" t="n">
        <v>2</v>
      </c>
      <c r="L994" t="n">
        <v>2.087</v>
      </c>
      <c r="M994" t="n">
        <v>0</v>
      </c>
      <c r="N994" t="inlineStr">
        <is>
          <t>train</t>
        </is>
      </c>
      <c r="O994">
        <f>HYPERLINK("2\0\marker_702_963918.png", "Ver Imagen")</f>
        <v/>
      </c>
      <c r="P994">
        <f>HYPERLINK("SO\A-5053\A-5053__374.png", "Ver Imagen")</f>
        <v/>
      </c>
    </row>
    <row r="995">
      <c r="A995" t="n">
        <v>399</v>
      </c>
      <c r="B995" t="inlineStr">
        <is>
          <t>A-5053__372</t>
        </is>
      </c>
      <c r="C995" t="n">
        <v>37.2868544604</v>
      </c>
      <c r="D995" t="n">
        <v>-7.14132494453</v>
      </c>
      <c r="E995" t="n">
        <v>2</v>
      </c>
      <c r="F995" t="n">
        <v>2</v>
      </c>
      <c r="G995" t="n">
        <v>2</v>
      </c>
      <c r="J995" t="inlineStr">
        <is>
          <t>Moda</t>
        </is>
      </c>
      <c r="K995" t="n">
        <v>2</v>
      </c>
      <c r="L995" t="n">
        <v>1.814</v>
      </c>
      <c r="M995" t="n">
        <v>0</v>
      </c>
      <c r="N995" t="inlineStr">
        <is>
          <t>train</t>
        </is>
      </c>
      <c r="O995">
        <f>HYPERLINK("2\0\marker_552_963936.png", "Ver Imagen")</f>
        <v/>
      </c>
      <c r="P995">
        <f>HYPERLINK("SO\A-5053\A-5053__372.png", "Ver Imagen")</f>
        <v/>
      </c>
    </row>
    <row r="996">
      <c r="A996" t="n">
        <v>400</v>
      </c>
      <c r="B996" t="inlineStr">
        <is>
          <t>A-5053__370</t>
        </is>
      </c>
      <c r="C996" t="n">
        <v>37.2864964625</v>
      </c>
      <c r="D996" t="n">
        <v>-7.14149633478</v>
      </c>
      <c r="E996" t="n">
        <v>2</v>
      </c>
      <c r="F996" t="n">
        <v>2</v>
      </c>
      <c r="G996" t="n">
        <v>2</v>
      </c>
      <c r="J996" t="inlineStr">
        <is>
          <t>Moda</t>
        </is>
      </c>
      <c r="K996" t="n">
        <v>2</v>
      </c>
      <c r="L996" t="n">
        <v>1.947</v>
      </c>
      <c r="M996" t="n">
        <v>0</v>
      </c>
      <c r="N996" t="inlineStr">
        <is>
          <t>train</t>
        </is>
      </c>
      <c r="O996">
        <f>HYPERLINK("2\0\marker_546_963958.png", "Ver Imagen")</f>
        <v/>
      </c>
      <c r="P996">
        <f>HYPERLINK("SO\A-5053\A-5053__370.png", "Ver Imagen")</f>
        <v/>
      </c>
    </row>
    <row r="997">
      <c r="A997" t="n">
        <v>401</v>
      </c>
      <c r="B997" t="inlineStr">
        <is>
          <t>A-5053__357</t>
        </is>
      </c>
      <c r="C997" t="n">
        <v>37.2843735271</v>
      </c>
      <c r="D997" t="n">
        <v>-7.14320895636</v>
      </c>
      <c r="E997" t="n">
        <v>2</v>
      </c>
      <c r="F997" t="n">
        <v>2</v>
      </c>
      <c r="G997" t="n">
        <v>2</v>
      </c>
      <c r="J997" t="inlineStr">
        <is>
          <t>Moda</t>
        </is>
      </c>
      <c r="K997" t="n">
        <v>2</v>
      </c>
      <c r="L997" t="n">
        <v>2</v>
      </c>
      <c r="M997" t="n">
        <v>0</v>
      </c>
      <c r="N997" t="inlineStr">
        <is>
          <t>train</t>
        </is>
      </c>
      <c r="O997">
        <f>HYPERLINK("2\0\marker_154_964103.png", "Ver Imagen")</f>
        <v/>
      </c>
      <c r="P997">
        <f>HYPERLINK("SO\A-5053\A-5053__357.png", "Ver Imagen")</f>
        <v/>
      </c>
    </row>
    <row r="998">
      <c r="A998" t="n">
        <v>402</v>
      </c>
      <c r="B998" t="inlineStr">
        <is>
          <t>A-5053__356</t>
        </is>
      </c>
      <c r="C998" t="n">
        <v>37.2841973642</v>
      </c>
      <c r="D998" t="n">
        <v>-7.14331837462</v>
      </c>
      <c r="E998" t="n">
        <v>2</v>
      </c>
      <c r="F998" t="n">
        <v>2</v>
      </c>
      <c r="G998" t="n">
        <v>2</v>
      </c>
      <c r="J998" t="inlineStr">
        <is>
          <t>Moda</t>
        </is>
      </c>
      <c r="K998" t="n">
        <v>2</v>
      </c>
      <c r="L998" t="n">
        <v>2.412</v>
      </c>
      <c r="M998" t="n">
        <v>0</v>
      </c>
      <c r="N998" t="inlineStr">
        <is>
          <t>train</t>
        </is>
      </c>
      <c r="O998">
        <f>HYPERLINK("2\0\marker_611_964112.png", "Ver Imagen")</f>
        <v/>
      </c>
      <c r="P998">
        <f>HYPERLINK("SO\A-5053\A-5053__356.png", "Ver Imagen")</f>
        <v/>
      </c>
    </row>
    <row r="999">
      <c r="A999" t="n">
        <v>403</v>
      </c>
      <c r="B999" t="inlineStr">
        <is>
          <t>A-5053__355</t>
        </is>
      </c>
      <c r="C999" t="n">
        <v>37.2840037426</v>
      </c>
      <c r="D999" t="n">
        <v>-7.14343604805</v>
      </c>
      <c r="E999" t="n">
        <v>2</v>
      </c>
      <c r="F999" t="n">
        <v>2</v>
      </c>
      <c r="G999" t="n">
        <v>2</v>
      </c>
      <c r="J999" t="inlineStr">
        <is>
          <t>Moda</t>
        </is>
      </c>
      <c r="K999" t="n">
        <v>2</v>
      </c>
      <c r="L999" t="n">
        <v>2.383</v>
      </c>
      <c r="M999" t="n">
        <v>0</v>
      </c>
      <c r="N999" t="inlineStr">
        <is>
          <t>test</t>
        </is>
      </c>
      <c r="O999">
        <f>HYPERLINK("2\0\marker_816_964123.png", "Ver Imagen")</f>
        <v/>
      </c>
      <c r="P999">
        <f>HYPERLINK("SO\A-5053\A-5053__355.png", "Ver Imagen")</f>
        <v/>
      </c>
    </row>
    <row r="1000">
      <c r="A1000" t="n">
        <v>404</v>
      </c>
      <c r="B1000" t="inlineStr">
        <is>
          <t>A-5053__353</t>
        </is>
      </c>
      <c r="C1000" t="n">
        <v>37.2836347323</v>
      </c>
      <c r="D1000" t="n">
        <v>-7.14364064097</v>
      </c>
      <c r="E1000" t="n">
        <v>2</v>
      </c>
      <c r="F1000" t="n">
        <v>2</v>
      </c>
      <c r="G1000" t="n">
        <v>2</v>
      </c>
      <c r="J1000" t="inlineStr">
        <is>
          <t>Moda</t>
        </is>
      </c>
      <c r="K1000" t="n">
        <v>2</v>
      </c>
      <c r="L1000" t="n">
        <v>1.97</v>
      </c>
      <c r="M1000" t="n">
        <v>0</v>
      </c>
      <c r="N1000" t="inlineStr">
        <is>
          <t>train</t>
        </is>
      </c>
      <c r="O1000">
        <f>HYPERLINK("2\0\marker_672_964145.png", "Ver Imagen")</f>
        <v/>
      </c>
      <c r="P1000">
        <f>HYPERLINK("SO\A-5053\A-5053__353.png", "Ver Imagen")</f>
        <v/>
      </c>
    </row>
    <row r="1001">
      <c r="A1001" t="n">
        <v>405</v>
      </c>
      <c r="B1001" t="inlineStr">
        <is>
          <t>A-5053__352</t>
        </is>
      </c>
      <c r="C1001" t="n">
        <v>37.2834531997</v>
      </c>
      <c r="D1001" t="n">
        <v>-7.14373112853</v>
      </c>
      <c r="E1001" t="n">
        <v>2</v>
      </c>
      <c r="F1001" t="n">
        <v>2</v>
      </c>
      <c r="G1001" t="n">
        <v>2</v>
      </c>
      <c r="J1001" t="inlineStr">
        <is>
          <t>Moda</t>
        </is>
      </c>
      <c r="K1001" t="n">
        <v>2</v>
      </c>
      <c r="L1001" t="n">
        <v>1.888</v>
      </c>
      <c r="M1001" t="n">
        <v>0</v>
      </c>
      <c r="N1001" t="inlineStr">
        <is>
          <t>train</t>
        </is>
      </c>
      <c r="O1001">
        <f>HYPERLINK("2\0\marker_189_964154.png", "Ver Imagen")</f>
        <v/>
      </c>
      <c r="P1001">
        <f>HYPERLINK("SO\A-5053\A-5053__352.png", "Ver Imagen")</f>
        <v/>
      </c>
    </row>
    <row r="1002">
      <c r="A1002" t="n">
        <v>406</v>
      </c>
      <c r="B1002" t="inlineStr">
        <is>
          <t>A-5053__350</t>
        </is>
      </c>
      <c r="C1002" t="n">
        <v>37.2830851964</v>
      </c>
      <c r="D1002" t="n">
        <v>-7.14389718548</v>
      </c>
      <c r="E1002" t="n">
        <v>2</v>
      </c>
      <c r="F1002" t="n">
        <v>2</v>
      </c>
      <c r="G1002" t="n">
        <v>2</v>
      </c>
      <c r="J1002" t="inlineStr">
        <is>
          <t>Moda</t>
        </is>
      </c>
      <c r="K1002" t="n">
        <v>2</v>
      </c>
      <c r="L1002" t="n">
        <v>2.224</v>
      </c>
      <c r="M1002" t="n">
        <v>0</v>
      </c>
      <c r="N1002" t="inlineStr">
        <is>
          <t>train</t>
        </is>
      </c>
      <c r="O1002">
        <f>HYPERLINK("2\0\marker_878_964174.png", "Ver Imagen")</f>
        <v/>
      </c>
      <c r="P1002">
        <f>HYPERLINK("SO\A-5053\A-5053__350.png", "Ver Imagen")</f>
        <v/>
      </c>
    </row>
    <row r="1003">
      <c r="A1003" t="n">
        <v>407</v>
      </c>
      <c r="B1003" t="inlineStr">
        <is>
          <t>A-5053__349</t>
        </is>
      </c>
      <c r="C1003" t="n">
        <v>37.2828897493</v>
      </c>
      <c r="D1003" t="n">
        <v>-7.14397668771</v>
      </c>
      <c r="E1003" t="n">
        <v>2</v>
      </c>
      <c r="F1003" t="n">
        <v>2</v>
      </c>
      <c r="G1003" t="n">
        <v>2</v>
      </c>
      <c r="J1003" t="inlineStr">
        <is>
          <t>Moda</t>
        </is>
      </c>
      <c r="K1003" t="n">
        <v>2</v>
      </c>
      <c r="L1003" t="n">
        <v>2.036</v>
      </c>
      <c r="M1003" t="n">
        <v>0</v>
      </c>
      <c r="N1003" t="inlineStr">
        <is>
          <t>train</t>
        </is>
      </c>
      <c r="O1003">
        <f>HYPERLINK("2\0\marker_643_964184.png", "Ver Imagen")</f>
        <v/>
      </c>
      <c r="P1003">
        <f>HYPERLINK("SO\A-5053\A-5053__349.png", "Ver Imagen")</f>
        <v/>
      </c>
    </row>
    <row r="1004">
      <c r="A1004" t="n">
        <v>408</v>
      </c>
      <c r="B1004" t="inlineStr">
        <is>
          <t>A-5053__347</t>
        </is>
      </c>
      <c r="C1004" t="n">
        <v>37.2824867555</v>
      </c>
      <c r="D1004" t="n">
        <v>-7.1441391957</v>
      </c>
      <c r="E1004" t="n">
        <v>2</v>
      </c>
      <c r="F1004" t="n">
        <v>2</v>
      </c>
      <c r="G1004" t="n">
        <v>2</v>
      </c>
      <c r="J1004" t="inlineStr">
        <is>
          <t>Moda</t>
        </is>
      </c>
      <c r="K1004" t="n">
        <v>2</v>
      </c>
      <c r="L1004" t="n">
        <v>2.14</v>
      </c>
      <c r="M1004" t="n">
        <v>0</v>
      </c>
      <c r="N1004" t="inlineStr">
        <is>
          <t>train</t>
        </is>
      </c>
      <c r="O1004">
        <f>HYPERLINK("2\0\marker_916_964203.png", "Ver Imagen")</f>
        <v/>
      </c>
      <c r="P1004">
        <f>HYPERLINK("SO\A-5053\A-5053__347.png", "Ver Imagen")</f>
        <v/>
      </c>
    </row>
    <row r="1005">
      <c r="A1005" t="n">
        <v>409</v>
      </c>
      <c r="B1005" t="inlineStr">
        <is>
          <t>A-5053__346</t>
        </is>
      </c>
      <c r="C1005" t="n">
        <v>37.2823062192</v>
      </c>
      <c r="D1005" t="n">
        <v>-7.14421226969</v>
      </c>
      <c r="E1005" t="n">
        <v>2</v>
      </c>
      <c r="F1005" t="n">
        <v>2</v>
      </c>
      <c r="G1005" t="n">
        <v>2</v>
      </c>
      <c r="J1005" t="inlineStr">
        <is>
          <t>Moda</t>
        </is>
      </c>
      <c r="K1005" t="n">
        <v>2</v>
      </c>
      <c r="L1005" t="n">
        <v>1.943</v>
      </c>
      <c r="M1005" t="n">
        <v>0</v>
      </c>
      <c r="N1005" t="inlineStr">
        <is>
          <t>train</t>
        </is>
      </c>
      <c r="O1005">
        <f>HYPERLINK("2\0\marker_484_964213.png", "Ver Imagen")</f>
        <v/>
      </c>
      <c r="P1005">
        <f>HYPERLINK("SO\A-5053\A-5053__346.png", "Ver Imagen")</f>
        <v/>
      </c>
    </row>
    <row r="1006">
      <c r="A1006" t="n">
        <v>410</v>
      </c>
      <c r="B1006" t="inlineStr">
        <is>
          <t>A-5053__343</t>
        </is>
      </c>
      <c r="C1006" t="n">
        <v>37.2817262166</v>
      </c>
      <c r="D1006" t="n">
        <v>-7.14446389888</v>
      </c>
      <c r="E1006" t="n">
        <v>2</v>
      </c>
      <c r="F1006" t="n">
        <v>2</v>
      </c>
      <c r="G1006" t="n">
        <v>2</v>
      </c>
      <c r="J1006" t="inlineStr">
        <is>
          <t>Moda</t>
        </is>
      </c>
      <c r="K1006" t="n">
        <v>2</v>
      </c>
      <c r="L1006" t="n">
        <v>1.959</v>
      </c>
      <c r="M1006" t="n">
        <v>0</v>
      </c>
      <c r="N1006" t="inlineStr">
        <is>
          <t>train</t>
        </is>
      </c>
      <c r="O1006">
        <f>HYPERLINK("2\0\marker_392_964243.png", "Ver Imagen")</f>
        <v/>
      </c>
      <c r="P1006">
        <f>HYPERLINK("SO\A-5053\A-5053__343.png", "Ver Imagen")</f>
        <v/>
      </c>
    </row>
    <row r="1007">
      <c r="A1007" t="n">
        <v>411</v>
      </c>
      <c r="B1007" t="inlineStr">
        <is>
          <t>A-5053__342</t>
        </is>
      </c>
      <c r="C1007" t="n">
        <v>37.2815477542</v>
      </c>
      <c r="D1007" t="n">
        <v>-7.14455403887</v>
      </c>
      <c r="E1007" t="n">
        <v>2</v>
      </c>
      <c r="F1007" t="n">
        <v>2</v>
      </c>
      <c r="G1007" t="n">
        <v>2</v>
      </c>
      <c r="J1007" t="inlineStr">
        <is>
          <t>Moda</t>
        </is>
      </c>
      <c r="K1007" t="n">
        <v>2</v>
      </c>
      <c r="L1007" t="n">
        <v>2.375</v>
      </c>
      <c r="M1007" t="n">
        <v>0</v>
      </c>
      <c r="N1007" t="inlineStr">
        <is>
          <t>test</t>
        </is>
      </c>
      <c r="O1007">
        <f>HYPERLINK("2\0\marker_868_964252.png", "Ver Imagen")</f>
        <v/>
      </c>
      <c r="P1007">
        <f>HYPERLINK("SO\A-5053\A-5053__342.png", "Ver Imagen")</f>
        <v/>
      </c>
    </row>
    <row r="1008">
      <c r="A1008" t="n">
        <v>412</v>
      </c>
      <c r="B1008" t="inlineStr">
        <is>
          <t>A-5053__340</t>
        </is>
      </c>
      <c r="C1008" t="n">
        <v>37.2811522849</v>
      </c>
      <c r="D1008" t="n">
        <v>-7.1447825649</v>
      </c>
      <c r="E1008" t="n">
        <v>2</v>
      </c>
      <c r="F1008" t="n">
        <v>2</v>
      </c>
      <c r="G1008" t="n">
        <v>2</v>
      </c>
      <c r="J1008" t="inlineStr">
        <is>
          <t>Moda</t>
        </is>
      </c>
      <c r="K1008" t="n">
        <v>2</v>
      </c>
      <c r="L1008" t="n">
        <v>2.069</v>
      </c>
      <c r="M1008" t="n">
        <v>0</v>
      </c>
      <c r="N1008" t="inlineStr">
        <is>
          <t>train</t>
        </is>
      </c>
      <c r="O1008">
        <f>HYPERLINK("2\0\marker_912_964273.png", "Ver Imagen")</f>
        <v/>
      </c>
      <c r="P1008">
        <f>HYPERLINK("SO\A-5053\A-5053__340.png", "Ver Imagen")</f>
        <v/>
      </c>
    </row>
    <row r="1009">
      <c r="A1009" t="n">
        <v>413</v>
      </c>
      <c r="B1009" t="inlineStr">
        <is>
          <t>A-5053__334</t>
        </is>
      </c>
      <c r="C1009" t="n">
        <v>37.2801706014</v>
      </c>
      <c r="D1009" t="n">
        <v>-7.14561329228</v>
      </c>
      <c r="E1009" t="n">
        <v>2</v>
      </c>
      <c r="F1009" t="n">
        <v>2</v>
      </c>
      <c r="G1009" t="n">
        <v>2</v>
      </c>
      <c r="J1009" t="inlineStr">
        <is>
          <t>Moda</t>
        </is>
      </c>
      <c r="K1009" t="n">
        <v>2</v>
      </c>
      <c r="L1009" t="n">
        <v>1.817</v>
      </c>
      <c r="M1009" t="n">
        <v>0</v>
      </c>
      <c r="N1009" t="inlineStr">
        <is>
          <t>train</t>
        </is>
      </c>
      <c r="O1009">
        <f>HYPERLINK("2\0\marker_825_964411.png", "Ver Imagen")</f>
        <v/>
      </c>
      <c r="P1009">
        <f>HYPERLINK("SO\A-5053\A-5053__334.png", "Ver Imagen")</f>
        <v/>
      </c>
    </row>
    <row r="1010">
      <c r="A1010" t="n">
        <v>415</v>
      </c>
      <c r="B1010" t="inlineStr">
        <is>
          <t>A-5053__312</t>
        </is>
      </c>
      <c r="C1010" t="n">
        <v>37.2766457878</v>
      </c>
      <c r="D1010" t="n">
        <v>-7.1430983416</v>
      </c>
      <c r="E1010" t="n">
        <v>2</v>
      </c>
      <c r="F1010" t="n">
        <v>2</v>
      </c>
      <c r="G1010" t="n">
        <v>2</v>
      </c>
      <c r="J1010" t="inlineStr">
        <is>
          <t>Moda</t>
        </is>
      </c>
      <c r="K1010" t="n">
        <v>2</v>
      </c>
      <c r="L1010" t="n">
        <v>2.403</v>
      </c>
      <c r="M1010" t="n">
        <v>0</v>
      </c>
      <c r="N1010" t="inlineStr">
        <is>
          <t>val</t>
        </is>
      </c>
      <c r="O1010">
        <f>HYPERLINK("2\0\marker_221_964653.png", "Ver Imagen")</f>
        <v/>
      </c>
      <c r="P1010">
        <f>HYPERLINK("SO\A-5053\A-5053__312.png", "Ver Imagen")</f>
        <v/>
      </c>
    </row>
    <row r="1011">
      <c r="A1011" t="n">
        <v>416</v>
      </c>
      <c r="B1011" t="inlineStr">
        <is>
          <t>A-5053__311</t>
        </is>
      </c>
      <c r="C1011" t="n">
        <v>37.2764051704</v>
      </c>
      <c r="D1011" t="n">
        <v>-7.14301967871</v>
      </c>
      <c r="E1011" t="n">
        <v>2</v>
      </c>
      <c r="F1011" t="n">
        <v>2</v>
      </c>
      <c r="G1011" t="n">
        <v>2</v>
      </c>
      <c r="J1011" t="inlineStr">
        <is>
          <t>Moda</t>
        </is>
      </c>
      <c r="K1011" t="n">
        <v>2</v>
      </c>
      <c r="L1011" t="n">
        <v>1.911</v>
      </c>
      <c r="M1011" t="n">
        <v>0</v>
      </c>
      <c r="N1011" t="inlineStr">
        <is>
          <t>train</t>
        </is>
      </c>
      <c r="O1011">
        <f>HYPERLINK("2\0\marker_814_964662.png", "Ver Imagen")</f>
        <v/>
      </c>
      <c r="P1011">
        <f>HYPERLINK("SO\A-5053\A-5053__311.png", "Ver Imagen")</f>
        <v/>
      </c>
    </row>
    <row r="1012">
      <c r="A1012" t="n">
        <v>417</v>
      </c>
      <c r="B1012" t="inlineStr">
        <is>
          <t>A-5053__310</t>
        </is>
      </c>
      <c r="C1012" t="n">
        <v>37.2762261293</v>
      </c>
      <c r="D1012" t="n">
        <v>-7.14296833599</v>
      </c>
      <c r="E1012" t="n">
        <v>2</v>
      </c>
      <c r="F1012" t="n">
        <v>2</v>
      </c>
      <c r="G1012" t="n">
        <v>2</v>
      </c>
      <c r="J1012" t="inlineStr">
        <is>
          <t>Moda</t>
        </is>
      </c>
      <c r="K1012" t="n">
        <v>2</v>
      </c>
      <c r="L1012" t="n">
        <v>2.022</v>
      </c>
      <c r="M1012" t="n">
        <v>0</v>
      </c>
      <c r="N1012" t="inlineStr">
        <is>
          <t>train</t>
        </is>
      </c>
      <c r="O1012">
        <f>HYPERLINK("2\0\marker_131_964670.png", "Ver Imagen")</f>
        <v/>
      </c>
      <c r="P1012">
        <f>HYPERLINK("SO\A-5053\A-5053__310.png", "Ver Imagen")</f>
        <v/>
      </c>
    </row>
    <row r="1013">
      <c r="A1013" t="n">
        <v>418</v>
      </c>
      <c r="B1013" t="inlineStr">
        <is>
          <t>A-5053__309</t>
        </is>
      </c>
      <c r="C1013" t="n">
        <v>37.2760229734</v>
      </c>
      <c r="D1013" t="n">
        <v>-7.1429136245</v>
      </c>
      <c r="E1013" t="n">
        <v>2</v>
      </c>
      <c r="F1013" t="n">
        <v>2</v>
      </c>
      <c r="G1013" t="n">
        <v>2</v>
      </c>
      <c r="J1013" t="inlineStr">
        <is>
          <t>Moda</t>
        </is>
      </c>
      <c r="K1013" t="n">
        <v>2</v>
      </c>
      <c r="L1013" t="n">
        <v>2.239</v>
      </c>
      <c r="M1013" t="n">
        <v>0</v>
      </c>
      <c r="N1013" t="inlineStr">
        <is>
          <t>train</t>
        </is>
      </c>
      <c r="O1013">
        <f>HYPERLINK("2\0\marker_686_964680.png", "Ver Imagen")</f>
        <v/>
      </c>
      <c r="P1013">
        <f>HYPERLINK("SO\A-5053\A-5053__309.png", "Ver Imagen")</f>
        <v/>
      </c>
    </row>
    <row r="1014">
      <c r="A1014" t="n">
        <v>419</v>
      </c>
      <c r="B1014" t="inlineStr">
        <is>
          <t>A-5053__308</t>
        </is>
      </c>
      <c r="C1014" t="n">
        <v>37.2758548593</v>
      </c>
      <c r="D1014" t="n">
        <v>-7.14286939485</v>
      </c>
      <c r="E1014" t="n">
        <v>2</v>
      </c>
      <c r="F1014" t="n">
        <v>2</v>
      </c>
      <c r="G1014" t="n">
        <v>2</v>
      </c>
      <c r="J1014" t="inlineStr">
        <is>
          <t>Moda</t>
        </is>
      </c>
      <c r="K1014" t="n">
        <v>2</v>
      </c>
      <c r="L1014" t="n">
        <v>2.071</v>
      </c>
      <c r="M1014" t="n">
        <v>0</v>
      </c>
      <c r="N1014" t="inlineStr">
        <is>
          <t>train</t>
        </is>
      </c>
      <c r="O1014">
        <f>HYPERLINK("2\0\marker_472_964689.png", "Ver Imagen")</f>
        <v/>
      </c>
      <c r="P1014">
        <f>HYPERLINK("SO\A-5053\A-5053__308.png", "Ver Imagen")</f>
        <v/>
      </c>
    </row>
    <row r="1015">
      <c r="A1015" t="n">
        <v>420</v>
      </c>
      <c r="B1015" t="inlineStr">
        <is>
          <t>A-5053__307</t>
        </is>
      </c>
      <c r="C1015" t="n">
        <v>37.2756465164</v>
      </c>
      <c r="D1015" t="n">
        <v>-7.14281543734</v>
      </c>
      <c r="E1015" t="n">
        <v>2</v>
      </c>
      <c r="F1015" t="n">
        <v>2</v>
      </c>
      <c r="G1015" t="n">
        <v>2</v>
      </c>
      <c r="J1015" t="inlineStr">
        <is>
          <t>Moda</t>
        </is>
      </c>
      <c r="K1015" t="n">
        <v>2</v>
      </c>
      <c r="L1015" t="n">
        <v>1.874</v>
      </c>
      <c r="M1015" t="n">
        <v>0</v>
      </c>
      <c r="N1015" t="inlineStr">
        <is>
          <t>train</t>
        </is>
      </c>
      <c r="O1015">
        <f>HYPERLINK("2\0\marker_723_964698.png", "Ver Imagen")</f>
        <v/>
      </c>
      <c r="P1015">
        <f>HYPERLINK("SO\A-5053\A-5053__307.png", "Ver Imagen")</f>
        <v/>
      </c>
    </row>
    <row r="1016">
      <c r="A1016" t="n">
        <v>421</v>
      </c>
      <c r="B1016" t="inlineStr">
        <is>
          <t>A-5053__304</t>
        </is>
      </c>
      <c r="C1016" t="n">
        <v>37.2750290216</v>
      </c>
      <c r="D1016" t="n">
        <v>-7.14265266562</v>
      </c>
      <c r="E1016" t="n">
        <v>2</v>
      </c>
      <c r="F1016" t="n">
        <v>2</v>
      </c>
      <c r="G1016" t="n">
        <v>2</v>
      </c>
      <c r="J1016" t="inlineStr">
        <is>
          <t>Moda</t>
        </is>
      </c>
      <c r="K1016" t="n">
        <v>2</v>
      </c>
      <c r="L1016" t="n">
        <v>1.753</v>
      </c>
      <c r="M1016" t="n">
        <v>0</v>
      </c>
      <c r="N1016" t="inlineStr">
        <is>
          <t>train</t>
        </is>
      </c>
      <c r="O1016">
        <f>HYPERLINK("2\0\marker_348_964731.png", "Ver Imagen")</f>
        <v/>
      </c>
      <c r="P1016">
        <f>HYPERLINK("SO\A-5053\A-5053__304.png", "Ver Imagen")</f>
        <v/>
      </c>
    </row>
    <row r="1017">
      <c r="A1017" t="n">
        <v>422</v>
      </c>
      <c r="B1017" t="inlineStr">
        <is>
          <t>A-5053__289</t>
        </is>
      </c>
      <c r="C1017" t="n">
        <v>37.2722332853</v>
      </c>
      <c r="D1017" t="n">
        <v>-7.1413302444</v>
      </c>
      <c r="E1017" t="n">
        <v>2</v>
      </c>
      <c r="F1017" t="n">
        <v>2</v>
      </c>
      <c r="G1017" t="n">
        <v>2</v>
      </c>
      <c r="J1017" t="inlineStr">
        <is>
          <t>Moda</t>
        </is>
      </c>
      <c r="K1017" t="n">
        <v>2</v>
      </c>
      <c r="L1017" t="n">
        <v>1.844</v>
      </c>
      <c r="M1017" t="n">
        <v>0</v>
      </c>
      <c r="N1017" t="inlineStr">
        <is>
          <t>train</t>
        </is>
      </c>
      <c r="O1017">
        <f>HYPERLINK("2\0\marker_705_964967.png", "Ver Imagen")</f>
        <v/>
      </c>
      <c r="P1017">
        <f>HYPERLINK("SO\A-5053\A-5053__289.png", "Ver Imagen")</f>
        <v/>
      </c>
    </row>
    <row r="1018">
      <c r="A1018" t="n">
        <v>423</v>
      </c>
      <c r="B1018" t="inlineStr">
        <is>
          <t>A-5053__241</t>
        </is>
      </c>
      <c r="C1018" t="n">
        <v>37.2659105985</v>
      </c>
      <c r="D1018" t="n">
        <v>-7.13279459613</v>
      </c>
      <c r="E1018" t="n">
        <v>2</v>
      </c>
      <c r="F1018" t="n">
        <v>2</v>
      </c>
      <c r="G1018" t="n">
        <v>2</v>
      </c>
      <c r="J1018" t="inlineStr">
        <is>
          <t>Moda</t>
        </is>
      </c>
      <c r="K1018" t="n">
        <v>2</v>
      </c>
      <c r="L1018" t="n">
        <v>1.78</v>
      </c>
      <c r="M1018" t="n">
        <v>0</v>
      </c>
      <c r="N1018" t="inlineStr">
        <is>
          <t>train</t>
        </is>
      </c>
      <c r="O1018">
        <f>HYPERLINK("2\0\marker_493_965490.png", "Ver Imagen")</f>
        <v/>
      </c>
      <c r="P1018">
        <f>HYPERLINK("SO\A-5053\A-5053__241.png", "Ver Imagen")</f>
        <v/>
      </c>
    </row>
    <row r="1019">
      <c r="A1019" t="n">
        <v>424</v>
      </c>
      <c r="B1019" t="inlineStr">
        <is>
          <t>A-5053__238</t>
        </is>
      </c>
      <c r="C1019" t="n">
        <v>37.265382946</v>
      </c>
      <c r="D1019" t="n">
        <v>-7.13246071192</v>
      </c>
      <c r="E1019" t="n">
        <v>2</v>
      </c>
      <c r="F1019" t="n">
        <v>2</v>
      </c>
      <c r="G1019" t="n">
        <v>2</v>
      </c>
      <c r="J1019" t="inlineStr">
        <is>
          <t>Moda</t>
        </is>
      </c>
      <c r="K1019" t="n">
        <v>2</v>
      </c>
      <c r="L1019" t="n">
        <v>2.3</v>
      </c>
      <c r="M1019" t="n">
        <v>0</v>
      </c>
      <c r="N1019" t="inlineStr">
        <is>
          <t>train</t>
        </is>
      </c>
      <c r="O1019">
        <f>HYPERLINK("2\0\marker_656_965518.png", "Ver Imagen")</f>
        <v/>
      </c>
      <c r="P1019">
        <f>HYPERLINK("SO\A-5053\A-5053__238.png", "Ver Imagen")</f>
        <v/>
      </c>
    </row>
    <row r="1020">
      <c r="A1020" t="n">
        <v>425</v>
      </c>
      <c r="B1020" t="inlineStr">
        <is>
          <t>A-5053__232</t>
        </is>
      </c>
      <c r="C1020" t="n">
        <v>37.2642980952</v>
      </c>
      <c r="D1020" t="n">
        <v>-7.13178288359</v>
      </c>
      <c r="E1020" t="n">
        <v>2</v>
      </c>
      <c r="F1020" t="n">
        <v>2</v>
      </c>
      <c r="G1020" t="n">
        <v>2</v>
      </c>
      <c r="J1020" t="inlineStr">
        <is>
          <t>Moda</t>
        </is>
      </c>
      <c r="K1020" t="n">
        <v>2</v>
      </c>
      <c r="L1020" t="n">
        <v>1.86</v>
      </c>
      <c r="M1020" t="n">
        <v>0</v>
      </c>
      <c r="N1020" t="inlineStr">
        <is>
          <t>train</t>
        </is>
      </c>
      <c r="O1020">
        <f>HYPERLINK("2\0\marker_735_965576.png", "Ver Imagen")</f>
        <v/>
      </c>
      <c r="P1020">
        <f>HYPERLINK("SO\A-5053\A-5053__232.png", "Ver Imagen")</f>
        <v/>
      </c>
    </row>
    <row r="1021">
      <c r="A1021" t="n">
        <v>426</v>
      </c>
      <c r="B1021" t="inlineStr">
        <is>
          <t>A-5053__228</t>
        </is>
      </c>
      <c r="C1021" t="n">
        <v>37.2635950957</v>
      </c>
      <c r="D1021" t="n">
        <v>-7.13134017392</v>
      </c>
      <c r="E1021" t="n">
        <v>2</v>
      </c>
      <c r="F1021" t="n">
        <v>2</v>
      </c>
      <c r="G1021" t="n">
        <v>2</v>
      </c>
      <c r="J1021" t="inlineStr">
        <is>
          <t>Moda</t>
        </is>
      </c>
      <c r="K1021" t="n">
        <v>2</v>
      </c>
      <c r="L1021" t="n">
        <v>2.235</v>
      </c>
      <c r="M1021" t="n">
        <v>0</v>
      </c>
      <c r="N1021" t="inlineStr">
        <is>
          <t>train</t>
        </is>
      </c>
      <c r="O1021">
        <f>HYPERLINK("2\0\marker_479_965611.png", "Ver Imagen")</f>
        <v/>
      </c>
      <c r="P1021">
        <f>HYPERLINK("SO\A-5053\A-5053__228.png", "Ver Imagen")</f>
        <v/>
      </c>
    </row>
    <row r="1022">
      <c r="A1022" t="n">
        <v>427</v>
      </c>
      <c r="B1022" t="inlineStr">
        <is>
          <t>A-5053__226</t>
        </is>
      </c>
      <c r="C1022" t="n">
        <v>37.2632441296</v>
      </c>
      <c r="D1022" t="n">
        <v>-7.1311171315</v>
      </c>
      <c r="E1022" t="n">
        <v>2</v>
      </c>
      <c r="F1022" t="n">
        <v>2</v>
      </c>
      <c r="G1022" t="n">
        <v>2</v>
      </c>
      <c r="J1022" t="inlineStr">
        <is>
          <t>Moda</t>
        </is>
      </c>
      <c r="K1022" t="n">
        <v>2</v>
      </c>
      <c r="L1022" t="n">
        <v>2</v>
      </c>
      <c r="M1022" t="n">
        <v>0</v>
      </c>
      <c r="N1022" t="inlineStr">
        <is>
          <t>train</t>
        </is>
      </c>
      <c r="O1022">
        <f>HYPERLINK("2\0\marker_513_965637.png", "Ver Imagen")</f>
        <v/>
      </c>
      <c r="P1022">
        <f>HYPERLINK("SO\A-5053\A-5053__226.png", "Ver Imagen")</f>
        <v/>
      </c>
    </row>
    <row r="1023">
      <c r="A1023" t="n">
        <v>428</v>
      </c>
      <c r="B1023" t="inlineStr">
        <is>
          <t>A-5053__225</t>
        </is>
      </c>
      <c r="C1023" t="n">
        <v>37.2630347276</v>
      </c>
      <c r="D1023" t="n">
        <v>-7.13098556477</v>
      </c>
      <c r="E1023" t="n">
        <v>2</v>
      </c>
      <c r="F1023" t="n">
        <v>2</v>
      </c>
      <c r="G1023" t="n">
        <v>2</v>
      </c>
      <c r="J1023" t="inlineStr">
        <is>
          <t>Moda</t>
        </is>
      </c>
      <c r="K1023" t="n">
        <v>2</v>
      </c>
      <c r="L1023" t="n">
        <v>2.125</v>
      </c>
      <c r="M1023" t="n">
        <v>0</v>
      </c>
      <c r="N1023" t="inlineStr">
        <is>
          <t>train</t>
        </is>
      </c>
      <c r="O1023">
        <f>HYPERLINK("2\0\marker_600_965646.png", "Ver Imagen")</f>
        <v/>
      </c>
      <c r="P1023">
        <f>HYPERLINK("SO\A-5053\A-5053__225.png", "Ver Imagen")</f>
        <v/>
      </c>
    </row>
    <row r="1024">
      <c r="A1024" t="n">
        <v>429</v>
      </c>
      <c r="B1024" t="inlineStr">
        <is>
          <t>A-5053__202</t>
        </is>
      </c>
      <c r="C1024" t="n">
        <v>37.2588865609</v>
      </c>
      <c r="D1024" t="n">
        <v>-7.12838498143</v>
      </c>
      <c r="E1024" t="n">
        <v>2</v>
      </c>
      <c r="F1024" t="n">
        <v>2</v>
      </c>
      <c r="G1024" t="n">
        <v>2</v>
      </c>
      <c r="J1024" t="inlineStr">
        <is>
          <t>Moda</t>
        </is>
      </c>
      <c r="K1024" t="n">
        <v>2</v>
      </c>
      <c r="L1024" t="n">
        <v>2.262</v>
      </c>
      <c r="M1024" t="n">
        <v>0</v>
      </c>
      <c r="N1024" t="inlineStr">
        <is>
          <t>train</t>
        </is>
      </c>
      <c r="O1024">
        <f>HYPERLINK("2\0\marker_869_965868.png", "Ver Imagen")</f>
        <v/>
      </c>
      <c r="P1024">
        <f>HYPERLINK("SO\A-5053\A-5053__202.png", "Ver Imagen")</f>
        <v/>
      </c>
    </row>
    <row r="1025">
      <c r="A1025" t="n">
        <v>430</v>
      </c>
      <c r="B1025" t="inlineStr">
        <is>
          <t>A-5053__200</t>
        </is>
      </c>
      <c r="C1025" t="n">
        <v>37.2585148345</v>
      </c>
      <c r="D1025" t="n">
        <v>-7.12814715836</v>
      </c>
      <c r="E1025" t="n">
        <v>2</v>
      </c>
      <c r="F1025" t="n">
        <v>2</v>
      </c>
      <c r="G1025" t="n">
        <v>2</v>
      </c>
      <c r="J1025" t="inlineStr">
        <is>
          <t>Moda</t>
        </is>
      </c>
      <c r="K1025" t="n">
        <v>2</v>
      </c>
      <c r="L1025" t="n">
        <v>2.205</v>
      </c>
      <c r="M1025" t="n">
        <v>0</v>
      </c>
      <c r="N1025" t="inlineStr">
        <is>
          <t>train</t>
        </is>
      </c>
      <c r="O1025">
        <f>HYPERLINK("2\0\marker_507_965884.png", "Ver Imagen")</f>
        <v/>
      </c>
      <c r="P1025">
        <f>HYPERLINK("SO\A-5053\A-5053__200.png", "Ver Imagen")</f>
        <v/>
      </c>
    </row>
    <row r="1026">
      <c r="A1026" t="n">
        <v>431</v>
      </c>
      <c r="B1026" t="inlineStr">
        <is>
          <t>A-5053__198</t>
        </is>
      </c>
      <c r="C1026" t="n">
        <v>37.2581698076</v>
      </c>
      <c r="D1026" t="n">
        <v>-7.12792699872</v>
      </c>
      <c r="E1026" t="n">
        <v>2</v>
      </c>
      <c r="F1026" t="n">
        <v>2</v>
      </c>
      <c r="G1026" t="n">
        <v>2</v>
      </c>
      <c r="J1026" t="inlineStr">
        <is>
          <t>Moda</t>
        </is>
      </c>
      <c r="K1026" t="n">
        <v>2</v>
      </c>
      <c r="L1026" t="n">
        <v>2.063</v>
      </c>
      <c r="M1026" t="n">
        <v>0</v>
      </c>
      <c r="N1026" t="inlineStr">
        <is>
          <t>train</t>
        </is>
      </c>
      <c r="O1026">
        <f>HYPERLINK("2\0\marker_290_965902.png", "Ver Imagen")</f>
        <v/>
      </c>
      <c r="P1026">
        <f>HYPERLINK("SO\A-5053\A-5053__198.png", "Ver Imagen")</f>
        <v/>
      </c>
    </row>
    <row r="1027">
      <c r="A1027" t="n">
        <v>432</v>
      </c>
      <c r="B1027" t="inlineStr">
        <is>
          <t>A-5053__196</t>
        </is>
      </c>
      <c r="C1027" t="n">
        <v>37.2578076883</v>
      </c>
      <c r="D1027" t="n">
        <v>-7.12769821338</v>
      </c>
      <c r="E1027" t="n">
        <v>2</v>
      </c>
      <c r="F1027" t="n">
        <v>2</v>
      </c>
      <c r="G1027" t="n">
        <v>2</v>
      </c>
      <c r="J1027" t="inlineStr">
        <is>
          <t>Moda</t>
        </is>
      </c>
      <c r="K1027" t="n">
        <v>2</v>
      </c>
      <c r="L1027" t="n">
        <v>2.176</v>
      </c>
      <c r="M1027" t="n">
        <v>0</v>
      </c>
      <c r="N1027" t="inlineStr">
        <is>
          <t>train</t>
        </is>
      </c>
      <c r="O1027">
        <f>HYPERLINK("2\0\marker_165_965931.png", "Ver Imagen")</f>
        <v/>
      </c>
      <c r="P1027">
        <f>HYPERLINK("SO\A-5053\A-5053__196.png", "Ver Imagen")</f>
        <v/>
      </c>
    </row>
    <row r="1028">
      <c r="A1028" t="n">
        <v>433</v>
      </c>
      <c r="B1028" t="inlineStr">
        <is>
          <t>A-5053__195</t>
        </is>
      </c>
      <c r="C1028" t="n">
        <v>37.2575957928</v>
      </c>
      <c r="D1028" t="n">
        <v>-7.12756508846</v>
      </c>
      <c r="E1028" t="n">
        <v>2</v>
      </c>
      <c r="F1028" t="n">
        <v>2</v>
      </c>
      <c r="G1028" t="n">
        <v>2</v>
      </c>
      <c r="J1028" t="inlineStr">
        <is>
          <t>Moda</t>
        </is>
      </c>
      <c r="K1028" t="n">
        <v>2</v>
      </c>
      <c r="L1028" t="n">
        <v>2.159</v>
      </c>
      <c r="M1028" t="n">
        <v>0</v>
      </c>
      <c r="N1028" t="inlineStr">
        <is>
          <t>test</t>
        </is>
      </c>
      <c r="O1028">
        <f>HYPERLINK("2\0\marker_260_965941.png", "Ver Imagen")</f>
        <v/>
      </c>
      <c r="P1028">
        <f>HYPERLINK("SO\A-5053\A-5053__195.png", "Ver Imagen")</f>
        <v/>
      </c>
    </row>
    <row r="1029">
      <c r="A1029" t="n">
        <v>434</v>
      </c>
      <c r="B1029" t="inlineStr">
        <is>
          <t>A-5053__194</t>
        </is>
      </c>
      <c r="C1029" t="n">
        <v>37.2574553601</v>
      </c>
      <c r="D1029" t="n">
        <v>-7.12747625637</v>
      </c>
      <c r="E1029" t="n">
        <v>2</v>
      </c>
      <c r="F1029" t="n">
        <v>2</v>
      </c>
      <c r="G1029" t="n">
        <v>2</v>
      </c>
      <c r="J1029" t="inlineStr">
        <is>
          <t>Moda</t>
        </is>
      </c>
      <c r="K1029" t="n">
        <v>2</v>
      </c>
      <c r="L1029" t="n">
        <v>1.896</v>
      </c>
      <c r="M1029" t="n">
        <v>0</v>
      </c>
      <c r="N1029" t="inlineStr">
        <is>
          <t>train</t>
        </is>
      </c>
      <c r="O1029">
        <f>HYPERLINK("2\0\marker_500_965949.png", "Ver Imagen")</f>
        <v/>
      </c>
      <c r="P1029">
        <f>HYPERLINK("SO\A-5053\A-5053__194.png", "Ver Imagen")</f>
        <v/>
      </c>
    </row>
    <row r="1030">
      <c r="A1030" t="n">
        <v>436</v>
      </c>
      <c r="B1030" t="inlineStr">
        <is>
          <t>A-5053__192</t>
        </is>
      </c>
      <c r="C1030" t="n">
        <v>37.2570975534</v>
      </c>
      <c r="D1030" t="n">
        <v>-7.1272521368</v>
      </c>
      <c r="E1030" t="n">
        <v>2</v>
      </c>
      <c r="F1030" t="n">
        <v>2</v>
      </c>
      <c r="G1030" t="n">
        <v>2</v>
      </c>
      <c r="J1030" t="inlineStr">
        <is>
          <t>Moda</t>
        </is>
      </c>
      <c r="K1030" t="n">
        <v>2</v>
      </c>
      <c r="L1030" t="n">
        <v>2.312</v>
      </c>
      <c r="M1030" t="n">
        <v>0</v>
      </c>
      <c r="N1030" t="inlineStr">
        <is>
          <t>train</t>
        </is>
      </c>
      <c r="O1030">
        <f>HYPERLINK("2\0\marker_332_965967.png", "Ver Imagen")</f>
        <v/>
      </c>
      <c r="P1030">
        <f>HYPERLINK("SO\A-5053\A-5053__192.png", "Ver Imagen")</f>
        <v/>
      </c>
    </row>
    <row r="1031">
      <c r="A1031" t="n">
        <v>437</v>
      </c>
      <c r="B1031" t="inlineStr">
        <is>
          <t>A-5053__191</t>
        </is>
      </c>
      <c r="C1031" t="n">
        <v>37.2568985247</v>
      </c>
      <c r="D1031" t="n">
        <v>-7.12713340138</v>
      </c>
      <c r="E1031" t="n">
        <v>2</v>
      </c>
      <c r="F1031" t="n">
        <v>2</v>
      </c>
      <c r="G1031" t="n">
        <v>2</v>
      </c>
      <c r="J1031" t="inlineStr">
        <is>
          <t>Moda</t>
        </is>
      </c>
      <c r="K1031" t="n">
        <v>2</v>
      </c>
      <c r="L1031" t="n">
        <v>1.847</v>
      </c>
      <c r="M1031" t="n">
        <v>0</v>
      </c>
      <c r="N1031" t="inlineStr">
        <is>
          <t>train</t>
        </is>
      </c>
      <c r="O1031">
        <f>HYPERLINK("2\0\marker_305_965975.png", "Ver Imagen")</f>
        <v/>
      </c>
      <c r="P1031">
        <f>HYPERLINK("SO\A-5053\A-5053__191.png", "Ver Imagen")</f>
        <v/>
      </c>
    </row>
    <row r="1032">
      <c r="A1032" t="n">
        <v>438</v>
      </c>
      <c r="B1032" t="inlineStr">
        <is>
          <t>A-5053__190</t>
        </is>
      </c>
      <c r="C1032" t="n">
        <v>37.2567073897</v>
      </c>
      <c r="D1032" t="n">
        <v>-7.12702839723</v>
      </c>
      <c r="E1032" t="n">
        <v>2</v>
      </c>
      <c r="F1032" t="n">
        <v>2</v>
      </c>
      <c r="G1032" t="n">
        <v>2</v>
      </c>
      <c r="J1032" t="inlineStr">
        <is>
          <t>Moda</t>
        </is>
      </c>
      <c r="K1032" t="n">
        <v>2</v>
      </c>
      <c r="L1032" t="n">
        <v>2.101</v>
      </c>
      <c r="M1032" t="n">
        <v>0</v>
      </c>
      <c r="N1032" t="inlineStr">
        <is>
          <t>train</t>
        </is>
      </c>
      <c r="O1032">
        <f>HYPERLINK("2\0\marker_403_965986.png", "Ver Imagen")</f>
        <v/>
      </c>
      <c r="P1032">
        <f>HYPERLINK("SO\A-5053\A-5053__190.png", "Ver Imagen")</f>
        <v/>
      </c>
    </row>
    <row r="1033">
      <c r="A1033" t="n">
        <v>439</v>
      </c>
      <c r="B1033" t="inlineStr">
        <is>
          <t>A-5053__189</t>
        </is>
      </c>
      <c r="C1033" t="n">
        <v>37.2564811036</v>
      </c>
      <c r="D1033" t="n">
        <v>-7.12691831712</v>
      </c>
      <c r="E1033" t="n">
        <v>2</v>
      </c>
      <c r="F1033" t="n">
        <v>2</v>
      </c>
      <c r="G1033" t="n">
        <v>2</v>
      </c>
      <c r="J1033" t="inlineStr">
        <is>
          <t>Moda</t>
        </is>
      </c>
      <c r="K1033" t="n">
        <v>2</v>
      </c>
      <c r="L1033" t="n">
        <v>1.962</v>
      </c>
      <c r="M1033" t="n">
        <v>0</v>
      </c>
      <c r="N1033" t="inlineStr">
        <is>
          <t>train</t>
        </is>
      </c>
      <c r="O1033">
        <f>HYPERLINK("2\0\marker_352_965996.png", "Ver Imagen")</f>
        <v/>
      </c>
      <c r="P1033">
        <f>HYPERLINK("SO\A-5053\A-5053__189.png", "Ver Imagen")</f>
        <v/>
      </c>
    </row>
    <row r="1034">
      <c r="A1034" t="n">
        <v>440</v>
      </c>
      <c r="B1034" t="inlineStr">
        <is>
          <t>A-5053__188</t>
        </is>
      </c>
      <c r="C1034" t="n">
        <v>37.2563147065</v>
      </c>
      <c r="D1034" t="n">
        <v>-7.1268461712</v>
      </c>
      <c r="E1034" t="n">
        <v>2</v>
      </c>
      <c r="F1034" t="n">
        <v>2</v>
      </c>
      <c r="G1034" t="n">
        <v>2</v>
      </c>
      <c r="J1034" t="inlineStr">
        <is>
          <t>Moda</t>
        </is>
      </c>
      <c r="K1034" t="n">
        <v>2</v>
      </c>
      <c r="L1034" t="n">
        <v>1.973</v>
      </c>
      <c r="M1034" t="n">
        <v>0</v>
      </c>
      <c r="N1034" t="inlineStr">
        <is>
          <t>test</t>
        </is>
      </c>
      <c r="O1034">
        <f>HYPERLINK("2\0\marker_528_966005.png", "Ver Imagen")</f>
        <v/>
      </c>
      <c r="P1034">
        <f>HYPERLINK("SO\A-5053\A-5053__188.png", "Ver Imagen")</f>
        <v/>
      </c>
    </row>
    <row r="1035">
      <c r="A1035" t="n">
        <v>441</v>
      </c>
      <c r="B1035" t="inlineStr">
        <is>
          <t>A-5053__187</t>
        </is>
      </c>
      <c r="C1035" t="n">
        <v>37.2561424332</v>
      </c>
      <c r="D1035" t="n">
        <v>-7.12677918591</v>
      </c>
      <c r="E1035" t="n">
        <v>2</v>
      </c>
      <c r="F1035" t="n">
        <v>2</v>
      </c>
      <c r="G1035" t="n">
        <v>2</v>
      </c>
      <c r="J1035" t="inlineStr">
        <is>
          <t>Moda</t>
        </is>
      </c>
      <c r="K1035" t="n">
        <v>2</v>
      </c>
      <c r="L1035" t="n">
        <v>1.938</v>
      </c>
      <c r="M1035" t="n">
        <v>0</v>
      </c>
      <c r="N1035" t="inlineStr">
        <is>
          <t>train</t>
        </is>
      </c>
      <c r="O1035">
        <f>HYPERLINK("2\0\marker_352_966017.png", "Ver Imagen")</f>
        <v/>
      </c>
      <c r="P1035">
        <f>HYPERLINK("SO\A-5053\A-5053__187.png", "Ver Imagen")</f>
        <v/>
      </c>
    </row>
    <row r="1036">
      <c r="A1036" t="n">
        <v>442</v>
      </c>
      <c r="B1036" t="inlineStr">
        <is>
          <t>A-5053__186</t>
        </is>
      </c>
      <c r="C1036" t="n">
        <v>37.2559179486</v>
      </c>
      <c r="D1036" t="n">
        <v>-7.12670481717</v>
      </c>
      <c r="E1036" t="n">
        <v>2</v>
      </c>
      <c r="F1036" t="n">
        <v>2</v>
      </c>
      <c r="G1036" t="n">
        <v>2</v>
      </c>
      <c r="J1036" t="inlineStr">
        <is>
          <t>Moda</t>
        </is>
      </c>
      <c r="K1036" t="n">
        <v>2</v>
      </c>
      <c r="L1036" t="n">
        <v>1.943</v>
      </c>
      <c r="M1036" t="n">
        <v>0</v>
      </c>
      <c r="N1036" t="inlineStr">
        <is>
          <t>train</t>
        </is>
      </c>
      <c r="O1036">
        <f>HYPERLINK("2\0\marker_788_966031.png", "Ver Imagen")</f>
        <v/>
      </c>
      <c r="P1036">
        <f>HYPERLINK("SO\A-5053\A-5053__186.png", "Ver Imagen")</f>
        <v/>
      </c>
    </row>
    <row r="1037">
      <c r="A1037" t="n">
        <v>443</v>
      </c>
      <c r="B1037" t="inlineStr">
        <is>
          <t>A-5053__185</t>
        </is>
      </c>
      <c r="C1037" t="n">
        <v>37.2557504989</v>
      </c>
      <c r="D1037" t="n">
        <v>-7.12665964054</v>
      </c>
      <c r="E1037" t="n">
        <v>2</v>
      </c>
      <c r="F1037" t="n">
        <v>2</v>
      </c>
      <c r="G1037" t="n">
        <v>2</v>
      </c>
      <c r="J1037" t="inlineStr">
        <is>
          <t>Moda</t>
        </is>
      </c>
      <c r="K1037" t="n">
        <v>2</v>
      </c>
      <c r="L1037" t="n">
        <v>1.969</v>
      </c>
      <c r="M1037" t="n">
        <v>0</v>
      </c>
      <c r="N1037" t="inlineStr">
        <is>
          <t>train</t>
        </is>
      </c>
      <c r="O1037">
        <f>HYPERLINK("2\0\marker_343_966040.png", "Ver Imagen")</f>
        <v/>
      </c>
      <c r="P1037">
        <f>HYPERLINK("SO\A-5053\A-5053__185.png", "Ver Imagen")</f>
        <v/>
      </c>
    </row>
    <row r="1038">
      <c r="A1038" t="n">
        <v>444</v>
      </c>
      <c r="B1038" t="inlineStr">
        <is>
          <t>A-5053__184</t>
        </is>
      </c>
      <c r="C1038" t="n">
        <v>37.2555414774</v>
      </c>
      <c r="D1038" t="n">
        <v>-7.1266177918</v>
      </c>
      <c r="E1038" t="n">
        <v>2</v>
      </c>
      <c r="F1038" t="n">
        <v>2</v>
      </c>
      <c r="G1038" t="n">
        <v>2</v>
      </c>
      <c r="J1038" t="inlineStr">
        <is>
          <t>Moda</t>
        </is>
      </c>
      <c r="K1038" t="n">
        <v>2</v>
      </c>
      <c r="L1038" t="n">
        <v>1.893</v>
      </c>
      <c r="M1038" t="n">
        <v>0</v>
      </c>
      <c r="N1038" t="inlineStr">
        <is>
          <t>train</t>
        </is>
      </c>
      <c r="O1038">
        <f>HYPERLINK("2\0\marker_718_966050.png", "Ver Imagen")</f>
        <v/>
      </c>
      <c r="P1038">
        <f>HYPERLINK("SO\A-5053\A-5053__184.png", "Ver Imagen")</f>
        <v/>
      </c>
    </row>
    <row r="1039">
      <c r="A1039" t="n">
        <v>445</v>
      </c>
      <c r="B1039" t="inlineStr">
        <is>
          <t>A-5053__183</t>
        </is>
      </c>
      <c r="C1039" t="n">
        <v>37.2553743248</v>
      </c>
      <c r="D1039" t="n">
        <v>-7.12659500204</v>
      </c>
      <c r="E1039" t="n">
        <v>2</v>
      </c>
      <c r="F1039" t="n">
        <v>2</v>
      </c>
      <c r="G1039" t="n">
        <v>2</v>
      </c>
      <c r="J1039" t="inlineStr">
        <is>
          <t>Moda</t>
        </is>
      </c>
      <c r="K1039" t="n">
        <v>2</v>
      </c>
      <c r="L1039" t="n">
        <v>2.039</v>
      </c>
      <c r="M1039" t="n">
        <v>0</v>
      </c>
      <c r="N1039" t="inlineStr">
        <is>
          <t>train</t>
        </is>
      </c>
      <c r="O1039">
        <f>HYPERLINK("2\0\marker_248_966061.png", "Ver Imagen")</f>
        <v/>
      </c>
      <c r="P1039">
        <f>HYPERLINK("SO\A-5053\A-5053__183.png", "Ver Imagen")</f>
        <v/>
      </c>
    </row>
    <row r="1040">
      <c r="A1040" t="n">
        <v>446</v>
      </c>
      <c r="B1040" t="inlineStr">
        <is>
          <t>A-5053__182</t>
        </is>
      </c>
      <c r="C1040" t="n">
        <v>37.2551595154</v>
      </c>
      <c r="D1040" t="n">
        <v>-7.12657782862</v>
      </c>
      <c r="E1040" t="n">
        <v>2</v>
      </c>
      <c r="F1040" t="n">
        <v>2</v>
      </c>
      <c r="G1040" t="n">
        <v>2</v>
      </c>
      <c r="J1040" t="inlineStr">
        <is>
          <t>Moda</t>
        </is>
      </c>
      <c r="K1040" t="n">
        <v>2</v>
      </c>
      <c r="L1040" t="n">
        <v>2.133</v>
      </c>
      <c r="M1040" t="n">
        <v>0</v>
      </c>
      <c r="N1040" t="inlineStr">
        <is>
          <t>train</t>
        </is>
      </c>
      <c r="O1040">
        <f>HYPERLINK("2\0\marker_478_966070.png", "Ver Imagen")</f>
        <v/>
      </c>
      <c r="P1040">
        <f>HYPERLINK("SO\A-5053\A-5053__182.png", "Ver Imagen")</f>
        <v/>
      </c>
    </row>
    <row r="1041">
      <c r="A1041" t="n">
        <v>447</v>
      </c>
      <c r="B1041" t="inlineStr">
        <is>
          <t>A-5053__181</t>
        </is>
      </c>
      <c r="C1041" t="n">
        <v>37.254935169</v>
      </c>
      <c r="D1041" t="n">
        <v>-7.1265747494</v>
      </c>
      <c r="E1041" t="n">
        <v>2</v>
      </c>
      <c r="F1041" t="n">
        <v>2</v>
      </c>
      <c r="G1041" t="n">
        <v>2</v>
      </c>
      <c r="J1041" t="inlineStr">
        <is>
          <t>Moda</t>
        </is>
      </c>
      <c r="K1041" t="n">
        <v>2</v>
      </c>
      <c r="L1041" t="n">
        <v>1.861</v>
      </c>
      <c r="M1041" t="n">
        <v>0</v>
      </c>
      <c r="N1041" t="inlineStr">
        <is>
          <t>train</t>
        </is>
      </c>
      <c r="O1041">
        <f>HYPERLINK("2\0\marker_555_966079.png", "Ver Imagen")</f>
        <v/>
      </c>
      <c r="P1041">
        <f>HYPERLINK("SO\A-5053\A-5053__181.png", "Ver Imagen")</f>
        <v/>
      </c>
    </row>
    <row r="1042">
      <c r="A1042" t="n">
        <v>448</v>
      </c>
      <c r="B1042" t="inlineStr">
        <is>
          <t>A-5053__180</t>
        </is>
      </c>
      <c r="C1042" t="n">
        <v>37.254754631</v>
      </c>
      <c r="D1042" t="n">
        <v>-7.12658355974</v>
      </c>
      <c r="E1042" t="n">
        <v>2</v>
      </c>
      <c r="F1042" t="n">
        <v>2</v>
      </c>
      <c r="G1042" t="n">
        <v>2</v>
      </c>
      <c r="J1042" t="inlineStr">
        <is>
          <t>Moda</t>
        </is>
      </c>
      <c r="K1042" t="n">
        <v>2</v>
      </c>
      <c r="L1042" t="n">
        <v>2.151</v>
      </c>
      <c r="M1042" t="n">
        <v>0</v>
      </c>
      <c r="N1042" t="inlineStr">
        <is>
          <t>train</t>
        </is>
      </c>
      <c r="O1042">
        <f>HYPERLINK("2\0\marker_523_966089.png", "Ver Imagen")</f>
        <v/>
      </c>
      <c r="P1042">
        <f>HYPERLINK("SO\A-5053\A-5053__180.png", "Ver Imagen")</f>
        <v/>
      </c>
    </row>
    <row r="1043">
      <c r="A1043" t="n">
        <v>449</v>
      </c>
      <c r="B1043" t="inlineStr">
        <is>
          <t>A-5053__179</t>
        </is>
      </c>
      <c r="C1043" t="n">
        <v>37.2545491791</v>
      </c>
      <c r="D1043" t="n">
        <v>-7.12660293983</v>
      </c>
      <c r="E1043" t="n">
        <v>2</v>
      </c>
      <c r="F1043" t="n">
        <v>2</v>
      </c>
      <c r="G1043" t="n">
        <v>2</v>
      </c>
      <c r="J1043" t="inlineStr">
        <is>
          <t>Moda</t>
        </is>
      </c>
      <c r="K1043" t="n">
        <v>2</v>
      </c>
      <c r="L1043" t="n">
        <v>2.221</v>
      </c>
      <c r="M1043" t="n">
        <v>0</v>
      </c>
      <c r="N1043" t="inlineStr">
        <is>
          <t>val</t>
        </is>
      </c>
      <c r="O1043">
        <f>HYPERLINK("2\0\marker_268_966099.png", "Ver Imagen")</f>
        <v/>
      </c>
      <c r="P1043">
        <f>HYPERLINK("SO\A-5053\A-5053__179.png", "Ver Imagen")</f>
        <v/>
      </c>
    </row>
    <row r="1044">
      <c r="A1044" t="n">
        <v>450</v>
      </c>
      <c r="B1044" t="inlineStr">
        <is>
          <t>A-5053__177</t>
        </is>
      </c>
      <c r="C1044" t="n">
        <v>37.2541133734</v>
      </c>
      <c r="D1044" t="n">
        <v>-7.12665960972</v>
      </c>
      <c r="E1044" t="n">
        <v>2</v>
      </c>
      <c r="F1044" t="n">
        <v>2</v>
      </c>
      <c r="G1044" t="n">
        <v>2</v>
      </c>
      <c r="J1044" t="inlineStr">
        <is>
          <t>Moda</t>
        </is>
      </c>
      <c r="K1044" t="n">
        <v>2</v>
      </c>
      <c r="L1044" t="n">
        <v>1.867</v>
      </c>
      <c r="M1044" t="n">
        <v>0</v>
      </c>
      <c r="N1044" t="inlineStr">
        <is>
          <t>train</t>
        </is>
      </c>
      <c r="O1044">
        <f>HYPERLINK("2\0\marker_321_966119.png", "Ver Imagen")</f>
        <v/>
      </c>
      <c r="P1044">
        <f>HYPERLINK("SO\A-5053\A-5053__177.png", "Ver Imagen")</f>
        <v/>
      </c>
    </row>
    <row r="1045">
      <c r="A1045" t="n">
        <v>451</v>
      </c>
      <c r="B1045" t="inlineStr">
        <is>
          <t>A-5053__176</t>
        </is>
      </c>
      <c r="C1045" t="n">
        <v>37.253922476</v>
      </c>
      <c r="D1045" t="n">
        <v>-7.12668720837</v>
      </c>
      <c r="E1045" t="n">
        <v>2</v>
      </c>
      <c r="F1045" t="n">
        <v>2</v>
      </c>
      <c r="G1045" t="n">
        <v>2</v>
      </c>
      <c r="J1045" t="inlineStr">
        <is>
          <t>Moda</t>
        </is>
      </c>
      <c r="K1045" t="n">
        <v>2</v>
      </c>
      <c r="L1045" t="n">
        <v>1.954</v>
      </c>
      <c r="M1045" t="n">
        <v>0</v>
      </c>
      <c r="N1045" t="inlineStr">
        <is>
          <t>train</t>
        </is>
      </c>
      <c r="O1045">
        <f>HYPERLINK("2\0\marker_298_966128.png", "Ver Imagen")</f>
        <v/>
      </c>
      <c r="P1045">
        <f>HYPERLINK("SO\A-5053\A-5053__176.png", "Ver Imagen")</f>
        <v/>
      </c>
    </row>
    <row r="1046">
      <c r="A1046" t="n">
        <v>452</v>
      </c>
      <c r="B1046" t="inlineStr">
        <is>
          <t>A-5053__175</t>
        </is>
      </c>
      <c r="C1046" t="n">
        <v>37.2537585716</v>
      </c>
      <c r="D1046" t="n">
        <v>-7.12671117421</v>
      </c>
      <c r="E1046" t="n">
        <v>2</v>
      </c>
      <c r="F1046" t="n">
        <v>2</v>
      </c>
      <c r="G1046" t="n">
        <v>2</v>
      </c>
      <c r="J1046" t="inlineStr">
        <is>
          <t>Moda</t>
        </is>
      </c>
      <c r="K1046" t="n">
        <v>2</v>
      </c>
      <c r="L1046" t="n">
        <v>2.053</v>
      </c>
      <c r="M1046" t="n">
        <v>0</v>
      </c>
      <c r="N1046" t="inlineStr">
        <is>
          <t>train</t>
        </is>
      </c>
      <c r="O1046">
        <f>HYPERLINK("2\0\marker_339_966143.png", "Ver Imagen")</f>
        <v/>
      </c>
      <c r="P1046">
        <f>HYPERLINK("SO\A-5053\A-5053__175.png", "Ver Imagen")</f>
        <v/>
      </c>
    </row>
    <row r="1047">
      <c r="A1047" t="n">
        <v>453</v>
      </c>
      <c r="B1047" t="inlineStr">
        <is>
          <t>A-5053__173</t>
        </is>
      </c>
      <c r="C1047" t="n">
        <v>37.253339343</v>
      </c>
      <c r="D1047" t="n">
        <v>-7.12677342987</v>
      </c>
      <c r="E1047" t="n">
        <v>2</v>
      </c>
      <c r="F1047" t="n">
        <v>2</v>
      </c>
      <c r="G1047" t="n">
        <v>2</v>
      </c>
      <c r="J1047" t="inlineStr">
        <is>
          <t>Moda</t>
        </is>
      </c>
      <c r="K1047" t="n">
        <v>2</v>
      </c>
      <c r="L1047" t="n">
        <v>1.841</v>
      </c>
      <c r="M1047" t="n">
        <v>0</v>
      </c>
      <c r="N1047" t="inlineStr">
        <is>
          <t>train</t>
        </is>
      </c>
      <c r="O1047">
        <f>HYPERLINK("2\0\marker_929_966160.png", "Ver Imagen")</f>
        <v/>
      </c>
      <c r="P1047">
        <f>HYPERLINK("SO\A-5053\A-5053__173.png", "Ver Imagen")</f>
        <v/>
      </c>
    </row>
    <row r="1048">
      <c r="A1048" t="n">
        <v>454</v>
      </c>
      <c r="B1048" t="inlineStr">
        <is>
          <t>A-5053__172</t>
        </is>
      </c>
      <c r="C1048" t="n">
        <v>37.253121652</v>
      </c>
      <c r="D1048" t="n">
        <v>-7.12680723642</v>
      </c>
      <c r="E1048" t="n">
        <v>2</v>
      </c>
      <c r="F1048" t="n">
        <v>2</v>
      </c>
      <c r="G1048" t="n">
        <v>2</v>
      </c>
      <c r="J1048" t="inlineStr">
        <is>
          <t>Moda</t>
        </is>
      </c>
      <c r="K1048" t="n">
        <v>2</v>
      </c>
      <c r="L1048" t="n">
        <v>1.661</v>
      </c>
      <c r="M1048" t="n">
        <v>0</v>
      </c>
      <c r="N1048" t="inlineStr">
        <is>
          <t>train</t>
        </is>
      </c>
      <c r="O1048">
        <f>HYPERLINK("2\0\marker_209_966169.png", "Ver Imagen")</f>
        <v/>
      </c>
      <c r="P1048">
        <f>HYPERLINK("SO\A-5053\A-5053__172.png", "Ver Imagen")</f>
        <v/>
      </c>
    </row>
    <row r="1049">
      <c r="A1049" t="n">
        <v>455</v>
      </c>
      <c r="B1049" t="inlineStr">
        <is>
          <t>A-5053__171</t>
        </is>
      </c>
      <c r="C1049" t="n">
        <v>37.2529046029</v>
      </c>
      <c r="D1049" t="n">
        <v>-7.1268418021</v>
      </c>
      <c r="E1049" t="n">
        <v>2</v>
      </c>
      <c r="F1049" t="n">
        <v>2</v>
      </c>
      <c r="G1049" t="n">
        <v>2</v>
      </c>
      <c r="J1049" t="inlineStr">
        <is>
          <t>Moda</t>
        </is>
      </c>
      <c r="K1049" t="n">
        <v>2</v>
      </c>
      <c r="L1049" t="n">
        <v>2.004</v>
      </c>
      <c r="M1049" t="n">
        <v>0</v>
      </c>
      <c r="N1049" t="inlineStr">
        <is>
          <t>test</t>
        </is>
      </c>
      <c r="O1049">
        <f>HYPERLINK("2\0\marker_622_966178.png", "Ver Imagen")</f>
        <v/>
      </c>
      <c r="P1049">
        <f>HYPERLINK("SO\A-5053\A-5053__171.png", "Ver Imagen")</f>
        <v/>
      </c>
    </row>
    <row r="1050">
      <c r="A1050" t="n">
        <v>456</v>
      </c>
      <c r="B1050" t="inlineStr">
        <is>
          <t>A-5053__170</t>
        </is>
      </c>
      <c r="C1050" t="n">
        <v>37.2527289633</v>
      </c>
      <c r="D1050" t="n">
        <v>-7.12686942943</v>
      </c>
      <c r="E1050" t="n">
        <v>2</v>
      </c>
      <c r="F1050" t="n">
        <v>2</v>
      </c>
      <c r="G1050" t="n">
        <v>2</v>
      </c>
      <c r="J1050" t="inlineStr">
        <is>
          <t>Moda</t>
        </is>
      </c>
      <c r="K1050" t="n">
        <v>2</v>
      </c>
      <c r="L1050" t="n">
        <v>2</v>
      </c>
      <c r="M1050" t="n">
        <v>0</v>
      </c>
      <c r="N1050" t="inlineStr">
        <is>
          <t>train</t>
        </is>
      </c>
      <c r="O1050">
        <f>HYPERLINK("2\0\marker_576_966187.png", "Ver Imagen")</f>
        <v/>
      </c>
      <c r="P1050">
        <f>HYPERLINK("SO\A-5053\A-5053__170.png", "Ver Imagen")</f>
        <v/>
      </c>
    </row>
    <row r="1051">
      <c r="A1051" t="n">
        <v>457</v>
      </c>
      <c r="B1051" t="inlineStr">
        <is>
          <t>A-5053__169</t>
        </is>
      </c>
      <c r="C1051" t="n">
        <v>37.2525588788</v>
      </c>
      <c r="D1051" t="n">
        <v>-7.12689534229</v>
      </c>
      <c r="E1051" t="n">
        <v>2</v>
      </c>
      <c r="F1051" t="n">
        <v>2</v>
      </c>
      <c r="G1051" t="n">
        <v>2</v>
      </c>
      <c r="J1051" t="inlineStr">
        <is>
          <t>Moda</t>
        </is>
      </c>
      <c r="K1051" t="n">
        <v>2</v>
      </c>
      <c r="L1051" t="n">
        <v>2.355</v>
      </c>
      <c r="M1051" t="n">
        <v>0</v>
      </c>
      <c r="N1051" t="inlineStr">
        <is>
          <t>test</t>
        </is>
      </c>
      <c r="O1051">
        <f>HYPERLINK("2\0\marker_288_966197.png", "Ver Imagen")</f>
        <v/>
      </c>
      <c r="P1051">
        <f>HYPERLINK("SO\A-5053\A-5053__169.png", "Ver Imagen")</f>
        <v/>
      </c>
    </row>
    <row r="1052">
      <c r="A1052" t="n">
        <v>458</v>
      </c>
      <c r="B1052" t="inlineStr">
        <is>
          <t>A-5053__168</t>
        </is>
      </c>
      <c r="C1052" t="n">
        <v>37.2523334219</v>
      </c>
      <c r="D1052" t="n">
        <v>-7.12692899232</v>
      </c>
      <c r="E1052" t="n">
        <v>2</v>
      </c>
      <c r="F1052" t="n">
        <v>2</v>
      </c>
      <c r="G1052" t="n">
        <v>2</v>
      </c>
      <c r="J1052" t="inlineStr">
        <is>
          <t>Moda</t>
        </is>
      </c>
      <c r="K1052" t="n">
        <v>2</v>
      </c>
      <c r="L1052" t="n">
        <v>2.045</v>
      </c>
      <c r="M1052" t="n">
        <v>0</v>
      </c>
      <c r="N1052" t="inlineStr">
        <is>
          <t>train</t>
        </is>
      </c>
      <c r="O1052">
        <f>HYPERLINK("2\0\marker_714_966206.png", "Ver Imagen")</f>
        <v/>
      </c>
      <c r="P1052">
        <f>HYPERLINK("SO\A-5053\A-5053__168.png", "Ver Imagen")</f>
        <v/>
      </c>
    </row>
    <row r="1053">
      <c r="A1053" t="n">
        <v>460</v>
      </c>
      <c r="B1053" t="inlineStr">
        <is>
          <t>A-5053__166</t>
        </is>
      </c>
      <c r="C1053" t="n">
        <v>37.2519070597</v>
      </c>
      <c r="D1053" t="n">
        <v>-7.12699199881</v>
      </c>
      <c r="E1053" t="n">
        <v>2</v>
      </c>
      <c r="F1053" t="n">
        <v>2</v>
      </c>
      <c r="G1053" t="n">
        <v>2</v>
      </c>
      <c r="J1053" t="inlineStr">
        <is>
          <t>Moda</t>
        </is>
      </c>
      <c r="K1053" t="n">
        <v>2</v>
      </c>
      <c r="L1053" t="n">
        <v>2.02</v>
      </c>
      <c r="M1053" t="n">
        <v>0</v>
      </c>
      <c r="N1053" t="inlineStr">
        <is>
          <t>train</t>
        </is>
      </c>
      <c r="O1053">
        <f>HYPERLINK("2\0\marker_463_966231.png", "Ver Imagen")</f>
        <v/>
      </c>
      <c r="P1053">
        <f>HYPERLINK("SO\A-5053\A-5053__166.png", "Ver Imagen")</f>
        <v/>
      </c>
    </row>
    <row r="1054">
      <c r="A1054" t="n">
        <v>461</v>
      </c>
      <c r="B1054" t="inlineStr">
        <is>
          <t>A-5053__164</t>
        </is>
      </c>
      <c r="C1054" t="n">
        <v>37.2515579653</v>
      </c>
      <c r="D1054" t="n">
        <v>-7.12704561918</v>
      </c>
      <c r="E1054" t="n">
        <v>2</v>
      </c>
      <c r="F1054" t="n">
        <v>2</v>
      </c>
      <c r="G1054" t="n">
        <v>2</v>
      </c>
      <c r="J1054" t="inlineStr">
        <is>
          <t>Moda</t>
        </is>
      </c>
      <c r="K1054" t="n">
        <v>2</v>
      </c>
      <c r="L1054" t="n">
        <v>2.477</v>
      </c>
      <c r="M1054" t="n">
        <v>0</v>
      </c>
      <c r="N1054" t="inlineStr">
        <is>
          <t>val</t>
        </is>
      </c>
      <c r="O1054">
        <f>HYPERLINK("2\0\marker_910_966248.png", "Ver Imagen")</f>
        <v/>
      </c>
      <c r="P1054">
        <f>HYPERLINK("SO\A-5053\A-5053__164.png", "Ver Imagen")</f>
        <v/>
      </c>
    </row>
    <row r="1055">
      <c r="A1055" t="n">
        <v>462</v>
      </c>
      <c r="B1055" t="inlineStr">
        <is>
          <t>A-5053__163</t>
        </is>
      </c>
      <c r="C1055" t="n">
        <v>37.2513383126</v>
      </c>
      <c r="D1055" t="n">
        <v>-7.12707881397</v>
      </c>
      <c r="E1055" t="n">
        <v>2</v>
      </c>
      <c r="F1055" t="n">
        <v>2</v>
      </c>
      <c r="G1055" t="n">
        <v>2</v>
      </c>
      <c r="J1055" t="inlineStr">
        <is>
          <t>Moda</t>
        </is>
      </c>
      <c r="K1055" t="n">
        <v>2</v>
      </c>
      <c r="L1055" t="n">
        <v>2.49</v>
      </c>
      <c r="M1055" t="n">
        <v>0</v>
      </c>
      <c r="N1055" t="inlineStr">
        <is>
          <t>test</t>
        </is>
      </c>
      <c r="O1055">
        <f>HYPERLINK("2\0\marker_112_966257.png", "Ver Imagen")</f>
        <v/>
      </c>
      <c r="P1055">
        <f>HYPERLINK("SO\A-5053\A-5053__163.png", "Ver Imagen")</f>
        <v/>
      </c>
    </row>
    <row r="1056">
      <c r="A1056" t="n">
        <v>463</v>
      </c>
      <c r="B1056" t="inlineStr">
        <is>
          <t>A-5053__162</t>
        </is>
      </c>
      <c r="C1056" t="n">
        <v>37.2511213843</v>
      </c>
      <c r="D1056" t="n">
        <v>-7.12711075535</v>
      </c>
      <c r="E1056" t="n">
        <v>2</v>
      </c>
      <c r="F1056" t="n">
        <v>2</v>
      </c>
      <c r="G1056" t="n">
        <v>2</v>
      </c>
      <c r="J1056" t="inlineStr">
        <is>
          <t>Moda</t>
        </is>
      </c>
      <c r="K1056" t="n">
        <v>2</v>
      </c>
      <c r="L1056" t="n">
        <v>1.985</v>
      </c>
      <c r="M1056" t="n">
        <v>0</v>
      </c>
      <c r="N1056" t="inlineStr">
        <is>
          <t>train</t>
        </is>
      </c>
      <c r="O1056">
        <f>HYPERLINK("2\0\marker_400_966267.png", "Ver Imagen")</f>
        <v/>
      </c>
      <c r="P1056">
        <f>HYPERLINK("SO\A-5053\A-5053__162.png", "Ver Imagen")</f>
        <v/>
      </c>
    </row>
    <row r="1057">
      <c r="A1057" t="n">
        <v>464</v>
      </c>
      <c r="B1057" t="inlineStr">
        <is>
          <t>A-5053__161</t>
        </is>
      </c>
      <c r="C1057" t="n">
        <v>37.2509019479</v>
      </c>
      <c r="D1057" t="n">
        <v>-7.12714303236</v>
      </c>
      <c r="E1057" t="n">
        <v>2</v>
      </c>
      <c r="F1057" t="n">
        <v>2</v>
      </c>
      <c r="G1057" t="n">
        <v>2</v>
      </c>
      <c r="J1057" t="inlineStr">
        <is>
          <t>Moda</t>
        </is>
      </c>
      <c r="K1057" t="n">
        <v>2</v>
      </c>
      <c r="L1057" t="n">
        <v>1.995</v>
      </c>
      <c r="M1057" t="n">
        <v>0</v>
      </c>
      <c r="N1057" t="inlineStr">
        <is>
          <t>train</t>
        </is>
      </c>
      <c r="O1057">
        <f>HYPERLINK("2\0\marker_254_966278.png", "Ver Imagen")</f>
        <v/>
      </c>
      <c r="P1057">
        <f>HYPERLINK("SO\A-5053\A-5053__161.png", "Ver Imagen")</f>
        <v/>
      </c>
    </row>
    <row r="1058">
      <c r="A1058" t="n">
        <v>465</v>
      </c>
      <c r="B1058" t="inlineStr">
        <is>
          <t>A-5053__160</t>
        </is>
      </c>
      <c r="C1058" t="n">
        <v>37.2506977829</v>
      </c>
      <c r="D1058" t="n">
        <v>-7.12717355185</v>
      </c>
      <c r="E1058" t="n">
        <v>2</v>
      </c>
      <c r="F1058" t="n">
        <v>2</v>
      </c>
      <c r="G1058" t="n">
        <v>2</v>
      </c>
      <c r="J1058" t="inlineStr">
        <is>
          <t>Moda</t>
        </is>
      </c>
      <c r="K1058" t="n">
        <v>2</v>
      </c>
      <c r="L1058" t="n">
        <v>1.985</v>
      </c>
      <c r="M1058" t="n">
        <v>0</v>
      </c>
      <c r="N1058" t="inlineStr">
        <is>
          <t>train</t>
        </is>
      </c>
      <c r="O1058">
        <f>HYPERLINK("2\0\marker_767_966286.png", "Ver Imagen")</f>
        <v/>
      </c>
      <c r="P1058">
        <f>HYPERLINK("SO\A-5053\A-5053__160.png", "Ver Imagen")</f>
        <v/>
      </c>
    </row>
    <row r="1059">
      <c r="A1059" t="n">
        <v>466</v>
      </c>
      <c r="B1059" t="inlineStr">
        <is>
          <t>A-5053__158</t>
        </is>
      </c>
      <c r="C1059" t="n">
        <v>37.2502904975</v>
      </c>
      <c r="D1059" t="n">
        <v>-7.12723470609</v>
      </c>
      <c r="E1059" t="n">
        <v>2</v>
      </c>
      <c r="F1059" t="n">
        <v>2</v>
      </c>
      <c r="G1059" t="n">
        <v>2</v>
      </c>
      <c r="J1059" t="inlineStr">
        <is>
          <t>Moda</t>
        </is>
      </c>
      <c r="K1059" t="n">
        <v>2</v>
      </c>
      <c r="L1059" t="n">
        <v>2.202</v>
      </c>
      <c r="M1059" t="n">
        <v>0</v>
      </c>
      <c r="N1059" t="inlineStr">
        <is>
          <t>train</t>
        </is>
      </c>
      <c r="O1059">
        <f>HYPERLINK("2\0\marker_616_966304.png", "Ver Imagen")</f>
        <v/>
      </c>
      <c r="P1059">
        <f>HYPERLINK("SO\A-5053\A-5053__158.png", "Ver Imagen")</f>
        <v/>
      </c>
    </row>
    <row r="1060">
      <c r="A1060" t="n">
        <v>467</v>
      </c>
      <c r="B1060" t="inlineStr">
        <is>
          <t>A-5053__155</t>
        </is>
      </c>
      <c r="C1060" t="n">
        <v>37.2497011534</v>
      </c>
      <c r="D1060" t="n">
        <v>-7.12732583037</v>
      </c>
      <c r="E1060" t="n">
        <v>2</v>
      </c>
      <c r="F1060" t="n">
        <v>2</v>
      </c>
      <c r="G1060" t="n">
        <v>2</v>
      </c>
      <c r="J1060" t="inlineStr">
        <is>
          <t>Moda</t>
        </is>
      </c>
      <c r="K1060" t="n">
        <v>2</v>
      </c>
      <c r="L1060" t="n">
        <v>2.372</v>
      </c>
      <c r="M1060" t="n">
        <v>0</v>
      </c>
      <c r="N1060" t="inlineStr">
        <is>
          <t>val</t>
        </is>
      </c>
      <c r="O1060">
        <f>HYPERLINK("2\0\marker_438_966332.png", "Ver Imagen")</f>
        <v/>
      </c>
      <c r="P1060">
        <f>HYPERLINK("SO\A-5053\A-5053__155.png", "Ver Imagen")</f>
        <v/>
      </c>
    </row>
    <row r="1061">
      <c r="A1061" t="n">
        <v>468</v>
      </c>
      <c r="B1061" t="inlineStr">
        <is>
          <t>A-5053__151</t>
        </is>
      </c>
      <c r="C1061" t="n">
        <v>37.2488939985</v>
      </c>
      <c r="D1061" t="n">
        <v>-7.12744854839</v>
      </c>
      <c r="E1061" t="n">
        <v>2</v>
      </c>
      <c r="F1061" t="n">
        <v>2</v>
      </c>
      <c r="G1061" t="n">
        <v>2</v>
      </c>
      <c r="J1061" t="inlineStr">
        <is>
          <t>Moda</t>
        </is>
      </c>
      <c r="K1061" t="n">
        <v>2</v>
      </c>
      <c r="L1061" t="n">
        <v>2.076</v>
      </c>
      <c r="M1061" t="n">
        <v>0</v>
      </c>
      <c r="N1061" t="inlineStr">
        <is>
          <t>train</t>
        </is>
      </c>
      <c r="O1061">
        <f>HYPERLINK("2\0\marker_518_966380.png", "Ver Imagen")</f>
        <v/>
      </c>
      <c r="P1061">
        <f>HYPERLINK("SO\A-5053\A-5053__151.png", "Ver Imagen")</f>
        <v/>
      </c>
    </row>
    <row r="1062">
      <c r="A1062" t="n">
        <v>470</v>
      </c>
      <c r="B1062" t="inlineStr">
        <is>
          <t>A-5053__137</t>
        </is>
      </c>
      <c r="C1062" t="n">
        <v>37.2460949938</v>
      </c>
      <c r="D1062" t="n">
        <v>-7.12786096745</v>
      </c>
      <c r="E1062" t="n">
        <v>2</v>
      </c>
      <c r="F1062" t="n">
        <v>2</v>
      </c>
      <c r="G1062" t="n">
        <v>2</v>
      </c>
      <c r="J1062" t="inlineStr">
        <is>
          <t>Moda</t>
        </is>
      </c>
      <c r="K1062" t="n">
        <v>2</v>
      </c>
      <c r="L1062" t="n">
        <v>2.152</v>
      </c>
      <c r="M1062" t="n">
        <v>0</v>
      </c>
      <c r="N1062" t="inlineStr">
        <is>
          <t>train</t>
        </is>
      </c>
      <c r="O1062">
        <f>HYPERLINK("2\0\marker_320_966513.png", "Ver Imagen")</f>
        <v/>
      </c>
      <c r="P1062">
        <f>HYPERLINK("SO\A-5053\A-5053__137.png", "Ver Imagen")</f>
        <v/>
      </c>
    </row>
    <row r="1063">
      <c r="A1063" t="n">
        <v>471</v>
      </c>
      <c r="B1063" t="inlineStr">
        <is>
          <t>A-5053__136</t>
        </is>
      </c>
      <c r="C1063" t="n">
        <v>37.2458987123</v>
      </c>
      <c r="D1063" t="n">
        <v>-7.12788957835</v>
      </c>
      <c r="E1063" t="n">
        <v>2</v>
      </c>
      <c r="F1063" t="n">
        <v>2</v>
      </c>
      <c r="G1063" t="n">
        <v>2</v>
      </c>
      <c r="J1063" t="inlineStr">
        <is>
          <t>Moda</t>
        </is>
      </c>
      <c r="K1063" t="n">
        <v>2</v>
      </c>
      <c r="L1063" t="n">
        <v>2.205</v>
      </c>
      <c r="M1063" t="n">
        <v>0</v>
      </c>
      <c r="N1063" t="inlineStr">
        <is>
          <t>train</t>
        </is>
      </c>
      <c r="O1063">
        <f>HYPERLINK("2\0\marker_267_966521.png", "Ver Imagen")</f>
        <v/>
      </c>
      <c r="P1063">
        <f>HYPERLINK("SO\A-5053\A-5053__136.png", "Ver Imagen")</f>
        <v/>
      </c>
    </row>
    <row r="1064">
      <c r="A1064" t="n">
        <v>472</v>
      </c>
      <c r="B1064" t="inlineStr">
        <is>
          <t>A-5053__135</t>
        </is>
      </c>
      <c r="C1064" t="n">
        <v>37.2456749232</v>
      </c>
      <c r="D1064" t="n">
        <v>-7.12792232426</v>
      </c>
      <c r="E1064" t="n">
        <v>2</v>
      </c>
      <c r="F1064" t="n">
        <v>2</v>
      </c>
      <c r="G1064" t="n">
        <v>2</v>
      </c>
      <c r="J1064" t="inlineStr">
        <is>
          <t>Moda</t>
        </is>
      </c>
      <c r="K1064" t="n">
        <v>2</v>
      </c>
      <c r="L1064" t="n">
        <v>2.368</v>
      </c>
      <c r="M1064" t="n">
        <v>0</v>
      </c>
      <c r="N1064" t="inlineStr">
        <is>
          <t>val</t>
        </is>
      </c>
      <c r="O1064">
        <f>HYPERLINK("2\0\marker_976_966528.png", "Ver Imagen")</f>
        <v/>
      </c>
      <c r="P1064">
        <f>HYPERLINK("SO\A-5053\A-5053__135.png", "Ver Imagen")</f>
        <v/>
      </c>
    </row>
    <row r="1065">
      <c r="A1065" t="n">
        <v>473</v>
      </c>
      <c r="B1065" t="inlineStr">
        <is>
          <t>A-5053__133</t>
        </is>
      </c>
      <c r="C1065" t="n">
        <v>37.2452911963</v>
      </c>
      <c r="D1065" t="n">
        <v>-7.12797907952</v>
      </c>
      <c r="E1065" t="n">
        <v>2</v>
      </c>
      <c r="F1065" t="n">
        <v>2</v>
      </c>
      <c r="G1065" t="n">
        <v>2</v>
      </c>
      <c r="J1065" t="inlineStr">
        <is>
          <t>Moda</t>
        </is>
      </c>
      <c r="K1065" t="n">
        <v>2</v>
      </c>
      <c r="L1065" t="n">
        <v>1.92</v>
      </c>
      <c r="M1065" t="n">
        <v>0</v>
      </c>
      <c r="N1065" t="inlineStr">
        <is>
          <t>train</t>
        </is>
      </c>
      <c r="O1065">
        <f>HYPERLINK("2\0\marker_504_966547.png", "Ver Imagen")</f>
        <v/>
      </c>
      <c r="P1065">
        <f>HYPERLINK("SO\A-5053\A-5053__133.png", "Ver Imagen")</f>
        <v/>
      </c>
    </row>
    <row r="1066">
      <c r="A1066" t="n">
        <v>474</v>
      </c>
      <c r="B1066" t="inlineStr">
        <is>
          <t>A-5053__132</t>
        </is>
      </c>
      <c r="C1066" t="n">
        <v>37.2450580373</v>
      </c>
      <c r="D1066" t="n">
        <v>-7.12801342587</v>
      </c>
      <c r="E1066" t="n">
        <v>2</v>
      </c>
      <c r="F1066" t="n">
        <v>2</v>
      </c>
      <c r="G1066" t="n">
        <v>2</v>
      </c>
      <c r="J1066" t="inlineStr">
        <is>
          <t>Moda</t>
        </is>
      </c>
      <c r="K1066" t="n">
        <v>2</v>
      </c>
      <c r="L1066" t="n">
        <v>2.218</v>
      </c>
      <c r="M1066" t="n">
        <v>0</v>
      </c>
      <c r="N1066" t="inlineStr">
        <is>
          <t>train</t>
        </is>
      </c>
      <c r="O1066">
        <f>HYPERLINK("2\0\marker_666_966555.png", "Ver Imagen")</f>
        <v/>
      </c>
      <c r="P1066">
        <f>HYPERLINK("SO\A-5053\A-5053__132.png", "Ver Imagen")</f>
        <v/>
      </c>
    </row>
    <row r="1067">
      <c r="A1067" t="n">
        <v>476</v>
      </c>
      <c r="B1067" t="inlineStr">
        <is>
          <t>A-5053__127</t>
        </is>
      </c>
      <c r="C1067" t="n">
        <v>37.2440768316</v>
      </c>
      <c r="D1067" t="n">
        <v>-7.1281533926</v>
      </c>
      <c r="E1067" t="n">
        <v>2</v>
      </c>
      <c r="F1067" t="n">
        <v>2</v>
      </c>
      <c r="G1067" t="n">
        <v>2</v>
      </c>
      <c r="J1067" t="inlineStr">
        <is>
          <t>Moda</t>
        </is>
      </c>
      <c r="K1067" t="n">
        <v>2</v>
      </c>
      <c r="L1067" t="n">
        <v>1.981</v>
      </c>
      <c r="M1067" t="n">
        <v>0</v>
      </c>
      <c r="N1067" t="inlineStr">
        <is>
          <t>train</t>
        </is>
      </c>
      <c r="O1067">
        <f>HYPERLINK("2\0\marker_377_019497.png", "Ver Imagen")</f>
        <v/>
      </c>
      <c r="P1067">
        <f>HYPERLINK("SO\A-5053\A-5053__127.png", "Ver Imagen")</f>
        <v/>
      </c>
    </row>
    <row r="1068">
      <c r="A1068" t="n">
        <v>477</v>
      </c>
      <c r="B1068" t="inlineStr">
        <is>
          <t>A-5053__126</t>
        </is>
      </c>
      <c r="C1068" t="n">
        <v>37.2438707772</v>
      </c>
      <c r="D1068" t="n">
        <v>-7.12818350503</v>
      </c>
      <c r="E1068" t="n">
        <v>2</v>
      </c>
      <c r="F1068" t="n">
        <v>2</v>
      </c>
      <c r="G1068" t="n">
        <v>2</v>
      </c>
      <c r="J1068" t="inlineStr">
        <is>
          <t>Moda</t>
        </is>
      </c>
      <c r="K1068" t="n">
        <v>2</v>
      </c>
      <c r="L1068" t="n">
        <v>1.913</v>
      </c>
      <c r="M1068" t="n">
        <v>0</v>
      </c>
      <c r="N1068" t="inlineStr">
        <is>
          <t>train</t>
        </is>
      </c>
      <c r="O1068">
        <f>HYPERLINK("2\0\marker_674_019532.png", "Ver Imagen")</f>
        <v/>
      </c>
      <c r="P1068">
        <f>HYPERLINK("SO\A-5053\A-5053__126.png", "Ver Imagen")</f>
        <v/>
      </c>
    </row>
    <row r="1069">
      <c r="A1069" t="n">
        <v>478</v>
      </c>
      <c r="B1069" t="inlineStr">
        <is>
          <t>A-5053__125</t>
        </is>
      </c>
      <c r="C1069" t="n">
        <v>37.2436626832</v>
      </c>
      <c r="D1069" t="n">
        <v>-7.12821489675</v>
      </c>
      <c r="E1069" t="n">
        <v>2</v>
      </c>
      <c r="F1069" t="n">
        <v>2</v>
      </c>
      <c r="G1069" t="n">
        <v>2</v>
      </c>
      <c r="J1069" t="inlineStr">
        <is>
          <t>Moda</t>
        </is>
      </c>
      <c r="K1069" t="n">
        <v>2</v>
      </c>
      <c r="L1069" t="n">
        <v>1.94</v>
      </c>
      <c r="M1069" t="n">
        <v>0</v>
      </c>
      <c r="N1069" t="inlineStr">
        <is>
          <t>train</t>
        </is>
      </c>
      <c r="O1069">
        <f>HYPERLINK("2\0\marker_304_019541.png", "Ver Imagen")</f>
        <v/>
      </c>
      <c r="P1069">
        <f>HYPERLINK("SO\A-5053\A-5053__125.png", "Ver Imagen")</f>
        <v/>
      </c>
    </row>
    <row r="1070">
      <c r="A1070" t="n">
        <v>479</v>
      </c>
      <c r="B1070" t="inlineStr">
        <is>
          <t>A-5053__119</t>
        </is>
      </c>
      <c r="C1070" t="n">
        <v>37.2424500769</v>
      </c>
      <c r="D1070" t="n">
        <v>-7.12839897439</v>
      </c>
      <c r="E1070" t="n">
        <v>2</v>
      </c>
      <c r="F1070" t="n">
        <v>2</v>
      </c>
      <c r="G1070" t="n">
        <v>2</v>
      </c>
      <c r="J1070" t="inlineStr">
        <is>
          <t>Moda</t>
        </is>
      </c>
      <c r="K1070" t="n">
        <v>2</v>
      </c>
      <c r="L1070" t="n">
        <v>2.059</v>
      </c>
      <c r="M1070" t="n">
        <v>0</v>
      </c>
      <c r="N1070" t="inlineStr">
        <is>
          <t>train</t>
        </is>
      </c>
      <c r="O1070">
        <f>HYPERLINK("2\0\marker_523_019612.png", "Ver Imagen")</f>
        <v/>
      </c>
      <c r="P1070">
        <f>HYPERLINK("SO\A-5053\A-5053__119.png", "Ver Imagen")</f>
        <v/>
      </c>
    </row>
    <row r="1071">
      <c r="A1071" t="n">
        <v>480</v>
      </c>
      <c r="B1071" t="inlineStr">
        <is>
          <t>A-5053__116</t>
        </is>
      </c>
      <c r="C1071" t="n">
        <v>37.2418773805</v>
      </c>
      <c r="D1071" t="n">
        <v>-7.12848734361</v>
      </c>
      <c r="E1071" t="n">
        <v>2</v>
      </c>
      <c r="F1071" t="n">
        <v>2</v>
      </c>
      <c r="G1071" t="n">
        <v>2</v>
      </c>
      <c r="J1071" t="inlineStr">
        <is>
          <t>Moda</t>
        </is>
      </c>
      <c r="K1071" t="n">
        <v>2</v>
      </c>
      <c r="L1071" t="n">
        <v>1.928</v>
      </c>
      <c r="M1071" t="n">
        <v>0</v>
      </c>
      <c r="N1071" t="inlineStr">
        <is>
          <t>val</t>
        </is>
      </c>
      <c r="O1071">
        <f>HYPERLINK("2\0\marker_984_019641.png", "Ver Imagen")</f>
        <v/>
      </c>
      <c r="P1071">
        <f>HYPERLINK("SO\A-5053\A-5053__116.png", "Ver Imagen")</f>
        <v/>
      </c>
    </row>
    <row r="1072">
      <c r="A1072" t="n">
        <v>481</v>
      </c>
      <c r="B1072" t="inlineStr">
        <is>
          <t>A-5053__115</t>
        </is>
      </c>
      <c r="C1072" t="n">
        <v>37.2416686037</v>
      </c>
      <c r="D1072" t="n">
        <v>-7.12851787006</v>
      </c>
      <c r="E1072" t="n">
        <v>2</v>
      </c>
      <c r="F1072" t="n">
        <v>2</v>
      </c>
      <c r="G1072" t="n">
        <v>2</v>
      </c>
      <c r="J1072" t="inlineStr">
        <is>
          <t>Moda</t>
        </is>
      </c>
      <c r="K1072" t="n">
        <v>2</v>
      </c>
      <c r="L1072" t="n">
        <v>2.099</v>
      </c>
      <c r="M1072" t="n">
        <v>0</v>
      </c>
      <c r="N1072" t="inlineStr">
        <is>
          <t>train</t>
        </is>
      </c>
      <c r="O1072">
        <f>HYPERLINK("2\0\marker_889_019653.png", "Ver Imagen")</f>
        <v/>
      </c>
      <c r="P1072">
        <f>HYPERLINK("SO\A-5053\A-5053__115.png", "Ver Imagen")</f>
        <v/>
      </c>
    </row>
    <row r="1073">
      <c r="A1073" t="n">
        <v>482</v>
      </c>
      <c r="B1073" t="inlineStr">
        <is>
          <t>A-5053__114</t>
        </is>
      </c>
      <c r="C1073" t="n">
        <v>37.2414802511</v>
      </c>
      <c r="D1073" t="n">
        <v>-7.12854337793</v>
      </c>
      <c r="E1073" t="n">
        <v>2</v>
      </c>
      <c r="F1073" t="n">
        <v>2</v>
      </c>
      <c r="G1073" t="n">
        <v>2</v>
      </c>
      <c r="J1073" t="inlineStr">
        <is>
          <t>Moda</t>
        </is>
      </c>
      <c r="K1073" t="n">
        <v>2</v>
      </c>
      <c r="L1073" t="n">
        <v>2.079</v>
      </c>
      <c r="M1073" t="n">
        <v>0</v>
      </c>
      <c r="N1073" t="inlineStr">
        <is>
          <t>train</t>
        </is>
      </c>
      <c r="O1073">
        <f>HYPERLINK("2\0\marker_513_019665.png", "Ver Imagen")</f>
        <v/>
      </c>
      <c r="P1073">
        <f>HYPERLINK("SO\A-5053\A-5053__114.png", "Ver Imagen")</f>
        <v/>
      </c>
    </row>
    <row r="1074">
      <c r="A1074" t="n">
        <v>483</v>
      </c>
      <c r="B1074" t="inlineStr">
        <is>
          <t>A-5053__107</t>
        </is>
      </c>
      <c r="C1074" t="n">
        <v>37.2400313195</v>
      </c>
      <c r="D1074" t="n">
        <v>-7.12856896959</v>
      </c>
      <c r="E1074" t="n">
        <v>2</v>
      </c>
      <c r="F1074" t="n">
        <v>2</v>
      </c>
      <c r="G1074" t="n">
        <v>2</v>
      </c>
      <c r="J1074" t="inlineStr">
        <is>
          <t>Moda</t>
        </is>
      </c>
      <c r="K1074" t="n">
        <v>2</v>
      </c>
      <c r="L1074" t="n">
        <v>1.884</v>
      </c>
      <c r="M1074" t="n">
        <v>0</v>
      </c>
      <c r="N1074" t="inlineStr">
        <is>
          <t>train</t>
        </is>
      </c>
      <c r="O1074">
        <f>HYPERLINK("2\0\marker_349_019734.png", "Ver Imagen")</f>
        <v/>
      </c>
      <c r="P1074">
        <f>HYPERLINK("SO\A-5053\A-5053__107.png", "Ver Imagen")</f>
        <v/>
      </c>
    </row>
    <row r="1075">
      <c r="A1075" t="n">
        <v>484</v>
      </c>
      <c r="B1075" t="inlineStr">
        <is>
          <t>A-5053__106</t>
        </is>
      </c>
      <c r="C1075" t="n">
        <v>37.239849725</v>
      </c>
      <c r="D1075" t="n">
        <v>-7.12855428261</v>
      </c>
      <c r="E1075" t="n">
        <v>2</v>
      </c>
      <c r="F1075" t="n">
        <v>2</v>
      </c>
      <c r="G1075" t="n">
        <v>2</v>
      </c>
      <c r="J1075" t="inlineStr">
        <is>
          <t>Moda</t>
        </is>
      </c>
      <c r="K1075" t="n">
        <v>2</v>
      </c>
      <c r="L1075" t="n">
        <v>2.043</v>
      </c>
      <c r="M1075" t="n">
        <v>0</v>
      </c>
      <c r="N1075" t="inlineStr">
        <is>
          <t>train</t>
        </is>
      </c>
      <c r="O1075">
        <f>HYPERLINK("2\0\marker_389_019758.png", "Ver Imagen")</f>
        <v/>
      </c>
      <c r="P1075">
        <f>HYPERLINK("SO\A-5053\A-5053__106.png", "Ver Imagen")</f>
        <v/>
      </c>
    </row>
    <row r="1076">
      <c r="A1076" t="n">
        <v>485</v>
      </c>
      <c r="B1076" t="inlineStr">
        <is>
          <t>A-5053__104</t>
        </is>
      </c>
      <c r="C1076" t="n">
        <v>37.2394444708</v>
      </c>
      <c r="D1076" t="n">
        <v>-7.12851982229</v>
      </c>
      <c r="E1076" t="n">
        <v>2</v>
      </c>
      <c r="F1076" t="n">
        <v>2</v>
      </c>
      <c r="G1076" t="n">
        <v>2</v>
      </c>
      <c r="J1076" t="inlineStr">
        <is>
          <t>Moda</t>
        </is>
      </c>
      <c r="K1076" t="n">
        <v>2</v>
      </c>
      <c r="L1076" t="n">
        <v>2.009</v>
      </c>
      <c r="M1076" t="n">
        <v>0</v>
      </c>
      <c r="N1076" t="inlineStr">
        <is>
          <t>train</t>
        </is>
      </c>
      <c r="O1076">
        <f>HYPERLINK("2\0\marker_790_019777.png", "Ver Imagen")</f>
        <v/>
      </c>
      <c r="P1076">
        <f>HYPERLINK("SO\A-5053\A-5053__104.png", "Ver Imagen")</f>
        <v/>
      </c>
    </row>
    <row r="1077">
      <c r="A1077" t="n">
        <v>486</v>
      </c>
      <c r="B1077" t="inlineStr">
        <is>
          <t>A-5053__103</t>
        </is>
      </c>
      <c r="C1077" t="n">
        <v>37.2392706066</v>
      </c>
      <c r="D1077" t="n">
        <v>-7.12850333216</v>
      </c>
      <c r="E1077" t="n">
        <v>2</v>
      </c>
      <c r="F1077" t="n">
        <v>2</v>
      </c>
      <c r="G1077" t="n">
        <v>2</v>
      </c>
      <c r="J1077" t="inlineStr">
        <is>
          <t>Moda</t>
        </is>
      </c>
      <c r="K1077" t="n">
        <v>2</v>
      </c>
      <c r="L1077" t="n">
        <v>2.025</v>
      </c>
      <c r="M1077" t="n">
        <v>0</v>
      </c>
      <c r="N1077" t="inlineStr">
        <is>
          <t>train</t>
        </is>
      </c>
      <c r="O1077">
        <f>HYPERLINK("2\0\marker_841_019786.png", "Ver Imagen")</f>
        <v/>
      </c>
      <c r="P1077">
        <f>HYPERLINK("SO\A-5053\A-5053__103.png", "Ver Imagen")</f>
        <v/>
      </c>
    </row>
    <row r="1078">
      <c r="A1078" t="n">
        <v>487</v>
      </c>
      <c r="B1078" t="inlineStr">
        <is>
          <t>A-5053__102</t>
        </is>
      </c>
      <c r="C1078" t="n">
        <v>37.239037026</v>
      </c>
      <c r="D1078" t="n">
        <v>-7.12847911291</v>
      </c>
      <c r="E1078" t="n">
        <v>2</v>
      </c>
      <c r="F1078" t="n">
        <v>2</v>
      </c>
      <c r="G1078" t="n">
        <v>2</v>
      </c>
      <c r="J1078" t="inlineStr">
        <is>
          <t>Moda</t>
        </is>
      </c>
      <c r="K1078" t="n">
        <v>2</v>
      </c>
      <c r="L1078" t="n">
        <v>2.075</v>
      </c>
      <c r="M1078" t="n">
        <v>0</v>
      </c>
      <c r="N1078" t="inlineStr">
        <is>
          <t>train</t>
        </is>
      </c>
      <c r="O1078">
        <f>HYPERLINK("2\0\marker_740_019794.png", "Ver Imagen")</f>
        <v/>
      </c>
      <c r="P1078">
        <f>HYPERLINK("SO\A-5053\A-5053__102.png", "Ver Imagen")</f>
        <v/>
      </c>
    </row>
    <row r="1079">
      <c r="A1079" t="n">
        <v>488</v>
      </c>
      <c r="B1079" t="inlineStr">
        <is>
          <t>A-5053__101</t>
        </is>
      </c>
      <c r="C1079" t="n">
        <v>37.2388544517</v>
      </c>
      <c r="D1079" t="n">
        <v>-7.12845971616</v>
      </c>
      <c r="E1079" t="n">
        <v>2</v>
      </c>
      <c r="F1079" t="n">
        <v>2</v>
      </c>
      <c r="G1079" t="n">
        <v>2</v>
      </c>
      <c r="J1079" t="inlineStr">
        <is>
          <t>Moda</t>
        </is>
      </c>
      <c r="K1079" t="n">
        <v>2</v>
      </c>
      <c r="L1079" t="n">
        <v>2.099</v>
      </c>
      <c r="M1079" t="n">
        <v>0</v>
      </c>
      <c r="N1079" t="inlineStr">
        <is>
          <t>train</t>
        </is>
      </c>
      <c r="O1079">
        <f>HYPERLINK("2\0\marker_311_019803.png", "Ver Imagen")</f>
        <v/>
      </c>
      <c r="P1079">
        <f>HYPERLINK("SO\A-5053\A-5053__101.png", "Ver Imagen")</f>
        <v/>
      </c>
    </row>
    <row r="1080">
      <c r="A1080" t="n">
        <v>489</v>
      </c>
      <c r="B1080" t="inlineStr">
        <is>
          <t>A-5053__92</t>
        </is>
      </c>
      <c r="C1080" t="n">
        <v>37.2370056734</v>
      </c>
      <c r="D1080" t="n">
        <v>-7.1282790658</v>
      </c>
      <c r="E1080" t="n">
        <v>2</v>
      </c>
      <c r="F1080" t="n">
        <v>2</v>
      </c>
      <c r="G1080" t="n">
        <v>2</v>
      </c>
      <c r="J1080" t="inlineStr">
        <is>
          <t>Moda</t>
        </is>
      </c>
      <c r="K1080" t="n">
        <v>2</v>
      </c>
      <c r="L1080" t="n">
        <v>2.163</v>
      </c>
      <c r="M1080" t="n">
        <v>0</v>
      </c>
      <c r="N1080" t="inlineStr">
        <is>
          <t>train</t>
        </is>
      </c>
      <c r="O1080">
        <f>HYPERLINK("2\0\marker_712_019888.png", "Ver Imagen")</f>
        <v/>
      </c>
      <c r="P1080">
        <f>HYPERLINK("SO\A-5053\A-5053__92.png", "Ver Imagen")</f>
        <v/>
      </c>
    </row>
    <row r="1081">
      <c r="A1081" t="n">
        <v>490</v>
      </c>
      <c r="B1081" t="inlineStr">
        <is>
          <t>A-5053__91</t>
        </is>
      </c>
      <c r="C1081" t="n">
        <v>37.236817738</v>
      </c>
      <c r="D1081" t="n">
        <v>-7.12826193059</v>
      </c>
      <c r="E1081" t="n">
        <v>2</v>
      </c>
      <c r="F1081" t="n">
        <v>2</v>
      </c>
      <c r="G1081" t="n">
        <v>2</v>
      </c>
      <c r="J1081" t="inlineStr">
        <is>
          <t>Moda</t>
        </is>
      </c>
      <c r="K1081" t="n">
        <v>2</v>
      </c>
      <c r="L1081" t="n">
        <v>2.068</v>
      </c>
      <c r="M1081" t="n">
        <v>0</v>
      </c>
      <c r="N1081" t="inlineStr">
        <is>
          <t>train</t>
        </is>
      </c>
      <c r="O1081">
        <f>HYPERLINK("2\0\marker_419_019902.png", "Ver Imagen")</f>
        <v/>
      </c>
      <c r="P1081">
        <f>HYPERLINK("SO\A-5053\A-5053__91.png", "Ver Imagen")</f>
        <v/>
      </c>
    </row>
    <row r="1082">
      <c r="A1082" t="n">
        <v>491</v>
      </c>
      <c r="B1082" t="inlineStr">
        <is>
          <t>A-5053__87</t>
        </is>
      </c>
      <c r="C1082" t="n">
        <v>37.2360035579</v>
      </c>
      <c r="D1082" t="n">
        <v>-7.12818524117</v>
      </c>
      <c r="E1082" t="n">
        <v>2</v>
      </c>
      <c r="F1082" t="n">
        <v>2</v>
      </c>
      <c r="G1082" t="n">
        <v>2</v>
      </c>
      <c r="J1082" t="inlineStr">
        <is>
          <t>Moda</t>
        </is>
      </c>
      <c r="K1082" t="n">
        <v>2</v>
      </c>
      <c r="L1082" t="n">
        <v>2.403</v>
      </c>
      <c r="M1082" t="n">
        <v>0</v>
      </c>
      <c r="N1082" t="inlineStr">
        <is>
          <t>val</t>
        </is>
      </c>
      <c r="O1082">
        <f>HYPERLINK("2\0\marker_153_019943.png", "Ver Imagen")</f>
        <v/>
      </c>
      <c r="P1082">
        <f>HYPERLINK("SO\A-5053\A-5053__87.png", "Ver Imagen")</f>
        <v/>
      </c>
    </row>
    <row r="1083">
      <c r="A1083" t="n">
        <v>492</v>
      </c>
      <c r="B1083" t="inlineStr">
        <is>
          <t>A-5053__86</t>
        </is>
      </c>
      <c r="C1083" t="n">
        <v>37.2358004273</v>
      </c>
      <c r="D1083" t="n">
        <v>-7.12816137231</v>
      </c>
      <c r="E1083" t="n">
        <v>2</v>
      </c>
      <c r="F1083" t="n">
        <v>2</v>
      </c>
      <c r="G1083" t="n">
        <v>2</v>
      </c>
      <c r="J1083" t="inlineStr">
        <is>
          <t>Moda</t>
        </is>
      </c>
      <c r="K1083" t="n">
        <v>2</v>
      </c>
      <c r="L1083" t="n">
        <v>2.293</v>
      </c>
      <c r="M1083" t="n">
        <v>0</v>
      </c>
      <c r="N1083" t="inlineStr">
        <is>
          <t>train</t>
        </is>
      </c>
      <c r="O1083">
        <f>HYPERLINK("2\0\marker_117_019954.png", "Ver Imagen")</f>
        <v/>
      </c>
      <c r="P1083">
        <f>HYPERLINK("SO\A-5053\A-5053__86.png", "Ver Imagen")</f>
        <v/>
      </c>
    </row>
    <row r="1084">
      <c r="A1084" t="n">
        <v>493</v>
      </c>
      <c r="B1084" t="inlineStr">
        <is>
          <t>A-5053__85</t>
        </is>
      </c>
      <c r="C1084" t="n">
        <v>37.2356274405</v>
      </c>
      <c r="D1084" t="n">
        <v>-7.12813649885</v>
      </c>
      <c r="E1084" t="n">
        <v>2</v>
      </c>
      <c r="F1084" t="n">
        <v>2</v>
      </c>
      <c r="G1084" t="n">
        <v>2</v>
      </c>
      <c r="J1084" t="inlineStr">
        <is>
          <t>Moda</t>
        </is>
      </c>
      <c r="K1084" t="n">
        <v>2</v>
      </c>
      <c r="L1084" t="n">
        <v>1.887</v>
      </c>
      <c r="M1084" t="n">
        <v>0</v>
      </c>
      <c r="N1084" t="inlineStr">
        <is>
          <t>train</t>
        </is>
      </c>
      <c r="O1084">
        <f>HYPERLINK("2\0\marker_665_019965.png", "Ver Imagen")</f>
        <v/>
      </c>
      <c r="P1084">
        <f>HYPERLINK("SO\A-5053\A-5053__85.png", "Ver Imagen")</f>
        <v/>
      </c>
    </row>
    <row r="1085">
      <c r="A1085" t="n">
        <v>494</v>
      </c>
      <c r="B1085" t="inlineStr">
        <is>
          <t>A-5053__83</t>
        </is>
      </c>
      <c r="C1085" t="n">
        <v>37.2352189137</v>
      </c>
      <c r="D1085" t="n">
        <v>-7.1280424194</v>
      </c>
      <c r="E1085" t="n">
        <v>2</v>
      </c>
      <c r="F1085" t="n">
        <v>2</v>
      </c>
      <c r="G1085" t="n">
        <v>2</v>
      </c>
      <c r="J1085" t="inlineStr">
        <is>
          <t>Moda</t>
        </is>
      </c>
      <c r="K1085" t="n">
        <v>2</v>
      </c>
      <c r="L1085" t="n">
        <v>2.111</v>
      </c>
      <c r="M1085" t="n">
        <v>0</v>
      </c>
      <c r="N1085" t="inlineStr">
        <is>
          <t>train</t>
        </is>
      </c>
      <c r="O1085">
        <f>HYPERLINK("2\0\marker_122_019983.png", "Ver Imagen")</f>
        <v/>
      </c>
      <c r="P1085">
        <f>HYPERLINK("SO\A-5053\A-5053__83.png", "Ver Imagen")</f>
        <v/>
      </c>
    </row>
    <row r="1086">
      <c r="A1086" t="n">
        <v>495</v>
      </c>
      <c r="B1086" t="inlineStr">
        <is>
          <t>A-5053__82</t>
        </is>
      </c>
      <c r="C1086" t="n">
        <v>37.2350069682</v>
      </c>
      <c r="D1086" t="n">
        <v>-7.12796663062</v>
      </c>
      <c r="E1086" t="n">
        <v>2</v>
      </c>
      <c r="F1086" t="n">
        <v>2</v>
      </c>
      <c r="G1086" t="n">
        <v>2</v>
      </c>
      <c r="J1086" t="inlineStr">
        <is>
          <t>Moda</t>
        </is>
      </c>
      <c r="K1086" t="n">
        <v>2</v>
      </c>
      <c r="L1086" t="n">
        <v>1.92</v>
      </c>
      <c r="M1086" t="n">
        <v>0</v>
      </c>
      <c r="N1086" t="inlineStr">
        <is>
          <t>train</t>
        </is>
      </c>
      <c r="O1086">
        <f>HYPERLINK("2\0\marker_123_019992.png", "Ver Imagen")</f>
        <v/>
      </c>
      <c r="P1086">
        <f>HYPERLINK("SO\A-5053\A-5053__82.png", "Ver Imagen")</f>
        <v/>
      </c>
    </row>
    <row r="1087">
      <c r="A1087" t="n">
        <v>496</v>
      </c>
      <c r="B1087" t="inlineStr">
        <is>
          <t>A-5053__79</t>
        </is>
      </c>
      <c r="C1087" t="n">
        <v>37.23443027</v>
      </c>
      <c r="D1087" t="n">
        <v>-7.12770813553</v>
      </c>
      <c r="E1087" t="n">
        <v>2</v>
      </c>
      <c r="F1087" t="n">
        <v>2</v>
      </c>
      <c r="G1087" t="n">
        <v>2</v>
      </c>
      <c r="J1087" t="inlineStr">
        <is>
          <t>Moda</t>
        </is>
      </c>
      <c r="K1087" t="n">
        <v>2</v>
      </c>
      <c r="L1087" t="n">
        <v>2.337</v>
      </c>
      <c r="M1087" t="n">
        <v>0</v>
      </c>
      <c r="N1087" t="inlineStr">
        <is>
          <t>test</t>
        </is>
      </c>
      <c r="O1087">
        <f>HYPERLINK("2\0\marker_969_020020.png", "Ver Imagen")</f>
        <v/>
      </c>
      <c r="P1087">
        <f>HYPERLINK("SO\A-5053\A-5053__79.png", "Ver Imagen")</f>
        <v/>
      </c>
    </row>
    <row r="1088">
      <c r="A1088" t="n">
        <v>497</v>
      </c>
      <c r="B1088" t="inlineStr">
        <is>
          <t>A-5053__78</t>
        </is>
      </c>
      <c r="C1088" t="n">
        <v>37.2342616602</v>
      </c>
      <c r="D1088" t="n">
        <v>-7.12762922738</v>
      </c>
      <c r="E1088" t="n">
        <v>2</v>
      </c>
      <c r="F1088" t="n">
        <v>2</v>
      </c>
      <c r="G1088" t="n">
        <v>2</v>
      </c>
      <c r="J1088" t="inlineStr">
        <is>
          <t>Moda</t>
        </is>
      </c>
      <c r="K1088" t="n">
        <v>2</v>
      </c>
      <c r="L1088" t="n">
        <v>2.403</v>
      </c>
      <c r="M1088" t="n">
        <v>0</v>
      </c>
      <c r="N1088" t="inlineStr">
        <is>
          <t>val</t>
        </is>
      </c>
      <c r="O1088">
        <f>HYPERLINK("2\0\marker_922_020029.png", "Ver Imagen")</f>
        <v/>
      </c>
      <c r="P1088">
        <f>HYPERLINK("SO\A-5053\A-5053__78.png", "Ver Imagen")</f>
        <v/>
      </c>
    </row>
    <row r="1089">
      <c r="A1089" t="n">
        <v>498</v>
      </c>
      <c r="B1089" t="inlineStr">
        <is>
          <t>A-5053__77</t>
        </is>
      </c>
      <c r="C1089" t="n">
        <v>37.2340598454</v>
      </c>
      <c r="D1089" t="n">
        <v>-7.12753814612</v>
      </c>
      <c r="E1089" t="n">
        <v>2</v>
      </c>
      <c r="F1089" t="n">
        <v>2</v>
      </c>
      <c r="G1089" t="n">
        <v>2</v>
      </c>
      <c r="J1089" t="inlineStr">
        <is>
          <t>Moda</t>
        </is>
      </c>
      <c r="K1089" t="n">
        <v>2</v>
      </c>
      <c r="L1089" t="n">
        <v>1.841</v>
      </c>
      <c r="M1089" t="n">
        <v>0</v>
      </c>
      <c r="N1089" t="inlineStr">
        <is>
          <t>train</t>
        </is>
      </c>
      <c r="O1089">
        <f>HYPERLINK("2\0\marker_329_020040.png", "Ver Imagen")</f>
        <v/>
      </c>
      <c r="P1089">
        <f>HYPERLINK("SO\A-5053\A-5053__77.png", "Ver Imagen")</f>
        <v/>
      </c>
    </row>
    <row r="1090">
      <c r="A1090" t="n">
        <v>499</v>
      </c>
      <c r="B1090" t="inlineStr">
        <is>
          <t>A-5053__76</t>
        </is>
      </c>
      <c r="C1090" t="n">
        <v>37.2338494468</v>
      </c>
      <c r="D1090" t="n">
        <v>-7.12745244614</v>
      </c>
      <c r="E1090" t="n">
        <v>2</v>
      </c>
      <c r="F1090" t="n">
        <v>2</v>
      </c>
      <c r="G1090" t="n">
        <v>2</v>
      </c>
      <c r="J1090" t="inlineStr">
        <is>
          <t>Moda</t>
        </is>
      </c>
      <c r="K1090" t="n">
        <v>2</v>
      </c>
      <c r="L1090" t="n">
        <v>2.3</v>
      </c>
      <c r="M1090" t="n">
        <v>0</v>
      </c>
      <c r="N1090" t="inlineStr">
        <is>
          <t>train</t>
        </is>
      </c>
      <c r="O1090">
        <f>HYPERLINK("2\0\marker_419_020246.png", "Ver Imagen")</f>
        <v/>
      </c>
      <c r="P1090">
        <f>HYPERLINK("SO\A-5053\A-5053__76.png", "Ver Imagen")</f>
        <v/>
      </c>
    </row>
    <row r="1091">
      <c r="A1091" t="n">
        <v>500</v>
      </c>
      <c r="B1091" t="inlineStr">
        <is>
          <t>A-5053__75</t>
        </is>
      </c>
      <c r="C1091" t="n">
        <v>37.2337044386</v>
      </c>
      <c r="D1091" t="n">
        <v>-7.12740180636</v>
      </c>
      <c r="E1091" t="n">
        <v>2</v>
      </c>
      <c r="F1091" t="n">
        <v>2</v>
      </c>
      <c r="G1091" t="n">
        <v>2</v>
      </c>
      <c r="J1091" t="inlineStr">
        <is>
          <t>Moda</t>
        </is>
      </c>
      <c r="K1091" t="n">
        <v>2</v>
      </c>
      <c r="L1091" t="n">
        <v>2.055</v>
      </c>
      <c r="M1091" t="n">
        <v>0</v>
      </c>
      <c r="N1091" t="inlineStr">
        <is>
          <t>train</t>
        </is>
      </c>
      <c r="O1091">
        <f>HYPERLINK("2\0\marker_273_020256.png", "Ver Imagen")</f>
        <v/>
      </c>
      <c r="P1091">
        <f>HYPERLINK("SO\A-5053\A-5053__75.png", "Ver Imagen")</f>
        <v/>
      </c>
    </row>
    <row r="1092">
      <c r="A1092" t="n">
        <v>501</v>
      </c>
      <c r="B1092" t="inlineStr">
        <is>
          <t>A-5053__74</t>
        </is>
      </c>
      <c r="C1092" t="n">
        <v>37.2334856634</v>
      </c>
      <c r="D1092" t="n">
        <v>-7.12733834307</v>
      </c>
      <c r="E1092" t="n">
        <v>2</v>
      </c>
      <c r="F1092" t="n">
        <v>2</v>
      </c>
      <c r="G1092" t="n">
        <v>2</v>
      </c>
      <c r="J1092" t="inlineStr">
        <is>
          <t>Moda</t>
        </is>
      </c>
      <c r="K1092" t="n">
        <v>2</v>
      </c>
      <c r="L1092" t="n">
        <v>1.666</v>
      </c>
      <c r="M1092" t="n">
        <v>0</v>
      </c>
      <c r="N1092" t="inlineStr">
        <is>
          <t>train</t>
        </is>
      </c>
      <c r="O1092">
        <f>HYPERLINK("2\0\marker_470_020265.png", "Ver Imagen")</f>
        <v/>
      </c>
      <c r="P1092">
        <f>HYPERLINK("SO\A-5053\A-5053__74.png", "Ver Imagen")</f>
        <v/>
      </c>
    </row>
    <row r="1093">
      <c r="A1093" t="n">
        <v>502</v>
      </c>
      <c r="B1093" t="inlineStr">
        <is>
          <t>A-5053__73</t>
        </is>
      </c>
      <c r="C1093" t="n">
        <v>37.2332892417</v>
      </c>
      <c r="D1093" t="n">
        <v>-7.12729269379</v>
      </c>
      <c r="E1093" t="n">
        <v>2</v>
      </c>
      <c r="F1093" t="n">
        <v>2</v>
      </c>
      <c r="G1093" t="n">
        <v>2</v>
      </c>
      <c r="J1093" t="inlineStr">
        <is>
          <t>Moda</t>
        </is>
      </c>
      <c r="K1093" t="n">
        <v>2</v>
      </c>
      <c r="L1093" t="n">
        <v>2.239</v>
      </c>
      <c r="M1093" t="n">
        <v>0</v>
      </c>
      <c r="N1093" t="inlineStr">
        <is>
          <t>train</t>
        </is>
      </c>
      <c r="O1093">
        <f>HYPERLINK("2\0\marker_881_020275.png", "Ver Imagen")</f>
        <v/>
      </c>
      <c r="P1093">
        <f>HYPERLINK("SO\A-5053\A-5053__73.png", "Ver Imagen")</f>
        <v/>
      </c>
    </row>
    <row r="1094">
      <c r="A1094" t="n">
        <v>503</v>
      </c>
      <c r="B1094" t="inlineStr">
        <is>
          <t>A-5053__72</t>
        </is>
      </c>
      <c r="C1094" t="n">
        <v>37.2331158318</v>
      </c>
      <c r="D1094" t="n">
        <v>-7.12726023358</v>
      </c>
      <c r="E1094" t="n">
        <v>2</v>
      </c>
      <c r="F1094" t="n">
        <v>2</v>
      </c>
      <c r="G1094" t="n">
        <v>2</v>
      </c>
      <c r="J1094" t="inlineStr">
        <is>
          <t>Moda</t>
        </is>
      </c>
      <c r="K1094" t="n">
        <v>2</v>
      </c>
      <c r="L1094" t="n">
        <v>1.924</v>
      </c>
      <c r="M1094" t="n">
        <v>0</v>
      </c>
      <c r="N1094" t="inlineStr">
        <is>
          <t>train</t>
        </is>
      </c>
      <c r="O1094">
        <f>HYPERLINK("2\0\marker_733_020283.png", "Ver Imagen")</f>
        <v/>
      </c>
      <c r="P1094">
        <f>HYPERLINK("SO\A-5053\A-5053__72.png", "Ver Imagen")</f>
        <v/>
      </c>
    </row>
    <row r="1095">
      <c r="A1095" t="n">
        <v>504</v>
      </c>
      <c r="B1095" t="inlineStr">
        <is>
          <t>A-5053__70</t>
        </is>
      </c>
      <c r="C1095" t="n">
        <v>37.2326797121</v>
      </c>
      <c r="D1095" t="n">
        <v>-7.12720156018</v>
      </c>
      <c r="E1095" t="n">
        <v>2</v>
      </c>
      <c r="F1095" t="n">
        <v>2</v>
      </c>
      <c r="G1095" t="n">
        <v>2</v>
      </c>
      <c r="J1095" t="inlineStr">
        <is>
          <t>Moda</t>
        </is>
      </c>
      <c r="K1095" t="n">
        <v>2</v>
      </c>
      <c r="L1095" t="n">
        <v>1.694</v>
      </c>
      <c r="M1095" t="n">
        <v>0</v>
      </c>
      <c r="N1095" t="inlineStr">
        <is>
          <t>train</t>
        </is>
      </c>
      <c r="O1095">
        <f>HYPERLINK("2\0\marker_480_020304.png", "Ver Imagen")</f>
        <v/>
      </c>
      <c r="P1095">
        <f>HYPERLINK("SO\A-5053\A-5053__70.png", "Ver Imagen")</f>
        <v/>
      </c>
    </row>
    <row r="1096">
      <c r="A1096" t="n">
        <v>505</v>
      </c>
      <c r="B1096" t="inlineStr">
        <is>
          <t>A-5053__69</t>
        </is>
      </c>
      <c r="C1096" t="n">
        <v>37.2324985633</v>
      </c>
      <c r="D1096" t="n">
        <v>-7.12718260581</v>
      </c>
      <c r="E1096" t="n">
        <v>2</v>
      </c>
      <c r="F1096" t="n">
        <v>2</v>
      </c>
      <c r="G1096" t="n">
        <v>2</v>
      </c>
      <c r="J1096" t="inlineStr">
        <is>
          <t>Moda</t>
        </is>
      </c>
      <c r="K1096" t="n">
        <v>2</v>
      </c>
      <c r="L1096" t="n">
        <v>1.941</v>
      </c>
      <c r="M1096" t="n">
        <v>0</v>
      </c>
      <c r="N1096" t="inlineStr">
        <is>
          <t>train</t>
        </is>
      </c>
      <c r="O1096">
        <f>HYPERLINK("2\0\marker_288_020717.png", "Ver Imagen")</f>
        <v/>
      </c>
      <c r="P1096">
        <f>HYPERLINK("SO\A-5053\A-5053__69.png", "Ver Imagen")</f>
        <v/>
      </c>
    </row>
    <row r="1097">
      <c r="A1097" t="n">
        <v>506</v>
      </c>
      <c r="B1097" t="inlineStr">
        <is>
          <t>A-5053__68</t>
        </is>
      </c>
      <c r="C1097" t="n">
        <v>37.2322901955</v>
      </c>
      <c r="D1097" t="n">
        <v>-7.12716383246</v>
      </c>
      <c r="E1097" t="n">
        <v>2</v>
      </c>
      <c r="F1097" t="n">
        <v>2</v>
      </c>
      <c r="G1097" t="n">
        <v>2</v>
      </c>
      <c r="J1097" t="inlineStr">
        <is>
          <t>Moda</t>
        </is>
      </c>
      <c r="K1097" t="n">
        <v>2</v>
      </c>
      <c r="L1097" t="n">
        <v>1.986</v>
      </c>
      <c r="M1097" t="n">
        <v>0</v>
      </c>
      <c r="N1097" t="inlineStr">
        <is>
          <t>test</t>
        </is>
      </c>
      <c r="O1097">
        <f>HYPERLINK("2\0\marker_929_020726.png", "Ver Imagen")</f>
        <v/>
      </c>
      <c r="P1097">
        <f>HYPERLINK("SO\A-5053\A-5053__68.png", "Ver Imagen")</f>
        <v/>
      </c>
    </row>
    <row r="1098">
      <c r="A1098" t="n">
        <v>507</v>
      </c>
      <c r="B1098" t="inlineStr">
        <is>
          <t>A-5053__67</t>
        </is>
      </c>
      <c r="C1098" t="n">
        <v>37.2320471985</v>
      </c>
      <c r="D1098" t="n">
        <v>-7.12714333265</v>
      </c>
      <c r="E1098" t="n">
        <v>2</v>
      </c>
      <c r="F1098" t="n">
        <v>2</v>
      </c>
      <c r="G1098" t="n">
        <v>2</v>
      </c>
      <c r="J1098" t="inlineStr">
        <is>
          <t>Moda</t>
        </is>
      </c>
      <c r="K1098" t="n">
        <v>2</v>
      </c>
      <c r="L1098" t="n">
        <v>2.271</v>
      </c>
      <c r="M1098" t="n">
        <v>0</v>
      </c>
      <c r="N1098" t="inlineStr">
        <is>
          <t>train</t>
        </is>
      </c>
      <c r="O1098">
        <f>HYPERLINK("2\0\marker_350_020735.png", "Ver Imagen")</f>
        <v/>
      </c>
      <c r="P1098">
        <f>HYPERLINK("SO\A-5053\A-5053__67.png", "Ver Imagen")</f>
        <v/>
      </c>
    </row>
    <row r="1099">
      <c r="A1099" t="n">
        <v>508</v>
      </c>
      <c r="B1099" t="inlineStr">
        <is>
          <t>A-5053__66</t>
        </is>
      </c>
      <c r="C1099" t="n">
        <v>37.2318654786</v>
      </c>
      <c r="D1099" t="n">
        <v>-7.1271281702</v>
      </c>
      <c r="E1099" t="n">
        <v>2</v>
      </c>
      <c r="F1099" t="n">
        <v>2</v>
      </c>
      <c r="G1099" t="n">
        <v>2</v>
      </c>
      <c r="J1099" t="inlineStr">
        <is>
          <t>Moda</t>
        </is>
      </c>
      <c r="K1099" t="n">
        <v>2</v>
      </c>
      <c r="L1099" t="n">
        <v>2.381</v>
      </c>
      <c r="M1099" t="n">
        <v>0</v>
      </c>
      <c r="N1099" t="inlineStr">
        <is>
          <t>val</t>
        </is>
      </c>
      <c r="O1099">
        <f>HYPERLINK("2\0\marker_443_020745.png", "Ver Imagen")</f>
        <v/>
      </c>
      <c r="P1099">
        <f>HYPERLINK("SO\A-5053\A-5053__66.png", "Ver Imagen")</f>
        <v/>
      </c>
    </row>
    <row r="1100">
      <c r="A1100" t="n">
        <v>509</v>
      </c>
      <c r="B1100" t="inlineStr">
        <is>
          <t>A-5053__58</t>
        </is>
      </c>
      <c r="C1100" t="n">
        <v>37.2302141295</v>
      </c>
      <c r="D1100" t="n">
        <v>-7.12698120007</v>
      </c>
      <c r="E1100" t="n">
        <v>2</v>
      </c>
      <c r="F1100" t="n">
        <v>2</v>
      </c>
      <c r="G1100" t="n">
        <v>2</v>
      </c>
      <c r="J1100" t="inlineStr">
        <is>
          <t>Moda</t>
        </is>
      </c>
      <c r="K1100" t="n">
        <v>2</v>
      </c>
      <c r="L1100" t="n">
        <v>1.842</v>
      </c>
      <c r="M1100" t="n">
        <v>0</v>
      </c>
      <c r="N1100" t="inlineStr">
        <is>
          <t>train</t>
        </is>
      </c>
      <c r="O1100">
        <f>HYPERLINK("2\0\marker_267_020903.png", "Ver Imagen")</f>
        <v/>
      </c>
      <c r="P1100">
        <f>HYPERLINK("SO\A-5053\A-5053__58.png", "Ver Imagen")</f>
        <v/>
      </c>
    </row>
    <row r="1101">
      <c r="A1101" t="n">
        <v>510</v>
      </c>
      <c r="B1101" t="inlineStr">
        <is>
          <t>A-5053__57</t>
        </is>
      </c>
      <c r="C1101" t="n">
        <v>37.2300422473</v>
      </c>
      <c r="D1101" t="n">
        <v>-7.12696493883</v>
      </c>
      <c r="E1101" t="n">
        <v>2</v>
      </c>
      <c r="F1101" t="n">
        <v>2</v>
      </c>
      <c r="G1101" t="n">
        <v>2</v>
      </c>
      <c r="J1101" t="inlineStr">
        <is>
          <t>Moda</t>
        </is>
      </c>
      <c r="K1101" t="n">
        <v>2</v>
      </c>
      <c r="L1101" t="n">
        <v>1.936</v>
      </c>
      <c r="M1101" t="n">
        <v>0</v>
      </c>
      <c r="N1101" t="inlineStr">
        <is>
          <t>train</t>
        </is>
      </c>
      <c r="O1101">
        <f>HYPERLINK("2\0\marker_120_020913.png", "Ver Imagen")</f>
        <v/>
      </c>
      <c r="P1101">
        <f>HYPERLINK("SO\A-5053\A-5053__57.png", "Ver Imagen")</f>
        <v/>
      </c>
    </row>
    <row r="1102">
      <c r="A1102" t="n">
        <v>511</v>
      </c>
      <c r="B1102" t="inlineStr">
        <is>
          <t>A-5053__21</t>
        </is>
      </c>
      <c r="C1102" t="n">
        <v>37.2229911163</v>
      </c>
      <c r="D1102" t="n">
        <v>-7.12501178291</v>
      </c>
      <c r="E1102" t="n">
        <v>2</v>
      </c>
      <c r="F1102" t="n">
        <v>2</v>
      </c>
      <c r="G1102" t="n">
        <v>2</v>
      </c>
      <c r="J1102" t="inlineStr">
        <is>
          <t>Moda</t>
        </is>
      </c>
      <c r="K1102" t="n">
        <v>2</v>
      </c>
      <c r="L1102" t="n">
        <v>1.943</v>
      </c>
      <c r="M1102" t="n">
        <v>0</v>
      </c>
      <c r="N1102" t="inlineStr">
        <is>
          <t>train</t>
        </is>
      </c>
      <c r="O1102">
        <f>HYPERLINK("2\0\marker_337_022893.png", "Ver Imagen")</f>
        <v/>
      </c>
      <c r="P1102">
        <f>HYPERLINK("SO\A-5053\A-5053__21.png", "Ver Imagen")</f>
        <v/>
      </c>
    </row>
    <row r="1103">
      <c r="A1103" t="n">
        <v>512</v>
      </c>
      <c r="B1103" t="inlineStr">
        <is>
          <t>A-5053__18</t>
        </is>
      </c>
      <c r="C1103" t="n">
        <v>37.2223679059</v>
      </c>
      <c r="D1103" t="n">
        <v>-7.12506603434</v>
      </c>
      <c r="E1103" t="n">
        <v>2</v>
      </c>
      <c r="F1103" t="n">
        <v>2</v>
      </c>
      <c r="G1103" t="n">
        <v>2</v>
      </c>
      <c r="J1103" t="inlineStr">
        <is>
          <t>Moda</t>
        </is>
      </c>
      <c r="K1103" t="n">
        <v>2</v>
      </c>
      <c r="L1103" t="n">
        <v>2.082</v>
      </c>
      <c r="M1103" t="n">
        <v>0</v>
      </c>
      <c r="N1103" t="inlineStr">
        <is>
          <t>train</t>
        </is>
      </c>
      <c r="O1103">
        <f>HYPERLINK("2\0\marker_162_025019.png", "Ver Imagen")</f>
        <v/>
      </c>
      <c r="P1103">
        <f>HYPERLINK("SO\A-5053\A-5053__18.png", "Ver Imagen")</f>
        <v/>
      </c>
    </row>
    <row r="1104">
      <c r="A1104" t="n">
        <v>514</v>
      </c>
      <c r="B1104" t="inlineStr">
        <is>
          <t>A-495__15</t>
        </is>
      </c>
      <c r="C1104" t="n">
        <v>37.4438234144</v>
      </c>
      <c r="D1104" t="n">
        <v>-7.09669797566</v>
      </c>
      <c r="E1104" t="n">
        <v>2</v>
      </c>
      <c r="F1104" t="n">
        <v>2</v>
      </c>
      <c r="G1104" t="n">
        <v>2</v>
      </c>
      <c r="J1104" t="inlineStr">
        <is>
          <t>Moda</t>
        </is>
      </c>
      <c r="K1104" t="n">
        <v>2</v>
      </c>
      <c r="L1104" t="n">
        <v>1.856</v>
      </c>
      <c r="M1104" t="n">
        <v>0</v>
      </c>
      <c r="N1104" t="inlineStr">
        <is>
          <t>train</t>
        </is>
      </c>
      <c r="O1104">
        <f>HYPERLINK("2\0\marker_284_381213.png", "Ver Imagen")</f>
        <v/>
      </c>
      <c r="P1104">
        <f>HYPERLINK("NE\A-495\A-495__15.png", "Ver Imagen")</f>
        <v/>
      </c>
    </row>
    <row r="1105">
      <c r="A1105" t="n">
        <v>515</v>
      </c>
      <c r="B1105" t="inlineStr">
        <is>
          <t>A-495__23</t>
        </is>
      </c>
      <c r="C1105" t="n">
        <v>37.4431503028</v>
      </c>
      <c r="D1105" t="n">
        <v>-7.09484888193</v>
      </c>
      <c r="E1105" t="n">
        <v>2</v>
      </c>
      <c r="F1105" t="n">
        <v>2</v>
      </c>
      <c r="G1105" t="n">
        <v>2</v>
      </c>
      <c r="J1105" t="inlineStr">
        <is>
          <t>Moda</t>
        </is>
      </c>
      <c r="K1105" t="n">
        <v>2</v>
      </c>
      <c r="L1105" t="n">
        <v>1.779</v>
      </c>
      <c r="M1105" t="n">
        <v>0</v>
      </c>
      <c r="N1105" t="inlineStr">
        <is>
          <t>train</t>
        </is>
      </c>
      <c r="O1105">
        <f>HYPERLINK("2\0\marker_526_381326.png", "Ver Imagen")</f>
        <v/>
      </c>
      <c r="P1105">
        <f>HYPERLINK("NE\A-495\A-495__23.png", "Ver Imagen")</f>
        <v/>
      </c>
    </row>
    <row r="1106">
      <c r="A1106" t="n">
        <v>516</v>
      </c>
      <c r="B1106" t="inlineStr">
        <is>
          <t>A-495__30</t>
        </is>
      </c>
      <c r="C1106" t="n">
        <v>37.4425382929</v>
      </c>
      <c r="D1106" t="n">
        <v>-7.09325377364</v>
      </c>
      <c r="E1106" t="n">
        <v>2</v>
      </c>
      <c r="F1106" t="n">
        <v>2</v>
      </c>
      <c r="G1106" t="n">
        <v>2</v>
      </c>
      <c r="J1106" t="inlineStr">
        <is>
          <t>Moda</t>
        </is>
      </c>
      <c r="K1106" t="n">
        <v>2</v>
      </c>
      <c r="L1106" t="n">
        <v>2.185</v>
      </c>
      <c r="M1106" t="n">
        <v>0</v>
      </c>
      <c r="N1106" t="inlineStr">
        <is>
          <t>train</t>
        </is>
      </c>
      <c r="O1106">
        <f>HYPERLINK("2\0\marker_370_381396.png", "Ver Imagen")</f>
        <v/>
      </c>
      <c r="P1106">
        <f>HYPERLINK("NE\A-495\A-495__30.png", "Ver Imagen")</f>
        <v/>
      </c>
    </row>
    <row r="1107">
      <c r="A1107" t="n">
        <v>517</v>
      </c>
      <c r="B1107" t="inlineStr">
        <is>
          <t>A-495__33</t>
        </is>
      </c>
      <c r="C1107" t="n">
        <v>37.4422795214</v>
      </c>
      <c r="D1107" t="n">
        <v>-7.09259031694</v>
      </c>
      <c r="E1107" t="n">
        <v>2</v>
      </c>
      <c r="F1107" t="n">
        <v>2</v>
      </c>
      <c r="G1107" t="n">
        <v>2</v>
      </c>
      <c r="J1107" t="inlineStr">
        <is>
          <t>Moda</t>
        </is>
      </c>
      <c r="K1107" t="n">
        <v>2</v>
      </c>
      <c r="L1107" t="n">
        <v>2.343</v>
      </c>
      <c r="M1107" t="n">
        <v>0</v>
      </c>
      <c r="N1107" t="inlineStr">
        <is>
          <t>train</t>
        </is>
      </c>
      <c r="O1107">
        <f>HYPERLINK("2\0\marker_540_381436.png", "Ver Imagen")</f>
        <v/>
      </c>
      <c r="P1107">
        <f>HYPERLINK("NE\A-495\A-495__33.png", "Ver Imagen")</f>
        <v/>
      </c>
    </row>
    <row r="1108">
      <c r="A1108" t="n">
        <v>518</v>
      </c>
      <c r="B1108" t="inlineStr">
        <is>
          <t>A-495__97</t>
        </is>
      </c>
      <c r="C1108" t="n">
        <v>37.4364338712</v>
      </c>
      <c r="D1108" t="n">
        <v>-7.07823276683</v>
      </c>
      <c r="E1108" t="n">
        <v>2</v>
      </c>
      <c r="F1108" t="n">
        <v>2</v>
      </c>
      <c r="G1108" t="n">
        <v>2</v>
      </c>
      <c r="J1108" t="inlineStr">
        <is>
          <t>Moda</t>
        </is>
      </c>
      <c r="K1108" t="n">
        <v>2</v>
      </c>
      <c r="L1108" t="n">
        <v>1.888</v>
      </c>
      <c r="M1108" t="n">
        <v>0</v>
      </c>
      <c r="N1108" t="inlineStr">
        <is>
          <t>train</t>
        </is>
      </c>
      <c r="O1108">
        <f>HYPERLINK("2\0\marker_163_382127.png", "Ver Imagen")</f>
        <v/>
      </c>
      <c r="P1108">
        <f>HYPERLINK("NE\A-495\A-495__97.png", "Ver Imagen")</f>
        <v/>
      </c>
    </row>
    <row r="1109">
      <c r="A1109" t="n">
        <v>520</v>
      </c>
      <c r="B1109" t="inlineStr">
        <is>
          <t>A-495__100</t>
        </is>
      </c>
      <c r="C1109" t="n">
        <v>37.4362007321</v>
      </c>
      <c r="D1109" t="n">
        <v>-7.07756880101</v>
      </c>
      <c r="E1109" t="n">
        <v>2</v>
      </c>
      <c r="F1109" t="n">
        <v>2</v>
      </c>
      <c r="G1109" t="n">
        <v>2</v>
      </c>
      <c r="J1109" t="inlineStr">
        <is>
          <t>Moda</t>
        </is>
      </c>
      <c r="K1109" t="n">
        <v>2</v>
      </c>
      <c r="L1109" t="n">
        <v>1.847</v>
      </c>
      <c r="M1109" t="n">
        <v>0</v>
      </c>
      <c r="N1109" t="inlineStr">
        <is>
          <t>train</t>
        </is>
      </c>
      <c r="O1109">
        <f>HYPERLINK("2\0\marker_307_382154.png", "Ver Imagen")</f>
        <v/>
      </c>
      <c r="P1109">
        <f>HYPERLINK("NE\A-495\A-495__100.png", "Ver Imagen")</f>
        <v/>
      </c>
    </row>
    <row r="1110">
      <c r="A1110" t="n">
        <v>521</v>
      </c>
      <c r="B1110" t="inlineStr">
        <is>
          <t>A-5059__77</t>
        </is>
      </c>
      <c r="C1110" t="n">
        <v>37.2218048181</v>
      </c>
      <c r="D1110" t="n">
        <v>-7.05494013698</v>
      </c>
      <c r="E1110" t="n">
        <v>2</v>
      </c>
      <c r="F1110" t="n">
        <v>2</v>
      </c>
      <c r="G1110" t="n">
        <v>2</v>
      </c>
      <c r="J1110" t="inlineStr">
        <is>
          <t>Moda</t>
        </is>
      </c>
      <c r="K1110" t="n">
        <v>2</v>
      </c>
      <c r="L1110" t="n">
        <v>2.167</v>
      </c>
      <c r="M1110" t="n">
        <v>0</v>
      </c>
      <c r="N1110" t="inlineStr">
        <is>
          <t>train</t>
        </is>
      </c>
      <c r="O1110">
        <f>HYPERLINK("2\0\marker_915_378778.png", "Ver Imagen")</f>
        <v/>
      </c>
      <c r="P1110">
        <f>HYPERLINK("SE\A-5059\A-5059__77.png", "Ver Imagen")</f>
        <v/>
      </c>
    </row>
    <row r="1111">
      <c r="A1111" t="n">
        <v>522</v>
      </c>
      <c r="B1111" t="inlineStr">
        <is>
          <t>A-5059__75</t>
        </is>
      </c>
      <c r="C1111" t="n">
        <v>37.2220986624</v>
      </c>
      <c r="D1111" t="n">
        <v>-7.055281388</v>
      </c>
      <c r="E1111" t="n">
        <v>2</v>
      </c>
      <c r="F1111" t="n">
        <v>2</v>
      </c>
      <c r="G1111" t="n">
        <v>2</v>
      </c>
      <c r="J1111" t="inlineStr">
        <is>
          <t>Moda</t>
        </is>
      </c>
      <c r="K1111" t="n">
        <v>2</v>
      </c>
      <c r="L1111" t="n">
        <v>1.727</v>
      </c>
      <c r="M1111" t="n">
        <v>0</v>
      </c>
      <c r="N1111" t="inlineStr">
        <is>
          <t>train</t>
        </is>
      </c>
      <c r="O1111">
        <f>HYPERLINK("2\0\marker_898_378801.png", "Ver Imagen")</f>
        <v/>
      </c>
      <c r="P1111">
        <f>HYPERLINK("SE\A-5059\A-5059__75.png", "Ver Imagen")</f>
        <v/>
      </c>
    </row>
    <row r="1112">
      <c r="A1112" t="n">
        <v>524</v>
      </c>
      <c r="B1112" t="inlineStr">
        <is>
          <t>A-5059__66</t>
        </is>
      </c>
      <c r="C1112" t="n">
        <v>37.2237814203</v>
      </c>
      <c r="D1112" t="n">
        <v>-7.05615941728</v>
      </c>
      <c r="E1112" t="n">
        <v>2</v>
      </c>
      <c r="F1112" t="n">
        <v>2</v>
      </c>
      <c r="G1112" t="n">
        <v>2</v>
      </c>
      <c r="J1112" t="inlineStr">
        <is>
          <t>Moda</t>
        </is>
      </c>
      <c r="K1112" t="n">
        <v>2</v>
      </c>
      <c r="L1112" t="n">
        <v>2.159</v>
      </c>
      <c r="M1112" t="n">
        <v>0</v>
      </c>
      <c r="N1112" t="inlineStr">
        <is>
          <t>train</t>
        </is>
      </c>
      <c r="O1112">
        <f>HYPERLINK("2\0\marker_883_378884.png", "Ver Imagen")</f>
        <v/>
      </c>
      <c r="P1112">
        <f>HYPERLINK("SE\A-5059\A-5059__66.png", "Ver Imagen")</f>
        <v/>
      </c>
    </row>
    <row r="1113">
      <c r="A1113" t="n">
        <v>525</v>
      </c>
      <c r="B1113" t="inlineStr">
        <is>
          <t>A-5059__59</t>
        </is>
      </c>
      <c r="C1113" t="n">
        <v>37.2247923319</v>
      </c>
      <c r="D1113" t="n">
        <v>-7.05735756225</v>
      </c>
      <c r="E1113" t="n">
        <v>2</v>
      </c>
      <c r="F1113" t="n">
        <v>2</v>
      </c>
      <c r="G1113" t="n">
        <v>2</v>
      </c>
      <c r="J1113" t="inlineStr">
        <is>
          <t>Moda</t>
        </is>
      </c>
      <c r="K1113" t="n">
        <v>2</v>
      </c>
      <c r="L1113" t="n">
        <v>2.078</v>
      </c>
      <c r="M1113" t="n">
        <v>0</v>
      </c>
      <c r="N1113" t="inlineStr">
        <is>
          <t>test</t>
        </is>
      </c>
      <c r="O1113">
        <f>HYPERLINK("2\0\marker_750_378956.png", "Ver Imagen")</f>
        <v/>
      </c>
      <c r="P1113">
        <f>HYPERLINK("SE\A-5059\A-5059__59.png", "Ver Imagen")</f>
        <v/>
      </c>
    </row>
    <row r="1114">
      <c r="A1114" t="n">
        <v>526</v>
      </c>
      <c r="B1114" t="inlineStr">
        <is>
          <t>A-5059__58</t>
        </is>
      </c>
      <c r="C1114" t="n">
        <v>37.2249087306</v>
      </c>
      <c r="D1114" t="n">
        <v>-7.05755307278</v>
      </c>
      <c r="E1114" t="n">
        <v>2</v>
      </c>
      <c r="F1114" t="n">
        <v>2</v>
      </c>
      <c r="G1114" t="n">
        <v>2</v>
      </c>
      <c r="J1114" t="inlineStr">
        <is>
          <t>Moda</t>
        </is>
      </c>
      <c r="K1114" t="n">
        <v>2</v>
      </c>
      <c r="L1114" t="n">
        <v>1.863</v>
      </c>
      <c r="M1114" t="n">
        <v>0</v>
      </c>
      <c r="N1114" t="inlineStr">
        <is>
          <t>test</t>
        </is>
      </c>
      <c r="O1114">
        <f>HYPERLINK("2\0\marker_713_378964.png", "Ver Imagen")</f>
        <v/>
      </c>
      <c r="P1114">
        <f>HYPERLINK("SE\A-5059\A-5059__58.png", "Ver Imagen")</f>
        <v/>
      </c>
    </row>
    <row r="1115">
      <c r="A1115" t="n">
        <v>527</v>
      </c>
      <c r="B1115" t="inlineStr">
        <is>
          <t>A-5059__54</t>
        </is>
      </c>
      <c r="C1115" t="n">
        <v>37.2253989862</v>
      </c>
      <c r="D1115" t="n">
        <v>-7.05838127619</v>
      </c>
      <c r="E1115" t="n">
        <v>2</v>
      </c>
      <c r="F1115" t="n">
        <v>2</v>
      </c>
      <c r="G1115" t="n">
        <v>2</v>
      </c>
      <c r="J1115" t="inlineStr">
        <is>
          <t>Moda</t>
        </is>
      </c>
      <c r="K1115" t="n">
        <v>2</v>
      </c>
      <c r="L1115" t="n">
        <v>2.014</v>
      </c>
      <c r="M1115" t="n">
        <v>0</v>
      </c>
      <c r="N1115" t="inlineStr">
        <is>
          <t>train</t>
        </is>
      </c>
      <c r="O1115">
        <f>HYPERLINK("2\0\marker_709_379054.png", "Ver Imagen")</f>
        <v/>
      </c>
      <c r="P1115">
        <f>HYPERLINK("SE\A-5059\A-5059__54.png", "Ver Imagen")</f>
        <v/>
      </c>
    </row>
    <row r="1116">
      <c r="A1116" t="n">
        <v>528</v>
      </c>
      <c r="B1116" t="inlineStr">
        <is>
          <t>A-5059__53</t>
        </is>
      </c>
      <c r="C1116" t="n">
        <v>37.2255180126</v>
      </c>
      <c r="D1116" t="n">
        <v>-7.05858243765</v>
      </c>
      <c r="E1116" t="n">
        <v>2</v>
      </c>
      <c r="F1116" t="n">
        <v>2</v>
      </c>
      <c r="G1116" t="n">
        <v>2</v>
      </c>
      <c r="J1116" t="inlineStr">
        <is>
          <t>Moda</t>
        </is>
      </c>
      <c r="K1116" t="n">
        <v>2</v>
      </c>
      <c r="L1116" t="n">
        <v>2.076</v>
      </c>
      <c r="M1116" t="n">
        <v>0</v>
      </c>
      <c r="N1116" t="inlineStr">
        <is>
          <t>train</t>
        </is>
      </c>
      <c r="O1116">
        <f>HYPERLINK("2\0\marker_775_379066.png", "Ver Imagen")</f>
        <v/>
      </c>
      <c r="P1116">
        <f>HYPERLINK("SE\A-5059\A-5059__53.png", "Ver Imagen")</f>
        <v/>
      </c>
    </row>
    <row r="1117">
      <c r="A1117" t="n">
        <v>529</v>
      </c>
      <c r="B1117" t="inlineStr">
        <is>
          <t>A-5059__52</t>
        </is>
      </c>
      <c r="C1117" t="n">
        <v>37.2256360867</v>
      </c>
      <c r="D1117" t="n">
        <v>-7.05878241248</v>
      </c>
      <c r="E1117" t="n">
        <v>2</v>
      </c>
      <c r="F1117" t="n">
        <v>2</v>
      </c>
      <c r="G1117" t="n">
        <v>2</v>
      </c>
      <c r="J1117" t="inlineStr">
        <is>
          <t>Moda</t>
        </is>
      </c>
      <c r="K1117" t="n">
        <v>2</v>
      </c>
      <c r="L1117" t="n">
        <v>2.362</v>
      </c>
      <c r="M1117" t="n">
        <v>0</v>
      </c>
      <c r="N1117" t="inlineStr">
        <is>
          <t>val</t>
        </is>
      </c>
      <c r="O1117">
        <f>HYPERLINK("2\0\marker_860_379075.png", "Ver Imagen")</f>
        <v/>
      </c>
      <c r="P1117">
        <f>HYPERLINK("SE\A-5059\A-5059__52.png", "Ver Imagen")</f>
        <v/>
      </c>
    </row>
    <row r="1118">
      <c r="A1118" t="n">
        <v>530</v>
      </c>
      <c r="B1118" t="inlineStr">
        <is>
          <t>A-5059__51</t>
        </is>
      </c>
      <c r="C1118" t="n">
        <v>37.2257600547</v>
      </c>
      <c r="D1118" t="n">
        <v>-7.0589930421</v>
      </c>
      <c r="E1118" t="n">
        <v>2</v>
      </c>
      <c r="F1118" t="n">
        <v>2</v>
      </c>
      <c r="G1118" t="n">
        <v>2</v>
      </c>
      <c r="J1118" t="inlineStr">
        <is>
          <t>Moda</t>
        </is>
      </c>
      <c r="K1118" t="n">
        <v>2</v>
      </c>
      <c r="L1118" t="n">
        <v>2.436</v>
      </c>
      <c r="M1118" t="n">
        <v>0</v>
      </c>
      <c r="N1118" t="inlineStr">
        <is>
          <t>train</t>
        </is>
      </c>
      <c r="O1118">
        <f>HYPERLINK("2\0\marker_812_379084.png", "Ver Imagen")</f>
        <v/>
      </c>
      <c r="P1118">
        <f>HYPERLINK("SE\A-5059\A-5059__51.png", "Ver Imagen")</f>
        <v/>
      </c>
    </row>
    <row r="1119">
      <c r="A1119" t="n">
        <v>531</v>
      </c>
      <c r="B1119" t="inlineStr">
        <is>
          <t>A-5059__48</t>
        </is>
      </c>
      <c r="C1119" t="n">
        <v>37.2261206347</v>
      </c>
      <c r="D1119" t="n">
        <v>-7.05960526612</v>
      </c>
      <c r="E1119" t="n">
        <v>2</v>
      </c>
      <c r="F1119" t="n">
        <v>2</v>
      </c>
      <c r="G1119" t="n">
        <v>2</v>
      </c>
      <c r="J1119" t="inlineStr">
        <is>
          <t>Moda</t>
        </is>
      </c>
      <c r="K1119" t="n">
        <v>2</v>
      </c>
      <c r="L1119" t="n">
        <v>1.985</v>
      </c>
      <c r="M1119" t="n">
        <v>0</v>
      </c>
      <c r="N1119" t="inlineStr">
        <is>
          <t>train</t>
        </is>
      </c>
      <c r="O1119">
        <f>HYPERLINK("2\0\marker_687_379114.png", "Ver Imagen")</f>
        <v/>
      </c>
      <c r="P1119">
        <f>HYPERLINK("SE\A-5059\A-5059__48.png", "Ver Imagen")</f>
        <v/>
      </c>
    </row>
    <row r="1120">
      <c r="A1120" t="n">
        <v>532</v>
      </c>
      <c r="B1120" t="inlineStr">
        <is>
          <t>A-5059__47</t>
        </is>
      </c>
      <c r="C1120" t="n">
        <v>37.2262402166</v>
      </c>
      <c r="D1120" t="n">
        <v>-7.05980960118</v>
      </c>
      <c r="E1120" t="n">
        <v>2</v>
      </c>
      <c r="F1120" t="n">
        <v>2</v>
      </c>
      <c r="G1120" t="n">
        <v>2</v>
      </c>
      <c r="J1120" t="inlineStr">
        <is>
          <t>Moda</t>
        </is>
      </c>
      <c r="K1120" t="n">
        <v>2</v>
      </c>
      <c r="L1120" t="n">
        <v>1.8</v>
      </c>
      <c r="M1120" t="n">
        <v>0</v>
      </c>
      <c r="N1120" t="inlineStr">
        <is>
          <t>train</t>
        </is>
      </c>
      <c r="O1120">
        <f>HYPERLINK("2\0\marker_867_379123.png", "Ver Imagen")</f>
        <v/>
      </c>
      <c r="P1120">
        <f>HYPERLINK("SE\A-5059\A-5059__47.png", "Ver Imagen")</f>
        <v/>
      </c>
    </row>
    <row r="1121">
      <c r="A1121" t="n">
        <v>533</v>
      </c>
      <c r="B1121" t="inlineStr">
        <is>
          <t>A-495__139</t>
        </is>
      </c>
      <c r="C1121" t="n">
        <v>37.4345108432</v>
      </c>
      <c r="D1121" t="n">
        <v>-7.06836220707</v>
      </c>
      <c r="E1121" t="n">
        <v>2</v>
      </c>
      <c r="F1121" t="n">
        <v>2</v>
      </c>
      <c r="G1121" t="n">
        <v>2</v>
      </c>
      <c r="J1121" t="inlineStr">
        <is>
          <t>Moda</t>
        </is>
      </c>
      <c r="K1121" t="n">
        <v>2</v>
      </c>
      <c r="L1121" t="n">
        <v>1.742</v>
      </c>
      <c r="M1121" t="n">
        <v>0</v>
      </c>
      <c r="N1121" t="inlineStr">
        <is>
          <t>test</t>
        </is>
      </c>
      <c r="O1121">
        <f>HYPERLINK("2\0\marker_983_382569.png", "Ver Imagen")</f>
        <v/>
      </c>
      <c r="P1121">
        <f>HYPERLINK("NE\A-495\A-495__139.png", "Ver Imagen")</f>
        <v/>
      </c>
    </row>
    <row r="1122">
      <c r="A1122" t="n">
        <v>534</v>
      </c>
      <c r="B1122" t="inlineStr">
        <is>
          <t>A-5059__37</t>
        </is>
      </c>
      <c r="C1122" t="n">
        <v>37.2278750521</v>
      </c>
      <c r="D1122" t="n">
        <v>-7.06116877749</v>
      </c>
      <c r="E1122" t="n">
        <v>2</v>
      </c>
      <c r="F1122" t="n">
        <v>2</v>
      </c>
      <c r="G1122" t="n">
        <v>2</v>
      </c>
      <c r="J1122" t="inlineStr">
        <is>
          <t>Moda</t>
        </is>
      </c>
      <c r="K1122" t="n">
        <v>2</v>
      </c>
      <c r="L1122" t="n">
        <v>2.414</v>
      </c>
      <c r="M1122" t="n">
        <v>0</v>
      </c>
      <c r="N1122" t="inlineStr">
        <is>
          <t>train</t>
        </is>
      </c>
      <c r="O1122">
        <f>HYPERLINK("2\0\marker_685_379340.png", "Ver Imagen")</f>
        <v/>
      </c>
      <c r="P1122">
        <f>HYPERLINK("SE\A-5059\A-5059__37.png", "Ver Imagen")</f>
        <v/>
      </c>
    </row>
    <row r="1123">
      <c r="A1123" t="n">
        <v>535</v>
      </c>
      <c r="B1123" t="inlineStr">
        <is>
          <t>A-5059__36</t>
        </is>
      </c>
      <c r="C1123" t="n">
        <v>37.2280411057</v>
      </c>
      <c r="D1123" t="n">
        <v>-7.0612999717</v>
      </c>
      <c r="E1123" t="n">
        <v>2</v>
      </c>
      <c r="F1123" t="n">
        <v>2</v>
      </c>
      <c r="G1123" t="n">
        <v>2</v>
      </c>
      <c r="J1123" t="inlineStr">
        <is>
          <t>Moda</t>
        </is>
      </c>
      <c r="K1123" t="n">
        <v>2</v>
      </c>
      <c r="L1123" t="n">
        <v>2.398</v>
      </c>
      <c r="M1123" t="n">
        <v>0</v>
      </c>
      <c r="N1123" t="inlineStr">
        <is>
          <t>train</t>
        </is>
      </c>
      <c r="O1123">
        <f>HYPERLINK("2\0\marker_438_379348.png", "Ver Imagen")</f>
        <v/>
      </c>
      <c r="P1123">
        <f>HYPERLINK("SE\A-5059\A-5059__36.png", "Ver Imagen")</f>
        <v/>
      </c>
    </row>
    <row r="1124">
      <c r="A1124" t="n">
        <v>536</v>
      </c>
      <c r="B1124" t="inlineStr">
        <is>
          <t>A-5059__32</t>
        </is>
      </c>
      <c r="C1124" t="n">
        <v>37.2286454674</v>
      </c>
      <c r="D1124" t="n">
        <v>-7.06197728921</v>
      </c>
      <c r="E1124" t="n">
        <v>2</v>
      </c>
      <c r="F1124" t="n">
        <v>2</v>
      </c>
      <c r="G1124" t="n">
        <v>2</v>
      </c>
      <c r="J1124" t="inlineStr">
        <is>
          <t>Moda</t>
        </is>
      </c>
      <c r="K1124" t="n">
        <v>2</v>
      </c>
      <c r="L1124" t="n">
        <v>1.852</v>
      </c>
      <c r="M1124" t="n">
        <v>0</v>
      </c>
      <c r="N1124" t="inlineStr">
        <is>
          <t>train</t>
        </is>
      </c>
      <c r="O1124">
        <f>HYPERLINK("2\0\marker_652_379387.png", "Ver Imagen")</f>
        <v/>
      </c>
      <c r="P1124">
        <f>HYPERLINK("SE\A-5059\A-5059__32.png", "Ver Imagen")</f>
        <v/>
      </c>
    </row>
    <row r="1125">
      <c r="A1125" t="n">
        <v>537</v>
      </c>
      <c r="B1125" t="inlineStr">
        <is>
          <t>A-5059__31</t>
        </is>
      </c>
      <c r="C1125" t="n">
        <v>37.2287918156</v>
      </c>
      <c r="D1125" t="n">
        <v>-7.06215264338</v>
      </c>
      <c r="E1125" t="n">
        <v>2</v>
      </c>
      <c r="F1125" t="n">
        <v>2</v>
      </c>
      <c r="G1125" t="n">
        <v>2</v>
      </c>
      <c r="J1125" t="inlineStr">
        <is>
          <t>Moda</t>
        </is>
      </c>
      <c r="K1125" t="n">
        <v>2</v>
      </c>
      <c r="L1125" t="n">
        <v>2.042</v>
      </c>
      <c r="M1125" t="n">
        <v>0</v>
      </c>
      <c r="N1125" t="inlineStr">
        <is>
          <t>train</t>
        </is>
      </c>
      <c r="O1125">
        <f>HYPERLINK("2\0\marker_417_379395.png", "Ver Imagen")</f>
        <v/>
      </c>
      <c r="P1125">
        <f>HYPERLINK("SE\A-5059\A-5059__31.png", "Ver Imagen")</f>
        <v/>
      </c>
    </row>
    <row r="1126">
      <c r="A1126" t="n">
        <v>538</v>
      </c>
      <c r="B1126" t="inlineStr">
        <is>
          <t>A-495__146</t>
        </is>
      </c>
      <c r="C1126" t="n">
        <v>37.4338231166</v>
      </c>
      <c r="D1126" t="n">
        <v>-7.06682025858</v>
      </c>
      <c r="E1126" t="n">
        <v>2</v>
      </c>
      <c r="F1126" t="n">
        <v>2</v>
      </c>
      <c r="G1126" t="n">
        <v>2</v>
      </c>
      <c r="J1126" t="inlineStr">
        <is>
          <t>Moda</t>
        </is>
      </c>
      <c r="K1126" t="n">
        <v>2</v>
      </c>
      <c r="L1126" t="n">
        <v>2.077</v>
      </c>
      <c r="M1126" t="n">
        <v>0</v>
      </c>
      <c r="N1126" t="inlineStr">
        <is>
          <t>train</t>
        </is>
      </c>
      <c r="O1126">
        <f>HYPERLINK("2\0\marker_547_382633.png", "Ver Imagen")</f>
        <v/>
      </c>
      <c r="P1126">
        <f>HYPERLINK("NE\A-495\A-495__146.png", "Ver Imagen")</f>
        <v/>
      </c>
    </row>
    <row r="1127">
      <c r="A1127" t="n">
        <v>539</v>
      </c>
      <c r="B1127" t="inlineStr">
        <is>
          <t>A-495__155</t>
        </is>
      </c>
      <c r="C1127" t="n">
        <v>37.4328996419</v>
      </c>
      <c r="D1127" t="n">
        <v>-7.06480518302</v>
      </c>
      <c r="E1127" t="n">
        <v>2</v>
      </c>
      <c r="F1127" t="n">
        <v>2</v>
      </c>
      <c r="G1127" t="n">
        <v>2</v>
      </c>
      <c r="J1127" t="inlineStr">
        <is>
          <t>Moda</t>
        </is>
      </c>
      <c r="K1127" t="n">
        <v>2</v>
      </c>
      <c r="L1127" t="n">
        <v>2.165</v>
      </c>
      <c r="M1127" t="n">
        <v>0</v>
      </c>
      <c r="N1127" t="inlineStr">
        <is>
          <t>train</t>
        </is>
      </c>
      <c r="O1127">
        <f>HYPERLINK("2\0\marker_619_382732.png", "Ver Imagen")</f>
        <v/>
      </c>
      <c r="P1127">
        <f>HYPERLINK("NE\A-495\A-495__155.png", "Ver Imagen")</f>
        <v/>
      </c>
    </row>
    <row r="1128">
      <c r="A1128" t="n">
        <v>540</v>
      </c>
      <c r="B1128" t="inlineStr">
        <is>
          <t>A-5058__2</t>
        </is>
      </c>
      <c r="C1128" t="n">
        <v>37.2252480303</v>
      </c>
      <c r="D1128" t="n">
        <v>-7.0277473525</v>
      </c>
      <c r="E1128" t="n">
        <v>2</v>
      </c>
      <c r="F1128" t="n">
        <v>2</v>
      </c>
      <c r="G1128" t="n">
        <v>2</v>
      </c>
      <c r="J1128" t="inlineStr">
        <is>
          <t>Moda</t>
        </is>
      </c>
      <c r="K1128" t="n">
        <v>2</v>
      </c>
      <c r="L1128" t="n">
        <v>1.865</v>
      </c>
      <c r="M1128" t="n">
        <v>0</v>
      </c>
      <c r="N1128" t="inlineStr">
        <is>
          <t>train</t>
        </is>
      </c>
      <c r="O1128">
        <f>HYPERLINK("2\0\marker_149_379799.png", "Ver Imagen")</f>
        <v/>
      </c>
      <c r="P1128">
        <f>HYPERLINK("SE\A-5058\A-5058__2.png", "Ver Imagen")</f>
        <v/>
      </c>
    </row>
    <row r="1129">
      <c r="A1129" t="n">
        <v>541</v>
      </c>
      <c r="B1129" t="inlineStr">
        <is>
          <t>A-5058__5</t>
        </is>
      </c>
      <c r="C1129" t="n">
        <v>37.2252910756</v>
      </c>
      <c r="D1129" t="n">
        <v>-7.0285056531</v>
      </c>
      <c r="E1129" t="n">
        <v>2</v>
      </c>
      <c r="F1129" t="n">
        <v>2</v>
      </c>
      <c r="G1129" t="n">
        <v>2</v>
      </c>
      <c r="J1129" t="inlineStr">
        <is>
          <t>Moda</t>
        </is>
      </c>
      <c r="K1129" t="n">
        <v>2</v>
      </c>
      <c r="L1129" t="n">
        <v>1.636</v>
      </c>
      <c r="M1129" t="n">
        <v>0</v>
      </c>
      <c r="N1129" t="inlineStr">
        <is>
          <t>train</t>
        </is>
      </c>
      <c r="O1129">
        <f>HYPERLINK("2\0\marker_145_379851.png", "Ver Imagen")</f>
        <v/>
      </c>
      <c r="P1129">
        <f>HYPERLINK("SE\A-5058\A-5058__5.png", "Ver Imagen")</f>
        <v/>
      </c>
    </row>
    <row r="1130">
      <c r="A1130" t="n">
        <v>542</v>
      </c>
      <c r="B1130" t="inlineStr">
        <is>
          <t>A-5058__6</t>
        </is>
      </c>
      <c r="C1130" t="n">
        <v>37.22530782</v>
      </c>
      <c r="D1130" t="n">
        <v>-7.02878231786</v>
      </c>
      <c r="E1130" t="n">
        <v>2</v>
      </c>
      <c r="F1130" t="n">
        <v>2</v>
      </c>
      <c r="G1130" t="n">
        <v>2</v>
      </c>
      <c r="J1130" t="inlineStr">
        <is>
          <t>Moda</t>
        </is>
      </c>
      <c r="K1130" t="n">
        <v>2</v>
      </c>
      <c r="L1130" t="n">
        <v>1.736</v>
      </c>
      <c r="M1130" t="n">
        <v>0</v>
      </c>
      <c r="N1130" t="inlineStr">
        <is>
          <t>train</t>
        </is>
      </c>
      <c r="O1130">
        <f>HYPERLINK("2\0\marker_924_379860.png", "Ver Imagen")</f>
        <v/>
      </c>
      <c r="P1130">
        <f>HYPERLINK("SE\A-5058\A-5058__6.png", "Ver Imagen")</f>
        <v/>
      </c>
    </row>
    <row r="1131">
      <c r="A1131" t="n">
        <v>543</v>
      </c>
      <c r="B1131" t="inlineStr">
        <is>
          <t>A-5058__26</t>
        </is>
      </c>
      <c r="C1131" t="n">
        <v>37.2248306718</v>
      </c>
      <c r="D1131" t="n">
        <v>-7.03373858799</v>
      </c>
      <c r="E1131" t="n">
        <v>2</v>
      </c>
      <c r="F1131" t="n">
        <v>2</v>
      </c>
      <c r="G1131" t="n">
        <v>2</v>
      </c>
      <c r="J1131" t="inlineStr">
        <is>
          <t>Moda</t>
        </is>
      </c>
      <c r="K1131" t="n">
        <v>2</v>
      </c>
      <c r="L1131" t="n">
        <v>1.92</v>
      </c>
      <c r="M1131" t="n">
        <v>0</v>
      </c>
      <c r="N1131" t="inlineStr">
        <is>
          <t>train</t>
        </is>
      </c>
      <c r="O1131">
        <f>HYPERLINK("2\0\marker_497_380147.png", "Ver Imagen")</f>
        <v/>
      </c>
      <c r="P1131">
        <f>HYPERLINK("SE\A-5058\A-5058__26.png", "Ver Imagen")</f>
        <v/>
      </c>
    </row>
    <row r="1132">
      <c r="A1132" t="n">
        <v>544</v>
      </c>
      <c r="B1132" t="inlineStr">
        <is>
          <t>A-495__163</t>
        </is>
      </c>
      <c r="C1132" t="n">
        <v>37.4321037257</v>
      </c>
      <c r="D1132" t="n">
        <v>-7.06308269402</v>
      </c>
      <c r="E1132" t="n">
        <v>2</v>
      </c>
      <c r="F1132" t="n">
        <v>2</v>
      </c>
      <c r="G1132" t="n">
        <v>2</v>
      </c>
      <c r="J1132" t="inlineStr">
        <is>
          <t>Moda</t>
        </is>
      </c>
      <c r="K1132" t="n">
        <v>2</v>
      </c>
      <c r="L1132" t="n">
        <v>1.962</v>
      </c>
      <c r="M1132" t="n">
        <v>0</v>
      </c>
      <c r="N1132" t="inlineStr">
        <is>
          <t>train</t>
        </is>
      </c>
      <c r="O1132">
        <f>HYPERLINK("2\0\marker_795_382840.png", "Ver Imagen")</f>
        <v/>
      </c>
      <c r="P1132">
        <f>HYPERLINK("NE\A-495\A-495__163.png", "Ver Imagen")</f>
        <v/>
      </c>
    </row>
    <row r="1133">
      <c r="A1133" t="n">
        <v>545</v>
      </c>
      <c r="B1133" t="inlineStr">
        <is>
          <t>A-5058__29</t>
        </is>
      </c>
      <c r="C1133" t="n">
        <v>37.2246155848</v>
      </c>
      <c r="D1133" t="n">
        <v>-7.03444720452</v>
      </c>
      <c r="E1133" t="n">
        <v>2</v>
      </c>
      <c r="F1133" t="n">
        <v>2</v>
      </c>
      <c r="G1133" t="n">
        <v>2</v>
      </c>
      <c r="J1133" t="inlineStr">
        <is>
          <t>Moda</t>
        </is>
      </c>
      <c r="K1133" t="n">
        <v>2</v>
      </c>
      <c r="L1133" t="n">
        <v>1.96</v>
      </c>
      <c r="M1133" t="n">
        <v>0</v>
      </c>
      <c r="N1133" t="inlineStr">
        <is>
          <t>train</t>
        </is>
      </c>
      <c r="O1133">
        <f>HYPERLINK("2\0\marker_398_380181.png", "Ver Imagen")</f>
        <v/>
      </c>
      <c r="P1133">
        <f>HYPERLINK("SE\A-5058\A-5058__29.png", "Ver Imagen")</f>
        <v/>
      </c>
    </row>
    <row r="1134">
      <c r="A1134" t="n">
        <v>546</v>
      </c>
      <c r="B1134" t="inlineStr">
        <is>
          <t>A-5058__38</t>
        </is>
      </c>
      <c r="C1134" t="n">
        <v>37.224575943</v>
      </c>
      <c r="D1134" t="n">
        <v>-7.03648997683</v>
      </c>
      <c r="E1134" t="n">
        <v>2</v>
      </c>
      <c r="F1134" t="n">
        <v>2</v>
      </c>
      <c r="G1134" t="n">
        <v>2</v>
      </c>
      <c r="J1134" t="inlineStr">
        <is>
          <t>Moda</t>
        </is>
      </c>
      <c r="K1134" t="n">
        <v>2</v>
      </c>
      <c r="L1134" t="n">
        <v>1.745</v>
      </c>
      <c r="M1134" t="n">
        <v>0</v>
      </c>
      <c r="N1134" t="inlineStr">
        <is>
          <t>train</t>
        </is>
      </c>
      <c r="O1134">
        <f>HYPERLINK("2\0\marker_619_380274.png", "Ver Imagen")</f>
        <v/>
      </c>
      <c r="P1134">
        <f>HYPERLINK("SE\A-5058\A-5058__38.png", "Ver Imagen")</f>
        <v/>
      </c>
    </row>
    <row r="1135">
      <c r="A1135" t="n">
        <v>547</v>
      </c>
      <c r="B1135" t="inlineStr">
        <is>
          <t>A-5058__39</t>
        </is>
      </c>
      <c r="C1135" t="n">
        <v>37.2245866652</v>
      </c>
      <c r="D1135" t="n">
        <v>-7.03672925335</v>
      </c>
      <c r="E1135" t="n">
        <v>2</v>
      </c>
      <c r="F1135" t="n">
        <v>2</v>
      </c>
      <c r="G1135" t="n">
        <v>2</v>
      </c>
      <c r="J1135" t="inlineStr">
        <is>
          <t>Moda</t>
        </is>
      </c>
      <c r="K1135" t="n">
        <v>2</v>
      </c>
      <c r="L1135" t="n">
        <v>2.311</v>
      </c>
      <c r="M1135" t="n">
        <v>0</v>
      </c>
      <c r="N1135" t="inlineStr">
        <is>
          <t>val</t>
        </is>
      </c>
      <c r="O1135">
        <f>HYPERLINK("2\0\marker_610_380286.png", "Ver Imagen")</f>
        <v/>
      </c>
      <c r="P1135">
        <f>HYPERLINK("SE\A-5058\A-5058__39.png", "Ver Imagen")</f>
        <v/>
      </c>
    </row>
    <row r="1136">
      <c r="A1136" t="n">
        <v>548</v>
      </c>
      <c r="B1136" t="inlineStr">
        <is>
          <t>A-5058__40</t>
        </is>
      </c>
      <c r="C1136" t="n">
        <v>37.2245994083</v>
      </c>
      <c r="D1136" t="n">
        <v>-7.03699825878</v>
      </c>
      <c r="E1136" t="n">
        <v>2</v>
      </c>
      <c r="F1136" t="n">
        <v>2</v>
      </c>
      <c r="G1136" t="n">
        <v>2</v>
      </c>
      <c r="J1136" t="inlineStr">
        <is>
          <t>Moda</t>
        </is>
      </c>
      <c r="K1136" t="n">
        <v>2</v>
      </c>
      <c r="L1136" t="n">
        <v>2.214</v>
      </c>
      <c r="M1136" t="n">
        <v>0</v>
      </c>
      <c r="N1136" t="inlineStr">
        <is>
          <t>val</t>
        </is>
      </c>
      <c r="O1136">
        <f>HYPERLINK("2\0\marker_154_380296.png", "Ver Imagen")</f>
        <v/>
      </c>
      <c r="P1136">
        <f>HYPERLINK("SE\A-5058\A-5058__40.png", "Ver Imagen")</f>
        <v/>
      </c>
    </row>
    <row r="1137">
      <c r="A1137" t="n">
        <v>549</v>
      </c>
      <c r="B1137" t="inlineStr">
        <is>
          <t>A-495__170</t>
        </is>
      </c>
      <c r="C1137" t="n">
        <v>37.4313819344</v>
      </c>
      <c r="D1137" t="n">
        <v>-7.06151426692</v>
      </c>
      <c r="E1137" t="n">
        <v>2</v>
      </c>
      <c r="F1137" t="n">
        <v>2</v>
      </c>
      <c r="G1137" t="n">
        <v>2</v>
      </c>
      <c r="J1137" t="inlineStr">
        <is>
          <t>Moda</t>
        </is>
      </c>
      <c r="K1137" t="n">
        <v>2</v>
      </c>
      <c r="L1137" t="n">
        <v>2.111</v>
      </c>
      <c r="M1137" t="n">
        <v>0</v>
      </c>
      <c r="N1137" t="inlineStr">
        <is>
          <t>train</t>
        </is>
      </c>
      <c r="O1137">
        <f>HYPERLINK("2\0\marker_887_382911.png", "Ver Imagen")</f>
        <v/>
      </c>
      <c r="P1137">
        <f>HYPERLINK("NE\A-495\A-495__170.png", "Ver Imagen")</f>
        <v/>
      </c>
    </row>
    <row r="1138">
      <c r="A1138" t="n">
        <v>550</v>
      </c>
      <c r="B1138" t="inlineStr">
        <is>
          <t>A-5058__45</t>
        </is>
      </c>
      <c r="C1138" t="n">
        <v>37.2246684183</v>
      </c>
      <c r="D1138" t="n">
        <v>-7.03827123131</v>
      </c>
      <c r="E1138" t="n">
        <v>2</v>
      </c>
      <c r="F1138" t="n">
        <v>2</v>
      </c>
      <c r="G1138" t="n">
        <v>2</v>
      </c>
      <c r="J1138" t="inlineStr">
        <is>
          <t>Moda</t>
        </is>
      </c>
      <c r="K1138" t="n">
        <v>2</v>
      </c>
      <c r="L1138" t="n">
        <v>2.306</v>
      </c>
      <c r="M1138" t="n">
        <v>0</v>
      </c>
      <c r="N1138" t="inlineStr">
        <is>
          <t>test</t>
        </is>
      </c>
      <c r="O1138">
        <f>HYPERLINK("2\0\marker_610_380473.png", "Ver Imagen")</f>
        <v/>
      </c>
      <c r="P1138">
        <f>HYPERLINK("SE\A-5058\A-5058__45.png", "Ver Imagen")</f>
        <v/>
      </c>
    </row>
    <row r="1139">
      <c r="A1139" t="n">
        <v>551</v>
      </c>
      <c r="B1139" t="inlineStr">
        <is>
          <t>A-5058__46</t>
        </is>
      </c>
      <c r="C1139" t="n">
        <v>37.224690285</v>
      </c>
      <c r="D1139" t="n">
        <v>-7.03851704007</v>
      </c>
      <c r="E1139" t="n">
        <v>2</v>
      </c>
      <c r="F1139" t="n">
        <v>2</v>
      </c>
      <c r="G1139" t="n">
        <v>2</v>
      </c>
      <c r="J1139" t="inlineStr">
        <is>
          <t>Moda</t>
        </is>
      </c>
      <c r="K1139" t="n">
        <v>2</v>
      </c>
      <c r="L1139" t="n">
        <v>1.851</v>
      </c>
      <c r="M1139" t="n">
        <v>0</v>
      </c>
      <c r="N1139" t="inlineStr">
        <is>
          <t>train</t>
        </is>
      </c>
      <c r="O1139">
        <f>HYPERLINK("2\0\marker_536_380488.png", "Ver Imagen")</f>
        <v/>
      </c>
      <c r="P1139">
        <f>HYPERLINK("SE\A-5058\A-5058__46.png", "Ver Imagen")</f>
        <v/>
      </c>
    </row>
    <row r="1140">
      <c r="A1140" t="n">
        <v>552</v>
      </c>
      <c r="B1140" t="inlineStr">
        <is>
          <t>A-5058__51</t>
        </is>
      </c>
      <c r="C1140" t="n">
        <v>37.2249064789</v>
      </c>
      <c r="D1140" t="n">
        <v>-7.03975251656</v>
      </c>
      <c r="E1140" t="n">
        <v>2</v>
      </c>
      <c r="F1140" t="n">
        <v>2</v>
      </c>
      <c r="G1140" t="n">
        <v>2</v>
      </c>
      <c r="J1140" t="inlineStr">
        <is>
          <t>Moda</t>
        </is>
      </c>
      <c r="K1140" t="n">
        <v>2</v>
      </c>
      <c r="L1140" t="n">
        <v>2.039</v>
      </c>
      <c r="M1140" t="n">
        <v>0</v>
      </c>
      <c r="N1140" t="inlineStr">
        <is>
          <t>train</t>
        </is>
      </c>
      <c r="O1140">
        <f>HYPERLINK("2\0\marker_178_380543.png", "Ver Imagen")</f>
        <v/>
      </c>
      <c r="P1140">
        <f>HYPERLINK("SE\A-5058\A-5058__51.png", "Ver Imagen")</f>
        <v/>
      </c>
    </row>
    <row r="1141">
      <c r="A1141" t="n">
        <v>553</v>
      </c>
      <c r="B1141" t="inlineStr">
        <is>
          <t>A-5058__53</t>
        </is>
      </c>
      <c r="C1141" t="n">
        <v>37.225028771</v>
      </c>
      <c r="D1141" t="n">
        <v>-7.04025401857</v>
      </c>
      <c r="E1141" t="n">
        <v>2</v>
      </c>
      <c r="F1141" t="n">
        <v>2</v>
      </c>
      <c r="G1141" t="n">
        <v>2</v>
      </c>
      <c r="J1141" t="inlineStr">
        <is>
          <t>Moda</t>
        </is>
      </c>
      <c r="K1141" t="n">
        <v>2</v>
      </c>
      <c r="L1141" t="n">
        <v>2.159</v>
      </c>
      <c r="M1141" t="n">
        <v>0</v>
      </c>
      <c r="N1141" t="inlineStr">
        <is>
          <t>train</t>
        </is>
      </c>
      <c r="O1141">
        <f>HYPERLINK("2\0\marker_280_380560.png", "Ver Imagen")</f>
        <v/>
      </c>
      <c r="P1141">
        <f>HYPERLINK("SE\A-5058\A-5058__53.png", "Ver Imagen")</f>
        <v/>
      </c>
    </row>
    <row r="1142">
      <c r="A1142" t="n">
        <v>554</v>
      </c>
      <c r="B1142" t="inlineStr">
        <is>
          <t>A-5058__54</t>
        </is>
      </c>
      <c r="C1142" t="n">
        <v>37.22508697</v>
      </c>
      <c r="D1142" t="n">
        <v>-7.04047692088</v>
      </c>
      <c r="E1142" t="n">
        <v>2</v>
      </c>
      <c r="F1142" t="n">
        <v>2</v>
      </c>
      <c r="G1142" t="n">
        <v>2</v>
      </c>
      <c r="J1142" t="inlineStr">
        <is>
          <t>Moda</t>
        </is>
      </c>
      <c r="K1142" t="n">
        <v>2</v>
      </c>
      <c r="L1142" t="n">
        <v>1.973</v>
      </c>
      <c r="M1142" t="n">
        <v>0</v>
      </c>
      <c r="N1142" t="inlineStr">
        <is>
          <t>train</t>
        </is>
      </c>
      <c r="O1142">
        <f>HYPERLINK("2\0\marker_354_380579.png", "Ver Imagen")</f>
        <v/>
      </c>
      <c r="P1142">
        <f>HYPERLINK("SE\A-5058\A-5058__54.png", "Ver Imagen")</f>
        <v/>
      </c>
    </row>
    <row r="1143">
      <c r="A1143" t="n">
        <v>555</v>
      </c>
      <c r="B1143" t="inlineStr">
        <is>
          <t>A-5058__55</t>
        </is>
      </c>
      <c r="C1143" t="n">
        <v>37.2251477688</v>
      </c>
      <c r="D1143" t="n">
        <v>-7.04069393086</v>
      </c>
      <c r="E1143" t="n">
        <v>2</v>
      </c>
      <c r="F1143" t="n">
        <v>2</v>
      </c>
      <c r="G1143" t="n">
        <v>2</v>
      </c>
      <c r="J1143" t="inlineStr">
        <is>
          <t>Moda</t>
        </is>
      </c>
      <c r="K1143" t="n">
        <v>2</v>
      </c>
      <c r="L1143" t="n">
        <v>1.937</v>
      </c>
      <c r="M1143" t="n">
        <v>0</v>
      </c>
      <c r="N1143" t="inlineStr">
        <is>
          <t>train</t>
        </is>
      </c>
      <c r="O1143">
        <f>HYPERLINK("2\0\marker_748_380589.png", "Ver Imagen")</f>
        <v/>
      </c>
      <c r="P1143">
        <f>HYPERLINK("SE\A-5058\A-5058__55.png", "Ver Imagen")</f>
        <v/>
      </c>
    </row>
    <row r="1144">
      <c r="A1144" t="n">
        <v>556</v>
      </c>
      <c r="B1144" t="inlineStr">
        <is>
          <t>A-5058__155</t>
        </is>
      </c>
      <c r="C1144" t="n">
        <v>37.2340742055</v>
      </c>
      <c r="D1144" t="n">
        <v>-7.06256255485</v>
      </c>
      <c r="E1144" t="n">
        <v>2</v>
      </c>
      <c r="F1144" t="n">
        <v>2</v>
      </c>
      <c r="G1144" t="n">
        <v>2</v>
      </c>
      <c r="J1144" t="inlineStr">
        <is>
          <t>Moda</t>
        </is>
      </c>
      <c r="K1144" t="n">
        <v>2</v>
      </c>
      <c r="L1144" t="n">
        <v>1.946</v>
      </c>
      <c r="M1144" t="n">
        <v>0</v>
      </c>
      <c r="N1144" t="inlineStr">
        <is>
          <t>train</t>
        </is>
      </c>
      <c r="O1144">
        <f>HYPERLINK("2\0\marker_312_381759.png", "Ver Imagen")</f>
        <v/>
      </c>
      <c r="P1144">
        <f>HYPERLINK("SE\A-5058\A-5058__155.png", "Ver Imagen")</f>
        <v/>
      </c>
    </row>
    <row r="1145">
      <c r="A1145" t="n">
        <v>559</v>
      </c>
      <c r="B1145" t="inlineStr">
        <is>
          <t>A-495_1__189</t>
        </is>
      </c>
      <c r="C1145" t="n">
        <v>37.4837549312</v>
      </c>
      <c r="D1145" t="n">
        <v>-7.12966778717</v>
      </c>
      <c r="E1145" t="n">
        <v>2</v>
      </c>
      <c r="F1145" t="n">
        <v>2</v>
      </c>
      <c r="G1145" t="n">
        <v>2</v>
      </c>
      <c r="J1145" t="inlineStr">
        <is>
          <t>Moda</t>
        </is>
      </c>
      <c r="K1145" t="n">
        <v>2</v>
      </c>
      <c r="L1145" t="n">
        <v>1.803</v>
      </c>
      <c r="M1145" t="n">
        <v>0</v>
      </c>
      <c r="N1145" t="inlineStr">
        <is>
          <t>train</t>
        </is>
      </c>
      <c r="O1145">
        <f>HYPERLINK("2\0\marker_832_383736.png", "Ver Imagen")</f>
        <v/>
      </c>
      <c r="P1145">
        <f>HYPERLINK("NE\A-495_1\A-495_1__189.png", "Ver Imagen")</f>
        <v/>
      </c>
    </row>
    <row r="1146">
      <c r="A1146" t="n">
        <v>560</v>
      </c>
      <c r="B1146" t="inlineStr">
        <is>
          <t>A-495_1__184</t>
        </is>
      </c>
      <c r="C1146" t="n">
        <v>37.4829816521</v>
      </c>
      <c r="D1146" t="n">
        <v>-7.12891321393</v>
      </c>
      <c r="E1146" t="n">
        <v>2</v>
      </c>
      <c r="F1146" t="n">
        <v>2</v>
      </c>
      <c r="G1146" t="n">
        <v>2</v>
      </c>
      <c r="J1146" t="inlineStr">
        <is>
          <t>Moda</t>
        </is>
      </c>
      <c r="K1146" t="n">
        <v>2</v>
      </c>
      <c r="L1146" t="n">
        <v>2.002</v>
      </c>
      <c r="M1146" t="n">
        <v>0</v>
      </c>
      <c r="N1146" t="inlineStr">
        <is>
          <t>train</t>
        </is>
      </c>
      <c r="O1146">
        <f>HYPERLINK("2\0\marker_827_383784.png", "Ver Imagen")</f>
        <v/>
      </c>
      <c r="P1146">
        <f>HYPERLINK("NE\A-495_1\A-495_1__184.png", "Ver Imagen")</f>
        <v/>
      </c>
    </row>
    <row r="1147">
      <c r="A1147" t="n">
        <v>561</v>
      </c>
      <c r="B1147" t="inlineStr">
        <is>
          <t>A-495_1__180</t>
        </is>
      </c>
      <c r="C1147" t="n">
        <v>37.4822583253</v>
      </c>
      <c r="D1147" t="n">
        <v>-7.12842244541</v>
      </c>
      <c r="E1147" t="n">
        <v>2</v>
      </c>
      <c r="F1147" t="n">
        <v>2</v>
      </c>
      <c r="G1147" t="n">
        <v>2</v>
      </c>
      <c r="J1147" t="inlineStr">
        <is>
          <t>Moda</t>
        </is>
      </c>
      <c r="K1147" t="n">
        <v>2</v>
      </c>
      <c r="L1147" t="n">
        <v>2.074</v>
      </c>
      <c r="M1147" t="n">
        <v>0</v>
      </c>
      <c r="N1147" t="inlineStr">
        <is>
          <t>train</t>
        </is>
      </c>
      <c r="O1147">
        <f>HYPERLINK("2\0\marker_594_383820.png", "Ver Imagen")</f>
        <v/>
      </c>
      <c r="P1147">
        <f>HYPERLINK("NE\A-495_1\A-495_1__180.png", "Ver Imagen")</f>
        <v/>
      </c>
    </row>
    <row r="1148">
      <c r="A1148" t="n">
        <v>562</v>
      </c>
      <c r="B1148" t="inlineStr">
        <is>
          <t>A-495_1__175</t>
        </is>
      </c>
      <c r="C1148" t="n">
        <v>37.4813257898</v>
      </c>
      <c r="D1148" t="n">
        <v>-7.12791568247</v>
      </c>
      <c r="E1148" t="n">
        <v>2</v>
      </c>
      <c r="F1148" t="n">
        <v>2</v>
      </c>
      <c r="G1148" t="n">
        <v>2</v>
      </c>
      <c r="J1148" t="inlineStr">
        <is>
          <t>Moda</t>
        </is>
      </c>
      <c r="K1148" t="n">
        <v>2</v>
      </c>
      <c r="L1148" t="n">
        <v>2.012</v>
      </c>
      <c r="M1148" t="n">
        <v>0</v>
      </c>
      <c r="N1148" t="inlineStr">
        <is>
          <t>train</t>
        </is>
      </c>
      <c r="O1148">
        <f>HYPERLINK("2\0\marker_213_383943.png", "Ver Imagen")</f>
        <v/>
      </c>
      <c r="P1148">
        <f>HYPERLINK("NE\A-495_1\A-495_1__175.png", "Ver Imagen")</f>
        <v/>
      </c>
    </row>
    <row r="1149">
      <c r="A1149" t="n">
        <v>563</v>
      </c>
      <c r="B1149" t="inlineStr">
        <is>
          <t>A-495_1__173</t>
        </is>
      </c>
      <c r="C1149" t="n">
        <v>37.4809360266</v>
      </c>
      <c r="D1149" t="n">
        <v>-7.12779956441</v>
      </c>
      <c r="E1149" t="n">
        <v>2</v>
      </c>
      <c r="F1149" t="n">
        <v>2</v>
      </c>
      <c r="G1149" t="n">
        <v>2</v>
      </c>
      <c r="J1149" t="inlineStr">
        <is>
          <t>Moda</t>
        </is>
      </c>
      <c r="K1149" t="n">
        <v>2</v>
      </c>
      <c r="L1149" t="n">
        <v>2.402</v>
      </c>
      <c r="M1149" t="n">
        <v>0</v>
      </c>
      <c r="N1149" t="inlineStr">
        <is>
          <t>train</t>
        </is>
      </c>
      <c r="O1149">
        <f>HYPERLINK("2\0\marker_641_383960.png", "Ver Imagen")</f>
        <v/>
      </c>
      <c r="P1149">
        <f>HYPERLINK("NE\A-495_1\A-495_1__173.png", "Ver Imagen")</f>
        <v/>
      </c>
    </row>
    <row r="1150">
      <c r="A1150" t="n">
        <v>564</v>
      </c>
      <c r="B1150" t="inlineStr">
        <is>
          <t>A-495_1__85</t>
        </is>
      </c>
      <c r="C1150" t="n">
        <v>37.4646988984</v>
      </c>
      <c r="D1150" t="n">
        <v>-7.12341941892</v>
      </c>
      <c r="E1150" t="n">
        <v>2</v>
      </c>
      <c r="F1150" t="n">
        <v>2</v>
      </c>
      <c r="G1150" t="n">
        <v>2</v>
      </c>
      <c r="J1150" t="inlineStr">
        <is>
          <t>Moda</t>
        </is>
      </c>
      <c r="K1150" t="n">
        <v>2</v>
      </c>
      <c r="L1150" t="n">
        <v>1.765</v>
      </c>
      <c r="M1150" t="n">
        <v>0</v>
      </c>
      <c r="N1150" t="inlineStr">
        <is>
          <t>train</t>
        </is>
      </c>
      <c r="O1150">
        <f>HYPERLINK("2\0\marker_568_385192.png", "Ver Imagen")</f>
        <v/>
      </c>
      <c r="P1150">
        <f>HYPERLINK("NE\A-495_1\A-495_1__85.png", "Ver Imagen")</f>
        <v/>
      </c>
    </row>
    <row r="1151">
      <c r="A1151" t="n">
        <v>565</v>
      </c>
      <c r="B1151" t="inlineStr">
        <is>
          <t>A-495_1__72</t>
        </is>
      </c>
      <c r="C1151" t="n">
        <v>37.4621907929</v>
      </c>
      <c r="D1151" t="n">
        <v>-7.1243069922</v>
      </c>
      <c r="E1151" t="n">
        <v>2</v>
      </c>
      <c r="F1151" t="n">
        <v>2</v>
      </c>
      <c r="G1151" t="n">
        <v>2</v>
      </c>
      <c r="J1151" t="inlineStr">
        <is>
          <t>Moda</t>
        </is>
      </c>
      <c r="K1151" t="n">
        <v>2</v>
      </c>
      <c r="L1151" t="n">
        <v>1.883</v>
      </c>
      <c r="M1151" t="n">
        <v>0</v>
      </c>
      <c r="N1151" t="inlineStr">
        <is>
          <t>train</t>
        </is>
      </c>
      <c r="O1151">
        <f>HYPERLINK("2\0\marker_737_385309.png", "Ver Imagen")</f>
        <v/>
      </c>
      <c r="P1151">
        <f>HYPERLINK("NE\A-495_1\A-495_1__72.png", "Ver Imagen")</f>
        <v/>
      </c>
    </row>
    <row r="1152">
      <c r="A1152" t="n">
        <v>566</v>
      </c>
      <c r="B1152" t="inlineStr">
        <is>
          <t>A-495_1__65</t>
        </is>
      </c>
      <c r="C1152" t="n">
        <v>37.4608015763</v>
      </c>
      <c r="D1152" t="n">
        <v>-7.12464476614</v>
      </c>
      <c r="E1152" t="n">
        <v>2</v>
      </c>
      <c r="F1152" t="n">
        <v>2</v>
      </c>
      <c r="G1152" t="n">
        <v>2</v>
      </c>
      <c r="J1152" t="inlineStr">
        <is>
          <t>Moda</t>
        </is>
      </c>
      <c r="K1152" t="n">
        <v>2</v>
      </c>
      <c r="L1152" t="n">
        <v>1.995</v>
      </c>
      <c r="M1152" t="n">
        <v>0</v>
      </c>
      <c r="N1152" t="inlineStr">
        <is>
          <t>train</t>
        </is>
      </c>
      <c r="O1152">
        <f>HYPERLINK("2\0\marker_342_385373.png", "Ver Imagen")</f>
        <v/>
      </c>
      <c r="P1152">
        <f>HYPERLINK("NE\A-495_1\A-495_1__65.png", "Ver Imagen")</f>
        <v/>
      </c>
    </row>
    <row r="1153">
      <c r="A1153" t="n">
        <v>567</v>
      </c>
      <c r="B1153" t="inlineStr">
        <is>
          <t>A-495_1__64</t>
        </is>
      </c>
      <c r="C1153" t="n">
        <v>37.460572504</v>
      </c>
      <c r="D1153" t="n">
        <v>-7.12471259685</v>
      </c>
      <c r="E1153" t="n">
        <v>2</v>
      </c>
      <c r="F1153" t="n">
        <v>2</v>
      </c>
      <c r="G1153" t="n">
        <v>2</v>
      </c>
      <c r="J1153" t="inlineStr">
        <is>
          <t>Moda</t>
        </is>
      </c>
      <c r="K1153" t="n">
        <v>2</v>
      </c>
      <c r="L1153" t="n">
        <v>1.929</v>
      </c>
      <c r="M1153" t="n">
        <v>0</v>
      </c>
      <c r="N1153" t="inlineStr">
        <is>
          <t>train</t>
        </is>
      </c>
      <c r="O1153">
        <f>HYPERLINK("2\0\marker_842_385382.png", "Ver Imagen")</f>
        <v/>
      </c>
      <c r="P1153">
        <f>HYPERLINK("NE\A-495_1\A-495_1__64.png", "Ver Imagen")</f>
        <v/>
      </c>
    </row>
    <row r="1154">
      <c r="A1154" t="n">
        <v>568</v>
      </c>
      <c r="B1154" t="inlineStr">
        <is>
          <t>A-495_1__63</t>
        </is>
      </c>
      <c r="C1154" t="n">
        <v>37.4603461712</v>
      </c>
      <c r="D1154" t="n">
        <v>-7.12478335314</v>
      </c>
      <c r="E1154" t="n">
        <v>2</v>
      </c>
      <c r="F1154" t="n">
        <v>2</v>
      </c>
      <c r="G1154" t="n">
        <v>2</v>
      </c>
      <c r="J1154" t="inlineStr">
        <is>
          <t>Moda</t>
        </is>
      </c>
      <c r="K1154" t="n">
        <v>2</v>
      </c>
      <c r="L1154" t="n">
        <v>2.07</v>
      </c>
      <c r="M1154" t="n">
        <v>0</v>
      </c>
      <c r="N1154" t="inlineStr">
        <is>
          <t>train</t>
        </is>
      </c>
      <c r="O1154">
        <f>HYPERLINK("2\0\marker_973_385391.png", "Ver Imagen")</f>
        <v/>
      </c>
      <c r="P1154">
        <f>HYPERLINK("NE\A-495_1\A-495_1__63.png", "Ver Imagen")</f>
        <v/>
      </c>
    </row>
    <row r="1155">
      <c r="A1155" t="n">
        <v>569</v>
      </c>
      <c r="B1155" t="inlineStr">
        <is>
          <t>A-495_1__57</t>
        </is>
      </c>
      <c r="C1155" t="n">
        <v>37.4591767065</v>
      </c>
      <c r="D1155" t="n">
        <v>-7.12519665313</v>
      </c>
      <c r="E1155" t="n">
        <v>2</v>
      </c>
      <c r="F1155" t="n">
        <v>2</v>
      </c>
      <c r="G1155" t="n">
        <v>2</v>
      </c>
      <c r="J1155" t="inlineStr">
        <is>
          <t>Moda</t>
        </is>
      </c>
      <c r="K1155" t="n">
        <v>2</v>
      </c>
      <c r="L1155" t="n">
        <v>1.697</v>
      </c>
      <c r="M1155" t="n">
        <v>0</v>
      </c>
      <c r="N1155" t="inlineStr">
        <is>
          <t>train</t>
        </is>
      </c>
      <c r="O1155">
        <f>HYPERLINK("2\0\marker_833_385499.png", "Ver Imagen")</f>
        <v/>
      </c>
      <c r="P1155">
        <f>HYPERLINK("NE\A-495_1\A-495_1__57.png", "Ver Imagen")</f>
        <v/>
      </c>
    </row>
    <row r="1156">
      <c r="A1156" t="n">
        <v>570</v>
      </c>
      <c r="B1156" t="inlineStr">
        <is>
          <t>A-495_1__56</t>
        </is>
      </c>
      <c r="C1156" t="n">
        <v>37.4589741402</v>
      </c>
      <c r="D1156" t="n">
        <v>-7.12527034953</v>
      </c>
      <c r="E1156" t="n">
        <v>2</v>
      </c>
      <c r="F1156" t="n">
        <v>2</v>
      </c>
      <c r="G1156" t="n">
        <v>2</v>
      </c>
      <c r="J1156" t="inlineStr">
        <is>
          <t>Moda</t>
        </is>
      </c>
      <c r="K1156" t="n">
        <v>2</v>
      </c>
      <c r="L1156" t="n">
        <v>2.091</v>
      </c>
      <c r="M1156" t="n">
        <v>0</v>
      </c>
      <c r="N1156" t="inlineStr">
        <is>
          <t>train</t>
        </is>
      </c>
      <c r="O1156">
        <f>HYPERLINK("2\0\marker_203_385509.png", "Ver Imagen")</f>
        <v/>
      </c>
      <c r="P1156">
        <f>HYPERLINK("NE\A-495_1\A-495_1__56.png", "Ver Imagen")</f>
        <v/>
      </c>
    </row>
    <row r="1157">
      <c r="A1157" t="n">
        <v>571</v>
      </c>
      <c r="B1157" t="inlineStr">
        <is>
          <t>A-495_1__54</t>
        </is>
      </c>
      <c r="C1157" t="n">
        <v>37.4586526525</v>
      </c>
      <c r="D1157" t="n">
        <v>-7.125385956</v>
      </c>
      <c r="E1157" t="n">
        <v>2</v>
      </c>
      <c r="F1157" t="n">
        <v>2</v>
      </c>
      <c r="G1157" t="n">
        <v>2</v>
      </c>
      <c r="J1157" t="inlineStr">
        <is>
          <t>Moda</t>
        </is>
      </c>
      <c r="K1157" t="n">
        <v>2</v>
      </c>
      <c r="L1157" t="n">
        <v>1.96</v>
      </c>
      <c r="M1157" t="n">
        <v>0</v>
      </c>
      <c r="N1157" t="inlineStr">
        <is>
          <t>train</t>
        </is>
      </c>
      <c r="O1157">
        <f>HYPERLINK("2\0\marker_987_385527.png", "Ver Imagen")</f>
        <v/>
      </c>
      <c r="P1157">
        <f>HYPERLINK("NE\A-495_1\A-495_1__54.png", "Ver Imagen")</f>
        <v/>
      </c>
    </row>
    <row r="1158">
      <c r="A1158" t="n">
        <v>572</v>
      </c>
      <c r="B1158" t="inlineStr">
        <is>
          <t>A-495_1__50</t>
        </is>
      </c>
      <c r="C1158" t="n">
        <v>37.457853999</v>
      </c>
      <c r="D1158" t="n">
        <v>-7.12567812547</v>
      </c>
      <c r="E1158" t="n">
        <v>2</v>
      </c>
      <c r="F1158" t="n">
        <v>2</v>
      </c>
      <c r="G1158" t="n">
        <v>2</v>
      </c>
      <c r="J1158" t="inlineStr">
        <is>
          <t>Moda</t>
        </is>
      </c>
      <c r="K1158" t="n">
        <v>2</v>
      </c>
      <c r="L1158" t="n">
        <v>1.885</v>
      </c>
      <c r="M1158" t="n">
        <v>0</v>
      </c>
      <c r="N1158" t="inlineStr">
        <is>
          <t>train</t>
        </is>
      </c>
      <c r="O1158">
        <f>HYPERLINK("2\0\marker_518_385561.png", "Ver Imagen")</f>
        <v/>
      </c>
      <c r="P1158">
        <f>HYPERLINK("NE\A-495_1\A-495_1__50.png", "Ver Imagen")</f>
        <v/>
      </c>
    </row>
    <row r="1159">
      <c r="A1159" t="n">
        <v>573</v>
      </c>
      <c r="B1159" t="inlineStr">
        <is>
          <t>A-495_1__48</t>
        </is>
      </c>
      <c r="C1159" t="n">
        <v>37.4574552001</v>
      </c>
      <c r="D1159" t="n">
        <v>-7.12581919618</v>
      </c>
      <c r="E1159" t="n">
        <v>2</v>
      </c>
      <c r="F1159" t="n">
        <v>2</v>
      </c>
      <c r="G1159" t="n">
        <v>2</v>
      </c>
      <c r="J1159" t="inlineStr">
        <is>
          <t>Moda</t>
        </is>
      </c>
      <c r="K1159" t="n">
        <v>2</v>
      </c>
      <c r="L1159" t="n">
        <v>1.871</v>
      </c>
      <c r="M1159" t="n">
        <v>0</v>
      </c>
      <c r="N1159" t="inlineStr">
        <is>
          <t>train</t>
        </is>
      </c>
      <c r="O1159">
        <f>HYPERLINK("2\0\marker_921_385579.png", "Ver Imagen")</f>
        <v/>
      </c>
      <c r="P1159">
        <f>HYPERLINK("NE\A-495_1\A-495_1__48.png", "Ver Imagen")</f>
        <v/>
      </c>
    </row>
    <row r="1160">
      <c r="A1160" t="n">
        <v>574</v>
      </c>
      <c r="B1160" t="inlineStr">
        <is>
          <t>A-495_1__47</t>
        </is>
      </c>
      <c r="C1160" t="n">
        <v>37.4572872634</v>
      </c>
      <c r="D1160" t="n">
        <v>-7.12588017273</v>
      </c>
      <c r="E1160" t="n">
        <v>2</v>
      </c>
      <c r="F1160" t="n">
        <v>2</v>
      </c>
      <c r="G1160" t="n">
        <v>2</v>
      </c>
      <c r="J1160" t="inlineStr">
        <is>
          <t>Moda</t>
        </is>
      </c>
      <c r="K1160" t="n">
        <v>2</v>
      </c>
      <c r="L1160" t="n">
        <v>2.037</v>
      </c>
      <c r="M1160" t="n">
        <v>0</v>
      </c>
      <c r="N1160" t="inlineStr">
        <is>
          <t>train</t>
        </is>
      </c>
      <c r="O1160">
        <f>HYPERLINK("2\0\marker_136_385588.png", "Ver Imagen")</f>
        <v/>
      </c>
      <c r="P1160">
        <f>HYPERLINK("NE\A-495_1\A-495_1__47.png", "Ver Imagen")</f>
        <v/>
      </c>
    </row>
    <row r="1161">
      <c r="A1161" t="n">
        <v>575</v>
      </c>
      <c r="B1161" t="inlineStr">
        <is>
          <t>A-495_1__39</t>
        </is>
      </c>
      <c r="C1161" t="n">
        <v>37.455712431</v>
      </c>
      <c r="D1161" t="n">
        <v>-7.12646446694</v>
      </c>
      <c r="E1161" t="n">
        <v>2</v>
      </c>
      <c r="F1161" t="n">
        <v>2</v>
      </c>
      <c r="G1161" t="n">
        <v>2</v>
      </c>
      <c r="J1161" t="inlineStr">
        <is>
          <t>Moda</t>
        </is>
      </c>
      <c r="K1161" t="n">
        <v>2</v>
      </c>
      <c r="L1161" t="n">
        <v>2.055</v>
      </c>
      <c r="M1161" t="n">
        <v>0</v>
      </c>
      <c r="N1161" t="inlineStr">
        <is>
          <t>train</t>
        </is>
      </c>
      <c r="O1161">
        <f>HYPERLINK("2\0\marker_319_385664.png", "Ver Imagen")</f>
        <v/>
      </c>
      <c r="P1161">
        <f>HYPERLINK("NE\A-495_1\A-495_1__39.png", "Ver Imagen")</f>
        <v/>
      </c>
    </row>
    <row r="1162">
      <c r="A1162" t="n">
        <v>576</v>
      </c>
      <c r="B1162" t="inlineStr">
        <is>
          <t>A-495_1__36</t>
        </is>
      </c>
      <c r="C1162" t="n">
        <v>37.4551647546</v>
      </c>
      <c r="D1162" t="n">
        <v>-7.12666611016</v>
      </c>
      <c r="E1162" t="n">
        <v>2</v>
      </c>
      <c r="F1162" t="n">
        <v>2</v>
      </c>
      <c r="G1162" t="n">
        <v>2</v>
      </c>
      <c r="J1162" t="inlineStr">
        <is>
          <t>Moda</t>
        </is>
      </c>
      <c r="K1162" t="n">
        <v>2</v>
      </c>
      <c r="L1162" t="n">
        <v>1.732</v>
      </c>
      <c r="M1162" t="n">
        <v>0</v>
      </c>
      <c r="N1162" t="inlineStr">
        <is>
          <t>train</t>
        </is>
      </c>
      <c r="O1162">
        <f>HYPERLINK("2\0\marker_165_385692.png", "Ver Imagen")</f>
        <v/>
      </c>
      <c r="P1162">
        <f>HYPERLINK("NE\A-495_1\A-495_1__36.png", "Ver Imagen")</f>
        <v/>
      </c>
    </row>
    <row r="1163">
      <c r="A1163" t="n">
        <v>577</v>
      </c>
      <c r="B1163" t="inlineStr">
        <is>
          <t>A-495_1__31</t>
        </is>
      </c>
      <c r="C1163" t="n">
        <v>37.4541493593</v>
      </c>
      <c r="D1163" t="n">
        <v>-7.12703510884</v>
      </c>
      <c r="E1163" t="n">
        <v>2</v>
      </c>
      <c r="F1163" t="n">
        <v>2</v>
      </c>
      <c r="G1163" t="n">
        <v>2</v>
      </c>
      <c r="J1163" t="inlineStr">
        <is>
          <t>Moda</t>
        </is>
      </c>
      <c r="K1163" t="n">
        <v>2</v>
      </c>
      <c r="L1163" t="n">
        <v>1.907</v>
      </c>
      <c r="M1163" t="n">
        <v>0</v>
      </c>
      <c r="N1163" t="inlineStr">
        <is>
          <t>train</t>
        </is>
      </c>
      <c r="O1163">
        <f>HYPERLINK("2\0\marker_366_385862.png", "Ver Imagen")</f>
        <v/>
      </c>
      <c r="P1163">
        <f>HYPERLINK("NE\A-495_1\A-495_1__31.png", "Ver Imagen")</f>
        <v/>
      </c>
    </row>
    <row r="1164">
      <c r="A1164" t="n">
        <v>578</v>
      </c>
      <c r="B1164" t="inlineStr">
        <is>
          <t>A-495_1__27</t>
        </is>
      </c>
      <c r="C1164" t="n">
        <v>37.4533974866</v>
      </c>
      <c r="D1164" t="n">
        <v>-7.1272650498</v>
      </c>
      <c r="E1164" t="n">
        <v>2</v>
      </c>
      <c r="F1164" t="n">
        <v>2</v>
      </c>
      <c r="G1164" t="n">
        <v>2</v>
      </c>
      <c r="J1164" t="inlineStr">
        <is>
          <t>Moda</t>
        </is>
      </c>
      <c r="K1164" t="n">
        <v>2</v>
      </c>
      <c r="L1164" t="n">
        <v>1.788</v>
      </c>
      <c r="M1164" t="n">
        <v>0</v>
      </c>
      <c r="N1164" t="inlineStr">
        <is>
          <t>test</t>
        </is>
      </c>
      <c r="O1164">
        <f>HYPERLINK("2\0\marker_975_385908.png", "Ver Imagen")</f>
        <v/>
      </c>
      <c r="P1164">
        <f>HYPERLINK("NE\A-495_1\A-495_1__27.png", "Ver Imagen")</f>
        <v/>
      </c>
    </row>
    <row r="1165">
      <c r="A1165" t="n">
        <v>579</v>
      </c>
      <c r="B1165" t="inlineStr">
        <is>
          <t>A-495_1__19</t>
        </is>
      </c>
      <c r="C1165" t="n">
        <v>37.4518016038</v>
      </c>
      <c r="D1165" t="n">
        <v>-7.12746726119</v>
      </c>
      <c r="E1165" t="n">
        <v>2</v>
      </c>
      <c r="F1165" t="n">
        <v>2</v>
      </c>
      <c r="G1165" t="n">
        <v>2</v>
      </c>
      <c r="J1165" t="inlineStr">
        <is>
          <t>Moda</t>
        </is>
      </c>
      <c r="K1165" t="n">
        <v>2</v>
      </c>
      <c r="L1165" t="n">
        <v>2.172</v>
      </c>
      <c r="M1165" t="n">
        <v>0</v>
      </c>
      <c r="N1165" t="inlineStr">
        <is>
          <t>train</t>
        </is>
      </c>
      <c r="O1165">
        <f>HYPERLINK("2\0\marker_410_386134.png", "Ver Imagen")</f>
        <v/>
      </c>
      <c r="P1165">
        <f>HYPERLINK("NE\A-495_1\A-495_1__19.png", "Ver Imagen")</f>
        <v/>
      </c>
    </row>
    <row r="1166">
      <c r="A1166" t="n">
        <v>580</v>
      </c>
      <c r="B1166" t="inlineStr">
        <is>
          <t>A-495_1__18</t>
        </is>
      </c>
      <c r="C1166" t="n">
        <v>37.4515725938</v>
      </c>
      <c r="D1166" t="n">
        <v>-7.12746362102</v>
      </c>
      <c r="E1166" t="n">
        <v>2</v>
      </c>
      <c r="F1166" t="n">
        <v>2</v>
      </c>
      <c r="G1166" t="n">
        <v>2</v>
      </c>
      <c r="J1166" t="inlineStr">
        <is>
          <t>Moda</t>
        </is>
      </c>
      <c r="K1166" t="n">
        <v>2</v>
      </c>
      <c r="L1166" t="n">
        <v>1.856</v>
      </c>
      <c r="M1166" t="n">
        <v>0</v>
      </c>
      <c r="N1166" t="inlineStr">
        <is>
          <t>val</t>
        </is>
      </c>
      <c r="O1166">
        <f>HYPERLINK("2\0\marker_277_386142.png", "Ver Imagen")</f>
        <v/>
      </c>
      <c r="P1166">
        <f>HYPERLINK("NE\A-495_1\A-495_1__18.png", "Ver Imagen")</f>
        <v/>
      </c>
    </row>
    <row r="1167">
      <c r="A1167" t="n">
        <v>581</v>
      </c>
      <c r="B1167" t="inlineStr">
        <is>
          <t>A-499__1</t>
        </is>
      </c>
      <c r="C1167" t="n">
        <v>37.4869648967</v>
      </c>
      <c r="D1167" t="n">
        <v>-7.28020417248</v>
      </c>
      <c r="E1167" t="n">
        <v>2</v>
      </c>
      <c r="F1167" t="n">
        <v>2</v>
      </c>
      <c r="G1167" t="n">
        <v>2</v>
      </c>
      <c r="J1167" t="inlineStr">
        <is>
          <t>Moda</t>
        </is>
      </c>
      <c r="K1167" t="n">
        <v>2</v>
      </c>
      <c r="L1167" t="n">
        <v>2.059</v>
      </c>
      <c r="M1167" t="n">
        <v>0</v>
      </c>
      <c r="N1167" t="inlineStr">
        <is>
          <t>train</t>
        </is>
      </c>
      <c r="O1167">
        <f>HYPERLINK("2\0\marker_119_529185.png", "Ver Imagen")</f>
        <v/>
      </c>
      <c r="P1167">
        <f>HYPERLINK("NO\A-499\A-499__1.png", "Ver Imagen")</f>
        <v/>
      </c>
    </row>
    <row r="1168">
      <c r="A1168" t="n">
        <v>582</v>
      </c>
      <c r="B1168" t="inlineStr">
        <is>
          <t>A-499__2</t>
        </is>
      </c>
      <c r="C1168" t="n">
        <v>37.4871421812</v>
      </c>
      <c r="D1168" t="n">
        <v>-7.28011070816</v>
      </c>
      <c r="E1168" t="n">
        <v>2</v>
      </c>
      <c r="F1168" t="n">
        <v>2</v>
      </c>
      <c r="G1168" t="n">
        <v>2</v>
      </c>
      <c r="J1168" t="inlineStr">
        <is>
          <t>Moda</t>
        </is>
      </c>
      <c r="K1168" t="n">
        <v>2</v>
      </c>
      <c r="L1168" t="n">
        <v>2.175</v>
      </c>
      <c r="M1168" t="n">
        <v>0</v>
      </c>
      <c r="N1168" t="inlineStr">
        <is>
          <t>train</t>
        </is>
      </c>
      <c r="O1168">
        <f>HYPERLINK("2\0\marker_388_529195.png", "Ver Imagen")</f>
        <v/>
      </c>
      <c r="P1168">
        <f>HYPERLINK("NO\A-499\A-499__2.png", "Ver Imagen")</f>
        <v/>
      </c>
    </row>
    <row r="1169">
      <c r="A1169" t="n">
        <v>583</v>
      </c>
      <c r="B1169" t="inlineStr">
        <is>
          <t>A-499__5</t>
        </is>
      </c>
      <c r="C1169" t="n">
        <v>37.4877433537</v>
      </c>
      <c r="D1169" t="n">
        <v>-7.27979843945</v>
      </c>
      <c r="E1169" t="n">
        <v>2</v>
      </c>
      <c r="F1169" t="n">
        <v>2</v>
      </c>
      <c r="G1169" t="n">
        <v>2</v>
      </c>
      <c r="J1169" t="inlineStr">
        <is>
          <t>Moda</t>
        </is>
      </c>
      <c r="K1169" t="n">
        <v>2</v>
      </c>
      <c r="L1169" t="n">
        <v>1.997</v>
      </c>
      <c r="M1169" t="n">
        <v>0</v>
      </c>
      <c r="N1169" t="inlineStr">
        <is>
          <t>train</t>
        </is>
      </c>
      <c r="O1169">
        <f>HYPERLINK("2\0\marker_421_529223.png", "Ver Imagen")</f>
        <v/>
      </c>
      <c r="P1169">
        <f>HYPERLINK("NO\A-499\A-499__5.png", "Ver Imagen")</f>
        <v/>
      </c>
    </row>
    <row r="1170">
      <c r="A1170" t="n">
        <v>584</v>
      </c>
      <c r="B1170" t="inlineStr">
        <is>
          <t>A-499__6</t>
        </is>
      </c>
      <c r="C1170" t="n">
        <v>37.4879175556</v>
      </c>
      <c r="D1170" t="n">
        <v>-7.27970792768</v>
      </c>
      <c r="E1170" t="n">
        <v>2</v>
      </c>
      <c r="F1170" t="n">
        <v>2</v>
      </c>
      <c r="G1170" t="n">
        <v>2</v>
      </c>
      <c r="J1170" t="inlineStr">
        <is>
          <t>Moda</t>
        </is>
      </c>
      <c r="K1170" t="n">
        <v>2</v>
      </c>
      <c r="L1170" t="n">
        <v>2.136</v>
      </c>
      <c r="M1170" t="n">
        <v>0</v>
      </c>
      <c r="N1170" t="inlineStr">
        <is>
          <t>train</t>
        </is>
      </c>
      <c r="O1170">
        <f>HYPERLINK("2\0\marker_504_529237.png", "Ver Imagen")</f>
        <v/>
      </c>
      <c r="P1170">
        <f>HYPERLINK("NO\A-499\A-499__6.png", "Ver Imagen")</f>
        <v/>
      </c>
    </row>
    <row r="1171">
      <c r="A1171" t="n">
        <v>585</v>
      </c>
      <c r="B1171" t="inlineStr">
        <is>
          <t>A-499__8</t>
        </is>
      </c>
      <c r="C1171" t="n">
        <v>37.4882973864</v>
      </c>
      <c r="D1171" t="n">
        <v>-7.27950911768</v>
      </c>
      <c r="E1171" t="n">
        <v>2</v>
      </c>
      <c r="F1171" t="n">
        <v>2</v>
      </c>
      <c r="G1171" t="n">
        <v>2</v>
      </c>
      <c r="J1171" t="inlineStr">
        <is>
          <t>Moda</t>
        </is>
      </c>
      <c r="K1171" t="n">
        <v>2</v>
      </c>
      <c r="L1171" t="n">
        <v>1.932</v>
      </c>
      <c r="M1171" t="n">
        <v>0</v>
      </c>
      <c r="N1171" t="inlineStr">
        <is>
          <t>train</t>
        </is>
      </c>
      <c r="O1171">
        <f>HYPERLINK("2\0\marker_595_529282.png", "Ver Imagen")</f>
        <v/>
      </c>
      <c r="P1171">
        <f>HYPERLINK("NO\A-499\A-499__8.png", "Ver Imagen")</f>
        <v/>
      </c>
    </row>
    <row r="1172">
      <c r="A1172" t="n">
        <v>586</v>
      </c>
      <c r="B1172" t="inlineStr">
        <is>
          <t>A-499__9</t>
        </is>
      </c>
      <c r="C1172" t="n">
        <v>37.4884876855</v>
      </c>
      <c r="D1172" t="n">
        <v>-7.27940983213</v>
      </c>
      <c r="E1172" t="n">
        <v>2</v>
      </c>
      <c r="F1172" t="n">
        <v>2</v>
      </c>
      <c r="G1172" t="n">
        <v>2</v>
      </c>
      <c r="J1172" t="inlineStr">
        <is>
          <t>Moda</t>
        </is>
      </c>
      <c r="K1172" t="n">
        <v>2</v>
      </c>
      <c r="L1172" t="n">
        <v>2.015</v>
      </c>
      <c r="M1172" t="n">
        <v>0</v>
      </c>
      <c r="N1172" t="inlineStr">
        <is>
          <t>train</t>
        </is>
      </c>
      <c r="O1172">
        <f>HYPERLINK("2\0\marker_333_529294.png", "Ver Imagen")</f>
        <v/>
      </c>
      <c r="P1172">
        <f>HYPERLINK("NO\A-499\A-499__9.png", "Ver Imagen")</f>
        <v/>
      </c>
    </row>
    <row r="1173">
      <c r="A1173" t="n">
        <v>587</v>
      </c>
      <c r="B1173" t="inlineStr">
        <is>
          <t>A-499__13</t>
        </is>
      </c>
      <c r="C1173" t="n">
        <v>37.4892002552</v>
      </c>
      <c r="D1173" t="n">
        <v>-7.27904030256</v>
      </c>
      <c r="E1173" t="n">
        <v>2</v>
      </c>
      <c r="F1173" t="n">
        <v>2</v>
      </c>
      <c r="G1173" t="n">
        <v>2</v>
      </c>
      <c r="J1173" t="inlineStr">
        <is>
          <t>Moda</t>
        </is>
      </c>
      <c r="K1173" t="n">
        <v>2</v>
      </c>
      <c r="L1173" t="n">
        <v>2.258</v>
      </c>
      <c r="M1173" t="n">
        <v>0</v>
      </c>
      <c r="N1173" t="inlineStr">
        <is>
          <t>train</t>
        </is>
      </c>
      <c r="O1173">
        <f>HYPERLINK("2\0\marker_432_529330.png", "Ver Imagen")</f>
        <v/>
      </c>
      <c r="P1173">
        <f>HYPERLINK("NO\A-499\A-499__13.png", "Ver Imagen")</f>
        <v/>
      </c>
    </row>
    <row r="1174">
      <c r="A1174" t="n">
        <v>588</v>
      </c>
      <c r="B1174" t="inlineStr">
        <is>
          <t>A-499__14</t>
        </is>
      </c>
      <c r="C1174" t="n">
        <v>37.4893922792</v>
      </c>
      <c r="D1174" t="n">
        <v>-7.27893909539</v>
      </c>
      <c r="E1174" t="n">
        <v>2</v>
      </c>
      <c r="F1174" t="n">
        <v>2</v>
      </c>
      <c r="G1174" t="n">
        <v>2</v>
      </c>
      <c r="J1174" t="inlineStr">
        <is>
          <t>Moda</t>
        </is>
      </c>
      <c r="K1174" t="n">
        <v>2</v>
      </c>
      <c r="L1174" t="n">
        <v>2.022</v>
      </c>
      <c r="M1174" t="n">
        <v>0</v>
      </c>
      <c r="N1174" t="inlineStr">
        <is>
          <t>train</t>
        </is>
      </c>
      <c r="O1174">
        <f>HYPERLINK("2\0\marker_978_529343.png", "Ver Imagen")</f>
        <v/>
      </c>
      <c r="P1174">
        <f>HYPERLINK("NO\A-499\A-499__14.png", "Ver Imagen")</f>
        <v/>
      </c>
    </row>
    <row r="1175">
      <c r="A1175" t="n">
        <v>589</v>
      </c>
      <c r="B1175" t="inlineStr">
        <is>
          <t>A-499__15</t>
        </is>
      </c>
      <c r="C1175" t="n">
        <v>37.4895675975</v>
      </c>
      <c r="D1175" t="n">
        <v>-7.27884625695</v>
      </c>
      <c r="E1175" t="n">
        <v>2</v>
      </c>
      <c r="F1175" t="n">
        <v>2</v>
      </c>
      <c r="G1175" t="n">
        <v>2</v>
      </c>
      <c r="J1175" t="inlineStr">
        <is>
          <t>Moda</t>
        </is>
      </c>
      <c r="K1175" t="n">
        <v>2</v>
      </c>
      <c r="L1175" t="n">
        <v>2.094</v>
      </c>
      <c r="M1175" t="n">
        <v>0</v>
      </c>
      <c r="N1175" t="inlineStr">
        <is>
          <t>train</t>
        </is>
      </c>
      <c r="O1175">
        <f>HYPERLINK("2\0\marker_854_529357.png", "Ver Imagen")</f>
        <v/>
      </c>
      <c r="P1175">
        <f>HYPERLINK("NO\A-499\A-499__15.png", "Ver Imagen")</f>
        <v/>
      </c>
    </row>
    <row r="1176">
      <c r="A1176" t="n">
        <v>590</v>
      </c>
      <c r="B1176" t="inlineStr">
        <is>
          <t>A-499__16</t>
        </is>
      </c>
      <c r="C1176" t="n">
        <v>37.4898042138</v>
      </c>
      <c r="D1176" t="n">
        <v>-7.27872193491</v>
      </c>
      <c r="E1176" t="n">
        <v>2</v>
      </c>
      <c r="F1176" t="n">
        <v>2</v>
      </c>
      <c r="G1176" t="n">
        <v>2</v>
      </c>
      <c r="J1176" t="inlineStr">
        <is>
          <t>Moda</t>
        </is>
      </c>
      <c r="K1176" t="n">
        <v>2</v>
      </c>
      <c r="L1176" t="n">
        <v>1.811</v>
      </c>
      <c r="M1176" t="n">
        <v>0</v>
      </c>
      <c r="N1176" t="inlineStr">
        <is>
          <t>train</t>
        </is>
      </c>
      <c r="O1176">
        <f>HYPERLINK("2\0\marker_181_529395.png", "Ver Imagen")</f>
        <v/>
      </c>
      <c r="P1176">
        <f>HYPERLINK("NO\A-499\A-499__16.png", "Ver Imagen")</f>
        <v/>
      </c>
    </row>
    <row r="1177">
      <c r="A1177" t="n">
        <v>591</v>
      </c>
      <c r="B1177" t="inlineStr">
        <is>
          <t>A-499__17</t>
        </is>
      </c>
      <c r="C1177" t="n">
        <v>37.4899746598</v>
      </c>
      <c r="D1177" t="n">
        <v>-7.27863224077</v>
      </c>
      <c r="E1177" t="n">
        <v>2</v>
      </c>
      <c r="F1177" t="n">
        <v>2</v>
      </c>
      <c r="G1177" t="n">
        <v>2</v>
      </c>
      <c r="J1177" t="inlineStr">
        <is>
          <t>Moda</t>
        </is>
      </c>
      <c r="K1177" t="n">
        <v>2</v>
      </c>
      <c r="L1177" t="n">
        <v>2.224</v>
      </c>
      <c r="M1177" t="n">
        <v>0</v>
      </c>
      <c r="N1177" t="inlineStr">
        <is>
          <t>train</t>
        </is>
      </c>
      <c r="O1177">
        <f>HYPERLINK("2\0\marker_433_529405.png", "Ver Imagen")</f>
        <v/>
      </c>
      <c r="P1177">
        <f>HYPERLINK("NO\A-499\A-499__17.png", "Ver Imagen")</f>
        <v/>
      </c>
    </row>
    <row r="1178">
      <c r="A1178" t="n">
        <v>592</v>
      </c>
      <c r="B1178" t="inlineStr">
        <is>
          <t>A-499__18</t>
        </is>
      </c>
      <c r="C1178" t="n">
        <v>37.4901442008</v>
      </c>
      <c r="D1178" t="n">
        <v>-7.27854297462</v>
      </c>
      <c r="E1178" t="n">
        <v>2</v>
      </c>
      <c r="F1178" t="n">
        <v>2</v>
      </c>
      <c r="G1178" t="n">
        <v>2</v>
      </c>
      <c r="J1178" t="inlineStr">
        <is>
          <t>Moda</t>
        </is>
      </c>
      <c r="K1178" t="n">
        <v>2</v>
      </c>
      <c r="L1178" t="n">
        <v>2.084</v>
      </c>
      <c r="M1178" t="n">
        <v>0</v>
      </c>
      <c r="N1178" t="inlineStr">
        <is>
          <t>train</t>
        </is>
      </c>
      <c r="O1178">
        <f>HYPERLINK("2\0\marker_192_529413.png", "Ver Imagen")</f>
        <v/>
      </c>
      <c r="P1178">
        <f>HYPERLINK("NO\A-499\A-499__18.png", "Ver Imagen")</f>
        <v/>
      </c>
    </row>
    <row r="1179">
      <c r="A1179" t="n">
        <v>593</v>
      </c>
      <c r="B1179" t="inlineStr">
        <is>
          <t>A-499__19</t>
        </is>
      </c>
      <c r="C1179" t="n">
        <v>37.4903148137</v>
      </c>
      <c r="D1179" t="n">
        <v>-7.2784538187</v>
      </c>
      <c r="E1179" t="n">
        <v>2</v>
      </c>
      <c r="F1179" t="n">
        <v>2</v>
      </c>
      <c r="G1179" t="n">
        <v>2</v>
      </c>
      <c r="J1179" t="inlineStr">
        <is>
          <t>Moda</t>
        </is>
      </c>
      <c r="K1179" t="n">
        <v>2</v>
      </c>
      <c r="L1179" t="n">
        <v>2.062</v>
      </c>
      <c r="M1179" t="n">
        <v>0</v>
      </c>
      <c r="N1179" t="inlineStr">
        <is>
          <t>train</t>
        </is>
      </c>
      <c r="O1179">
        <f>HYPERLINK("2\0\marker_181_529422.png", "Ver Imagen")</f>
        <v/>
      </c>
      <c r="P1179">
        <f>HYPERLINK("NO\A-499\A-499__19.png", "Ver Imagen")</f>
        <v/>
      </c>
    </row>
    <row r="1180">
      <c r="A1180" t="n">
        <v>594</v>
      </c>
      <c r="B1180" t="inlineStr">
        <is>
          <t>A-499__20</t>
        </is>
      </c>
      <c r="C1180" t="n">
        <v>37.4905229019</v>
      </c>
      <c r="D1180" t="n">
        <v>-7.27834664421</v>
      </c>
      <c r="E1180" t="n">
        <v>2</v>
      </c>
      <c r="F1180" t="n">
        <v>2</v>
      </c>
      <c r="G1180" t="n">
        <v>2</v>
      </c>
      <c r="J1180" t="inlineStr">
        <is>
          <t>Moda</t>
        </is>
      </c>
      <c r="K1180" t="n">
        <v>2</v>
      </c>
      <c r="L1180" t="n">
        <v>2.259</v>
      </c>
      <c r="M1180" t="n">
        <v>0</v>
      </c>
      <c r="N1180" t="inlineStr">
        <is>
          <t>train</t>
        </is>
      </c>
      <c r="O1180">
        <f>HYPERLINK("2\0\marker_290_529430.png", "Ver Imagen")</f>
        <v/>
      </c>
      <c r="P1180">
        <f>HYPERLINK("NO\A-499\A-499__20.png", "Ver Imagen")</f>
        <v/>
      </c>
    </row>
    <row r="1181">
      <c r="A1181" t="n">
        <v>595</v>
      </c>
      <c r="B1181" t="inlineStr">
        <is>
          <t>A-499__21</t>
        </is>
      </c>
      <c r="C1181" t="n">
        <v>37.4907262886</v>
      </c>
      <c r="D1181" t="n">
        <v>-7.27824520355</v>
      </c>
      <c r="E1181" t="n">
        <v>2</v>
      </c>
      <c r="F1181" t="n">
        <v>2</v>
      </c>
      <c r="G1181" t="n">
        <v>2</v>
      </c>
      <c r="J1181" t="inlineStr">
        <is>
          <t>Moda</t>
        </is>
      </c>
      <c r="K1181" t="n">
        <v>2</v>
      </c>
      <c r="L1181" t="n">
        <v>1.944</v>
      </c>
      <c r="M1181" t="n">
        <v>0</v>
      </c>
      <c r="N1181" t="inlineStr">
        <is>
          <t>train</t>
        </is>
      </c>
      <c r="O1181">
        <f>HYPERLINK("2\0\marker_136_529439.png", "Ver Imagen")</f>
        <v/>
      </c>
      <c r="P1181">
        <f>HYPERLINK("NO\A-499\A-499__21.png", "Ver Imagen")</f>
        <v/>
      </c>
    </row>
    <row r="1182">
      <c r="A1182" t="n">
        <v>596</v>
      </c>
      <c r="B1182" t="inlineStr">
        <is>
          <t>A-499__22</t>
        </is>
      </c>
      <c r="C1182" t="n">
        <v>37.4908940481</v>
      </c>
      <c r="D1182" t="n">
        <v>-7.2781646929</v>
      </c>
      <c r="E1182" t="n">
        <v>2</v>
      </c>
      <c r="F1182" t="n">
        <v>2</v>
      </c>
      <c r="G1182" t="n">
        <v>2</v>
      </c>
      <c r="J1182" t="inlineStr">
        <is>
          <t>Moda</t>
        </is>
      </c>
      <c r="K1182" t="n">
        <v>2</v>
      </c>
      <c r="L1182" t="n">
        <v>2.025</v>
      </c>
      <c r="M1182" t="n">
        <v>0</v>
      </c>
      <c r="N1182" t="inlineStr">
        <is>
          <t>train</t>
        </is>
      </c>
      <c r="O1182">
        <f>HYPERLINK("2\0\marker_596_529446.png", "Ver Imagen")</f>
        <v/>
      </c>
      <c r="P1182">
        <f>HYPERLINK("NO\A-499\A-499__22.png", "Ver Imagen")</f>
        <v/>
      </c>
    </row>
    <row r="1183">
      <c r="A1183" t="n">
        <v>597</v>
      </c>
      <c r="B1183" t="inlineStr">
        <is>
          <t>A-499__23</t>
        </is>
      </c>
      <c r="C1183" t="n">
        <v>37.4910908981</v>
      </c>
      <c r="D1183" t="n">
        <v>-7.2780739283</v>
      </c>
      <c r="E1183" t="n">
        <v>2</v>
      </c>
      <c r="F1183" t="n">
        <v>2</v>
      </c>
      <c r="G1183" t="n">
        <v>2</v>
      </c>
      <c r="J1183" t="inlineStr">
        <is>
          <t>Moda</t>
        </is>
      </c>
      <c r="K1183" t="n">
        <v>2</v>
      </c>
      <c r="L1183" t="n">
        <v>2.041</v>
      </c>
      <c r="M1183" t="n">
        <v>0</v>
      </c>
      <c r="N1183" t="inlineStr">
        <is>
          <t>train</t>
        </is>
      </c>
      <c r="O1183">
        <f>HYPERLINK("2\0\marker_137_529454.png", "Ver Imagen")</f>
        <v/>
      </c>
      <c r="P1183">
        <f>HYPERLINK("NO\A-499\A-499__23.png", "Ver Imagen")</f>
        <v/>
      </c>
    </row>
    <row r="1184">
      <c r="A1184" t="n">
        <v>598</v>
      </c>
      <c r="B1184" t="inlineStr">
        <is>
          <t>A-499__24</t>
        </is>
      </c>
      <c r="C1184" t="n">
        <v>37.4912992615</v>
      </c>
      <c r="D1184" t="n">
        <v>-7.27798113999</v>
      </c>
      <c r="E1184" t="n">
        <v>2</v>
      </c>
      <c r="F1184" t="n">
        <v>2</v>
      </c>
      <c r="G1184" t="n">
        <v>2</v>
      </c>
      <c r="J1184" t="inlineStr">
        <is>
          <t>Moda</t>
        </is>
      </c>
      <c r="K1184" t="n">
        <v>2</v>
      </c>
      <c r="L1184" t="n">
        <v>2.015</v>
      </c>
      <c r="M1184" t="n">
        <v>0</v>
      </c>
      <c r="N1184" t="inlineStr">
        <is>
          <t>train</t>
        </is>
      </c>
      <c r="O1184">
        <f>HYPERLINK("2\0\marker_192_529464.png", "Ver Imagen")</f>
        <v/>
      </c>
      <c r="P1184">
        <f>HYPERLINK("NO\A-499\A-499__24.png", "Ver Imagen")</f>
        <v/>
      </c>
    </row>
    <row r="1185">
      <c r="A1185" t="n">
        <v>599</v>
      </c>
      <c r="B1185" t="inlineStr">
        <is>
          <t>A-499__26</t>
        </is>
      </c>
      <c r="C1185" t="n">
        <v>37.4916809412</v>
      </c>
      <c r="D1185" t="n">
        <v>-7.27781565676</v>
      </c>
      <c r="E1185" t="n">
        <v>2</v>
      </c>
      <c r="F1185" t="n">
        <v>2</v>
      </c>
      <c r="G1185" t="n">
        <v>2</v>
      </c>
      <c r="J1185" t="inlineStr">
        <is>
          <t>Moda</t>
        </is>
      </c>
      <c r="K1185" t="n">
        <v>2</v>
      </c>
      <c r="L1185" t="n">
        <v>1.916</v>
      </c>
      <c r="M1185" t="n">
        <v>0</v>
      </c>
      <c r="N1185" t="inlineStr">
        <is>
          <t>val</t>
        </is>
      </c>
      <c r="O1185">
        <f>HYPERLINK("2\0\marker_568_529503.png", "Ver Imagen")</f>
        <v/>
      </c>
      <c r="P1185">
        <f>HYPERLINK("NO\A-499\A-499__26.png", "Ver Imagen")</f>
        <v/>
      </c>
    </row>
    <row r="1186">
      <c r="A1186" t="n">
        <v>600</v>
      </c>
      <c r="B1186" t="inlineStr">
        <is>
          <t>A-499__27</t>
        </is>
      </c>
      <c r="C1186" t="n">
        <v>37.491870467</v>
      </c>
      <c r="D1186" t="n">
        <v>-7.27773575579</v>
      </c>
      <c r="E1186" t="n">
        <v>2</v>
      </c>
      <c r="F1186" t="n">
        <v>2</v>
      </c>
      <c r="G1186" t="n">
        <v>2</v>
      </c>
      <c r="J1186" t="inlineStr">
        <is>
          <t>Moda</t>
        </is>
      </c>
      <c r="K1186" t="n">
        <v>2</v>
      </c>
      <c r="L1186" t="n">
        <v>1.726</v>
      </c>
      <c r="M1186" t="n">
        <v>0</v>
      </c>
      <c r="N1186" t="inlineStr">
        <is>
          <t>train</t>
        </is>
      </c>
      <c r="O1186">
        <f>HYPERLINK("2\0\marker_893_529510.png", "Ver Imagen")</f>
        <v/>
      </c>
      <c r="P1186">
        <f>HYPERLINK("NO\A-499\A-499__27.png", "Ver Imagen")</f>
        <v/>
      </c>
    </row>
    <row r="1187">
      <c r="A1187" t="n">
        <v>601</v>
      </c>
      <c r="B1187" t="inlineStr">
        <is>
          <t>A-499__29</t>
        </is>
      </c>
      <c r="C1187" t="n">
        <v>37.4922288943</v>
      </c>
      <c r="D1187" t="n">
        <v>-7.27758932546</v>
      </c>
      <c r="E1187" t="n">
        <v>2</v>
      </c>
      <c r="F1187" t="n">
        <v>2</v>
      </c>
      <c r="G1187" t="n">
        <v>2</v>
      </c>
      <c r="J1187" t="inlineStr">
        <is>
          <t>Moda</t>
        </is>
      </c>
      <c r="K1187" t="n">
        <v>2</v>
      </c>
      <c r="L1187" t="n">
        <v>1.879</v>
      </c>
      <c r="M1187" t="n">
        <v>0</v>
      </c>
      <c r="N1187" t="inlineStr">
        <is>
          <t>train</t>
        </is>
      </c>
      <c r="O1187">
        <f>HYPERLINK("2\0\marker_117_529535.png", "Ver Imagen")</f>
        <v/>
      </c>
      <c r="P1187">
        <f>HYPERLINK("NO\A-499\A-499__29.png", "Ver Imagen")</f>
        <v/>
      </c>
    </row>
    <row r="1188">
      <c r="A1188" t="n">
        <v>602</v>
      </c>
      <c r="B1188" t="inlineStr">
        <is>
          <t>A-499__30</t>
        </is>
      </c>
      <c r="C1188" t="n">
        <v>37.4924202598</v>
      </c>
      <c r="D1188" t="n">
        <v>-7.27751440636</v>
      </c>
      <c r="E1188" t="n">
        <v>2</v>
      </c>
      <c r="F1188" t="n">
        <v>2</v>
      </c>
      <c r="G1188" t="n">
        <v>2</v>
      </c>
      <c r="J1188" t="inlineStr">
        <is>
          <t>Moda</t>
        </is>
      </c>
      <c r="K1188" t="n">
        <v>2</v>
      </c>
      <c r="L1188" t="n">
        <v>1.678</v>
      </c>
      <c r="M1188" t="n">
        <v>0</v>
      </c>
      <c r="N1188" t="inlineStr">
        <is>
          <t>val</t>
        </is>
      </c>
      <c r="O1188">
        <f>HYPERLINK("2\0\marker_786_529544.png", "Ver Imagen")</f>
        <v/>
      </c>
      <c r="P1188">
        <f>HYPERLINK("NO\A-499\A-499__30.png", "Ver Imagen")</f>
        <v/>
      </c>
    </row>
    <row r="1189">
      <c r="A1189" t="n">
        <v>603</v>
      </c>
      <c r="B1189" t="inlineStr">
        <is>
          <t>A-499__34</t>
        </is>
      </c>
      <c r="C1189" t="n">
        <v>37.4932186378</v>
      </c>
      <c r="D1189" t="n">
        <v>-7.27723699683</v>
      </c>
      <c r="E1189" t="n">
        <v>2</v>
      </c>
      <c r="F1189" t="n">
        <v>2</v>
      </c>
      <c r="G1189" t="n">
        <v>2</v>
      </c>
      <c r="J1189" t="inlineStr">
        <is>
          <t>Moda</t>
        </is>
      </c>
      <c r="K1189" t="n">
        <v>2</v>
      </c>
      <c r="L1189" t="n">
        <v>2.08</v>
      </c>
      <c r="M1189" t="n">
        <v>0</v>
      </c>
      <c r="N1189" t="inlineStr">
        <is>
          <t>train</t>
        </is>
      </c>
      <c r="O1189">
        <f>HYPERLINK("2\0\marker_262_529963.png", "Ver Imagen")</f>
        <v/>
      </c>
      <c r="P1189">
        <f>HYPERLINK("NO\A-499\A-499__34.png", "Ver Imagen")</f>
        <v/>
      </c>
    </row>
    <row r="1190">
      <c r="A1190" t="n">
        <v>604</v>
      </c>
      <c r="B1190" t="inlineStr">
        <is>
          <t>A-499__38</t>
        </is>
      </c>
      <c r="C1190" t="n">
        <v>37.4940022377</v>
      </c>
      <c r="D1190" t="n">
        <v>-7.27697373377</v>
      </c>
      <c r="E1190" t="n">
        <v>2</v>
      </c>
      <c r="F1190" t="n">
        <v>2</v>
      </c>
      <c r="G1190" t="n">
        <v>2</v>
      </c>
      <c r="J1190" t="inlineStr">
        <is>
          <t>Moda</t>
        </is>
      </c>
      <c r="K1190" t="n">
        <v>2</v>
      </c>
      <c r="L1190" t="n">
        <v>1.696</v>
      </c>
      <c r="M1190" t="n">
        <v>0</v>
      </c>
      <c r="N1190" t="inlineStr">
        <is>
          <t>train</t>
        </is>
      </c>
      <c r="O1190">
        <f>HYPERLINK("2\0\marker_930_530004.png", "Ver Imagen")</f>
        <v/>
      </c>
      <c r="P1190">
        <f>HYPERLINK("NO\A-499\A-499__38.png", "Ver Imagen")</f>
        <v/>
      </c>
    </row>
    <row r="1191">
      <c r="A1191" t="n">
        <v>605</v>
      </c>
      <c r="B1191" t="inlineStr">
        <is>
          <t>A-499__39</t>
        </is>
      </c>
      <c r="C1191" t="n">
        <v>37.4941744293</v>
      </c>
      <c r="D1191" t="n">
        <v>-7.27691698071</v>
      </c>
      <c r="E1191" t="n">
        <v>2</v>
      </c>
      <c r="F1191" t="n">
        <v>2</v>
      </c>
      <c r="G1191" t="n">
        <v>2</v>
      </c>
      <c r="J1191" t="inlineStr">
        <is>
          <t>Moda</t>
        </is>
      </c>
      <c r="K1191" t="n">
        <v>2</v>
      </c>
      <c r="L1191" t="n">
        <v>1.862</v>
      </c>
      <c r="M1191" t="n">
        <v>0</v>
      </c>
      <c r="N1191" t="inlineStr">
        <is>
          <t>test</t>
        </is>
      </c>
      <c r="O1191">
        <f>HYPERLINK("2\0\marker_172_530011.png", "Ver Imagen")</f>
        <v/>
      </c>
      <c r="P1191">
        <f>HYPERLINK("NO\A-499\A-499__39.png", "Ver Imagen")</f>
        <v/>
      </c>
    </row>
    <row r="1192">
      <c r="A1192" t="n">
        <v>606</v>
      </c>
      <c r="B1192" t="inlineStr">
        <is>
          <t>A-499__41</t>
        </is>
      </c>
      <c r="C1192" t="n">
        <v>37.4945802078</v>
      </c>
      <c r="D1192" t="n">
        <v>-7.27678475173</v>
      </c>
      <c r="E1192" t="n">
        <v>2</v>
      </c>
      <c r="F1192" t="n">
        <v>2</v>
      </c>
      <c r="G1192" t="n">
        <v>2</v>
      </c>
      <c r="J1192" t="inlineStr">
        <is>
          <t>Moda</t>
        </is>
      </c>
      <c r="K1192" t="n">
        <v>2</v>
      </c>
      <c r="L1192" t="n">
        <v>1.521</v>
      </c>
      <c r="M1192" t="n">
        <v>0</v>
      </c>
      <c r="N1192" t="inlineStr">
        <is>
          <t>val</t>
        </is>
      </c>
      <c r="O1192">
        <f>HYPERLINK("2\0\marker_680_530033.png", "Ver Imagen")</f>
        <v/>
      </c>
      <c r="P1192">
        <f>HYPERLINK("NO\A-499\A-499__41.png", "Ver Imagen")</f>
        <v/>
      </c>
    </row>
    <row r="1193">
      <c r="A1193" t="n">
        <v>608</v>
      </c>
      <c r="B1193" t="inlineStr">
        <is>
          <t>A-499__55</t>
        </is>
      </c>
      <c r="C1193" t="n">
        <v>37.4957018354</v>
      </c>
      <c r="D1193" t="n">
        <v>-7.27400619493</v>
      </c>
      <c r="E1193" t="n">
        <v>2</v>
      </c>
      <c r="F1193" t="n">
        <v>2</v>
      </c>
      <c r="G1193" t="n">
        <v>2</v>
      </c>
      <c r="J1193" t="inlineStr">
        <is>
          <t>Moda</t>
        </is>
      </c>
      <c r="K1193" t="n">
        <v>2</v>
      </c>
      <c r="L1193" t="n">
        <v>1.947</v>
      </c>
      <c r="M1193" t="n">
        <v>0</v>
      </c>
      <c r="N1193" t="inlineStr">
        <is>
          <t>train</t>
        </is>
      </c>
      <c r="O1193">
        <f>HYPERLINK("2\0\marker_868_534945.png", "Ver Imagen")</f>
        <v/>
      </c>
      <c r="P1193">
        <f>HYPERLINK("NO\A-499\A-499__55.png", "Ver Imagen")</f>
        <v/>
      </c>
    </row>
    <row r="1194">
      <c r="A1194" t="n">
        <v>610</v>
      </c>
      <c r="B1194" t="inlineStr">
        <is>
          <t>A-499__63</t>
        </is>
      </c>
      <c r="C1194" t="n">
        <v>37.4953932655</v>
      </c>
      <c r="D1194" t="n">
        <v>-7.27201943087</v>
      </c>
      <c r="E1194" t="n">
        <v>2</v>
      </c>
      <c r="F1194" t="n">
        <v>2</v>
      </c>
      <c r="G1194" t="n">
        <v>2</v>
      </c>
      <c r="J1194" t="inlineStr">
        <is>
          <t>Moda</t>
        </is>
      </c>
      <c r="K1194" t="n">
        <v>2</v>
      </c>
      <c r="L1194" t="n">
        <v>1.666</v>
      </c>
      <c r="M1194" t="n">
        <v>0</v>
      </c>
      <c r="N1194" t="inlineStr">
        <is>
          <t>train</t>
        </is>
      </c>
      <c r="O1194">
        <f>HYPERLINK("2\0\marker_510_535099.png", "Ver Imagen")</f>
        <v/>
      </c>
      <c r="P1194">
        <f>HYPERLINK("NO\A-499\A-499__63.png", "Ver Imagen")</f>
        <v/>
      </c>
    </row>
    <row r="1195">
      <c r="A1195" t="n">
        <v>611</v>
      </c>
      <c r="B1195" t="inlineStr">
        <is>
          <t>A-499__64</t>
        </is>
      </c>
      <c r="C1195" t="n">
        <v>37.4953541945</v>
      </c>
      <c r="D1195" t="n">
        <v>-7.27171484407</v>
      </c>
      <c r="E1195" t="n">
        <v>2</v>
      </c>
      <c r="F1195" t="n">
        <v>2</v>
      </c>
      <c r="G1195" t="n">
        <v>2</v>
      </c>
      <c r="J1195" t="inlineStr">
        <is>
          <t>Moda</t>
        </is>
      </c>
      <c r="K1195" t="n">
        <v>2</v>
      </c>
      <c r="L1195" t="n">
        <v>1.756</v>
      </c>
      <c r="M1195" t="n">
        <v>0</v>
      </c>
      <c r="N1195" t="inlineStr">
        <is>
          <t>train</t>
        </is>
      </c>
      <c r="O1195">
        <f>HYPERLINK("2\0\marker_271_535115.png", "Ver Imagen")</f>
        <v/>
      </c>
      <c r="P1195">
        <f>HYPERLINK("NO\A-499\A-499__64.png", "Ver Imagen")</f>
        <v/>
      </c>
    </row>
    <row r="1196">
      <c r="A1196" t="n">
        <v>612</v>
      </c>
      <c r="B1196" t="inlineStr">
        <is>
          <t>A-499__97</t>
        </is>
      </c>
      <c r="C1196" t="n">
        <v>37.498215201</v>
      </c>
      <c r="D1196" t="n">
        <v>-7.2677137218</v>
      </c>
      <c r="E1196" t="n">
        <v>2</v>
      </c>
      <c r="F1196" t="n">
        <v>2</v>
      </c>
      <c r="G1196" t="n">
        <v>2</v>
      </c>
      <c r="J1196" t="inlineStr">
        <is>
          <t>Moda</t>
        </is>
      </c>
      <c r="K1196" t="n">
        <v>2</v>
      </c>
      <c r="L1196" t="n">
        <v>2.167</v>
      </c>
      <c r="M1196" t="n">
        <v>0</v>
      </c>
      <c r="N1196" t="inlineStr">
        <is>
          <t>train</t>
        </is>
      </c>
      <c r="O1196">
        <f>HYPERLINK("2\0\marker_612_793164.png", "Ver Imagen")</f>
        <v/>
      </c>
      <c r="P1196">
        <f>HYPERLINK("NO\A-499\A-499__97.png", "Ver Imagen")</f>
        <v/>
      </c>
    </row>
    <row r="1197">
      <c r="A1197" t="n">
        <v>613</v>
      </c>
      <c r="B1197" t="inlineStr">
        <is>
          <t>A-499__98</t>
        </is>
      </c>
      <c r="C1197" t="n">
        <v>37.4984057998</v>
      </c>
      <c r="D1197" t="n">
        <v>-7.26764846377</v>
      </c>
      <c r="E1197" t="n">
        <v>2</v>
      </c>
      <c r="F1197" t="n">
        <v>2</v>
      </c>
      <c r="G1197" t="n">
        <v>2</v>
      </c>
      <c r="J1197" t="inlineStr">
        <is>
          <t>Moda</t>
        </is>
      </c>
      <c r="K1197" t="n">
        <v>2</v>
      </c>
      <c r="L1197" t="n">
        <v>2.035</v>
      </c>
      <c r="M1197" t="n">
        <v>0</v>
      </c>
      <c r="N1197" t="inlineStr">
        <is>
          <t>train</t>
        </is>
      </c>
      <c r="O1197">
        <f>HYPERLINK("2\0\marker_606_793179.png", "Ver Imagen")</f>
        <v/>
      </c>
      <c r="P1197">
        <f>HYPERLINK("NO\A-499\A-499__98.png", "Ver Imagen")</f>
        <v/>
      </c>
    </row>
    <row r="1198">
      <c r="A1198" t="n">
        <v>614</v>
      </c>
      <c r="B1198" t="inlineStr">
        <is>
          <t>A-499__102</t>
        </is>
      </c>
      <c r="C1198" t="n">
        <v>37.4991813975</v>
      </c>
      <c r="D1198" t="n">
        <v>-7.26738040902</v>
      </c>
      <c r="E1198" t="n">
        <v>2</v>
      </c>
      <c r="F1198" t="n">
        <v>2</v>
      </c>
      <c r="G1198" t="n">
        <v>2</v>
      </c>
      <c r="J1198" t="inlineStr">
        <is>
          <t>Moda</t>
        </is>
      </c>
      <c r="K1198" t="n">
        <v>2</v>
      </c>
      <c r="L1198" t="n">
        <v>2.304</v>
      </c>
      <c r="M1198" t="n">
        <v>0</v>
      </c>
      <c r="N1198" t="inlineStr">
        <is>
          <t>train</t>
        </is>
      </c>
      <c r="O1198">
        <f>HYPERLINK("2\0\marker_605_793257.png", "Ver Imagen")</f>
        <v/>
      </c>
      <c r="P1198">
        <f>HYPERLINK("NO\A-499\A-499__102.png", "Ver Imagen")</f>
        <v/>
      </c>
    </row>
    <row r="1199">
      <c r="A1199" t="n">
        <v>615</v>
      </c>
      <c r="B1199" t="inlineStr">
        <is>
          <t>A-499__103</t>
        </is>
      </c>
      <c r="C1199" t="n">
        <v>37.4993996374</v>
      </c>
      <c r="D1199" t="n">
        <v>-7.26730589565</v>
      </c>
      <c r="E1199" t="n">
        <v>2</v>
      </c>
      <c r="F1199" t="n">
        <v>2</v>
      </c>
      <c r="G1199" t="n">
        <v>2</v>
      </c>
      <c r="J1199" t="inlineStr">
        <is>
          <t>Moda</t>
        </is>
      </c>
      <c r="K1199" t="n">
        <v>2</v>
      </c>
      <c r="L1199" t="n">
        <v>2.184</v>
      </c>
      <c r="M1199" t="n">
        <v>0</v>
      </c>
      <c r="N1199" t="inlineStr">
        <is>
          <t>test</t>
        </is>
      </c>
      <c r="O1199">
        <f>HYPERLINK("2\0\marker_539_793279.png", "Ver Imagen")</f>
        <v/>
      </c>
      <c r="P1199">
        <f>HYPERLINK("NO\A-499\A-499__103.png", "Ver Imagen")</f>
        <v/>
      </c>
    </row>
    <row r="1200">
      <c r="A1200" t="n">
        <v>616</v>
      </c>
      <c r="B1200" t="inlineStr">
        <is>
          <t>A-499__105</t>
        </is>
      </c>
      <c r="C1200" t="n">
        <v>37.4997757312</v>
      </c>
      <c r="D1200" t="n">
        <v>-7.26717723937</v>
      </c>
      <c r="E1200" t="n">
        <v>2</v>
      </c>
      <c r="F1200" t="n">
        <v>2</v>
      </c>
      <c r="G1200" t="n">
        <v>2</v>
      </c>
      <c r="J1200" t="inlineStr">
        <is>
          <t>Moda</t>
        </is>
      </c>
      <c r="K1200" t="n">
        <v>2</v>
      </c>
      <c r="L1200" t="n">
        <v>1.904</v>
      </c>
      <c r="M1200" t="n">
        <v>0</v>
      </c>
      <c r="N1200" t="inlineStr">
        <is>
          <t>train</t>
        </is>
      </c>
      <c r="O1200">
        <f>HYPERLINK("2\0\marker_929_793306.png", "Ver Imagen")</f>
        <v/>
      </c>
      <c r="P1200">
        <f>HYPERLINK("NO\A-499\A-499__105.png", "Ver Imagen")</f>
        <v/>
      </c>
    </row>
    <row r="1201">
      <c r="A1201" t="n">
        <v>617</v>
      </c>
      <c r="B1201" t="inlineStr">
        <is>
          <t>A-499__106</t>
        </is>
      </c>
      <c r="C1201" t="n">
        <v>37.4999860664</v>
      </c>
      <c r="D1201" t="n">
        <v>-7.26710506435</v>
      </c>
      <c r="E1201" t="n">
        <v>2</v>
      </c>
      <c r="F1201" t="n">
        <v>2</v>
      </c>
      <c r="G1201" t="n">
        <v>2</v>
      </c>
      <c r="J1201" t="inlineStr">
        <is>
          <t>Moda</t>
        </is>
      </c>
      <c r="K1201" t="n">
        <v>2</v>
      </c>
      <c r="L1201" t="n">
        <v>2.033</v>
      </c>
      <c r="M1201" t="n">
        <v>0</v>
      </c>
      <c r="N1201" t="inlineStr">
        <is>
          <t>train</t>
        </is>
      </c>
      <c r="O1201">
        <f>HYPERLINK("2\0\marker_497_793317.png", "Ver Imagen")</f>
        <v/>
      </c>
      <c r="P1201">
        <f>HYPERLINK("NO\A-499\A-499__106.png", "Ver Imagen")</f>
        <v/>
      </c>
    </row>
    <row r="1202">
      <c r="A1202" t="n">
        <v>618</v>
      </c>
      <c r="B1202" t="inlineStr">
        <is>
          <t>A-497__844</t>
        </is>
      </c>
      <c r="C1202" t="n">
        <v>37.1995505486</v>
      </c>
      <c r="D1202" t="n">
        <v>-6.98468250616</v>
      </c>
      <c r="E1202" t="n">
        <v>2</v>
      </c>
      <c r="F1202" t="n">
        <v>2</v>
      </c>
      <c r="G1202" t="n">
        <v>2</v>
      </c>
      <c r="J1202" t="inlineStr">
        <is>
          <t>Moda</t>
        </is>
      </c>
      <c r="K1202" t="n">
        <v>2</v>
      </c>
      <c r="L1202" t="n">
        <v>1.97</v>
      </c>
      <c r="M1202" t="n">
        <v>0</v>
      </c>
      <c r="N1202" t="inlineStr">
        <is>
          <t>train</t>
        </is>
      </c>
      <c r="O1202">
        <f>HYPERLINK("2\0\marker_304_367502.png", "Ver Imagen")</f>
        <v/>
      </c>
      <c r="P1202">
        <f>HYPERLINK("SE\A-497\A-497__844.png", "Ver Imagen")</f>
        <v/>
      </c>
    </row>
    <row r="1203">
      <c r="A1203" t="n">
        <v>619</v>
      </c>
      <c r="B1203" t="inlineStr">
        <is>
          <t>A-497__843</t>
        </is>
      </c>
      <c r="C1203" t="n">
        <v>37.1994836571</v>
      </c>
      <c r="D1203" t="n">
        <v>-6.98443486555</v>
      </c>
      <c r="E1203" t="n">
        <v>2</v>
      </c>
      <c r="F1203" t="n">
        <v>2</v>
      </c>
      <c r="G1203" t="n">
        <v>2</v>
      </c>
      <c r="J1203" t="inlineStr">
        <is>
          <t>Moda</t>
        </is>
      </c>
      <c r="K1203" t="n">
        <v>2</v>
      </c>
      <c r="L1203" t="n">
        <v>2.035</v>
      </c>
      <c r="M1203" t="n">
        <v>0</v>
      </c>
      <c r="N1203" t="inlineStr">
        <is>
          <t>train</t>
        </is>
      </c>
      <c r="O1203">
        <f>HYPERLINK("2\0\marker_165_367511.png", "Ver Imagen")</f>
        <v/>
      </c>
      <c r="P1203">
        <f>HYPERLINK("SE\A-497\A-497__843.png", "Ver Imagen")</f>
        <v/>
      </c>
    </row>
    <row r="1204">
      <c r="A1204" t="n">
        <v>621</v>
      </c>
      <c r="B1204" t="inlineStr">
        <is>
          <t>A-497__837</t>
        </is>
      </c>
      <c r="C1204" t="n">
        <v>37.1990590878</v>
      </c>
      <c r="D1204" t="n">
        <v>-6.98302553245</v>
      </c>
      <c r="E1204" t="n">
        <v>2</v>
      </c>
      <c r="F1204" t="n">
        <v>2</v>
      </c>
      <c r="G1204" t="n">
        <v>2</v>
      </c>
      <c r="J1204" t="inlineStr">
        <is>
          <t>Moda</t>
        </is>
      </c>
      <c r="K1204" t="n">
        <v>2</v>
      </c>
      <c r="L1204" t="n">
        <v>1.991</v>
      </c>
      <c r="M1204" t="n">
        <v>0</v>
      </c>
      <c r="N1204" t="inlineStr">
        <is>
          <t>train</t>
        </is>
      </c>
      <c r="O1204">
        <f>HYPERLINK("2\0\marker_192_367577.png", "Ver Imagen")</f>
        <v/>
      </c>
      <c r="P1204">
        <f>HYPERLINK("SE\A-497\A-497__837.png", "Ver Imagen")</f>
        <v/>
      </c>
    </row>
    <row r="1205">
      <c r="A1205" t="n">
        <v>624</v>
      </c>
      <c r="B1205" t="inlineStr">
        <is>
          <t>A-499__108</t>
        </is>
      </c>
      <c r="C1205" t="n">
        <v>37.5003642919</v>
      </c>
      <c r="D1205" t="n">
        <v>-7.26697370348</v>
      </c>
      <c r="E1205" t="n">
        <v>2</v>
      </c>
      <c r="F1205" t="n">
        <v>2</v>
      </c>
      <c r="G1205" t="n">
        <v>2</v>
      </c>
      <c r="J1205" t="inlineStr">
        <is>
          <t>Moda</t>
        </is>
      </c>
      <c r="K1205" t="n">
        <v>2</v>
      </c>
      <c r="L1205" t="n">
        <v>2.161</v>
      </c>
      <c r="M1205" t="n">
        <v>0</v>
      </c>
      <c r="N1205" t="inlineStr">
        <is>
          <t>train</t>
        </is>
      </c>
      <c r="O1205">
        <f>HYPERLINK("2\0\marker_612_793346.png", "Ver Imagen")</f>
        <v/>
      </c>
      <c r="P1205">
        <f>HYPERLINK("NO\A-499\A-499__108.png", "Ver Imagen")</f>
        <v/>
      </c>
    </row>
    <row r="1206">
      <c r="A1206" t="n">
        <v>625</v>
      </c>
      <c r="B1206" t="inlineStr">
        <is>
          <t>A-499__109</t>
        </is>
      </c>
      <c r="C1206" t="n">
        <v>37.5005650882</v>
      </c>
      <c r="D1206" t="n">
        <v>-7.26690434516</v>
      </c>
      <c r="E1206" t="n">
        <v>2</v>
      </c>
      <c r="F1206" t="n">
        <v>2</v>
      </c>
      <c r="G1206" t="n">
        <v>2</v>
      </c>
      <c r="J1206" t="inlineStr">
        <is>
          <t>Moda</t>
        </is>
      </c>
      <c r="K1206" t="n">
        <v>2</v>
      </c>
      <c r="L1206" t="n">
        <v>1.687</v>
      </c>
      <c r="M1206" t="n">
        <v>0</v>
      </c>
      <c r="N1206" t="inlineStr">
        <is>
          <t>test</t>
        </is>
      </c>
      <c r="O1206">
        <f>HYPERLINK("2\0\marker_215_793387.png", "Ver Imagen")</f>
        <v/>
      </c>
      <c r="P1206">
        <f>HYPERLINK("NO\A-499\A-499__109.png", "Ver Imagen")</f>
        <v/>
      </c>
    </row>
    <row r="1207">
      <c r="A1207" t="n">
        <v>626</v>
      </c>
      <c r="B1207" t="inlineStr">
        <is>
          <t>A-499__110</t>
        </is>
      </c>
      <c r="C1207" t="n">
        <v>37.5007825227</v>
      </c>
      <c r="D1207" t="n">
        <v>-7.26683081768</v>
      </c>
      <c r="E1207" t="n">
        <v>2</v>
      </c>
      <c r="F1207" t="n">
        <v>2</v>
      </c>
      <c r="G1207" t="n">
        <v>2</v>
      </c>
      <c r="J1207" t="inlineStr">
        <is>
          <t>Moda</t>
        </is>
      </c>
      <c r="K1207" t="n">
        <v>2</v>
      </c>
      <c r="L1207" t="n">
        <v>1.868</v>
      </c>
      <c r="M1207" t="n">
        <v>0</v>
      </c>
      <c r="N1207" t="inlineStr">
        <is>
          <t>train</t>
        </is>
      </c>
      <c r="O1207">
        <f>HYPERLINK("2\0\marker_255_793402.png", "Ver Imagen")</f>
        <v/>
      </c>
      <c r="P1207">
        <f>HYPERLINK("NO\A-499\A-499__110.png", "Ver Imagen")</f>
        <v/>
      </c>
    </row>
    <row r="1208">
      <c r="A1208" t="n">
        <v>627</v>
      </c>
      <c r="B1208" t="inlineStr">
        <is>
          <t>A-497_2C__10</t>
        </is>
      </c>
      <c r="C1208" t="n">
        <v>37.2674379838</v>
      </c>
      <c r="D1208" t="n">
        <v>-6.95950455725</v>
      </c>
      <c r="E1208" t="n">
        <v>2</v>
      </c>
      <c r="F1208" t="n">
        <v>2</v>
      </c>
      <c r="G1208" t="n">
        <v>2</v>
      </c>
      <c r="J1208" t="inlineStr">
        <is>
          <t>Moda</t>
        </is>
      </c>
      <c r="K1208" t="n">
        <v>2</v>
      </c>
      <c r="L1208" t="n">
        <v>2.462</v>
      </c>
      <c r="M1208" t="n">
        <v>0</v>
      </c>
      <c r="N1208" t="inlineStr">
        <is>
          <t>val</t>
        </is>
      </c>
      <c r="O1208">
        <f>HYPERLINK("2\0\marker_361_653985.png", "Ver Imagen")</f>
        <v/>
      </c>
      <c r="P1208">
        <f>HYPERLINK("SE\A-497_2C\A-497_2C__10.png", "Ver Imagen")</f>
        <v/>
      </c>
    </row>
    <row r="1209">
      <c r="A1209" t="n">
        <v>628</v>
      </c>
      <c r="B1209" t="inlineStr">
        <is>
          <t>A-499__124</t>
        </is>
      </c>
      <c r="C1209" t="n">
        <v>37.5034810907</v>
      </c>
      <c r="D1209" t="n">
        <v>-7.26591310989</v>
      </c>
      <c r="E1209" t="n">
        <v>2</v>
      </c>
      <c r="F1209" t="n">
        <v>2</v>
      </c>
      <c r="G1209" t="n">
        <v>2</v>
      </c>
      <c r="J1209" t="inlineStr">
        <is>
          <t>Moda</t>
        </is>
      </c>
      <c r="K1209" t="n">
        <v>2</v>
      </c>
      <c r="L1209" t="n">
        <v>1.998</v>
      </c>
      <c r="M1209" t="n">
        <v>0</v>
      </c>
      <c r="N1209" t="inlineStr">
        <is>
          <t>train</t>
        </is>
      </c>
      <c r="O1209">
        <f>HYPERLINK("2\0\marker_717_793677.png", "Ver Imagen")</f>
        <v/>
      </c>
      <c r="P1209">
        <f>HYPERLINK("NO\A-499\A-499__124.png", "Ver Imagen")</f>
        <v/>
      </c>
    </row>
    <row r="1210">
      <c r="A1210" t="n">
        <v>629</v>
      </c>
      <c r="B1210" t="inlineStr">
        <is>
          <t>A-499__125</t>
        </is>
      </c>
      <c r="C1210" t="n">
        <v>37.5036881107</v>
      </c>
      <c r="D1210" t="n">
        <v>-7.26584257702</v>
      </c>
      <c r="E1210" t="n">
        <v>2</v>
      </c>
      <c r="F1210" t="n">
        <v>2</v>
      </c>
      <c r="G1210" t="n">
        <v>2</v>
      </c>
      <c r="J1210" t="inlineStr">
        <is>
          <t>Moda</t>
        </is>
      </c>
      <c r="K1210" t="n">
        <v>2</v>
      </c>
      <c r="L1210" t="n">
        <v>2.149</v>
      </c>
      <c r="M1210" t="n">
        <v>0</v>
      </c>
      <c r="N1210" t="inlineStr">
        <is>
          <t>test</t>
        </is>
      </c>
      <c r="O1210">
        <f>HYPERLINK("2\0\marker_401_793696.png", "Ver Imagen")</f>
        <v/>
      </c>
      <c r="P1210">
        <f>HYPERLINK("NO\A-499\A-499__125.png", "Ver Imagen")</f>
        <v/>
      </c>
    </row>
    <row r="1211">
      <c r="A1211" t="n">
        <v>630</v>
      </c>
      <c r="B1211" t="inlineStr">
        <is>
          <t>A-499__126</t>
        </is>
      </c>
      <c r="C1211" t="n">
        <v>37.5038674685</v>
      </c>
      <c r="D1211" t="n">
        <v>-7.26578182155</v>
      </c>
      <c r="E1211" t="n">
        <v>2</v>
      </c>
      <c r="F1211" t="n">
        <v>2</v>
      </c>
      <c r="G1211" t="n">
        <v>2</v>
      </c>
      <c r="J1211" t="inlineStr">
        <is>
          <t>Moda</t>
        </is>
      </c>
      <c r="K1211" t="n">
        <v>2</v>
      </c>
      <c r="L1211" t="n">
        <v>1.885</v>
      </c>
      <c r="M1211" t="n">
        <v>0</v>
      </c>
      <c r="N1211" t="inlineStr">
        <is>
          <t>train</t>
        </is>
      </c>
      <c r="O1211">
        <f>HYPERLINK("2\0\marker_175_793710.png", "Ver Imagen")</f>
        <v/>
      </c>
      <c r="P1211">
        <f>HYPERLINK("NO\A-499\A-499__126.png", "Ver Imagen")</f>
        <v/>
      </c>
    </row>
    <row r="1212">
      <c r="A1212" t="n">
        <v>631</v>
      </c>
      <c r="B1212" t="inlineStr">
        <is>
          <t>A-499__127</t>
        </is>
      </c>
      <c r="C1212" t="n">
        <v>37.504058019</v>
      </c>
      <c r="D1212" t="n">
        <v>-7.2657176394</v>
      </c>
      <c r="E1212" t="n">
        <v>2</v>
      </c>
      <c r="F1212" t="n">
        <v>2</v>
      </c>
      <c r="G1212" t="n">
        <v>2</v>
      </c>
      <c r="J1212" t="inlineStr">
        <is>
          <t>Moda</t>
        </is>
      </c>
      <c r="K1212" t="n">
        <v>2</v>
      </c>
      <c r="L1212" t="n">
        <v>1.764</v>
      </c>
      <c r="M1212" t="n">
        <v>0</v>
      </c>
      <c r="N1212" t="inlineStr">
        <is>
          <t>train</t>
        </is>
      </c>
      <c r="O1212">
        <f>HYPERLINK("2\0\marker_550_793724.png", "Ver Imagen")</f>
        <v/>
      </c>
      <c r="P1212">
        <f>HYPERLINK("NO\A-499\A-499__127.png", "Ver Imagen")</f>
        <v/>
      </c>
    </row>
    <row r="1213">
      <c r="A1213" t="n">
        <v>632</v>
      </c>
      <c r="B1213" t="inlineStr">
        <is>
          <t>A-499__133</t>
        </is>
      </c>
      <c r="C1213" t="n">
        <v>37.5052506694</v>
      </c>
      <c r="D1213" t="n">
        <v>-7.26532381858</v>
      </c>
      <c r="E1213" t="n">
        <v>2</v>
      </c>
      <c r="F1213" t="n">
        <v>2</v>
      </c>
      <c r="G1213" t="n">
        <v>2</v>
      </c>
      <c r="J1213" t="inlineStr">
        <is>
          <t>Moda</t>
        </is>
      </c>
      <c r="K1213" t="n">
        <v>2</v>
      </c>
      <c r="L1213" t="n">
        <v>1.795</v>
      </c>
      <c r="M1213" t="n">
        <v>0</v>
      </c>
      <c r="N1213" t="inlineStr">
        <is>
          <t>train</t>
        </is>
      </c>
      <c r="O1213">
        <f>HYPERLINK("2\0\marker_930_793847.png", "Ver Imagen")</f>
        <v/>
      </c>
      <c r="P1213">
        <f>HYPERLINK("NO\A-499\A-499__133.png", "Ver Imagen")</f>
        <v/>
      </c>
    </row>
    <row r="1214">
      <c r="A1214" t="n">
        <v>633</v>
      </c>
      <c r="B1214" t="inlineStr">
        <is>
          <t>A-499__134</t>
        </is>
      </c>
      <c r="C1214" t="n">
        <v>37.5054388825</v>
      </c>
      <c r="D1214" t="n">
        <v>-7.26528506563</v>
      </c>
      <c r="E1214" t="n">
        <v>2</v>
      </c>
      <c r="F1214" t="n">
        <v>2</v>
      </c>
      <c r="G1214" t="n">
        <v>2</v>
      </c>
      <c r="J1214" t="inlineStr">
        <is>
          <t>Moda</t>
        </is>
      </c>
      <c r="K1214" t="n">
        <v>2</v>
      </c>
      <c r="L1214" t="n">
        <v>1.94</v>
      </c>
      <c r="M1214" t="n">
        <v>0</v>
      </c>
      <c r="N1214" t="inlineStr">
        <is>
          <t>train</t>
        </is>
      </c>
      <c r="O1214">
        <f>HYPERLINK("2\0\marker_182_793866.png", "Ver Imagen")</f>
        <v/>
      </c>
      <c r="P1214">
        <f>HYPERLINK("NO\A-499\A-499__134.png", "Ver Imagen")</f>
        <v/>
      </c>
    </row>
    <row r="1215">
      <c r="A1215" t="n">
        <v>634</v>
      </c>
      <c r="B1215" t="inlineStr">
        <is>
          <t>A-499__135</t>
        </is>
      </c>
      <c r="C1215" t="n">
        <v>37.5056540127</v>
      </c>
      <c r="D1215" t="n">
        <v>-7.2652592967</v>
      </c>
      <c r="E1215" t="n">
        <v>2</v>
      </c>
      <c r="F1215" t="n">
        <v>2</v>
      </c>
      <c r="G1215" t="n">
        <v>2</v>
      </c>
      <c r="J1215" t="inlineStr">
        <is>
          <t>Moda</t>
        </is>
      </c>
      <c r="K1215" t="n">
        <v>2</v>
      </c>
      <c r="L1215" t="n">
        <v>1.856</v>
      </c>
      <c r="M1215" t="n">
        <v>0</v>
      </c>
      <c r="N1215" t="inlineStr">
        <is>
          <t>test</t>
        </is>
      </c>
      <c r="O1215">
        <f>HYPERLINK("2\0\marker_174_793910.png", "Ver Imagen")</f>
        <v/>
      </c>
      <c r="P1215">
        <f>HYPERLINK("NO\A-499\A-499__135.png", "Ver Imagen")</f>
        <v/>
      </c>
    </row>
    <row r="1216">
      <c r="A1216" t="n">
        <v>635</v>
      </c>
      <c r="B1216" t="inlineStr">
        <is>
          <t>A-499__136</t>
        </is>
      </c>
      <c r="C1216" t="n">
        <v>37.5058621955</v>
      </c>
      <c r="D1216" t="n">
        <v>-7.26525386194</v>
      </c>
      <c r="E1216" t="n">
        <v>2</v>
      </c>
      <c r="F1216" t="n">
        <v>2</v>
      </c>
      <c r="G1216" t="n">
        <v>2</v>
      </c>
      <c r="J1216" t="inlineStr">
        <is>
          <t>Moda</t>
        </is>
      </c>
      <c r="K1216" t="n">
        <v>2</v>
      </c>
      <c r="L1216" t="n">
        <v>2.092</v>
      </c>
      <c r="M1216" t="n">
        <v>0</v>
      </c>
      <c r="N1216" t="inlineStr">
        <is>
          <t>train</t>
        </is>
      </c>
      <c r="O1216">
        <f>HYPERLINK("2\0\marker_749_793924.png", "Ver Imagen")</f>
        <v/>
      </c>
      <c r="P1216">
        <f>HYPERLINK("NO\A-499\A-499__136.png", "Ver Imagen")</f>
        <v/>
      </c>
    </row>
    <row r="1217">
      <c r="A1217" t="n">
        <v>637</v>
      </c>
      <c r="B1217" t="inlineStr">
        <is>
          <t>A-499__141</t>
        </is>
      </c>
      <c r="C1217" t="n">
        <v>37.5068474271</v>
      </c>
      <c r="D1217" t="n">
        <v>-7.26550748788</v>
      </c>
      <c r="E1217" t="n">
        <v>2</v>
      </c>
      <c r="F1217" t="n">
        <v>2</v>
      </c>
      <c r="G1217" t="n">
        <v>2</v>
      </c>
      <c r="J1217" t="inlineStr">
        <is>
          <t>Moda</t>
        </is>
      </c>
      <c r="K1217" t="n">
        <v>2</v>
      </c>
      <c r="L1217" t="n">
        <v>1.787</v>
      </c>
      <c r="M1217" t="n">
        <v>0</v>
      </c>
      <c r="N1217" t="inlineStr">
        <is>
          <t>test</t>
        </is>
      </c>
      <c r="O1217">
        <f>HYPERLINK("2\0\marker_974_794098.png", "Ver Imagen")</f>
        <v/>
      </c>
      <c r="P1217">
        <f>HYPERLINK("NO\A-499\A-499__141.png", "Ver Imagen")</f>
        <v/>
      </c>
    </row>
    <row r="1218">
      <c r="A1218" t="n">
        <v>638</v>
      </c>
      <c r="B1218" t="inlineStr">
        <is>
          <t>A-499__143</t>
        </is>
      </c>
      <c r="C1218" t="n">
        <v>37.507207549</v>
      </c>
      <c r="D1218" t="n">
        <v>-7.26572957571</v>
      </c>
      <c r="E1218" t="n">
        <v>2</v>
      </c>
      <c r="F1218" t="n">
        <v>2</v>
      </c>
      <c r="G1218" t="n">
        <v>2</v>
      </c>
      <c r="J1218" t="inlineStr">
        <is>
          <t>Moda</t>
        </is>
      </c>
      <c r="K1218" t="n">
        <v>2</v>
      </c>
      <c r="L1218" t="n">
        <v>2.042</v>
      </c>
      <c r="M1218" t="n">
        <v>0</v>
      </c>
      <c r="N1218" t="inlineStr">
        <is>
          <t>train</t>
        </is>
      </c>
      <c r="O1218">
        <f>HYPERLINK("2\0\marker_629_794126.png", "Ver Imagen")</f>
        <v/>
      </c>
      <c r="P1218">
        <f>HYPERLINK("NO\A-499\A-499__143.png", "Ver Imagen")</f>
        <v/>
      </c>
    </row>
    <row r="1219">
      <c r="A1219" t="n">
        <v>639</v>
      </c>
      <c r="B1219" t="inlineStr">
        <is>
          <t>A-499__150</t>
        </is>
      </c>
      <c r="C1219" t="n">
        <v>37.5083960855</v>
      </c>
      <c r="D1219" t="n">
        <v>-7.26667776598</v>
      </c>
      <c r="E1219" t="n">
        <v>2</v>
      </c>
      <c r="F1219" t="n">
        <v>2</v>
      </c>
      <c r="G1219" t="n">
        <v>2</v>
      </c>
      <c r="J1219" t="inlineStr">
        <is>
          <t>Moda</t>
        </is>
      </c>
      <c r="K1219" t="n">
        <v>2</v>
      </c>
      <c r="L1219" t="n">
        <v>2.154</v>
      </c>
      <c r="M1219" t="n">
        <v>0</v>
      </c>
      <c r="N1219" t="inlineStr">
        <is>
          <t>train</t>
        </is>
      </c>
      <c r="O1219">
        <f>HYPERLINK("2\0\marker_852_794308.png", "Ver Imagen")</f>
        <v/>
      </c>
      <c r="P1219">
        <f>HYPERLINK("NO\A-499\A-499__150.png", "Ver Imagen")</f>
        <v/>
      </c>
    </row>
    <row r="1220">
      <c r="A1220" t="n">
        <v>640</v>
      </c>
      <c r="B1220" t="inlineStr">
        <is>
          <t>A-499__151</t>
        </is>
      </c>
      <c r="C1220" t="n">
        <v>37.5085724862</v>
      </c>
      <c r="D1220" t="n">
        <v>-7.26681210939</v>
      </c>
      <c r="E1220" t="n">
        <v>2</v>
      </c>
      <c r="F1220" t="n">
        <v>2</v>
      </c>
      <c r="G1220" t="n">
        <v>2</v>
      </c>
      <c r="J1220" t="inlineStr">
        <is>
          <t>Moda</t>
        </is>
      </c>
      <c r="K1220" t="n">
        <v>2</v>
      </c>
      <c r="L1220" t="n">
        <v>1.656</v>
      </c>
      <c r="M1220" t="n">
        <v>0</v>
      </c>
      <c r="N1220" t="inlineStr">
        <is>
          <t>test</t>
        </is>
      </c>
      <c r="O1220">
        <f>HYPERLINK("2\0\marker_297_794321.png", "Ver Imagen")</f>
        <v/>
      </c>
      <c r="P1220">
        <f>HYPERLINK("NO\A-499\A-499__151.png", "Ver Imagen")</f>
        <v/>
      </c>
    </row>
    <row r="1221">
      <c r="A1221" t="n">
        <v>641</v>
      </c>
      <c r="B1221" t="inlineStr">
        <is>
          <t>A-499__152</t>
        </is>
      </c>
      <c r="C1221" t="n">
        <v>37.5087369045</v>
      </c>
      <c r="D1221" t="n">
        <v>-7.26693147884</v>
      </c>
      <c r="E1221" t="n">
        <v>2</v>
      </c>
      <c r="F1221" t="n">
        <v>2</v>
      </c>
      <c r="G1221" t="n">
        <v>2</v>
      </c>
      <c r="J1221" t="inlineStr">
        <is>
          <t>Moda</t>
        </is>
      </c>
      <c r="K1221" t="n">
        <v>2</v>
      </c>
      <c r="L1221" t="n">
        <v>2.058</v>
      </c>
      <c r="M1221" t="n">
        <v>0</v>
      </c>
      <c r="N1221" t="inlineStr">
        <is>
          <t>train</t>
        </is>
      </c>
      <c r="O1221">
        <f>HYPERLINK("2\0\marker_713_794336.png", "Ver Imagen")</f>
        <v/>
      </c>
      <c r="P1221">
        <f>HYPERLINK("NO\A-499\A-499__152.png", "Ver Imagen")</f>
        <v/>
      </c>
    </row>
    <row r="1222">
      <c r="A1222" t="n">
        <v>642</v>
      </c>
      <c r="B1222" t="inlineStr">
        <is>
          <t>A-499__157</t>
        </is>
      </c>
      <c r="C1222" t="n">
        <v>37.5096676531</v>
      </c>
      <c r="D1222" t="n">
        <v>-7.26745290372</v>
      </c>
      <c r="E1222" t="n">
        <v>2</v>
      </c>
      <c r="F1222" t="n">
        <v>2</v>
      </c>
      <c r="G1222" t="n">
        <v>2</v>
      </c>
      <c r="J1222" t="inlineStr">
        <is>
          <t>Moda</t>
        </is>
      </c>
      <c r="K1222" t="n">
        <v>2</v>
      </c>
      <c r="L1222" t="n">
        <v>1.795</v>
      </c>
      <c r="M1222" t="n">
        <v>0</v>
      </c>
      <c r="N1222" t="inlineStr">
        <is>
          <t>test</t>
        </is>
      </c>
      <c r="O1222">
        <f>HYPERLINK("2\0\marker_278_794538.png", "Ver Imagen")</f>
        <v/>
      </c>
      <c r="P1222">
        <f>HYPERLINK("NO\A-499\A-499__157.png", "Ver Imagen")</f>
        <v/>
      </c>
    </row>
    <row r="1223">
      <c r="A1223" t="n">
        <v>643</v>
      </c>
      <c r="B1223" t="inlineStr">
        <is>
          <t>A-499__167</t>
        </is>
      </c>
      <c r="C1223" t="n">
        <v>37.511608316</v>
      </c>
      <c r="D1223" t="n">
        <v>-7.26821021764</v>
      </c>
      <c r="E1223" t="n">
        <v>2</v>
      </c>
      <c r="F1223" t="n">
        <v>2</v>
      </c>
      <c r="G1223" t="n">
        <v>2</v>
      </c>
      <c r="J1223" t="inlineStr">
        <is>
          <t>Moda</t>
        </is>
      </c>
      <c r="K1223" t="n">
        <v>2</v>
      </c>
      <c r="L1223" t="n">
        <v>1.821</v>
      </c>
      <c r="M1223" t="n">
        <v>0</v>
      </c>
      <c r="N1223" t="inlineStr">
        <is>
          <t>train</t>
        </is>
      </c>
      <c r="O1223">
        <f>HYPERLINK("2\0\marker_315_794715.png", "Ver Imagen")</f>
        <v/>
      </c>
      <c r="P1223">
        <f>HYPERLINK("NO\A-499\A-499__167.png", "Ver Imagen")</f>
        <v/>
      </c>
    </row>
    <row r="1224">
      <c r="A1224" t="n">
        <v>644</v>
      </c>
      <c r="B1224" t="inlineStr">
        <is>
          <t>A-499__169</t>
        </is>
      </c>
      <c r="C1224" t="n">
        <v>37.5119917491</v>
      </c>
      <c r="D1224" t="n">
        <v>-7.26837119286</v>
      </c>
      <c r="E1224" t="n">
        <v>2</v>
      </c>
      <c r="F1224" t="n">
        <v>2</v>
      </c>
      <c r="G1224" t="n">
        <v>2</v>
      </c>
      <c r="J1224" t="inlineStr">
        <is>
          <t>Moda</t>
        </is>
      </c>
      <c r="K1224" t="n">
        <v>2</v>
      </c>
      <c r="L1224" t="n">
        <v>2.372</v>
      </c>
      <c r="M1224" t="n">
        <v>0</v>
      </c>
      <c r="N1224" t="inlineStr">
        <is>
          <t>train</t>
        </is>
      </c>
      <c r="O1224">
        <f>HYPERLINK("2\0\marker_790_794785.png", "Ver Imagen")</f>
        <v/>
      </c>
      <c r="P1224">
        <f>HYPERLINK("NO\A-499\A-499__169.png", "Ver Imagen")</f>
        <v/>
      </c>
    </row>
    <row r="1225">
      <c r="A1225" t="n">
        <v>645</v>
      </c>
      <c r="B1225" t="inlineStr">
        <is>
          <t>A-499__170</t>
        </is>
      </c>
      <c r="C1225" t="n">
        <v>37.5121795457</v>
      </c>
      <c r="D1225" t="n">
        <v>-7.26844770879</v>
      </c>
      <c r="E1225" t="n">
        <v>2</v>
      </c>
      <c r="F1225" t="n">
        <v>2</v>
      </c>
      <c r="G1225" t="n">
        <v>2</v>
      </c>
      <c r="J1225" t="inlineStr">
        <is>
          <t>Moda</t>
        </is>
      </c>
      <c r="K1225" t="n">
        <v>2</v>
      </c>
      <c r="L1225" t="n">
        <v>1.738</v>
      </c>
      <c r="M1225" t="n">
        <v>0</v>
      </c>
      <c r="N1225" t="inlineStr">
        <is>
          <t>train</t>
        </is>
      </c>
      <c r="O1225">
        <f>HYPERLINK("2\0\marker_577_795495.png", "Ver Imagen")</f>
        <v/>
      </c>
      <c r="P1225">
        <f>HYPERLINK("NO\A-499\A-499__170.png", "Ver Imagen")</f>
        <v/>
      </c>
    </row>
    <row r="1226">
      <c r="A1226" t="n">
        <v>646</v>
      </c>
      <c r="B1226" t="inlineStr">
        <is>
          <t>A-499__171</t>
        </is>
      </c>
      <c r="C1226" t="n">
        <v>37.512420092</v>
      </c>
      <c r="D1226" t="n">
        <v>-7.26854589283</v>
      </c>
      <c r="E1226" t="n">
        <v>2</v>
      </c>
      <c r="F1226" t="n">
        <v>2</v>
      </c>
      <c r="G1226" t="n">
        <v>2</v>
      </c>
      <c r="J1226" t="inlineStr">
        <is>
          <t>Moda</t>
        </is>
      </c>
      <c r="K1226" t="n">
        <v>2</v>
      </c>
      <c r="L1226" t="n">
        <v>1.978</v>
      </c>
      <c r="M1226" t="n">
        <v>0</v>
      </c>
      <c r="N1226" t="inlineStr">
        <is>
          <t>train</t>
        </is>
      </c>
      <c r="O1226">
        <f>HYPERLINK("2\0\marker_356_795509.png", "Ver Imagen")</f>
        <v/>
      </c>
      <c r="P1226">
        <f>HYPERLINK("NO\A-499\A-499__171.png", "Ver Imagen")</f>
        <v/>
      </c>
    </row>
    <row r="1227">
      <c r="A1227" t="n">
        <v>647</v>
      </c>
      <c r="B1227" t="inlineStr">
        <is>
          <t>A-499__172</t>
        </is>
      </c>
      <c r="C1227" t="n">
        <v>37.5125755509</v>
      </c>
      <c r="D1227" t="n">
        <v>-7.2686095749</v>
      </c>
      <c r="E1227" t="n">
        <v>2</v>
      </c>
      <c r="F1227" t="n">
        <v>2</v>
      </c>
      <c r="G1227" t="n">
        <v>2</v>
      </c>
      <c r="J1227" t="inlineStr">
        <is>
          <t>Moda</t>
        </is>
      </c>
      <c r="K1227" t="n">
        <v>2</v>
      </c>
      <c r="L1227" t="n">
        <v>1.873</v>
      </c>
      <c r="M1227" t="n">
        <v>0</v>
      </c>
      <c r="N1227" t="inlineStr">
        <is>
          <t>train</t>
        </is>
      </c>
      <c r="O1227">
        <f>HYPERLINK("2\0\marker_466_795519.png", "Ver Imagen")</f>
        <v/>
      </c>
      <c r="P1227">
        <f>HYPERLINK("NO\A-499\A-499__172.png", "Ver Imagen")</f>
        <v/>
      </c>
    </row>
    <row r="1228">
      <c r="A1228" t="n">
        <v>648</v>
      </c>
      <c r="B1228" t="inlineStr">
        <is>
          <t>A-499__173</t>
        </is>
      </c>
      <c r="C1228" t="n">
        <v>37.5127809293</v>
      </c>
      <c r="D1228" t="n">
        <v>-7.26869177148</v>
      </c>
      <c r="E1228" t="n">
        <v>2</v>
      </c>
      <c r="F1228" t="n">
        <v>2</v>
      </c>
      <c r="G1228" t="n">
        <v>2</v>
      </c>
      <c r="J1228" t="inlineStr">
        <is>
          <t>Moda</t>
        </is>
      </c>
      <c r="K1228" t="n">
        <v>2</v>
      </c>
      <c r="L1228" t="n">
        <v>1.66</v>
      </c>
      <c r="M1228" t="n">
        <v>0</v>
      </c>
      <c r="N1228" t="inlineStr">
        <is>
          <t>train</t>
        </is>
      </c>
      <c r="O1228">
        <f>HYPERLINK("2\0\marker_784_795532.png", "Ver Imagen")</f>
        <v/>
      </c>
      <c r="P1228">
        <f>HYPERLINK("NO\A-499\A-499__173.png", "Ver Imagen")</f>
        <v/>
      </c>
    </row>
    <row r="1229">
      <c r="A1229" t="n">
        <v>649</v>
      </c>
      <c r="B1229" t="inlineStr">
        <is>
          <t>A-499__181</t>
        </is>
      </c>
      <c r="C1229" t="n">
        <v>37.5143400048</v>
      </c>
      <c r="D1229" t="n">
        <v>-7.26895624369</v>
      </c>
      <c r="E1229" t="n">
        <v>2</v>
      </c>
      <c r="F1229" t="n">
        <v>2</v>
      </c>
      <c r="G1229" t="n">
        <v>2</v>
      </c>
      <c r="J1229" t="inlineStr">
        <is>
          <t>Moda</t>
        </is>
      </c>
      <c r="K1229" t="n">
        <v>2</v>
      </c>
      <c r="L1229" t="n">
        <v>1.975</v>
      </c>
      <c r="M1229" t="n">
        <v>0</v>
      </c>
      <c r="N1229" t="inlineStr">
        <is>
          <t>train</t>
        </is>
      </c>
      <c r="O1229">
        <f>HYPERLINK("2\0\marker_531_795637.png", "Ver Imagen")</f>
        <v/>
      </c>
      <c r="P1229">
        <f>HYPERLINK("NO\A-499\A-499__181.png", "Ver Imagen")</f>
        <v/>
      </c>
    </row>
    <row r="1230">
      <c r="A1230" t="n">
        <v>650</v>
      </c>
      <c r="B1230" t="inlineStr">
        <is>
          <t>A-499__182</t>
        </is>
      </c>
      <c r="C1230" t="n">
        <v>37.5145454068</v>
      </c>
      <c r="D1230" t="n">
        <v>-7.26890357808</v>
      </c>
      <c r="E1230" t="n">
        <v>2</v>
      </c>
      <c r="F1230" t="n">
        <v>2</v>
      </c>
      <c r="G1230" t="n">
        <v>2</v>
      </c>
      <c r="J1230" t="inlineStr">
        <is>
          <t>Moda</t>
        </is>
      </c>
      <c r="K1230" t="n">
        <v>2</v>
      </c>
      <c r="L1230" t="n">
        <v>1.984</v>
      </c>
      <c r="M1230" t="n">
        <v>0</v>
      </c>
      <c r="N1230" t="inlineStr">
        <is>
          <t>train</t>
        </is>
      </c>
      <c r="O1230">
        <f>HYPERLINK("2\0\marker_995_795652.png", "Ver Imagen")</f>
        <v/>
      </c>
      <c r="P1230">
        <f>HYPERLINK("NO\A-499\A-499__182.png", "Ver Imagen")</f>
        <v/>
      </c>
    </row>
    <row r="1231">
      <c r="A1231" t="n">
        <v>651</v>
      </c>
      <c r="B1231" t="inlineStr">
        <is>
          <t>A-499__184</t>
        </is>
      </c>
      <c r="C1231" t="n">
        <v>37.514916668</v>
      </c>
      <c r="D1231" t="n">
        <v>-7.26875722137</v>
      </c>
      <c r="E1231" t="n">
        <v>2</v>
      </c>
      <c r="F1231" t="n">
        <v>2</v>
      </c>
      <c r="G1231" t="n">
        <v>2</v>
      </c>
      <c r="J1231" t="inlineStr">
        <is>
          <t>Moda</t>
        </is>
      </c>
      <c r="K1231" t="n">
        <v>2</v>
      </c>
      <c r="L1231" t="n">
        <v>2.067</v>
      </c>
      <c r="M1231" t="n">
        <v>0</v>
      </c>
      <c r="N1231" t="inlineStr">
        <is>
          <t>train</t>
        </is>
      </c>
      <c r="O1231">
        <f>HYPERLINK("2\0\marker_771_795684.png", "Ver Imagen")</f>
        <v/>
      </c>
      <c r="P1231">
        <f>HYPERLINK("NO\A-499\A-499__184.png", "Ver Imagen")</f>
        <v/>
      </c>
    </row>
    <row r="1232">
      <c r="A1232" t="n">
        <v>652</v>
      </c>
      <c r="B1232" t="inlineStr">
        <is>
          <t>A-499__185</t>
        </is>
      </c>
      <c r="C1232" t="n">
        <v>37.5151133491</v>
      </c>
      <c r="D1232" t="n">
        <v>-7.26864770044</v>
      </c>
      <c r="E1232" t="n">
        <v>2</v>
      </c>
      <c r="F1232" t="n">
        <v>2</v>
      </c>
      <c r="G1232" t="n">
        <v>2</v>
      </c>
      <c r="J1232" t="inlineStr">
        <is>
          <t>Moda</t>
        </is>
      </c>
      <c r="K1232" t="n">
        <v>2</v>
      </c>
      <c r="L1232" t="n">
        <v>1.933</v>
      </c>
      <c r="M1232" t="n">
        <v>0</v>
      </c>
      <c r="N1232" t="inlineStr">
        <is>
          <t>train</t>
        </is>
      </c>
      <c r="O1232">
        <f>HYPERLINK("2\0\marker_708_795699.png", "Ver Imagen")</f>
        <v/>
      </c>
      <c r="P1232">
        <f>HYPERLINK("NO\A-499\A-499__185.png", "Ver Imagen")</f>
        <v/>
      </c>
    </row>
    <row r="1233">
      <c r="A1233" t="n">
        <v>653</v>
      </c>
      <c r="B1233" t="inlineStr">
        <is>
          <t>A-499__189</t>
        </is>
      </c>
      <c r="C1233" t="n">
        <v>37.5157602261</v>
      </c>
      <c r="D1233" t="n">
        <v>-7.26807165092</v>
      </c>
      <c r="E1233" t="n">
        <v>2</v>
      </c>
      <c r="F1233" t="n">
        <v>2</v>
      </c>
      <c r="G1233" t="n">
        <v>2</v>
      </c>
      <c r="J1233" t="inlineStr">
        <is>
          <t>Moda</t>
        </is>
      </c>
      <c r="K1233" t="n">
        <v>2</v>
      </c>
      <c r="L1233" t="n">
        <v>1.93</v>
      </c>
      <c r="M1233" t="n">
        <v>0</v>
      </c>
      <c r="N1233" t="inlineStr">
        <is>
          <t>train</t>
        </is>
      </c>
      <c r="O1233">
        <f>HYPERLINK("2\0\marker_382_795795.png", "Ver Imagen")</f>
        <v/>
      </c>
      <c r="P1233">
        <f>HYPERLINK("NO\A-499\A-499__189.png", "Ver Imagen")</f>
        <v/>
      </c>
    </row>
    <row r="1234">
      <c r="A1234" t="n">
        <v>654</v>
      </c>
      <c r="B1234" t="inlineStr">
        <is>
          <t>A-499__194</t>
        </is>
      </c>
      <c r="C1234" t="n">
        <v>37.516376912</v>
      </c>
      <c r="D1234" t="n">
        <v>-7.26707841585</v>
      </c>
      <c r="E1234" t="n">
        <v>2</v>
      </c>
      <c r="F1234" t="n">
        <v>2</v>
      </c>
      <c r="G1234" t="n">
        <v>2</v>
      </c>
      <c r="J1234" t="inlineStr">
        <is>
          <t>Moda</t>
        </is>
      </c>
      <c r="K1234" t="n">
        <v>2</v>
      </c>
      <c r="L1234" t="n">
        <v>1.772</v>
      </c>
      <c r="M1234" t="n">
        <v>0</v>
      </c>
      <c r="N1234" t="inlineStr">
        <is>
          <t>train</t>
        </is>
      </c>
      <c r="O1234">
        <f>HYPERLINK("2\0\marker_543_795869.png", "Ver Imagen")</f>
        <v/>
      </c>
      <c r="P1234">
        <f>HYPERLINK("NO\A-499\A-499__194.png", "Ver Imagen")</f>
        <v/>
      </c>
    </row>
    <row r="1235">
      <c r="A1235" t="n">
        <v>655</v>
      </c>
      <c r="B1235" t="inlineStr">
        <is>
          <t>A-499__195</t>
        </is>
      </c>
      <c r="C1235" t="n">
        <v>37.5164866211</v>
      </c>
      <c r="D1235" t="n">
        <v>-7.26686445587</v>
      </c>
      <c r="E1235" t="n">
        <v>2</v>
      </c>
      <c r="F1235" t="n">
        <v>2</v>
      </c>
      <c r="G1235" t="n">
        <v>2</v>
      </c>
      <c r="J1235" t="inlineStr">
        <is>
          <t>Moda</t>
        </is>
      </c>
      <c r="K1235" t="n">
        <v>2</v>
      </c>
      <c r="L1235" t="n">
        <v>2.202</v>
      </c>
      <c r="M1235" t="n">
        <v>0</v>
      </c>
      <c r="N1235" t="inlineStr">
        <is>
          <t>train</t>
        </is>
      </c>
      <c r="O1235">
        <f>HYPERLINK("2\0\marker_983_795888.png", "Ver Imagen")</f>
        <v/>
      </c>
      <c r="P1235">
        <f>HYPERLINK("NO\A-499\A-499__195.png", "Ver Imagen")</f>
        <v/>
      </c>
    </row>
    <row r="1236">
      <c r="A1236" t="n">
        <v>656</v>
      </c>
      <c r="B1236" t="inlineStr">
        <is>
          <t>A-499__199</t>
        </is>
      </c>
      <c r="C1236" t="n">
        <v>37.5169211377</v>
      </c>
      <c r="D1236" t="n">
        <v>-7.26601858456</v>
      </c>
      <c r="E1236" t="n">
        <v>2</v>
      </c>
      <c r="F1236" t="n">
        <v>2</v>
      </c>
      <c r="G1236" t="n">
        <v>2</v>
      </c>
      <c r="J1236" t="inlineStr">
        <is>
          <t>Moda</t>
        </is>
      </c>
      <c r="K1236" t="n">
        <v>2</v>
      </c>
      <c r="L1236" t="n">
        <v>1.897</v>
      </c>
      <c r="M1236" t="n">
        <v>0</v>
      </c>
      <c r="N1236" t="inlineStr">
        <is>
          <t>train</t>
        </is>
      </c>
      <c r="O1236">
        <f>HYPERLINK("2\0\marker_893_796072.png", "Ver Imagen")</f>
        <v/>
      </c>
      <c r="P1236">
        <f>HYPERLINK("NO\A-499\A-499__199.png", "Ver Imagen")</f>
        <v/>
      </c>
    </row>
    <row r="1237">
      <c r="A1237" t="n">
        <v>657</v>
      </c>
      <c r="B1237" t="inlineStr">
        <is>
          <t>A-499__200</t>
        </is>
      </c>
      <c r="C1237" t="n">
        <v>37.5170445768</v>
      </c>
      <c r="D1237" t="n">
        <v>-7.26577653348</v>
      </c>
      <c r="E1237" t="n">
        <v>2</v>
      </c>
      <c r="F1237" t="n">
        <v>2</v>
      </c>
      <c r="G1237" t="n">
        <v>2</v>
      </c>
      <c r="J1237" t="inlineStr">
        <is>
          <t>Moda</t>
        </is>
      </c>
      <c r="K1237" t="n">
        <v>2</v>
      </c>
      <c r="L1237" t="n">
        <v>2.343</v>
      </c>
      <c r="M1237" t="n">
        <v>0</v>
      </c>
      <c r="N1237" t="inlineStr">
        <is>
          <t>val</t>
        </is>
      </c>
      <c r="O1237">
        <f>HYPERLINK("2\0\marker_152_796087.png", "Ver Imagen")</f>
        <v/>
      </c>
      <c r="P1237">
        <f>HYPERLINK("NO\A-499\A-499__200.png", "Ver Imagen")</f>
        <v/>
      </c>
    </row>
    <row r="1238">
      <c r="A1238" t="n">
        <v>659</v>
      </c>
      <c r="B1238" t="inlineStr">
        <is>
          <t>A-499__208</t>
        </is>
      </c>
      <c r="C1238" t="n">
        <v>37.5179166628</v>
      </c>
      <c r="D1238" t="n">
        <v>-7.26406530048</v>
      </c>
      <c r="E1238" t="n">
        <v>2</v>
      </c>
      <c r="F1238" t="n">
        <v>2</v>
      </c>
      <c r="G1238" t="n">
        <v>2</v>
      </c>
      <c r="J1238" t="inlineStr">
        <is>
          <t>Moda</t>
        </is>
      </c>
      <c r="K1238" t="n">
        <v>2</v>
      </c>
      <c r="L1238" t="n">
        <v>1.759</v>
      </c>
      <c r="M1238" t="n">
        <v>0</v>
      </c>
      <c r="N1238" t="inlineStr">
        <is>
          <t>train</t>
        </is>
      </c>
      <c r="O1238">
        <f>HYPERLINK("2\0\marker_160_796286.png", "Ver Imagen")</f>
        <v/>
      </c>
      <c r="P1238">
        <f>HYPERLINK("NO\A-499\A-499__208.png", "Ver Imagen")</f>
        <v/>
      </c>
    </row>
    <row r="1239">
      <c r="A1239" t="n">
        <v>660</v>
      </c>
      <c r="B1239" t="inlineStr">
        <is>
          <t>A-499__210</t>
        </is>
      </c>
      <c r="C1239" t="n">
        <v>37.5181209063</v>
      </c>
      <c r="D1239" t="n">
        <v>-7.26366496325</v>
      </c>
      <c r="E1239" t="n">
        <v>2</v>
      </c>
      <c r="F1239" t="n">
        <v>2</v>
      </c>
      <c r="G1239" t="n">
        <v>2</v>
      </c>
      <c r="J1239" t="inlineStr">
        <is>
          <t>Moda</t>
        </is>
      </c>
      <c r="K1239" t="n">
        <v>2</v>
      </c>
      <c r="L1239" t="n">
        <v>1.78</v>
      </c>
      <c r="M1239" t="n">
        <v>0</v>
      </c>
      <c r="N1239" t="inlineStr">
        <is>
          <t>train</t>
        </is>
      </c>
      <c r="O1239">
        <f>HYPERLINK("2\0\marker_514_796310.png", "Ver Imagen")</f>
        <v/>
      </c>
      <c r="P1239">
        <f>HYPERLINK("NO\A-499\A-499__210.png", "Ver Imagen")</f>
        <v/>
      </c>
    </row>
    <row r="1240">
      <c r="A1240" t="n">
        <v>661</v>
      </c>
      <c r="B1240" t="inlineStr">
        <is>
          <t>A-499__211</t>
        </is>
      </c>
      <c r="C1240" t="n">
        <v>37.5182366237</v>
      </c>
      <c r="D1240" t="n">
        <v>-7.26343809542</v>
      </c>
      <c r="E1240" t="n">
        <v>2</v>
      </c>
      <c r="F1240" t="n">
        <v>2</v>
      </c>
      <c r="G1240" t="n">
        <v>2</v>
      </c>
      <c r="J1240" t="inlineStr">
        <is>
          <t>Moda</t>
        </is>
      </c>
      <c r="K1240" t="n">
        <v>2</v>
      </c>
      <c r="L1240" t="n">
        <v>2.434</v>
      </c>
      <c r="M1240" t="n">
        <v>0</v>
      </c>
      <c r="N1240" t="inlineStr">
        <is>
          <t>train</t>
        </is>
      </c>
      <c r="O1240">
        <f>HYPERLINK("2\0\marker_642_796322.png", "Ver Imagen")</f>
        <v/>
      </c>
      <c r="P1240">
        <f>HYPERLINK("NO\A-499\A-499__211.png", "Ver Imagen")</f>
        <v/>
      </c>
    </row>
    <row r="1241">
      <c r="A1241" t="n">
        <v>662</v>
      </c>
      <c r="B1241" t="inlineStr">
        <is>
          <t>A-499__212</t>
        </is>
      </c>
      <c r="C1241" t="n">
        <v>37.5183439615</v>
      </c>
      <c r="D1241" t="n">
        <v>-7.26322806502</v>
      </c>
      <c r="E1241" t="n">
        <v>2</v>
      </c>
      <c r="F1241" t="n">
        <v>2</v>
      </c>
      <c r="G1241" t="n">
        <v>2</v>
      </c>
      <c r="J1241" t="inlineStr">
        <is>
          <t>Moda</t>
        </is>
      </c>
      <c r="K1241" t="n">
        <v>2</v>
      </c>
      <c r="L1241" t="n">
        <v>2.108</v>
      </c>
      <c r="M1241" t="n">
        <v>0</v>
      </c>
      <c r="N1241" t="inlineStr">
        <is>
          <t>train</t>
        </is>
      </c>
      <c r="O1241">
        <f>HYPERLINK("2\0\marker_617_796336.png", "Ver Imagen")</f>
        <v/>
      </c>
      <c r="P1241">
        <f>HYPERLINK("NO\A-499\A-499__212.png", "Ver Imagen")</f>
        <v/>
      </c>
    </row>
    <row r="1242">
      <c r="A1242" t="n">
        <v>663</v>
      </c>
      <c r="B1242" t="inlineStr">
        <is>
          <t>A-499__215</t>
        </is>
      </c>
      <c r="C1242" t="n">
        <v>37.518728689</v>
      </c>
      <c r="D1242" t="n">
        <v>-7.26256454553</v>
      </c>
      <c r="E1242" t="n">
        <v>2</v>
      </c>
      <c r="F1242" t="n">
        <v>2</v>
      </c>
      <c r="G1242" t="n">
        <v>2</v>
      </c>
      <c r="J1242" t="inlineStr">
        <is>
          <t>Moda</t>
        </is>
      </c>
      <c r="K1242" t="n">
        <v>2</v>
      </c>
      <c r="L1242" t="n">
        <v>2.104</v>
      </c>
      <c r="M1242" t="n">
        <v>0</v>
      </c>
      <c r="N1242" t="inlineStr">
        <is>
          <t>train</t>
        </is>
      </c>
      <c r="O1242">
        <f>HYPERLINK("2\0\marker_986_796410.png", "Ver Imagen")</f>
        <v/>
      </c>
      <c r="P1242">
        <f>HYPERLINK("NO\A-499\A-499__215.png", "Ver Imagen")</f>
        <v/>
      </c>
    </row>
    <row r="1243">
      <c r="A1243" t="n">
        <v>664</v>
      </c>
      <c r="B1243" t="inlineStr">
        <is>
          <t>A-499__217</t>
        </is>
      </c>
      <c r="C1243" t="n">
        <v>37.5189751547</v>
      </c>
      <c r="D1243" t="n">
        <v>-7.26225077516</v>
      </c>
      <c r="E1243" t="n">
        <v>2</v>
      </c>
      <c r="F1243" t="n">
        <v>2</v>
      </c>
      <c r="G1243" t="n">
        <v>2</v>
      </c>
      <c r="J1243" t="inlineStr">
        <is>
          <t>Moda</t>
        </is>
      </c>
      <c r="K1243" t="n">
        <v>2</v>
      </c>
      <c r="L1243" t="n">
        <v>1.996</v>
      </c>
      <c r="M1243" t="n">
        <v>0</v>
      </c>
      <c r="N1243" t="inlineStr">
        <is>
          <t>train</t>
        </is>
      </c>
      <c r="O1243">
        <f>HYPERLINK("2\0\marker_140_796435.png", "Ver Imagen")</f>
        <v/>
      </c>
      <c r="P1243">
        <f>HYPERLINK("NO\A-499\A-499__217.png", "Ver Imagen")</f>
        <v/>
      </c>
    </row>
    <row r="1244">
      <c r="A1244" t="n">
        <v>665</v>
      </c>
      <c r="B1244" t="inlineStr">
        <is>
          <t>A-499__219</t>
        </is>
      </c>
      <c r="C1244" t="n">
        <v>37.5192731976</v>
      </c>
      <c r="D1244" t="n">
        <v>-7.26193870839</v>
      </c>
      <c r="E1244" t="n">
        <v>2</v>
      </c>
      <c r="F1244" t="n">
        <v>2</v>
      </c>
      <c r="G1244" t="n">
        <v>2</v>
      </c>
      <c r="J1244" t="inlineStr">
        <is>
          <t>Moda</t>
        </is>
      </c>
      <c r="K1244" t="n">
        <v>2</v>
      </c>
      <c r="L1244" t="n">
        <v>1.883</v>
      </c>
      <c r="M1244" t="n">
        <v>0</v>
      </c>
      <c r="N1244" t="inlineStr">
        <is>
          <t>val</t>
        </is>
      </c>
      <c r="O1244">
        <f>HYPERLINK("2\0\marker_375_796457.png", "Ver Imagen")</f>
        <v/>
      </c>
      <c r="P1244">
        <f>HYPERLINK("NO\A-499\A-499__219.png", "Ver Imagen")</f>
        <v/>
      </c>
    </row>
    <row r="1245">
      <c r="A1245" t="n">
        <v>666</v>
      </c>
      <c r="B1245" t="inlineStr">
        <is>
          <t>A-499__221</t>
        </is>
      </c>
      <c r="C1245" t="n">
        <v>37.5196076586</v>
      </c>
      <c r="D1245" t="n">
        <v>-7.26162077665</v>
      </c>
      <c r="E1245" t="n">
        <v>2</v>
      </c>
      <c r="F1245" t="n">
        <v>2</v>
      </c>
      <c r="G1245" t="n">
        <v>2</v>
      </c>
      <c r="J1245" t="inlineStr">
        <is>
          <t>Moda</t>
        </is>
      </c>
      <c r="K1245" t="n">
        <v>2</v>
      </c>
      <c r="L1245" t="n">
        <v>1.943</v>
      </c>
      <c r="M1245" t="n">
        <v>0</v>
      </c>
      <c r="N1245" t="inlineStr">
        <is>
          <t>test</t>
        </is>
      </c>
      <c r="O1245">
        <f>HYPERLINK("2\0\marker_124_796482.png", "Ver Imagen")</f>
        <v/>
      </c>
      <c r="P1245">
        <f>HYPERLINK("NO\A-499\A-499__221.png", "Ver Imagen")</f>
        <v/>
      </c>
    </row>
    <row r="1246">
      <c r="A1246" t="n">
        <v>667</v>
      </c>
      <c r="B1246" t="inlineStr">
        <is>
          <t>A-499__222</t>
        </is>
      </c>
      <c r="C1246" t="n">
        <v>37.5197704704</v>
      </c>
      <c r="D1246" t="n">
        <v>-7.26146854813</v>
      </c>
      <c r="E1246" t="n">
        <v>2</v>
      </c>
      <c r="F1246" t="n">
        <v>2</v>
      </c>
      <c r="G1246" t="n">
        <v>2</v>
      </c>
      <c r="J1246" t="inlineStr">
        <is>
          <t>Moda</t>
        </is>
      </c>
      <c r="K1246" t="n">
        <v>2</v>
      </c>
      <c r="L1246" t="n">
        <v>1.681</v>
      </c>
      <c r="M1246" t="n">
        <v>0</v>
      </c>
      <c r="N1246" t="inlineStr">
        <is>
          <t>test</t>
        </is>
      </c>
      <c r="O1246">
        <f>HYPERLINK("2\0\marker_708_796501.png", "Ver Imagen")</f>
        <v/>
      </c>
      <c r="P1246">
        <f>HYPERLINK("NO\A-499\A-499__222.png", "Ver Imagen")</f>
        <v/>
      </c>
    </row>
    <row r="1247">
      <c r="A1247" t="n">
        <v>668</v>
      </c>
      <c r="B1247" t="inlineStr">
        <is>
          <t>A-499__223</t>
        </is>
      </c>
      <c r="C1247" t="n">
        <v>37.5199325771</v>
      </c>
      <c r="D1247" t="n">
        <v>-7.26131770848</v>
      </c>
      <c r="E1247" t="n">
        <v>2</v>
      </c>
      <c r="F1247" t="n">
        <v>2</v>
      </c>
      <c r="G1247" t="n">
        <v>2</v>
      </c>
      <c r="J1247" t="inlineStr">
        <is>
          <t>Moda</t>
        </is>
      </c>
      <c r="K1247" t="n">
        <v>2</v>
      </c>
      <c r="L1247" t="n">
        <v>1.728</v>
      </c>
      <c r="M1247" t="n">
        <v>0</v>
      </c>
      <c r="N1247" t="inlineStr">
        <is>
          <t>test</t>
        </is>
      </c>
      <c r="O1247">
        <f>HYPERLINK("2\0\marker_300_796514.png", "Ver Imagen")</f>
        <v/>
      </c>
      <c r="P1247">
        <f>HYPERLINK("NO\A-499\A-499__223.png", "Ver Imagen")</f>
        <v/>
      </c>
    </row>
    <row r="1248">
      <c r="A1248" t="n">
        <v>669</v>
      </c>
      <c r="B1248" t="inlineStr">
        <is>
          <t>A-499__227</t>
        </is>
      </c>
      <c r="C1248" t="n">
        <v>37.5205790787</v>
      </c>
      <c r="D1248" t="n">
        <v>-7.26071161544</v>
      </c>
      <c r="E1248" t="n">
        <v>2</v>
      </c>
      <c r="F1248" t="n">
        <v>2</v>
      </c>
      <c r="G1248" t="n">
        <v>2</v>
      </c>
      <c r="J1248" t="inlineStr">
        <is>
          <t>Moda</t>
        </is>
      </c>
      <c r="K1248" t="n">
        <v>2</v>
      </c>
      <c r="L1248" t="n">
        <v>1.833</v>
      </c>
      <c r="M1248" t="n">
        <v>0</v>
      </c>
      <c r="N1248" t="inlineStr">
        <is>
          <t>train</t>
        </is>
      </c>
      <c r="O1248">
        <f>HYPERLINK("2\0\marker_133_796573.png", "Ver Imagen")</f>
        <v/>
      </c>
      <c r="P1248">
        <f>HYPERLINK("NO\A-499\A-499__227.png", "Ver Imagen")</f>
        <v/>
      </c>
    </row>
    <row r="1249">
      <c r="A1249" t="n">
        <v>670</v>
      </c>
      <c r="B1249" t="inlineStr">
        <is>
          <t>A-499__229</t>
        </is>
      </c>
      <c r="C1249" t="n">
        <v>37.5208983318</v>
      </c>
      <c r="D1249" t="n">
        <v>-7.26041083498</v>
      </c>
      <c r="E1249" t="n">
        <v>2</v>
      </c>
      <c r="F1249" t="n">
        <v>2</v>
      </c>
      <c r="G1249" t="n">
        <v>2</v>
      </c>
      <c r="J1249" t="inlineStr">
        <is>
          <t>Moda</t>
        </is>
      </c>
      <c r="K1249" t="n">
        <v>2</v>
      </c>
      <c r="L1249" t="n">
        <v>2.12</v>
      </c>
      <c r="M1249" t="n">
        <v>0</v>
      </c>
      <c r="N1249" t="inlineStr">
        <is>
          <t>train</t>
        </is>
      </c>
      <c r="O1249">
        <f>HYPERLINK("2\0\marker_859_796604.png", "Ver Imagen")</f>
        <v/>
      </c>
      <c r="P1249">
        <f>HYPERLINK("NO\A-499\A-499__229.png", "Ver Imagen")</f>
        <v/>
      </c>
    </row>
    <row r="1250">
      <c r="A1250" t="n">
        <v>671</v>
      </c>
      <c r="B1250" t="inlineStr">
        <is>
          <t>A-499__234</t>
        </is>
      </c>
      <c r="C1250" t="n">
        <v>37.521749676</v>
      </c>
      <c r="D1250" t="n">
        <v>-7.25970662721</v>
      </c>
      <c r="E1250" t="n">
        <v>2</v>
      </c>
      <c r="F1250" t="n">
        <v>2</v>
      </c>
      <c r="G1250" t="n">
        <v>2</v>
      </c>
      <c r="J1250" t="inlineStr">
        <is>
          <t>Moda</t>
        </is>
      </c>
      <c r="K1250" t="n">
        <v>2</v>
      </c>
      <c r="L1250" t="n">
        <v>1.675</v>
      </c>
      <c r="M1250" t="n">
        <v>0</v>
      </c>
      <c r="N1250" t="inlineStr">
        <is>
          <t>train</t>
        </is>
      </c>
      <c r="O1250">
        <f>HYPERLINK("2\0\marker_167_796690.png", "Ver Imagen")</f>
        <v/>
      </c>
      <c r="P1250">
        <f>HYPERLINK("NO\A-499\A-499__234.png", "Ver Imagen")</f>
        <v/>
      </c>
    </row>
    <row r="1251">
      <c r="A1251" t="n">
        <v>672</v>
      </c>
      <c r="B1251" t="inlineStr">
        <is>
          <t>A-499__239</t>
        </is>
      </c>
      <c r="C1251" t="n">
        <v>37.5227111286</v>
      </c>
      <c r="D1251" t="n">
        <v>-7.25926665947</v>
      </c>
      <c r="E1251" t="n">
        <v>2</v>
      </c>
      <c r="F1251" t="n">
        <v>2</v>
      </c>
      <c r="G1251" t="n">
        <v>2</v>
      </c>
      <c r="J1251" t="inlineStr">
        <is>
          <t>Moda</t>
        </is>
      </c>
      <c r="K1251" t="n">
        <v>2</v>
      </c>
      <c r="L1251" t="n">
        <v>1.931</v>
      </c>
      <c r="M1251" t="n">
        <v>0</v>
      </c>
      <c r="N1251" t="inlineStr">
        <is>
          <t>train</t>
        </is>
      </c>
      <c r="O1251">
        <f>HYPERLINK("2\0\marker_432_796789.png", "Ver Imagen")</f>
        <v/>
      </c>
      <c r="P1251">
        <f>HYPERLINK("NO\A-499\A-499__239.png", "Ver Imagen")</f>
        <v/>
      </c>
    </row>
    <row r="1252">
      <c r="A1252" t="n">
        <v>673</v>
      </c>
      <c r="B1252" t="inlineStr">
        <is>
          <t>A-499__244</t>
        </is>
      </c>
      <c r="C1252" t="n">
        <v>37.5236614443</v>
      </c>
      <c r="D1252" t="n">
        <v>-7.25882385258</v>
      </c>
      <c r="E1252" t="n">
        <v>2</v>
      </c>
      <c r="F1252" t="n">
        <v>2</v>
      </c>
      <c r="G1252" t="n">
        <v>2</v>
      </c>
      <c r="J1252" t="inlineStr">
        <is>
          <t>Moda</t>
        </is>
      </c>
      <c r="K1252" t="n">
        <v>2</v>
      </c>
      <c r="L1252" t="n">
        <v>2.036</v>
      </c>
      <c r="M1252" t="n">
        <v>0</v>
      </c>
      <c r="N1252" t="inlineStr">
        <is>
          <t>train</t>
        </is>
      </c>
      <c r="O1252">
        <f>HYPERLINK("2\0\marker_167_796915.png", "Ver Imagen")</f>
        <v/>
      </c>
      <c r="P1252">
        <f>HYPERLINK("NO\A-499\A-499__244.png", "Ver Imagen")</f>
        <v/>
      </c>
    </row>
    <row r="1253">
      <c r="A1253" t="n">
        <v>675</v>
      </c>
      <c r="B1253" t="inlineStr">
        <is>
          <t>A-497_2C__53</t>
        </is>
      </c>
      <c r="C1253" t="n">
        <v>37.2680737582</v>
      </c>
      <c r="D1253" t="n">
        <v>-6.97038916434</v>
      </c>
      <c r="E1253" t="n">
        <v>2</v>
      </c>
      <c r="F1253" t="n">
        <v>2</v>
      </c>
      <c r="G1253" t="n">
        <v>2</v>
      </c>
      <c r="J1253" t="inlineStr">
        <is>
          <t>Moda</t>
        </is>
      </c>
      <c r="K1253" t="n">
        <v>2</v>
      </c>
      <c r="L1253" t="n">
        <v>1.845</v>
      </c>
      <c r="M1253" t="n">
        <v>0</v>
      </c>
      <c r="N1253" t="inlineStr">
        <is>
          <t>train</t>
        </is>
      </c>
      <c r="O1253">
        <f>HYPERLINK("2\0\marker_752_654783.png", "Ver Imagen")</f>
        <v/>
      </c>
      <c r="P1253">
        <f>HYPERLINK("SE\A-497_2C\A-497_2C__53.png", "Ver Imagen")</f>
        <v/>
      </c>
    </row>
    <row r="1254">
      <c r="A1254" t="n">
        <v>676</v>
      </c>
      <c r="B1254" t="inlineStr">
        <is>
          <t>A-499__248</t>
        </is>
      </c>
      <c r="C1254" t="n">
        <v>37.5243008498</v>
      </c>
      <c r="D1254" t="n">
        <v>-7.25823804516</v>
      </c>
      <c r="E1254" t="n">
        <v>2</v>
      </c>
      <c r="F1254" t="n">
        <v>2</v>
      </c>
      <c r="G1254" t="n">
        <v>2</v>
      </c>
      <c r="J1254" t="inlineStr">
        <is>
          <t>Moda</t>
        </is>
      </c>
      <c r="K1254" t="n">
        <v>2</v>
      </c>
      <c r="L1254" t="n">
        <v>2.127</v>
      </c>
      <c r="M1254" t="n">
        <v>0</v>
      </c>
      <c r="N1254" t="inlineStr">
        <is>
          <t>train</t>
        </is>
      </c>
      <c r="O1254">
        <f>HYPERLINK("2\0\marker_495_796973.png", "Ver Imagen")</f>
        <v/>
      </c>
      <c r="P1254">
        <f>HYPERLINK("NO\A-499\A-499__248.png", "Ver Imagen")</f>
        <v/>
      </c>
    </row>
    <row r="1255">
      <c r="A1255" t="n">
        <v>677</v>
      </c>
      <c r="B1255" t="inlineStr">
        <is>
          <t>A-499__249</t>
        </is>
      </c>
      <c r="C1255" t="n">
        <v>37.5244346418</v>
      </c>
      <c r="D1255" t="n">
        <v>-7.25806961701</v>
      </c>
      <c r="E1255" t="n">
        <v>2</v>
      </c>
      <c r="F1255" t="n">
        <v>2</v>
      </c>
      <c r="G1255" t="n">
        <v>2</v>
      </c>
      <c r="J1255" t="inlineStr">
        <is>
          <t>Moda</t>
        </is>
      </c>
      <c r="K1255" t="n">
        <v>2</v>
      </c>
      <c r="L1255" t="n">
        <v>1.729</v>
      </c>
      <c r="M1255" t="n">
        <v>0</v>
      </c>
      <c r="N1255" t="inlineStr">
        <is>
          <t>train</t>
        </is>
      </c>
      <c r="O1255">
        <f>HYPERLINK("2\0\marker_441_796984.png", "Ver Imagen")</f>
        <v/>
      </c>
      <c r="P1255">
        <f>HYPERLINK("NO\A-499\A-499__249.png", "Ver Imagen")</f>
        <v/>
      </c>
    </row>
    <row r="1256">
      <c r="A1256" t="n">
        <v>678</v>
      </c>
      <c r="B1256" t="inlineStr">
        <is>
          <t>A-499__250</t>
        </is>
      </c>
      <c r="C1256" t="n">
        <v>37.5245814065</v>
      </c>
      <c r="D1256" t="n">
        <v>-7.25786478436</v>
      </c>
      <c r="E1256" t="n">
        <v>2</v>
      </c>
      <c r="F1256" t="n">
        <v>2</v>
      </c>
      <c r="G1256" t="n">
        <v>2</v>
      </c>
      <c r="J1256" t="inlineStr">
        <is>
          <t>Moda</t>
        </is>
      </c>
      <c r="K1256" t="n">
        <v>2</v>
      </c>
      <c r="L1256" t="n">
        <v>2.252</v>
      </c>
      <c r="M1256" t="n">
        <v>0</v>
      </c>
      <c r="N1256" t="inlineStr">
        <is>
          <t>train</t>
        </is>
      </c>
      <c r="O1256">
        <f>HYPERLINK("2\0\marker_813_796999.png", "Ver Imagen")</f>
        <v/>
      </c>
      <c r="P1256">
        <f>HYPERLINK("NO\A-499\A-499__250.png", "Ver Imagen")</f>
        <v/>
      </c>
    </row>
    <row r="1257">
      <c r="A1257" t="n">
        <v>679</v>
      </c>
      <c r="B1257" t="inlineStr">
        <is>
          <t>A-499__251</t>
        </is>
      </c>
      <c r="C1257" t="n">
        <v>37.5247135273</v>
      </c>
      <c r="D1257" t="n">
        <v>-7.25766581785</v>
      </c>
      <c r="E1257" t="n">
        <v>2</v>
      </c>
      <c r="F1257" t="n">
        <v>2</v>
      </c>
      <c r="G1257" t="n">
        <v>2</v>
      </c>
      <c r="J1257" t="inlineStr">
        <is>
          <t>Moda</t>
        </is>
      </c>
      <c r="K1257" t="n">
        <v>2</v>
      </c>
      <c r="L1257" t="n">
        <v>2.207</v>
      </c>
      <c r="M1257" t="n">
        <v>0</v>
      </c>
      <c r="N1257" t="inlineStr">
        <is>
          <t>train</t>
        </is>
      </c>
      <c r="O1257">
        <f>HYPERLINK("2\0\marker_257_797020.png", "Ver Imagen")</f>
        <v/>
      </c>
      <c r="P1257">
        <f>HYPERLINK("NO\A-499\A-499__251.png", "Ver Imagen")</f>
        <v/>
      </c>
    </row>
    <row r="1258">
      <c r="A1258" t="n">
        <v>680</v>
      </c>
      <c r="B1258" t="inlineStr">
        <is>
          <t>A-499__253</t>
        </is>
      </c>
      <c r="C1258" t="n">
        <v>37.5249666358</v>
      </c>
      <c r="D1258" t="n">
        <v>-7.25726746492</v>
      </c>
      <c r="E1258" t="n">
        <v>2</v>
      </c>
      <c r="F1258" t="n">
        <v>2</v>
      </c>
      <c r="G1258" t="n">
        <v>2</v>
      </c>
      <c r="J1258" t="inlineStr">
        <is>
          <t>Moda</t>
        </is>
      </c>
      <c r="K1258" t="n">
        <v>2</v>
      </c>
      <c r="L1258" t="n">
        <v>2.189</v>
      </c>
      <c r="M1258" t="n">
        <v>0</v>
      </c>
      <c r="N1258" t="inlineStr">
        <is>
          <t>train</t>
        </is>
      </c>
      <c r="O1258">
        <f>HYPERLINK("2\0\marker_408_797040.png", "Ver Imagen")</f>
        <v/>
      </c>
      <c r="P1258">
        <f>HYPERLINK("NO\A-499\A-499__253.png", "Ver Imagen")</f>
        <v/>
      </c>
    </row>
    <row r="1259">
      <c r="A1259" t="n">
        <v>681</v>
      </c>
      <c r="B1259" t="inlineStr">
        <is>
          <t>A-499__254</t>
        </is>
      </c>
      <c r="C1259" t="n">
        <v>37.5250835577</v>
      </c>
      <c r="D1259" t="n">
        <v>-7.25708062021</v>
      </c>
      <c r="E1259" t="n">
        <v>2</v>
      </c>
      <c r="F1259" t="n">
        <v>2</v>
      </c>
      <c r="G1259" t="n">
        <v>2</v>
      </c>
      <c r="J1259" t="inlineStr">
        <is>
          <t>Moda</t>
        </is>
      </c>
      <c r="K1259" t="n">
        <v>2</v>
      </c>
      <c r="L1259" t="n">
        <v>2.166</v>
      </c>
      <c r="M1259" t="n">
        <v>0</v>
      </c>
      <c r="N1259" t="inlineStr">
        <is>
          <t>train</t>
        </is>
      </c>
      <c r="O1259">
        <f>HYPERLINK("2\0\marker_463_797051.png", "Ver Imagen")</f>
        <v/>
      </c>
      <c r="P1259">
        <f>HYPERLINK("NO\A-499\A-499__254.png", "Ver Imagen")</f>
        <v/>
      </c>
    </row>
    <row r="1260">
      <c r="A1260" t="n">
        <v>682</v>
      </c>
      <c r="B1260" t="inlineStr">
        <is>
          <t>A-499__255</t>
        </is>
      </c>
      <c r="C1260" t="n">
        <v>37.5252126792</v>
      </c>
      <c r="D1260" t="n">
        <v>-7.25687420426</v>
      </c>
      <c r="E1260" t="n">
        <v>2</v>
      </c>
      <c r="F1260" t="n">
        <v>2</v>
      </c>
      <c r="G1260" t="n">
        <v>2</v>
      </c>
      <c r="J1260" t="inlineStr">
        <is>
          <t>Moda</t>
        </is>
      </c>
      <c r="K1260" t="n">
        <v>2</v>
      </c>
      <c r="L1260" t="n">
        <v>2.13</v>
      </c>
      <c r="M1260" t="n">
        <v>0</v>
      </c>
      <c r="N1260" t="inlineStr">
        <is>
          <t>train</t>
        </is>
      </c>
      <c r="O1260">
        <f>HYPERLINK("2\0\marker_435_797074.png", "Ver Imagen")</f>
        <v/>
      </c>
      <c r="P1260">
        <f>HYPERLINK("NO\A-499\A-499__255.png", "Ver Imagen")</f>
        <v/>
      </c>
    </row>
    <row r="1261">
      <c r="A1261" t="n">
        <v>683</v>
      </c>
      <c r="B1261" t="inlineStr">
        <is>
          <t>A-499__257</t>
        </is>
      </c>
      <c r="C1261" t="n">
        <v>37.5254597122</v>
      </c>
      <c r="D1261" t="n">
        <v>-7.25647849977</v>
      </c>
      <c r="E1261" t="n">
        <v>2</v>
      </c>
      <c r="F1261" t="n">
        <v>2</v>
      </c>
      <c r="G1261" t="n">
        <v>2</v>
      </c>
      <c r="J1261" t="inlineStr">
        <is>
          <t>Moda</t>
        </is>
      </c>
      <c r="K1261" t="n">
        <v>2</v>
      </c>
      <c r="L1261" t="n">
        <v>2.144</v>
      </c>
      <c r="M1261" t="n">
        <v>0</v>
      </c>
      <c r="N1261" t="inlineStr">
        <is>
          <t>train</t>
        </is>
      </c>
      <c r="O1261">
        <f>HYPERLINK("2\0\marker_379_797222.png", "Ver Imagen")</f>
        <v/>
      </c>
      <c r="P1261">
        <f>HYPERLINK("NO\A-499\A-499__257.png", "Ver Imagen")</f>
        <v/>
      </c>
    </row>
    <row r="1262">
      <c r="A1262" t="n">
        <v>684</v>
      </c>
      <c r="B1262" t="inlineStr">
        <is>
          <t>A-499__258</t>
        </is>
      </c>
      <c r="C1262" t="n">
        <v>37.5256011807</v>
      </c>
      <c r="D1262" t="n">
        <v>-7.25625355851</v>
      </c>
      <c r="E1262" t="n">
        <v>2</v>
      </c>
      <c r="F1262" t="n">
        <v>2</v>
      </c>
      <c r="G1262" t="n">
        <v>2</v>
      </c>
      <c r="J1262" t="inlineStr">
        <is>
          <t>Moda</t>
        </is>
      </c>
      <c r="K1262" t="n">
        <v>2</v>
      </c>
      <c r="L1262" t="n">
        <v>2.108</v>
      </c>
      <c r="M1262" t="n">
        <v>0</v>
      </c>
      <c r="N1262" t="inlineStr">
        <is>
          <t>train</t>
        </is>
      </c>
      <c r="O1262">
        <f>HYPERLINK("2\0\marker_861_797235.png", "Ver Imagen")</f>
        <v/>
      </c>
      <c r="P1262">
        <f>HYPERLINK("NO\A-499\A-499__258.png", "Ver Imagen")</f>
        <v/>
      </c>
    </row>
    <row r="1263">
      <c r="A1263" t="n">
        <v>685</v>
      </c>
      <c r="B1263" t="inlineStr">
        <is>
          <t>A-499__260</t>
        </is>
      </c>
      <c r="C1263" t="n">
        <v>37.5258540629</v>
      </c>
      <c r="D1263" t="n">
        <v>-7.25588463278</v>
      </c>
      <c r="E1263" t="n">
        <v>2</v>
      </c>
      <c r="F1263" t="n">
        <v>2</v>
      </c>
      <c r="G1263" t="n">
        <v>2</v>
      </c>
      <c r="J1263" t="inlineStr">
        <is>
          <t>Moda</t>
        </is>
      </c>
      <c r="K1263" t="n">
        <v>2</v>
      </c>
      <c r="L1263" t="n">
        <v>1.886</v>
      </c>
      <c r="M1263" t="n">
        <v>0</v>
      </c>
      <c r="N1263" t="inlineStr">
        <is>
          <t>test</t>
        </is>
      </c>
      <c r="O1263">
        <f>HYPERLINK("2\0\marker_537_797261.png", "Ver Imagen")</f>
        <v/>
      </c>
      <c r="P1263">
        <f>HYPERLINK("NO\A-499\A-499__260.png", "Ver Imagen")</f>
        <v/>
      </c>
    </row>
    <row r="1264">
      <c r="A1264" t="n">
        <v>686</v>
      </c>
      <c r="B1264" t="inlineStr">
        <is>
          <t>A-499__262</t>
        </is>
      </c>
      <c r="C1264" t="n">
        <v>37.526159847</v>
      </c>
      <c r="D1264" t="n">
        <v>-7.25554013365</v>
      </c>
      <c r="E1264" t="n">
        <v>2</v>
      </c>
      <c r="F1264" t="n">
        <v>2</v>
      </c>
      <c r="G1264" t="n">
        <v>2</v>
      </c>
      <c r="J1264" t="inlineStr">
        <is>
          <t>Moda</t>
        </is>
      </c>
      <c r="K1264" t="n">
        <v>2</v>
      </c>
      <c r="L1264" t="n">
        <v>2.13</v>
      </c>
      <c r="M1264" t="n">
        <v>0</v>
      </c>
      <c r="N1264" t="inlineStr">
        <is>
          <t>train</t>
        </is>
      </c>
      <c r="O1264">
        <f>HYPERLINK("2\0\marker_519_797282.png", "Ver Imagen")</f>
        <v/>
      </c>
      <c r="P1264">
        <f>HYPERLINK("NO\A-499\A-499__262.png", "Ver Imagen")</f>
        <v/>
      </c>
    </row>
    <row r="1265">
      <c r="A1265" t="n">
        <v>687</v>
      </c>
      <c r="B1265" t="inlineStr">
        <is>
          <t>A-499__263</t>
        </is>
      </c>
      <c r="C1265" t="n">
        <v>37.5263513464</v>
      </c>
      <c r="D1265" t="n">
        <v>-7.25537900334</v>
      </c>
      <c r="E1265" t="n">
        <v>2</v>
      </c>
      <c r="F1265" t="n">
        <v>2</v>
      </c>
      <c r="G1265" t="n">
        <v>2</v>
      </c>
      <c r="J1265" t="inlineStr">
        <is>
          <t>Moda</t>
        </is>
      </c>
      <c r="K1265" t="n">
        <v>2</v>
      </c>
      <c r="L1265" t="n">
        <v>1.94</v>
      </c>
      <c r="M1265" t="n">
        <v>0</v>
      </c>
      <c r="N1265" t="inlineStr">
        <is>
          <t>train</t>
        </is>
      </c>
      <c r="O1265">
        <f>HYPERLINK("2\0\marker_359_797294.png", "Ver Imagen")</f>
        <v/>
      </c>
      <c r="P1265">
        <f>HYPERLINK("NO\A-499\A-499__263.png", "Ver Imagen")</f>
        <v/>
      </c>
    </row>
    <row r="1266">
      <c r="A1266" t="n">
        <v>688</v>
      </c>
      <c r="B1266" t="inlineStr">
        <is>
          <t>A-499__264</t>
        </is>
      </c>
      <c r="C1266" t="n">
        <v>37.5264956089</v>
      </c>
      <c r="D1266" t="n">
        <v>-7.255275816</v>
      </c>
      <c r="E1266" t="n">
        <v>2</v>
      </c>
      <c r="F1266" t="n">
        <v>2</v>
      </c>
      <c r="G1266" t="n">
        <v>2</v>
      </c>
      <c r="J1266" t="inlineStr">
        <is>
          <t>Moda</t>
        </is>
      </c>
      <c r="K1266" t="n">
        <v>2</v>
      </c>
      <c r="L1266" t="n">
        <v>1.97</v>
      </c>
      <c r="M1266" t="n">
        <v>0</v>
      </c>
      <c r="N1266" t="inlineStr">
        <is>
          <t>train</t>
        </is>
      </c>
      <c r="O1266">
        <f>HYPERLINK("2\0\marker_748_797305.png", "Ver Imagen")</f>
        <v/>
      </c>
      <c r="P1266">
        <f>HYPERLINK("NO\A-499\A-499__264.png", "Ver Imagen")</f>
        <v/>
      </c>
    </row>
    <row r="1267">
      <c r="A1267" t="n">
        <v>689</v>
      </c>
      <c r="B1267" t="inlineStr">
        <is>
          <t>A-499__265</t>
        </is>
      </c>
      <c r="C1267" t="n">
        <v>37.526701056</v>
      </c>
      <c r="D1267" t="n">
        <v>-7.25514460285</v>
      </c>
      <c r="E1267" t="n">
        <v>2</v>
      </c>
      <c r="F1267" t="n">
        <v>2</v>
      </c>
      <c r="G1267" t="n">
        <v>2</v>
      </c>
      <c r="J1267" t="inlineStr">
        <is>
          <t>Moda</t>
        </is>
      </c>
      <c r="K1267" t="n">
        <v>2</v>
      </c>
      <c r="L1267" t="n">
        <v>1.994</v>
      </c>
      <c r="M1267" t="n">
        <v>0</v>
      </c>
      <c r="N1267" t="inlineStr">
        <is>
          <t>train</t>
        </is>
      </c>
      <c r="O1267">
        <f>HYPERLINK("2\0\marker_896_797326.png", "Ver Imagen")</f>
        <v/>
      </c>
      <c r="P1267">
        <f>HYPERLINK("NO\A-499\A-499__265.png", "Ver Imagen")</f>
        <v/>
      </c>
    </row>
    <row r="1268">
      <c r="A1268" t="n">
        <v>690</v>
      </c>
      <c r="B1268" t="inlineStr">
        <is>
          <t>A-499__267</t>
        </is>
      </c>
      <c r="C1268" t="n">
        <v>37.5270490619</v>
      </c>
      <c r="D1268" t="n">
        <v>-7.25494157784</v>
      </c>
      <c r="E1268" t="n">
        <v>2</v>
      </c>
      <c r="F1268" t="n">
        <v>2</v>
      </c>
      <c r="G1268" t="n">
        <v>2</v>
      </c>
      <c r="J1268" t="inlineStr">
        <is>
          <t>Moda</t>
        </is>
      </c>
      <c r="K1268" t="n">
        <v>2</v>
      </c>
      <c r="L1268" t="n">
        <v>1.83</v>
      </c>
      <c r="M1268" t="n">
        <v>0</v>
      </c>
      <c r="N1268" t="inlineStr">
        <is>
          <t>train</t>
        </is>
      </c>
      <c r="O1268">
        <f>HYPERLINK("2\0\marker_741_797353.png", "Ver Imagen")</f>
        <v/>
      </c>
      <c r="P1268">
        <f>HYPERLINK("NO\A-499\A-499__267.png", "Ver Imagen")</f>
        <v/>
      </c>
    </row>
    <row r="1269">
      <c r="A1269" t="n">
        <v>691</v>
      </c>
      <c r="B1269" t="inlineStr">
        <is>
          <t>A-499__268</t>
        </is>
      </c>
      <c r="C1269" t="n">
        <v>37.5272280816</v>
      </c>
      <c r="D1269" t="n">
        <v>-7.25483934447</v>
      </c>
      <c r="E1269" t="n">
        <v>2</v>
      </c>
      <c r="F1269" t="n">
        <v>2</v>
      </c>
      <c r="G1269" t="n">
        <v>2</v>
      </c>
      <c r="J1269" t="inlineStr">
        <is>
          <t>Moda</t>
        </is>
      </c>
      <c r="K1269" t="n">
        <v>2</v>
      </c>
      <c r="L1269" t="n">
        <v>1.769</v>
      </c>
      <c r="M1269" t="n">
        <v>0</v>
      </c>
      <c r="N1269" t="inlineStr">
        <is>
          <t>train</t>
        </is>
      </c>
      <c r="O1269">
        <f>HYPERLINK("2\0\marker_824_797369.png", "Ver Imagen")</f>
        <v/>
      </c>
      <c r="P1269">
        <f>HYPERLINK("NO\A-499\A-499__268.png", "Ver Imagen")</f>
        <v/>
      </c>
    </row>
    <row r="1270">
      <c r="A1270" t="n">
        <v>692</v>
      </c>
      <c r="B1270" t="inlineStr">
        <is>
          <t>A-497_2C__117</t>
        </is>
      </c>
      <c r="C1270" t="n">
        <v>37.2718321826</v>
      </c>
      <c r="D1270" t="n">
        <v>-6.98590853699</v>
      </c>
      <c r="E1270" t="n">
        <v>2</v>
      </c>
      <c r="F1270" t="n">
        <v>2</v>
      </c>
      <c r="G1270" t="n">
        <v>2</v>
      </c>
      <c r="J1270" t="inlineStr">
        <is>
          <t>Moda</t>
        </is>
      </c>
      <c r="K1270" t="n">
        <v>2</v>
      </c>
      <c r="L1270" t="n">
        <v>2.182</v>
      </c>
      <c r="M1270" t="n">
        <v>0</v>
      </c>
      <c r="N1270" t="inlineStr">
        <is>
          <t>train</t>
        </is>
      </c>
      <c r="O1270">
        <f>HYPERLINK("2\0\marker_826_655655.png", "Ver Imagen")</f>
        <v/>
      </c>
      <c r="P1270">
        <f>HYPERLINK("SE\A-497_2C\A-497_2C__117.png", "Ver Imagen")</f>
        <v/>
      </c>
    </row>
    <row r="1271">
      <c r="A1271" t="n">
        <v>693</v>
      </c>
      <c r="B1271" t="inlineStr">
        <is>
          <t>A-497_2C__119</t>
        </is>
      </c>
      <c r="C1271" t="n">
        <v>37.2718559091</v>
      </c>
      <c r="D1271" t="n">
        <v>-6.98638875848</v>
      </c>
      <c r="E1271" t="n">
        <v>2</v>
      </c>
      <c r="F1271" t="n">
        <v>2</v>
      </c>
      <c r="G1271" t="n">
        <v>2</v>
      </c>
      <c r="J1271" t="inlineStr">
        <is>
          <t>Moda</t>
        </is>
      </c>
      <c r="K1271" t="n">
        <v>2</v>
      </c>
      <c r="L1271" t="n">
        <v>2.006</v>
      </c>
      <c r="M1271" t="n">
        <v>0</v>
      </c>
      <c r="N1271" t="inlineStr">
        <is>
          <t>train</t>
        </is>
      </c>
      <c r="O1271">
        <f>HYPERLINK("2\0\marker_900_655673.png", "Ver Imagen")</f>
        <v/>
      </c>
      <c r="P1271">
        <f>HYPERLINK("SE\A-497_2C\A-497_2C__119.png", "Ver Imagen")</f>
        <v/>
      </c>
    </row>
    <row r="1272">
      <c r="A1272" t="n">
        <v>694</v>
      </c>
      <c r="B1272" t="inlineStr">
        <is>
          <t>A-497_2C__123</t>
        </is>
      </c>
      <c r="C1272" t="n">
        <v>37.2717482126</v>
      </c>
      <c r="D1272" t="n">
        <v>-6.98739540144</v>
      </c>
      <c r="E1272" t="n">
        <v>2</v>
      </c>
      <c r="F1272" t="n">
        <v>2</v>
      </c>
      <c r="G1272" t="n">
        <v>2</v>
      </c>
      <c r="J1272" t="inlineStr">
        <is>
          <t>Moda</t>
        </is>
      </c>
      <c r="K1272" t="n">
        <v>2</v>
      </c>
      <c r="L1272" t="n">
        <v>2.092</v>
      </c>
      <c r="M1272" t="n">
        <v>0</v>
      </c>
      <c r="N1272" t="inlineStr">
        <is>
          <t>train</t>
        </is>
      </c>
      <c r="O1272">
        <f>HYPERLINK("2\0\marker_208_655707.png", "Ver Imagen")</f>
        <v/>
      </c>
      <c r="P1272">
        <f>HYPERLINK("SE\A-497_2C\A-497_2C__123.png", "Ver Imagen")</f>
        <v/>
      </c>
    </row>
    <row r="1273">
      <c r="A1273" t="n">
        <v>695</v>
      </c>
      <c r="B1273" t="inlineStr">
        <is>
          <t>A-497_2C__124</t>
        </is>
      </c>
      <c r="C1273" t="n">
        <v>37.2716887221</v>
      </c>
      <c r="D1273" t="n">
        <v>-6.98763666764</v>
      </c>
      <c r="E1273" t="n">
        <v>2</v>
      </c>
      <c r="F1273" t="n">
        <v>2</v>
      </c>
      <c r="G1273" t="n">
        <v>2</v>
      </c>
      <c r="J1273" t="inlineStr">
        <is>
          <t>Moda</t>
        </is>
      </c>
      <c r="K1273" t="n">
        <v>2</v>
      </c>
      <c r="L1273" t="n">
        <v>2.184</v>
      </c>
      <c r="M1273" t="n">
        <v>0</v>
      </c>
      <c r="N1273" t="inlineStr">
        <is>
          <t>train</t>
        </is>
      </c>
      <c r="O1273">
        <f>HYPERLINK("2\0\marker_161_655715.png", "Ver Imagen")</f>
        <v/>
      </c>
      <c r="P1273">
        <f>HYPERLINK("SE\A-497_2C\A-497_2C__124.png", "Ver Imagen")</f>
        <v/>
      </c>
    </row>
    <row r="1274">
      <c r="A1274" t="n">
        <v>696</v>
      </c>
      <c r="B1274" t="inlineStr">
        <is>
          <t>A-497_2C__128</t>
        </is>
      </c>
      <c r="C1274" t="n">
        <v>37.2712667395</v>
      </c>
      <c r="D1274" t="n">
        <v>-6.98854198555</v>
      </c>
      <c r="E1274" t="n">
        <v>2</v>
      </c>
      <c r="F1274" t="n">
        <v>2</v>
      </c>
      <c r="G1274" t="n">
        <v>2</v>
      </c>
      <c r="J1274" t="inlineStr">
        <is>
          <t>Moda</t>
        </is>
      </c>
      <c r="K1274" t="n">
        <v>2</v>
      </c>
      <c r="L1274" t="n">
        <v>1.685</v>
      </c>
      <c r="M1274" t="n">
        <v>0</v>
      </c>
      <c r="N1274" t="inlineStr">
        <is>
          <t>train</t>
        </is>
      </c>
      <c r="O1274">
        <f>HYPERLINK("2\0\marker_287_655750.png", "Ver Imagen")</f>
        <v/>
      </c>
      <c r="P1274">
        <f>HYPERLINK("SE\A-497_2C\A-497_2C__128.png", "Ver Imagen")</f>
        <v/>
      </c>
    </row>
    <row r="1275">
      <c r="A1275" t="n">
        <v>697</v>
      </c>
      <c r="B1275" t="inlineStr">
        <is>
          <t>A-497_2C__129</t>
        </is>
      </c>
      <c r="C1275" t="n">
        <v>37.271140955</v>
      </c>
      <c r="D1275" t="n">
        <v>-6.98871225774</v>
      </c>
      <c r="E1275" t="n">
        <v>2</v>
      </c>
      <c r="F1275" t="n">
        <v>2</v>
      </c>
      <c r="G1275" t="n">
        <v>2</v>
      </c>
      <c r="J1275" t="inlineStr">
        <is>
          <t>Moda</t>
        </is>
      </c>
      <c r="K1275" t="n">
        <v>2</v>
      </c>
      <c r="L1275" t="n">
        <v>2.172</v>
      </c>
      <c r="M1275" t="n">
        <v>0</v>
      </c>
      <c r="N1275" t="inlineStr">
        <is>
          <t>train</t>
        </is>
      </c>
      <c r="O1275">
        <f>HYPERLINK("2\0\marker_226_655758.png", "Ver Imagen")</f>
        <v/>
      </c>
      <c r="P1275">
        <f>HYPERLINK("SE\A-497_2C\A-497_2C__129.png", "Ver Imagen")</f>
        <v/>
      </c>
    </row>
    <row r="1276">
      <c r="A1276" t="n">
        <v>699</v>
      </c>
      <c r="B1276" t="inlineStr">
        <is>
          <t>A-497_2C__132</t>
        </is>
      </c>
      <c r="C1276" t="n">
        <v>37.2706539987</v>
      </c>
      <c r="D1276" t="n">
        <v>-6.98918188699</v>
      </c>
      <c r="E1276" t="n">
        <v>2</v>
      </c>
      <c r="F1276" t="n">
        <v>2</v>
      </c>
      <c r="G1276" t="n">
        <v>2</v>
      </c>
      <c r="J1276" t="inlineStr">
        <is>
          <t>Moda</t>
        </is>
      </c>
      <c r="K1276" t="n">
        <v>2</v>
      </c>
      <c r="L1276" t="n">
        <v>2.22</v>
      </c>
      <c r="M1276" t="n">
        <v>0</v>
      </c>
      <c r="N1276" t="inlineStr">
        <is>
          <t>train</t>
        </is>
      </c>
      <c r="O1276">
        <f>HYPERLINK("2\0\marker_594_655792.png", "Ver Imagen")</f>
        <v/>
      </c>
      <c r="P1276">
        <f>HYPERLINK("SE\A-497_2C\A-497_2C__132.png", "Ver Imagen")</f>
        <v/>
      </c>
    </row>
    <row r="1277">
      <c r="A1277" t="n">
        <v>701</v>
      </c>
      <c r="B1277" t="inlineStr">
        <is>
          <t>A-497__744</t>
        </is>
      </c>
      <c r="C1277" t="n">
        <v>37.1881900742</v>
      </c>
      <c r="D1277" t="n">
        <v>-6.97834103832</v>
      </c>
      <c r="E1277" t="n">
        <v>2</v>
      </c>
      <c r="F1277" t="n">
        <v>2</v>
      </c>
      <c r="G1277" t="n">
        <v>2</v>
      </c>
      <c r="J1277" t="inlineStr">
        <is>
          <t>Moda</t>
        </is>
      </c>
      <c r="K1277" t="n">
        <v>2</v>
      </c>
      <c r="L1277" t="n">
        <v>1.965</v>
      </c>
      <c r="M1277" t="n">
        <v>0</v>
      </c>
      <c r="N1277" t="inlineStr">
        <is>
          <t>train</t>
        </is>
      </c>
      <c r="O1277">
        <f>HYPERLINK("2\0\marker_150_368793.png", "Ver Imagen")</f>
        <v/>
      </c>
      <c r="P1277">
        <f>HYPERLINK("SE\A-497\A-497__744.png", "Ver Imagen")</f>
        <v/>
      </c>
    </row>
    <row r="1278">
      <c r="A1278" t="n">
        <v>702</v>
      </c>
      <c r="B1278" t="inlineStr">
        <is>
          <t>A-497__743</t>
        </is>
      </c>
      <c r="C1278" t="n">
        <v>37.1883649058</v>
      </c>
      <c r="D1278" t="n">
        <v>-6.97835596558</v>
      </c>
      <c r="E1278" t="n">
        <v>2</v>
      </c>
      <c r="F1278" t="n">
        <v>2</v>
      </c>
      <c r="G1278" t="n">
        <v>2</v>
      </c>
      <c r="J1278" t="inlineStr">
        <is>
          <t>Moda</t>
        </is>
      </c>
      <c r="K1278" t="n">
        <v>2</v>
      </c>
      <c r="L1278" t="n">
        <v>1.787</v>
      </c>
      <c r="M1278" t="n">
        <v>0</v>
      </c>
      <c r="N1278" t="inlineStr">
        <is>
          <t>train</t>
        </is>
      </c>
      <c r="O1278">
        <f>HYPERLINK("2\0\marker_729_368807.png", "Ver Imagen")</f>
        <v/>
      </c>
      <c r="P1278">
        <f>HYPERLINK("SE\A-497\A-497__743.png", "Ver Imagen")</f>
        <v/>
      </c>
    </row>
    <row r="1279">
      <c r="A1279" t="n">
        <v>703</v>
      </c>
      <c r="B1279" t="inlineStr">
        <is>
          <t>A-497_2C__160</t>
        </is>
      </c>
      <c r="C1279" t="n">
        <v>37.2661594017</v>
      </c>
      <c r="D1279" t="n">
        <v>-6.99326865079</v>
      </c>
      <c r="E1279" t="n">
        <v>2</v>
      </c>
      <c r="F1279" t="n">
        <v>2</v>
      </c>
      <c r="G1279" t="n">
        <v>2</v>
      </c>
      <c r="J1279" t="inlineStr">
        <is>
          <t>Moda</t>
        </is>
      </c>
      <c r="K1279" t="n">
        <v>2</v>
      </c>
      <c r="L1279" t="n">
        <v>2.226</v>
      </c>
      <c r="M1279" t="n">
        <v>0</v>
      </c>
      <c r="N1279" t="inlineStr">
        <is>
          <t>train</t>
        </is>
      </c>
      <c r="O1279">
        <f>HYPERLINK("2\0\marker_683_656102.png", "Ver Imagen")</f>
        <v/>
      </c>
      <c r="P1279">
        <f>HYPERLINK("SE\A-497_2C\A-497_2C__160.png", "Ver Imagen")</f>
        <v/>
      </c>
    </row>
    <row r="1280">
      <c r="A1280" t="n">
        <v>705</v>
      </c>
      <c r="B1280" t="inlineStr">
        <is>
          <t>A-497_2C__194</t>
        </is>
      </c>
      <c r="C1280" t="n">
        <v>37.264513688</v>
      </c>
      <c r="D1280" t="n">
        <v>-7.00164488041</v>
      </c>
      <c r="E1280" t="n">
        <v>2</v>
      </c>
      <c r="F1280" t="n">
        <v>2</v>
      </c>
      <c r="G1280" t="n">
        <v>2</v>
      </c>
      <c r="J1280" t="inlineStr">
        <is>
          <t>Moda</t>
        </is>
      </c>
      <c r="K1280" t="n">
        <v>2</v>
      </c>
      <c r="L1280" t="n">
        <v>2.055</v>
      </c>
      <c r="M1280" t="n">
        <v>0</v>
      </c>
      <c r="N1280" t="inlineStr">
        <is>
          <t>train</t>
        </is>
      </c>
      <c r="O1280">
        <f>HYPERLINK("2\0\marker_437_656463.png", "Ver Imagen")</f>
        <v/>
      </c>
      <c r="P1280">
        <f>HYPERLINK("SE\A-497_2C\A-497_2C__194.png", "Ver Imagen")</f>
        <v/>
      </c>
    </row>
    <row r="1281">
      <c r="A1281" t="n">
        <v>706</v>
      </c>
      <c r="B1281" t="inlineStr">
        <is>
          <t>A-497_2C__196</t>
        </is>
      </c>
      <c r="C1281" t="n">
        <v>37.2644175816</v>
      </c>
      <c r="D1281" t="n">
        <v>-7.00217964909</v>
      </c>
      <c r="E1281" t="n">
        <v>2</v>
      </c>
      <c r="F1281" t="n">
        <v>2</v>
      </c>
      <c r="G1281" t="n">
        <v>2</v>
      </c>
      <c r="J1281" t="inlineStr">
        <is>
          <t>Moda</t>
        </is>
      </c>
      <c r="K1281" t="n">
        <v>2</v>
      </c>
      <c r="L1281" t="n">
        <v>1.923</v>
      </c>
      <c r="M1281" t="n">
        <v>0</v>
      </c>
      <c r="N1281" t="inlineStr">
        <is>
          <t>train</t>
        </is>
      </c>
      <c r="O1281">
        <f>HYPERLINK("2\0\marker_826_656480.png", "Ver Imagen")</f>
        <v/>
      </c>
      <c r="P1281">
        <f>HYPERLINK("SE\A-497_2C\A-497_2C__196.png", "Ver Imagen")</f>
        <v/>
      </c>
    </row>
    <row r="1282">
      <c r="A1282" t="n">
        <v>707</v>
      </c>
      <c r="B1282" t="inlineStr">
        <is>
          <t>A-497__690</t>
        </is>
      </c>
      <c r="C1282" t="n">
        <v>37.1981963556</v>
      </c>
      <c r="D1282" t="n">
        <v>-6.98073506834</v>
      </c>
      <c r="E1282" t="n">
        <v>2</v>
      </c>
      <c r="F1282" t="n">
        <v>2</v>
      </c>
      <c r="G1282" t="n">
        <v>2</v>
      </c>
      <c r="J1282" t="inlineStr">
        <is>
          <t>Moda</t>
        </is>
      </c>
      <c r="K1282" t="n">
        <v>2</v>
      </c>
      <c r="L1282" t="n">
        <v>1.971</v>
      </c>
      <c r="M1282" t="n">
        <v>0</v>
      </c>
      <c r="N1282" t="inlineStr">
        <is>
          <t>train</t>
        </is>
      </c>
      <c r="O1282">
        <f>HYPERLINK("2\0\marker_726_370474.png", "Ver Imagen")</f>
        <v/>
      </c>
      <c r="P1282">
        <f>HYPERLINK("SE\A-497\A-497__690.png", "Ver Imagen")</f>
        <v/>
      </c>
    </row>
    <row r="1283">
      <c r="A1283" t="n">
        <v>708</v>
      </c>
      <c r="B1283" t="inlineStr">
        <is>
          <t>A-497__682</t>
        </is>
      </c>
      <c r="C1283" t="n">
        <v>37.1990405509</v>
      </c>
      <c r="D1283" t="n">
        <v>-6.98250894387</v>
      </c>
      <c r="E1283" t="n">
        <v>2</v>
      </c>
      <c r="F1283" t="n">
        <v>2</v>
      </c>
      <c r="G1283" t="n">
        <v>2</v>
      </c>
      <c r="J1283" t="inlineStr">
        <is>
          <t>Moda</t>
        </is>
      </c>
      <c r="K1283" t="n">
        <v>2</v>
      </c>
      <c r="L1283" t="n">
        <v>2.164</v>
      </c>
      <c r="M1283" t="n">
        <v>0</v>
      </c>
      <c r="N1283" t="inlineStr">
        <is>
          <t>train</t>
        </is>
      </c>
      <c r="O1283">
        <f>HYPERLINK("2\0\marker_275_370556.png", "Ver Imagen")</f>
        <v/>
      </c>
      <c r="P1283">
        <f>HYPERLINK("SE\A-497\A-497__682.png", "Ver Imagen")</f>
        <v/>
      </c>
    </row>
    <row r="1284">
      <c r="A1284" t="n">
        <v>709</v>
      </c>
      <c r="B1284" t="inlineStr">
        <is>
          <t>A-497__672</t>
        </is>
      </c>
      <c r="C1284" t="n">
        <v>37.1997631006</v>
      </c>
      <c r="D1284" t="n">
        <v>-6.98491557298</v>
      </c>
      <c r="E1284" t="n">
        <v>2</v>
      </c>
      <c r="F1284" t="n">
        <v>2</v>
      </c>
      <c r="G1284" t="n">
        <v>2</v>
      </c>
      <c r="J1284" t="inlineStr">
        <is>
          <t>Moda</t>
        </is>
      </c>
      <c r="K1284" t="n">
        <v>2</v>
      </c>
      <c r="L1284" t="n">
        <v>2.236</v>
      </c>
      <c r="M1284" t="n">
        <v>0</v>
      </c>
      <c r="N1284" t="inlineStr">
        <is>
          <t>train</t>
        </is>
      </c>
      <c r="O1284">
        <f>HYPERLINK("2\0\marker_721_371008.png", "Ver Imagen")</f>
        <v/>
      </c>
      <c r="P1284">
        <f>HYPERLINK("SE\A-497\A-497__672.png", "Ver Imagen")</f>
        <v/>
      </c>
    </row>
    <row r="1285">
      <c r="A1285" t="n">
        <v>710</v>
      </c>
      <c r="B1285" t="inlineStr">
        <is>
          <t>A-497__671</t>
        </is>
      </c>
      <c r="C1285" t="n">
        <v>37.1998273132</v>
      </c>
      <c r="D1285" t="n">
        <v>-6.98516588688</v>
      </c>
      <c r="E1285" t="n">
        <v>2</v>
      </c>
      <c r="F1285" t="n">
        <v>2</v>
      </c>
      <c r="G1285" t="n">
        <v>2</v>
      </c>
      <c r="J1285" t="inlineStr">
        <is>
          <t>Moda</t>
        </is>
      </c>
      <c r="K1285" t="n">
        <v>2</v>
      </c>
      <c r="L1285" t="n">
        <v>2.106</v>
      </c>
      <c r="M1285" t="n">
        <v>0</v>
      </c>
      <c r="N1285" t="inlineStr">
        <is>
          <t>train</t>
        </is>
      </c>
      <c r="O1285">
        <f>HYPERLINK("2\0\marker_522_371017.png", "Ver Imagen")</f>
        <v/>
      </c>
      <c r="P1285">
        <f>HYPERLINK("SE\A-497\A-497__671.png", "Ver Imagen")</f>
        <v/>
      </c>
    </row>
    <row r="1286">
      <c r="A1286" t="n">
        <v>711</v>
      </c>
      <c r="B1286" t="inlineStr">
        <is>
          <t>A-497_2C__234</t>
        </is>
      </c>
      <c r="C1286" t="n">
        <v>37.2615009284</v>
      </c>
      <c r="D1286" t="n">
        <v>-7.01071707915</v>
      </c>
      <c r="E1286" t="n">
        <v>2</v>
      </c>
      <c r="F1286" t="n">
        <v>2</v>
      </c>
      <c r="G1286" t="n">
        <v>2</v>
      </c>
      <c r="J1286" t="inlineStr">
        <is>
          <t>Moda</t>
        </is>
      </c>
      <c r="K1286" t="n">
        <v>2</v>
      </c>
      <c r="L1286" t="n">
        <v>1.856</v>
      </c>
      <c r="M1286" t="n">
        <v>0</v>
      </c>
      <c r="N1286" t="inlineStr">
        <is>
          <t>train</t>
        </is>
      </c>
      <c r="O1286">
        <f>HYPERLINK("2\0\marker_718_656918.png", "Ver Imagen")</f>
        <v/>
      </c>
      <c r="P1286">
        <f>HYPERLINK("SE\A-497_2C\A-497_2C__234.png", "Ver Imagen")</f>
        <v/>
      </c>
    </row>
    <row r="1287">
      <c r="A1287" t="n">
        <v>712</v>
      </c>
      <c r="B1287" t="inlineStr">
        <is>
          <t>A-497_2C__237</t>
        </is>
      </c>
      <c r="C1287" t="n">
        <v>37.2609814664</v>
      </c>
      <c r="D1287" t="n">
        <v>-7.01108377156</v>
      </c>
      <c r="E1287" t="n">
        <v>2</v>
      </c>
      <c r="F1287" t="n">
        <v>2</v>
      </c>
      <c r="G1287" t="n">
        <v>2</v>
      </c>
      <c r="J1287" t="inlineStr">
        <is>
          <t>Moda</t>
        </is>
      </c>
      <c r="K1287" t="n">
        <v>2</v>
      </c>
      <c r="L1287" t="n">
        <v>2.024</v>
      </c>
      <c r="M1287" t="n">
        <v>0</v>
      </c>
      <c r="N1287" t="inlineStr">
        <is>
          <t>train</t>
        </is>
      </c>
      <c r="O1287">
        <f>HYPERLINK("2\0\marker_213_656942.png", "Ver Imagen")</f>
        <v/>
      </c>
      <c r="P1287">
        <f>HYPERLINK("SE\A-497_2C\A-497_2C__237.png", "Ver Imagen")</f>
        <v/>
      </c>
    </row>
    <row r="1288">
      <c r="A1288" t="n">
        <v>714</v>
      </c>
      <c r="B1288" t="inlineStr">
        <is>
          <t>A-497_2C__245</t>
        </is>
      </c>
      <c r="C1288" t="n">
        <v>37.2595079461</v>
      </c>
      <c r="D1288" t="n">
        <v>-7.01202361866</v>
      </c>
      <c r="E1288" t="n">
        <v>2</v>
      </c>
      <c r="F1288" t="n">
        <v>2</v>
      </c>
      <c r="G1288" t="n">
        <v>2</v>
      </c>
      <c r="J1288" t="inlineStr">
        <is>
          <t>Moda</t>
        </is>
      </c>
      <c r="K1288" t="n">
        <v>2</v>
      </c>
      <c r="L1288" t="n">
        <v>2.158</v>
      </c>
      <c r="M1288" t="n">
        <v>0</v>
      </c>
      <c r="N1288" t="inlineStr">
        <is>
          <t>train</t>
        </is>
      </c>
      <c r="O1288">
        <f>HYPERLINK("2\0\marker_234_657067.png", "Ver Imagen")</f>
        <v/>
      </c>
      <c r="P1288">
        <f>HYPERLINK("SE\A-497_2C\A-497_2C__245.png", "Ver Imagen")</f>
        <v/>
      </c>
    </row>
    <row r="1289">
      <c r="A1289" t="n">
        <v>715</v>
      </c>
      <c r="B1289" t="inlineStr">
        <is>
          <t>A-497_2C__246</t>
        </is>
      </c>
      <c r="C1289" t="n">
        <v>37.2593681971</v>
      </c>
      <c r="D1289" t="n">
        <v>-7.01211319838</v>
      </c>
      <c r="E1289" t="n">
        <v>2</v>
      </c>
      <c r="F1289" t="n">
        <v>2</v>
      </c>
      <c r="G1289" t="n">
        <v>2</v>
      </c>
      <c r="J1289" t="inlineStr">
        <is>
          <t>Moda</t>
        </is>
      </c>
      <c r="K1289" t="n">
        <v>2</v>
      </c>
      <c r="L1289" t="n">
        <v>2.27</v>
      </c>
      <c r="M1289" t="n">
        <v>0</v>
      </c>
      <c r="N1289" t="inlineStr">
        <is>
          <t>train</t>
        </is>
      </c>
      <c r="O1289">
        <f>HYPERLINK("2\0\marker_444_657077.png", "Ver Imagen")</f>
        <v/>
      </c>
      <c r="P1289">
        <f>HYPERLINK("SE\A-497_2C\A-497_2C__246.png", "Ver Imagen")</f>
        <v/>
      </c>
    </row>
    <row r="1290">
      <c r="A1290" t="n">
        <v>717</v>
      </c>
      <c r="B1290" t="inlineStr">
        <is>
          <t>A-497_2C__248</t>
        </is>
      </c>
      <c r="C1290" t="n">
        <v>37.2589848188</v>
      </c>
      <c r="D1290" t="n">
        <v>-7.01235599132</v>
      </c>
      <c r="E1290" t="n">
        <v>2</v>
      </c>
      <c r="F1290" t="n">
        <v>2</v>
      </c>
      <c r="G1290" t="n">
        <v>2</v>
      </c>
      <c r="J1290" t="inlineStr">
        <is>
          <t>Moda</t>
        </is>
      </c>
      <c r="K1290" t="n">
        <v>2</v>
      </c>
      <c r="L1290" t="n">
        <v>1.99</v>
      </c>
      <c r="M1290" t="n">
        <v>0</v>
      </c>
      <c r="N1290" t="inlineStr">
        <is>
          <t>val</t>
        </is>
      </c>
      <c r="O1290">
        <f>HYPERLINK("2\0\marker_232_657095.png", "Ver Imagen")</f>
        <v/>
      </c>
      <c r="P1290">
        <f>HYPERLINK("SE\A-497_2C\A-497_2C__248.png", "Ver Imagen")</f>
        <v/>
      </c>
    </row>
    <row r="1291">
      <c r="A1291" t="n">
        <v>719</v>
      </c>
      <c r="B1291" t="inlineStr">
        <is>
          <t>A-497__564</t>
        </is>
      </c>
      <c r="C1291" t="n">
        <v>37.2042296887</v>
      </c>
      <c r="D1291" t="n">
        <v>-7.01159154026</v>
      </c>
      <c r="E1291" t="n">
        <v>2</v>
      </c>
      <c r="F1291" t="n">
        <v>2</v>
      </c>
      <c r="G1291" t="n">
        <v>2</v>
      </c>
      <c r="J1291" t="inlineStr">
        <is>
          <t>Moda</t>
        </is>
      </c>
      <c r="K1291" t="n">
        <v>2</v>
      </c>
      <c r="L1291" t="n">
        <v>1.588</v>
      </c>
      <c r="M1291" t="n">
        <v>0</v>
      </c>
      <c r="N1291" t="inlineStr">
        <is>
          <t>train</t>
        </is>
      </c>
      <c r="O1291">
        <f>HYPERLINK("2\0\marker_504_372107.png", "Ver Imagen")</f>
        <v/>
      </c>
      <c r="P1291">
        <f>HYPERLINK("SE\A-497\A-497__564.png", "Ver Imagen")</f>
        <v/>
      </c>
    </row>
    <row r="1292">
      <c r="A1292" t="n">
        <v>720</v>
      </c>
      <c r="B1292" t="inlineStr">
        <is>
          <t>A-497_2C__299</t>
        </is>
      </c>
      <c r="C1292" t="n">
        <v>37.2497249064</v>
      </c>
      <c r="D1292" t="n">
        <v>-7.01812423693</v>
      </c>
      <c r="E1292" t="n">
        <v>2</v>
      </c>
      <c r="F1292" t="n">
        <v>2</v>
      </c>
      <c r="G1292" t="n">
        <v>2</v>
      </c>
      <c r="J1292" t="inlineStr">
        <is>
          <t>Moda</t>
        </is>
      </c>
      <c r="K1292" t="n">
        <v>2</v>
      </c>
      <c r="L1292" t="n">
        <v>2.1</v>
      </c>
      <c r="M1292" t="n">
        <v>0</v>
      </c>
      <c r="N1292" t="inlineStr">
        <is>
          <t>train</t>
        </is>
      </c>
      <c r="O1292">
        <f>HYPERLINK("2\0\marker_370_320162.png", "Ver Imagen")</f>
        <v/>
      </c>
      <c r="P1292">
        <f>HYPERLINK("SE\A-497_2C\A-497_2C__299.png", "Ver Imagen")</f>
        <v/>
      </c>
    </row>
    <row r="1293">
      <c r="A1293" t="n">
        <v>721</v>
      </c>
      <c r="B1293" t="inlineStr">
        <is>
          <t>A-497_2C__300</t>
        </is>
      </c>
      <c r="C1293" t="n">
        <v>37.2495511154</v>
      </c>
      <c r="D1293" t="n">
        <v>-7.01817962932</v>
      </c>
      <c r="E1293" t="n">
        <v>2</v>
      </c>
      <c r="F1293" t="n">
        <v>2</v>
      </c>
      <c r="G1293" t="n">
        <v>2</v>
      </c>
      <c r="J1293" t="inlineStr">
        <is>
          <t>Moda</t>
        </is>
      </c>
      <c r="K1293" t="n">
        <v>2</v>
      </c>
      <c r="L1293" t="n">
        <v>2.024</v>
      </c>
      <c r="M1293" t="n">
        <v>0</v>
      </c>
      <c r="N1293" t="inlineStr">
        <is>
          <t>train</t>
        </is>
      </c>
      <c r="O1293">
        <f>HYPERLINK("2\0\marker_751_320173.png", "Ver Imagen")</f>
        <v/>
      </c>
      <c r="P1293">
        <f>HYPERLINK("SE\A-497_2C\A-497_2C__300.png", "Ver Imagen")</f>
        <v/>
      </c>
    </row>
    <row r="1294">
      <c r="A1294" t="n">
        <v>722</v>
      </c>
      <c r="B1294" t="inlineStr">
        <is>
          <t>A-497_2C__301</t>
        </is>
      </c>
      <c r="C1294" t="n">
        <v>37.2492940765</v>
      </c>
      <c r="D1294" t="n">
        <v>-7.01824658857</v>
      </c>
      <c r="E1294" t="n">
        <v>2</v>
      </c>
      <c r="F1294" t="n">
        <v>2</v>
      </c>
      <c r="G1294" t="n">
        <v>2</v>
      </c>
      <c r="J1294" t="inlineStr">
        <is>
          <t>Moda</t>
        </is>
      </c>
      <c r="K1294" t="n">
        <v>2</v>
      </c>
      <c r="L1294" t="n">
        <v>2.049</v>
      </c>
      <c r="M1294" t="n">
        <v>0</v>
      </c>
      <c r="N1294" t="inlineStr">
        <is>
          <t>train</t>
        </is>
      </c>
      <c r="O1294">
        <f>HYPERLINK("2\0\marker_893_320183.png", "Ver Imagen")</f>
        <v/>
      </c>
      <c r="P1294">
        <f>HYPERLINK("SE\A-497_2C\A-497_2C__301.png", "Ver Imagen")</f>
        <v/>
      </c>
    </row>
    <row r="1295">
      <c r="A1295" t="n">
        <v>723</v>
      </c>
      <c r="B1295" t="inlineStr">
        <is>
          <t>A-497_2C__302</t>
        </is>
      </c>
      <c r="C1295" t="n">
        <v>37.2491184206</v>
      </c>
      <c r="D1295" t="n">
        <v>-7.01828214544</v>
      </c>
      <c r="E1295" t="n">
        <v>2</v>
      </c>
      <c r="F1295" t="n">
        <v>2</v>
      </c>
      <c r="G1295" t="n">
        <v>2</v>
      </c>
      <c r="J1295" t="inlineStr">
        <is>
          <t>Moda</t>
        </is>
      </c>
      <c r="K1295" t="n">
        <v>2</v>
      </c>
      <c r="L1295" t="n">
        <v>1.679</v>
      </c>
      <c r="M1295" t="n">
        <v>0</v>
      </c>
      <c r="N1295" t="inlineStr">
        <is>
          <t>train</t>
        </is>
      </c>
      <c r="O1295">
        <f>HYPERLINK("2\0\marker_292_320191.png", "Ver Imagen")</f>
        <v/>
      </c>
      <c r="P1295">
        <f>HYPERLINK("SE\A-497_2C\A-497_2C__302.png", "Ver Imagen")</f>
        <v/>
      </c>
    </row>
    <row r="1296">
      <c r="A1296" t="n">
        <v>724</v>
      </c>
      <c r="B1296" t="inlineStr">
        <is>
          <t>A-497__556</t>
        </is>
      </c>
      <c r="C1296" t="n">
        <v>37.2045919546</v>
      </c>
      <c r="D1296" t="n">
        <v>-7.01357906222</v>
      </c>
      <c r="E1296" t="n">
        <v>2</v>
      </c>
      <c r="F1296" t="n">
        <v>2</v>
      </c>
      <c r="G1296" t="n">
        <v>2</v>
      </c>
      <c r="J1296" t="inlineStr">
        <is>
          <t>Moda</t>
        </is>
      </c>
      <c r="K1296" t="n">
        <v>2</v>
      </c>
      <c r="L1296" t="n">
        <v>2.041</v>
      </c>
      <c r="M1296" t="n">
        <v>0</v>
      </c>
      <c r="N1296" t="inlineStr">
        <is>
          <t>train</t>
        </is>
      </c>
      <c r="O1296">
        <f>HYPERLINK("2\0\marker_908_372198.png", "Ver Imagen")</f>
        <v/>
      </c>
      <c r="P1296">
        <f>HYPERLINK("SE\A-497\A-497__556.png", "Ver Imagen")</f>
        <v/>
      </c>
    </row>
    <row r="1297">
      <c r="A1297" t="n">
        <v>726</v>
      </c>
      <c r="B1297" t="inlineStr">
        <is>
          <t>A-497_2C__410</t>
        </is>
      </c>
      <c r="C1297" t="n">
        <v>37.2280806061</v>
      </c>
      <c r="D1297" t="n">
        <v>-7.02191919966</v>
      </c>
      <c r="E1297" t="n">
        <v>2</v>
      </c>
      <c r="F1297" t="n">
        <v>2</v>
      </c>
      <c r="G1297" t="n">
        <v>2</v>
      </c>
      <c r="J1297" t="inlineStr">
        <is>
          <t>Moda</t>
        </is>
      </c>
      <c r="K1297" t="n">
        <v>2</v>
      </c>
      <c r="L1297" t="n">
        <v>1.831</v>
      </c>
      <c r="M1297" t="n">
        <v>0</v>
      </c>
      <c r="N1297" t="inlineStr">
        <is>
          <t>val</t>
        </is>
      </c>
      <c r="O1297">
        <f>HYPERLINK("2\0\marker_773_363008.png", "Ver Imagen")</f>
        <v/>
      </c>
      <c r="P1297">
        <f>HYPERLINK("SE\A-497_2C\A-497_2C__410.png", "Ver Imagen")</f>
        <v/>
      </c>
    </row>
    <row r="1298">
      <c r="A1298" t="n">
        <v>727</v>
      </c>
      <c r="B1298" t="inlineStr">
        <is>
          <t>A-497_2C__412</t>
        </is>
      </c>
      <c r="C1298" t="n">
        <v>37.2277374816</v>
      </c>
      <c r="D1298" t="n">
        <v>-7.02218177041</v>
      </c>
      <c r="E1298" t="n">
        <v>2</v>
      </c>
      <c r="F1298" t="n">
        <v>2</v>
      </c>
      <c r="G1298" t="n">
        <v>2</v>
      </c>
      <c r="J1298" t="inlineStr">
        <is>
          <t>Moda</t>
        </is>
      </c>
      <c r="K1298" t="n">
        <v>2</v>
      </c>
      <c r="L1298" t="n">
        <v>1.976</v>
      </c>
      <c r="M1298" t="n">
        <v>0</v>
      </c>
      <c r="N1298" t="inlineStr">
        <is>
          <t>train</t>
        </is>
      </c>
      <c r="O1298">
        <f>HYPERLINK("2\0\marker_867_363034.png", "Ver Imagen")</f>
        <v/>
      </c>
      <c r="P1298">
        <f>HYPERLINK("SE\A-497_2C\A-497_2C__412.png", "Ver Imagen")</f>
        <v/>
      </c>
    </row>
    <row r="1299">
      <c r="A1299" t="n">
        <v>728</v>
      </c>
      <c r="B1299" t="inlineStr">
        <is>
          <t>A-497_2C__414</t>
        </is>
      </c>
      <c r="C1299" t="n">
        <v>37.2273819658</v>
      </c>
      <c r="D1299" t="n">
        <v>-7.02244848377</v>
      </c>
      <c r="E1299" t="n">
        <v>2</v>
      </c>
      <c r="F1299" t="n">
        <v>2</v>
      </c>
      <c r="G1299" t="n">
        <v>2</v>
      </c>
      <c r="J1299" t="inlineStr">
        <is>
          <t>Moda</t>
        </is>
      </c>
      <c r="K1299" t="n">
        <v>2</v>
      </c>
      <c r="L1299" t="n">
        <v>2.16</v>
      </c>
      <c r="M1299" t="n">
        <v>0</v>
      </c>
      <c r="N1299" t="inlineStr">
        <is>
          <t>train</t>
        </is>
      </c>
      <c r="O1299">
        <f>HYPERLINK("2\0\marker_803_363054.png", "Ver Imagen")</f>
        <v/>
      </c>
      <c r="P1299">
        <f>HYPERLINK("SE\A-497_2C\A-497_2C__414.png", "Ver Imagen")</f>
        <v/>
      </c>
    </row>
    <row r="1300">
      <c r="A1300" t="n">
        <v>729</v>
      </c>
      <c r="B1300" t="inlineStr">
        <is>
          <t>A-497_2C__415</t>
        </is>
      </c>
      <c r="C1300" t="n">
        <v>37.227221905</v>
      </c>
      <c r="D1300" t="n">
        <v>-7.02256439269</v>
      </c>
      <c r="E1300" t="n">
        <v>2</v>
      </c>
      <c r="F1300" t="n">
        <v>2</v>
      </c>
      <c r="G1300" t="n">
        <v>2</v>
      </c>
      <c r="J1300" t="inlineStr">
        <is>
          <t>Moda</t>
        </is>
      </c>
      <c r="K1300" t="n">
        <v>2</v>
      </c>
      <c r="L1300" t="n">
        <v>2.35</v>
      </c>
      <c r="M1300" t="n">
        <v>0</v>
      </c>
      <c r="N1300" t="inlineStr">
        <is>
          <t>train</t>
        </is>
      </c>
      <c r="O1300">
        <f>HYPERLINK("2\0\marker_103_363063.png", "Ver Imagen")</f>
        <v/>
      </c>
      <c r="P1300">
        <f>HYPERLINK("SE\A-497_2C\A-497_2C__415.png", "Ver Imagen")</f>
        <v/>
      </c>
    </row>
    <row r="1301">
      <c r="A1301" t="n">
        <v>730</v>
      </c>
      <c r="B1301" t="inlineStr">
        <is>
          <t>A-497_2C__417</t>
        </is>
      </c>
      <c r="C1301" t="n">
        <v>37.226833429</v>
      </c>
      <c r="D1301" t="n">
        <v>-7.02281768123</v>
      </c>
      <c r="E1301" t="n">
        <v>2</v>
      </c>
      <c r="F1301" t="n">
        <v>2</v>
      </c>
      <c r="G1301" t="n">
        <v>2</v>
      </c>
      <c r="J1301" t="inlineStr">
        <is>
          <t>Moda</t>
        </is>
      </c>
      <c r="K1301" t="n">
        <v>2</v>
      </c>
      <c r="L1301" t="n">
        <v>2.073</v>
      </c>
      <c r="M1301" t="n">
        <v>0</v>
      </c>
      <c r="N1301" t="inlineStr">
        <is>
          <t>train</t>
        </is>
      </c>
      <c r="O1301">
        <f>HYPERLINK("2\0\marker_186_363085.png", "Ver Imagen")</f>
        <v/>
      </c>
      <c r="P1301">
        <f>HYPERLINK("SE\A-497_2C\A-497_2C__417.png", "Ver Imagen")</f>
        <v/>
      </c>
    </row>
    <row r="1302">
      <c r="A1302" t="n">
        <v>732</v>
      </c>
      <c r="B1302" t="inlineStr">
        <is>
          <t>A-497__482</t>
        </is>
      </c>
      <c r="C1302" t="n">
        <v>37.2147793917</v>
      </c>
      <c r="D1302" t="n">
        <v>-7.02345090334</v>
      </c>
      <c r="E1302" t="n">
        <v>2</v>
      </c>
      <c r="F1302" t="n">
        <v>2</v>
      </c>
      <c r="G1302" t="n">
        <v>2</v>
      </c>
      <c r="J1302" t="inlineStr">
        <is>
          <t>Moda</t>
        </is>
      </c>
      <c r="K1302" t="n">
        <v>2</v>
      </c>
      <c r="L1302" t="n">
        <v>2.201</v>
      </c>
      <c r="M1302" t="n">
        <v>0</v>
      </c>
      <c r="N1302" t="inlineStr">
        <is>
          <t>train</t>
        </is>
      </c>
      <c r="O1302">
        <f>HYPERLINK("2\0\marker_275_376286.png", "Ver Imagen")</f>
        <v/>
      </c>
      <c r="P1302">
        <f>HYPERLINK("SE\A-497\A-497__482.png", "Ver Imagen")</f>
        <v/>
      </c>
    </row>
    <row r="1303">
      <c r="A1303" t="n">
        <v>733</v>
      </c>
      <c r="B1303" t="inlineStr">
        <is>
          <t>A-497_2C__424</t>
        </is>
      </c>
      <c r="C1303" t="n">
        <v>37.225463966</v>
      </c>
      <c r="D1303" t="n">
        <v>-7.02333324334</v>
      </c>
      <c r="E1303" t="n">
        <v>2</v>
      </c>
      <c r="F1303" t="n">
        <v>2</v>
      </c>
      <c r="G1303" t="n">
        <v>2</v>
      </c>
      <c r="J1303" t="inlineStr">
        <is>
          <t>Moda</t>
        </is>
      </c>
      <c r="K1303" t="n">
        <v>2</v>
      </c>
      <c r="L1303" t="n">
        <v>2.454</v>
      </c>
      <c r="M1303" t="n">
        <v>0</v>
      </c>
      <c r="N1303" t="inlineStr">
        <is>
          <t>train</t>
        </is>
      </c>
      <c r="O1303">
        <f>HYPERLINK("2\0\marker_455_363152.png", "Ver Imagen")</f>
        <v/>
      </c>
      <c r="P1303">
        <f>HYPERLINK("SE\A-497_2C\A-497_2C__424.png", "Ver Imagen")</f>
        <v/>
      </c>
    </row>
    <row r="1304">
      <c r="A1304" t="n">
        <v>734</v>
      </c>
      <c r="B1304" t="inlineStr">
        <is>
          <t>A-497__477</t>
        </is>
      </c>
      <c r="C1304" t="n">
        <v>37.2157416497</v>
      </c>
      <c r="D1304" t="n">
        <v>-7.02327723657</v>
      </c>
      <c r="E1304" t="n">
        <v>2</v>
      </c>
      <c r="F1304" t="n">
        <v>2</v>
      </c>
      <c r="G1304" t="n">
        <v>2</v>
      </c>
      <c r="J1304" t="inlineStr">
        <is>
          <t>Moda</t>
        </is>
      </c>
      <c r="K1304" t="n">
        <v>2</v>
      </c>
      <c r="L1304" t="n">
        <v>1.759</v>
      </c>
      <c r="M1304" t="n">
        <v>0</v>
      </c>
      <c r="N1304" t="inlineStr">
        <is>
          <t>train</t>
        </is>
      </c>
      <c r="O1304">
        <f>HYPERLINK("2\0\marker_294_376349.png", "Ver Imagen")</f>
        <v/>
      </c>
      <c r="P1304">
        <f>HYPERLINK("SE\A-497\A-497__477.png", "Ver Imagen")</f>
        <v/>
      </c>
    </row>
    <row r="1305">
      <c r="A1305" t="n">
        <v>735</v>
      </c>
      <c r="B1305" t="inlineStr">
        <is>
          <t>A-497_2C__433</t>
        </is>
      </c>
      <c r="C1305" t="n">
        <v>37.2236935465</v>
      </c>
      <c r="D1305" t="n">
        <v>-7.02331271853</v>
      </c>
      <c r="E1305" t="n">
        <v>2</v>
      </c>
      <c r="F1305" t="n">
        <v>2</v>
      </c>
      <c r="G1305" t="n">
        <v>2</v>
      </c>
      <c r="J1305" t="inlineStr">
        <is>
          <t>Moda</t>
        </is>
      </c>
      <c r="K1305" t="n">
        <v>2</v>
      </c>
      <c r="L1305" t="n">
        <v>2.187</v>
      </c>
      <c r="M1305" t="n">
        <v>0</v>
      </c>
      <c r="N1305" t="inlineStr">
        <is>
          <t>train</t>
        </is>
      </c>
      <c r="O1305">
        <f>HYPERLINK("2\0\marker_816_363232.png", "Ver Imagen")</f>
        <v/>
      </c>
      <c r="P1305">
        <f>HYPERLINK("SE\A-497_2C\A-497_2C__433.png", "Ver Imagen")</f>
        <v/>
      </c>
    </row>
    <row r="1306">
      <c r="A1306" t="n">
        <v>736</v>
      </c>
      <c r="B1306" t="inlineStr">
        <is>
          <t>A-497_2C__434</t>
        </is>
      </c>
      <c r="C1306" t="n">
        <v>37.2234922353</v>
      </c>
      <c r="D1306" t="n">
        <v>-7.02329367769</v>
      </c>
      <c r="E1306" t="n">
        <v>2</v>
      </c>
      <c r="F1306" t="n">
        <v>2</v>
      </c>
      <c r="G1306" t="n">
        <v>2</v>
      </c>
      <c r="J1306" t="inlineStr">
        <is>
          <t>Moda</t>
        </is>
      </c>
      <c r="K1306" t="n">
        <v>2</v>
      </c>
      <c r="L1306" t="n">
        <v>1.759</v>
      </c>
      <c r="M1306" t="n">
        <v>0</v>
      </c>
      <c r="N1306" t="inlineStr">
        <is>
          <t>train</t>
        </is>
      </c>
      <c r="O1306">
        <f>HYPERLINK("2\0\marker_501_363243.png", "Ver Imagen")</f>
        <v/>
      </c>
      <c r="P1306">
        <f>HYPERLINK("SE\A-497_2C\A-497_2C__434.png", "Ver Imagen")</f>
        <v/>
      </c>
    </row>
    <row r="1307">
      <c r="A1307" t="n">
        <v>737</v>
      </c>
      <c r="B1307" t="inlineStr">
        <is>
          <t>A-497__464</t>
        </is>
      </c>
      <c r="C1307" t="n">
        <v>37.2183622346</v>
      </c>
      <c r="D1307" t="n">
        <v>-7.02283079647</v>
      </c>
      <c r="E1307" t="n">
        <v>2</v>
      </c>
      <c r="F1307" t="n">
        <v>2</v>
      </c>
      <c r="G1307" t="n">
        <v>2</v>
      </c>
      <c r="J1307" t="inlineStr">
        <is>
          <t>Moda</t>
        </is>
      </c>
      <c r="K1307" t="n">
        <v>2</v>
      </c>
      <c r="L1307" t="n">
        <v>1.731</v>
      </c>
      <c r="M1307" t="n">
        <v>0</v>
      </c>
      <c r="N1307" t="inlineStr">
        <is>
          <t>train</t>
        </is>
      </c>
      <c r="O1307">
        <f>HYPERLINK("2\0\marker_516_376531.png", "Ver Imagen")</f>
        <v/>
      </c>
      <c r="P1307">
        <f>HYPERLINK("SE\A-497\A-497__464.png", "Ver Imagen")</f>
        <v/>
      </c>
    </row>
    <row r="1308">
      <c r="A1308" t="n">
        <v>738</v>
      </c>
      <c r="B1308" t="inlineStr">
        <is>
          <t>A-497__463</t>
        </is>
      </c>
      <c r="C1308" t="n">
        <v>37.2185695372</v>
      </c>
      <c r="D1308" t="n">
        <v>-7.0228084449</v>
      </c>
      <c r="E1308" t="n">
        <v>2</v>
      </c>
      <c r="F1308" t="n">
        <v>2</v>
      </c>
      <c r="G1308" t="n">
        <v>2</v>
      </c>
      <c r="J1308" t="inlineStr">
        <is>
          <t>Moda</t>
        </is>
      </c>
      <c r="K1308" t="n">
        <v>2</v>
      </c>
      <c r="L1308" t="n">
        <v>2.064</v>
      </c>
      <c r="M1308" t="n">
        <v>0</v>
      </c>
      <c r="N1308" t="inlineStr">
        <is>
          <t>train</t>
        </is>
      </c>
      <c r="O1308">
        <f>HYPERLINK("2\0\marker_465_376540.png", "Ver Imagen")</f>
        <v/>
      </c>
      <c r="P1308">
        <f>HYPERLINK("SE\A-497\A-497__463.png", "Ver Imagen")</f>
        <v/>
      </c>
    </row>
    <row r="1309">
      <c r="A1309" t="n">
        <v>739</v>
      </c>
      <c r="B1309" t="inlineStr">
        <is>
          <t>A-497__462</t>
        </is>
      </c>
      <c r="C1309" t="n">
        <v>37.2187648764</v>
      </c>
      <c r="D1309" t="n">
        <v>-7.0227909707</v>
      </c>
      <c r="E1309" t="n">
        <v>2</v>
      </c>
      <c r="F1309" t="n">
        <v>2</v>
      </c>
      <c r="G1309" t="n">
        <v>2</v>
      </c>
      <c r="J1309" t="inlineStr">
        <is>
          <t>Moda</t>
        </is>
      </c>
      <c r="K1309" t="n">
        <v>2</v>
      </c>
      <c r="L1309" t="n">
        <v>2.098</v>
      </c>
      <c r="M1309" t="n">
        <v>0</v>
      </c>
      <c r="N1309" t="inlineStr">
        <is>
          <t>train</t>
        </is>
      </c>
      <c r="O1309">
        <f>HYPERLINK("2\0\marker_656_376549.png", "Ver Imagen")</f>
        <v/>
      </c>
      <c r="P1309">
        <f>HYPERLINK("SE\A-497\A-497__462.png", "Ver Imagen")</f>
        <v/>
      </c>
    </row>
    <row r="1310">
      <c r="A1310" t="n">
        <v>740</v>
      </c>
      <c r="B1310" t="inlineStr">
        <is>
          <t>A-497__460</t>
        </is>
      </c>
      <c r="C1310" t="n">
        <v>37.2191421092</v>
      </c>
      <c r="D1310" t="n">
        <v>-7.02276997661</v>
      </c>
      <c r="E1310" t="n">
        <v>2</v>
      </c>
      <c r="F1310" t="n">
        <v>2</v>
      </c>
      <c r="G1310" t="n">
        <v>2</v>
      </c>
      <c r="J1310" t="inlineStr">
        <is>
          <t>Moda</t>
        </is>
      </c>
      <c r="K1310" t="n">
        <v>2</v>
      </c>
      <c r="L1310" t="n">
        <v>1.875</v>
      </c>
      <c r="M1310" t="n">
        <v>0</v>
      </c>
      <c r="N1310" t="inlineStr">
        <is>
          <t>train</t>
        </is>
      </c>
      <c r="O1310">
        <f>HYPERLINK("2\0\marker_806_376567.png", "Ver Imagen")</f>
        <v/>
      </c>
      <c r="P1310">
        <f>HYPERLINK("SE\A-497\A-497__460.png", "Ver Imagen")</f>
        <v/>
      </c>
    </row>
    <row r="1311">
      <c r="A1311" t="n">
        <v>743</v>
      </c>
      <c r="B1311" t="inlineStr">
        <is>
          <t>A-497__453</t>
        </is>
      </c>
      <c r="C1311" t="n">
        <v>37.2206116898</v>
      </c>
      <c r="D1311" t="n">
        <v>-7.02283320674</v>
      </c>
      <c r="E1311" t="n">
        <v>2</v>
      </c>
      <c r="F1311" t="n">
        <v>2</v>
      </c>
      <c r="G1311" t="n">
        <v>2</v>
      </c>
      <c r="J1311" t="inlineStr">
        <is>
          <t>Moda</t>
        </is>
      </c>
      <c r="K1311" t="n">
        <v>2</v>
      </c>
      <c r="L1311" t="n">
        <v>2.328</v>
      </c>
      <c r="M1311" t="n">
        <v>0</v>
      </c>
      <c r="N1311" t="inlineStr">
        <is>
          <t>test</t>
        </is>
      </c>
      <c r="O1311">
        <f>HYPERLINK("2\0\marker_506_376657.png", "Ver Imagen")</f>
        <v/>
      </c>
      <c r="P1311">
        <f>HYPERLINK("SE\A-497\A-497__453.png", "Ver Imagen")</f>
        <v/>
      </c>
    </row>
    <row r="1312">
      <c r="A1312" t="n">
        <v>744</v>
      </c>
      <c r="B1312" t="inlineStr">
        <is>
          <t>A-497_2C__508</t>
        </is>
      </c>
      <c r="C1312" t="n">
        <v>37.2087045085</v>
      </c>
      <c r="D1312" t="n">
        <v>-7.02305545801</v>
      </c>
      <c r="E1312" t="n">
        <v>2</v>
      </c>
      <c r="F1312" t="n">
        <v>2</v>
      </c>
      <c r="G1312" t="n">
        <v>2</v>
      </c>
      <c r="J1312" t="inlineStr">
        <is>
          <t>Moda</t>
        </is>
      </c>
      <c r="K1312" t="n">
        <v>2</v>
      </c>
      <c r="L1312" t="n">
        <v>1.624</v>
      </c>
      <c r="M1312" t="n">
        <v>0</v>
      </c>
      <c r="N1312" t="inlineStr">
        <is>
          <t>train</t>
        </is>
      </c>
      <c r="O1312">
        <f>HYPERLINK("2\0\marker_493_364138.png", "Ver Imagen")</f>
        <v/>
      </c>
      <c r="P1312">
        <f>HYPERLINK("SE\A-497_2C\A-497_2C__508.png", "Ver Imagen")</f>
        <v/>
      </c>
    </row>
    <row r="1313">
      <c r="A1313" t="n">
        <v>745</v>
      </c>
      <c r="B1313" t="inlineStr">
        <is>
          <t>A-497_2C__521</t>
        </is>
      </c>
      <c r="C1313" t="n">
        <v>37.2066713444</v>
      </c>
      <c r="D1313" t="n">
        <v>-7.02094224685</v>
      </c>
      <c r="E1313" t="n">
        <v>2</v>
      </c>
      <c r="F1313" t="n">
        <v>2</v>
      </c>
      <c r="G1313" t="n">
        <v>2</v>
      </c>
      <c r="J1313" t="inlineStr">
        <is>
          <t>Moda</t>
        </is>
      </c>
      <c r="K1313" t="n">
        <v>2</v>
      </c>
      <c r="L1313" t="n">
        <v>2.148</v>
      </c>
      <c r="M1313" t="n">
        <v>0</v>
      </c>
      <c r="N1313" t="inlineStr">
        <is>
          <t>train</t>
        </is>
      </c>
      <c r="O1313">
        <f>HYPERLINK("2\0\marker_238_364285.png", "Ver Imagen")</f>
        <v/>
      </c>
      <c r="P1313">
        <f>HYPERLINK("SE\A-497_2C\A-497_2C__521.png", "Ver Imagen")</f>
        <v/>
      </c>
    </row>
    <row r="1314">
      <c r="A1314" t="n">
        <v>746</v>
      </c>
      <c r="B1314" t="inlineStr">
        <is>
          <t>A-497_2C__525</t>
        </is>
      </c>
      <c r="C1314" t="n">
        <v>37.2061902217</v>
      </c>
      <c r="D1314" t="n">
        <v>-7.0200890094</v>
      </c>
      <c r="E1314" t="n">
        <v>2</v>
      </c>
      <c r="F1314" t="n">
        <v>2</v>
      </c>
      <c r="G1314" t="n">
        <v>2</v>
      </c>
      <c r="J1314" t="inlineStr">
        <is>
          <t>Moda</t>
        </is>
      </c>
      <c r="K1314" t="n">
        <v>2</v>
      </c>
      <c r="L1314" t="n">
        <v>1.974</v>
      </c>
      <c r="M1314" t="n">
        <v>0</v>
      </c>
      <c r="N1314" t="inlineStr">
        <is>
          <t>train</t>
        </is>
      </c>
      <c r="O1314">
        <f>HYPERLINK("2\0\marker_315_364390.png", "Ver Imagen")</f>
        <v/>
      </c>
      <c r="P1314">
        <f>HYPERLINK("SE\A-497_2C\A-497_2C__525.png", "Ver Imagen")</f>
        <v/>
      </c>
    </row>
    <row r="1315">
      <c r="A1315" t="n">
        <v>747</v>
      </c>
      <c r="B1315" t="inlineStr">
        <is>
          <t>A-497_2C__526</t>
        </is>
      </c>
      <c r="C1315" t="n">
        <v>37.2060892228</v>
      </c>
      <c r="D1315" t="n">
        <v>-7.01987796598</v>
      </c>
      <c r="E1315" t="n">
        <v>2</v>
      </c>
      <c r="F1315" t="n">
        <v>2</v>
      </c>
      <c r="G1315" t="n">
        <v>2</v>
      </c>
      <c r="J1315" t="inlineStr">
        <is>
          <t>Moda</t>
        </is>
      </c>
      <c r="K1315" t="n">
        <v>2</v>
      </c>
      <c r="L1315" t="n">
        <v>1.996</v>
      </c>
      <c r="M1315" t="n">
        <v>0</v>
      </c>
      <c r="N1315" t="inlineStr">
        <is>
          <t>train</t>
        </is>
      </c>
      <c r="O1315">
        <f>HYPERLINK("2\0\marker_691_364398.png", "Ver Imagen")</f>
        <v/>
      </c>
      <c r="P1315">
        <f>HYPERLINK("SE\A-497_2C\A-497_2C__526.png", "Ver Imagen")</f>
        <v/>
      </c>
    </row>
    <row r="1316">
      <c r="A1316" t="n">
        <v>748</v>
      </c>
      <c r="B1316" t="inlineStr">
        <is>
          <t>A-497_2C__528</t>
        </is>
      </c>
      <c r="C1316" t="n">
        <v>37.2059088012</v>
      </c>
      <c r="D1316" t="n">
        <v>-7.01946184302</v>
      </c>
      <c r="E1316" t="n">
        <v>2</v>
      </c>
      <c r="F1316" t="n">
        <v>2</v>
      </c>
      <c r="G1316" t="n">
        <v>2</v>
      </c>
      <c r="J1316" t="inlineStr">
        <is>
          <t>Moda</t>
        </is>
      </c>
      <c r="K1316" t="n">
        <v>2</v>
      </c>
      <c r="L1316" t="n">
        <v>2.249</v>
      </c>
      <c r="M1316" t="n">
        <v>0</v>
      </c>
      <c r="N1316" t="inlineStr">
        <is>
          <t>train</t>
        </is>
      </c>
      <c r="O1316">
        <f>HYPERLINK("2\0\marker_311_364417.png", "Ver Imagen")</f>
        <v/>
      </c>
      <c r="P1316">
        <f>HYPERLINK("SE\A-497_2C\A-497_2C__528.png", "Ver Imagen")</f>
        <v/>
      </c>
    </row>
    <row r="1317">
      <c r="A1317" t="n">
        <v>749</v>
      </c>
      <c r="B1317" t="inlineStr">
        <is>
          <t>A-497_2C__529</t>
        </is>
      </c>
      <c r="C1317" t="n">
        <v>37.2058259173</v>
      </c>
      <c r="D1317" t="n">
        <v>-7.01925256652</v>
      </c>
      <c r="E1317" t="n">
        <v>2</v>
      </c>
      <c r="F1317" t="n">
        <v>2</v>
      </c>
      <c r="G1317" t="n">
        <v>2</v>
      </c>
      <c r="J1317" t="inlineStr">
        <is>
          <t>Moda</t>
        </is>
      </c>
      <c r="K1317" t="n">
        <v>2</v>
      </c>
      <c r="L1317" t="n">
        <v>2.159</v>
      </c>
      <c r="M1317" t="n">
        <v>0</v>
      </c>
      <c r="N1317" t="inlineStr">
        <is>
          <t>train</t>
        </is>
      </c>
      <c r="O1317">
        <f>HYPERLINK("2\0\marker_753_364425.png", "Ver Imagen")</f>
        <v/>
      </c>
      <c r="P1317">
        <f>HYPERLINK("SE\A-497_2C\A-497_2C__529.png", "Ver Imagen")</f>
        <v/>
      </c>
    </row>
    <row r="1318">
      <c r="A1318" t="n">
        <v>750</v>
      </c>
      <c r="B1318" t="inlineStr">
        <is>
          <t>A-497_2C__532</t>
        </is>
      </c>
      <c r="C1318" t="n">
        <v>37.2055671378</v>
      </c>
      <c r="D1318" t="n">
        <v>-7.0185110587</v>
      </c>
      <c r="E1318" t="n">
        <v>2</v>
      </c>
      <c r="F1318" t="n">
        <v>2</v>
      </c>
      <c r="G1318" t="n">
        <v>2</v>
      </c>
      <c r="J1318" t="inlineStr">
        <is>
          <t>Moda</t>
        </is>
      </c>
      <c r="K1318" t="n">
        <v>2</v>
      </c>
      <c r="L1318" t="n">
        <v>1.928</v>
      </c>
      <c r="M1318" t="n">
        <v>0</v>
      </c>
      <c r="N1318" t="inlineStr">
        <is>
          <t>train</t>
        </is>
      </c>
      <c r="O1318">
        <f>HYPERLINK("2\0\marker_523_364452.png", "Ver Imagen")</f>
        <v/>
      </c>
      <c r="P1318">
        <f>HYPERLINK("SE\A-497_2C\A-497_2C__532.png", "Ver Imagen")</f>
        <v/>
      </c>
    </row>
    <row r="1319">
      <c r="A1319" t="n">
        <v>751</v>
      </c>
      <c r="B1319" t="inlineStr">
        <is>
          <t>A-497_2C__533</t>
        </is>
      </c>
      <c r="C1319" t="n">
        <v>37.2054830172</v>
      </c>
      <c r="D1319" t="n">
        <v>-7.01824180723</v>
      </c>
      <c r="E1319" t="n">
        <v>2</v>
      </c>
      <c r="F1319" t="n">
        <v>2</v>
      </c>
      <c r="G1319" t="n">
        <v>2</v>
      </c>
      <c r="J1319" t="inlineStr">
        <is>
          <t>Moda</t>
        </is>
      </c>
      <c r="K1319" t="n">
        <v>2</v>
      </c>
      <c r="L1319" t="n">
        <v>2.013</v>
      </c>
      <c r="M1319" t="n">
        <v>0</v>
      </c>
      <c r="N1319" t="inlineStr">
        <is>
          <t>test</t>
        </is>
      </c>
      <c r="O1319">
        <f>HYPERLINK("2\0\marker_576_364464.png", "Ver Imagen")</f>
        <v/>
      </c>
      <c r="P1319">
        <f>HYPERLINK("SE\A-497_2C\A-497_2C__533.png", "Ver Imagen")</f>
        <v/>
      </c>
    </row>
    <row r="1320">
      <c r="A1320" t="n">
        <v>752</v>
      </c>
      <c r="B1320" t="inlineStr">
        <is>
          <t>A-497_2C__626</t>
        </is>
      </c>
      <c r="C1320" t="n">
        <v>37.2018163405</v>
      </c>
      <c r="D1320" t="n">
        <v>-6.99533535413</v>
      </c>
      <c r="E1320" t="n">
        <v>2</v>
      </c>
      <c r="F1320" t="n">
        <v>2</v>
      </c>
      <c r="G1320" t="n">
        <v>2</v>
      </c>
      <c r="J1320" t="inlineStr">
        <is>
          <t>Moda</t>
        </is>
      </c>
      <c r="K1320" t="n">
        <v>2</v>
      </c>
      <c r="L1320" t="n">
        <v>2.072</v>
      </c>
      <c r="M1320" t="n">
        <v>0</v>
      </c>
      <c r="N1320" t="inlineStr">
        <is>
          <t>test</t>
        </is>
      </c>
      <c r="O1320">
        <f>HYPERLINK("2\0\marker_276_367043.png", "Ver Imagen")</f>
        <v/>
      </c>
      <c r="P1320">
        <f>HYPERLINK("SE\A-497_2C\A-497_2C__626.png", "Ver Imagen")</f>
        <v/>
      </c>
    </row>
    <row r="1321">
      <c r="A1321" t="n">
        <v>753</v>
      </c>
      <c r="B1321" t="inlineStr">
        <is>
          <t>A-497_2C__627</t>
        </is>
      </c>
      <c r="C1321" t="n">
        <v>37.2017781021</v>
      </c>
      <c r="D1321" t="n">
        <v>-6.99510254535</v>
      </c>
      <c r="E1321" t="n">
        <v>2</v>
      </c>
      <c r="F1321" t="n">
        <v>2</v>
      </c>
      <c r="G1321" t="n">
        <v>2</v>
      </c>
      <c r="J1321" t="inlineStr">
        <is>
          <t>Moda</t>
        </is>
      </c>
      <c r="K1321" t="n">
        <v>2</v>
      </c>
      <c r="L1321" t="n">
        <v>2.011</v>
      </c>
      <c r="M1321" t="n">
        <v>0</v>
      </c>
      <c r="N1321" t="inlineStr">
        <is>
          <t>train</t>
        </is>
      </c>
      <c r="O1321">
        <f>HYPERLINK("2\0\marker_745_367052.png", "Ver Imagen")</f>
        <v/>
      </c>
      <c r="P1321">
        <f>HYPERLINK("SE\A-497_2C\A-497_2C__627.png", "Ver Imagen")</f>
        <v/>
      </c>
    </row>
    <row r="1322">
      <c r="A1322" t="n">
        <v>754</v>
      </c>
      <c r="B1322" t="inlineStr">
        <is>
          <t>A-497_2C__628</t>
        </is>
      </c>
      <c r="C1322" t="n">
        <v>37.2017352758</v>
      </c>
      <c r="D1322" t="n">
        <v>-6.9948488264</v>
      </c>
      <c r="E1322" t="n">
        <v>2</v>
      </c>
      <c r="F1322" t="n">
        <v>2</v>
      </c>
      <c r="G1322" t="n">
        <v>2</v>
      </c>
      <c r="J1322" t="inlineStr">
        <is>
          <t>Moda</t>
        </is>
      </c>
      <c r="K1322" t="n">
        <v>2</v>
      </c>
      <c r="L1322" t="n">
        <v>1.922</v>
      </c>
      <c r="M1322" t="n">
        <v>0</v>
      </c>
      <c r="N1322" t="inlineStr">
        <is>
          <t>train</t>
        </is>
      </c>
      <c r="O1322">
        <f>HYPERLINK("2\0\marker_521_367063.png", "Ver Imagen")</f>
        <v/>
      </c>
      <c r="P1322">
        <f>HYPERLINK("SE\A-497_2C\A-497_2C__628.png", "Ver Imagen")</f>
        <v/>
      </c>
    </row>
    <row r="1323">
      <c r="A1323" t="n">
        <v>756</v>
      </c>
      <c r="B1323" t="inlineStr">
        <is>
          <t>A-497_2C__630</t>
        </is>
      </c>
      <c r="C1323" t="n">
        <v>37.2016503262</v>
      </c>
      <c r="D1323" t="n">
        <v>-6.99436577449</v>
      </c>
      <c r="E1323" t="n">
        <v>2</v>
      </c>
      <c r="F1323" t="n">
        <v>2</v>
      </c>
      <c r="G1323" t="n">
        <v>2</v>
      </c>
      <c r="J1323" t="inlineStr">
        <is>
          <t>Moda</t>
        </is>
      </c>
      <c r="K1323" t="n">
        <v>2</v>
      </c>
      <c r="L1323" t="n">
        <v>2.175</v>
      </c>
      <c r="M1323" t="n">
        <v>0</v>
      </c>
      <c r="N1323" t="inlineStr">
        <is>
          <t>train</t>
        </is>
      </c>
      <c r="O1323">
        <f>HYPERLINK("2\0\marker_894_367082.png", "Ver Imagen")</f>
        <v/>
      </c>
      <c r="P1323">
        <f>HYPERLINK("SE\A-497_2C\A-497_2C__630.png", "Ver Imagen")</f>
        <v/>
      </c>
    </row>
    <row r="1324">
      <c r="A1324" t="n">
        <v>757</v>
      </c>
      <c r="B1324" t="inlineStr">
        <is>
          <t>A-497_2C__631</t>
        </is>
      </c>
      <c r="C1324" t="n">
        <v>37.2016040422</v>
      </c>
      <c r="D1324" t="n">
        <v>-6.99410253962</v>
      </c>
      <c r="E1324" t="n">
        <v>2</v>
      </c>
      <c r="F1324" t="n">
        <v>2</v>
      </c>
      <c r="G1324" t="n">
        <v>2</v>
      </c>
      <c r="J1324" t="inlineStr">
        <is>
          <t>Moda</t>
        </is>
      </c>
      <c r="K1324" t="n">
        <v>2</v>
      </c>
      <c r="L1324" t="n">
        <v>2.326</v>
      </c>
      <c r="M1324" t="n">
        <v>0</v>
      </c>
      <c r="N1324" t="inlineStr">
        <is>
          <t>train</t>
        </is>
      </c>
      <c r="O1324">
        <f>HYPERLINK("2\0\marker_472_367093.png", "Ver Imagen")</f>
        <v/>
      </c>
      <c r="P1324">
        <f>HYPERLINK("SE\A-497_2C\A-497_2C__631.png", "Ver Imagen")</f>
        <v/>
      </c>
    </row>
    <row r="1325">
      <c r="A1325" t="n">
        <v>758</v>
      </c>
      <c r="B1325" t="inlineStr">
        <is>
          <t>A-497_2C__632</t>
        </is>
      </c>
      <c r="C1325" t="n">
        <v>37.2015618009</v>
      </c>
      <c r="D1325" t="n">
        <v>-6.99385739759</v>
      </c>
      <c r="E1325" t="n">
        <v>2</v>
      </c>
      <c r="F1325" t="n">
        <v>2</v>
      </c>
      <c r="G1325" t="n">
        <v>2</v>
      </c>
      <c r="J1325" t="inlineStr">
        <is>
          <t>Moda</t>
        </is>
      </c>
      <c r="K1325" t="n">
        <v>2</v>
      </c>
      <c r="L1325" t="n">
        <v>2.025</v>
      </c>
      <c r="M1325" t="n">
        <v>0</v>
      </c>
      <c r="N1325" t="inlineStr">
        <is>
          <t>train</t>
        </is>
      </c>
      <c r="O1325">
        <f>HYPERLINK("2\0\marker_659_367102.png", "Ver Imagen")</f>
        <v/>
      </c>
      <c r="P1325">
        <f>HYPERLINK("SE\A-497_2C\A-497_2C__632.png", "Ver Imagen")</f>
        <v/>
      </c>
    </row>
    <row r="1326">
      <c r="A1326" t="n">
        <v>759</v>
      </c>
      <c r="B1326" t="inlineStr">
        <is>
          <t>A-497_2C__633</t>
        </is>
      </c>
      <c r="C1326" t="n">
        <v>37.2015231527</v>
      </c>
      <c r="D1326" t="n">
        <v>-6.99363595081</v>
      </c>
      <c r="E1326" t="n">
        <v>2</v>
      </c>
      <c r="F1326" t="n">
        <v>2</v>
      </c>
      <c r="G1326" t="n">
        <v>2</v>
      </c>
      <c r="J1326" t="inlineStr">
        <is>
          <t>Moda</t>
        </is>
      </c>
      <c r="K1326" t="n">
        <v>2</v>
      </c>
      <c r="L1326" t="n">
        <v>2.281</v>
      </c>
      <c r="M1326" t="n">
        <v>0</v>
      </c>
      <c r="N1326" t="inlineStr">
        <is>
          <t>train</t>
        </is>
      </c>
      <c r="O1326">
        <f>HYPERLINK("2\0\marker_237_367111.png", "Ver Imagen")</f>
        <v/>
      </c>
      <c r="P1326">
        <f>HYPERLINK("SE\A-497_2C\A-497_2C__633.png", "Ver Imagen")</f>
        <v/>
      </c>
    </row>
    <row r="1327">
      <c r="A1327" t="n">
        <v>760</v>
      </c>
      <c r="B1327" t="inlineStr">
        <is>
          <t>A-497_2C__634</t>
        </is>
      </c>
      <c r="C1327" t="n">
        <v>37.2014704758</v>
      </c>
      <c r="D1327" t="n">
        <v>-6.99334198811</v>
      </c>
      <c r="E1327" t="n">
        <v>2</v>
      </c>
      <c r="F1327" t="n">
        <v>2</v>
      </c>
      <c r="G1327" t="n">
        <v>2</v>
      </c>
      <c r="J1327" t="inlineStr">
        <is>
          <t>Moda</t>
        </is>
      </c>
      <c r="K1327" t="n">
        <v>2</v>
      </c>
      <c r="L1327" t="n">
        <v>2.129</v>
      </c>
      <c r="M1327" t="n">
        <v>0</v>
      </c>
      <c r="N1327" t="inlineStr">
        <is>
          <t>train</t>
        </is>
      </c>
      <c r="O1327">
        <f>HYPERLINK("2\0\marker_226_367120.png", "Ver Imagen")</f>
        <v/>
      </c>
      <c r="P1327">
        <f>HYPERLINK("SE\A-497_2C\A-497_2C__634.png", "Ver Imagen")</f>
        <v/>
      </c>
    </row>
    <row r="1328">
      <c r="A1328" t="n">
        <v>761</v>
      </c>
      <c r="B1328" t="inlineStr">
        <is>
          <t>A-497_2C__638</t>
        </is>
      </c>
      <c r="C1328" t="n">
        <v>37.2012962158</v>
      </c>
      <c r="D1328" t="n">
        <v>-6.99242106996</v>
      </c>
      <c r="E1328" t="n">
        <v>2</v>
      </c>
      <c r="F1328" t="n">
        <v>2</v>
      </c>
      <c r="G1328" t="n">
        <v>2</v>
      </c>
      <c r="J1328" t="inlineStr">
        <is>
          <t>Moda</t>
        </is>
      </c>
      <c r="K1328" t="n">
        <v>2</v>
      </c>
      <c r="L1328" t="n">
        <v>1.888</v>
      </c>
      <c r="M1328" t="n">
        <v>0</v>
      </c>
      <c r="N1328" t="inlineStr">
        <is>
          <t>train</t>
        </is>
      </c>
      <c r="O1328">
        <f>HYPERLINK("2\0\marker_262_367160.png", "Ver Imagen")</f>
        <v/>
      </c>
      <c r="P1328">
        <f>HYPERLINK("SE\A-497_2C\A-497_2C__638.png", "Ver Imagen")</f>
        <v/>
      </c>
    </row>
    <row r="1329">
      <c r="A1329" t="n">
        <v>762</v>
      </c>
      <c r="B1329" t="inlineStr">
        <is>
          <t>A-497_2C__640</t>
        </is>
      </c>
      <c r="C1329" t="n">
        <v>37.2011876959</v>
      </c>
      <c r="D1329" t="n">
        <v>-6.99186071417</v>
      </c>
      <c r="E1329" t="n">
        <v>2</v>
      </c>
      <c r="F1329" t="n">
        <v>2</v>
      </c>
      <c r="G1329" t="n">
        <v>2</v>
      </c>
      <c r="J1329" t="inlineStr">
        <is>
          <t>Moda</t>
        </is>
      </c>
      <c r="K1329" t="n">
        <v>2</v>
      </c>
      <c r="L1329" t="n">
        <v>1.904</v>
      </c>
      <c r="M1329" t="n">
        <v>0</v>
      </c>
      <c r="N1329" t="inlineStr">
        <is>
          <t>train</t>
        </is>
      </c>
      <c r="O1329">
        <f>HYPERLINK("2\0\marker_877_367177.png", "Ver Imagen")</f>
        <v/>
      </c>
      <c r="P1329">
        <f>HYPERLINK("SE\A-497_2C\A-497_2C__640.png", "Ver Imagen")</f>
        <v/>
      </c>
    </row>
    <row r="1330">
      <c r="A1330" t="n">
        <v>763</v>
      </c>
      <c r="B1330" t="inlineStr">
        <is>
          <t>A-497_2C__641</t>
        </is>
      </c>
      <c r="C1330" t="n">
        <v>37.2011445585</v>
      </c>
      <c r="D1330" t="n">
        <v>-6.99163972818</v>
      </c>
      <c r="E1330" t="n">
        <v>2</v>
      </c>
      <c r="F1330" t="n">
        <v>2</v>
      </c>
      <c r="G1330" t="n">
        <v>2</v>
      </c>
      <c r="J1330" t="inlineStr">
        <is>
          <t>Moda</t>
        </is>
      </c>
      <c r="K1330" t="n">
        <v>2</v>
      </c>
      <c r="L1330" t="n">
        <v>2.069</v>
      </c>
      <c r="M1330" t="n">
        <v>0</v>
      </c>
      <c r="N1330" t="inlineStr">
        <is>
          <t>test</t>
        </is>
      </c>
      <c r="O1330">
        <f>HYPERLINK("2\0\marker_818_367186.png", "Ver Imagen")</f>
        <v/>
      </c>
      <c r="P1330">
        <f>HYPERLINK("SE\A-497_2C\A-497_2C__641.png", "Ver Imagen")</f>
        <v/>
      </c>
    </row>
    <row r="1331">
      <c r="A1331" t="n">
        <v>764</v>
      </c>
      <c r="B1331" t="inlineStr">
        <is>
          <t>A-497_2C__642</t>
        </is>
      </c>
      <c r="C1331" t="n">
        <v>37.2010877405</v>
      </c>
      <c r="D1331" t="n">
        <v>-6.99134855141</v>
      </c>
      <c r="E1331" t="n">
        <v>2</v>
      </c>
      <c r="F1331" t="n">
        <v>2</v>
      </c>
      <c r="G1331" t="n">
        <v>2</v>
      </c>
      <c r="J1331" t="inlineStr">
        <is>
          <t>Moda</t>
        </is>
      </c>
      <c r="K1331" t="n">
        <v>2</v>
      </c>
      <c r="L1331" t="n">
        <v>2.167</v>
      </c>
      <c r="M1331" t="n">
        <v>0</v>
      </c>
      <c r="N1331" t="inlineStr">
        <is>
          <t>val</t>
        </is>
      </c>
      <c r="O1331">
        <f>HYPERLINK("2\0\marker_167_367195.png", "Ver Imagen")</f>
        <v/>
      </c>
      <c r="P1331">
        <f>HYPERLINK("SE\A-497_2C\A-497_2C__642.png", "Ver Imagen")</f>
        <v/>
      </c>
    </row>
    <row r="1332">
      <c r="A1332" t="n">
        <v>765</v>
      </c>
      <c r="B1332" t="inlineStr">
        <is>
          <t>A-497_2C__643</t>
        </is>
      </c>
      <c r="C1332" t="n">
        <v>37.2010532149</v>
      </c>
      <c r="D1332" t="n">
        <v>-6.9911712777</v>
      </c>
      <c r="E1332" t="n">
        <v>2</v>
      </c>
      <c r="F1332" t="n">
        <v>2</v>
      </c>
      <c r="G1332" t="n">
        <v>2</v>
      </c>
      <c r="J1332" t="inlineStr">
        <is>
          <t>Moda</t>
        </is>
      </c>
      <c r="K1332" t="n">
        <v>2</v>
      </c>
      <c r="L1332" t="n">
        <v>2.017</v>
      </c>
      <c r="M1332" t="n">
        <v>0</v>
      </c>
      <c r="N1332" t="inlineStr">
        <is>
          <t>train</t>
        </is>
      </c>
      <c r="O1332">
        <f>HYPERLINK("2\0\marker_329_367209.png", "Ver Imagen")</f>
        <v/>
      </c>
      <c r="P1332">
        <f>HYPERLINK("SE\A-497_2C\A-497_2C__643.png", "Ver Imagen")</f>
        <v/>
      </c>
    </row>
    <row r="1333">
      <c r="A1333" t="n">
        <v>766</v>
      </c>
      <c r="B1333" t="inlineStr">
        <is>
          <t>A-497_2C__644</t>
        </is>
      </c>
      <c r="C1333" t="n">
        <v>37.2010009208</v>
      </c>
      <c r="D1333" t="n">
        <v>-6.99090683605</v>
      </c>
      <c r="E1333" t="n">
        <v>2</v>
      </c>
      <c r="F1333" t="n">
        <v>2</v>
      </c>
      <c r="G1333" t="n">
        <v>2</v>
      </c>
      <c r="J1333" t="inlineStr">
        <is>
          <t>Moda</t>
        </is>
      </c>
      <c r="K1333" t="n">
        <v>2</v>
      </c>
      <c r="L1333" t="n">
        <v>2.18</v>
      </c>
      <c r="M1333" t="n">
        <v>0</v>
      </c>
      <c r="N1333" t="inlineStr">
        <is>
          <t>train</t>
        </is>
      </c>
      <c r="O1333">
        <f>HYPERLINK("2\0\marker_922_367219.png", "Ver Imagen")</f>
        <v/>
      </c>
      <c r="P1333">
        <f>HYPERLINK("SE\A-497_2C\A-497_2C__644.png", "Ver Imagen")</f>
        <v/>
      </c>
    </row>
    <row r="1334">
      <c r="A1334" t="n">
        <v>767</v>
      </c>
      <c r="B1334" t="inlineStr">
        <is>
          <t>A-497_2C__646</t>
        </is>
      </c>
      <c r="C1334" t="n">
        <v>37.200894264</v>
      </c>
      <c r="D1334" t="n">
        <v>-6.99039195777</v>
      </c>
      <c r="E1334" t="n">
        <v>2</v>
      </c>
      <c r="F1334" t="n">
        <v>2</v>
      </c>
      <c r="G1334" t="n">
        <v>2</v>
      </c>
      <c r="J1334" t="inlineStr">
        <is>
          <t>Moda</t>
        </is>
      </c>
      <c r="K1334" t="n">
        <v>2</v>
      </c>
      <c r="L1334" t="n">
        <v>2.16</v>
      </c>
      <c r="M1334" t="n">
        <v>0</v>
      </c>
      <c r="N1334" t="inlineStr">
        <is>
          <t>train</t>
        </is>
      </c>
      <c r="O1334">
        <f>HYPERLINK("2\0\marker_693_367239.png", "Ver Imagen")</f>
        <v/>
      </c>
      <c r="P1334">
        <f>HYPERLINK("SE\A-497_2C\A-497_2C__646.png", "Ver Imagen")</f>
        <v/>
      </c>
    </row>
    <row r="1335">
      <c r="A1335" t="n">
        <v>768</v>
      </c>
      <c r="B1335" t="inlineStr">
        <is>
          <t>A-497_2C__650</t>
        </is>
      </c>
      <c r="C1335" t="n">
        <v>37.2006832536</v>
      </c>
      <c r="D1335" t="n">
        <v>-6.98942378811</v>
      </c>
      <c r="E1335" t="n">
        <v>2</v>
      </c>
      <c r="F1335" t="n">
        <v>2</v>
      </c>
      <c r="G1335" t="n">
        <v>2</v>
      </c>
      <c r="J1335" t="inlineStr">
        <is>
          <t>Moda</t>
        </is>
      </c>
      <c r="K1335" t="n">
        <v>2</v>
      </c>
      <c r="L1335" t="n">
        <v>1.916</v>
      </c>
      <c r="M1335" t="n">
        <v>0</v>
      </c>
      <c r="N1335" t="inlineStr">
        <is>
          <t>train</t>
        </is>
      </c>
      <c r="O1335">
        <f>HYPERLINK("2\0\marker_143_367278.png", "Ver Imagen")</f>
        <v/>
      </c>
      <c r="P1335">
        <f>HYPERLINK("SE\A-497_2C\A-497_2C__650.png", "Ver Imagen")</f>
        <v/>
      </c>
    </row>
    <row r="1336">
      <c r="A1336" t="n">
        <v>769</v>
      </c>
      <c r="B1336" t="inlineStr">
        <is>
          <t>A-497_2C__652</t>
        </is>
      </c>
      <c r="C1336" t="n">
        <v>37.2005801497</v>
      </c>
      <c r="D1336" t="n">
        <v>-6.9889540661</v>
      </c>
      <c r="E1336" t="n">
        <v>2</v>
      </c>
      <c r="F1336" t="n">
        <v>2</v>
      </c>
      <c r="G1336" t="n">
        <v>2</v>
      </c>
      <c r="J1336" t="inlineStr">
        <is>
          <t>Moda</t>
        </is>
      </c>
      <c r="K1336" t="n">
        <v>2</v>
      </c>
      <c r="L1336" t="n">
        <v>1.9</v>
      </c>
      <c r="M1336" t="n">
        <v>0</v>
      </c>
      <c r="N1336" t="inlineStr">
        <is>
          <t>train</t>
        </is>
      </c>
      <c r="O1336">
        <f>HYPERLINK("2\0\marker_549_367297.png", "Ver Imagen")</f>
        <v/>
      </c>
      <c r="P1336">
        <f>HYPERLINK("SE\A-497_2C\A-497_2C__652.png", "Ver Imagen")</f>
        <v/>
      </c>
    </row>
    <row r="1337">
      <c r="A1337" t="n">
        <v>770</v>
      </c>
      <c r="B1337" t="inlineStr">
        <is>
          <t>A-497_2C__653</t>
        </is>
      </c>
      <c r="C1337" t="n">
        <v>37.2005313636</v>
      </c>
      <c r="D1337" t="n">
        <v>-6.98873473837</v>
      </c>
      <c r="E1337" t="n">
        <v>2</v>
      </c>
      <c r="F1337" t="n">
        <v>2</v>
      </c>
      <c r="G1337" t="n">
        <v>2</v>
      </c>
      <c r="J1337" t="inlineStr">
        <is>
          <t>Moda</t>
        </is>
      </c>
      <c r="K1337" t="n">
        <v>2</v>
      </c>
      <c r="L1337" t="n">
        <v>1.848</v>
      </c>
      <c r="M1337" t="n">
        <v>0</v>
      </c>
      <c r="N1337" t="inlineStr">
        <is>
          <t>train</t>
        </is>
      </c>
      <c r="O1337">
        <f>HYPERLINK("2\0\marker_686_367307.png", "Ver Imagen")</f>
        <v/>
      </c>
      <c r="P1337">
        <f>HYPERLINK("SE\A-497_2C\A-497_2C__653.png", "Ver Imagen")</f>
        <v/>
      </c>
    </row>
    <row r="1338">
      <c r="A1338" t="n">
        <v>771</v>
      </c>
      <c r="B1338" t="inlineStr">
        <is>
          <t>A-497_2C__654</t>
        </is>
      </c>
      <c r="C1338" t="n">
        <v>37.2004616087</v>
      </c>
      <c r="D1338" t="n">
        <v>-6.98842490934</v>
      </c>
      <c r="E1338" t="n">
        <v>2</v>
      </c>
      <c r="F1338" t="n">
        <v>2</v>
      </c>
      <c r="G1338" t="n">
        <v>2</v>
      </c>
      <c r="J1338" t="inlineStr">
        <is>
          <t>Moda</t>
        </is>
      </c>
      <c r="K1338" t="n">
        <v>2</v>
      </c>
      <c r="L1338" t="n">
        <v>2.055</v>
      </c>
      <c r="M1338" t="n">
        <v>0</v>
      </c>
      <c r="N1338" t="inlineStr">
        <is>
          <t>train</t>
        </is>
      </c>
      <c r="O1338">
        <f>HYPERLINK("2\0\marker_519_367318.png", "Ver Imagen")</f>
        <v/>
      </c>
      <c r="P1338">
        <f>HYPERLINK("SE\A-497_2C\A-497_2C__654.png", "Ver Imagen")</f>
        <v/>
      </c>
    </row>
    <row r="1339">
      <c r="A1339" t="n">
        <v>772</v>
      </c>
      <c r="B1339" t="inlineStr">
        <is>
          <t>A-497_2C__655</t>
        </is>
      </c>
      <c r="C1339" t="n">
        <v>37.200416101</v>
      </c>
      <c r="D1339" t="n">
        <v>-6.98822469081</v>
      </c>
      <c r="E1339" t="n">
        <v>2</v>
      </c>
      <c r="F1339" t="n">
        <v>2</v>
      </c>
      <c r="G1339" t="n">
        <v>2</v>
      </c>
      <c r="J1339" t="inlineStr">
        <is>
          <t>Moda</t>
        </is>
      </c>
      <c r="K1339" t="n">
        <v>2</v>
      </c>
      <c r="L1339" t="n">
        <v>2.116</v>
      </c>
      <c r="M1339" t="n">
        <v>0</v>
      </c>
      <c r="N1339" t="inlineStr">
        <is>
          <t>train</t>
        </is>
      </c>
      <c r="O1339">
        <f>HYPERLINK("2\0\marker_110_367334.png", "Ver Imagen")</f>
        <v/>
      </c>
      <c r="P1339">
        <f>HYPERLINK("SE\A-497_2C\A-497_2C__655.png", "Ver Imagen")</f>
        <v/>
      </c>
    </row>
    <row r="1340">
      <c r="A1340" t="n">
        <v>773</v>
      </c>
      <c r="B1340" t="inlineStr">
        <is>
          <t>A-497_2C__656</t>
        </is>
      </c>
      <c r="C1340" t="n">
        <v>37.2003624877</v>
      </c>
      <c r="D1340" t="n">
        <v>-6.98799047473</v>
      </c>
      <c r="E1340" t="n">
        <v>2</v>
      </c>
      <c r="F1340" t="n">
        <v>2</v>
      </c>
      <c r="G1340" t="n">
        <v>2</v>
      </c>
      <c r="J1340" t="inlineStr">
        <is>
          <t>Moda</t>
        </is>
      </c>
      <c r="K1340" t="n">
        <v>2</v>
      </c>
      <c r="L1340" t="n">
        <v>2.018</v>
      </c>
      <c r="M1340" t="n">
        <v>0</v>
      </c>
      <c r="N1340" t="inlineStr">
        <is>
          <t>train</t>
        </is>
      </c>
      <c r="O1340">
        <f>HYPERLINK("2\0\marker_978_367344.png", "Ver Imagen")</f>
        <v/>
      </c>
      <c r="P1340">
        <f>HYPERLINK("SE\A-497_2C\A-497_2C__656.png", "Ver Imagen")</f>
        <v/>
      </c>
    </row>
    <row r="1341">
      <c r="A1341" t="n">
        <v>774</v>
      </c>
      <c r="B1341" t="inlineStr">
        <is>
          <t>A-497_2C__660</t>
        </is>
      </c>
      <c r="C1341" t="n">
        <v>37.2001368579</v>
      </c>
      <c r="D1341" t="n">
        <v>-6.98702012685</v>
      </c>
      <c r="E1341" t="n">
        <v>2</v>
      </c>
      <c r="F1341" t="n">
        <v>2</v>
      </c>
      <c r="G1341" t="n">
        <v>2</v>
      </c>
      <c r="J1341" t="inlineStr">
        <is>
          <t>Moda</t>
        </is>
      </c>
      <c r="K1341" t="n">
        <v>2</v>
      </c>
      <c r="L1341" t="n">
        <v>2.046</v>
      </c>
      <c r="M1341" t="n">
        <v>0</v>
      </c>
      <c r="N1341" t="inlineStr">
        <is>
          <t>train</t>
        </is>
      </c>
      <c r="O1341">
        <f>HYPERLINK("2\0\marker_114_367388.png", "Ver Imagen")</f>
        <v/>
      </c>
      <c r="P1341">
        <f>HYPERLINK("SE\A-497_2C\A-497_2C__660.png", "Ver Imagen")</f>
        <v/>
      </c>
    </row>
    <row r="1342">
      <c r="A1342" t="n">
        <v>775</v>
      </c>
      <c r="B1342" t="inlineStr">
        <is>
          <t>A-497__447</t>
        </is>
      </c>
      <c r="C1342" t="n">
        <v>37.2217986972</v>
      </c>
      <c r="D1342" t="n">
        <v>-7.02294657143</v>
      </c>
      <c r="E1342" t="n">
        <v>2</v>
      </c>
      <c r="F1342" t="n">
        <v>2</v>
      </c>
      <c r="G1342" t="n">
        <v>2</v>
      </c>
      <c r="J1342" t="inlineStr">
        <is>
          <t>Moda</t>
        </is>
      </c>
      <c r="K1342" t="n">
        <v>2</v>
      </c>
      <c r="L1342" t="n">
        <v>2.161</v>
      </c>
      <c r="M1342" t="n">
        <v>0</v>
      </c>
      <c r="N1342" t="inlineStr">
        <is>
          <t>train</t>
        </is>
      </c>
      <c r="O1342">
        <f>HYPERLINK("2\0\marker_850_376725.png", "Ver Imagen")</f>
        <v/>
      </c>
      <c r="P1342">
        <f>HYPERLINK("SE\A-497\A-497__447.png", "Ver Imagen")</f>
        <v/>
      </c>
    </row>
    <row r="1343">
      <c r="A1343" t="n">
        <v>776</v>
      </c>
      <c r="B1343" t="inlineStr">
        <is>
          <t>A-497__446</t>
        </is>
      </c>
      <c r="C1343" t="n">
        <v>37.2219852383</v>
      </c>
      <c r="D1343" t="n">
        <v>-7.02296485009</v>
      </c>
      <c r="E1343" t="n">
        <v>2</v>
      </c>
      <c r="F1343" t="n">
        <v>2</v>
      </c>
      <c r="G1343" t="n">
        <v>2</v>
      </c>
      <c r="J1343" t="inlineStr">
        <is>
          <t>Moda</t>
        </is>
      </c>
      <c r="K1343" t="n">
        <v>2</v>
      </c>
      <c r="L1343" t="n">
        <v>1.988</v>
      </c>
      <c r="M1343" t="n">
        <v>0</v>
      </c>
      <c r="N1343" t="inlineStr">
        <is>
          <t>train</t>
        </is>
      </c>
      <c r="O1343">
        <f>HYPERLINK("2\0\marker_380_376735.png", "Ver Imagen")</f>
        <v/>
      </c>
      <c r="P1343">
        <f>HYPERLINK("SE\A-497\A-497__446.png", "Ver Imagen")</f>
        <v/>
      </c>
    </row>
    <row r="1344">
      <c r="A1344" t="n">
        <v>777</v>
      </c>
      <c r="B1344" t="inlineStr">
        <is>
          <t>A-497__445</t>
        </is>
      </c>
      <c r="C1344" t="n">
        <v>37.2221837</v>
      </c>
      <c r="D1344" t="n">
        <v>-7.02298416496</v>
      </c>
      <c r="E1344" t="n">
        <v>2</v>
      </c>
      <c r="F1344" t="n">
        <v>2</v>
      </c>
      <c r="G1344" t="n">
        <v>2</v>
      </c>
      <c r="J1344" t="inlineStr">
        <is>
          <t>Moda</t>
        </is>
      </c>
      <c r="K1344" t="n">
        <v>2</v>
      </c>
      <c r="L1344" t="n">
        <v>2.204</v>
      </c>
      <c r="M1344" t="n">
        <v>0</v>
      </c>
      <c r="N1344" t="inlineStr">
        <is>
          <t>train</t>
        </is>
      </c>
      <c r="O1344">
        <f>HYPERLINK("2\0\marker_915_376745.png", "Ver Imagen")</f>
        <v/>
      </c>
      <c r="P1344">
        <f>HYPERLINK("SE\A-497\A-497__445.png", "Ver Imagen")</f>
        <v/>
      </c>
    </row>
    <row r="1345">
      <c r="A1345" t="n">
        <v>778</v>
      </c>
      <c r="B1345" t="inlineStr">
        <is>
          <t>A-497__444</t>
        </is>
      </c>
      <c r="C1345" t="n">
        <v>37.2224138617</v>
      </c>
      <c r="D1345" t="n">
        <v>-7.023006187</v>
      </c>
      <c r="E1345" t="n">
        <v>2</v>
      </c>
      <c r="F1345" t="n">
        <v>2</v>
      </c>
      <c r="G1345" t="n">
        <v>2</v>
      </c>
      <c r="J1345" t="inlineStr">
        <is>
          <t>Moda</t>
        </is>
      </c>
      <c r="K1345" t="n">
        <v>2</v>
      </c>
      <c r="L1345" t="n">
        <v>1.97</v>
      </c>
      <c r="M1345" t="n">
        <v>0</v>
      </c>
      <c r="N1345" t="inlineStr">
        <is>
          <t>train</t>
        </is>
      </c>
      <c r="O1345">
        <f>HYPERLINK("2\0\marker_297_376760.png", "Ver Imagen")</f>
        <v/>
      </c>
      <c r="P1345">
        <f>HYPERLINK("SE\A-497\A-497__444.png", "Ver Imagen")</f>
        <v/>
      </c>
    </row>
    <row r="1346">
      <c r="A1346" t="n">
        <v>779</v>
      </c>
      <c r="B1346" t="inlineStr">
        <is>
          <t>A-497__442</t>
        </is>
      </c>
      <c r="C1346" t="n">
        <v>37.2228280435</v>
      </c>
      <c r="D1346" t="n">
        <v>-7.0230454072</v>
      </c>
      <c r="E1346" t="n">
        <v>2</v>
      </c>
      <c r="F1346" t="n">
        <v>2</v>
      </c>
      <c r="G1346" t="n">
        <v>2</v>
      </c>
      <c r="J1346" t="inlineStr">
        <is>
          <t>Moda</t>
        </is>
      </c>
      <c r="K1346" t="n">
        <v>2</v>
      </c>
      <c r="L1346" t="n">
        <v>2.148</v>
      </c>
      <c r="M1346" t="n">
        <v>0</v>
      </c>
      <c r="N1346" t="inlineStr">
        <is>
          <t>train</t>
        </is>
      </c>
      <c r="O1346">
        <f>HYPERLINK("2\0\marker_317_376785.png", "Ver Imagen")</f>
        <v/>
      </c>
      <c r="P1346">
        <f>HYPERLINK("SE\A-497\A-497__442.png", "Ver Imagen")</f>
        <v/>
      </c>
    </row>
    <row r="1347">
      <c r="A1347" t="n">
        <v>780</v>
      </c>
      <c r="B1347" t="inlineStr">
        <is>
          <t>A-497__440</t>
        </is>
      </c>
      <c r="C1347" t="n">
        <v>37.2232128838</v>
      </c>
      <c r="D1347" t="n">
        <v>-7.02308107047</v>
      </c>
      <c r="E1347" t="n">
        <v>2</v>
      </c>
      <c r="F1347" t="n">
        <v>2</v>
      </c>
      <c r="G1347" t="n">
        <v>2</v>
      </c>
      <c r="J1347" t="inlineStr">
        <is>
          <t>Moda</t>
        </is>
      </c>
      <c r="K1347" t="n">
        <v>2</v>
      </c>
      <c r="L1347" t="n">
        <v>2.078</v>
      </c>
      <c r="M1347" t="n">
        <v>0</v>
      </c>
      <c r="N1347" t="inlineStr">
        <is>
          <t>train</t>
        </is>
      </c>
      <c r="O1347">
        <f>HYPERLINK("2\0\marker_928_376807.png", "Ver Imagen")</f>
        <v/>
      </c>
      <c r="P1347">
        <f>HYPERLINK("SE\A-497\A-497__440.png", "Ver Imagen")</f>
        <v/>
      </c>
    </row>
    <row r="1348">
      <c r="A1348" t="n">
        <v>781</v>
      </c>
      <c r="B1348" t="inlineStr">
        <is>
          <t>A-497__439</t>
        </is>
      </c>
      <c r="C1348" t="n">
        <v>37.2234056058</v>
      </c>
      <c r="D1348" t="n">
        <v>-7.02309960337</v>
      </c>
      <c r="E1348" t="n">
        <v>2</v>
      </c>
      <c r="F1348" t="n">
        <v>2</v>
      </c>
      <c r="G1348" t="n">
        <v>2</v>
      </c>
      <c r="J1348" t="inlineStr">
        <is>
          <t>Moda</t>
        </is>
      </c>
      <c r="K1348" t="n">
        <v>2</v>
      </c>
      <c r="L1348" t="n">
        <v>1.953</v>
      </c>
      <c r="M1348" t="n">
        <v>0</v>
      </c>
      <c r="N1348" t="inlineStr">
        <is>
          <t>train</t>
        </is>
      </c>
      <c r="O1348">
        <f>HYPERLINK("2\0\marker_514_376816.png", "Ver Imagen")</f>
        <v/>
      </c>
      <c r="P1348">
        <f>HYPERLINK("SE\A-497\A-497__439.png", "Ver Imagen")</f>
        <v/>
      </c>
    </row>
    <row r="1349">
      <c r="A1349" t="n">
        <v>782</v>
      </c>
      <c r="B1349" t="inlineStr">
        <is>
          <t>A-497__438</t>
        </is>
      </c>
      <c r="C1349" t="n">
        <v>37.2236055589</v>
      </c>
      <c r="D1349" t="n">
        <v>-7.02311956182</v>
      </c>
      <c r="E1349" t="n">
        <v>2</v>
      </c>
      <c r="F1349" t="n">
        <v>2</v>
      </c>
      <c r="G1349" t="n">
        <v>2</v>
      </c>
      <c r="J1349" t="inlineStr">
        <is>
          <t>Moda</t>
        </is>
      </c>
      <c r="K1349" t="n">
        <v>2</v>
      </c>
      <c r="L1349" t="n">
        <v>2.203</v>
      </c>
      <c r="M1349" t="n">
        <v>0</v>
      </c>
      <c r="N1349" t="inlineStr">
        <is>
          <t>train</t>
        </is>
      </c>
      <c r="O1349">
        <f>HYPERLINK("2\0\marker_892_376825.png", "Ver Imagen")</f>
        <v/>
      </c>
      <c r="P1349">
        <f>HYPERLINK("SE\A-497\A-497__438.png", "Ver Imagen")</f>
        <v/>
      </c>
    </row>
    <row r="1350">
      <c r="A1350" t="n">
        <v>783</v>
      </c>
      <c r="B1350" t="inlineStr">
        <is>
          <t>A-497__436</t>
        </is>
      </c>
      <c r="C1350" t="n">
        <v>37.2240168897</v>
      </c>
      <c r="D1350" t="n">
        <v>-7.02316051284</v>
      </c>
      <c r="E1350" t="n">
        <v>2</v>
      </c>
      <c r="F1350" t="n">
        <v>2</v>
      </c>
      <c r="G1350" t="n">
        <v>2</v>
      </c>
      <c r="J1350" t="inlineStr">
        <is>
          <t>Moda</t>
        </is>
      </c>
      <c r="K1350" t="n">
        <v>2</v>
      </c>
      <c r="L1350" t="n">
        <v>1.73</v>
      </c>
      <c r="M1350" t="n">
        <v>0</v>
      </c>
      <c r="N1350" t="inlineStr">
        <is>
          <t>train</t>
        </is>
      </c>
      <c r="O1350">
        <f>HYPERLINK("2\0\marker_891_376842.png", "Ver Imagen")</f>
        <v/>
      </c>
      <c r="P1350">
        <f>HYPERLINK("SE\A-497\A-497__436.png", "Ver Imagen")</f>
        <v/>
      </c>
    </row>
    <row r="1351">
      <c r="A1351" t="n">
        <v>784</v>
      </c>
      <c r="B1351" t="inlineStr">
        <is>
          <t>A-497__435</t>
        </is>
      </c>
      <c r="C1351" t="n">
        <v>37.2242238227</v>
      </c>
      <c r="D1351" t="n">
        <v>-7.023179993</v>
      </c>
      <c r="E1351" t="n">
        <v>2</v>
      </c>
      <c r="F1351" t="n">
        <v>2</v>
      </c>
      <c r="G1351" t="n">
        <v>2</v>
      </c>
      <c r="J1351" t="inlineStr">
        <is>
          <t>Moda</t>
        </is>
      </c>
      <c r="K1351" t="n">
        <v>2</v>
      </c>
      <c r="L1351" t="n">
        <v>1.987</v>
      </c>
      <c r="M1351" t="n">
        <v>0</v>
      </c>
      <c r="N1351" t="inlineStr">
        <is>
          <t>train</t>
        </is>
      </c>
      <c r="O1351">
        <f>HYPERLINK("2\0\marker_688_376852.png", "Ver Imagen")</f>
        <v/>
      </c>
      <c r="P1351">
        <f>HYPERLINK("SE\A-497\A-497__435.png", "Ver Imagen")</f>
        <v/>
      </c>
    </row>
    <row r="1352">
      <c r="A1352" t="n">
        <v>785</v>
      </c>
      <c r="B1352" t="inlineStr">
        <is>
          <t>A-497__432</t>
        </is>
      </c>
      <c r="C1352" t="n">
        <v>37.2248590423</v>
      </c>
      <c r="D1352" t="n">
        <v>-7.02320904799</v>
      </c>
      <c r="E1352" t="n">
        <v>2</v>
      </c>
      <c r="F1352" t="n">
        <v>2</v>
      </c>
      <c r="G1352" t="n">
        <v>2</v>
      </c>
      <c r="J1352" t="inlineStr">
        <is>
          <t>Moda</t>
        </is>
      </c>
      <c r="K1352" t="n">
        <v>2</v>
      </c>
      <c r="L1352" t="n">
        <v>1.906</v>
      </c>
      <c r="M1352" t="n">
        <v>0</v>
      </c>
      <c r="N1352" t="inlineStr">
        <is>
          <t>train</t>
        </is>
      </c>
      <c r="O1352">
        <f>HYPERLINK("2\0\marker_834_376879.png", "Ver Imagen")</f>
        <v/>
      </c>
      <c r="P1352">
        <f>HYPERLINK("SE\A-497\A-497__432.png", "Ver Imagen")</f>
        <v/>
      </c>
    </row>
    <row r="1353">
      <c r="A1353" t="n">
        <v>786</v>
      </c>
      <c r="B1353" t="inlineStr">
        <is>
          <t>A-497__431</t>
        </is>
      </c>
      <c r="C1353" t="n">
        <v>37.2250485864</v>
      </c>
      <c r="D1353" t="n">
        <v>-7.02320221607</v>
      </c>
      <c r="E1353" t="n">
        <v>2</v>
      </c>
      <c r="F1353" t="n">
        <v>2</v>
      </c>
      <c r="G1353" t="n">
        <v>2</v>
      </c>
      <c r="J1353" t="inlineStr">
        <is>
          <t>Moda</t>
        </is>
      </c>
      <c r="K1353" t="n">
        <v>2</v>
      </c>
      <c r="L1353" t="n">
        <v>1.854</v>
      </c>
      <c r="M1353" t="n">
        <v>0</v>
      </c>
      <c r="N1353" t="inlineStr">
        <is>
          <t>train</t>
        </is>
      </c>
      <c r="O1353">
        <f>HYPERLINK("2\0\marker_441_376898.png", "Ver Imagen")</f>
        <v/>
      </c>
      <c r="P1353">
        <f>HYPERLINK("SE\A-497\A-497__431.png", "Ver Imagen")</f>
        <v/>
      </c>
    </row>
    <row r="1354">
      <c r="A1354" t="n">
        <v>787</v>
      </c>
      <c r="B1354" t="inlineStr">
        <is>
          <t>A-497__430</t>
        </is>
      </c>
      <c r="C1354" t="n">
        <v>37.225248296</v>
      </c>
      <c r="D1354" t="n">
        <v>-7.02318437367</v>
      </c>
      <c r="E1354" t="n">
        <v>2</v>
      </c>
      <c r="F1354" t="n">
        <v>2</v>
      </c>
      <c r="G1354" t="n">
        <v>2</v>
      </c>
      <c r="J1354" t="inlineStr">
        <is>
          <t>Moda</t>
        </is>
      </c>
      <c r="K1354" t="n">
        <v>2</v>
      </c>
      <c r="L1354" t="n">
        <v>1.751</v>
      </c>
      <c r="M1354" t="n">
        <v>0</v>
      </c>
      <c r="N1354" t="inlineStr">
        <is>
          <t>train</t>
        </is>
      </c>
      <c r="O1354">
        <f>HYPERLINK("2\0\marker_618_376909.png", "Ver Imagen")</f>
        <v/>
      </c>
      <c r="P1354">
        <f>HYPERLINK("SE\A-497\A-497__430.png", "Ver Imagen")</f>
        <v/>
      </c>
    </row>
    <row r="1355">
      <c r="A1355" t="n">
        <v>788</v>
      </c>
      <c r="B1355" t="inlineStr">
        <is>
          <t>A-497__428</t>
        </is>
      </c>
      <c r="C1355" t="n">
        <v>37.2256490527</v>
      </c>
      <c r="D1355" t="n">
        <v>-7.02311565085</v>
      </c>
      <c r="E1355" t="n">
        <v>2</v>
      </c>
      <c r="F1355" t="n">
        <v>2</v>
      </c>
      <c r="G1355" t="n">
        <v>2</v>
      </c>
      <c r="J1355" t="inlineStr">
        <is>
          <t>Moda</t>
        </is>
      </c>
      <c r="K1355" t="n">
        <v>2</v>
      </c>
      <c r="L1355" t="n">
        <v>1.622</v>
      </c>
      <c r="M1355" t="n">
        <v>0</v>
      </c>
      <c r="N1355" t="inlineStr">
        <is>
          <t>val</t>
        </is>
      </c>
      <c r="O1355">
        <f>HYPERLINK("2\0\marker_444_376936.png", "Ver Imagen")</f>
        <v/>
      </c>
      <c r="P1355">
        <f>HYPERLINK("SE\A-497\A-497__428.png", "Ver Imagen")</f>
        <v/>
      </c>
    </row>
    <row r="1356">
      <c r="A1356" t="n">
        <v>789</v>
      </c>
      <c r="B1356" t="inlineStr">
        <is>
          <t>A-497__426</t>
        </is>
      </c>
      <c r="C1356" t="n">
        <v>37.2260110823</v>
      </c>
      <c r="D1356" t="n">
        <v>-7.02301397575</v>
      </c>
      <c r="E1356" t="n">
        <v>2</v>
      </c>
      <c r="F1356" t="n">
        <v>2</v>
      </c>
      <c r="G1356" t="n">
        <v>2</v>
      </c>
      <c r="J1356" t="inlineStr">
        <is>
          <t>Moda</t>
        </is>
      </c>
      <c r="K1356" t="n">
        <v>2</v>
      </c>
      <c r="L1356" t="n">
        <v>2.314</v>
      </c>
      <c r="M1356" t="n">
        <v>0</v>
      </c>
      <c r="N1356" t="inlineStr">
        <is>
          <t>train</t>
        </is>
      </c>
      <c r="O1356">
        <f>HYPERLINK("2\0\marker_592_376953.png", "Ver Imagen")</f>
        <v/>
      </c>
      <c r="P1356">
        <f>HYPERLINK("SE\A-497\A-497__426.png", "Ver Imagen")</f>
        <v/>
      </c>
    </row>
    <row r="1357">
      <c r="A1357" t="n">
        <v>790</v>
      </c>
      <c r="B1357" t="inlineStr">
        <is>
          <t>A-497__425</t>
        </is>
      </c>
      <c r="C1357" t="n">
        <v>37.2262151637</v>
      </c>
      <c r="D1357" t="n">
        <v>-7.02293831221</v>
      </c>
      <c r="E1357" t="n">
        <v>2</v>
      </c>
      <c r="F1357" t="n">
        <v>2</v>
      </c>
      <c r="G1357" t="n">
        <v>2</v>
      </c>
      <c r="J1357" t="inlineStr">
        <is>
          <t>Moda</t>
        </is>
      </c>
      <c r="K1357" t="n">
        <v>2</v>
      </c>
      <c r="L1357" t="n">
        <v>1.893</v>
      </c>
      <c r="M1357" t="n">
        <v>0</v>
      </c>
      <c r="N1357" t="inlineStr">
        <is>
          <t>train</t>
        </is>
      </c>
      <c r="O1357">
        <f>HYPERLINK("2\0\marker_711_376962.png", "Ver Imagen")</f>
        <v/>
      </c>
      <c r="P1357">
        <f>HYPERLINK("SE\A-497\A-497__425.png", "Ver Imagen")</f>
        <v/>
      </c>
    </row>
    <row r="1358">
      <c r="A1358" t="n">
        <v>791</v>
      </c>
      <c r="B1358" t="inlineStr">
        <is>
          <t>A-497__423</t>
        </is>
      </c>
      <c r="C1358" t="n">
        <v>37.2265998549</v>
      </c>
      <c r="D1358" t="n">
        <v>-7.02275725992</v>
      </c>
      <c r="E1358" t="n">
        <v>2</v>
      </c>
      <c r="F1358" t="n">
        <v>2</v>
      </c>
      <c r="G1358" t="n">
        <v>2</v>
      </c>
      <c r="J1358" t="inlineStr">
        <is>
          <t>Moda</t>
        </is>
      </c>
      <c r="K1358" t="n">
        <v>2</v>
      </c>
      <c r="L1358" t="n">
        <v>2.456</v>
      </c>
      <c r="M1358" t="n">
        <v>0</v>
      </c>
      <c r="N1358" t="inlineStr">
        <is>
          <t>val</t>
        </is>
      </c>
      <c r="O1358">
        <f>HYPERLINK("2\0\marker_436_376986.png", "Ver Imagen")</f>
        <v/>
      </c>
      <c r="P1358">
        <f>HYPERLINK("SE\A-497\A-497__423.png", "Ver Imagen")</f>
        <v/>
      </c>
    </row>
    <row r="1359">
      <c r="A1359" t="n">
        <v>792</v>
      </c>
      <c r="B1359" t="inlineStr">
        <is>
          <t>A-497__422</t>
        </is>
      </c>
      <c r="C1359" t="n">
        <v>37.226779596</v>
      </c>
      <c r="D1359" t="n">
        <v>-7.02265447805</v>
      </c>
      <c r="E1359" t="n">
        <v>2</v>
      </c>
      <c r="F1359" t="n">
        <v>2</v>
      </c>
      <c r="G1359" t="n">
        <v>2</v>
      </c>
      <c r="J1359" t="inlineStr">
        <is>
          <t>Moda</t>
        </is>
      </c>
      <c r="K1359" t="n">
        <v>2</v>
      </c>
      <c r="L1359" t="n">
        <v>1.957</v>
      </c>
      <c r="M1359" t="n">
        <v>0</v>
      </c>
      <c r="N1359" t="inlineStr">
        <is>
          <t>train</t>
        </is>
      </c>
      <c r="O1359">
        <f>HYPERLINK("2\0\marker_687_376994.png", "Ver Imagen")</f>
        <v/>
      </c>
      <c r="P1359">
        <f>HYPERLINK("SE\A-497\A-497__422.png", "Ver Imagen")</f>
        <v/>
      </c>
    </row>
    <row r="1360">
      <c r="A1360" t="n">
        <v>793</v>
      </c>
      <c r="B1360" t="inlineStr">
        <is>
          <t>A-497__421</t>
        </is>
      </c>
      <c r="C1360" t="n">
        <v>37.2269799607</v>
      </c>
      <c r="D1360" t="n">
        <v>-7.02252608242</v>
      </c>
      <c r="E1360" t="n">
        <v>2</v>
      </c>
      <c r="F1360" t="n">
        <v>2</v>
      </c>
      <c r="G1360" t="n">
        <v>2</v>
      </c>
      <c r="J1360" t="inlineStr">
        <is>
          <t>Moda</t>
        </is>
      </c>
      <c r="K1360" t="n">
        <v>2</v>
      </c>
      <c r="L1360" t="n">
        <v>2.055</v>
      </c>
      <c r="M1360" t="n">
        <v>0</v>
      </c>
      <c r="N1360" t="inlineStr">
        <is>
          <t>train</t>
        </is>
      </c>
      <c r="O1360">
        <f>HYPERLINK("2\0\marker_745_377003.png", "Ver Imagen")</f>
        <v/>
      </c>
      <c r="P1360">
        <f>HYPERLINK("SE\A-497\A-497__421.png", "Ver Imagen")</f>
        <v/>
      </c>
    </row>
    <row r="1361">
      <c r="A1361" t="n">
        <v>794</v>
      </c>
      <c r="B1361" t="inlineStr">
        <is>
          <t>A-497__418</t>
        </is>
      </c>
      <c r="C1361" t="n">
        <v>37.2274954398</v>
      </c>
      <c r="D1361" t="n">
        <v>-7.02215599194</v>
      </c>
      <c r="E1361" t="n">
        <v>2</v>
      </c>
      <c r="F1361" t="n">
        <v>2</v>
      </c>
      <c r="G1361" t="n">
        <v>2</v>
      </c>
      <c r="J1361" t="inlineStr">
        <is>
          <t>Moda</t>
        </is>
      </c>
      <c r="K1361" t="n">
        <v>2</v>
      </c>
      <c r="L1361" t="n">
        <v>1.92</v>
      </c>
      <c r="M1361" t="n">
        <v>0</v>
      </c>
      <c r="N1361" t="inlineStr">
        <is>
          <t>train</t>
        </is>
      </c>
      <c r="O1361">
        <f>HYPERLINK("2\0\marker_600_377030.png", "Ver Imagen")</f>
        <v/>
      </c>
      <c r="P1361">
        <f>HYPERLINK("SE\A-497\A-497__418.png", "Ver Imagen")</f>
        <v/>
      </c>
    </row>
    <row r="1362">
      <c r="A1362" t="n">
        <v>795</v>
      </c>
      <c r="B1362" t="inlineStr">
        <is>
          <t>A-497__385</t>
        </is>
      </c>
      <c r="C1362" t="n">
        <v>37.2332846752</v>
      </c>
      <c r="D1362" t="n">
        <v>-7.018105148</v>
      </c>
      <c r="E1362" t="n">
        <v>2</v>
      </c>
      <c r="F1362" t="n">
        <v>2</v>
      </c>
      <c r="G1362" t="n">
        <v>2</v>
      </c>
      <c r="J1362" t="inlineStr">
        <is>
          <t>Moda</t>
        </is>
      </c>
      <c r="K1362" t="n">
        <v>2</v>
      </c>
      <c r="L1362" t="n">
        <v>2.158</v>
      </c>
      <c r="M1362" t="n">
        <v>0</v>
      </c>
      <c r="N1362" t="inlineStr">
        <is>
          <t>train</t>
        </is>
      </c>
      <c r="O1362">
        <f>HYPERLINK("2\0\marker_354_377326.png", "Ver Imagen")</f>
        <v/>
      </c>
      <c r="P1362">
        <f>HYPERLINK("SE\A-497\A-497__385.png", "Ver Imagen")</f>
        <v/>
      </c>
    </row>
    <row r="1363">
      <c r="A1363" t="n">
        <v>796</v>
      </c>
      <c r="B1363" t="inlineStr">
        <is>
          <t>A-497__384</t>
        </is>
      </c>
      <c r="C1363" t="n">
        <v>37.2334833036</v>
      </c>
      <c r="D1363" t="n">
        <v>-7.01805900164</v>
      </c>
      <c r="E1363" t="n">
        <v>2</v>
      </c>
      <c r="F1363" t="n">
        <v>2</v>
      </c>
      <c r="G1363" t="n">
        <v>2</v>
      </c>
      <c r="J1363" t="inlineStr">
        <is>
          <t>Moda</t>
        </is>
      </c>
      <c r="K1363" t="n">
        <v>2</v>
      </c>
      <c r="L1363" t="n">
        <v>1.819</v>
      </c>
      <c r="M1363" t="n">
        <v>0</v>
      </c>
      <c r="N1363" t="inlineStr">
        <is>
          <t>train</t>
        </is>
      </c>
      <c r="O1363">
        <f>HYPERLINK("2\0\marker_895_377335.png", "Ver Imagen")</f>
        <v/>
      </c>
      <c r="P1363">
        <f>HYPERLINK("SE\A-497\A-497__384.png", "Ver Imagen")</f>
        <v/>
      </c>
    </row>
    <row r="1364">
      <c r="A1364" t="n">
        <v>797</v>
      </c>
      <c r="B1364" t="inlineStr">
        <is>
          <t>A-497__383</t>
        </is>
      </c>
      <c r="C1364" t="n">
        <v>37.233690187</v>
      </c>
      <c r="D1364" t="n">
        <v>-7.01802440862</v>
      </c>
      <c r="E1364" t="n">
        <v>2</v>
      </c>
      <c r="F1364" t="n">
        <v>2</v>
      </c>
      <c r="G1364" t="n">
        <v>2</v>
      </c>
      <c r="J1364" t="inlineStr">
        <is>
          <t>Moda</t>
        </is>
      </c>
      <c r="K1364" t="n">
        <v>2</v>
      </c>
      <c r="L1364" t="n">
        <v>1.991</v>
      </c>
      <c r="M1364" t="n">
        <v>0</v>
      </c>
      <c r="N1364" t="inlineStr">
        <is>
          <t>train</t>
        </is>
      </c>
      <c r="O1364">
        <f>HYPERLINK("2\0\marker_663_377344.png", "Ver Imagen")</f>
        <v/>
      </c>
      <c r="P1364">
        <f>HYPERLINK("SE\A-497\A-497__383.png", "Ver Imagen")</f>
        <v/>
      </c>
    </row>
    <row r="1365">
      <c r="A1365" t="n">
        <v>798</v>
      </c>
      <c r="B1365" t="inlineStr">
        <is>
          <t>A-497__382</t>
        </is>
      </c>
      <c r="C1365" t="n">
        <v>37.2338952222</v>
      </c>
      <c r="D1365" t="n">
        <v>-7.01800346156</v>
      </c>
      <c r="E1365" t="n">
        <v>2</v>
      </c>
      <c r="F1365" t="n">
        <v>2</v>
      </c>
      <c r="G1365" t="n">
        <v>2</v>
      </c>
      <c r="J1365" t="inlineStr">
        <is>
          <t>Moda</t>
        </is>
      </c>
      <c r="K1365" t="n">
        <v>2</v>
      </c>
      <c r="L1365" t="n">
        <v>2.014</v>
      </c>
      <c r="M1365" t="n">
        <v>0</v>
      </c>
      <c r="N1365" t="inlineStr">
        <is>
          <t>train</t>
        </is>
      </c>
      <c r="O1365">
        <f>HYPERLINK("2\0\marker_146_377353.png", "Ver Imagen")</f>
        <v/>
      </c>
      <c r="P1365">
        <f>HYPERLINK("SE\A-497\A-497__382.png", "Ver Imagen")</f>
        <v/>
      </c>
    </row>
    <row r="1366">
      <c r="A1366" t="n">
        <v>800</v>
      </c>
      <c r="B1366" t="inlineStr">
        <is>
          <t>A-497__378</t>
        </is>
      </c>
      <c r="C1366" t="n">
        <v>37.2346875686</v>
      </c>
      <c r="D1366" t="n">
        <v>-7.01804497328</v>
      </c>
      <c r="E1366" t="n">
        <v>2</v>
      </c>
      <c r="F1366" t="n">
        <v>2</v>
      </c>
      <c r="G1366" t="n">
        <v>2</v>
      </c>
      <c r="J1366" t="inlineStr">
        <is>
          <t>Moda</t>
        </is>
      </c>
      <c r="K1366" t="n">
        <v>2</v>
      </c>
      <c r="L1366" t="n">
        <v>2.079</v>
      </c>
      <c r="M1366" t="n">
        <v>0</v>
      </c>
      <c r="N1366" t="inlineStr">
        <is>
          <t>test</t>
        </is>
      </c>
      <c r="O1366">
        <f>HYPERLINK("2\0\marker_440_377387.png", "Ver Imagen")</f>
        <v/>
      </c>
      <c r="P1366">
        <f>HYPERLINK("SE\A-497\A-497__378.png", "Ver Imagen")</f>
        <v/>
      </c>
    </row>
    <row r="1367">
      <c r="A1367" t="n">
        <v>801</v>
      </c>
      <c r="B1367" t="inlineStr">
        <is>
          <t>A-497__377</t>
        </is>
      </c>
      <c r="C1367" t="n">
        <v>37.234890496</v>
      </c>
      <c r="D1367" t="n">
        <v>-7.01808422145</v>
      </c>
      <c r="E1367" t="n">
        <v>2</v>
      </c>
      <c r="F1367" t="n">
        <v>2</v>
      </c>
      <c r="G1367" t="n">
        <v>2</v>
      </c>
      <c r="J1367" t="inlineStr">
        <is>
          <t>Moda</t>
        </is>
      </c>
      <c r="K1367" t="n">
        <v>2</v>
      </c>
      <c r="L1367" t="n">
        <v>1.804</v>
      </c>
      <c r="M1367" t="n">
        <v>0</v>
      </c>
      <c r="N1367" t="inlineStr">
        <is>
          <t>train</t>
        </is>
      </c>
      <c r="O1367">
        <f>HYPERLINK("2\0\marker_143_377396.png", "Ver Imagen")</f>
        <v/>
      </c>
      <c r="P1367">
        <f>HYPERLINK("SE\A-497\A-497__377.png", "Ver Imagen")</f>
        <v/>
      </c>
    </row>
    <row r="1368">
      <c r="A1368" t="n">
        <v>802</v>
      </c>
      <c r="B1368" t="inlineStr">
        <is>
          <t>A-497__375</t>
        </is>
      </c>
      <c r="C1368" t="n">
        <v>37.2353167417</v>
      </c>
      <c r="D1368" t="n">
        <v>-7.01818782956</v>
      </c>
      <c r="E1368" t="n">
        <v>2</v>
      </c>
      <c r="F1368" t="n">
        <v>2</v>
      </c>
      <c r="G1368" t="n">
        <v>2</v>
      </c>
      <c r="J1368" t="inlineStr">
        <is>
          <t>Moda</t>
        </is>
      </c>
      <c r="K1368" t="n">
        <v>2</v>
      </c>
      <c r="L1368" t="n">
        <v>2.083</v>
      </c>
      <c r="M1368" t="n">
        <v>0</v>
      </c>
      <c r="N1368" t="inlineStr">
        <is>
          <t>train</t>
        </is>
      </c>
      <c r="O1368">
        <f>HYPERLINK("2\0\marker_494_377413.png", "Ver Imagen")</f>
        <v/>
      </c>
      <c r="P1368">
        <f>HYPERLINK("SE\A-497\A-497__375.png", "Ver Imagen")</f>
        <v/>
      </c>
    </row>
    <row r="1369">
      <c r="A1369" t="n">
        <v>803</v>
      </c>
      <c r="B1369" t="inlineStr">
        <is>
          <t>A-497__372</t>
        </is>
      </c>
      <c r="C1369" t="n">
        <v>37.2358820855</v>
      </c>
      <c r="D1369" t="n">
        <v>-7.01833592849</v>
      </c>
      <c r="E1369" t="n">
        <v>2</v>
      </c>
      <c r="F1369" t="n">
        <v>2</v>
      </c>
      <c r="G1369" t="n">
        <v>2</v>
      </c>
      <c r="J1369" t="inlineStr">
        <is>
          <t>Moda</t>
        </is>
      </c>
      <c r="K1369" t="n">
        <v>2</v>
      </c>
      <c r="L1369" t="n">
        <v>2.207</v>
      </c>
      <c r="M1369" t="n">
        <v>0</v>
      </c>
      <c r="N1369" t="inlineStr">
        <is>
          <t>test</t>
        </is>
      </c>
      <c r="O1369">
        <f>HYPERLINK("2\0\marker_460_377436.png", "Ver Imagen")</f>
        <v/>
      </c>
      <c r="P1369">
        <f>HYPERLINK("SE\A-497\A-497__372.png", "Ver Imagen")</f>
        <v/>
      </c>
    </row>
    <row r="1370">
      <c r="A1370" t="n">
        <v>804</v>
      </c>
      <c r="B1370" t="inlineStr">
        <is>
          <t>A-497__371</t>
        </is>
      </c>
      <c r="C1370" t="n">
        <v>37.236105023</v>
      </c>
      <c r="D1370" t="n">
        <v>-7.0183927917</v>
      </c>
      <c r="E1370" t="n">
        <v>2</v>
      </c>
      <c r="F1370" t="n">
        <v>2</v>
      </c>
      <c r="G1370" t="n">
        <v>2</v>
      </c>
      <c r="J1370" t="inlineStr">
        <is>
          <t>Moda</t>
        </is>
      </c>
      <c r="K1370" t="n">
        <v>2</v>
      </c>
      <c r="L1370" t="n">
        <v>2.044</v>
      </c>
      <c r="M1370" t="n">
        <v>0</v>
      </c>
      <c r="N1370" t="inlineStr">
        <is>
          <t>train</t>
        </is>
      </c>
      <c r="O1370">
        <f>HYPERLINK("2\0\marker_787_377445.png", "Ver Imagen")</f>
        <v/>
      </c>
      <c r="P1370">
        <f>HYPERLINK("SE\A-497\A-497__371.png", "Ver Imagen")</f>
        <v/>
      </c>
    </row>
    <row r="1371">
      <c r="A1371" t="n">
        <v>805</v>
      </c>
      <c r="B1371" t="inlineStr">
        <is>
          <t>A-497__366</t>
        </is>
      </c>
      <c r="C1371" t="n">
        <v>37.237099866</v>
      </c>
      <c r="D1371" t="n">
        <v>-7.01854814835</v>
      </c>
      <c r="E1371" t="n">
        <v>2</v>
      </c>
      <c r="F1371" t="n">
        <v>2</v>
      </c>
      <c r="G1371" t="n">
        <v>2</v>
      </c>
      <c r="J1371" t="inlineStr">
        <is>
          <t>Moda</t>
        </is>
      </c>
      <c r="K1371" t="n">
        <v>2</v>
      </c>
      <c r="L1371" t="n">
        <v>1.948</v>
      </c>
      <c r="M1371" t="n">
        <v>0</v>
      </c>
      <c r="N1371" t="inlineStr">
        <is>
          <t>val</t>
        </is>
      </c>
      <c r="O1371">
        <f>HYPERLINK("2\0\marker_381_377495.png", "Ver Imagen")</f>
        <v/>
      </c>
      <c r="P1371">
        <f>HYPERLINK("SE\A-497\A-497__366.png", "Ver Imagen")</f>
        <v/>
      </c>
    </row>
    <row r="1372">
      <c r="A1372" t="n">
        <v>806</v>
      </c>
      <c r="B1372" t="inlineStr">
        <is>
          <t>A-497__365</t>
        </is>
      </c>
      <c r="C1372" t="n">
        <v>37.2372885018</v>
      </c>
      <c r="D1372" t="n">
        <v>-7.0185607561</v>
      </c>
      <c r="E1372" t="n">
        <v>2</v>
      </c>
      <c r="F1372" t="n">
        <v>2</v>
      </c>
      <c r="G1372" t="n">
        <v>2</v>
      </c>
      <c r="J1372" t="inlineStr">
        <is>
          <t>Moda</t>
        </is>
      </c>
      <c r="K1372" t="n">
        <v>2</v>
      </c>
      <c r="L1372" t="n">
        <v>2.186</v>
      </c>
      <c r="M1372" t="n">
        <v>0</v>
      </c>
      <c r="N1372" t="inlineStr">
        <is>
          <t>train</t>
        </is>
      </c>
      <c r="O1372">
        <f>HYPERLINK("2\0\marker_966_377504.png", "Ver Imagen")</f>
        <v/>
      </c>
      <c r="P1372">
        <f>HYPERLINK("SE\A-497\A-497__365.png", "Ver Imagen")</f>
        <v/>
      </c>
    </row>
    <row r="1373">
      <c r="A1373" t="n">
        <v>807</v>
      </c>
      <c r="B1373" t="inlineStr">
        <is>
          <t>A-497__361</t>
        </is>
      </c>
      <c r="C1373" t="n">
        <v>37.2381049781</v>
      </c>
      <c r="D1373" t="n">
        <v>-7.01856402499</v>
      </c>
      <c r="E1373" t="n">
        <v>2</v>
      </c>
      <c r="F1373" t="n">
        <v>2</v>
      </c>
      <c r="G1373" t="n">
        <v>2</v>
      </c>
      <c r="J1373" t="inlineStr">
        <is>
          <t>Moda</t>
        </is>
      </c>
      <c r="K1373" t="n">
        <v>2</v>
      </c>
      <c r="L1373" t="n">
        <v>2.102</v>
      </c>
      <c r="M1373" t="n">
        <v>0</v>
      </c>
      <c r="N1373" t="inlineStr">
        <is>
          <t>train</t>
        </is>
      </c>
      <c r="O1373">
        <f>HYPERLINK("2\0\marker_866_377540.png", "Ver Imagen")</f>
        <v/>
      </c>
      <c r="P1373">
        <f>HYPERLINK("SE\A-497\A-497__361.png", "Ver Imagen")</f>
        <v/>
      </c>
    </row>
    <row r="1374">
      <c r="A1374" t="n">
        <v>808</v>
      </c>
      <c r="B1374" t="inlineStr">
        <is>
          <t>A-497__360</t>
        </is>
      </c>
      <c r="C1374" t="n">
        <v>37.2383197136</v>
      </c>
      <c r="D1374" t="n">
        <v>-7.01855553724</v>
      </c>
      <c r="E1374" t="n">
        <v>2</v>
      </c>
      <c r="F1374" t="n">
        <v>2</v>
      </c>
      <c r="G1374" t="n">
        <v>2</v>
      </c>
      <c r="J1374" t="inlineStr">
        <is>
          <t>Moda</t>
        </is>
      </c>
      <c r="K1374" t="n">
        <v>2</v>
      </c>
      <c r="L1374" t="n">
        <v>1.999</v>
      </c>
      <c r="M1374" t="n">
        <v>0</v>
      </c>
      <c r="N1374" t="inlineStr">
        <is>
          <t>train</t>
        </is>
      </c>
      <c r="O1374">
        <f>HYPERLINK("2\0\marker_560_377550.png", "Ver Imagen")</f>
        <v/>
      </c>
      <c r="P1374">
        <f>HYPERLINK("SE\A-497\A-497__360.png", "Ver Imagen")</f>
        <v/>
      </c>
    </row>
    <row r="1375">
      <c r="A1375" t="n">
        <v>809</v>
      </c>
      <c r="B1375" t="inlineStr">
        <is>
          <t>A-497__359</t>
        </is>
      </c>
      <c r="C1375" t="n">
        <v>37.2385035259</v>
      </c>
      <c r="D1375" t="n">
        <v>-7.0185475318</v>
      </c>
      <c r="E1375" t="n">
        <v>2</v>
      </c>
      <c r="F1375" t="n">
        <v>2</v>
      </c>
      <c r="G1375" t="n">
        <v>2</v>
      </c>
      <c r="J1375" t="inlineStr">
        <is>
          <t>Moda</t>
        </is>
      </c>
      <c r="K1375" t="n">
        <v>2</v>
      </c>
      <c r="L1375" t="n">
        <v>2.024</v>
      </c>
      <c r="M1375" t="n">
        <v>0</v>
      </c>
      <c r="N1375" t="inlineStr">
        <is>
          <t>train</t>
        </is>
      </c>
      <c r="O1375">
        <f>HYPERLINK("2\0\marker_552_377566.png", "Ver Imagen")</f>
        <v/>
      </c>
      <c r="P1375">
        <f>HYPERLINK("SE\A-497\A-497__359.png", "Ver Imagen")</f>
        <v/>
      </c>
    </row>
    <row r="1376">
      <c r="A1376" t="n">
        <v>810</v>
      </c>
      <c r="B1376" t="inlineStr">
        <is>
          <t>A-497__358</t>
        </is>
      </c>
      <c r="C1376" t="n">
        <v>37.2387077479</v>
      </c>
      <c r="D1376" t="n">
        <v>-7.01853902832</v>
      </c>
      <c r="E1376" t="n">
        <v>2</v>
      </c>
      <c r="F1376" t="n">
        <v>2</v>
      </c>
      <c r="G1376" t="n">
        <v>2</v>
      </c>
      <c r="J1376" t="inlineStr">
        <is>
          <t>Moda</t>
        </is>
      </c>
      <c r="K1376" t="n">
        <v>2</v>
      </c>
      <c r="L1376" t="n">
        <v>2.021</v>
      </c>
      <c r="M1376" t="n">
        <v>0</v>
      </c>
      <c r="N1376" t="inlineStr">
        <is>
          <t>train</t>
        </is>
      </c>
      <c r="O1376">
        <f>HYPERLINK("2\0\marker_615_377577.png", "Ver Imagen")</f>
        <v/>
      </c>
      <c r="P1376">
        <f>HYPERLINK("SE\A-497\A-497__358.png", "Ver Imagen")</f>
        <v/>
      </c>
    </row>
    <row r="1377">
      <c r="A1377" t="n">
        <v>811</v>
      </c>
      <c r="B1377" t="inlineStr">
        <is>
          <t>A-497__357</t>
        </is>
      </c>
      <c r="C1377" t="n">
        <v>37.2389402213</v>
      </c>
      <c r="D1377" t="n">
        <v>-7.01852975228</v>
      </c>
      <c r="E1377" t="n">
        <v>2</v>
      </c>
      <c r="F1377" t="n">
        <v>2</v>
      </c>
      <c r="G1377" t="n">
        <v>2</v>
      </c>
      <c r="J1377" t="inlineStr">
        <is>
          <t>Moda</t>
        </is>
      </c>
      <c r="K1377" t="n">
        <v>2</v>
      </c>
      <c r="L1377" t="n">
        <v>2.077</v>
      </c>
      <c r="M1377" t="n">
        <v>0</v>
      </c>
      <c r="N1377" t="inlineStr">
        <is>
          <t>train</t>
        </is>
      </c>
      <c r="O1377">
        <f>HYPERLINK("2\0\marker_468_377586.png", "Ver Imagen")</f>
        <v/>
      </c>
      <c r="P1377">
        <f>HYPERLINK("SE\A-497\A-497__357.png", "Ver Imagen")</f>
        <v/>
      </c>
    </row>
    <row r="1378">
      <c r="A1378" t="n">
        <v>812</v>
      </c>
      <c r="B1378" t="inlineStr">
        <is>
          <t>A-497__356</t>
        </is>
      </c>
      <c r="C1378" t="n">
        <v>37.2391316594</v>
      </c>
      <c r="D1378" t="n">
        <v>-7.01852229203</v>
      </c>
      <c r="E1378" t="n">
        <v>2</v>
      </c>
      <c r="F1378" t="n">
        <v>2</v>
      </c>
      <c r="G1378" t="n">
        <v>2</v>
      </c>
      <c r="J1378" t="inlineStr">
        <is>
          <t>Moda</t>
        </is>
      </c>
      <c r="K1378" t="n">
        <v>2</v>
      </c>
      <c r="L1378" t="n">
        <v>1.75</v>
      </c>
      <c r="M1378" t="n">
        <v>0</v>
      </c>
      <c r="N1378" t="inlineStr">
        <is>
          <t>test</t>
        </is>
      </c>
      <c r="O1378">
        <f>HYPERLINK("2\0\marker_216_377594.png", "Ver Imagen")</f>
        <v/>
      </c>
      <c r="P1378">
        <f>HYPERLINK("SE\A-497\A-497__356.png", "Ver Imagen")</f>
        <v/>
      </c>
    </row>
    <row r="1379">
      <c r="A1379" t="n">
        <v>813</v>
      </c>
      <c r="B1379" t="inlineStr">
        <is>
          <t>A-497__355</t>
        </is>
      </c>
      <c r="C1379" t="n">
        <v>37.2393059877</v>
      </c>
      <c r="D1379" t="n">
        <v>-7.01851497912</v>
      </c>
      <c r="E1379" t="n">
        <v>2</v>
      </c>
      <c r="F1379" t="n">
        <v>2</v>
      </c>
      <c r="G1379" t="n">
        <v>2</v>
      </c>
      <c r="J1379" t="inlineStr">
        <is>
          <t>Moda</t>
        </is>
      </c>
      <c r="K1379" t="n">
        <v>2</v>
      </c>
      <c r="L1379" t="n">
        <v>1.859</v>
      </c>
      <c r="M1379" t="n">
        <v>0</v>
      </c>
      <c r="N1379" t="inlineStr">
        <is>
          <t>train</t>
        </is>
      </c>
      <c r="O1379">
        <f>HYPERLINK("2\0\marker_470_377603.png", "Ver Imagen")</f>
        <v/>
      </c>
      <c r="P1379">
        <f>HYPERLINK("SE\A-497\A-497__355.png", "Ver Imagen")</f>
        <v/>
      </c>
    </row>
    <row r="1380">
      <c r="A1380" t="n">
        <v>814</v>
      </c>
      <c r="B1380" t="inlineStr">
        <is>
          <t>A-497__354</t>
        </is>
      </c>
      <c r="C1380" t="n">
        <v>37.239531142</v>
      </c>
      <c r="D1380" t="n">
        <v>-7.01850474237</v>
      </c>
      <c r="E1380" t="n">
        <v>2</v>
      </c>
      <c r="F1380" t="n">
        <v>2</v>
      </c>
      <c r="G1380" t="n">
        <v>2</v>
      </c>
      <c r="J1380" t="inlineStr">
        <is>
          <t>Moda</t>
        </is>
      </c>
      <c r="K1380" t="n">
        <v>2</v>
      </c>
      <c r="L1380" t="n">
        <v>2.2</v>
      </c>
      <c r="M1380" t="n">
        <v>0</v>
      </c>
      <c r="N1380" t="inlineStr">
        <is>
          <t>train</t>
        </is>
      </c>
      <c r="O1380">
        <f>HYPERLINK("2\0\marker_246_377624.png", "Ver Imagen")</f>
        <v/>
      </c>
      <c r="P1380">
        <f>HYPERLINK("SE\A-497\A-497__354.png", "Ver Imagen")</f>
        <v/>
      </c>
    </row>
    <row r="1381">
      <c r="A1381" t="n">
        <v>815</v>
      </c>
      <c r="B1381" t="inlineStr">
        <is>
          <t>A-497__353</t>
        </is>
      </c>
      <c r="C1381" t="n">
        <v>37.2397247308</v>
      </c>
      <c r="D1381" t="n">
        <v>-7.01849534729</v>
      </c>
      <c r="E1381" t="n">
        <v>2</v>
      </c>
      <c r="F1381" t="n">
        <v>2</v>
      </c>
      <c r="G1381" t="n">
        <v>2</v>
      </c>
      <c r="J1381" t="inlineStr">
        <is>
          <t>Moda</t>
        </is>
      </c>
      <c r="K1381" t="n">
        <v>2</v>
      </c>
      <c r="L1381" t="n">
        <v>1.999</v>
      </c>
      <c r="M1381" t="n">
        <v>0</v>
      </c>
      <c r="N1381" t="inlineStr">
        <is>
          <t>train</t>
        </is>
      </c>
      <c r="O1381">
        <f>HYPERLINK("2\0\marker_286_377633.png", "Ver Imagen")</f>
        <v/>
      </c>
      <c r="P1381">
        <f>HYPERLINK("SE\A-497\A-497__353.png", "Ver Imagen")</f>
        <v/>
      </c>
    </row>
    <row r="1382">
      <c r="A1382" t="n">
        <v>816</v>
      </c>
      <c r="B1382" t="inlineStr">
        <is>
          <t>A-497__352</t>
        </is>
      </c>
      <c r="C1382" t="n">
        <v>37.2399187511</v>
      </c>
      <c r="D1382" t="n">
        <v>-7.01848615678</v>
      </c>
      <c r="E1382" t="n">
        <v>2</v>
      </c>
      <c r="F1382" t="n">
        <v>2</v>
      </c>
      <c r="G1382" t="n">
        <v>2</v>
      </c>
      <c r="J1382" t="inlineStr">
        <is>
          <t>Moda</t>
        </is>
      </c>
      <c r="K1382" t="n">
        <v>2</v>
      </c>
      <c r="L1382" t="n">
        <v>2.114</v>
      </c>
      <c r="M1382" t="n">
        <v>0</v>
      </c>
      <c r="N1382" t="inlineStr">
        <is>
          <t>train</t>
        </is>
      </c>
      <c r="O1382">
        <f>HYPERLINK("2\0\marker_282_377641.png", "Ver Imagen")</f>
        <v/>
      </c>
      <c r="P1382">
        <f>HYPERLINK("SE\A-497\A-497__352.png", "Ver Imagen")</f>
        <v/>
      </c>
    </row>
    <row r="1383">
      <c r="A1383" t="n">
        <v>817</v>
      </c>
      <c r="B1383" t="inlineStr">
        <is>
          <t>A-497__351</t>
        </is>
      </c>
      <c r="C1383" t="n">
        <v>37.2401123572</v>
      </c>
      <c r="D1383" t="n">
        <v>-7.01847786614</v>
      </c>
      <c r="E1383" t="n">
        <v>2</v>
      </c>
      <c r="F1383" t="n">
        <v>2</v>
      </c>
      <c r="G1383" t="n">
        <v>2</v>
      </c>
      <c r="J1383" t="inlineStr">
        <is>
          <t>Moda</t>
        </is>
      </c>
      <c r="K1383" t="n">
        <v>2</v>
      </c>
      <c r="L1383" t="n">
        <v>2.137</v>
      </c>
      <c r="M1383" t="n">
        <v>0</v>
      </c>
      <c r="N1383" t="inlineStr">
        <is>
          <t>train</t>
        </is>
      </c>
      <c r="O1383">
        <f>HYPERLINK("2\0\marker_143_377653.png", "Ver Imagen")</f>
        <v/>
      </c>
      <c r="P1383">
        <f>HYPERLINK("SE\A-497\A-497__351.png", "Ver Imagen")</f>
        <v/>
      </c>
    </row>
    <row r="1384">
      <c r="A1384" t="n">
        <v>818</v>
      </c>
      <c r="B1384" t="inlineStr">
        <is>
          <t>A-497__350</t>
        </is>
      </c>
      <c r="C1384" t="n">
        <v>37.2403450966</v>
      </c>
      <c r="D1384" t="n">
        <v>-7.01846867263</v>
      </c>
      <c r="E1384" t="n">
        <v>2</v>
      </c>
      <c r="F1384" t="n">
        <v>2</v>
      </c>
      <c r="G1384" t="n">
        <v>2</v>
      </c>
      <c r="J1384" t="inlineStr">
        <is>
          <t>Moda</t>
        </is>
      </c>
      <c r="K1384" t="n">
        <v>2</v>
      </c>
      <c r="L1384" t="n">
        <v>1.999</v>
      </c>
      <c r="M1384" t="n">
        <v>0</v>
      </c>
      <c r="N1384" t="inlineStr">
        <is>
          <t>train</t>
        </is>
      </c>
      <c r="O1384">
        <f>HYPERLINK("2\0\marker_480_377663.png", "Ver Imagen")</f>
        <v/>
      </c>
      <c r="P1384">
        <f>HYPERLINK("SE\A-497\A-497__350.png", "Ver Imagen")</f>
        <v/>
      </c>
    </row>
    <row r="1385">
      <c r="A1385" t="n">
        <v>819</v>
      </c>
      <c r="B1385" t="inlineStr">
        <is>
          <t>A-497__349</t>
        </is>
      </c>
      <c r="C1385" t="n">
        <v>37.2405530555</v>
      </c>
      <c r="D1385" t="n">
        <v>-7.01846075481</v>
      </c>
      <c r="E1385" t="n">
        <v>2</v>
      </c>
      <c r="F1385" t="n">
        <v>2</v>
      </c>
      <c r="G1385" t="n">
        <v>2</v>
      </c>
      <c r="J1385" t="inlineStr">
        <is>
          <t>Moda</t>
        </is>
      </c>
      <c r="K1385" t="n">
        <v>2</v>
      </c>
      <c r="L1385" t="n">
        <v>1.917</v>
      </c>
      <c r="M1385" t="n">
        <v>0</v>
      </c>
      <c r="N1385" t="inlineStr">
        <is>
          <t>test</t>
        </is>
      </c>
      <c r="O1385">
        <f>HYPERLINK("2\0\marker_314_377671.png", "Ver Imagen")</f>
        <v/>
      </c>
      <c r="P1385">
        <f>HYPERLINK("SE\A-497\A-497__349.png", "Ver Imagen")</f>
        <v/>
      </c>
    </row>
    <row r="1386">
      <c r="A1386" t="n">
        <v>820</v>
      </c>
      <c r="B1386" t="inlineStr">
        <is>
          <t>A-497__317</t>
        </is>
      </c>
      <c r="C1386" t="n">
        <v>37.2470066483</v>
      </c>
      <c r="D1386" t="n">
        <v>-7.01822542558</v>
      </c>
      <c r="E1386" t="n">
        <v>2</v>
      </c>
      <c r="F1386" t="n">
        <v>2</v>
      </c>
      <c r="G1386" t="n">
        <v>2</v>
      </c>
      <c r="J1386" t="inlineStr">
        <is>
          <t>Moda</t>
        </is>
      </c>
      <c r="K1386" t="n">
        <v>2</v>
      </c>
      <c r="L1386" t="n">
        <v>1.677</v>
      </c>
      <c r="M1386" t="n">
        <v>0</v>
      </c>
      <c r="N1386" t="inlineStr">
        <is>
          <t>train</t>
        </is>
      </c>
      <c r="O1386">
        <f>HYPERLINK("2\0\marker_732_377998.png", "Ver Imagen")</f>
        <v/>
      </c>
      <c r="P1386">
        <f>HYPERLINK("SE\A-497\A-497__317.png", "Ver Imagen")</f>
        <v/>
      </c>
    </row>
    <row r="1387">
      <c r="A1387" t="n">
        <v>821</v>
      </c>
      <c r="B1387" t="inlineStr">
        <is>
          <t>A-497__314</t>
        </is>
      </c>
      <c r="C1387" t="n">
        <v>37.2476099875</v>
      </c>
      <c r="D1387" t="n">
        <v>-7.01820315372</v>
      </c>
      <c r="E1387" t="n">
        <v>2</v>
      </c>
      <c r="F1387" t="n">
        <v>2</v>
      </c>
      <c r="G1387" t="n">
        <v>2</v>
      </c>
      <c r="J1387" t="inlineStr">
        <is>
          <t>Moda</t>
        </is>
      </c>
      <c r="K1387" t="n">
        <v>2</v>
      </c>
      <c r="L1387" t="n">
        <v>1.965</v>
      </c>
      <c r="M1387" t="n">
        <v>0</v>
      </c>
      <c r="N1387" t="inlineStr">
        <is>
          <t>train</t>
        </is>
      </c>
      <c r="O1387">
        <f>HYPERLINK("2\0\marker_738_378029.png", "Ver Imagen")</f>
        <v/>
      </c>
      <c r="P1387">
        <f>HYPERLINK("SE\A-497\A-497__314.png", "Ver Imagen")</f>
        <v/>
      </c>
    </row>
    <row r="1388">
      <c r="A1388" t="n">
        <v>822</v>
      </c>
      <c r="B1388" t="inlineStr">
        <is>
          <t>A-497__311</t>
        </is>
      </c>
      <c r="C1388" t="n">
        <v>37.2482501481</v>
      </c>
      <c r="D1388" t="n">
        <v>-7.01817247799</v>
      </c>
      <c r="E1388" t="n">
        <v>2</v>
      </c>
      <c r="F1388" t="n">
        <v>2</v>
      </c>
      <c r="G1388" t="n">
        <v>2</v>
      </c>
      <c r="J1388" t="inlineStr">
        <is>
          <t>Moda</t>
        </is>
      </c>
      <c r="K1388" t="n">
        <v>2</v>
      </c>
      <c r="L1388" t="n">
        <v>1.888</v>
      </c>
      <c r="M1388" t="n">
        <v>0</v>
      </c>
      <c r="N1388" t="inlineStr">
        <is>
          <t>train</t>
        </is>
      </c>
      <c r="O1388">
        <f>HYPERLINK("2\0\marker_359_378059.png", "Ver Imagen")</f>
        <v/>
      </c>
      <c r="P1388">
        <f>HYPERLINK("SE\A-497\A-497__311.png", "Ver Imagen")</f>
        <v/>
      </c>
    </row>
    <row r="1389">
      <c r="A1389" t="n">
        <v>823</v>
      </c>
      <c r="B1389" t="inlineStr">
        <is>
          <t>A-497__306</t>
        </is>
      </c>
      <c r="C1389" t="n">
        <v>37.2492356468</v>
      </c>
      <c r="D1389" t="n">
        <v>-7.01806655235</v>
      </c>
      <c r="E1389" t="n">
        <v>2</v>
      </c>
      <c r="F1389" t="n">
        <v>2</v>
      </c>
      <c r="G1389" t="n">
        <v>2</v>
      </c>
      <c r="J1389" t="inlineStr">
        <is>
          <t>Moda</t>
        </is>
      </c>
      <c r="K1389" t="n">
        <v>2</v>
      </c>
      <c r="L1389" t="n">
        <v>2.035</v>
      </c>
      <c r="M1389" t="n">
        <v>0</v>
      </c>
      <c r="N1389" t="inlineStr">
        <is>
          <t>train</t>
        </is>
      </c>
      <c r="O1389">
        <f>HYPERLINK("2\0\marker_889_378139.png", "Ver Imagen")</f>
        <v/>
      </c>
      <c r="P1389">
        <f>HYPERLINK("SE\A-497\A-497__306.png", "Ver Imagen")</f>
        <v/>
      </c>
    </row>
    <row r="1390">
      <c r="A1390" t="n">
        <v>824</v>
      </c>
      <c r="B1390" t="inlineStr">
        <is>
          <t>A-497__301</t>
        </is>
      </c>
      <c r="C1390" t="n">
        <v>37.2502176124</v>
      </c>
      <c r="D1390" t="n">
        <v>-7.0177096505</v>
      </c>
      <c r="E1390" t="n">
        <v>2</v>
      </c>
      <c r="F1390" t="n">
        <v>2</v>
      </c>
      <c r="G1390" t="n">
        <v>2</v>
      </c>
      <c r="J1390" t="inlineStr">
        <is>
          <t>Moda</t>
        </is>
      </c>
      <c r="K1390" t="n">
        <v>2</v>
      </c>
      <c r="L1390" t="n">
        <v>1.988</v>
      </c>
      <c r="M1390" t="n">
        <v>0</v>
      </c>
      <c r="N1390" t="inlineStr">
        <is>
          <t>train</t>
        </is>
      </c>
      <c r="O1390">
        <f>HYPERLINK("2\0\marker_815_378206.png", "Ver Imagen")</f>
        <v/>
      </c>
      <c r="P1390">
        <f>HYPERLINK("SE\A-497\A-497__301.png", "Ver Imagen")</f>
        <v/>
      </c>
    </row>
    <row r="1391">
      <c r="A1391" t="n">
        <v>825</v>
      </c>
      <c r="B1391" t="inlineStr">
        <is>
          <t>A-497__299</t>
        </is>
      </c>
      <c r="C1391" t="n">
        <v>37.2505596888</v>
      </c>
      <c r="D1391" t="n">
        <v>-7.0175148193</v>
      </c>
      <c r="E1391" t="n">
        <v>2</v>
      </c>
      <c r="F1391" t="n">
        <v>2</v>
      </c>
      <c r="G1391" t="n">
        <v>2</v>
      </c>
      <c r="J1391" t="inlineStr">
        <is>
          <t>Moda</t>
        </is>
      </c>
      <c r="K1391" t="n">
        <v>2</v>
      </c>
      <c r="L1391" t="n">
        <v>1.803</v>
      </c>
      <c r="M1391" t="n">
        <v>0</v>
      </c>
      <c r="N1391" t="inlineStr">
        <is>
          <t>train</t>
        </is>
      </c>
      <c r="O1391">
        <f>HYPERLINK("2\0\marker_234_378229.png", "Ver Imagen")</f>
        <v/>
      </c>
      <c r="P1391">
        <f>HYPERLINK("SE\A-497\A-497__299.png", "Ver Imagen")</f>
        <v/>
      </c>
    </row>
    <row r="1392">
      <c r="A1392" t="n">
        <v>826</v>
      </c>
      <c r="B1392" t="inlineStr">
        <is>
          <t>A-497__298</t>
        </is>
      </c>
      <c r="C1392" t="n">
        <v>37.2507440932</v>
      </c>
      <c r="D1392" t="n">
        <v>-7.01740083639</v>
      </c>
      <c r="E1392" t="n">
        <v>2</v>
      </c>
      <c r="F1392" t="n">
        <v>2</v>
      </c>
      <c r="G1392" t="n">
        <v>2</v>
      </c>
      <c r="J1392" t="inlineStr">
        <is>
          <t>Moda</t>
        </is>
      </c>
      <c r="K1392" t="n">
        <v>2</v>
      </c>
      <c r="L1392" t="n">
        <v>1.932</v>
      </c>
      <c r="M1392" t="n">
        <v>0</v>
      </c>
      <c r="N1392" t="inlineStr">
        <is>
          <t>train</t>
        </is>
      </c>
      <c r="O1392">
        <f>HYPERLINK("2\0\marker_185_378239.png", "Ver Imagen")</f>
        <v/>
      </c>
      <c r="P1392">
        <f>HYPERLINK("SE\A-497\A-497__298.png", "Ver Imagen")</f>
        <v/>
      </c>
    </row>
    <row r="1393">
      <c r="A1393" t="n">
        <v>827</v>
      </c>
      <c r="B1393" t="inlineStr">
        <is>
          <t>A-497__297</t>
        </is>
      </c>
      <c r="C1393" t="n">
        <v>37.2509135811</v>
      </c>
      <c r="D1393" t="n">
        <v>-7.01729386903</v>
      </c>
      <c r="E1393" t="n">
        <v>2</v>
      </c>
      <c r="F1393" t="n">
        <v>2</v>
      </c>
      <c r="G1393" t="n">
        <v>2</v>
      </c>
      <c r="J1393" t="inlineStr">
        <is>
          <t>Moda</t>
        </is>
      </c>
      <c r="K1393" t="n">
        <v>2</v>
      </c>
      <c r="L1393" t="n">
        <v>1.709</v>
      </c>
      <c r="M1393" t="n">
        <v>0</v>
      </c>
      <c r="N1393" t="inlineStr">
        <is>
          <t>train</t>
        </is>
      </c>
      <c r="O1393">
        <f>HYPERLINK("2\0\marker_596_378254.png", "Ver Imagen")</f>
        <v/>
      </c>
      <c r="P1393">
        <f>HYPERLINK("SE\A-497\A-497__297.png", "Ver Imagen")</f>
        <v/>
      </c>
    </row>
    <row r="1394">
      <c r="A1394" t="n">
        <v>828</v>
      </c>
      <c r="B1394" t="inlineStr">
        <is>
          <t>A-497__296</t>
        </is>
      </c>
      <c r="C1394" t="n">
        <v>37.2511041925</v>
      </c>
      <c r="D1394" t="n">
        <v>-7.01717219621</v>
      </c>
      <c r="E1394" t="n">
        <v>2</v>
      </c>
      <c r="F1394" t="n">
        <v>2</v>
      </c>
      <c r="G1394" t="n">
        <v>2</v>
      </c>
      <c r="J1394" t="inlineStr">
        <is>
          <t>Moda</t>
        </is>
      </c>
      <c r="K1394" t="n">
        <v>2</v>
      </c>
      <c r="L1394" t="n">
        <v>2.016</v>
      </c>
      <c r="M1394" t="n">
        <v>0</v>
      </c>
      <c r="N1394" t="inlineStr">
        <is>
          <t>train</t>
        </is>
      </c>
      <c r="O1394">
        <f>HYPERLINK("2\0\marker_676_378273.png", "Ver Imagen")</f>
        <v/>
      </c>
      <c r="P1394">
        <f>HYPERLINK("SE\A-497\A-497__296.png", "Ver Imagen")</f>
        <v/>
      </c>
    </row>
    <row r="1395">
      <c r="A1395" t="n">
        <v>829</v>
      </c>
      <c r="B1395" t="inlineStr">
        <is>
          <t>A-497__295</t>
        </is>
      </c>
      <c r="C1395" t="n">
        <v>37.2513084289</v>
      </c>
      <c r="D1395" t="n">
        <v>-7.01704193533</v>
      </c>
      <c r="E1395" t="n">
        <v>2</v>
      </c>
      <c r="F1395" t="n">
        <v>2</v>
      </c>
      <c r="G1395" t="n">
        <v>2</v>
      </c>
      <c r="J1395" t="inlineStr">
        <is>
          <t>Moda</t>
        </is>
      </c>
      <c r="K1395" t="n">
        <v>2</v>
      </c>
      <c r="L1395" t="n">
        <v>1.967</v>
      </c>
      <c r="M1395" t="n">
        <v>0</v>
      </c>
      <c r="N1395" t="inlineStr">
        <is>
          <t>train</t>
        </is>
      </c>
      <c r="O1395">
        <f>HYPERLINK("2\0\marker_316_378293.png", "Ver Imagen")</f>
        <v/>
      </c>
      <c r="P1395">
        <f>HYPERLINK("SE\A-497\A-497__295.png", "Ver Imagen")</f>
        <v/>
      </c>
    </row>
    <row r="1396">
      <c r="A1396" t="n">
        <v>832</v>
      </c>
      <c r="B1396" t="inlineStr">
        <is>
          <t>A-497__276</t>
        </is>
      </c>
      <c r="C1396" t="n">
        <v>37.2547001236</v>
      </c>
      <c r="D1396" t="n">
        <v>-7.01488173912</v>
      </c>
      <c r="E1396" t="n">
        <v>2</v>
      </c>
      <c r="F1396" t="n">
        <v>2</v>
      </c>
      <c r="G1396" t="n">
        <v>2</v>
      </c>
      <c r="J1396" t="inlineStr">
        <is>
          <t>Moda</t>
        </is>
      </c>
      <c r="K1396" t="n">
        <v>2</v>
      </c>
      <c r="L1396" t="n">
        <v>2.392</v>
      </c>
      <c r="M1396" t="n">
        <v>0</v>
      </c>
      <c r="N1396" t="inlineStr">
        <is>
          <t>train</t>
        </is>
      </c>
      <c r="O1396">
        <f>HYPERLINK("2\0\marker_911_378515.png", "Ver Imagen")</f>
        <v/>
      </c>
      <c r="P1396">
        <f>HYPERLINK("SE\A-497\A-497__276.png", "Ver Imagen")</f>
        <v/>
      </c>
    </row>
    <row r="1397">
      <c r="A1397" t="n">
        <v>834</v>
      </c>
      <c r="B1397" t="inlineStr">
        <is>
          <t>A-492__42</t>
        </is>
      </c>
      <c r="C1397" t="n">
        <v>37.2786905833</v>
      </c>
      <c r="D1397" t="n">
        <v>-6.99369461843</v>
      </c>
      <c r="E1397" t="n">
        <v>1</v>
      </c>
      <c r="F1397" t="n">
        <v>2</v>
      </c>
      <c r="G1397" t="n">
        <v>2</v>
      </c>
      <c r="J1397" t="inlineStr">
        <is>
          <t>Moda</t>
        </is>
      </c>
      <c r="K1397" t="n">
        <v>2</v>
      </c>
      <c r="L1397" t="n">
        <v>1.819</v>
      </c>
      <c r="M1397" t="n">
        <v>0</v>
      </c>
      <c r="N1397" t="inlineStr">
        <is>
          <t>train</t>
        </is>
      </c>
      <c r="O1397">
        <f>HYPERLINK("2\1\marker_797_822890.png", "Ver Imagen")</f>
        <v/>
      </c>
      <c r="P1397">
        <f>HYPERLINK("SE\A-492\A-492__42.png", "Ver Imagen")</f>
        <v/>
      </c>
    </row>
    <row r="1398">
      <c r="A1398" t="n">
        <v>835</v>
      </c>
      <c r="B1398" t="inlineStr">
        <is>
          <t>A-492__43</t>
        </is>
      </c>
      <c r="C1398" t="n">
        <v>37.2788052326</v>
      </c>
      <c r="D1398" t="n">
        <v>-6.99393548374</v>
      </c>
      <c r="E1398" t="n">
        <v>1</v>
      </c>
      <c r="F1398" t="n">
        <v>2</v>
      </c>
      <c r="G1398" t="n">
        <v>2</v>
      </c>
      <c r="J1398" t="inlineStr">
        <is>
          <t>Moda</t>
        </is>
      </c>
      <c r="K1398" t="n">
        <v>2</v>
      </c>
      <c r="L1398" t="n">
        <v>1.631</v>
      </c>
      <c r="M1398" t="n">
        <v>0</v>
      </c>
      <c r="N1398" t="inlineStr">
        <is>
          <t>train</t>
        </is>
      </c>
      <c r="O1398">
        <f>HYPERLINK("2\1\marker_135_822905.png", "Ver Imagen")</f>
        <v/>
      </c>
      <c r="P1398">
        <f>HYPERLINK("SE\A-492\A-492__43.png", "Ver Imagen")</f>
        <v/>
      </c>
    </row>
    <row r="1399">
      <c r="A1399" t="n">
        <v>836</v>
      </c>
      <c r="B1399" t="inlineStr">
        <is>
          <t>A-492__44</t>
        </is>
      </c>
      <c r="C1399" t="n">
        <v>37.2788871305</v>
      </c>
      <c r="D1399" t="n">
        <v>-6.9941380155</v>
      </c>
      <c r="E1399" t="n">
        <v>1</v>
      </c>
      <c r="F1399" t="n">
        <v>2</v>
      </c>
      <c r="G1399" t="n">
        <v>2</v>
      </c>
      <c r="J1399" t="inlineStr">
        <is>
          <t>Moda</t>
        </is>
      </c>
      <c r="K1399" t="n">
        <v>2</v>
      </c>
      <c r="L1399" t="n">
        <v>1.884</v>
      </c>
      <c r="M1399" t="n">
        <v>0</v>
      </c>
      <c r="N1399" t="inlineStr">
        <is>
          <t>train</t>
        </is>
      </c>
      <c r="O1399">
        <f>HYPERLINK("2\1\marker_240_822924.png", "Ver Imagen")</f>
        <v/>
      </c>
      <c r="P1399">
        <f>HYPERLINK("SE\A-492\A-492__44.png", "Ver Imagen")</f>
        <v/>
      </c>
    </row>
    <row r="1400">
      <c r="A1400" t="n">
        <v>837</v>
      </c>
      <c r="B1400" t="inlineStr">
        <is>
          <t>A-492__53</t>
        </is>
      </c>
      <c r="C1400" t="n">
        <v>37.2794597052</v>
      </c>
      <c r="D1400" t="n">
        <v>-6.99630014056</v>
      </c>
      <c r="E1400" t="n">
        <v>1</v>
      </c>
      <c r="F1400" t="n">
        <v>2</v>
      </c>
      <c r="G1400" t="n">
        <v>2</v>
      </c>
      <c r="J1400" t="inlineStr">
        <is>
          <t>Moda</t>
        </is>
      </c>
      <c r="K1400" t="n">
        <v>2</v>
      </c>
      <c r="L1400" t="n">
        <v>1.923</v>
      </c>
      <c r="M1400" t="n">
        <v>0</v>
      </c>
      <c r="N1400" t="inlineStr">
        <is>
          <t>train</t>
        </is>
      </c>
      <c r="O1400">
        <f>HYPERLINK("2\1\marker_635_823043.png", "Ver Imagen")</f>
        <v/>
      </c>
      <c r="P1400">
        <f>HYPERLINK("SE\A-492\A-492__53.png", "Ver Imagen")</f>
        <v/>
      </c>
    </row>
    <row r="1401">
      <c r="A1401" t="n">
        <v>838</v>
      </c>
      <c r="B1401" t="inlineStr">
        <is>
          <t>A-492__58</t>
        </is>
      </c>
      <c r="C1401" t="n">
        <v>37.2797182137</v>
      </c>
      <c r="D1401" t="n">
        <v>-6.99755677749</v>
      </c>
      <c r="E1401" t="n">
        <v>1</v>
      </c>
      <c r="F1401" t="n">
        <v>2</v>
      </c>
      <c r="G1401" t="n">
        <v>2</v>
      </c>
      <c r="J1401" t="inlineStr">
        <is>
          <t>Moda</t>
        </is>
      </c>
      <c r="K1401" t="n">
        <v>2</v>
      </c>
      <c r="L1401" t="n">
        <v>2.002</v>
      </c>
      <c r="M1401" t="n">
        <v>0</v>
      </c>
      <c r="N1401" t="inlineStr">
        <is>
          <t>train</t>
        </is>
      </c>
      <c r="O1401">
        <f>HYPERLINK("2\1\marker_808_823121.png", "Ver Imagen")</f>
        <v/>
      </c>
      <c r="P1401">
        <f>HYPERLINK("SE\A-492\A-492__58.png", "Ver Imagen")</f>
        <v/>
      </c>
    </row>
    <row r="1402">
      <c r="A1402" t="n">
        <v>840</v>
      </c>
      <c r="B1402" t="inlineStr">
        <is>
          <t>A-492__305</t>
        </is>
      </c>
      <c r="C1402" t="n">
        <v>37.2932693274</v>
      </c>
      <c r="D1402" t="n">
        <v>-7.04631648727</v>
      </c>
      <c r="E1402" t="n">
        <v>1</v>
      </c>
      <c r="F1402" t="n">
        <v>2</v>
      </c>
      <c r="G1402" t="n">
        <v>2</v>
      </c>
      <c r="J1402" t="inlineStr">
        <is>
          <t>Moda</t>
        </is>
      </c>
      <c r="K1402" t="n">
        <v>2</v>
      </c>
      <c r="L1402" t="n">
        <v>2.128</v>
      </c>
      <c r="M1402" t="n">
        <v>0</v>
      </c>
      <c r="N1402" t="inlineStr">
        <is>
          <t>train</t>
        </is>
      </c>
      <c r="O1402">
        <f>HYPERLINK("2\1\marker_486_837611.png", "Ver Imagen")</f>
        <v/>
      </c>
      <c r="P1402">
        <f>HYPERLINK("SE\A-492\A-492__305.png", "Ver Imagen")</f>
        <v/>
      </c>
    </row>
    <row r="1403">
      <c r="A1403" t="n">
        <v>841</v>
      </c>
      <c r="B1403" t="inlineStr">
        <is>
          <t>A-495R__104</t>
        </is>
      </c>
      <c r="C1403" t="n">
        <v>37.4639454225</v>
      </c>
      <c r="D1403" t="n">
        <v>-7.1186096631</v>
      </c>
      <c r="E1403" t="n">
        <v>1</v>
      </c>
      <c r="F1403" t="n">
        <v>2</v>
      </c>
      <c r="G1403" t="n">
        <v>2</v>
      </c>
      <c r="J1403" t="inlineStr">
        <is>
          <t>Moda</t>
        </is>
      </c>
      <c r="K1403" t="n">
        <v>2</v>
      </c>
      <c r="L1403" t="n">
        <v>1.826</v>
      </c>
      <c r="M1403" t="n">
        <v>0</v>
      </c>
      <c r="N1403" t="inlineStr">
        <is>
          <t>train</t>
        </is>
      </c>
      <c r="O1403">
        <f>HYPERLINK("2\1\marker_318_895824.png", "Ver Imagen")</f>
        <v/>
      </c>
      <c r="P1403">
        <f>HYPERLINK("NE\A-495R\A-495R__104.png", "Ver Imagen")</f>
        <v/>
      </c>
    </row>
    <row r="1404">
      <c r="A1404" t="n">
        <v>842</v>
      </c>
      <c r="B1404" t="inlineStr">
        <is>
          <t>A-495R__102</t>
        </is>
      </c>
      <c r="C1404" t="n">
        <v>37.4636555763</v>
      </c>
      <c r="D1404" t="n">
        <v>-7.11829904278</v>
      </c>
      <c r="E1404" t="n">
        <v>1</v>
      </c>
      <c r="F1404" t="n">
        <v>2</v>
      </c>
      <c r="G1404" t="n">
        <v>2</v>
      </c>
      <c r="J1404" t="inlineStr">
        <is>
          <t>Moda</t>
        </is>
      </c>
      <c r="K1404" t="n">
        <v>2</v>
      </c>
      <c r="L1404" t="n">
        <v>1.905</v>
      </c>
      <c r="M1404" t="n">
        <v>0</v>
      </c>
      <c r="N1404" t="inlineStr">
        <is>
          <t>train</t>
        </is>
      </c>
      <c r="O1404">
        <f>HYPERLINK("2\1\marker_940_896575.png", "Ver Imagen")</f>
        <v/>
      </c>
      <c r="P1404">
        <f>HYPERLINK("NE\A-495R\A-495R__102.png", "Ver Imagen")</f>
        <v/>
      </c>
    </row>
    <row r="1405">
      <c r="A1405" t="n">
        <v>843</v>
      </c>
      <c r="B1405" t="inlineStr">
        <is>
          <t>A-495R__98</t>
        </is>
      </c>
      <c r="C1405" t="n">
        <v>37.4629540331</v>
      </c>
      <c r="D1405" t="n">
        <v>-7.11773601163</v>
      </c>
      <c r="E1405" t="n">
        <v>1</v>
      </c>
      <c r="F1405" t="n">
        <v>2</v>
      </c>
      <c r="G1405" t="n">
        <v>2</v>
      </c>
      <c r="J1405" t="inlineStr">
        <is>
          <t>Moda</t>
        </is>
      </c>
      <c r="K1405" t="n">
        <v>2</v>
      </c>
      <c r="L1405" t="n">
        <v>1.756</v>
      </c>
      <c r="M1405" t="n">
        <v>0</v>
      </c>
      <c r="N1405" t="inlineStr">
        <is>
          <t>test</t>
        </is>
      </c>
      <c r="O1405">
        <f>HYPERLINK("2\1\marker_898_906510.png", "Ver Imagen")</f>
        <v/>
      </c>
      <c r="P1405">
        <f>HYPERLINK("NE\A-495R\A-495R__98.png", "Ver Imagen")</f>
        <v/>
      </c>
    </row>
    <row r="1406">
      <c r="A1406" t="n">
        <v>844</v>
      </c>
      <c r="B1406" t="inlineStr">
        <is>
          <t>A-495R__96</t>
        </is>
      </c>
      <c r="C1406" t="n">
        <v>37.4625984905</v>
      </c>
      <c r="D1406" t="n">
        <v>-7.11751239989</v>
      </c>
      <c r="E1406" t="n">
        <v>1</v>
      </c>
      <c r="F1406" t="n">
        <v>2</v>
      </c>
      <c r="G1406" t="n">
        <v>2</v>
      </c>
      <c r="J1406" t="inlineStr">
        <is>
          <t>Moda</t>
        </is>
      </c>
      <c r="K1406" t="n">
        <v>2</v>
      </c>
      <c r="L1406" t="n">
        <v>1.701</v>
      </c>
      <c r="M1406" t="n">
        <v>0</v>
      </c>
      <c r="N1406" t="inlineStr">
        <is>
          <t>train</t>
        </is>
      </c>
      <c r="O1406">
        <f>HYPERLINK("2\1\marker_387_906548.png", "Ver Imagen")</f>
        <v/>
      </c>
      <c r="P1406">
        <f>HYPERLINK("NE\A-495R\A-495R__96.png", "Ver Imagen")</f>
        <v/>
      </c>
    </row>
    <row r="1407">
      <c r="A1407" t="n">
        <v>845</v>
      </c>
      <c r="B1407" t="inlineStr">
        <is>
          <t>A-495R__89</t>
        </is>
      </c>
      <c r="C1407" t="n">
        <v>37.4614895475</v>
      </c>
      <c r="D1407" t="n">
        <v>-7.11646630391</v>
      </c>
      <c r="E1407" t="n">
        <v>1</v>
      </c>
      <c r="F1407" t="n">
        <v>2</v>
      </c>
      <c r="G1407" t="n">
        <v>2</v>
      </c>
      <c r="J1407" t="inlineStr">
        <is>
          <t>Moda</t>
        </is>
      </c>
      <c r="K1407" t="n">
        <v>2</v>
      </c>
      <c r="L1407" t="n">
        <v>2.269</v>
      </c>
      <c r="M1407" t="n">
        <v>0</v>
      </c>
      <c r="N1407" t="inlineStr">
        <is>
          <t>train</t>
        </is>
      </c>
      <c r="O1407">
        <f>HYPERLINK("2\1\marker_164_906629.png", "Ver Imagen")</f>
        <v/>
      </c>
      <c r="P1407">
        <f>HYPERLINK("NE\A-495R\A-495R__89.png", "Ver Imagen")</f>
        <v/>
      </c>
    </row>
    <row r="1408">
      <c r="A1408" t="n">
        <v>846</v>
      </c>
      <c r="B1408" t="inlineStr">
        <is>
          <t>A-495R__86</t>
        </is>
      </c>
      <c r="C1408" t="n">
        <v>37.4610603031</v>
      </c>
      <c r="D1408" t="n">
        <v>-7.1159471335</v>
      </c>
      <c r="E1408" t="n">
        <v>1</v>
      </c>
      <c r="F1408" t="n">
        <v>2</v>
      </c>
      <c r="G1408" t="n">
        <v>2</v>
      </c>
      <c r="J1408" t="inlineStr">
        <is>
          <t>Moda</t>
        </is>
      </c>
      <c r="K1408" t="n">
        <v>2</v>
      </c>
      <c r="L1408" t="n">
        <v>1.736</v>
      </c>
      <c r="M1408" t="n">
        <v>0</v>
      </c>
      <c r="N1408" t="inlineStr">
        <is>
          <t>train</t>
        </is>
      </c>
      <c r="O1408">
        <f>HYPERLINK("2\1\marker_569_906659.png", "Ver Imagen")</f>
        <v/>
      </c>
      <c r="P1408">
        <f>HYPERLINK("NE\A-495R\A-495R__86.png", "Ver Imagen")</f>
        <v/>
      </c>
    </row>
    <row r="1409">
      <c r="A1409" t="n">
        <v>847</v>
      </c>
      <c r="B1409" t="inlineStr">
        <is>
          <t>A-495R__85</t>
        </is>
      </c>
      <c r="C1409" t="n">
        <v>37.4609061271</v>
      </c>
      <c r="D1409" t="n">
        <v>-7.11577916334</v>
      </c>
      <c r="E1409" t="n">
        <v>1</v>
      </c>
      <c r="F1409" t="n">
        <v>2</v>
      </c>
      <c r="G1409" t="n">
        <v>2</v>
      </c>
      <c r="J1409" t="inlineStr">
        <is>
          <t>Moda</t>
        </is>
      </c>
      <c r="K1409" t="n">
        <v>2</v>
      </c>
      <c r="L1409" t="n">
        <v>1.555</v>
      </c>
      <c r="M1409" t="n">
        <v>0</v>
      </c>
      <c r="N1409" t="inlineStr">
        <is>
          <t>train</t>
        </is>
      </c>
      <c r="O1409">
        <f>HYPERLINK("2\1\marker_185_906667.png", "Ver Imagen")</f>
        <v/>
      </c>
      <c r="P1409">
        <f>HYPERLINK("NE\A-495R\A-495R__85.png", "Ver Imagen")</f>
        <v/>
      </c>
    </row>
    <row r="1410">
      <c r="A1410" t="n">
        <v>848</v>
      </c>
      <c r="B1410" t="inlineStr">
        <is>
          <t>A-495R__84</t>
        </is>
      </c>
      <c r="C1410" t="n">
        <v>37.4607113219</v>
      </c>
      <c r="D1410" t="n">
        <v>-7.11558643814</v>
      </c>
      <c r="E1410" t="n">
        <v>1</v>
      </c>
      <c r="F1410" t="n">
        <v>2</v>
      </c>
      <c r="G1410" t="n">
        <v>2</v>
      </c>
      <c r="J1410" t="inlineStr">
        <is>
          <t>Moda</t>
        </is>
      </c>
      <c r="K1410" t="n">
        <v>2</v>
      </c>
      <c r="L1410" t="n">
        <v>1.959</v>
      </c>
      <c r="M1410" t="n">
        <v>0</v>
      </c>
      <c r="N1410" t="inlineStr">
        <is>
          <t>train</t>
        </is>
      </c>
      <c r="O1410">
        <f>HYPERLINK("2\1\marker_105_906676.png", "Ver Imagen")</f>
        <v/>
      </c>
      <c r="P1410">
        <f>HYPERLINK("NE\A-495R\A-495R__84.png", "Ver Imagen")</f>
        <v/>
      </c>
    </row>
    <row r="1411">
      <c r="A1411" t="n">
        <v>849</v>
      </c>
      <c r="B1411" t="inlineStr">
        <is>
          <t>A-495R__83</t>
        </is>
      </c>
      <c r="C1411" t="n">
        <v>37.4605541921</v>
      </c>
      <c r="D1411" t="n">
        <v>-7.11545385921</v>
      </c>
      <c r="E1411" t="n">
        <v>1</v>
      </c>
      <c r="F1411" t="n">
        <v>2</v>
      </c>
      <c r="G1411" t="n">
        <v>2</v>
      </c>
      <c r="J1411" t="inlineStr">
        <is>
          <t>Moda</t>
        </is>
      </c>
      <c r="K1411" t="n">
        <v>2</v>
      </c>
      <c r="L1411" t="n">
        <v>1.661</v>
      </c>
      <c r="M1411" t="n">
        <v>0</v>
      </c>
      <c r="N1411" t="inlineStr">
        <is>
          <t>val</t>
        </is>
      </c>
      <c r="O1411">
        <f>HYPERLINK("2\1\marker_932_906687.png", "Ver Imagen")</f>
        <v/>
      </c>
      <c r="P1411">
        <f>HYPERLINK("NE\A-495R\A-495R__83.png", "Ver Imagen")</f>
        <v/>
      </c>
    </row>
    <row r="1412">
      <c r="A1412" t="n">
        <v>850</v>
      </c>
      <c r="B1412" t="inlineStr">
        <is>
          <t>A-495R__82</t>
        </is>
      </c>
      <c r="C1412" t="n">
        <v>37.4603861769</v>
      </c>
      <c r="D1412" t="n">
        <v>-7.11533620938</v>
      </c>
      <c r="E1412" t="n">
        <v>1</v>
      </c>
      <c r="F1412" t="n">
        <v>2</v>
      </c>
      <c r="G1412" t="n">
        <v>2</v>
      </c>
      <c r="J1412" t="inlineStr">
        <is>
          <t>Moda</t>
        </is>
      </c>
      <c r="K1412" t="n">
        <v>2</v>
      </c>
      <c r="L1412" t="n">
        <v>2.13</v>
      </c>
      <c r="M1412" t="n">
        <v>0</v>
      </c>
      <c r="N1412" t="inlineStr">
        <is>
          <t>train</t>
        </is>
      </c>
      <c r="O1412">
        <f>HYPERLINK("2\1\marker_114_906697.png", "Ver Imagen")</f>
        <v/>
      </c>
      <c r="P1412">
        <f>HYPERLINK("NE\A-495R\A-495R__82.png", "Ver Imagen")</f>
        <v/>
      </c>
    </row>
    <row r="1413">
      <c r="A1413" t="n">
        <v>851</v>
      </c>
      <c r="B1413" t="inlineStr">
        <is>
          <t>A-495R__81</t>
        </is>
      </c>
      <c r="C1413" t="n">
        <v>37.4602001226</v>
      </c>
      <c r="D1413" t="n">
        <v>-7.11522394701</v>
      </c>
      <c r="E1413" t="n">
        <v>1</v>
      </c>
      <c r="F1413" t="n">
        <v>2</v>
      </c>
      <c r="G1413" t="n">
        <v>2</v>
      </c>
      <c r="J1413" t="inlineStr">
        <is>
          <t>Moda</t>
        </is>
      </c>
      <c r="K1413" t="n">
        <v>2</v>
      </c>
      <c r="L1413" t="n">
        <v>2.24</v>
      </c>
      <c r="M1413" t="n">
        <v>0</v>
      </c>
      <c r="N1413" t="inlineStr">
        <is>
          <t>test</t>
        </is>
      </c>
      <c r="O1413">
        <f>HYPERLINK("2\1\marker_900_906705.png", "Ver Imagen")</f>
        <v/>
      </c>
      <c r="P1413">
        <f>HYPERLINK("NE\A-495R\A-495R__81.png", "Ver Imagen")</f>
        <v/>
      </c>
    </row>
    <row r="1414">
      <c r="A1414" t="n">
        <v>852</v>
      </c>
      <c r="B1414" t="inlineStr">
        <is>
          <t>A-495R__78</t>
        </is>
      </c>
      <c r="C1414" t="n">
        <v>37.4596178008</v>
      </c>
      <c r="D1414" t="n">
        <v>-7.11498082622</v>
      </c>
      <c r="E1414" t="n">
        <v>1</v>
      </c>
      <c r="F1414" t="n">
        <v>2</v>
      </c>
      <c r="G1414" t="n">
        <v>2</v>
      </c>
      <c r="J1414" t="inlineStr">
        <is>
          <t>Moda</t>
        </is>
      </c>
      <c r="K1414" t="n">
        <v>2</v>
      </c>
      <c r="L1414" t="n">
        <v>1.718</v>
      </c>
      <c r="M1414" t="n">
        <v>0</v>
      </c>
      <c r="N1414" t="inlineStr">
        <is>
          <t>train</t>
        </is>
      </c>
      <c r="O1414">
        <f>HYPERLINK("2\1\marker_212_906744.png", "Ver Imagen")</f>
        <v/>
      </c>
      <c r="P1414">
        <f>HYPERLINK("NE\A-495R\A-495R__78.png", "Ver Imagen")</f>
        <v/>
      </c>
    </row>
    <row r="1415">
      <c r="A1415" t="n">
        <v>853</v>
      </c>
      <c r="B1415" t="inlineStr">
        <is>
          <t>A-495R__74</t>
        </is>
      </c>
      <c r="C1415" t="n">
        <v>37.4588476746</v>
      </c>
      <c r="D1415" t="n">
        <v>-7.11474921879</v>
      </c>
      <c r="E1415" t="n">
        <v>1</v>
      </c>
      <c r="F1415" t="n">
        <v>2</v>
      </c>
      <c r="G1415" t="n">
        <v>2</v>
      </c>
      <c r="J1415" t="inlineStr">
        <is>
          <t>Moda</t>
        </is>
      </c>
      <c r="K1415" t="n">
        <v>2</v>
      </c>
      <c r="L1415" t="n">
        <v>1.987</v>
      </c>
      <c r="M1415" t="n">
        <v>0</v>
      </c>
      <c r="N1415" t="inlineStr">
        <is>
          <t>val</t>
        </is>
      </c>
      <c r="O1415">
        <f>HYPERLINK("2\1\marker_911_935170.png", "Ver Imagen")</f>
        <v/>
      </c>
      <c r="P1415">
        <f>HYPERLINK("NE\A-495R\A-495R__74.png", "Ver Imagen")</f>
        <v/>
      </c>
    </row>
    <row r="1416">
      <c r="A1416" t="n">
        <v>854</v>
      </c>
      <c r="B1416" t="inlineStr">
        <is>
          <t>A-495R__73</t>
        </is>
      </c>
      <c r="C1416" t="n">
        <v>37.4586817433</v>
      </c>
      <c r="D1416" t="n">
        <v>-7.11467350452</v>
      </c>
      <c r="E1416" t="n">
        <v>1</v>
      </c>
      <c r="F1416" t="n">
        <v>2</v>
      </c>
      <c r="G1416" t="n">
        <v>2</v>
      </c>
      <c r="J1416" t="inlineStr">
        <is>
          <t>Moda</t>
        </is>
      </c>
      <c r="K1416" t="n">
        <v>2</v>
      </c>
      <c r="L1416" t="n">
        <v>2.13</v>
      </c>
      <c r="M1416" t="n">
        <v>0</v>
      </c>
      <c r="N1416" t="inlineStr">
        <is>
          <t>train</t>
        </is>
      </c>
      <c r="O1416">
        <f>HYPERLINK("2\1\marker_373_935182.png", "Ver Imagen")</f>
        <v/>
      </c>
      <c r="P1416">
        <f>HYPERLINK("NE\A-495R\A-495R__73.png", "Ver Imagen")</f>
        <v/>
      </c>
    </row>
    <row r="1417">
      <c r="A1417" t="n">
        <v>855</v>
      </c>
      <c r="B1417" t="inlineStr">
        <is>
          <t>A-5050__152</t>
        </is>
      </c>
      <c r="C1417" t="n">
        <v>37.1929290907</v>
      </c>
      <c r="D1417" t="n">
        <v>-6.9951238774</v>
      </c>
      <c r="E1417" t="n">
        <v>1</v>
      </c>
      <c r="F1417" t="n">
        <v>2</v>
      </c>
      <c r="G1417" t="n">
        <v>2</v>
      </c>
      <c r="J1417" t="inlineStr">
        <is>
          <t>Moda</t>
        </is>
      </c>
      <c r="K1417" t="n">
        <v>2</v>
      </c>
      <c r="L1417" t="n">
        <v>1.993</v>
      </c>
      <c r="M1417" t="n">
        <v>0</v>
      </c>
      <c r="N1417" t="inlineStr">
        <is>
          <t>train</t>
        </is>
      </c>
      <c r="O1417">
        <f>HYPERLINK("2\1\marker_745_945351.png", "Ver Imagen")</f>
        <v/>
      </c>
      <c r="P1417">
        <f>HYPERLINK("SE\A-5050\A-5050__152.png", "Ver Imagen")</f>
        <v/>
      </c>
    </row>
    <row r="1418">
      <c r="A1418" t="n">
        <v>856</v>
      </c>
      <c r="B1418" t="inlineStr">
        <is>
          <t>A-5050__132</t>
        </is>
      </c>
      <c r="C1418" t="n">
        <v>37.1947855806</v>
      </c>
      <c r="D1418" t="n">
        <v>-6.99961493237</v>
      </c>
      <c r="E1418" t="n">
        <v>1</v>
      </c>
      <c r="F1418" t="n">
        <v>2</v>
      </c>
      <c r="G1418" t="n">
        <v>2</v>
      </c>
      <c r="J1418" t="inlineStr">
        <is>
          <t>Moda</t>
        </is>
      </c>
      <c r="K1418" t="n">
        <v>2</v>
      </c>
      <c r="L1418" t="n">
        <v>1.85</v>
      </c>
      <c r="M1418" t="n">
        <v>0</v>
      </c>
      <c r="N1418" t="inlineStr">
        <is>
          <t>train</t>
        </is>
      </c>
      <c r="O1418">
        <f>HYPERLINK("2\1\marker_804_945925.png", "Ver Imagen")</f>
        <v/>
      </c>
      <c r="P1418">
        <f>HYPERLINK("SE\A-5050\A-5050__132.png", "Ver Imagen")</f>
        <v/>
      </c>
    </row>
    <row r="1419">
      <c r="A1419" t="n">
        <v>857</v>
      </c>
      <c r="B1419" t="inlineStr">
        <is>
          <t>A-5052__4</t>
        </is>
      </c>
      <c r="C1419" t="n">
        <v>37.2184407744</v>
      </c>
      <c r="D1419" t="n">
        <v>-7.12496584197</v>
      </c>
      <c r="E1419" t="n">
        <v>1</v>
      </c>
      <c r="F1419" t="n">
        <v>2</v>
      </c>
      <c r="G1419" t="n">
        <v>2</v>
      </c>
      <c r="J1419" t="inlineStr">
        <is>
          <t>Moda</t>
        </is>
      </c>
      <c r="K1419" t="n">
        <v>2</v>
      </c>
      <c r="L1419" t="n">
        <v>2.3</v>
      </c>
      <c r="M1419" t="n">
        <v>0</v>
      </c>
      <c r="N1419" t="inlineStr">
        <is>
          <t>train</t>
        </is>
      </c>
      <c r="O1419">
        <f>HYPERLINK("2\1\marker_893_949904.png", "Ver Imagen")</f>
        <v/>
      </c>
      <c r="P1419">
        <f>HYPERLINK("SO\A-5052\A-5052__4.png", "Ver Imagen")</f>
        <v/>
      </c>
    </row>
    <row r="1420">
      <c r="A1420" t="n">
        <v>858</v>
      </c>
      <c r="B1420" t="inlineStr">
        <is>
          <t>A-5052__5</t>
        </is>
      </c>
      <c r="C1420" t="n">
        <v>37.2184036945</v>
      </c>
      <c r="D1420" t="n">
        <v>-7.12472093178</v>
      </c>
      <c r="E1420" t="n">
        <v>1</v>
      </c>
      <c r="F1420" t="n">
        <v>2</v>
      </c>
      <c r="G1420" t="n">
        <v>2</v>
      </c>
      <c r="J1420" t="inlineStr">
        <is>
          <t>Moda</t>
        </is>
      </c>
      <c r="K1420" t="n">
        <v>2</v>
      </c>
      <c r="L1420" t="n">
        <v>2.042</v>
      </c>
      <c r="M1420" t="n">
        <v>0</v>
      </c>
      <c r="N1420" t="inlineStr">
        <is>
          <t>train</t>
        </is>
      </c>
      <c r="O1420">
        <f>HYPERLINK("2\1\marker_380_949914.png", "Ver Imagen")</f>
        <v/>
      </c>
      <c r="P1420">
        <f>HYPERLINK("SO\A-5052\A-5052__5.png", "Ver Imagen")</f>
        <v/>
      </c>
    </row>
    <row r="1421">
      <c r="A1421" t="n">
        <v>860</v>
      </c>
      <c r="B1421" t="inlineStr">
        <is>
          <t>A-5052__13</t>
        </is>
      </c>
      <c r="C1421" t="n">
        <v>37.2181292234</v>
      </c>
      <c r="D1421" t="n">
        <v>-7.12271604646</v>
      </c>
      <c r="E1421" t="n">
        <v>1</v>
      </c>
      <c r="F1421" t="n">
        <v>2</v>
      </c>
      <c r="G1421" t="n">
        <v>2</v>
      </c>
      <c r="J1421" t="inlineStr">
        <is>
          <t>Moda</t>
        </is>
      </c>
      <c r="K1421" t="n">
        <v>2</v>
      </c>
      <c r="L1421" t="n">
        <v>1.984</v>
      </c>
      <c r="M1421" t="n">
        <v>0</v>
      </c>
      <c r="N1421" t="inlineStr">
        <is>
          <t>train</t>
        </is>
      </c>
      <c r="O1421">
        <f>HYPERLINK("2\1\marker_807_950135.png", "Ver Imagen")</f>
        <v/>
      </c>
      <c r="P1421">
        <f>HYPERLINK("SO\A-5052\A-5052__13.png", "Ver Imagen")</f>
        <v/>
      </c>
    </row>
    <row r="1422">
      <c r="A1422" t="n">
        <v>861</v>
      </c>
      <c r="B1422" t="inlineStr">
        <is>
          <t>A-5052__22</t>
        </is>
      </c>
      <c r="C1422" t="n">
        <v>37.2180338209</v>
      </c>
      <c r="D1422" t="n">
        <v>-7.12052209373</v>
      </c>
      <c r="E1422" t="n">
        <v>1</v>
      </c>
      <c r="F1422" t="n">
        <v>2</v>
      </c>
      <c r="G1422" t="n">
        <v>2</v>
      </c>
      <c r="J1422" t="inlineStr">
        <is>
          <t>Moda</t>
        </is>
      </c>
      <c r="K1422" t="n">
        <v>2</v>
      </c>
      <c r="L1422" t="n">
        <v>2.015</v>
      </c>
      <c r="M1422" t="n">
        <v>0</v>
      </c>
      <c r="N1422" t="inlineStr">
        <is>
          <t>test</t>
        </is>
      </c>
      <c r="O1422">
        <f>HYPERLINK("2\1\marker_715_951496.png", "Ver Imagen")</f>
        <v/>
      </c>
      <c r="P1422">
        <f>HYPERLINK("SO\A-5052\A-5052__22.png", "Ver Imagen")</f>
        <v/>
      </c>
    </row>
    <row r="1423">
      <c r="A1423" t="n">
        <v>862</v>
      </c>
      <c r="B1423" t="inlineStr">
        <is>
          <t>A-5052__27</t>
        </is>
      </c>
      <c r="C1423" t="n">
        <v>37.218123278</v>
      </c>
      <c r="D1423" t="n">
        <v>-7.11924300987</v>
      </c>
      <c r="E1423" t="n">
        <v>1</v>
      </c>
      <c r="F1423" t="n">
        <v>2</v>
      </c>
      <c r="G1423" t="n">
        <v>2</v>
      </c>
      <c r="J1423" t="inlineStr">
        <is>
          <t>Moda</t>
        </is>
      </c>
      <c r="K1423" t="n">
        <v>2</v>
      </c>
      <c r="L1423" t="n">
        <v>2.126</v>
      </c>
      <c r="M1423" t="n">
        <v>0</v>
      </c>
      <c r="N1423" t="inlineStr">
        <is>
          <t>train</t>
        </is>
      </c>
      <c r="O1423">
        <f>HYPERLINK("2\1\marker_142_951564.png", "Ver Imagen")</f>
        <v/>
      </c>
      <c r="P1423">
        <f>HYPERLINK("SO\A-5052\A-5052__27.png", "Ver Imagen")</f>
        <v/>
      </c>
    </row>
    <row r="1424">
      <c r="A1424" t="n">
        <v>863</v>
      </c>
      <c r="B1424" t="inlineStr">
        <is>
          <t>A-5052__34</t>
        </is>
      </c>
      <c r="C1424" t="n">
        <v>37.2179657437</v>
      </c>
      <c r="D1424" t="n">
        <v>-7.1174465506</v>
      </c>
      <c r="E1424" t="n">
        <v>1</v>
      </c>
      <c r="F1424" t="n">
        <v>2</v>
      </c>
      <c r="G1424" t="n">
        <v>2</v>
      </c>
      <c r="J1424" t="inlineStr">
        <is>
          <t>Moda</t>
        </is>
      </c>
      <c r="K1424" t="n">
        <v>2</v>
      </c>
      <c r="L1424" t="n">
        <v>2.135</v>
      </c>
      <c r="M1424" t="n">
        <v>0</v>
      </c>
      <c r="N1424" t="inlineStr">
        <is>
          <t>train</t>
        </is>
      </c>
      <c r="O1424">
        <f>HYPERLINK("2\1\marker_510_951749.png", "Ver Imagen")</f>
        <v/>
      </c>
      <c r="P1424">
        <f>HYPERLINK("SO\A-5052\A-5052__34.png", "Ver Imagen")</f>
        <v/>
      </c>
    </row>
    <row r="1425">
      <c r="A1425" t="n">
        <v>864</v>
      </c>
      <c r="B1425" t="inlineStr">
        <is>
          <t>A-5052__43</t>
        </is>
      </c>
      <c r="C1425" t="n">
        <v>37.2176629026</v>
      </c>
      <c r="D1425" t="n">
        <v>-7.11523086551</v>
      </c>
      <c r="E1425" t="n">
        <v>1</v>
      </c>
      <c r="F1425" t="n">
        <v>2</v>
      </c>
      <c r="G1425" t="n">
        <v>2</v>
      </c>
      <c r="J1425" t="inlineStr">
        <is>
          <t>Moda</t>
        </is>
      </c>
      <c r="K1425" t="n">
        <v>2</v>
      </c>
      <c r="L1425" t="n">
        <v>1.997</v>
      </c>
      <c r="M1425" t="n">
        <v>0</v>
      </c>
      <c r="N1425" t="inlineStr">
        <is>
          <t>train</t>
        </is>
      </c>
      <c r="O1425">
        <f>HYPERLINK("2\1\marker_785_956844.png", "Ver Imagen")</f>
        <v/>
      </c>
      <c r="P1425">
        <f>HYPERLINK("SO\A-5052\A-5052__43.png", "Ver Imagen")</f>
        <v/>
      </c>
    </row>
    <row r="1426">
      <c r="A1426" t="n">
        <v>865</v>
      </c>
      <c r="B1426" t="inlineStr">
        <is>
          <t>A-5052__44</t>
        </is>
      </c>
      <c r="C1426" t="n">
        <v>37.21763133</v>
      </c>
      <c r="D1426" t="n">
        <v>-7.11499958236</v>
      </c>
      <c r="E1426" t="n">
        <v>1</v>
      </c>
      <c r="F1426" t="n">
        <v>2</v>
      </c>
      <c r="G1426" t="n">
        <v>2</v>
      </c>
      <c r="J1426" t="inlineStr">
        <is>
          <t>Moda</t>
        </is>
      </c>
      <c r="K1426" t="n">
        <v>2</v>
      </c>
      <c r="L1426" t="n">
        <v>2.228</v>
      </c>
      <c r="M1426" t="n">
        <v>0</v>
      </c>
      <c r="N1426" t="inlineStr">
        <is>
          <t>train</t>
        </is>
      </c>
      <c r="O1426">
        <f>HYPERLINK("2\1\marker_631_956855.png", "Ver Imagen")</f>
        <v/>
      </c>
      <c r="P1426">
        <f>HYPERLINK("SO\A-5052\A-5052__44.png", "Ver Imagen")</f>
        <v/>
      </c>
    </row>
    <row r="1427">
      <c r="A1427" t="n">
        <v>866</v>
      </c>
      <c r="B1427" t="inlineStr">
        <is>
          <t>A-5052__46</t>
        </is>
      </c>
      <c r="C1427" t="n">
        <v>37.2175684342</v>
      </c>
      <c r="D1427" t="n">
        <v>-7.11450559167</v>
      </c>
      <c r="E1427" t="n">
        <v>1</v>
      </c>
      <c r="F1427" t="n">
        <v>2</v>
      </c>
      <c r="G1427" t="n">
        <v>2</v>
      </c>
      <c r="J1427" t="inlineStr">
        <is>
          <t>Moda</t>
        </is>
      </c>
      <c r="K1427" t="n">
        <v>2</v>
      </c>
      <c r="L1427" t="n">
        <v>1.753</v>
      </c>
      <c r="M1427" t="n">
        <v>0</v>
      </c>
      <c r="N1427" t="inlineStr">
        <is>
          <t>train</t>
        </is>
      </c>
      <c r="O1427">
        <f>HYPERLINK("2\1\marker_193_956878.png", "Ver Imagen")</f>
        <v/>
      </c>
      <c r="P1427">
        <f>HYPERLINK("SO\A-5052\A-5052__46.png", "Ver Imagen")</f>
        <v/>
      </c>
    </row>
    <row r="1428">
      <c r="A1428" t="n">
        <v>867</v>
      </c>
      <c r="B1428" t="inlineStr">
        <is>
          <t>A-5052__47</t>
        </is>
      </c>
      <c r="C1428" t="n">
        <v>37.2175366611</v>
      </c>
      <c r="D1428" t="n">
        <v>-7.11421819017</v>
      </c>
      <c r="E1428" t="n">
        <v>1</v>
      </c>
      <c r="F1428" t="n">
        <v>2</v>
      </c>
      <c r="G1428" t="n">
        <v>2</v>
      </c>
      <c r="J1428" t="inlineStr">
        <is>
          <t>Moda</t>
        </is>
      </c>
      <c r="K1428" t="n">
        <v>2</v>
      </c>
      <c r="L1428" t="n">
        <v>2.138</v>
      </c>
      <c r="M1428" t="n">
        <v>0</v>
      </c>
      <c r="N1428" t="inlineStr">
        <is>
          <t>train</t>
        </is>
      </c>
      <c r="O1428">
        <f>HYPERLINK("2\1\marker_244_956892.png", "Ver Imagen")</f>
        <v/>
      </c>
      <c r="P1428">
        <f>HYPERLINK("SO\A-5052\A-5052__47.png", "Ver Imagen")</f>
        <v/>
      </c>
    </row>
    <row r="1429">
      <c r="A1429" t="n">
        <v>869</v>
      </c>
      <c r="B1429" t="inlineStr">
        <is>
          <t>A-5052__61</t>
        </is>
      </c>
      <c r="C1429" t="n">
        <v>37.2176288057</v>
      </c>
      <c r="D1429" t="n">
        <v>-7.1107175697</v>
      </c>
      <c r="E1429" t="n">
        <v>1</v>
      </c>
      <c r="F1429" t="n">
        <v>2</v>
      </c>
      <c r="G1429" t="n">
        <v>2</v>
      </c>
      <c r="J1429" t="inlineStr">
        <is>
          <t>Moda</t>
        </is>
      </c>
      <c r="K1429" t="n">
        <v>2</v>
      </c>
      <c r="L1429" t="n">
        <v>1.984</v>
      </c>
      <c r="M1429" t="n">
        <v>0</v>
      </c>
      <c r="N1429" t="inlineStr">
        <is>
          <t>train</t>
        </is>
      </c>
      <c r="O1429">
        <f>HYPERLINK("2\1\marker_959_957077.png", "Ver Imagen")</f>
        <v/>
      </c>
      <c r="P1429">
        <f>HYPERLINK("SO\A-5052\A-5052__61.png", "Ver Imagen")</f>
        <v/>
      </c>
    </row>
    <row r="1430">
      <c r="A1430" t="n">
        <v>870</v>
      </c>
      <c r="B1430" t="inlineStr">
        <is>
          <t>A-5052__64</t>
        </is>
      </c>
      <c r="C1430" t="n">
        <v>37.2176546955</v>
      </c>
      <c r="D1430" t="n">
        <v>-7.10994987241</v>
      </c>
      <c r="E1430" t="n">
        <v>1</v>
      </c>
      <c r="F1430" t="n">
        <v>2</v>
      </c>
      <c r="G1430" t="n">
        <v>2</v>
      </c>
      <c r="J1430" t="inlineStr">
        <is>
          <t>Moda</t>
        </is>
      </c>
      <c r="K1430" t="n">
        <v>2</v>
      </c>
      <c r="L1430" t="n">
        <v>1.678</v>
      </c>
      <c r="M1430" t="n">
        <v>0</v>
      </c>
      <c r="N1430" t="inlineStr">
        <is>
          <t>test</t>
        </is>
      </c>
      <c r="O1430">
        <f>HYPERLINK("2\1\marker_302_957111.png", "Ver Imagen")</f>
        <v/>
      </c>
      <c r="P1430">
        <f>HYPERLINK("SO\A-5052\A-5052__64.png", "Ver Imagen")</f>
        <v/>
      </c>
    </row>
    <row r="1431">
      <c r="A1431" t="n">
        <v>871</v>
      </c>
      <c r="B1431" t="inlineStr">
        <is>
          <t>A-5052__65</t>
        </is>
      </c>
      <c r="C1431" t="n">
        <v>37.2176532581</v>
      </c>
      <c r="D1431" t="n">
        <v>-7.10968209496</v>
      </c>
      <c r="E1431" t="n">
        <v>1</v>
      </c>
      <c r="F1431" t="n">
        <v>2</v>
      </c>
      <c r="G1431" t="n">
        <v>2</v>
      </c>
      <c r="J1431" t="inlineStr">
        <is>
          <t>Moda</t>
        </is>
      </c>
      <c r="K1431" t="n">
        <v>2</v>
      </c>
      <c r="L1431" t="n">
        <v>1.873</v>
      </c>
      <c r="M1431" t="n">
        <v>0</v>
      </c>
      <c r="N1431" t="inlineStr">
        <is>
          <t>train</t>
        </is>
      </c>
      <c r="O1431">
        <f>HYPERLINK("2\1\marker_498_957120.png", "Ver Imagen")</f>
        <v/>
      </c>
      <c r="P1431">
        <f>HYPERLINK("SO\A-5052\A-5052__65.png", "Ver Imagen")</f>
        <v/>
      </c>
    </row>
    <row r="1432">
      <c r="A1432" t="n">
        <v>872</v>
      </c>
      <c r="B1432" t="inlineStr">
        <is>
          <t>A-5052__68</t>
        </is>
      </c>
      <c r="C1432" t="n">
        <v>37.2175970981</v>
      </c>
      <c r="D1432" t="n">
        <v>-7.10895468033</v>
      </c>
      <c r="E1432" t="n">
        <v>1</v>
      </c>
      <c r="F1432" t="n">
        <v>2</v>
      </c>
      <c r="G1432" t="n">
        <v>2</v>
      </c>
      <c r="J1432" t="inlineStr">
        <is>
          <t>Moda</t>
        </is>
      </c>
      <c r="K1432" t="n">
        <v>2</v>
      </c>
      <c r="L1432" t="n">
        <v>1.673</v>
      </c>
      <c r="M1432" t="n">
        <v>0</v>
      </c>
      <c r="N1432" t="inlineStr">
        <is>
          <t>train</t>
        </is>
      </c>
      <c r="O1432">
        <f>HYPERLINK("2\1\marker_871_957151.png", "Ver Imagen")</f>
        <v/>
      </c>
      <c r="P1432">
        <f>HYPERLINK("SO\A-5052\A-5052__68.png", "Ver Imagen")</f>
        <v/>
      </c>
    </row>
    <row r="1433">
      <c r="A1433" t="n">
        <v>873</v>
      </c>
      <c r="B1433" t="inlineStr">
        <is>
          <t>A-5052__70</t>
        </is>
      </c>
      <c r="C1433" t="n">
        <v>37.2175286684</v>
      </c>
      <c r="D1433" t="n">
        <v>-7.1084601884</v>
      </c>
      <c r="E1433" t="n">
        <v>1</v>
      </c>
      <c r="F1433" t="n">
        <v>2</v>
      </c>
      <c r="G1433" t="n">
        <v>2</v>
      </c>
      <c r="J1433" t="inlineStr">
        <is>
          <t>Moda</t>
        </is>
      </c>
      <c r="K1433" t="n">
        <v>2</v>
      </c>
      <c r="L1433" t="n">
        <v>1.874</v>
      </c>
      <c r="M1433" t="n">
        <v>0</v>
      </c>
      <c r="N1433" t="inlineStr">
        <is>
          <t>train</t>
        </is>
      </c>
      <c r="O1433">
        <f>HYPERLINK("2\1\marker_574_957177.png", "Ver Imagen")</f>
        <v/>
      </c>
      <c r="P1433">
        <f>HYPERLINK("SO\A-5052\A-5052__70.png", "Ver Imagen")</f>
        <v/>
      </c>
    </row>
    <row r="1434">
      <c r="A1434" t="n">
        <v>874</v>
      </c>
      <c r="B1434" t="inlineStr">
        <is>
          <t>A-5052__73</t>
        </is>
      </c>
      <c r="C1434" t="n">
        <v>37.2174162031</v>
      </c>
      <c r="D1434" t="n">
        <v>-7.1077097267</v>
      </c>
      <c r="E1434" t="n">
        <v>1</v>
      </c>
      <c r="F1434" t="n">
        <v>2</v>
      </c>
      <c r="G1434" t="n">
        <v>2</v>
      </c>
      <c r="J1434" t="inlineStr">
        <is>
          <t>Moda</t>
        </is>
      </c>
      <c r="K1434" t="n">
        <v>2</v>
      </c>
      <c r="L1434" t="n">
        <v>1.865</v>
      </c>
      <c r="M1434" t="n">
        <v>0</v>
      </c>
      <c r="N1434" t="inlineStr">
        <is>
          <t>train</t>
        </is>
      </c>
      <c r="O1434">
        <f>HYPERLINK("2\1\marker_818_957207.png", "Ver Imagen")</f>
        <v/>
      </c>
      <c r="P1434">
        <f>HYPERLINK("SO\A-5052\A-5052__73.png", "Ver Imagen")</f>
        <v/>
      </c>
    </row>
    <row r="1435">
      <c r="A1435" t="n">
        <v>875</v>
      </c>
      <c r="B1435" t="inlineStr">
        <is>
          <t>A-5052__74</t>
        </is>
      </c>
      <c r="C1435" t="n">
        <v>37.2173783343</v>
      </c>
      <c r="D1435" t="n">
        <v>-7.10745690042</v>
      </c>
      <c r="E1435" t="n">
        <v>1</v>
      </c>
      <c r="F1435" t="n">
        <v>2</v>
      </c>
      <c r="G1435" t="n">
        <v>2</v>
      </c>
      <c r="J1435" t="inlineStr">
        <is>
          <t>Moda</t>
        </is>
      </c>
      <c r="K1435" t="n">
        <v>2</v>
      </c>
      <c r="L1435" t="n">
        <v>1.535</v>
      </c>
      <c r="M1435" t="n">
        <v>0</v>
      </c>
      <c r="N1435" t="inlineStr">
        <is>
          <t>train</t>
        </is>
      </c>
      <c r="O1435">
        <f>HYPERLINK("2\1\marker_867_957217.png", "Ver Imagen")</f>
        <v/>
      </c>
      <c r="P1435">
        <f>HYPERLINK("SO\A-5052\A-5052__74.png", "Ver Imagen")</f>
        <v/>
      </c>
    </row>
    <row r="1436">
      <c r="A1436" t="n">
        <v>876</v>
      </c>
      <c r="B1436" t="inlineStr">
        <is>
          <t>A-5052__75</t>
        </is>
      </c>
      <c r="C1436" t="n">
        <v>37.2173468237</v>
      </c>
      <c r="D1436" t="n">
        <v>-7.10724042805</v>
      </c>
      <c r="E1436" t="n">
        <v>1</v>
      </c>
      <c r="F1436" t="n">
        <v>2</v>
      </c>
      <c r="G1436" t="n">
        <v>2</v>
      </c>
      <c r="J1436" t="inlineStr">
        <is>
          <t>Moda</t>
        </is>
      </c>
      <c r="K1436" t="n">
        <v>2</v>
      </c>
      <c r="L1436" t="n">
        <v>2.053</v>
      </c>
      <c r="M1436" t="n">
        <v>0</v>
      </c>
      <c r="N1436" t="inlineStr">
        <is>
          <t>train</t>
        </is>
      </c>
      <c r="O1436">
        <f>HYPERLINK("2\1\marker_220_957229.png", "Ver Imagen")</f>
        <v/>
      </c>
      <c r="P1436">
        <f>HYPERLINK("SO\A-5052\A-5052__75.png", "Ver Imagen")</f>
        <v/>
      </c>
    </row>
    <row r="1437">
      <c r="A1437" t="n">
        <v>877</v>
      </c>
      <c r="B1437" t="inlineStr">
        <is>
          <t>A-5052__86</t>
        </is>
      </c>
      <c r="C1437" t="n">
        <v>37.217013742</v>
      </c>
      <c r="D1437" t="n">
        <v>-7.10445253903</v>
      </c>
      <c r="E1437" t="n">
        <v>1</v>
      </c>
      <c r="F1437" t="n">
        <v>2</v>
      </c>
      <c r="G1437" t="n">
        <v>2</v>
      </c>
      <c r="J1437" t="inlineStr">
        <is>
          <t>Moda</t>
        </is>
      </c>
      <c r="K1437" t="n">
        <v>2</v>
      </c>
      <c r="L1437" t="n">
        <v>2.019</v>
      </c>
      <c r="M1437" t="n">
        <v>0</v>
      </c>
      <c r="N1437" t="inlineStr">
        <is>
          <t>train</t>
        </is>
      </c>
      <c r="O1437">
        <f>HYPERLINK("2\1\marker_801_957444.png", "Ver Imagen")</f>
        <v/>
      </c>
      <c r="P1437">
        <f>HYPERLINK("SO\A-5052\A-5052__86.png", "Ver Imagen")</f>
        <v/>
      </c>
    </row>
    <row r="1438">
      <c r="A1438" t="n">
        <v>878</v>
      </c>
      <c r="B1438" t="inlineStr">
        <is>
          <t>A-5052__87</t>
        </is>
      </c>
      <c r="C1438" t="n">
        <v>37.2169908949</v>
      </c>
      <c r="D1438" t="n">
        <v>-7.10418744633</v>
      </c>
      <c r="E1438" t="n">
        <v>1</v>
      </c>
      <c r="F1438" t="n">
        <v>2</v>
      </c>
      <c r="G1438" t="n">
        <v>2</v>
      </c>
      <c r="J1438" t="inlineStr">
        <is>
          <t>Moda</t>
        </is>
      </c>
      <c r="K1438" t="n">
        <v>2</v>
      </c>
      <c r="L1438" t="n">
        <v>1.503</v>
      </c>
      <c r="M1438" t="n">
        <v>0</v>
      </c>
      <c r="N1438" t="inlineStr">
        <is>
          <t>train</t>
        </is>
      </c>
      <c r="O1438">
        <f>HYPERLINK("2\1\marker_919_957466.png", "Ver Imagen")</f>
        <v/>
      </c>
      <c r="P1438">
        <f>HYPERLINK("SO\A-5052\A-5052__87.png", "Ver Imagen")</f>
        <v/>
      </c>
    </row>
    <row r="1439">
      <c r="A1439" t="n">
        <v>880</v>
      </c>
      <c r="B1439" t="inlineStr">
        <is>
          <t>A-5052__93</t>
        </is>
      </c>
      <c r="C1439" t="n">
        <v>37.2168646474</v>
      </c>
      <c r="D1439" t="n">
        <v>-7.102712065</v>
      </c>
      <c r="E1439" t="n">
        <v>1</v>
      </c>
      <c r="F1439" t="n">
        <v>2</v>
      </c>
      <c r="G1439" t="n">
        <v>2</v>
      </c>
      <c r="J1439" t="inlineStr">
        <is>
          <t>Moda</t>
        </is>
      </c>
      <c r="K1439" t="n">
        <v>2</v>
      </c>
      <c r="L1439" t="n">
        <v>1.821</v>
      </c>
      <c r="M1439" t="n">
        <v>0</v>
      </c>
      <c r="N1439" t="inlineStr">
        <is>
          <t>train</t>
        </is>
      </c>
      <c r="O1439">
        <f>HYPERLINK("2\1\marker_949_957537.png", "Ver Imagen")</f>
        <v/>
      </c>
      <c r="P1439">
        <f>HYPERLINK("SE\A-5052\A-5052__93.png", "Ver Imagen")</f>
        <v/>
      </c>
    </row>
    <row r="1440">
      <c r="A1440" t="n">
        <v>880</v>
      </c>
      <c r="B1440" t="inlineStr">
        <is>
          <t>A-5052__93</t>
        </is>
      </c>
      <c r="C1440" t="n">
        <v>37.2168646474</v>
      </c>
      <c r="D1440" t="n">
        <v>-7.102712065</v>
      </c>
      <c r="E1440" t="n">
        <v>1</v>
      </c>
      <c r="F1440" t="n">
        <v>2</v>
      </c>
      <c r="G1440" t="n">
        <v>2</v>
      </c>
      <c r="J1440" t="inlineStr">
        <is>
          <t>Moda</t>
        </is>
      </c>
      <c r="K1440" t="n">
        <v>2</v>
      </c>
      <c r="L1440" t="n">
        <v>1.93</v>
      </c>
      <c r="M1440" t="n">
        <v>0</v>
      </c>
      <c r="N1440" t="inlineStr">
        <is>
          <t>train</t>
        </is>
      </c>
      <c r="O1440">
        <f>HYPERLINK("2\1\marker_949_957537.png", "Ver Imagen")</f>
        <v/>
      </c>
      <c r="P1440">
        <f>HYPERLINK("SO\A-5052\A-5052__93.png", "Ver Imagen")</f>
        <v/>
      </c>
    </row>
    <row r="1441">
      <c r="A1441" t="n">
        <v>881</v>
      </c>
      <c r="B1441" t="inlineStr">
        <is>
          <t>A-5052__95</t>
        </is>
      </c>
      <c r="C1441" t="n">
        <v>37.2168178049</v>
      </c>
      <c r="D1441" t="n">
        <v>-7.10220662143</v>
      </c>
      <c r="E1441" t="n">
        <v>1</v>
      </c>
      <c r="F1441" t="n">
        <v>2</v>
      </c>
      <c r="G1441" t="n">
        <v>2</v>
      </c>
      <c r="J1441" t="inlineStr">
        <is>
          <t>Moda</t>
        </is>
      </c>
      <c r="K1441" t="n">
        <v>2</v>
      </c>
      <c r="L1441" t="n">
        <v>1.995</v>
      </c>
      <c r="M1441" t="n">
        <v>0</v>
      </c>
      <c r="N1441" t="inlineStr">
        <is>
          <t>train</t>
        </is>
      </c>
      <c r="O1441">
        <f>HYPERLINK("2\1\marker_671_957602.png", "Ver Imagen")</f>
        <v/>
      </c>
      <c r="P1441">
        <f>HYPERLINK("SE\A-5052\A-5052__95.png", "Ver Imagen")</f>
        <v/>
      </c>
    </row>
    <row r="1442">
      <c r="A1442" t="n">
        <v>881</v>
      </c>
      <c r="B1442" t="inlineStr">
        <is>
          <t>A-5052__95</t>
        </is>
      </c>
      <c r="C1442" t="n">
        <v>37.2168178049</v>
      </c>
      <c r="D1442" t="n">
        <v>-7.10220662143</v>
      </c>
      <c r="E1442" t="n">
        <v>1</v>
      </c>
      <c r="F1442" t="n">
        <v>2</v>
      </c>
      <c r="G1442" t="n">
        <v>2</v>
      </c>
      <c r="J1442" t="inlineStr">
        <is>
          <t>Moda</t>
        </is>
      </c>
      <c r="K1442" t="n">
        <v>2</v>
      </c>
      <c r="L1442" t="n">
        <v>2.217</v>
      </c>
      <c r="M1442" t="n">
        <v>0</v>
      </c>
      <c r="N1442" t="inlineStr">
        <is>
          <t>train</t>
        </is>
      </c>
      <c r="O1442">
        <f>HYPERLINK("2\1\marker_671_957602.png", "Ver Imagen")</f>
        <v/>
      </c>
      <c r="P1442">
        <f>HYPERLINK("SO\A-5052\A-5052__95.png", "Ver Imagen")</f>
        <v/>
      </c>
    </row>
    <row r="1443">
      <c r="A1443" t="n">
        <v>882</v>
      </c>
      <c r="B1443" t="inlineStr">
        <is>
          <t>A-5052__97</t>
        </is>
      </c>
      <c r="C1443" t="n">
        <v>37.2167792511</v>
      </c>
      <c r="D1443" t="n">
        <v>-7.10167917434</v>
      </c>
      <c r="E1443" t="n">
        <v>1</v>
      </c>
      <c r="F1443" t="n">
        <v>2</v>
      </c>
      <c r="G1443" t="n">
        <v>2</v>
      </c>
      <c r="J1443" t="inlineStr">
        <is>
          <t>Moda</t>
        </is>
      </c>
      <c r="K1443" t="n">
        <v>2</v>
      </c>
      <c r="L1443" t="n">
        <v>2.202</v>
      </c>
      <c r="M1443" t="n">
        <v>0</v>
      </c>
      <c r="N1443" t="inlineStr">
        <is>
          <t>train</t>
        </is>
      </c>
      <c r="O1443">
        <f>HYPERLINK("2\1\marker_425_957623.png", "Ver Imagen")</f>
        <v/>
      </c>
      <c r="P1443">
        <f>HYPERLINK("SE\A-5052\A-5052__97.png", "Ver Imagen")</f>
        <v/>
      </c>
    </row>
    <row r="1444">
      <c r="A1444" t="n">
        <v>882</v>
      </c>
      <c r="B1444" t="inlineStr">
        <is>
          <t>A-5052__97</t>
        </is>
      </c>
      <c r="C1444" t="n">
        <v>37.2167792511</v>
      </c>
      <c r="D1444" t="n">
        <v>-7.10167917434</v>
      </c>
      <c r="E1444" t="n">
        <v>1</v>
      </c>
      <c r="F1444" t="n">
        <v>2</v>
      </c>
      <c r="G1444" t="n">
        <v>2</v>
      </c>
      <c r="J1444" t="inlineStr">
        <is>
          <t>Moda</t>
        </is>
      </c>
      <c r="K1444" t="n">
        <v>2</v>
      </c>
      <c r="L1444" t="n">
        <v>2.27</v>
      </c>
      <c r="M1444" t="n">
        <v>0</v>
      </c>
      <c r="N1444" t="inlineStr">
        <is>
          <t>train</t>
        </is>
      </c>
      <c r="O1444">
        <f>HYPERLINK("2\1\marker_425_957623.png", "Ver Imagen")</f>
        <v/>
      </c>
      <c r="P1444">
        <f>HYPERLINK("SO\A-5052\A-5052__97.png", "Ver Imagen")</f>
        <v/>
      </c>
    </row>
    <row r="1445">
      <c r="A1445" t="n">
        <v>883</v>
      </c>
      <c r="B1445" t="inlineStr">
        <is>
          <t>A-5052__100</t>
        </is>
      </c>
      <c r="C1445" t="n">
        <v>37.216867725</v>
      </c>
      <c r="D1445" t="n">
        <v>-7.10093160687</v>
      </c>
      <c r="E1445" t="n">
        <v>1</v>
      </c>
      <c r="F1445" t="n">
        <v>2</v>
      </c>
      <c r="G1445" t="n">
        <v>2</v>
      </c>
      <c r="J1445" t="inlineStr">
        <is>
          <t>Moda</t>
        </is>
      </c>
      <c r="K1445" t="n">
        <v>2</v>
      </c>
      <c r="L1445" t="n">
        <v>2.14</v>
      </c>
      <c r="M1445" t="n">
        <v>0</v>
      </c>
      <c r="N1445" t="inlineStr">
        <is>
          <t>train</t>
        </is>
      </c>
      <c r="O1445">
        <f>HYPERLINK("2\1\marker_779_957670.png", "Ver Imagen")</f>
        <v/>
      </c>
      <c r="P1445">
        <f>HYPERLINK("SE\A-5052\A-5052__100.png", "Ver Imagen")</f>
        <v/>
      </c>
    </row>
    <row r="1446">
      <c r="A1446" t="n">
        <v>883</v>
      </c>
      <c r="B1446" t="inlineStr">
        <is>
          <t>A-5052__100</t>
        </is>
      </c>
      <c r="C1446" t="n">
        <v>37.216867725</v>
      </c>
      <c r="D1446" t="n">
        <v>-7.10093160687</v>
      </c>
      <c r="E1446" t="n">
        <v>1</v>
      </c>
      <c r="F1446" t="n">
        <v>2</v>
      </c>
      <c r="G1446" t="n">
        <v>2</v>
      </c>
      <c r="J1446" t="inlineStr">
        <is>
          <t>Moda</t>
        </is>
      </c>
      <c r="K1446" t="n">
        <v>2</v>
      </c>
      <c r="L1446" t="n">
        <v>2.039</v>
      </c>
      <c r="M1446" t="n">
        <v>0</v>
      </c>
      <c r="N1446" t="inlineStr">
        <is>
          <t>train</t>
        </is>
      </c>
      <c r="O1446">
        <f>HYPERLINK("2\1\marker_779_957670.png", "Ver Imagen")</f>
        <v/>
      </c>
      <c r="P1446">
        <f>HYPERLINK("SO\A-5052\A-5052__100.png", "Ver Imagen")</f>
        <v/>
      </c>
    </row>
    <row r="1447">
      <c r="A1447" t="n">
        <v>884</v>
      </c>
      <c r="B1447" t="inlineStr">
        <is>
          <t>A-5052__107</t>
        </is>
      </c>
      <c r="C1447" t="n">
        <v>37.2170052622</v>
      </c>
      <c r="D1447" t="n">
        <v>-7.09915709993</v>
      </c>
      <c r="E1447" t="n">
        <v>1</v>
      </c>
      <c r="F1447" t="n">
        <v>2</v>
      </c>
      <c r="G1447" t="n">
        <v>2</v>
      </c>
      <c r="J1447" t="inlineStr">
        <is>
          <t>Moda</t>
        </is>
      </c>
      <c r="K1447" t="n">
        <v>2</v>
      </c>
      <c r="L1447" t="n">
        <v>1.855</v>
      </c>
      <c r="M1447" t="n">
        <v>0</v>
      </c>
      <c r="N1447" t="inlineStr">
        <is>
          <t>train</t>
        </is>
      </c>
      <c r="O1447">
        <f>HYPERLINK("2\1\marker_231_957755.png", "Ver Imagen")</f>
        <v/>
      </c>
      <c r="P1447">
        <f>HYPERLINK("SE\A-5052\A-5052__107.png", "Ver Imagen")</f>
        <v/>
      </c>
    </row>
    <row r="1448">
      <c r="A1448" t="n">
        <v>884</v>
      </c>
      <c r="B1448" t="inlineStr">
        <is>
          <t>A-5052__107</t>
        </is>
      </c>
      <c r="C1448" t="n">
        <v>37.2170052622</v>
      </c>
      <c r="D1448" t="n">
        <v>-7.09915709993</v>
      </c>
      <c r="E1448" t="n">
        <v>1</v>
      </c>
      <c r="F1448" t="n">
        <v>2</v>
      </c>
      <c r="G1448" t="n">
        <v>2</v>
      </c>
      <c r="J1448" t="inlineStr">
        <is>
          <t>Moda</t>
        </is>
      </c>
      <c r="K1448" t="n">
        <v>2</v>
      </c>
      <c r="L1448" t="n">
        <v>1.99</v>
      </c>
      <c r="M1448" t="n">
        <v>0</v>
      </c>
      <c r="N1448" t="inlineStr">
        <is>
          <t>train</t>
        </is>
      </c>
      <c r="O1448">
        <f>HYPERLINK("2\1\marker_231_957755.png", "Ver Imagen")</f>
        <v/>
      </c>
      <c r="P1448">
        <f>HYPERLINK("SO\A-5052\A-5052__107.png", "Ver Imagen")</f>
        <v/>
      </c>
    </row>
    <row r="1449">
      <c r="A1449" t="n">
        <v>885</v>
      </c>
      <c r="B1449" t="inlineStr">
        <is>
          <t>A-5052__109</t>
        </is>
      </c>
      <c r="C1449" t="n">
        <v>37.216957081</v>
      </c>
      <c r="D1449" t="n">
        <v>-7.09867756113</v>
      </c>
      <c r="E1449" t="n">
        <v>1</v>
      </c>
      <c r="F1449" t="n">
        <v>2</v>
      </c>
      <c r="G1449" t="n">
        <v>2</v>
      </c>
      <c r="J1449" t="inlineStr">
        <is>
          <t>Moda</t>
        </is>
      </c>
      <c r="K1449" t="n">
        <v>2</v>
      </c>
      <c r="L1449" t="n">
        <v>1.547</v>
      </c>
      <c r="M1449" t="n">
        <v>0</v>
      </c>
      <c r="N1449" t="inlineStr">
        <is>
          <t>train</t>
        </is>
      </c>
      <c r="O1449">
        <f>HYPERLINK("2\1\marker_370_957777.png", "Ver Imagen")</f>
        <v/>
      </c>
      <c r="P1449">
        <f>HYPERLINK("SE\A-5052\A-5052__109.png", "Ver Imagen")</f>
        <v/>
      </c>
    </row>
    <row r="1450">
      <c r="A1450" t="n">
        <v>885</v>
      </c>
      <c r="B1450" t="inlineStr">
        <is>
          <t>A-5052__109</t>
        </is>
      </c>
      <c r="C1450" t="n">
        <v>37.216957081</v>
      </c>
      <c r="D1450" t="n">
        <v>-7.09867756113</v>
      </c>
      <c r="E1450" t="n">
        <v>1</v>
      </c>
      <c r="F1450" t="n">
        <v>2</v>
      </c>
      <c r="G1450" t="n">
        <v>2</v>
      </c>
      <c r="J1450" t="inlineStr">
        <is>
          <t>Moda</t>
        </is>
      </c>
      <c r="K1450" t="n">
        <v>2</v>
      </c>
      <c r="L1450" t="n">
        <v>1.615</v>
      </c>
      <c r="M1450" t="n">
        <v>0</v>
      </c>
      <c r="N1450" t="inlineStr">
        <is>
          <t>train</t>
        </is>
      </c>
      <c r="O1450">
        <f>HYPERLINK("2\1\marker_370_957777.png", "Ver Imagen")</f>
        <v/>
      </c>
      <c r="P1450">
        <f>HYPERLINK("SO\A-5052\A-5052__109.png", "Ver Imagen")</f>
        <v/>
      </c>
    </row>
    <row r="1451">
      <c r="A1451" t="n">
        <v>886</v>
      </c>
      <c r="B1451" t="inlineStr">
        <is>
          <t>A-5052__110</t>
        </is>
      </c>
      <c r="C1451" t="n">
        <v>37.2169285392</v>
      </c>
      <c r="D1451" t="n">
        <v>-7.09838588773</v>
      </c>
      <c r="E1451" t="n">
        <v>1</v>
      </c>
      <c r="F1451" t="n">
        <v>2</v>
      </c>
      <c r="G1451" t="n">
        <v>2</v>
      </c>
      <c r="J1451" t="inlineStr">
        <is>
          <t>Moda</t>
        </is>
      </c>
      <c r="K1451" t="n">
        <v>2</v>
      </c>
      <c r="L1451" t="n">
        <v>1.863</v>
      </c>
      <c r="M1451" t="n">
        <v>0</v>
      </c>
      <c r="N1451" t="inlineStr">
        <is>
          <t>val</t>
        </is>
      </c>
      <c r="O1451">
        <f>HYPERLINK("2\1\marker_509_957800.png", "Ver Imagen")</f>
        <v/>
      </c>
      <c r="P1451">
        <f>HYPERLINK("SE\A-5052\A-5052__110.png", "Ver Imagen")</f>
        <v/>
      </c>
    </row>
    <row r="1452">
      <c r="A1452" t="n">
        <v>886</v>
      </c>
      <c r="B1452" t="inlineStr">
        <is>
          <t>A-5052__110</t>
        </is>
      </c>
      <c r="C1452" t="n">
        <v>37.2169285392</v>
      </c>
      <c r="D1452" t="n">
        <v>-7.09838588773</v>
      </c>
      <c r="E1452" t="n">
        <v>1</v>
      </c>
      <c r="F1452" t="n">
        <v>2</v>
      </c>
      <c r="G1452" t="n">
        <v>2</v>
      </c>
      <c r="J1452" t="inlineStr">
        <is>
          <t>Moda</t>
        </is>
      </c>
      <c r="K1452" t="n">
        <v>2</v>
      </c>
      <c r="L1452" t="n">
        <v>1.564</v>
      </c>
      <c r="M1452" t="n">
        <v>0</v>
      </c>
      <c r="N1452" t="inlineStr">
        <is>
          <t>val</t>
        </is>
      </c>
      <c r="O1452">
        <f>HYPERLINK("2\1\marker_509_957800.png", "Ver Imagen")</f>
        <v/>
      </c>
      <c r="P1452">
        <f>HYPERLINK("SO\A-5052\A-5052__110.png", "Ver Imagen")</f>
        <v/>
      </c>
    </row>
    <row r="1453">
      <c r="A1453" t="n">
        <v>887</v>
      </c>
      <c r="B1453" t="inlineStr">
        <is>
          <t>A-5052__111</t>
        </is>
      </c>
      <c r="C1453" t="n">
        <v>37.2169035894</v>
      </c>
      <c r="D1453" t="n">
        <v>-7.09813687117</v>
      </c>
      <c r="E1453" t="n">
        <v>1</v>
      </c>
      <c r="F1453" t="n">
        <v>2</v>
      </c>
      <c r="G1453" t="n">
        <v>2</v>
      </c>
      <c r="J1453" t="inlineStr">
        <is>
          <t>Moda</t>
        </is>
      </c>
      <c r="K1453" t="n">
        <v>2</v>
      </c>
      <c r="L1453" t="n">
        <v>1.853</v>
      </c>
      <c r="M1453" t="n">
        <v>0</v>
      </c>
      <c r="N1453" t="inlineStr">
        <is>
          <t>train</t>
        </is>
      </c>
      <c r="O1453">
        <f>HYPERLINK("2\1\marker_515_957809.png", "Ver Imagen")</f>
        <v/>
      </c>
      <c r="P1453">
        <f>HYPERLINK("SE\A-5052\A-5052__111.png", "Ver Imagen")</f>
        <v/>
      </c>
    </row>
    <row r="1454">
      <c r="A1454" t="n">
        <v>887</v>
      </c>
      <c r="B1454" t="inlineStr">
        <is>
          <t>A-5052__111</t>
        </is>
      </c>
      <c r="C1454" t="n">
        <v>37.2169035894</v>
      </c>
      <c r="D1454" t="n">
        <v>-7.09813687117</v>
      </c>
      <c r="E1454" t="n">
        <v>1</v>
      </c>
      <c r="F1454" t="n">
        <v>2</v>
      </c>
      <c r="G1454" t="n">
        <v>2</v>
      </c>
      <c r="J1454" t="inlineStr">
        <is>
          <t>Moda</t>
        </is>
      </c>
      <c r="K1454" t="n">
        <v>2</v>
      </c>
      <c r="L1454" t="n">
        <v>1.866</v>
      </c>
      <c r="M1454" t="n">
        <v>0</v>
      </c>
      <c r="N1454" t="inlineStr">
        <is>
          <t>train</t>
        </is>
      </c>
      <c r="O1454">
        <f>HYPERLINK("2\1\marker_515_957809.png", "Ver Imagen")</f>
        <v/>
      </c>
      <c r="P1454">
        <f>HYPERLINK("SO\A-5052\A-5052__111.png", "Ver Imagen")</f>
        <v/>
      </c>
    </row>
    <row r="1455">
      <c r="A1455" t="n">
        <v>888</v>
      </c>
      <c r="B1455" t="inlineStr">
        <is>
          <t>A-5052__113</t>
        </is>
      </c>
      <c r="C1455" t="n">
        <v>37.2168533758</v>
      </c>
      <c r="D1455" t="n">
        <v>-7.09765857245</v>
      </c>
      <c r="E1455" t="n">
        <v>1</v>
      </c>
      <c r="F1455" t="n">
        <v>2</v>
      </c>
      <c r="G1455" t="n">
        <v>2</v>
      </c>
      <c r="J1455" t="inlineStr">
        <is>
          <t>Moda</t>
        </is>
      </c>
      <c r="K1455" t="n">
        <v>2</v>
      </c>
      <c r="L1455" t="n">
        <v>1.897</v>
      </c>
      <c r="M1455" t="n">
        <v>0</v>
      </c>
      <c r="N1455" t="inlineStr">
        <is>
          <t>train</t>
        </is>
      </c>
      <c r="O1455">
        <f>HYPERLINK("2\1\marker_938_957829.png", "Ver Imagen")</f>
        <v/>
      </c>
      <c r="P1455">
        <f>HYPERLINK("SE\A-5052\A-5052__113.png", "Ver Imagen")</f>
        <v/>
      </c>
    </row>
    <row r="1456">
      <c r="A1456" t="n">
        <v>888</v>
      </c>
      <c r="B1456" t="inlineStr">
        <is>
          <t>A-5052__113</t>
        </is>
      </c>
      <c r="C1456" t="n">
        <v>37.2168533758</v>
      </c>
      <c r="D1456" t="n">
        <v>-7.09765857245</v>
      </c>
      <c r="E1456" t="n">
        <v>1</v>
      </c>
      <c r="F1456" t="n">
        <v>2</v>
      </c>
      <c r="G1456" t="n">
        <v>2</v>
      </c>
      <c r="J1456" t="inlineStr">
        <is>
          <t>Moda</t>
        </is>
      </c>
      <c r="K1456" t="n">
        <v>2</v>
      </c>
      <c r="L1456" t="n">
        <v>1.823</v>
      </c>
      <c r="M1456" t="n">
        <v>0</v>
      </c>
      <c r="N1456" t="inlineStr">
        <is>
          <t>train</t>
        </is>
      </c>
      <c r="O1456">
        <f>HYPERLINK("2\1\marker_938_957829.png", "Ver Imagen")</f>
        <v/>
      </c>
      <c r="P1456">
        <f>HYPERLINK("SO\A-5052\A-5052__113.png", "Ver Imagen")</f>
        <v/>
      </c>
    </row>
    <row r="1457">
      <c r="A1457" t="n">
        <v>889</v>
      </c>
      <c r="B1457" t="inlineStr">
        <is>
          <t>A-5052__114</t>
        </is>
      </c>
      <c r="C1457" t="n">
        <v>37.2168256257</v>
      </c>
      <c r="D1457" t="n">
        <v>-7.09739327506</v>
      </c>
      <c r="E1457" t="n">
        <v>1</v>
      </c>
      <c r="F1457" t="n">
        <v>2</v>
      </c>
      <c r="G1457" t="n">
        <v>2</v>
      </c>
      <c r="J1457" t="inlineStr">
        <is>
          <t>Moda</t>
        </is>
      </c>
      <c r="K1457" t="n">
        <v>2</v>
      </c>
      <c r="L1457" t="n">
        <v>1.985</v>
      </c>
      <c r="M1457" t="n">
        <v>0</v>
      </c>
      <c r="N1457" t="inlineStr">
        <is>
          <t>train</t>
        </is>
      </c>
      <c r="O1457">
        <f>HYPERLINK("2\1\marker_668_957871.png", "Ver Imagen")</f>
        <v/>
      </c>
      <c r="P1457">
        <f>HYPERLINK("SE\A-5052\A-5052__114.png", "Ver Imagen")</f>
        <v/>
      </c>
    </row>
    <row r="1458">
      <c r="A1458" t="n">
        <v>889</v>
      </c>
      <c r="B1458" t="inlineStr">
        <is>
          <t>A-5052__114</t>
        </is>
      </c>
      <c r="C1458" t="n">
        <v>37.2168256257</v>
      </c>
      <c r="D1458" t="n">
        <v>-7.09739327506</v>
      </c>
      <c r="E1458" t="n">
        <v>1</v>
      </c>
      <c r="F1458" t="n">
        <v>2</v>
      </c>
      <c r="G1458" t="n">
        <v>2</v>
      </c>
      <c r="J1458" t="inlineStr">
        <is>
          <t>Moda</t>
        </is>
      </c>
      <c r="K1458" t="n">
        <v>2</v>
      </c>
      <c r="L1458" t="n">
        <v>1.526</v>
      </c>
      <c r="M1458" t="n">
        <v>0</v>
      </c>
      <c r="N1458" t="inlineStr">
        <is>
          <t>train</t>
        </is>
      </c>
      <c r="O1458">
        <f>HYPERLINK("2\1\marker_668_957871.png", "Ver Imagen")</f>
        <v/>
      </c>
      <c r="P1458">
        <f>HYPERLINK("SO\A-5052\A-5052__114.png", "Ver Imagen")</f>
        <v/>
      </c>
    </row>
    <row r="1459">
      <c r="A1459" t="n">
        <v>890</v>
      </c>
      <c r="B1459" t="inlineStr">
        <is>
          <t>A-5052__118</t>
        </is>
      </c>
      <c r="C1459" t="n">
        <v>37.2167342199</v>
      </c>
      <c r="D1459" t="n">
        <v>-7.09640576784</v>
      </c>
      <c r="E1459" t="n">
        <v>1</v>
      </c>
      <c r="F1459" t="n">
        <v>2</v>
      </c>
      <c r="G1459" t="n">
        <v>2</v>
      </c>
      <c r="J1459" t="inlineStr">
        <is>
          <t>Moda</t>
        </is>
      </c>
      <c r="K1459" t="n">
        <v>2</v>
      </c>
      <c r="L1459" t="n">
        <v>1.931</v>
      </c>
      <c r="M1459" t="n">
        <v>0</v>
      </c>
      <c r="N1459" t="inlineStr">
        <is>
          <t>test</t>
        </is>
      </c>
      <c r="O1459">
        <f>HYPERLINK("2\1\marker_410_957914.png", "Ver Imagen")</f>
        <v/>
      </c>
      <c r="P1459">
        <f>HYPERLINK("SE\A-5052\A-5052__118.png", "Ver Imagen")</f>
        <v/>
      </c>
    </row>
    <row r="1460">
      <c r="A1460" t="n">
        <v>890</v>
      </c>
      <c r="B1460" t="inlineStr">
        <is>
          <t>A-5052__118</t>
        </is>
      </c>
      <c r="C1460" t="n">
        <v>37.2167342199</v>
      </c>
      <c r="D1460" t="n">
        <v>-7.09640576784</v>
      </c>
      <c r="E1460" t="n">
        <v>1</v>
      </c>
      <c r="F1460" t="n">
        <v>2</v>
      </c>
      <c r="G1460" t="n">
        <v>2</v>
      </c>
      <c r="J1460" t="inlineStr">
        <is>
          <t>Moda</t>
        </is>
      </c>
      <c r="K1460" t="n">
        <v>2</v>
      </c>
      <c r="L1460" t="n">
        <v>1.717</v>
      </c>
      <c r="M1460" t="n">
        <v>0</v>
      </c>
      <c r="N1460" t="inlineStr">
        <is>
          <t>test</t>
        </is>
      </c>
      <c r="O1460">
        <f>HYPERLINK("2\1\marker_410_957914.png", "Ver Imagen")</f>
        <v/>
      </c>
      <c r="P1460">
        <f>HYPERLINK("SO\A-5052\A-5052__118.png", "Ver Imagen")</f>
        <v/>
      </c>
    </row>
    <row r="1461">
      <c r="A1461" t="n">
        <v>891</v>
      </c>
      <c r="B1461" t="inlineStr">
        <is>
          <t>A-5052__124</t>
        </is>
      </c>
      <c r="C1461" t="n">
        <v>37.2166172413</v>
      </c>
      <c r="D1461" t="n">
        <v>-7.09495394741</v>
      </c>
      <c r="E1461" t="n">
        <v>1</v>
      </c>
      <c r="F1461" t="n">
        <v>2</v>
      </c>
      <c r="G1461" t="n">
        <v>2</v>
      </c>
      <c r="J1461" t="inlineStr">
        <is>
          <t>Moda</t>
        </is>
      </c>
      <c r="K1461" t="n">
        <v>2</v>
      </c>
      <c r="L1461" t="n">
        <v>1.85</v>
      </c>
      <c r="M1461" t="n">
        <v>0</v>
      </c>
      <c r="N1461" t="inlineStr">
        <is>
          <t>train</t>
        </is>
      </c>
      <c r="O1461">
        <f>HYPERLINK("2\1\marker_449_957993.png", "Ver Imagen")</f>
        <v/>
      </c>
      <c r="P1461">
        <f>HYPERLINK("SE\A-5052\A-5052__124.png", "Ver Imagen")</f>
        <v/>
      </c>
    </row>
    <row r="1462">
      <c r="A1462" t="n">
        <v>891</v>
      </c>
      <c r="B1462" t="inlineStr">
        <is>
          <t>A-5052__124</t>
        </is>
      </c>
      <c r="C1462" t="n">
        <v>37.2166172413</v>
      </c>
      <c r="D1462" t="n">
        <v>-7.09495394741</v>
      </c>
      <c r="E1462" t="n">
        <v>1</v>
      </c>
      <c r="F1462" t="n">
        <v>2</v>
      </c>
      <c r="G1462" t="n">
        <v>2</v>
      </c>
      <c r="J1462" t="inlineStr">
        <is>
          <t>Moda</t>
        </is>
      </c>
      <c r="K1462" t="n">
        <v>2</v>
      </c>
      <c r="L1462" t="n">
        <v>1.823</v>
      </c>
      <c r="M1462" t="n">
        <v>0</v>
      </c>
      <c r="N1462" t="inlineStr">
        <is>
          <t>train</t>
        </is>
      </c>
      <c r="O1462">
        <f>HYPERLINK("2\1\marker_449_957993.png", "Ver Imagen")</f>
        <v/>
      </c>
      <c r="P1462">
        <f>HYPERLINK("SO\A-5052\A-5052__124.png", "Ver Imagen")</f>
        <v/>
      </c>
    </row>
    <row r="1463">
      <c r="A1463" t="n">
        <v>892</v>
      </c>
      <c r="B1463" t="inlineStr">
        <is>
          <t>A-5052__125</t>
        </is>
      </c>
      <c r="C1463" t="n">
        <v>37.2166219478</v>
      </c>
      <c r="D1463" t="n">
        <v>-7.09466708619</v>
      </c>
      <c r="E1463" t="n">
        <v>1</v>
      </c>
      <c r="F1463" t="n">
        <v>2</v>
      </c>
      <c r="G1463" t="n">
        <v>2</v>
      </c>
      <c r="J1463" t="inlineStr">
        <is>
          <t>Moda</t>
        </is>
      </c>
      <c r="K1463" t="n">
        <v>2</v>
      </c>
      <c r="L1463" t="n">
        <v>2.222</v>
      </c>
      <c r="M1463" t="n">
        <v>0</v>
      </c>
      <c r="N1463" t="inlineStr">
        <is>
          <t>val</t>
        </is>
      </c>
      <c r="O1463">
        <f>HYPERLINK("2\1\marker_354_958026.png", "Ver Imagen")</f>
        <v/>
      </c>
      <c r="P1463">
        <f>HYPERLINK("SE\A-5052\A-5052__125.png", "Ver Imagen")</f>
        <v/>
      </c>
    </row>
    <row r="1464">
      <c r="A1464" t="n">
        <v>892</v>
      </c>
      <c r="B1464" t="inlineStr">
        <is>
          <t>A-5052__125</t>
        </is>
      </c>
      <c r="C1464" t="n">
        <v>37.2166219478</v>
      </c>
      <c r="D1464" t="n">
        <v>-7.09466708619</v>
      </c>
      <c r="E1464" t="n">
        <v>1</v>
      </c>
      <c r="F1464" t="n">
        <v>2</v>
      </c>
      <c r="G1464" t="n">
        <v>2</v>
      </c>
      <c r="J1464" t="inlineStr">
        <is>
          <t>Moda</t>
        </is>
      </c>
      <c r="K1464" t="n">
        <v>2</v>
      </c>
      <c r="L1464" t="n">
        <v>2.259</v>
      </c>
      <c r="M1464" t="n">
        <v>0</v>
      </c>
      <c r="N1464" t="inlineStr">
        <is>
          <t>val</t>
        </is>
      </c>
      <c r="O1464">
        <f>HYPERLINK("2\1\marker_354_958026.png", "Ver Imagen")</f>
        <v/>
      </c>
      <c r="P1464">
        <f>HYPERLINK("SO\A-5052\A-5052__125.png", "Ver Imagen")</f>
        <v/>
      </c>
    </row>
    <row r="1465">
      <c r="A1465" t="n">
        <v>893</v>
      </c>
      <c r="B1465" t="inlineStr">
        <is>
          <t>A-5052__141</t>
        </is>
      </c>
      <c r="C1465" t="n">
        <v>37.2161809042</v>
      </c>
      <c r="D1465" t="n">
        <v>-7.09064243117</v>
      </c>
      <c r="E1465" t="n">
        <v>1</v>
      </c>
      <c r="F1465" t="n">
        <v>2</v>
      </c>
      <c r="G1465" t="n">
        <v>2</v>
      </c>
      <c r="J1465" t="inlineStr">
        <is>
          <t>Moda</t>
        </is>
      </c>
      <c r="K1465" t="n">
        <v>2</v>
      </c>
      <c r="L1465" t="n">
        <v>1.906</v>
      </c>
      <c r="M1465" t="n">
        <v>0</v>
      </c>
      <c r="N1465" t="inlineStr">
        <is>
          <t>val</t>
        </is>
      </c>
      <c r="O1465">
        <f>HYPERLINK("2\1\marker_317_958375.png", "Ver Imagen")</f>
        <v/>
      </c>
      <c r="P1465">
        <f>HYPERLINK("SE\A-5052\A-5052__141.png", "Ver Imagen")</f>
        <v/>
      </c>
    </row>
    <row r="1466">
      <c r="A1466" t="n">
        <v>894</v>
      </c>
      <c r="B1466" t="inlineStr">
        <is>
          <t>A-5052__142</t>
        </is>
      </c>
      <c r="C1466" t="n">
        <v>37.2161541693</v>
      </c>
      <c r="D1466" t="n">
        <v>-7.0904205776</v>
      </c>
      <c r="E1466" t="n">
        <v>1</v>
      </c>
      <c r="F1466" t="n">
        <v>2</v>
      </c>
      <c r="G1466" t="n">
        <v>2</v>
      </c>
      <c r="J1466" t="inlineStr">
        <is>
          <t>Moda</t>
        </is>
      </c>
      <c r="K1466" t="n">
        <v>2</v>
      </c>
      <c r="L1466" t="n">
        <v>1.975</v>
      </c>
      <c r="M1466" t="n">
        <v>0</v>
      </c>
      <c r="N1466" t="inlineStr">
        <is>
          <t>test</t>
        </is>
      </c>
      <c r="O1466">
        <f>HYPERLINK("2\1\marker_323_958387.png", "Ver Imagen")</f>
        <v/>
      </c>
      <c r="P1466">
        <f>HYPERLINK("SE\A-5052\A-5052__142.png", "Ver Imagen")</f>
        <v/>
      </c>
    </row>
    <row r="1467">
      <c r="A1467" t="n">
        <v>894</v>
      </c>
      <c r="B1467" t="inlineStr">
        <is>
          <t>A-5052__142</t>
        </is>
      </c>
      <c r="C1467" t="n">
        <v>37.2161541693</v>
      </c>
      <c r="D1467" t="n">
        <v>-7.0904205776</v>
      </c>
      <c r="E1467" t="n">
        <v>1</v>
      </c>
      <c r="F1467" t="n">
        <v>2</v>
      </c>
      <c r="G1467" t="n">
        <v>2</v>
      </c>
      <c r="J1467" t="inlineStr">
        <is>
          <t>Moda</t>
        </is>
      </c>
      <c r="K1467" t="n">
        <v>2</v>
      </c>
      <c r="L1467" t="n">
        <v>1.869</v>
      </c>
      <c r="M1467" t="n">
        <v>0</v>
      </c>
      <c r="N1467" t="inlineStr">
        <is>
          <t>test</t>
        </is>
      </c>
      <c r="O1467">
        <f>HYPERLINK("2\1\marker_323_958387.png", "Ver Imagen")</f>
        <v/>
      </c>
      <c r="P1467">
        <f>HYPERLINK("SO\A-5052\A-5052__142.png", "Ver Imagen")</f>
        <v/>
      </c>
    </row>
    <row r="1468">
      <c r="A1468" t="n">
        <v>895</v>
      </c>
      <c r="B1468" t="inlineStr">
        <is>
          <t>A-5052__146</t>
        </is>
      </c>
      <c r="C1468" t="n">
        <v>37.216064506</v>
      </c>
      <c r="D1468" t="n">
        <v>-7.08936308472</v>
      </c>
      <c r="E1468" t="n">
        <v>1</v>
      </c>
      <c r="F1468" t="n">
        <v>2</v>
      </c>
      <c r="G1468" t="n">
        <v>2</v>
      </c>
      <c r="J1468" t="inlineStr">
        <is>
          <t>Moda</t>
        </is>
      </c>
      <c r="K1468" t="n">
        <v>2</v>
      </c>
      <c r="L1468" t="n">
        <v>1.942</v>
      </c>
      <c r="M1468" t="n">
        <v>0</v>
      </c>
      <c r="N1468" t="inlineStr">
        <is>
          <t>val</t>
        </is>
      </c>
      <c r="O1468">
        <f>HYPERLINK("2\1\marker_233_958430.png", "Ver Imagen")</f>
        <v/>
      </c>
      <c r="P1468">
        <f>HYPERLINK("SE\A-5052\A-5052__146.png", "Ver Imagen")</f>
        <v/>
      </c>
    </row>
    <row r="1469">
      <c r="A1469" t="n">
        <v>895</v>
      </c>
      <c r="B1469" t="inlineStr">
        <is>
          <t>A-5052__146</t>
        </is>
      </c>
      <c r="C1469" t="n">
        <v>37.216064506</v>
      </c>
      <c r="D1469" t="n">
        <v>-7.08936308472</v>
      </c>
      <c r="E1469" t="n">
        <v>1</v>
      </c>
      <c r="F1469" t="n">
        <v>2</v>
      </c>
      <c r="G1469" t="n">
        <v>2</v>
      </c>
      <c r="J1469" t="inlineStr">
        <is>
          <t>Moda</t>
        </is>
      </c>
      <c r="K1469" t="n">
        <v>2</v>
      </c>
      <c r="L1469" t="n">
        <v>2.085</v>
      </c>
      <c r="M1469" t="n">
        <v>0</v>
      </c>
      <c r="N1469" t="inlineStr">
        <is>
          <t>val</t>
        </is>
      </c>
      <c r="O1469">
        <f>HYPERLINK("2\1\marker_233_958430.png", "Ver Imagen")</f>
        <v/>
      </c>
      <c r="P1469">
        <f>HYPERLINK("SO\A-5052\A-5052__146.png", "Ver Imagen")</f>
        <v/>
      </c>
    </row>
    <row r="1470">
      <c r="A1470" t="n">
        <v>896</v>
      </c>
      <c r="B1470" t="inlineStr">
        <is>
          <t>A-5052__147</t>
        </is>
      </c>
      <c r="C1470" t="n">
        <v>37.2160544316</v>
      </c>
      <c r="D1470" t="n">
        <v>-7.0891554661</v>
      </c>
      <c r="E1470" t="n">
        <v>1</v>
      </c>
      <c r="F1470" t="n">
        <v>2</v>
      </c>
      <c r="G1470" t="n">
        <v>2</v>
      </c>
      <c r="J1470" t="inlineStr">
        <is>
          <t>Moda</t>
        </is>
      </c>
      <c r="K1470" t="n">
        <v>2</v>
      </c>
      <c r="L1470" t="n">
        <v>1.927</v>
      </c>
      <c r="M1470" t="n">
        <v>0</v>
      </c>
      <c r="N1470" t="inlineStr">
        <is>
          <t>val</t>
        </is>
      </c>
      <c r="O1470">
        <f>HYPERLINK("2\1\marker_943_958446.png", "Ver Imagen")</f>
        <v/>
      </c>
      <c r="P1470">
        <f>HYPERLINK("SE\A-5052\A-5052__147.png", "Ver Imagen")</f>
        <v/>
      </c>
    </row>
    <row r="1471">
      <c r="A1471" t="n">
        <v>896</v>
      </c>
      <c r="B1471" t="inlineStr">
        <is>
          <t>A-5052__147</t>
        </is>
      </c>
      <c r="C1471" t="n">
        <v>37.2160544316</v>
      </c>
      <c r="D1471" t="n">
        <v>-7.0891554661</v>
      </c>
      <c r="E1471" t="n">
        <v>1</v>
      </c>
      <c r="F1471" t="n">
        <v>2</v>
      </c>
      <c r="G1471" t="n">
        <v>2</v>
      </c>
      <c r="J1471" t="inlineStr">
        <is>
          <t>Moda</t>
        </is>
      </c>
      <c r="K1471" t="n">
        <v>2</v>
      </c>
      <c r="L1471" t="n">
        <v>1.923</v>
      </c>
      <c r="M1471" t="n">
        <v>0</v>
      </c>
      <c r="N1471" t="inlineStr">
        <is>
          <t>val</t>
        </is>
      </c>
      <c r="O1471">
        <f>HYPERLINK("2\1\marker_943_958446.png", "Ver Imagen")</f>
        <v/>
      </c>
      <c r="P1471">
        <f>HYPERLINK("SO\A-5052\A-5052__147.png", "Ver Imagen")</f>
        <v/>
      </c>
    </row>
    <row r="1472">
      <c r="A1472" t="n">
        <v>897</v>
      </c>
      <c r="B1472" t="inlineStr">
        <is>
          <t>A-5052__149</t>
        </is>
      </c>
      <c r="C1472" t="n">
        <v>37.2160373159</v>
      </c>
      <c r="D1472" t="n">
        <v>-7.08868645656</v>
      </c>
      <c r="E1472" t="n">
        <v>1</v>
      </c>
      <c r="F1472" t="n">
        <v>2</v>
      </c>
      <c r="G1472" t="n">
        <v>2</v>
      </c>
      <c r="J1472" t="inlineStr">
        <is>
          <t>Moda</t>
        </is>
      </c>
      <c r="K1472" t="n">
        <v>2</v>
      </c>
      <c r="L1472" t="n">
        <v>1.92</v>
      </c>
      <c r="M1472" t="n">
        <v>0</v>
      </c>
      <c r="N1472" t="inlineStr">
        <is>
          <t>val</t>
        </is>
      </c>
      <c r="O1472">
        <f>HYPERLINK("2\1\marker_281_958519.png", "Ver Imagen")</f>
        <v/>
      </c>
      <c r="P1472">
        <f>HYPERLINK("SE\A-5052\A-5052__149.png", "Ver Imagen")</f>
        <v/>
      </c>
    </row>
    <row r="1473">
      <c r="A1473" t="n">
        <v>897</v>
      </c>
      <c r="B1473" t="inlineStr">
        <is>
          <t>A-5052__149</t>
        </is>
      </c>
      <c r="C1473" t="n">
        <v>37.2160373159</v>
      </c>
      <c r="D1473" t="n">
        <v>-7.08868645656</v>
      </c>
      <c r="E1473" t="n">
        <v>1</v>
      </c>
      <c r="F1473" t="n">
        <v>2</v>
      </c>
      <c r="G1473" t="n">
        <v>2</v>
      </c>
      <c r="J1473" t="inlineStr">
        <is>
          <t>Moda</t>
        </is>
      </c>
      <c r="K1473" t="n">
        <v>2</v>
      </c>
      <c r="L1473" t="n">
        <v>2.025</v>
      </c>
      <c r="M1473" t="n">
        <v>0</v>
      </c>
      <c r="N1473" t="inlineStr">
        <is>
          <t>val</t>
        </is>
      </c>
      <c r="O1473">
        <f>HYPERLINK("2\1\marker_281_958519.png", "Ver Imagen")</f>
        <v/>
      </c>
      <c r="P1473">
        <f>HYPERLINK("SO\A-5052\A-5052__149.png", "Ver Imagen")</f>
        <v/>
      </c>
    </row>
    <row r="1474">
      <c r="A1474" t="n">
        <v>898</v>
      </c>
      <c r="B1474" t="inlineStr">
        <is>
          <t>A-5052__150</t>
        </is>
      </c>
      <c r="C1474" t="n">
        <v>37.2160309895</v>
      </c>
      <c r="D1474" t="n">
        <v>-7.08838682558</v>
      </c>
      <c r="E1474" t="n">
        <v>1</v>
      </c>
      <c r="F1474" t="n">
        <v>2</v>
      </c>
      <c r="G1474" t="n">
        <v>2</v>
      </c>
      <c r="J1474" t="inlineStr">
        <is>
          <t>Moda</t>
        </is>
      </c>
      <c r="K1474" t="n">
        <v>2</v>
      </c>
      <c r="L1474" t="n">
        <v>1.882</v>
      </c>
      <c r="M1474" t="n">
        <v>0</v>
      </c>
      <c r="N1474" t="inlineStr">
        <is>
          <t>train</t>
        </is>
      </c>
      <c r="O1474">
        <f>HYPERLINK("2\1\marker_578_958534.png", "Ver Imagen")</f>
        <v/>
      </c>
      <c r="P1474">
        <f>HYPERLINK("SE\A-5052\A-5052__150.png", "Ver Imagen")</f>
        <v/>
      </c>
    </row>
    <row r="1475">
      <c r="A1475" t="n">
        <v>898</v>
      </c>
      <c r="B1475" t="inlineStr">
        <is>
          <t>A-5052__150</t>
        </is>
      </c>
      <c r="C1475" t="n">
        <v>37.2160309895</v>
      </c>
      <c r="D1475" t="n">
        <v>-7.08838682558</v>
      </c>
      <c r="E1475" t="n">
        <v>1</v>
      </c>
      <c r="F1475" t="n">
        <v>2</v>
      </c>
      <c r="G1475" t="n">
        <v>2</v>
      </c>
      <c r="J1475" t="inlineStr">
        <is>
          <t>Moda</t>
        </is>
      </c>
      <c r="K1475" t="n">
        <v>2</v>
      </c>
      <c r="L1475" t="n">
        <v>1.85</v>
      </c>
      <c r="M1475" t="n">
        <v>0</v>
      </c>
      <c r="N1475" t="inlineStr">
        <is>
          <t>train</t>
        </is>
      </c>
      <c r="O1475">
        <f>HYPERLINK("2\1\marker_578_958534.png", "Ver Imagen")</f>
        <v/>
      </c>
      <c r="P1475">
        <f>HYPERLINK("SO\A-5052\A-5052__150.png", "Ver Imagen")</f>
        <v/>
      </c>
    </row>
    <row r="1476">
      <c r="A1476" t="n">
        <v>899</v>
      </c>
      <c r="B1476" t="inlineStr">
        <is>
          <t>A-5052__151</t>
        </is>
      </c>
      <c r="C1476" t="n">
        <v>37.2160274398</v>
      </c>
      <c r="D1476" t="n">
        <v>-7.08810959432</v>
      </c>
      <c r="E1476" t="n">
        <v>1</v>
      </c>
      <c r="F1476" t="n">
        <v>2</v>
      </c>
      <c r="G1476" t="n">
        <v>2</v>
      </c>
      <c r="J1476" t="inlineStr">
        <is>
          <t>Moda</t>
        </is>
      </c>
      <c r="K1476" t="n">
        <v>2</v>
      </c>
      <c r="L1476" t="n">
        <v>1.88</v>
      </c>
      <c r="M1476" t="n">
        <v>0</v>
      </c>
      <c r="N1476" t="inlineStr">
        <is>
          <t>val</t>
        </is>
      </c>
      <c r="O1476">
        <f>HYPERLINK("2\1\marker_534_958545.png", "Ver Imagen")</f>
        <v/>
      </c>
      <c r="P1476">
        <f>HYPERLINK("SE\A-5052\A-5052__151.png", "Ver Imagen")</f>
        <v/>
      </c>
    </row>
    <row r="1477">
      <c r="A1477" t="n">
        <v>900</v>
      </c>
      <c r="B1477" t="inlineStr">
        <is>
          <t>A-5052__152</t>
        </is>
      </c>
      <c r="C1477" t="n">
        <v>37.2160241913</v>
      </c>
      <c r="D1477" t="n">
        <v>-7.08785406008</v>
      </c>
      <c r="E1477" t="n">
        <v>1</v>
      </c>
      <c r="F1477" t="n">
        <v>2</v>
      </c>
      <c r="G1477" t="n">
        <v>2</v>
      </c>
      <c r="J1477" t="inlineStr">
        <is>
          <t>Moda</t>
        </is>
      </c>
      <c r="K1477" t="n">
        <v>2</v>
      </c>
      <c r="L1477" t="n">
        <v>1.622</v>
      </c>
      <c r="M1477" t="n">
        <v>0</v>
      </c>
      <c r="N1477" t="inlineStr">
        <is>
          <t>train</t>
        </is>
      </c>
      <c r="O1477">
        <f>HYPERLINK("2\1\marker_311_958556.png", "Ver Imagen")</f>
        <v/>
      </c>
      <c r="P1477">
        <f>HYPERLINK("SE\A-5052\A-5052__152.png", "Ver Imagen")</f>
        <v/>
      </c>
    </row>
    <row r="1478">
      <c r="A1478" t="n">
        <v>900</v>
      </c>
      <c r="B1478" t="inlineStr">
        <is>
          <t>A-5052__152</t>
        </is>
      </c>
      <c r="C1478" t="n">
        <v>37.2160241913</v>
      </c>
      <c r="D1478" t="n">
        <v>-7.08785406008</v>
      </c>
      <c r="E1478" t="n">
        <v>1</v>
      </c>
      <c r="F1478" t="n">
        <v>2</v>
      </c>
      <c r="G1478" t="n">
        <v>2</v>
      </c>
      <c r="J1478" t="inlineStr">
        <is>
          <t>Moda</t>
        </is>
      </c>
      <c r="K1478" t="n">
        <v>2</v>
      </c>
      <c r="L1478" t="n">
        <v>1.675</v>
      </c>
      <c r="M1478" t="n">
        <v>0</v>
      </c>
      <c r="N1478" t="inlineStr">
        <is>
          <t>train</t>
        </is>
      </c>
      <c r="O1478">
        <f>HYPERLINK("2\1\marker_311_958556.png", "Ver Imagen")</f>
        <v/>
      </c>
      <c r="P1478">
        <f>HYPERLINK("SO\A-5052\A-5052__152.png", "Ver Imagen")</f>
        <v/>
      </c>
    </row>
    <row r="1479">
      <c r="A1479" t="n">
        <v>901</v>
      </c>
      <c r="B1479" t="inlineStr">
        <is>
          <t>A-5052__154</t>
        </is>
      </c>
      <c r="C1479" t="n">
        <v>37.2160196426</v>
      </c>
      <c r="D1479" t="n">
        <v>-7.08736413208</v>
      </c>
      <c r="E1479" t="n">
        <v>1</v>
      </c>
      <c r="F1479" t="n">
        <v>2</v>
      </c>
      <c r="G1479" t="n">
        <v>2</v>
      </c>
      <c r="J1479" t="inlineStr">
        <is>
          <t>Moda</t>
        </is>
      </c>
      <c r="K1479" t="n">
        <v>2</v>
      </c>
      <c r="L1479" t="n">
        <v>1.945</v>
      </c>
      <c r="M1479" t="n">
        <v>0</v>
      </c>
      <c r="N1479" t="inlineStr">
        <is>
          <t>train</t>
        </is>
      </c>
      <c r="O1479">
        <f>HYPERLINK("2\1\marker_934_958577.png", "Ver Imagen")</f>
        <v/>
      </c>
      <c r="P1479">
        <f>HYPERLINK("SE\A-5052\A-5052__154.png", "Ver Imagen")</f>
        <v/>
      </c>
    </row>
    <row r="1480">
      <c r="A1480" t="n">
        <v>901</v>
      </c>
      <c r="B1480" t="inlineStr">
        <is>
          <t>A-5052__154</t>
        </is>
      </c>
      <c r="C1480" t="n">
        <v>37.2160196426</v>
      </c>
      <c r="D1480" t="n">
        <v>-7.08736413208</v>
      </c>
      <c r="E1480" t="n">
        <v>1</v>
      </c>
      <c r="F1480" t="n">
        <v>2</v>
      </c>
      <c r="G1480" t="n">
        <v>2</v>
      </c>
      <c r="J1480" t="inlineStr">
        <is>
          <t>Moda</t>
        </is>
      </c>
      <c r="K1480" t="n">
        <v>2</v>
      </c>
      <c r="L1480" t="n">
        <v>2.153</v>
      </c>
      <c r="M1480" t="n">
        <v>0</v>
      </c>
      <c r="N1480" t="inlineStr">
        <is>
          <t>train</t>
        </is>
      </c>
      <c r="O1480">
        <f>HYPERLINK("2\1\marker_934_958577.png", "Ver Imagen")</f>
        <v/>
      </c>
      <c r="P1480">
        <f>HYPERLINK("SO\A-5052\A-5052__154.png", "Ver Imagen")</f>
        <v/>
      </c>
    </row>
    <row r="1481">
      <c r="A1481" t="n">
        <v>902</v>
      </c>
      <c r="B1481" t="inlineStr">
        <is>
          <t>A-5052__160</t>
        </is>
      </c>
      <c r="C1481" t="n">
        <v>37.2160786821</v>
      </c>
      <c r="D1481" t="n">
        <v>-7.08586686797</v>
      </c>
      <c r="E1481" t="n">
        <v>1</v>
      </c>
      <c r="F1481" t="n">
        <v>2</v>
      </c>
      <c r="G1481" t="n">
        <v>2</v>
      </c>
      <c r="J1481" t="inlineStr">
        <is>
          <t>Moda</t>
        </is>
      </c>
      <c r="K1481" t="n">
        <v>2</v>
      </c>
      <c r="L1481" t="n">
        <v>1.802</v>
      </c>
      <c r="M1481" t="n">
        <v>0</v>
      </c>
      <c r="N1481" t="inlineStr">
        <is>
          <t>train</t>
        </is>
      </c>
      <c r="O1481">
        <f>HYPERLINK("2\1\marker_619_958682.png", "Ver Imagen")</f>
        <v/>
      </c>
      <c r="P1481">
        <f>HYPERLINK("SE\A-5052\A-5052__160.png", "Ver Imagen")</f>
        <v/>
      </c>
    </row>
    <row r="1482">
      <c r="A1482" t="n">
        <v>903</v>
      </c>
      <c r="B1482" t="inlineStr">
        <is>
          <t>A-5052__161</t>
        </is>
      </c>
      <c r="C1482" t="n">
        <v>37.2161070167</v>
      </c>
      <c r="D1482" t="n">
        <v>-7.085646867</v>
      </c>
      <c r="E1482" t="n">
        <v>1</v>
      </c>
      <c r="F1482" t="n">
        <v>2</v>
      </c>
      <c r="G1482" t="n">
        <v>2</v>
      </c>
      <c r="J1482" t="inlineStr">
        <is>
          <t>Moda</t>
        </is>
      </c>
      <c r="K1482" t="n">
        <v>2</v>
      </c>
      <c r="L1482" t="n">
        <v>1.596</v>
      </c>
      <c r="M1482" t="n">
        <v>0</v>
      </c>
      <c r="N1482" t="inlineStr">
        <is>
          <t>train</t>
        </is>
      </c>
      <c r="O1482">
        <f>HYPERLINK("2\1\marker_627_958690.png", "Ver Imagen")</f>
        <v/>
      </c>
      <c r="P1482">
        <f>HYPERLINK("SE\A-5052\A-5052__161.png", "Ver Imagen")</f>
        <v/>
      </c>
    </row>
    <row r="1483">
      <c r="A1483" t="n">
        <v>903</v>
      </c>
      <c r="B1483" t="inlineStr">
        <is>
          <t>A-5052__161</t>
        </is>
      </c>
      <c r="C1483" t="n">
        <v>37.2161070167</v>
      </c>
      <c r="D1483" t="n">
        <v>-7.085646867</v>
      </c>
      <c r="E1483" t="n">
        <v>1</v>
      </c>
      <c r="F1483" t="n">
        <v>2</v>
      </c>
      <c r="G1483" t="n">
        <v>2</v>
      </c>
      <c r="J1483" t="inlineStr">
        <is>
          <t>Moda</t>
        </is>
      </c>
      <c r="K1483" t="n">
        <v>2</v>
      </c>
      <c r="L1483" t="n">
        <v>2.034</v>
      </c>
      <c r="M1483" t="n">
        <v>0</v>
      </c>
      <c r="N1483" t="inlineStr">
        <is>
          <t>train</t>
        </is>
      </c>
      <c r="O1483">
        <f>HYPERLINK("2\1\marker_627_958690.png", "Ver Imagen")</f>
        <v/>
      </c>
      <c r="P1483">
        <f>HYPERLINK("SO\A-5052\A-5052__161.png", "Ver Imagen")</f>
        <v/>
      </c>
    </row>
    <row r="1484">
      <c r="A1484" t="n">
        <v>904</v>
      </c>
      <c r="B1484" t="inlineStr">
        <is>
          <t>A-5052__164</t>
        </is>
      </c>
      <c r="C1484" t="n">
        <v>37.2162075372</v>
      </c>
      <c r="D1484" t="n">
        <v>-7.0848703439</v>
      </c>
      <c r="E1484" t="n">
        <v>1</v>
      </c>
      <c r="F1484" t="n">
        <v>2</v>
      </c>
      <c r="G1484" t="n">
        <v>2</v>
      </c>
      <c r="J1484" t="inlineStr">
        <is>
          <t>Moda</t>
        </is>
      </c>
      <c r="K1484" t="n">
        <v>2</v>
      </c>
      <c r="L1484" t="n">
        <v>2.38</v>
      </c>
      <c r="M1484" t="n">
        <v>0</v>
      </c>
      <c r="N1484" t="inlineStr">
        <is>
          <t>test</t>
        </is>
      </c>
      <c r="O1484">
        <f>HYPERLINK("2\1\marker_139_958738.png", "Ver Imagen")</f>
        <v/>
      </c>
      <c r="P1484">
        <f>HYPERLINK("SE\A-5052\A-5052__164.png", "Ver Imagen")</f>
        <v/>
      </c>
    </row>
    <row r="1485">
      <c r="A1485" t="n">
        <v>904</v>
      </c>
      <c r="B1485" t="inlineStr">
        <is>
          <t>A-5052__164</t>
        </is>
      </c>
      <c r="C1485" t="n">
        <v>37.2162075372</v>
      </c>
      <c r="D1485" t="n">
        <v>-7.0848703439</v>
      </c>
      <c r="E1485" t="n">
        <v>1</v>
      </c>
      <c r="F1485" t="n">
        <v>2</v>
      </c>
      <c r="G1485" t="n">
        <v>2</v>
      </c>
      <c r="J1485" t="inlineStr">
        <is>
          <t>Moda</t>
        </is>
      </c>
      <c r="K1485" t="n">
        <v>2</v>
      </c>
      <c r="L1485" t="n">
        <v>2.046</v>
      </c>
      <c r="M1485" t="n">
        <v>0</v>
      </c>
      <c r="N1485" t="inlineStr">
        <is>
          <t>test</t>
        </is>
      </c>
      <c r="O1485">
        <f>HYPERLINK("2\1\marker_139_958738.png", "Ver Imagen")</f>
        <v/>
      </c>
      <c r="P1485">
        <f>HYPERLINK("SO\A-5052\A-5052__164.png", "Ver Imagen")</f>
        <v/>
      </c>
    </row>
    <row r="1486">
      <c r="A1486" t="n">
        <v>905</v>
      </c>
      <c r="B1486" t="inlineStr">
        <is>
          <t>A-5052__165</t>
        </is>
      </c>
      <c r="C1486" t="n">
        <v>37.2162281627</v>
      </c>
      <c r="D1486" t="n">
        <v>-7.08460392718</v>
      </c>
      <c r="E1486" t="n">
        <v>1</v>
      </c>
      <c r="F1486" t="n">
        <v>2</v>
      </c>
      <c r="G1486" t="n">
        <v>2</v>
      </c>
      <c r="J1486" t="inlineStr">
        <is>
          <t>Moda</t>
        </is>
      </c>
      <c r="K1486" t="n">
        <v>2</v>
      </c>
      <c r="L1486" t="n">
        <v>1.931</v>
      </c>
      <c r="M1486" t="n">
        <v>0</v>
      </c>
      <c r="N1486" t="inlineStr">
        <is>
          <t>train</t>
        </is>
      </c>
      <c r="O1486">
        <f>HYPERLINK("2\1\marker_404_958748.png", "Ver Imagen")</f>
        <v/>
      </c>
      <c r="P1486">
        <f>HYPERLINK("SE\A-5052\A-5052__165.png", "Ver Imagen")</f>
        <v/>
      </c>
    </row>
    <row r="1487">
      <c r="A1487" t="n">
        <v>905</v>
      </c>
      <c r="B1487" t="inlineStr">
        <is>
          <t>A-5052__165</t>
        </is>
      </c>
      <c r="C1487" t="n">
        <v>37.2162281627</v>
      </c>
      <c r="D1487" t="n">
        <v>-7.08460392718</v>
      </c>
      <c r="E1487" t="n">
        <v>1</v>
      </c>
      <c r="F1487" t="n">
        <v>2</v>
      </c>
      <c r="G1487" t="n">
        <v>2</v>
      </c>
      <c r="J1487" t="inlineStr">
        <is>
          <t>Moda</t>
        </is>
      </c>
      <c r="K1487" t="n">
        <v>2</v>
      </c>
      <c r="L1487" t="n">
        <v>1.854</v>
      </c>
      <c r="M1487" t="n">
        <v>0</v>
      </c>
      <c r="N1487" t="inlineStr">
        <is>
          <t>train</t>
        </is>
      </c>
      <c r="O1487">
        <f>HYPERLINK("2\1\marker_404_958748.png", "Ver Imagen")</f>
        <v/>
      </c>
      <c r="P1487">
        <f>HYPERLINK("SO\A-5052\A-5052__165.png", "Ver Imagen")</f>
        <v/>
      </c>
    </row>
    <row r="1488">
      <c r="A1488" t="n">
        <v>906</v>
      </c>
      <c r="B1488" t="inlineStr">
        <is>
          <t>A-5052__175</t>
        </is>
      </c>
      <c r="C1488" t="n">
        <v>37.2157108039</v>
      </c>
      <c r="D1488" t="n">
        <v>-7.0821882566</v>
      </c>
      <c r="E1488" t="n">
        <v>1</v>
      </c>
      <c r="F1488" t="n">
        <v>2</v>
      </c>
      <c r="G1488" t="n">
        <v>2</v>
      </c>
      <c r="J1488" t="inlineStr">
        <is>
          <t>Moda</t>
        </is>
      </c>
      <c r="K1488" t="n">
        <v>2</v>
      </c>
      <c r="L1488" t="n">
        <v>2.356</v>
      </c>
      <c r="M1488" t="n">
        <v>0</v>
      </c>
      <c r="N1488" t="inlineStr">
        <is>
          <t>test</t>
        </is>
      </c>
      <c r="O1488">
        <f>HYPERLINK("2\1\marker_697_959014.png", "Ver Imagen")</f>
        <v/>
      </c>
      <c r="P1488">
        <f>HYPERLINK("SE\A-5052\A-5052__175.png", "Ver Imagen")</f>
        <v/>
      </c>
    </row>
    <row r="1489">
      <c r="A1489" t="n">
        <v>906</v>
      </c>
      <c r="B1489" t="inlineStr">
        <is>
          <t>A-5052__175</t>
        </is>
      </c>
      <c r="C1489" t="n">
        <v>37.2157108039</v>
      </c>
      <c r="D1489" t="n">
        <v>-7.0821882566</v>
      </c>
      <c r="E1489" t="n">
        <v>1</v>
      </c>
      <c r="F1489" t="n">
        <v>2</v>
      </c>
      <c r="G1489" t="n">
        <v>2</v>
      </c>
      <c r="J1489" t="inlineStr">
        <is>
          <t>Moda</t>
        </is>
      </c>
      <c r="K1489" t="n">
        <v>2</v>
      </c>
      <c r="L1489" t="n">
        <v>2.238</v>
      </c>
      <c r="M1489" t="n">
        <v>0</v>
      </c>
      <c r="N1489" t="inlineStr">
        <is>
          <t>test</t>
        </is>
      </c>
      <c r="O1489">
        <f>HYPERLINK("2\1\marker_697_959014.png", "Ver Imagen")</f>
        <v/>
      </c>
      <c r="P1489">
        <f>HYPERLINK("SO\A-5052\A-5052__175.png", "Ver Imagen")</f>
        <v/>
      </c>
    </row>
    <row r="1490">
      <c r="A1490" t="n">
        <v>907</v>
      </c>
      <c r="B1490" t="inlineStr">
        <is>
          <t>A-5052__189</t>
        </is>
      </c>
      <c r="C1490" t="n">
        <v>37.2148414234</v>
      </c>
      <c r="D1490" t="n">
        <v>-7.0788205615</v>
      </c>
      <c r="E1490" t="n">
        <v>1</v>
      </c>
      <c r="F1490" t="n">
        <v>2</v>
      </c>
      <c r="G1490" t="n">
        <v>2</v>
      </c>
      <c r="J1490" t="inlineStr">
        <is>
          <t>Moda</t>
        </is>
      </c>
      <c r="K1490" t="n">
        <v>2</v>
      </c>
      <c r="L1490" t="n">
        <v>1.897</v>
      </c>
      <c r="M1490" t="n">
        <v>0</v>
      </c>
      <c r="N1490" t="inlineStr">
        <is>
          <t>val</t>
        </is>
      </c>
      <c r="O1490">
        <f>HYPERLINK("2\1\marker_583_959298.png", "Ver Imagen")</f>
        <v/>
      </c>
      <c r="P1490">
        <f>HYPERLINK("SE\A-5052\A-5052__189.png", "Ver Imagen")</f>
        <v/>
      </c>
    </row>
    <row r="1491">
      <c r="A1491" t="n">
        <v>907</v>
      </c>
      <c r="B1491" t="inlineStr">
        <is>
          <t>A-5052__189</t>
        </is>
      </c>
      <c r="C1491" t="n">
        <v>37.2148414234</v>
      </c>
      <c r="D1491" t="n">
        <v>-7.0788205615</v>
      </c>
      <c r="E1491" t="n">
        <v>1</v>
      </c>
      <c r="F1491" t="n">
        <v>2</v>
      </c>
      <c r="G1491" t="n">
        <v>2</v>
      </c>
      <c r="J1491" t="inlineStr">
        <is>
          <t>Moda</t>
        </is>
      </c>
      <c r="K1491" t="n">
        <v>2</v>
      </c>
      <c r="L1491" t="n">
        <v>1.942</v>
      </c>
      <c r="M1491" t="n">
        <v>0</v>
      </c>
      <c r="N1491" t="inlineStr">
        <is>
          <t>val</t>
        </is>
      </c>
      <c r="O1491">
        <f>HYPERLINK("2\1\marker_583_959298.png", "Ver Imagen")</f>
        <v/>
      </c>
      <c r="P1491">
        <f>HYPERLINK("SO\A-5052\A-5052__189.png", "Ver Imagen")</f>
        <v/>
      </c>
    </row>
    <row r="1492">
      <c r="A1492" t="n">
        <v>908</v>
      </c>
      <c r="B1492" t="inlineStr">
        <is>
          <t>A-5052__190</t>
        </is>
      </c>
      <c r="C1492" t="n">
        <v>37.2147930914</v>
      </c>
      <c r="D1492" t="n">
        <v>-7.07857296763</v>
      </c>
      <c r="E1492" t="n">
        <v>1</v>
      </c>
      <c r="F1492" t="n">
        <v>2</v>
      </c>
      <c r="G1492" t="n">
        <v>2</v>
      </c>
      <c r="J1492" t="inlineStr">
        <is>
          <t>Moda</t>
        </is>
      </c>
      <c r="K1492" t="n">
        <v>2</v>
      </c>
      <c r="L1492" t="n">
        <v>2.079</v>
      </c>
      <c r="M1492" t="n">
        <v>0</v>
      </c>
      <c r="N1492" t="inlineStr">
        <is>
          <t>train</t>
        </is>
      </c>
      <c r="O1492">
        <f>HYPERLINK("2\1\marker_164_959308.png", "Ver Imagen")</f>
        <v/>
      </c>
      <c r="P1492">
        <f>HYPERLINK("SE\A-5052\A-5052__190.png", "Ver Imagen")</f>
        <v/>
      </c>
    </row>
    <row r="1493">
      <c r="A1493" t="n">
        <v>908</v>
      </c>
      <c r="B1493" t="inlineStr">
        <is>
          <t>A-5052__190</t>
        </is>
      </c>
      <c r="C1493" t="n">
        <v>37.2147930914</v>
      </c>
      <c r="D1493" t="n">
        <v>-7.07857296763</v>
      </c>
      <c r="E1493" t="n">
        <v>1</v>
      </c>
      <c r="F1493" t="n">
        <v>2</v>
      </c>
      <c r="G1493" t="n">
        <v>2</v>
      </c>
      <c r="J1493" t="inlineStr">
        <is>
          <t>Moda</t>
        </is>
      </c>
      <c r="K1493" t="n">
        <v>2</v>
      </c>
      <c r="L1493" t="n">
        <v>1.979</v>
      </c>
      <c r="M1493" t="n">
        <v>0</v>
      </c>
      <c r="N1493" t="inlineStr">
        <is>
          <t>train</t>
        </is>
      </c>
      <c r="O1493">
        <f>HYPERLINK("2\1\marker_164_959308.png", "Ver Imagen")</f>
        <v/>
      </c>
      <c r="P1493">
        <f>HYPERLINK("SO\A-5052\A-5052__190.png", "Ver Imagen")</f>
        <v/>
      </c>
    </row>
    <row r="1494">
      <c r="A1494" t="n">
        <v>909</v>
      </c>
      <c r="B1494" t="inlineStr">
        <is>
          <t>A-5052__192</t>
        </is>
      </c>
      <c r="C1494" t="n">
        <v>37.2146967</v>
      </c>
      <c r="D1494" t="n">
        <v>-7.07806799669</v>
      </c>
      <c r="E1494" t="n">
        <v>1</v>
      </c>
      <c r="F1494" t="n">
        <v>2</v>
      </c>
      <c r="G1494" t="n">
        <v>2</v>
      </c>
      <c r="J1494" t="inlineStr">
        <is>
          <t>Moda</t>
        </is>
      </c>
      <c r="K1494" t="n">
        <v>2</v>
      </c>
      <c r="L1494" t="n">
        <v>1.917</v>
      </c>
      <c r="M1494" t="n">
        <v>0</v>
      </c>
      <c r="N1494" t="inlineStr">
        <is>
          <t>test</t>
        </is>
      </c>
      <c r="O1494">
        <f>HYPERLINK("2\1\marker_140_959347.png", "Ver Imagen")</f>
        <v/>
      </c>
      <c r="P1494">
        <f>HYPERLINK("SE\A-5052\A-5052__192.png", "Ver Imagen")</f>
        <v/>
      </c>
    </row>
    <row r="1495">
      <c r="A1495" t="n">
        <v>909</v>
      </c>
      <c r="B1495" t="inlineStr">
        <is>
          <t>A-5052__192</t>
        </is>
      </c>
      <c r="C1495" t="n">
        <v>37.2146967</v>
      </c>
      <c r="D1495" t="n">
        <v>-7.07806799669</v>
      </c>
      <c r="E1495" t="n">
        <v>1</v>
      </c>
      <c r="F1495" t="n">
        <v>2</v>
      </c>
      <c r="G1495" t="n">
        <v>2</v>
      </c>
      <c r="J1495" t="inlineStr">
        <is>
          <t>Moda</t>
        </is>
      </c>
      <c r="K1495" t="n">
        <v>2</v>
      </c>
      <c r="L1495" t="n">
        <v>2.265</v>
      </c>
      <c r="M1495" t="n">
        <v>0</v>
      </c>
      <c r="N1495" t="inlineStr">
        <is>
          <t>test</t>
        </is>
      </c>
      <c r="O1495">
        <f>HYPERLINK("2\1\marker_140_959347.png", "Ver Imagen")</f>
        <v/>
      </c>
      <c r="P1495">
        <f>HYPERLINK("SO\A-5052\A-5052__192.png", "Ver Imagen")</f>
        <v/>
      </c>
    </row>
    <row r="1496">
      <c r="A1496" t="n">
        <v>910</v>
      </c>
      <c r="B1496" t="inlineStr">
        <is>
          <t>A-5052__205</t>
        </is>
      </c>
      <c r="C1496" t="n">
        <v>37.2140916819</v>
      </c>
      <c r="D1496" t="n">
        <v>-7.07487508108</v>
      </c>
      <c r="E1496" t="n">
        <v>1</v>
      </c>
      <c r="F1496" t="n">
        <v>2</v>
      </c>
      <c r="G1496" t="n">
        <v>2</v>
      </c>
      <c r="J1496" t="inlineStr">
        <is>
          <t>Moda</t>
        </is>
      </c>
      <c r="K1496" t="n">
        <v>2</v>
      </c>
      <c r="L1496" t="n">
        <v>1.917</v>
      </c>
      <c r="M1496" t="n">
        <v>0</v>
      </c>
      <c r="N1496" t="inlineStr">
        <is>
          <t>train</t>
        </is>
      </c>
      <c r="O1496">
        <f>HYPERLINK("2\1\marker_753_959520.png", "Ver Imagen")</f>
        <v/>
      </c>
      <c r="P1496">
        <f>HYPERLINK("SE\A-5052\A-5052__205.png", "Ver Imagen")</f>
        <v/>
      </c>
    </row>
    <row r="1497">
      <c r="A1497" t="n">
        <v>910</v>
      </c>
      <c r="B1497" t="inlineStr">
        <is>
          <t>A-5052__205</t>
        </is>
      </c>
      <c r="C1497" t="n">
        <v>37.2140916819</v>
      </c>
      <c r="D1497" t="n">
        <v>-7.07487508108</v>
      </c>
      <c r="E1497" t="n">
        <v>1</v>
      </c>
      <c r="F1497" t="n">
        <v>2</v>
      </c>
      <c r="G1497" t="n">
        <v>2</v>
      </c>
      <c r="J1497" t="inlineStr">
        <is>
          <t>Moda</t>
        </is>
      </c>
      <c r="K1497" t="n">
        <v>2</v>
      </c>
      <c r="L1497" t="n">
        <v>1.745</v>
      </c>
      <c r="M1497" t="n">
        <v>0</v>
      </c>
      <c r="N1497" t="inlineStr">
        <is>
          <t>train</t>
        </is>
      </c>
      <c r="O1497">
        <f>HYPERLINK("2\1\marker_753_959520.png", "Ver Imagen")</f>
        <v/>
      </c>
      <c r="P1497">
        <f>HYPERLINK("SO\A-5052\A-5052__205.png", "Ver Imagen")</f>
        <v/>
      </c>
    </row>
    <row r="1498">
      <c r="A1498" t="n">
        <v>911</v>
      </c>
      <c r="B1498" t="inlineStr">
        <is>
          <t>A-5052__206</t>
        </is>
      </c>
      <c r="C1498" t="n">
        <v>37.2140485028</v>
      </c>
      <c r="D1498" t="n">
        <v>-7.0746308482</v>
      </c>
      <c r="E1498" t="n">
        <v>1</v>
      </c>
      <c r="F1498" t="n">
        <v>2</v>
      </c>
      <c r="G1498" t="n">
        <v>2</v>
      </c>
      <c r="J1498" t="inlineStr">
        <is>
          <t>Moda</t>
        </is>
      </c>
      <c r="K1498" t="n">
        <v>2</v>
      </c>
      <c r="L1498" t="n">
        <v>1.959</v>
      </c>
      <c r="M1498" t="n">
        <v>0</v>
      </c>
      <c r="N1498" t="inlineStr">
        <is>
          <t>train</t>
        </is>
      </c>
      <c r="O1498">
        <f>HYPERLINK("2\1\marker_600_959530.png", "Ver Imagen")</f>
        <v/>
      </c>
      <c r="P1498">
        <f>HYPERLINK("SE\A-5052\A-5052__206.png", "Ver Imagen")</f>
        <v/>
      </c>
    </row>
    <row r="1499">
      <c r="A1499" t="n">
        <v>911</v>
      </c>
      <c r="B1499" t="inlineStr">
        <is>
          <t>A-5052__206</t>
        </is>
      </c>
      <c r="C1499" t="n">
        <v>37.2140485028</v>
      </c>
      <c r="D1499" t="n">
        <v>-7.0746308482</v>
      </c>
      <c r="E1499" t="n">
        <v>1</v>
      </c>
      <c r="F1499" t="n">
        <v>2</v>
      </c>
      <c r="G1499" t="n">
        <v>2</v>
      </c>
      <c r="J1499" t="inlineStr">
        <is>
          <t>Moda</t>
        </is>
      </c>
      <c r="K1499" t="n">
        <v>2</v>
      </c>
      <c r="L1499" t="n">
        <v>1.744</v>
      </c>
      <c r="M1499" t="n">
        <v>0</v>
      </c>
      <c r="N1499" t="inlineStr">
        <is>
          <t>train</t>
        </is>
      </c>
      <c r="O1499">
        <f>HYPERLINK("2\1\marker_600_959530.png", "Ver Imagen")</f>
        <v/>
      </c>
      <c r="P1499">
        <f>HYPERLINK("SO\A-5052\A-5052__206.png", "Ver Imagen")</f>
        <v/>
      </c>
    </row>
    <row r="1500">
      <c r="A1500" t="n">
        <v>912</v>
      </c>
      <c r="B1500" t="inlineStr">
        <is>
          <t>A-5052__209</t>
        </is>
      </c>
      <c r="C1500" t="n">
        <v>37.2139275661</v>
      </c>
      <c r="D1500" t="n">
        <v>-7.0739074421</v>
      </c>
      <c r="E1500" t="n">
        <v>1</v>
      </c>
      <c r="F1500" t="n">
        <v>2</v>
      </c>
      <c r="G1500" t="n">
        <v>2</v>
      </c>
      <c r="J1500" t="inlineStr">
        <is>
          <t>Moda</t>
        </is>
      </c>
      <c r="K1500" t="n">
        <v>2</v>
      </c>
      <c r="L1500" t="n">
        <v>1.555</v>
      </c>
      <c r="M1500" t="n">
        <v>0</v>
      </c>
      <c r="N1500" t="inlineStr">
        <is>
          <t>train</t>
        </is>
      </c>
      <c r="O1500">
        <f>HYPERLINK("2\1\marker_655_959580.png", "Ver Imagen")</f>
        <v/>
      </c>
      <c r="P1500">
        <f>HYPERLINK("SE\A-5052\A-5052__209.png", "Ver Imagen")</f>
        <v/>
      </c>
    </row>
    <row r="1501">
      <c r="A1501" t="n">
        <v>912</v>
      </c>
      <c r="B1501" t="inlineStr">
        <is>
          <t>A-5052__209</t>
        </is>
      </c>
      <c r="C1501" t="n">
        <v>37.2139275661</v>
      </c>
      <c r="D1501" t="n">
        <v>-7.0739074421</v>
      </c>
      <c r="E1501" t="n">
        <v>1</v>
      </c>
      <c r="F1501" t="n">
        <v>2</v>
      </c>
      <c r="G1501" t="n">
        <v>2</v>
      </c>
      <c r="J1501" t="inlineStr">
        <is>
          <t>Moda</t>
        </is>
      </c>
      <c r="K1501" t="n">
        <v>2</v>
      </c>
      <c r="L1501" t="n">
        <v>1.925</v>
      </c>
      <c r="M1501" t="n">
        <v>0</v>
      </c>
      <c r="N1501" t="inlineStr">
        <is>
          <t>train</t>
        </is>
      </c>
      <c r="O1501">
        <f>HYPERLINK("2\1\marker_655_959580.png", "Ver Imagen")</f>
        <v/>
      </c>
      <c r="P1501">
        <f>HYPERLINK("SO\A-5052\A-5052__209.png", "Ver Imagen")</f>
        <v/>
      </c>
    </row>
    <row r="1502">
      <c r="A1502" t="n">
        <v>913</v>
      </c>
      <c r="B1502" t="inlineStr">
        <is>
          <t>A-5052__210</t>
        </is>
      </c>
      <c r="C1502" t="n">
        <v>37.2138945541</v>
      </c>
      <c r="D1502" t="n">
        <v>-7.07366727148</v>
      </c>
      <c r="E1502" t="n">
        <v>1</v>
      </c>
      <c r="F1502" t="n">
        <v>2</v>
      </c>
      <c r="G1502" t="n">
        <v>2</v>
      </c>
      <c r="J1502" t="inlineStr">
        <is>
          <t>Moda</t>
        </is>
      </c>
      <c r="K1502" t="n">
        <v>2</v>
      </c>
      <c r="L1502" t="n">
        <v>2.05</v>
      </c>
      <c r="M1502" t="n">
        <v>0</v>
      </c>
      <c r="N1502" t="inlineStr">
        <is>
          <t>test</t>
        </is>
      </c>
      <c r="O1502">
        <f>HYPERLINK("2\1\marker_689_959594.png", "Ver Imagen")</f>
        <v/>
      </c>
      <c r="P1502">
        <f>HYPERLINK("SE\A-5052\A-5052__210.png", "Ver Imagen")</f>
        <v/>
      </c>
    </row>
    <row r="1503">
      <c r="A1503" t="n">
        <v>913</v>
      </c>
      <c r="B1503" t="inlineStr">
        <is>
          <t>A-5052__210</t>
        </is>
      </c>
      <c r="C1503" t="n">
        <v>37.2138945541</v>
      </c>
      <c r="D1503" t="n">
        <v>-7.07366727148</v>
      </c>
      <c r="E1503" t="n">
        <v>1</v>
      </c>
      <c r="F1503" t="n">
        <v>2</v>
      </c>
      <c r="G1503" t="n">
        <v>2</v>
      </c>
      <c r="J1503" t="inlineStr">
        <is>
          <t>Moda</t>
        </is>
      </c>
      <c r="K1503" t="n">
        <v>2</v>
      </c>
      <c r="L1503" t="n">
        <v>1.999</v>
      </c>
      <c r="M1503" t="n">
        <v>0</v>
      </c>
      <c r="N1503" t="inlineStr">
        <is>
          <t>test</t>
        </is>
      </c>
      <c r="O1503">
        <f>HYPERLINK("2\1\marker_689_959594.png", "Ver Imagen")</f>
        <v/>
      </c>
      <c r="P1503">
        <f>HYPERLINK("SO\A-5052\A-5052__210.png", "Ver Imagen")</f>
        <v/>
      </c>
    </row>
    <row r="1504">
      <c r="A1504" t="n">
        <v>914</v>
      </c>
      <c r="B1504" t="inlineStr">
        <is>
          <t>A-5052__211</t>
        </is>
      </c>
      <c r="C1504" t="n">
        <v>37.2138578932</v>
      </c>
      <c r="D1504" t="n">
        <v>-7.07337853301</v>
      </c>
      <c r="E1504" t="n">
        <v>1</v>
      </c>
      <c r="F1504" t="n">
        <v>2</v>
      </c>
      <c r="G1504" t="n">
        <v>2</v>
      </c>
      <c r="J1504" t="inlineStr">
        <is>
          <t>Moda</t>
        </is>
      </c>
      <c r="K1504" t="n">
        <v>2</v>
      </c>
      <c r="L1504" t="n">
        <v>2.438</v>
      </c>
      <c r="M1504" t="n">
        <v>0</v>
      </c>
      <c r="N1504" t="inlineStr">
        <is>
          <t>train</t>
        </is>
      </c>
      <c r="O1504">
        <f>HYPERLINK("2\1\marker_654_959603.png", "Ver Imagen")</f>
        <v/>
      </c>
      <c r="P1504">
        <f>HYPERLINK("SE\A-5052\A-5052__211.png", "Ver Imagen")</f>
        <v/>
      </c>
    </row>
    <row r="1505">
      <c r="A1505" t="n">
        <v>914</v>
      </c>
      <c r="B1505" t="inlineStr">
        <is>
          <t>A-5052__211</t>
        </is>
      </c>
      <c r="C1505" t="n">
        <v>37.2138578932</v>
      </c>
      <c r="D1505" t="n">
        <v>-7.07337853301</v>
      </c>
      <c r="E1505" t="n">
        <v>1</v>
      </c>
      <c r="F1505" t="n">
        <v>2</v>
      </c>
      <c r="G1505" t="n">
        <v>2</v>
      </c>
      <c r="J1505" t="inlineStr">
        <is>
          <t>Moda</t>
        </is>
      </c>
      <c r="K1505" t="n">
        <v>2</v>
      </c>
      <c r="L1505" t="n">
        <v>2.304</v>
      </c>
      <c r="M1505" t="n">
        <v>0</v>
      </c>
      <c r="N1505" t="inlineStr">
        <is>
          <t>train</t>
        </is>
      </c>
      <c r="O1505">
        <f>HYPERLINK("2\1\marker_654_959603.png", "Ver Imagen")</f>
        <v/>
      </c>
      <c r="P1505">
        <f>HYPERLINK("SO\A-5052\A-5052__211.png", "Ver Imagen")</f>
        <v/>
      </c>
    </row>
    <row r="1506">
      <c r="A1506" t="n">
        <v>915</v>
      </c>
      <c r="B1506" t="inlineStr">
        <is>
          <t>A-5052__219</t>
        </is>
      </c>
      <c r="C1506" t="n">
        <v>37.2136392219</v>
      </c>
      <c r="D1506" t="n">
        <v>-7.07136741876</v>
      </c>
      <c r="E1506" t="n">
        <v>1</v>
      </c>
      <c r="F1506" t="n">
        <v>2</v>
      </c>
      <c r="G1506" t="n">
        <v>2</v>
      </c>
      <c r="J1506" t="inlineStr">
        <is>
          <t>Moda</t>
        </is>
      </c>
      <c r="K1506" t="n">
        <v>2</v>
      </c>
      <c r="L1506" t="n">
        <v>1.739</v>
      </c>
      <c r="M1506" t="n">
        <v>0</v>
      </c>
      <c r="N1506" t="inlineStr">
        <is>
          <t>train</t>
        </is>
      </c>
      <c r="O1506">
        <f>HYPERLINK("2\1\marker_827_959711.png", "Ver Imagen")</f>
        <v/>
      </c>
      <c r="P1506">
        <f>HYPERLINK("SE\A-5052\A-5052__219.png", "Ver Imagen")</f>
        <v/>
      </c>
    </row>
    <row r="1507">
      <c r="A1507" t="n">
        <v>916</v>
      </c>
      <c r="B1507" t="inlineStr">
        <is>
          <t>A-5052__221</t>
        </is>
      </c>
      <c r="C1507" t="n">
        <v>37.2135835604</v>
      </c>
      <c r="D1507" t="n">
        <v>-7.07085437914</v>
      </c>
      <c r="E1507" t="n">
        <v>1</v>
      </c>
      <c r="F1507" t="n">
        <v>2</v>
      </c>
      <c r="G1507" t="n">
        <v>2</v>
      </c>
      <c r="J1507" t="inlineStr">
        <is>
          <t>Moda</t>
        </is>
      </c>
      <c r="K1507" t="n">
        <v>2</v>
      </c>
      <c r="L1507" t="n">
        <v>1.762</v>
      </c>
      <c r="M1507" t="n">
        <v>0</v>
      </c>
      <c r="N1507" t="inlineStr">
        <is>
          <t>train</t>
        </is>
      </c>
      <c r="O1507">
        <f>HYPERLINK("2\1\marker_701_959730.png", "Ver Imagen")</f>
        <v/>
      </c>
      <c r="P1507">
        <f>HYPERLINK("SE\A-5052\A-5052__221.png", "Ver Imagen")</f>
        <v/>
      </c>
    </row>
    <row r="1508">
      <c r="A1508" t="n">
        <v>917</v>
      </c>
      <c r="B1508" t="inlineStr">
        <is>
          <t>A-5052__227</t>
        </is>
      </c>
      <c r="C1508" t="n">
        <v>37.2134670554</v>
      </c>
      <c r="D1508" t="n">
        <v>-7.06939310595</v>
      </c>
      <c r="E1508" t="n">
        <v>1</v>
      </c>
      <c r="F1508" t="n">
        <v>2</v>
      </c>
      <c r="G1508" t="n">
        <v>2</v>
      </c>
      <c r="J1508" t="inlineStr">
        <is>
          <t>Moda</t>
        </is>
      </c>
      <c r="K1508" t="n">
        <v>2</v>
      </c>
      <c r="L1508" t="n">
        <v>1.885</v>
      </c>
      <c r="M1508" t="n">
        <v>0</v>
      </c>
      <c r="N1508" t="inlineStr">
        <is>
          <t>train</t>
        </is>
      </c>
      <c r="O1508">
        <f>HYPERLINK("2\1\marker_294_959789.png", "Ver Imagen")</f>
        <v/>
      </c>
      <c r="P1508">
        <f>HYPERLINK("SE\A-5052\A-5052__227.png", "Ver Imagen")</f>
        <v/>
      </c>
    </row>
    <row r="1509">
      <c r="A1509" t="n">
        <v>918</v>
      </c>
      <c r="B1509" t="inlineStr">
        <is>
          <t>A-5052__229</t>
        </is>
      </c>
      <c r="C1509" t="n">
        <v>37.2134461596</v>
      </c>
      <c r="D1509" t="n">
        <v>-7.06882569413</v>
      </c>
      <c r="E1509" t="n">
        <v>1</v>
      </c>
      <c r="F1509" t="n">
        <v>2</v>
      </c>
      <c r="G1509" t="n">
        <v>2</v>
      </c>
      <c r="J1509" t="inlineStr">
        <is>
          <t>Moda</t>
        </is>
      </c>
      <c r="K1509" t="n">
        <v>2</v>
      </c>
      <c r="L1509" t="n">
        <v>1.867</v>
      </c>
      <c r="M1509" t="n">
        <v>0</v>
      </c>
      <c r="N1509" t="inlineStr">
        <is>
          <t>test</t>
        </is>
      </c>
      <c r="O1509">
        <f>HYPERLINK("2\1\marker_486_959809.png", "Ver Imagen")</f>
        <v/>
      </c>
      <c r="P1509">
        <f>HYPERLINK("SE\A-5052\A-5052__229.png", "Ver Imagen")</f>
        <v/>
      </c>
    </row>
    <row r="1510">
      <c r="A1510" t="n">
        <v>919</v>
      </c>
      <c r="B1510" t="inlineStr">
        <is>
          <t>A-5052__230</t>
        </is>
      </c>
      <c r="C1510" t="n">
        <v>37.2134366893</v>
      </c>
      <c r="D1510" t="n">
        <v>-7.06858006998</v>
      </c>
      <c r="E1510" t="n">
        <v>1</v>
      </c>
      <c r="F1510" t="n">
        <v>2</v>
      </c>
      <c r="G1510" t="n">
        <v>2</v>
      </c>
      <c r="J1510" t="inlineStr">
        <is>
          <t>Moda</t>
        </is>
      </c>
      <c r="K1510" t="n">
        <v>2</v>
      </c>
      <c r="L1510" t="n">
        <v>2.273</v>
      </c>
      <c r="M1510" t="n">
        <v>0</v>
      </c>
      <c r="N1510" t="inlineStr">
        <is>
          <t>test</t>
        </is>
      </c>
      <c r="O1510">
        <f>HYPERLINK("2\1\marker_810_959819.png", "Ver Imagen")</f>
        <v/>
      </c>
      <c r="P1510">
        <f>HYPERLINK("SE\A-5052\A-5052__230.png", "Ver Imagen")</f>
        <v/>
      </c>
    </row>
    <row r="1511">
      <c r="A1511" t="n">
        <v>920</v>
      </c>
      <c r="B1511" t="inlineStr">
        <is>
          <t>A-5052__232</t>
        </is>
      </c>
      <c r="C1511" t="n">
        <v>37.2134155886</v>
      </c>
      <c r="D1511" t="n">
        <v>-7.06813164093</v>
      </c>
      <c r="E1511" t="n">
        <v>1</v>
      </c>
      <c r="F1511" t="n">
        <v>2</v>
      </c>
      <c r="G1511" t="n">
        <v>2</v>
      </c>
      <c r="J1511" t="inlineStr">
        <is>
          <t>Moda</t>
        </is>
      </c>
      <c r="K1511" t="n">
        <v>2</v>
      </c>
      <c r="L1511" t="n">
        <v>1.951</v>
      </c>
      <c r="M1511" t="n">
        <v>0</v>
      </c>
      <c r="N1511" t="inlineStr">
        <is>
          <t>train</t>
        </is>
      </c>
      <c r="O1511">
        <f>HYPERLINK("2\1\marker_470_959855.png", "Ver Imagen")</f>
        <v/>
      </c>
      <c r="P1511">
        <f>HYPERLINK("SE\A-5052\A-5052__232.png", "Ver Imagen")</f>
        <v/>
      </c>
    </row>
    <row r="1512">
      <c r="A1512" t="n">
        <v>921</v>
      </c>
      <c r="B1512" t="inlineStr">
        <is>
          <t>A-5052__234</t>
        </is>
      </c>
      <c r="C1512" t="n">
        <v>37.2133880079</v>
      </c>
      <c r="D1512" t="n">
        <v>-7.06759200945</v>
      </c>
      <c r="E1512" t="n">
        <v>1</v>
      </c>
      <c r="F1512" t="n">
        <v>2</v>
      </c>
      <c r="G1512" t="n">
        <v>2</v>
      </c>
      <c r="J1512" t="inlineStr">
        <is>
          <t>Moda</t>
        </is>
      </c>
      <c r="K1512" t="n">
        <v>2</v>
      </c>
      <c r="L1512" t="n">
        <v>1.744</v>
      </c>
      <c r="M1512" t="n">
        <v>0</v>
      </c>
      <c r="N1512" t="inlineStr">
        <is>
          <t>train</t>
        </is>
      </c>
      <c r="O1512">
        <f>HYPERLINK("2\1\marker_146_959872.png", "Ver Imagen")</f>
        <v/>
      </c>
      <c r="P1512">
        <f>HYPERLINK("SE\A-5052\A-5052__234.png", "Ver Imagen")</f>
        <v/>
      </c>
    </row>
    <row r="1513">
      <c r="A1513" t="n">
        <v>922</v>
      </c>
      <c r="B1513" t="inlineStr">
        <is>
          <t>A-5052__242</t>
        </is>
      </c>
      <c r="C1513" t="n">
        <v>37.2133117964</v>
      </c>
      <c r="D1513" t="n">
        <v>-7.06560185228</v>
      </c>
      <c r="E1513" t="n">
        <v>1</v>
      </c>
      <c r="F1513" t="n">
        <v>2</v>
      </c>
      <c r="G1513" t="n">
        <v>2</v>
      </c>
      <c r="J1513" t="inlineStr">
        <is>
          <t>Moda</t>
        </is>
      </c>
      <c r="K1513" t="n">
        <v>2</v>
      </c>
      <c r="L1513" t="n">
        <v>1.758</v>
      </c>
      <c r="M1513" t="n">
        <v>0</v>
      </c>
      <c r="N1513" t="inlineStr">
        <is>
          <t>train</t>
        </is>
      </c>
      <c r="O1513">
        <f>HYPERLINK("2\1\marker_914_959975.png", "Ver Imagen")</f>
        <v/>
      </c>
      <c r="P1513">
        <f>HYPERLINK("SE\A-5052\A-5052__242.png", "Ver Imagen")</f>
        <v/>
      </c>
    </row>
    <row r="1514">
      <c r="A1514" t="n">
        <v>923</v>
      </c>
      <c r="B1514" t="inlineStr">
        <is>
          <t>A-5052__269</t>
        </is>
      </c>
      <c r="C1514" t="n">
        <v>37.2120423</v>
      </c>
      <c r="D1514" t="n">
        <v>-7.05915699095</v>
      </c>
      <c r="E1514" t="n">
        <v>1</v>
      </c>
      <c r="F1514" t="n">
        <v>2</v>
      </c>
      <c r="G1514" t="n">
        <v>2</v>
      </c>
      <c r="J1514" t="inlineStr">
        <is>
          <t>Moda</t>
        </is>
      </c>
      <c r="K1514" t="n">
        <v>2</v>
      </c>
      <c r="L1514" t="n">
        <v>2.033</v>
      </c>
      <c r="M1514" t="n">
        <v>0</v>
      </c>
      <c r="N1514" t="inlineStr">
        <is>
          <t>train</t>
        </is>
      </c>
      <c r="O1514">
        <f>HYPERLINK("2\1\marker_307_960304.png", "Ver Imagen")</f>
        <v/>
      </c>
      <c r="P1514">
        <f>HYPERLINK("SE\A-5052\A-5052__269.png", "Ver Imagen")</f>
        <v/>
      </c>
    </row>
    <row r="1515">
      <c r="A1515" t="n">
        <v>924</v>
      </c>
      <c r="B1515" t="inlineStr">
        <is>
          <t>A-5052__342</t>
        </is>
      </c>
      <c r="C1515" t="n">
        <v>37.2099429291</v>
      </c>
      <c r="D1515" t="n">
        <v>-7.04157989077</v>
      </c>
      <c r="E1515" t="n">
        <v>2</v>
      </c>
      <c r="F1515" t="n">
        <v>2</v>
      </c>
      <c r="G1515" t="n">
        <v>1</v>
      </c>
      <c r="J1515" t="inlineStr">
        <is>
          <t>Moda</t>
        </is>
      </c>
      <c r="K1515" t="n">
        <v>2</v>
      </c>
      <c r="L1515" t="n">
        <v>2.112</v>
      </c>
      <c r="M1515" t="n">
        <v>0</v>
      </c>
      <c r="N1515" t="inlineStr">
        <is>
          <t>train</t>
        </is>
      </c>
      <c r="O1515">
        <f>HYPERLINK("2\1\marker_712_961647.png", "Ver Imagen")</f>
        <v/>
      </c>
      <c r="P1515">
        <f>HYPERLINK("SE\A-5052\A-5052__342.png", "Ver Imagen")</f>
        <v/>
      </c>
    </row>
    <row r="1516">
      <c r="A1516" t="n">
        <v>925</v>
      </c>
      <c r="B1516" t="inlineStr">
        <is>
          <t>A-5052__346</t>
        </is>
      </c>
      <c r="C1516" t="n">
        <v>37.2095746321</v>
      </c>
      <c r="D1516" t="n">
        <v>-7.04060907194</v>
      </c>
      <c r="E1516" t="n">
        <v>2</v>
      </c>
      <c r="F1516" t="n">
        <v>2</v>
      </c>
      <c r="G1516" t="n">
        <v>1</v>
      </c>
      <c r="J1516" t="inlineStr">
        <is>
          <t>Moda</t>
        </is>
      </c>
      <c r="K1516" t="n">
        <v>2</v>
      </c>
      <c r="L1516" t="n">
        <v>2.172</v>
      </c>
      <c r="M1516" t="n">
        <v>0</v>
      </c>
      <c r="N1516" t="inlineStr">
        <is>
          <t>train</t>
        </is>
      </c>
      <c r="O1516">
        <f>HYPERLINK("2\1\marker_466_961693.png", "Ver Imagen")</f>
        <v/>
      </c>
      <c r="P1516">
        <f>HYPERLINK("SE\A-5052\A-5052__346.png", "Ver Imagen")</f>
        <v/>
      </c>
    </row>
    <row r="1517">
      <c r="A1517" t="n">
        <v>926</v>
      </c>
      <c r="B1517" t="inlineStr">
        <is>
          <t>A-5052__413</t>
        </is>
      </c>
      <c r="C1517" t="n">
        <v>37.2037353389</v>
      </c>
      <c r="D1517" t="n">
        <v>-7.02541182972</v>
      </c>
      <c r="E1517" t="n">
        <v>1</v>
      </c>
      <c r="F1517" t="n">
        <v>2</v>
      </c>
      <c r="G1517" t="n">
        <v>2</v>
      </c>
      <c r="J1517" t="inlineStr">
        <is>
          <t>Moda</t>
        </is>
      </c>
      <c r="K1517" t="n">
        <v>2</v>
      </c>
      <c r="L1517" t="n">
        <v>2.081</v>
      </c>
      <c r="M1517" t="n">
        <v>0</v>
      </c>
      <c r="N1517" t="inlineStr">
        <is>
          <t>train</t>
        </is>
      </c>
      <c r="O1517">
        <f>HYPERLINK("2\1\marker_117_962802.png", "Ver Imagen")</f>
        <v/>
      </c>
      <c r="P1517">
        <f>HYPERLINK("SE\A-5052\A-5052__413.png", "Ver Imagen")</f>
        <v/>
      </c>
    </row>
    <row r="1518">
      <c r="A1518" t="n">
        <v>927</v>
      </c>
      <c r="B1518" t="inlineStr">
        <is>
          <t>A-5052__414</t>
        </is>
      </c>
      <c r="C1518" t="n">
        <v>37.2036332856</v>
      </c>
      <c r="D1518" t="n">
        <v>-7.02514779992</v>
      </c>
      <c r="E1518" t="n">
        <v>1</v>
      </c>
      <c r="F1518" t="n">
        <v>2</v>
      </c>
      <c r="G1518" t="n">
        <v>2</v>
      </c>
      <c r="J1518" t="inlineStr">
        <is>
          <t>Moda</t>
        </is>
      </c>
      <c r="K1518" t="n">
        <v>2</v>
      </c>
      <c r="L1518" t="n">
        <v>1.874</v>
      </c>
      <c r="M1518" t="n">
        <v>0</v>
      </c>
      <c r="N1518" t="inlineStr">
        <is>
          <t>train</t>
        </is>
      </c>
      <c r="O1518">
        <f>HYPERLINK("2\1\marker_353_962812.png", "Ver Imagen")</f>
        <v/>
      </c>
      <c r="P1518">
        <f>HYPERLINK("SE\A-5052\A-5052__414.png", "Ver Imagen")</f>
        <v/>
      </c>
    </row>
    <row r="1519">
      <c r="A1519" t="n">
        <v>928</v>
      </c>
      <c r="B1519" t="inlineStr">
        <is>
          <t>A-5052__415</t>
        </is>
      </c>
      <c r="C1519" t="n">
        <v>37.2035556294</v>
      </c>
      <c r="D1519" t="n">
        <v>-7.02494838756</v>
      </c>
      <c r="E1519" t="n">
        <v>1</v>
      </c>
      <c r="F1519" t="n">
        <v>2</v>
      </c>
      <c r="G1519" t="n">
        <v>2</v>
      </c>
      <c r="J1519" t="inlineStr">
        <is>
          <t>Moda</t>
        </is>
      </c>
      <c r="K1519" t="n">
        <v>2</v>
      </c>
      <c r="L1519" t="n">
        <v>2.413</v>
      </c>
      <c r="M1519" t="n">
        <v>0</v>
      </c>
      <c r="N1519" t="inlineStr">
        <is>
          <t>val</t>
        </is>
      </c>
      <c r="O1519">
        <f>HYPERLINK("2\1\marker_638_962822.png", "Ver Imagen")</f>
        <v/>
      </c>
      <c r="P1519">
        <f>HYPERLINK("SE\A-5052\A-5052__415.png", "Ver Imagen")</f>
        <v/>
      </c>
    </row>
    <row r="1520">
      <c r="A1520" t="n">
        <v>929</v>
      </c>
      <c r="B1520" t="inlineStr">
        <is>
          <t>A-5052__417</t>
        </is>
      </c>
      <c r="C1520" t="n">
        <v>37.2033751468</v>
      </c>
      <c r="D1520" t="n">
        <v>-7.02448165886</v>
      </c>
      <c r="E1520" t="n">
        <v>1</v>
      </c>
      <c r="F1520" t="n">
        <v>2</v>
      </c>
      <c r="G1520" t="n">
        <v>2</v>
      </c>
      <c r="J1520" t="inlineStr">
        <is>
          <t>Moda</t>
        </is>
      </c>
      <c r="K1520" t="n">
        <v>2</v>
      </c>
      <c r="L1520" t="n">
        <v>2.059</v>
      </c>
      <c r="M1520" t="n">
        <v>0</v>
      </c>
      <c r="N1520" t="inlineStr">
        <is>
          <t>train</t>
        </is>
      </c>
      <c r="O1520">
        <f>HYPERLINK("2\1\marker_124_962849.png", "Ver Imagen")</f>
        <v/>
      </c>
      <c r="P1520">
        <f>HYPERLINK("SE\A-5052\A-5052__417.png", "Ver Imagen")</f>
        <v/>
      </c>
    </row>
    <row r="1521">
      <c r="A1521" t="n">
        <v>930</v>
      </c>
      <c r="B1521" t="inlineStr">
        <is>
          <t>A-5052__419</t>
        </is>
      </c>
      <c r="C1521" t="n">
        <v>37.2032014965</v>
      </c>
      <c r="D1521" t="n">
        <v>-7.02403887065</v>
      </c>
      <c r="E1521" t="n">
        <v>1</v>
      </c>
      <c r="F1521" t="n">
        <v>2</v>
      </c>
      <c r="G1521" t="n">
        <v>2</v>
      </c>
      <c r="J1521" t="inlineStr">
        <is>
          <t>Moda</t>
        </is>
      </c>
      <c r="K1521" t="n">
        <v>2</v>
      </c>
      <c r="L1521" t="n">
        <v>1.955</v>
      </c>
      <c r="M1521" t="n">
        <v>0</v>
      </c>
      <c r="N1521" t="inlineStr">
        <is>
          <t>train</t>
        </is>
      </c>
      <c r="O1521">
        <f>HYPERLINK("2\1\marker_938_962866.png", "Ver Imagen")</f>
        <v/>
      </c>
      <c r="P1521">
        <f>HYPERLINK("SE\A-5052\A-5052__419.png", "Ver Imagen")</f>
        <v/>
      </c>
    </row>
    <row r="1522">
      <c r="A1522" t="n">
        <v>931</v>
      </c>
      <c r="B1522" t="inlineStr">
        <is>
          <t>A-5052__434</t>
        </is>
      </c>
      <c r="C1522" t="n">
        <v>37.2018990342</v>
      </c>
      <c r="D1522" t="n">
        <v>-7.02064046478</v>
      </c>
      <c r="E1522" t="n">
        <v>1</v>
      </c>
      <c r="F1522" t="n">
        <v>2</v>
      </c>
      <c r="G1522" t="n">
        <v>2</v>
      </c>
      <c r="J1522" t="inlineStr">
        <is>
          <t>Moda</t>
        </is>
      </c>
      <c r="K1522" t="n">
        <v>2</v>
      </c>
      <c r="L1522" t="n">
        <v>2.024</v>
      </c>
      <c r="M1522" t="n">
        <v>0</v>
      </c>
      <c r="N1522" t="inlineStr">
        <is>
          <t>train</t>
        </is>
      </c>
      <c r="O1522">
        <f>HYPERLINK("2\1\marker_440_963017.png", "Ver Imagen")</f>
        <v/>
      </c>
      <c r="P1522">
        <f>HYPERLINK("SE\A-5052\A-5052__434.png", "Ver Imagen")</f>
        <v/>
      </c>
    </row>
    <row r="1523">
      <c r="A1523" t="n">
        <v>932</v>
      </c>
      <c r="B1523" t="inlineStr">
        <is>
          <t>A-5052__437</t>
        </is>
      </c>
      <c r="C1523" t="n">
        <v>37.2016226995</v>
      </c>
      <c r="D1523" t="n">
        <v>-7.01992090511</v>
      </c>
      <c r="E1523" t="n">
        <v>1</v>
      </c>
      <c r="F1523" t="n">
        <v>2</v>
      </c>
      <c r="G1523" t="n">
        <v>2</v>
      </c>
      <c r="J1523" t="inlineStr">
        <is>
          <t>Moda</t>
        </is>
      </c>
      <c r="K1523" t="n">
        <v>2</v>
      </c>
      <c r="L1523" t="n">
        <v>1.873</v>
      </c>
      <c r="M1523" t="n">
        <v>0</v>
      </c>
      <c r="N1523" t="inlineStr">
        <is>
          <t>train</t>
        </is>
      </c>
      <c r="O1523">
        <f>HYPERLINK("2\1\marker_395_963048.png", "Ver Imagen")</f>
        <v/>
      </c>
      <c r="P1523">
        <f>HYPERLINK("SE\A-5052\A-5052__437.png", "Ver Imagen")</f>
        <v/>
      </c>
    </row>
    <row r="1524">
      <c r="A1524" t="n">
        <v>933</v>
      </c>
      <c r="B1524" t="inlineStr">
        <is>
          <t>A-5052__439</t>
        </is>
      </c>
      <c r="C1524" t="n">
        <v>37.2014453424</v>
      </c>
      <c r="D1524" t="n">
        <v>-7.01945401855</v>
      </c>
      <c r="E1524" t="n">
        <v>1</v>
      </c>
      <c r="F1524" t="n">
        <v>2</v>
      </c>
      <c r="G1524" t="n">
        <v>2</v>
      </c>
      <c r="J1524" t="inlineStr">
        <is>
          <t>Moda</t>
        </is>
      </c>
      <c r="K1524" t="n">
        <v>2</v>
      </c>
      <c r="L1524" t="n">
        <v>2.232</v>
      </c>
      <c r="M1524" t="n">
        <v>0</v>
      </c>
      <c r="N1524" t="inlineStr">
        <is>
          <t>train</t>
        </is>
      </c>
      <c r="O1524">
        <f>HYPERLINK("2\1\marker_337_963066.png", "Ver Imagen")</f>
        <v/>
      </c>
      <c r="P1524">
        <f>HYPERLINK("SE\A-5052\A-5052__439.png", "Ver Imagen")</f>
        <v/>
      </c>
    </row>
    <row r="1525">
      <c r="A1525" t="n">
        <v>934</v>
      </c>
      <c r="B1525" t="inlineStr">
        <is>
          <t>A-5052__441</t>
        </is>
      </c>
      <c r="C1525" t="n">
        <v>37.201286254</v>
      </c>
      <c r="D1525" t="n">
        <v>-7.01903372321</v>
      </c>
      <c r="E1525" t="n">
        <v>1</v>
      </c>
      <c r="F1525" t="n">
        <v>2</v>
      </c>
      <c r="G1525" t="n">
        <v>2</v>
      </c>
      <c r="J1525" t="inlineStr">
        <is>
          <t>Moda</t>
        </is>
      </c>
      <c r="K1525" t="n">
        <v>2</v>
      </c>
      <c r="L1525" t="n">
        <v>2.027</v>
      </c>
      <c r="M1525" t="n">
        <v>0</v>
      </c>
      <c r="N1525" t="inlineStr">
        <is>
          <t>val</t>
        </is>
      </c>
      <c r="O1525">
        <f>HYPERLINK("2\1\marker_432_963084.png", "Ver Imagen")</f>
        <v/>
      </c>
      <c r="P1525">
        <f>HYPERLINK("SE\A-5052\A-5052__441.png", "Ver Imagen")</f>
        <v/>
      </c>
    </row>
    <row r="1526">
      <c r="A1526" t="n">
        <v>935</v>
      </c>
      <c r="B1526" t="inlineStr">
        <is>
          <t>A-5052__442</t>
        </is>
      </c>
      <c r="C1526" t="n">
        <v>37.2011875776</v>
      </c>
      <c r="D1526" t="n">
        <v>-7.01878059083</v>
      </c>
      <c r="E1526" t="n">
        <v>1</v>
      </c>
      <c r="F1526" t="n">
        <v>2</v>
      </c>
      <c r="G1526" t="n">
        <v>2</v>
      </c>
      <c r="J1526" t="inlineStr">
        <is>
          <t>Moda</t>
        </is>
      </c>
      <c r="K1526" t="n">
        <v>2</v>
      </c>
      <c r="L1526" t="n">
        <v>1.825</v>
      </c>
      <c r="M1526" t="n">
        <v>0</v>
      </c>
      <c r="N1526" t="inlineStr">
        <is>
          <t>train</t>
        </is>
      </c>
      <c r="O1526">
        <f>HYPERLINK("2\1\marker_534_963102.png", "Ver Imagen")</f>
        <v/>
      </c>
      <c r="P1526">
        <f>HYPERLINK("SE\A-5052\A-5052__442.png", "Ver Imagen")</f>
        <v/>
      </c>
    </row>
    <row r="1527">
      <c r="A1527" t="n">
        <v>936</v>
      </c>
      <c r="B1527" t="inlineStr">
        <is>
          <t>A-5052__443</t>
        </is>
      </c>
      <c r="C1527" t="n">
        <v>37.201103175</v>
      </c>
      <c r="D1527" t="n">
        <v>-7.01856390159</v>
      </c>
      <c r="E1527" t="n">
        <v>1</v>
      </c>
      <c r="F1527" t="n">
        <v>2</v>
      </c>
      <c r="G1527" t="n">
        <v>2</v>
      </c>
      <c r="J1527" t="inlineStr">
        <is>
          <t>Moda</t>
        </is>
      </c>
      <c r="K1527" t="n">
        <v>2</v>
      </c>
      <c r="L1527" t="n">
        <v>1.802</v>
      </c>
      <c r="M1527" t="n">
        <v>0</v>
      </c>
      <c r="N1527" t="inlineStr">
        <is>
          <t>val</t>
        </is>
      </c>
      <c r="O1527">
        <f>HYPERLINK("2\1\marker_633_963111.png", "Ver Imagen")</f>
        <v/>
      </c>
      <c r="P1527">
        <f>HYPERLINK("SE\A-5052\A-5052__443.png", "Ver Imagen")</f>
        <v/>
      </c>
    </row>
    <row r="1528">
      <c r="A1528" t="n">
        <v>937</v>
      </c>
      <c r="B1528" t="inlineStr">
        <is>
          <t>A-5052__449</t>
        </is>
      </c>
      <c r="C1528" t="n">
        <v>37.2005817334</v>
      </c>
      <c r="D1528" t="n">
        <v>-7.0172115889</v>
      </c>
      <c r="E1528" t="n">
        <v>1</v>
      </c>
      <c r="F1528" t="n">
        <v>2</v>
      </c>
      <c r="G1528" t="n">
        <v>2</v>
      </c>
      <c r="J1528" t="inlineStr">
        <is>
          <t>Moda</t>
        </is>
      </c>
      <c r="K1528" t="n">
        <v>2</v>
      </c>
      <c r="L1528" t="n">
        <v>2.176</v>
      </c>
      <c r="M1528" t="n">
        <v>0</v>
      </c>
      <c r="N1528" t="inlineStr">
        <is>
          <t>train</t>
        </is>
      </c>
      <c r="O1528">
        <f>HYPERLINK("2\1\marker_560_963167.png", "Ver Imagen")</f>
        <v/>
      </c>
      <c r="P1528">
        <f>HYPERLINK("SE\A-5052\A-5052__449.png", "Ver Imagen")</f>
        <v/>
      </c>
    </row>
    <row r="1529">
      <c r="A1529" t="n">
        <v>938</v>
      </c>
      <c r="B1529" t="inlineStr">
        <is>
          <t>A-5052__456</t>
        </is>
      </c>
      <c r="C1529" t="n">
        <v>37.1999578649</v>
      </c>
      <c r="D1529" t="n">
        <v>-7.01558025445</v>
      </c>
      <c r="E1529" t="n">
        <v>1</v>
      </c>
      <c r="F1529" t="n">
        <v>2</v>
      </c>
      <c r="G1529" t="n">
        <v>2</v>
      </c>
      <c r="J1529" t="inlineStr">
        <is>
          <t>Moda</t>
        </is>
      </c>
      <c r="K1529" t="n">
        <v>2</v>
      </c>
      <c r="L1529" t="n">
        <v>1.904</v>
      </c>
      <c r="M1529" t="n">
        <v>0</v>
      </c>
      <c r="N1529" t="inlineStr">
        <is>
          <t>train</t>
        </is>
      </c>
      <c r="O1529">
        <f>HYPERLINK("2\1\marker_658_963244.png", "Ver Imagen")</f>
        <v/>
      </c>
      <c r="P1529">
        <f>HYPERLINK("SE\A-5052\A-5052__456.png", "Ver Imagen")</f>
        <v/>
      </c>
    </row>
    <row r="1530">
      <c r="A1530" t="n">
        <v>939</v>
      </c>
      <c r="B1530" t="inlineStr">
        <is>
          <t>A-5053__369</t>
        </is>
      </c>
      <c r="C1530" t="n">
        <v>37.2863220605</v>
      </c>
      <c r="D1530" t="n">
        <v>-7.14161428629</v>
      </c>
      <c r="E1530" t="n">
        <v>1</v>
      </c>
      <c r="F1530" t="n">
        <v>2</v>
      </c>
      <c r="G1530" t="n">
        <v>2</v>
      </c>
      <c r="J1530" t="inlineStr">
        <is>
          <t>Moda</t>
        </is>
      </c>
      <c r="K1530" t="n">
        <v>2</v>
      </c>
      <c r="L1530" t="n">
        <v>1.612</v>
      </c>
      <c r="M1530" t="n">
        <v>0</v>
      </c>
      <c r="N1530" t="inlineStr">
        <is>
          <t>train</t>
        </is>
      </c>
      <c r="O1530">
        <f>HYPERLINK("2\1\marker_272_963968.png", "Ver Imagen")</f>
        <v/>
      </c>
      <c r="P1530">
        <f>HYPERLINK("SO\A-5053\A-5053__369.png", "Ver Imagen")</f>
        <v/>
      </c>
    </row>
    <row r="1531">
      <c r="A1531" t="n">
        <v>940</v>
      </c>
      <c r="B1531" t="inlineStr">
        <is>
          <t>A-5053__367</t>
        </is>
      </c>
      <c r="C1531" t="n">
        <v>37.2859547479</v>
      </c>
      <c r="D1531" t="n">
        <v>-7.14191444754</v>
      </c>
      <c r="E1531" t="n">
        <v>1</v>
      </c>
      <c r="F1531" t="n">
        <v>2</v>
      </c>
      <c r="G1531" t="n">
        <v>2</v>
      </c>
      <c r="J1531" t="inlineStr">
        <is>
          <t>Moda</t>
        </is>
      </c>
      <c r="K1531" t="n">
        <v>2</v>
      </c>
      <c r="L1531" t="n">
        <v>1.691</v>
      </c>
      <c r="M1531" t="n">
        <v>0</v>
      </c>
      <c r="N1531" t="inlineStr">
        <is>
          <t>train</t>
        </is>
      </c>
      <c r="O1531">
        <f>HYPERLINK("2\1\marker_267_963989.png", "Ver Imagen")</f>
        <v/>
      </c>
      <c r="P1531">
        <f>HYPERLINK("SO\A-5053\A-5053__367.png", "Ver Imagen")</f>
        <v/>
      </c>
    </row>
    <row r="1532">
      <c r="A1532" t="n">
        <v>942</v>
      </c>
      <c r="B1532" t="inlineStr">
        <is>
          <t>A-5053__365</t>
        </is>
      </c>
      <c r="C1532" t="n">
        <v>37.285624334</v>
      </c>
      <c r="D1532" t="n">
        <v>-7.14220243435</v>
      </c>
      <c r="E1532" t="n">
        <v>1</v>
      </c>
      <c r="F1532" t="n">
        <v>2</v>
      </c>
      <c r="G1532" t="n">
        <v>2</v>
      </c>
      <c r="J1532" t="inlineStr">
        <is>
          <t>Moda</t>
        </is>
      </c>
      <c r="K1532" t="n">
        <v>2</v>
      </c>
      <c r="L1532" t="n">
        <v>1.695</v>
      </c>
      <c r="M1532" t="n">
        <v>0</v>
      </c>
      <c r="N1532" t="inlineStr">
        <is>
          <t>train</t>
        </is>
      </c>
      <c r="O1532">
        <f>HYPERLINK("2\1\marker_938_964008.png", "Ver Imagen")</f>
        <v/>
      </c>
      <c r="P1532">
        <f>HYPERLINK("SO\A-5053\A-5053__365.png", "Ver Imagen")</f>
        <v/>
      </c>
    </row>
    <row r="1533">
      <c r="A1533" t="n">
        <v>944</v>
      </c>
      <c r="B1533" t="inlineStr">
        <is>
          <t>A-5053__354</t>
        </is>
      </c>
      <c r="C1533" t="n">
        <v>37.2838332791</v>
      </c>
      <c r="D1533" t="n">
        <v>-7.14353473493</v>
      </c>
      <c r="E1533" t="n">
        <v>1</v>
      </c>
      <c r="F1533" t="n">
        <v>2</v>
      </c>
      <c r="G1533" t="n">
        <v>2</v>
      </c>
      <c r="J1533" t="inlineStr">
        <is>
          <t>Moda</t>
        </is>
      </c>
      <c r="K1533" t="n">
        <v>2</v>
      </c>
      <c r="L1533" t="n">
        <v>2.16</v>
      </c>
      <c r="M1533" t="n">
        <v>0</v>
      </c>
      <c r="N1533" t="inlineStr">
        <is>
          <t>train</t>
        </is>
      </c>
      <c r="O1533">
        <f>HYPERLINK("2\1\marker_585_964134.png", "Ver Imagen")</f>
        <v/>
      </c>
      <c r="P1533">
        <f>HYPERLINK("SO\A-5053\A-5053__354.png", "Ver Imagen")</f>
        <v/>
      </c>
    </row>
    <row r="1534">
      <c r="A1534" t="n">
        <v>945</v>
      </c>
      <c r="B1534" t="inlineStr">
        <is>
          <t>A-5053__351</t>
        </is>
      </c>
      <c r="C1534" t="n">
        <v>37.2832640137</v>
      </c>
      <c r="D1534" t="n">
        <v>-7.14381948821</v>
      </c>
      <c r="E1534" t="n">
        <v>1</v>
      </c>
      <c r="F1534" t="n">
        <v>2</v>
      </c>
      <c r="G1534" t="n">
        <v>2</v>
      </c>
      <c r="J1534" t="inlineStr">
        <is>
          <t>Moda</t>
        </is>
      </c>
      <c r="K1534" t="n">
        <v>2</v>
      </c>
      <c r="L1534" t="n">
        <v>2.016</v>
      </c>
      <c r="M1534" t="n">
        <v>0</v>
      </c>
      <c r="N1534" t="inlineStr">
        <is>
          <t>train</t>
        </is>
      </c>
      <c r="O1534">
        <f>HYPERLINK("2\1\marker_132_964165.png", "Ver Imagen")</f>
        <v/>
      </c>
      <c r="P1534">
        <f>HYPERLINK("SO\A-5053\A-5053__351.png", "Ver Imagen")</f>
        <v/>
      </c>
    </row>
    <row r="1535">
      <c r="A1535" t="n">
        <v>946</v>
      </c>
      <c r="B1535" t="inlineStr">
        <is>
          <t>A-5053__348</t>
        </is>
      </c>
      <c r="C1535" t="n">
        <v>37.2826857519</v>
      </c>
      <c r="D1535" t="n">
        <v>-7.14405912802</v>
      </c>
      <c r="E1535" t="n">
        <v>1</v>
      </c>
      <c r="F1535" t="n">
        <v>2</v>
      </c>
      <c r="G1535" t="n">
        <v>2</v>
      </c>
      <c r="J1535" t="inlineStr">
        <is>
          <t>Moda</t>
        </is>
      </c>
      <c r="K1535" t="n">
        <v>2</v>
      </c>
      <c r="L1535" t="n">
        <v>2.079</v>
      </c>
      <c r="M1535" t="n">
        <v>0</v>
      </c>
      <c r="N1535" t="inlineStr">
        <is>
          <t>train</t>
        </is>
      </c>
      <c r="O1535">
        <f>HYPERLINK("2\1\marker_161_964194.png", "Ver Imagen")</f>
        <v/>
      </c>
      <c r="P1535">
        <f>HYPERLINK("SO\A-5053\A-5053__348.png", "Ver Imagen")</f>
        <v/>
      </c>
    </row>
    <row r="1536">
      <c r="A1536" t="n">
        <v>947</v>
      </c>
      <c r="B1536" t="inlineStr">
        <is>
          <t>A-5053__344</t>
        </is>
      </c>
      <c r="C1536" t="n">
        <v>37.2819123882</v>
      </c>
      <c r="D1536" t="n">
        <v>-7.14437770012</v>
      </c>
      <c r="E1536" t="n">
        <v>1</v>
      </c>
      <c r="F1536" t="n">
        <v>2</v>
      </c>
      <c r="G1536" t="n">
        <v>2</v>
      </c>
      <c r="J1536" t="inlineStr">
        <is>
          <t>Moda</t>
        </is>
      </c>
      <c r="K1536" t="n">
        <v>2</v>
      </c>
      <c r="L1536" t="n">
        <v>1.883</v>
      </c>
      <c r="M1536" t="n">
        <v>0</v>
      </c>
      <c r="N1536" t="inlineStr">
        <is>
          <t>val</t>
        </is>
      </c>
      <c r="O1536">
        <f>HYPERLINK("2\1\marker_607_964234.png", "Ver Imagen")</f>
        <v/>
      </c>
      <c r="P1536">
        <f>HYPERLINK("SO\A-5053\A-5053__344.png", "Ver Imagen")</f>
        <v/>
      </c>
    </row>
    <row r="1537">
      <c r="A1537" t="n">
        <v>948</v>
      </c>
      <c r="B1537" t="inlineStr">
        <is>
          <t>A-5053__341</t>
        </is>
      </c>
      <c r="C1537" t="n">
        <v>37.2813523651</v>
      </c>
      <c r="D1537" t="n">
        <v>-7.14466307733</v>
      </c>
      <c r="E1537" t="n">
        <v>1</v>
      </c>
      <c r="F1537" t="n">
        <v>2</v>
      </c>
      <c r="G1537" t="n">
        <v>2</v>
      </c>
      <c r="J1537" t="inlineStr">
        <is>
          <t>Moda</t>
        </is>
      </c>
      <c r="K1537" t="n">
        <v>2</v>
      </c>
      <c r="L1537" t="n">
        <v>2.428</v>
      </c>
      <c r="M1537" t="n">
        <v>0</v>
      </c>
      <c r="N1537" t="inlineStr">
        <is>
          <t>test</t>
        </is>
      </c>
      <c r="O1537">
        <f>HYPERLINK("2\1\marker_491_964261.png", "Ver Imagen")</f>
        <v/>
      </c>
      <c r="P1537">
        <f>HYPERLINK("SO\A-5053\A-5053__341.png", "Ver Imagen")</f>
        <v/>
      </c>
    </row>
    <row r="1538">
      <c r="A1538" t="n">
        <v>949</v>
      </c>
      <c r="B1538" t="inlineStr">
        <is>
          <t>A-5053__313</t>
        </is>
      </c>
      <c r="C1538" t="n">
        <v>37.2767971802</v>
      </c>
      <c r="D1538" t="n">
        <v>-7.14315612399</v>
      </c>
      <c r="E1538" t="n">
        <v>1</v>
      </c>
      <c r="F1538" t="n">
        <v>2</v>
      </c>
      <c r="G1538" t="n">
        <v>2</v>
      </c>
      <c r="J1538" t="inlineStr">
        <is>
          <t>Moda</t>
        </is>
      </c>
      <c r="K1538" t="n">
        <v>2</v>
      </c>
      <c r="L1538" t="n">
        <v>1.987</v>
      </c>
      <c r="M1538" t="n">
        <v>0</v>
      </c>
      <c r="N1538" t="inlineStr">
        <is>
          <t>train</t>
        </is>
      </c>
      <c r="O1538">
        <f>HYPERLINK("2\1\marker_623_964644.png", "Ver Imagen")</f>
        <v/>
      </c>
      <c r="P1538">
        <f>HYPERLINK("SO\A-5053\A-5053__313.png", "Ver Imagen")</f>
        <v/>
      </c>
    </row>
    <row r="1539">
      <c r="A1539" t="n">
        <v>950</v>
      </c>
      <c r="B1539" t="inlineStr">
        <is>
          <t>A-5053__157</t>
        </is>
      </c>
      <c r="C1539" t="n">
        <v>37.2501027104</v>
      </c>
      <c r="D1539" t="n">
        <v>-7.12726310804</v>
      </c>
      <c r="E1539" t="n">
        <v>1</v>
      </c>
      <c r="F1539" t="n">
        <v>2</v>
      </c>
      <c r="G1539" t="n">
        <v>2</v>
      </c>
      <c r="J1539" t="inlineStr">
        <is>
          <t>Moda</t>
        </is>
      </c>
      <c r="K1539" t="n">
        <v>2</v>
      </c>
      <c r="L1539" t="n">
        <v>2.31</v>
      </c>
      <c r="M1539" t="n">
        <v>0</v>
      </c>
      <c r="N1539" t="inlineStr">
        <is>
          <t>val</t>
        </is>
      </c>
      <c r="O1539">
        <f>HYPERLINK("2\1\marker_568_966314.png", "Ver Imagen")</f>
        <v/>
      </c>
      <c r="P1539">
        <f>HYPERLINK("SO\A-5053\A-5053__157.png", "Ver Imagen")</f>
        <v/>
      </c>
    </row>
    <row r="1540">
      <c r="A1540" t="n">
        <v>951</v>
      </c>
      <c r="B1540" t="inlineStr">
        <is>
          <t>A-5053__156</t>
        </is>
      </c>
      <c r="C1540" t="n">
        <v>37.2499441587</v>
      </c>
      <c r="D1540" t="n">
        <v>-7.12728788379</v>
      </c>
      <c r="E1540" t="n">
        <v>1</v>
      </c>
      <c r="F1540" t="n">
        <v>2</v>
      </c>
      <c r="G1540" t="n">
        <v>2</v>
      </c>
      <c r="J1540" t="inlineStr">
        <is>
          <t>Moda</t>
        </is>
      </c>
      <c r="K1540" t="n">
        <v>2</v>
      </c>
      <c r="L1540" t="n">
        <v>2.013</v>
      </c>
      <c r="M1540" t="n">
        <v>0</v>
      </c>
      <c r="N1540" t="inlineStr">
        <is>
          <t>train</t>
        </is>
      </c>
      <c r="O1540">
        <f>HYPERLINK("2\1\marker_391_966323.png", "Ver Imagen")</f>
        <v/>
      </c>
      <c r="P1540">
        <f>HYPERLINK("SO\A-5053\A-5053__156.png", "Ver Imagen")</f>
        <v/>
      </c>
    </row>
    <row r="1541">
      <c r="A1541" t="n">
        <v>952</v>
      </c>
      <c r="B1541" t="inlineStr">
        <is>
          <t>A-5053__129</t>
        </is>
      </c>
      <c r="C1541" t="n">
        <v>37.2444577442</v>
      </c>
      <c r="D1541" t="n">
        <v>-7.12809980952</v>
      </c>
      <c r="E1541" t="n">
        <v>1</v>
      </c>
      <c r="F1541" t="n">
        <v>2</v>
      </c>
      <c r="G1541" t="n">
        <v>2</v>
      </c>
      <c r="J1541" t="inlineStr">
        <is>
          <t>Moda</t>
        </is>
      </c>
      <c r="K1541" t="n">
        <v>2</v>
      </c>
      <c r="L1541" t="n">
        <v>2.393</v>
      </c>
      <c r="M1541" t="n">
        <v>0</v>
      </c>
      <c r="N1541" t="inlineStr">
        <is>
          <t>test</t>
        </is>
      </c>
      <c r="O1541">
        <f>HYPERLINK("2\1\marker_449_019474.png", "Ver Imagen")</f>
        <v/>
      </c>
      <c r="P1541">
        <f>HYPERLINK("SO\A-5053\A-5053__129.png", "Ver Imagen")</f>
        <v/>
      </c>
    </row>
    <row r="1542">
      <c r="A1542" t="n">
        <v>953</v>
      </c>
      <c r="B1542" t="inlineStr">
        <is>
          <t>A-5053__120</t>
        </is>
      </c>
      <c r="C1542" t="n">
        <v>37.2426738321</v>
      </c>
      <c r="D1542" t="n">
        <v>-7.12836437108</v>
      </c>
      <c r="E1542" t="n">
        <v>1</v>
      </c>
      <c r="F1542" t="n">
        <v>2</v>
      </c>
      <c r="G1542" t="n">
        <v>2</v>
      </c>
      <c r="J1542" t="inlineStr">
        <is>
          <t>Moda</t>
        </is>
      </c>
      <c r="K1542" t="n">
        <v>2</v>
      </c>
      <c r="L1542" t="n">
        <v>1.964</v>
      </c>
      <c r="M1542" t="n">
        <v>0</v>
      </c>
      <c r="N1542" t="inlineStr">
        <is>
          <t>train</t>
        </is>
      </c>
      <c r="O1542">
        <f>HYPERLINK("2\1\marker_850_019601.png", "Ver Imagen")</f>
        <v/>
      </c>
      <c r="P1542">
        <f>HYPERLINK("SO\A-5053\A-5053__120.png", "Ver Imagen")</f>
        <v/>
      </c>
    </row>
    <row r="1543">
      <c r="A1543" t="n">
        <v>954</v>
      </c>
      <c r="B1543" t="inlineStr">
        <is>
          <t>A-5053__118</t>
        </is>
      </c>
      <c r="C1543" t="n">
        <v>37.2422495126</v>
      </c>
      <c r="D1543" t="n">
        <v>-7.12843032639</v>
      </c>
      <c r="E1543" t="n">
        <v>1</v>
      </c>
      <c r="F1543" t="n">
        <v>2</v>
      </c>
      <c r="G1543" t="n">
        <v>2</v>
      </c>
      <c r="J1543" t="inlineStr">
        <is>
          <t>Moda</t>
        </is>
      </c>
      <c r="K1543" t="n">
        <v>2</v>
      </c>
      <c r="L1543" t="n">
        <v>1.513</v>
      </c>
      <c r="M1543" t="n">
        <v>0</v>
      </c>
      <c r="N1543" t="inlineStr">
        <is>
          <t>test</t>
        </is>
      </c>
      <c r="O1543">
        <f>HYPERLINK("2\1\marker_514_019621.png", "Ver Imagen")</f>
        <v/>
      </c>
      <c r="P1543">
        <f>HYPERLINK("SO\A-5053\A-5053__118.png", "Ver Imagen")</f>
        <v/>
      </c>
    </row>
    <row r="1544">
      <c r="A1544" t="n">
        <v>955</v>
      </c>
      <c r="B1544" t="inlineStr">
        <is>
          <t>A-5053__117</t>
        </is>
      </c>
      <c r="C1544" t="n">
        <v>37.2420948387</v>
      </c>
      <c r="D1544" t="n">
        <v>-7.1284543327</v>
      </c>
      <c r="E1544" t="n">
        <v>1</v>
      </c>
      <c r="F1544" t="n">
        <v>2</v>
      </c>
      <c r="G1544" t="n">
        <v>2</v>
      </c>
      <c r="J1544" t="inlineStr">
        <is>
          <t>Moda</t>
        </is>
      </c>
      <c r="K1544" t="n">
        <v>2</v>
      </c>
      <c r="L1544" t="n">
        <v>1.886</v>
      </c>
      <c r="M1544" t="n">
        <v>0</v>
      </c>
      <c r="N1544" t="inlineStr">
        <is>
          <t>train</t>
        </is>
      </c>
      <c r="O1544">
        <f>HYPERLINK("2\1\marker_128_019629.png", "Ver Imagen")</f>
        <v/>
      </c>
      <c r="P1544">
        <f>HYPERLINK("SO\A-5053\A-5053__117.png", "Ver Imagen")</f>
        <v/>
      </c>
    </row>
    <row r="1545">
      <c r="A1545" t="n">
        <v>956</v>
      </c>
      <c r="B1545" t="inlineStr">
        <is>
          <t>A-5053__62</t>
        </is>
      </c>
      <c r="C1545" t="n">
        <v>37.2310713441</v>
      </c>
      <c r="D1545" t="n">
        <v>-7.12706339107</v>
      </c>
      <c r="E1545" t="n">
        <v>1</v>
      </c>
      <c r="F1545" t="n">
        <v>2</v>
      </c>
      <c r="G1545" t="n">
        <v>2</v>
      </c>
      <c r="J1545" t="inlineStr">
        <is>
          <t>Moda</t>
        </is>
      </c>
      <c r="K1545" t="n">
        <v>2</v>
      </c>
      <c r="L1545" t="n">
        <v>1.586</v>
      </c>
      <c r="M1545" t="n">
        <v>0</v>
      </c>
      <c r="N1545" t="inlineStr">
        <is>
          <t>train</t>
        </is>
      </c>
      <c r="O1545">
        <f>HYPERLINK("2\1\marker_700_020781.png", "Ver Imagen")</f>
        <v/>
      </c>
      <c r="P1545">
        <f>HYPERLINK("SO\A-5053\A-5053__62.png", "Ver Imagen")</f>
        <v/>
      </c>
    </row>
    <row r="1546">
      <c r="A1546" t="n">
        <v>957</v>
      </c>
      <c r="B1546" t="inlineStr">
        <is>
          <t>A-495__13</t>
        </is>
      </c>
      <c r="C1546" t="n">
        <v>37.443913627</v>
      </c>
      <c r="D1546" t="n">
        <v>-7.09716810706</v>
      </c>
      <c r="E1546" t="n">
        <v>2</v>
      </c>
      <c r="F1546" t="n">
        <v>2</v>
      </c>
      <c r="G1546" t="n">
        <v>1</v>
      </c>
      <c r="J1546" t="inlineStr">
        <is>
          <t>Moda</t>
        </is>
      </c>
      <c r="K1546" t="n">
        <v>2</v>
      </c>
      <c r="L1546" t="n">
        <v>1.928</v>
      </c>
      <c r="M1546" t="n">
        <v>0</v>
      </c>
      <c r="N1546" t="inlineStr">
        <is>
          <t>train</t>
        </is>
      </c>
      <c r="O1546">
        <f>HYPERLINK("2\1\marker_318_381188.png", "Ver Imagen")</f>
        <v/>
      </c>
      <c r="P1546">
        <f>HYPERLINK("NE\A-495\A-495__13.png", "Ver Imagen")</f>
        <v/>
      </c>
    </row>
    <row r="1547">
      <c r="A1547" t="n">
        <v>958</v>
      </c>
      <c r="B1547" t="inlineStr">
        <is>
          <t>A-495__98</t>
        </is>
      </c>
      <c r="C1547" t="n">
        <v>37.4363635001</v>
      </c>
      <c r="D1547" t="n">
        <v>-7.0780328831</v>
      </c>
      <c r="E1547" t="n">
        <v>2</v>
      </c>
      <c r="F1547" t="n">
        <v>2</v>
      </c>
      <c r="G1547" t="n">
        <v>1</v>
      </c>
      <c r="J1547" t="inlineStr">
        <is>
          <t>Moda</t>
        </is>
      </c>
      <c r="K1547" t="n">
        <v>2</v>
      </c>
      <c r="L1547" t="n">
        <v>1.857</v>
      </c>
      <c r="M1547" t="n">
        <v>0</v>
      </c>
      <c r="N1547" t="inlineStr">
        <is>
          <t>train</t>
        </is>
      </c>
      <c r="O1547">
        <f>HYPERLINK("2\1\marker_695_382135.png", "Ver Imagen")</f>
        <v/>
      </c>
      <c r="P1547">
        <f>HYPERLINK("NE\A-495\A-495__98.png", "Ver Imagen")</f>
        <v/>
      </c>
    </row>
    <row r="1548">
      <c r="A1548" t="n">
        <v>959</v>
      </c>
      <c r="B1548" t="inlineStr">
        <is>
          <t>A-495__104</t>
        </is>
      </c>
      <c r="C1548" t="n">
        <v>37.4356961968</v>
      </c>
      <c r="D1548" t="n">
        <v>-7.07684775615</v>
      </c>
      <c r="E1548" t="n">
        <v>2</v>
      </c>
      <c r="F1548" t="n">
        <v>2</v>
      </c>
      <c r="G1548" t="n">
        <v>1</v>
      </c>
      <c r="J1548" t="inlineStr">
        <is>
          <t>Moda</t>
        </is>
      </c>
      <c r="K1548" t="n">
        <v>2</v>
      </c>
      <c r="L1548" t="n">
        <v>1.878</v>
      </c>
      <c r="M1548" t="n">
        <v>0</v>
      </c>
      <c r="N1548" t="inlineStr">
        <is>
          <t>train</t>
        </is>
      </c>
      <c r="O1548">
        <f>HYPERLINK("2\1\marker_397_382197.png", "Ver Imagen")</f>
        <v/>
      </c>
      <c r="P1548">
        <f>HYPERLINK("NE\A-495\A-495__104.png", "Ver Imagen")</f>
        <v/>
      </c>
    </row>
    <row r="1549">
      <c r="A1549" t="n">
        <v>960</v>
      </c>
      <c r="B1549" t="inlineStr">
        <is>
          <t>A-495__109</t>
        </is>
      </c>
      <c r="C1549" t="n">
        <v>37.4354956056</v>
      </c>
      <c r="D1549" t="n">
        <v>-7.07581733861</v>
      </c>
      <c r="E1549" t="n">
        <v>2</v>
      </c>
      <c r="F1549" t="n">
        <v>2</v>
      </c>
      <c r="G1549" t="n">
        <v>1</v>
      </c>
      <c r="J1549" t="inlineStr">
        <is>
          <t>Moda</t>
        </is>
      </c>
      <c r="K1549" t="n">
        <v>2</v>
      </c>
      <c r="L1549" t="n">
        <v>1.888</v>
      </c>
      <c r="M1549" t="n">
        <v>0</v>
      </c>
      <c r="N1549" t="inlineStr">
        <is>
          <t>train</t>
        </is>
      </c>
      <c r="O1549">
        <f>HYPERLINK("2\1\marker_952_382264.png", "Ver Imagen")</f>
        <v/>
      </c>
      <c r="P1549">
        <f>HYPERLINK("NE\A-495\A-495__109.png", "Ver Imagen")</f>
        <v/>
      </c>
    </row>
    <row r="1550">
      <c r="A1550" t="n">
        <v>961</v>
      </c>
      <c r="B1550" t="inlineStr">
        <is>
          <t>A-495__133</t>
        </is>
      </c>
      <c r="C1550" t="n">
        <v>37.4349747285</v>
      </c>
      <c r="D1550" t="n">
        <v>-7.06979634149</v>
      </c>
      <c r="E1550" t="n">
        <v>2</v>
      </c>
      <c r="F1550" t="n">
        <v>2</v>
      </c>
      <c r="G1550" t="n">
        <v>1</v>
      </c>
      <c r="J1550" t="inlineStr">
        <is>
          <t>Moda</t>
        </is>
      </c>
      <c r="K1550" t="n">
        <v>2</v>
      </c>
      <c r="L1550" t="n">
        <v>1.77</v>
      </c>
      <c r="M1550" t="n">
        <v>0</v>
      </c>
      <c r="N1550" t="inlineStr">
        <is>
          <t>train</t>
        </is>
      </c>
      <c r="O1550">
        <f>HYPERLINK("2\1\marker_217_382507.png", "Ver Imagen")</f>
        <v/>
      </c>
      <c r="P1550">
        <f>HYPERLINK("NE\A-495\A-495__133.png", "Ver Imagen")</f>
        <v/>
      </c>
    </row>
    <row r="1551">
      <c r="A1551" t="n">
        <v>962</v>
      </c>
      <c r="B1551" t="inlineStr">
        <is>
          <t>A-495__152</t>
        </is>
      </c>
      <c r="C1551" t="n">
        <v>37.4332284854</v>
      </c>
      <c r="D1551" t="n">
        <v>-7.06551638589</v>
      </c>
      <c r="E1551" t="n">
        <v>2</v>
      </c>
      <c r="F1551" t="n">
        <v>2</v>
      </c>
      <c r="G1551" t="n">
        <v>1</v>
      </c>
      <c r="J1551" t="inlineStr">
        <is>
          <t>Moda</t>
        </is>
      </c>
      <c r="K1551" t="n">
        <v>2</v>
      </c>
      <c r="L1551" t="n">
        <v>2.242</v>
      </c>
      <c r="M1551" t="n">
        <v>0</v>
      </c>
      <c r="N1551" t="inlineStr">
        <is>
          <t>train</t>
        </is>
      </c>
      <c r="O1551">
        <f>HYPERLINK("2\1\marker_842_382706.png", "Ver Imagen")</f>
        <v/>
      </c>
      <c r="P1551">
        <f>HYPERLINK("NE\A-495\A-495__152.png", "Ver Imagen")</f>
        <v/>
      </c>
    </row>
    <row r="1552">
      <c r="A1552" t="n">
        <v>963</v>
      </c>
      <c r="B1552" t="inlineStr">
        <is>
          <t>A-495__169</t>
        </is>
      </c>
      <c r="C1552" t="n">
        <v>37.4315070151</v>
      </c>
      <c r="D1552" t="n">
        <v>-7.06178652759</v>
      </c>
      <c r="E1552" t="n">
        <v>2</v>
      </c>
      <c r="F1552" t="n">
        <v>2</v>
      </c>
      <c r="G1552" t="n">
        <v>1</v>
      </c>
      <c r="J1552" t="inlineStr">
        <is>
          <t>Moda</t>
        </is>
      </c>
      <c r="K1552" t="n">
        <v>2</v>
      </c>
      <c r="L1552" t="n">
        <v>1.955</v>
      </c>
      <c r="M1552" t="n">
        <v>0</v>
      </c>
      <c r="N1552" t="inlineStr">
        <is>
          <t>train</t>
        </is>
      </c>
      <c r="O1552">
        <f>HYPERLINK("2\1\marker_314_382901.png", "Ver Imagen")</f>
        <v/>
      </c>
      <c r="P1552">
        <f>HYPERLINK("NE\A-495\A-495__169.png", "Ver Imagen")</f>
        <v/>
      </c>
    </row>
    <row r="1553">
      <c r="A1553" t="n">
        <v>964</v>
      </c>
      <c r="B1553" t="inlineStr">
        <is>
          <t>A-495_1__119</t>
        </is>
      </c>
      <c r="C1553" t="n">
        <v>37.4709535221</v>
      </c>
      <c r="D1553" t="n">
        <v>-7.12536677727</v>
      </c>
      <c r="E1553" t="n">
        <v>2</v>
      </c>
      <c r="F1553" t="n">
        <v>2</v>
      </c>
      <c r="G1553" t="n">
        <v>1</v>
      </c>
      <c r="J1553" t="inlineStr">
        <is>
          <t>Moda</t>
        </is>
      </c>
      <c r="K1553" t="n">
        <v>2</v>
      </c>
      <c r="L1553" t="n">
        <v>1.971</v>
      </c>
      <c r="M1553" t="n">
        <v>0</v>
      </c>
      <c r="N1553" t="inlineStr">
        <is>
          <t>train</t>
        </is>
      </c>
      <c r="O1553">
        <f>HYPERLINK("2\1\marker_601_384579.png", "Ver Imagen")</f>
        <v/>
      </c>
      <c r="P1553">
        <f>HYPERLINK("NE\A-495_1\A-495_1__119.png", "Ver Imagen")</f>
        <v/>
      </c>
    </row>
    <row r="1554">
      <c r="A1554" t="n">
        <v>965</v>
      </c>
      <c r="B1554" t="inlineStr">
        <is>
          <t>A-495_1__95</t>
        </is>
      </c>
      <c r="C1554" t="n">
        <v>37.4665909292</v>
      </c>
      <c r="D1554" t="n">
        <v>-7.12272778829</v>
      </c>
      <c r="E1554" t="n">
        <v>2</v>
      </c>
      <c r="F1554" t="n">
        <v>2</v>
      </c>
      <c r="G1554" t="n">
        <v>1</v>
      </c>
      <c r="J1554" t="inlineStr">
        <is>
          <t>Moda</t>
        </is>
      </c>
      <c r="K1554" t="n">
        <v>2</v>
      </c>
      <c r="L1554" t="n">
        <v>2.03</v>
      </c>
      <c r="M1554" t="n">
        <v>0</v>
      </c>
      <c r="N1554" t="inlineStr">
        <is>
          <t>train</t>
        </is>
      </c>
      <c r="O1554">
        <f>HYPERLINK("2\1\marker_145_385087.png", "Ver Imagen")</f>
        <v/>
      </c>
      <c r="P1554">
        <f>HYPERLINK("NE\A-495_1\A-495_1__95.png", "Ver Imagen")</f>
        <v/>
      </c>
    </row>
    <row r="1555">
      <c r="A1555" t="n">
        <v>966</v>
      </c>
      <c r="B1555" t="inlineStr">
        <is>
          <t>A-495_1__94</t>
        </is>
      </c>
      <c r="C1555" t="n">
        <v>37.4663927449</v>
      </c>
      <c r="D1555" t="n">
        <v>-7.12271990425</v>
      </c>
      <c r="E1555" t="n">
        <v>2</v>
      </c>
      <c r="F1555" t="n">
        <v>2</v>
      </c>
      <c r="G1555" t="n">
        <v>1</v>
      </c>
      <c r="J1555" t="inlineStr">
        <is>
          <t>Moda</t>
        </is>
      </c>
      <c r="K1555" t="n">
        <v>2</v>
      </c>
      <c r="L1555" t="n">
        <v>1.637</v>
      </c>
      <c r="M1555" t="n">
        <v>0</v>
      </c>
      <c r="N1555" t="inlineStr">
        <is>
          <t>train</t>
        </is>
      </c>
      <c r="O1555">
        <f>HYPERLINK("2\1\marker_848_385097.png", "Ver Imagen")</f>
        <v/>
      </c>
      <c r="P1555">
        <f>HYPERLINK("NE\A-495_1\A-495_1__94.png", "Ver Imagen")</f>
        <v/>
      </c>
    </row>
    <row r="1556">
      <c r="A1556" t="n">
        <v>967</v>
      </c>
      <c r="B1556" t="inlineStr">
        <is>
          <t>A-495_1__93</t>
        </is>
      </c>
      <c r="C1556" t="n">
        <v>37.4661549983</v>
      </c>
      <c r="D1556" t="n">
        <v>-7.12273431717</v>
      </c>
      <c r="E1556" t="n">
        <v>2</v>
      </c>
      <c r="F1556" t="n">
        <v>2</v>
      </c>
      <c r="G1556" t="n">
        <v>1</v>
      </c>
      <c r="J1556" t="inlineStr">
        <is>
          <t>Moda</t>
        </is>
      </c>
      <c r="K1556" t="n">
        <v>2</v>
      </c>
      <c r="L1556" t="n">
        <v>2.111</v>
      </c>
      <c r="M1556" t="n">
        <v>0</v>
      </c>
      <c r="N1556" t="inlineStr">
        <is>
          <t>train</t>
        </is>
      </c>
      <c r="O1556">
        <f>HYPERLINK("2\1\marker_668_385107.png", "Ver Imagen")</f>
        <v/>
      </c>
      <c r="P1556">
        <f>HYPERLINK("NE\A-495_1\A-495_1__93.png", "Ver Imagen")</f>
        <v/>
      </c>
    </row>
    <row r="1557">
      <c r="A1557" t="n">
        <v>968</v>
      </c>
      <c r="B1557" t="inlineStr">
        <is>
          <t>A-495_1__87</t>
        </is>
      </c>
      <c r="C1557" t="n">
        <v>37.4650256727</v>
      </c>
      <c r="D1557" t="n">
        <v>-7.12319705849</v>
      </c>
      <c r="E1557" t="n">
        <v>1</v>
      </c>
      <c r="F1557" t="n">
        <v>2</v>
      </c>
      <c r="G1557" t="n">
        <v>2</v>
      </c>
      <c r="J1557" t="inlineStr">
        <is>
          <t>Moda</t>
        </is>
      </c>
      <c r="K1557" t="n">
        <v>2</v>
      </c>
      <c r="L1557" t="n">
        <v>1.727</v>
      </c>
      <c r="M1557" t="n">
        <v>0</v>
      </c>
      <c r="N1557" t="inlineStr">
        <is>
          <t>train</t>
        </is>
      </c>
      <c r="O1557">
        <f>HYPERLINK("2\1\marker_287_385173.png", "Ver Imagen")</f>
        <v/>
      </c>
      <c r="P1557">
        <f>HYPERLINK("NE\A-495_1\A-495_1__87.png", "Ver Imagen")</f>
        <v/>
      </c>
    </row>
    <row r="1558">
      <c r="A1558" t="n">
        <v>969</v>
      </c>
      <c r="B1558" t="inlineStr">
        <is>
          <t>A-495_1__86</t>
        </is>
      </c>
      <c r="C1558" t="n">
        <v>37.4648645355</v>
      </c>
      <c r="D1558" t="n">
        <v>-7.12330595907</v>
      </c>
      <c r="E1558" t="n">
        <v>1</v>
      </c>
      <c r="F1558" t="n">
        <v>2</v>
      </c>
      <c r="G1558" t="n">
        <v>2</v>
      </c>
      <c r="J1558" t="inlineStr">
        <is>
          <t>Moda</t>
        </is>
      </c>
      <c r="K1558" t="n">
        <v>2</v>
      </c>
      <c r="L1558" t="n">
        <v>1.989</v>
      </c>
      <c r="M1558" t="n">
        <v>0</v>
      </c>
      <c r="N1558" t="inlineStr">
        <is>
          <t>val</t>
        </is>
      </c>
      <c r="O1558">
        <f>HYPERLINK("2\1\marker_966_385183.png", "Ver Imagen")</f>
        <v/>
      </c>
      <c r="P1558">
        <f>HYPERLINK("NE\A-495_1\A-495_1__86.png", "Ver Imagen")</f>
        <v/>
      </c>
    </row>
    <row r="1559">
      <c r="A1559" t="n">
        <v>970</v>
      </c>
      <c r="B1559" t="inlineStr">
        <is>
          <t>A-495_1__83</t>
        </is>
      </c>
      <c r="C1559" t="n">
        <v>37.4643453165</v>
      </c>
      <c r="D1559" t="n">
        <v>-7.12365302177</v>
      </c>
      <c r="E1559" t="n">
        <v>1</v>
      </c>
      <c r="F1559" t="n">
        <v>2</v>
      </c>
      <c r="G1559" t="n">
        <v>2</v>
      </c>
      <c r="J1559" t="inlineStr">
        <is>
          <t>Moda</t>
        </is>
      </c>
      <c r="K1559" t="n">
        <v>2</v>
      </c>
      <c r="L1559" t="n">
        <v>2.314</v>
      </c>
      <c r="M1559" t="n">
        <v>0</v>
      </c>
      <c r="N1559" t="inlineStr">
        <is>
          <t>train</t>
        </is>
      </c>
      <c r="O1559">
        <f>HYPERLINK("2\1\marker_324_385208.png", "Ver Imagen")</f>
        <v/>
      </c>
      <c r="P1559">
        <f>HYPERLINK("NE\A-495_1\A-495_1__83.png", "Ver Imagen")</f>
        <v/>
      </c>
    </row>
    <row r="1560">
      <c r="A1560" t="n">
        <v>971</v>
      </c>
      <c r="B1560" t="inlineStr">
        <is>
          <t>A-495_1__81</t>
        </is>
      </c>
      <c r="C1560" t="n">
        <v>37.4639684769</v>
      </c>
      <c r="D1560" t="n">
        <v>-7.1238579255</v>
      </c>
      <c r="E1560" t="n">
        <v>1</v>
      </c>
      <c r="F1560" t="n">
        <v>2</v>
      </c>
      <c r="G1560" t="n">
        <v>2</v>
      </c>
      <c r="J1560" t="inlineStr">
        <is>
          <t>Moda</t>
        </is>
      </c>
      <c r="K1560" t="n">
        <v>2</v>
      </c>
      <c r="L1560" t="n">
        <v>1.826</v>
      </c>
      <c r="M1560" t="n">
        <v>0</v>
      </c>
      <c r="N1560" t="inlineStr">
        <is>
          <t>train</t>
        </is>
      </c>
      <c r="O1560">
        <f>HYPERLINK("2\1\marker_558_385225.png", "Ver Imagen")</f>
        <v/>
      </c>
      <c r="P1560">
        <f>HYPERLINK("NE\A-495_1\A-495_1__81.png", "Ver Imagen")</f>
        <v/>
      </c>
    </row>
    <row r="1561">
      <c r="A1561" t="n">
        <v>972</v>
      </c>
      <c r="B1561" t="inlineStr">
        <is>
          <t>A-495_1__80</t>
        </is>
      </c>
      <c r="C1561" t="n">
        <v>37.4637535387</v>
      </c>
      <c r="D1561" t="n">
        <v>-7.12395378514</v>
      </c>
      <c r="E1561" t="n">
        <v>1</v>
      </c>
      <c r="F1561" t="n">
        <v>2</v>
      </c>
      <c r="G1561" t="n">
        <v>2</v>
      </c>
      <c r="J1561" t="inlineStr">
        <is>
          <t>Moda</t>
        </is>
      </c>
      <c r="K1561" t="n">
        <v>2</v>
      </c>
      <c r="L1561" t="n">
        <v>2.191</v>
      </c>
      <c r="M1561" t="n">
        <v>0</v>
      </c>
      <c r="N1561" t="inlineStr">
        <is>
          <t>test</t>
        </is>
      </c>
      <c r="O1561">
        <f>HYPERLINK("2\1\marker_183_385234.png", "Ver Imagen")</f>
        <v/>
      </c>
      <c r="P1561">
        <f>HYPERLINK("NE\A-495_1\A-495_1__80.png", "Ver Imagen")</f>
        <v/>
      </c>
    </row>
    <row r="1562">
      <c r="A1562" t="n">
        <v>973</v>
      </c>
      <c r="B1562" t="inlineStr">
        <is>
          <t>A-495_1__78</t>
        </is>
      </c>
      <c r="C1562" t="n">
        <v>37.4633873468</v>
      </c>
      <c r="D1562" t="n">
        <v>-7.12408061704</v>
      </c>
      <c r="E1562" t="n">
        <v>1</v>
      </c>
      <c r="F1562" t="n">
        <v>2</v>
      </c>
      <c r="G1562" t="n">
        <v>2</v>
      </c>
      <c r="J1562" t="inlineStr">
        <is>
          <t>Moda</t>
        </is>
      </c>
      <c r="K1562" t="n">
        <v>2</v>
      </c>
      <c r="L1562" t="n">
        <v>1.779</v>
      </c>
      <c r="M1562" t="n">
        <v>0</v>
      </c>
      <c r="N1562" t="inlineStr">
        <is>
          <t>train</t>
        </is>
      </c>
      <c r="O1562">
        <f>HYPERLINK("2\1\marker_477_385251.png", "Ver Imagen")</f>
        <v/>
      </c>
      <c r="P1562">
        <f>HYPERLINK("NE\A-495_1\A-495_1__78.png", "Ver Imagen")</f>
        <v/>
      </c>
    </row>
    <row r="1563">
      <c r="A1563" t="n">
        <v>974</v>
      </c>
      <c r="B1563" t="inlineStr">
        <is>
          <t>A-495_1__70</t>
        </is>
      </c>
      <c r="C1563" t="n">
        <v>37.4617553575</v>
      </c>
      <c r="D1563" t="n">
        <v>-7.12439755708</v>
      </c>
      <c r="E1563" t="n">
        <v>1</v>
      </c>
      <c r="F1563" t="n">
        <v>2</v>
      </c>
      <c r="G1563" t="n">
        <v>2</v>
      </c>
      <c r="J1563" t="inlineStr">
        <is>
          <t>Moda</t>
        </is>
      </c>
      <c r="K1563" t="n">
        <v>2</v>
      </c>
      <c r="L1563" t="n">
        <v>1.874</v>
      </c>
      <c r="M1563" t="n">
        <v>0</v>
      </c>
      <c r="N1563" t="inlineStr">
        <is>
          <t>train</t>
        </is>
      </c>
      <c r="O1563">
        <f>HYPERLINK("2\1\marker_485_385327.png", "Ver Imagen")</f>
        <v/>
      </c>
      <c r="P1563">
        <f>HYPERLINK("NE\A-495_1\A-495_1__70.png", "Ver Imagen")</f>
        <v/>
      </c>
    </row>
    <row r="1564">
      <c r="A1564" t="n">
        <v>975</v>
      </c>
      <c r="B1564" t="inlineStr">
        <is>
          <t>A-495_1__69</t>
        </is>
      </c>
      <c r="C1564" t="n">
        <v>37.4615683413</v>
      </c>
      <c r="D1564" t="n">
        <v>-7.12444223351</v>
      </c>
      <c r="E1564" t="n">
        <v>1</v>
      </c>
      <c r="F1564" t="n">
        <v>2</v>
      </c>
      <c r="G1564" t="n">
        <v>2</v>
      </c>
      <c r="J1564" t="inlineStr">
        <is>
          <t>Moda</t>
        </is>
      </c>
      <c r="K1564" t="n">
        <v>2</v>
      </c>
      <c r="L1564" t="n">
        <v>1.939</v>
      </c>
      <c r="M1564" t="n">
        <v>0</v>
      </c>
      <c r="N1564" t="inlineStr">
        <is>
          <t>train</t>
        </is>
      </c>
      <c r="O1564">
        <f>HYPERLINK("2\1\marker_545_385337.png", "Ver Imagen")</f>
        <v/>
      </c>
      <c r="P1564">
        <f>HYPERLINK("NE\A-495_1\A-495_1__69.png", "Ver Imagen")</f>
        <v/>
      </c>
    </row>
    <row r="1565">
      <c r="A1565" t="n">
        <v>976</v>
      </c>
      <c r="B1565" t="inlineStr">
        <is>
          <t>A-495_1__68</t>
        </is>
      </c>
      <c r="C1565" t="n">
        <v>37.4613754351</v>
      </c>
      <c r="D1565" t="n">
        <v>-7.12449055484</v>
      </c>
      <c r="E1565" t="n">
        <v>1</v>
      </c>
      <c r="F1565" t="n">
        <v>2</v>
      </c>
      <c r="G1565" t="n">
        <v>2</v>
      </c>
      <c r="J1565" t="inlineStr">
        <is>
          <t>Moda</t>
        </is>
      </c>
      <c r="K1565" t="n">
        <v>2</v>
      </c>
      <c r="L1565" t="n">
        <v>1.871</v>
      </c>
      <c r="M1565" t="n">
        <v>0</v>
      </c>
      <c r="N1565" t="inlineStr">
        <is>
          <t>train</t>
        </is>
      </c>
      <c r="O1565">
        <f>HYPERLINK("2\1\marker_384_385346.png", "Ver Imagen")</f>
        <v/>
      </c>
      <c r="P1565">
        <f>HYPERLINK("NE\A-495_1\A-495_1__68.png", "Ver Imagen")</f>
        <v/>
      </c>
    </row>
    <row r="1566">
      <c r="A1566" t="n">
        <v>977</v>
      </c>
      <c r="B1566" t="inlineStr">
        <is>
          <t>A-495_1__67</t>
        </is>
      </c>
      <c r="C1566" t="n">
        <v>37.4611813222</v>
      </c>
      <c r="D1566" t="n">
        <v>-7.1245407248</v>
      </c>
      <c r="E1566" t="n">
        <v>1</v>
      </c>
      <c r="F1566" t="n">
        <v>2</v>
      </c>
      <c r="G1566" t="n">
        <v>2</v>
      </c>
      <c r="J1566" t="inlineStr">
        <is>
          <t>Moda</t>
        </is>
      </c>
      <c r="K1566" t="n">
        <v>2</v>
      </c>
      <c r="L1566" t="n">
        <v>2.015</v>
      </c>
      <c r="M1566" t="n">
        <v>0</v>
      </c>
      <c r="N1566" t="inlineStr">
        <is>
          <t>train</t>
        </is>
      </c>
      <c r="O1566">
        <f>HYPERLINK("2\1\marker_691_385354.png", "Ver Imagen")</f>
        <v/>
      </c>
      <c r="P1566">
        <f>HYPERLINK("NE\A-495_1\A-495_1__67.png", "Ver Imagen")</f>
        <v/>
      </c>
    </row>
    <row r="1567">
      <c r="A1567" t="n">
        <v>978</v>
      </c>
      <c r="B1567" t="inlineStr">
        <is>
          <t>A-495_1__66</t>
        </is>
      </c>
      <c r="C1567" t="n">
        <v>37.460983809</v>
      </c>
      <c r="D1567" t="n">
        <v>-7.12459371705</v>
      </c>
      <c r="E1567" t="n">
        <v>1</v>
      </c>
      <c r="F1567" t="n">
        <v>2</v>
      </c>
      <c r="G1567" t="n">
        <v>2</v>
      </c>
      <c r="J1567" t="inlineStr">
        <is>
          <t>Moda</t>
        </is>
      </c>
      <c r="K1567" t="n">
        <v>2</v>
      </c>
      <c r="L1567" t="n">
        <v>2.002</v>
      </c>
      <c r="M1567" t="n">
        <v>0</v>
      </c>
      <c r="N1567" t="inlineStr">
        <is>
          <t>train</t>
        </is>
      </c>
      <c r="O1567">
        <f>HYPERLINK("2\1\marker_298_385364.png", "Ver Imagen")</f>
        <v/>
      </c>
      <c r="P1567">
        <f>HYPERLINK("NE\A-495_1\A-495_1__66.png", "Ver Imagen")</f>
        <v/>
      </c>
    </row>
    <row r="1568">
      <c r="A1568" t="n">
        <v>979</v>
      </c>
      <c r="B1568" t="inlineStr">
        <is>
          <t>A-495_1__62</t>
        </is>
      </c>
      <c r="C1568" t="n">
        <v>37.4601869344</v>
      </c>
      <c r="D1568" t="n">
        <v>-7.12483483661</v>
      </c>
      <c r="E1568" t="n">
        <v>2</v>
      </c>
      <c r="F1568" t="n">
        <v>2</v>
      </c>
      <c r="G1568" t="n">
        <v>1</v>
      </c>
      <c r="J1568" t="inlineStr">
        <is>
          <t>Moda</t>
        </is>
      </c>
      <c r="K1568" t="n">
        <v>2</v>
      </c>
      <c r="L1568" t="n">
        <v>2.264</v>
      </c>
      <c r="M1568" t="n">
        <v>0</v>
      </c>
      <c r="N1568" t="inlineStr">
        <is>
          <t>train</t>
        </is>
      </c>
      <c r="O1568">
        <f>HYPERLINK("2\1\marker_497_385401.png", "Ver Imagen")</f>
        <v/>
      </c>
      <c r="P1568">
        <f>HYPERLINK("NE\A-495_1\A-495_1__62.png", "Ver Imagen")</f>
        <v/>
      </c>
    </row>
    <row r="1569">
      <c r="A1569" t="n">
        <v>980</v>
      </c>
      <c r="B1569" t="inlineStr">
        <is>
          <t>A-495_1__60</t>
        </is>
      </c>
      <c r="C1569" t="n">
        <v>37.4598090365</v>
      </c>
      <c r="D1569" t="n">
        <v>-7.12496331305</v>
      </c>
      <c r="E1569" t="n">
        <v>1</v>
      </c>
      <c r="F1569" t="n">
        <v>2</v>
      </c>
      <c r="G1569" t="n">
        <v>2</v>
      </c>
      <c r="J1569" t="inlineStr">
        <is>
          <t>Moda</t>
        </is>
      </c>
      <c r="K1569" t="n">
        <v>2</v>
      </c>
      <c r="L1569" t="n">
        <v>1.922</v>
      </c>
      <c r="M1569" t="n">
        <v>0</v>
      </c>
      <c r="N1569" t="inlineStr">
        <is>
          <t>train</t>
        </is>
      </c>
      <c r="O1569">
        <f>HYPERLINK("2\1\marker_751_385469.png", "Ver Imagen")</f>
        <v/>
      </c>
      <c r="P1569">
        <f>HYPERLINK("NE\A-495_1\A-495_1__60.png", "Ver Imagen")</f>
        <v/>
      </c>
    </row>
    <row r="1570">
      <c r="A1570" t="n">
        <v>981</v>
      </c>
      <c r="B1570" t="inlineStr">
        <is>
          <t>A-495_1__34</t>
        </is>
      </c>
      <c r="C1570" t="n">
        <v>37.4547551511</v>
      </c>
      <c r="D1570" t="n">
        <v>-7.12681723888</v>
      </c>
      <c r="E1570" t="n">
        <v>1</v>
      </c>
      <c r="F1570" t="n">
        <v>2</v>
      </c>
      <c r="G1570" t="n">
        <v>2</v>
      </c>
      <c r="J1570" t="inlineStr">
        <is>
          <t>Moda</t>
        </is>
      </c>
      <c r="K1570" t="n">
        <v>2</v>
      </c>
      <c r="L1570" t="n">
        <v>1.571</v>
      </c>
      <c r="M1570" t="n">
        <v>0</v>
      </c>
      <c r="N1570" t="inlineStr">
        <is>
          <t>val</t>
        </is>
      </c>
      <c r="O1570">
        <f>HYPERLINK("2\1\marker_818_385836.png", "Ver Imagen")</f>
        <v/>
      </c>
      <c r="P1570">
        <f>HYPERLINK("NE\A-495_1\A-495_1__34.png", "Ver Imagen")</f>
        <v/>
      </c>
    </row>
    <row r="1571">
      <c r="A1571" t="n">
        <v>982</v>
      </c>
      <c r="B1571" t="inlineStr">
        <is>
          <t>A-495_1__30</t>
        </is>
      </c>
      <c r="C1571" t="n">
        <v>37.4539750454</v>
      </c>
      <c r="D1571" t="n">
        <v>-7.12709426783</v>
      </c>
      <c r="E1571" t="n">
        <v>2</v>
      </c>
      <c r="F1571" t="n">
        <v>2</v>
      </c>
      <c r="G1571" t="n">
        <v>1</v>
      </c>
      <c r="J1571" t="inlineStr">
        <is>
          <t>Moda</t>
        </is>
      </c>
      <c r="K1571" t="n">
        <v>2</v>
      </c>
      <c r="L1571" t="n">
        <v>2.137</v>
      </c>
      <c r="M1571" t="n">
        <v>0</v>
      </c>
      <c r="N1571" t="inlineStr">
        <is>
          <t>test</t>
        </is>
      </c>
      <c r="O1571">
        <f>HYPERLINK("2\1\marker_516_385871.png", "Ver Imagen")</f>
        <v/>
      </c>
      <c r="P1571">
        <f>HYPERLINK("NE\A-495_1\A-495_1__30.png", "Ver Imagen")</f>
        <v/>
      </c>
    </row>
    <row r="1572">
      <c r="A1572" t="n">
        <v>983</v>
      </c>
      <c r="B1572" t="inlineStr">
        <is>
          <t>A-495_1__23</t>
        </is>
      </c>
      <c r="C1572" t="n">
        <v>37.4525728028</v>
      </c>
      <c r="D1572" t="n">
        <v>-7.12741987315</v>
      </c>
      <c r="E1572" t="n">
        <v>1</v>
      </c>
      <c r="F1572" t="n">
        <v>2</v>
      </c>
      <c r="G1572" t="n">
        <v>2</v>
      </c>
      <c r="J1572" t="inlineStr">
        <is>
          <t>Moda</t>
        </is>
      </c>
      <c r="K1572" t="n">
        <v>2</v>
      </c>
      <c r="L1572" t="n">
        <v>1.941</v>
      </c>
      <c r="M1572" t="n">
        <v>0</v>
      </c>
      <c r="N1572" t="inlineStr">
        <is>
          <t>train</t>
        </is>
      </c>
      <c r="O1572">
        <f>HYPERLINK("2\1\marker_554_385943.png", "Ver Imagen")</f>
        <v/>
      </c>
      <c r="P1572">
        <f>HYPERLINK("NE\A-495_1\A-495_1__23.png", "Ver Imagen")</f>
        <v/>
      </c>
    </row>
    <row r="1573">
      <c r="A1573" t="n">
        <v>984</v>
      </c>
      <c r="B1573" t="inlineStr">
        <is>
          <t>A-497__852</t>
        </is>
      </c>
      <c r="C1573" t="n">
        <v>37.2000684496</v>
      </c>
      <c r="D1573" t="n">
        <v>-6.98673130744</v>
      </c>
      <c r="E1573" t="n">
        <v>1</v>
      </c>
      <c r="F1573" t="n">
        <v>2</v>
      </c>
      <c r="G1573" t="n">
        <v>2</v>
      </c>
      <c r="J1573" t="inlineStr">
        <is>
          <t>Moda</t>
        </is>
      </c>
      <c r="K1573" t="n">
        <v>2</v>
      </c>
      <c r="L1573" t="n">
        <v>2.294</v>
      </c>
      <c r="M1573" t="n">
        <v>0</v>
      </c>
      <c r="N1573" t="inlineStr">
        <is>
          <t>train</t>
        </is>
      </c>
      <c r="O1573">
        <f>HYPERLINK("2\1\marker_995_367414.png", "Ver Imagen")</f>
        <v/>
      </c>
      <c r="P1573">
        <f>HYPERLINK("SE\A-497\A-497__852.png", "Ver Imagen")</f>
        <v/>
      </c>
    </row>
    <row r="1574">
      <c r="A1574" t="n">
        <v>986</v>
      </c>
      <c r="B1574" t="inlineStr">
        <is>
          <t>A-497__850</t>
        </is>
      </c>
      <c r="C1574" t="n">
        <v>37.1999151764</v>
      </c>
      <c r="D1574" t="n">
        <v>-6.98610076903</v>
      </c>
      <c r="E1574" t="n">
        <v>1</v>
      </c>
      <c r="F1574" t="n">
        <v>2</v>
      </c>
      <c r="G1574" t="n">
        <v>2</v>
      </c>
      <c r="J1574" t="inlineStr">
        <is>
          <t>Moda</t>
        </is>
      </c>
      <c r="K1574" t="n">
        <v>2</v>
      </c>
      <c r="L1574" t="n">
        <v>1.984</v>
      </c>
      <c r="M1574" t="n">
        <v>0</v>
      </c>
      <c r="N1574" t="inlineStr">
        <is>
          <t>train</t>
        </is>
      </c>
      <c r="O1574">
        <f>HYPERLINK("2\1\marker_500_367437.png", "Ver Imagen")</f>
        <v/>
      </c>
      <c r="P1574">
        <f>HYPERLINK("SE\A-497\A-497__850.png", "Ver Imagen")</f>
        <v/>
      </c>
    </row>
    <row r="1575">
      <c r="A1575" t="n">
        <v>987</v>
      </c>
      <c r="B1575" t="inlineStr">
        <is>
          <t>A-497__849</t>
        </is>
      </c>
      <c r="C1575" t="n">
        <v>37.1998647497</v>
      </c>
      <c r="D1575" t="n">
        <v>-6.98589731253</v>
      </c>
      <c r="E1575" t="n">
        <v>1</v>
      </c>
      <c r="F1575" t="n">
        <v>2</v>
      </c>
      <c r="G1575" t="n">
        <v>2</v>
      </c>
      <c r="J1575" t="inlineStr">
        <is>
          <t>Moda</t>
        </is>
      </c>
      <c r="K1575" t="n">
        <v>2</v>
      </c>
      <c r="L1575" t="n">
        <v>2.103</v>
      </c>
      <c r="M1575" t="n">
        <v>0</v>
      </c>
      <c r="N1575" t="inlineStr">
        <is>
          <t>train</t>
        </is>
      </c>
      <c r="O1575">
        <f>HYPERLINK("2\1\marker_760_367446.png", "Ver Imagen")</f>
        <v/>
      </c>
      <c r="P1575">
        <f>HYPERLINK("SE\A-497\A-497__849.png", "Ver Imagen")</f>
        <v/>
      </c>
    </row>
    <row r="1576">
      <c r="A1576" t="n">
        <v>988</v>
      </c>
      <c r="B1576" t="inlineStr">
        <is>
          <t>A-497__848</t>
        </is>
      </c>
      <c r="C1576" t="n">
        <v>37.1998209082</v>
      </c>
      <c r="D1576" t="n">
        <v>-6.98572139464</v>
      </c>
      <c r="E1576" t="n">
        <v>1</v>
      </c>
      <c r="F1576" t="n">
        <v>2</v>
      </c>
      <c r="G1576" t="n">
        <v>2</v>
      </c>
      <c r="J1576" t="inlineStr">
        <is>
          <t>Moda</t>
        </is>
      </c>
      <c r="K1576" t="n">
        <v>2</v>
      </c>
      <c r="L1576" t="n">
        <v>2.414</v>
      </c>
      <c r="M1576" t="n">
        <v>0</v>
      </c>
      <c r="N1576" t="inlineStr">
        <is>
          <t>val</t>
        </is>
      </c>
      <c r="O1576">
        <f>HYPERLINK("2\1\marker_441_367463.png", "Ver Imagen")</f>
        <v/>
      </c>
      <c r="P1576">
        <f>HYPERLINK("SE\A-497\A-497__848.png", "Ver Imagen")</f>
        <v/>
      </c>
    </row>
    <row r="1577">
      <c r="A1577" t="n">
        <v>990</v>
      </c>
      <c r="B1577" t="inlineStr">
        <is>
          <t>A-497__846</t>
        </is>
      </c>
      <c r="C1577" t="n">
        <v>37.1996872949</v>
      </c>
      <c r="D1577" t="n">
        <v>-6.98519962575</v>
      </c>
      <c r="E1577" t="n">
        <v>1</v>
      </c>
      <c r="F1577" t="n">
        <v>2</v>
      </c>
      <c r="G1577" t="n">
        <v>2</v>
      </c>
      <c r="J1577" t="inlineStr">
        <is>
          <t>Moda</t>
        </is>
      </c>
      <c r="K1577" t="n">
        <v>2</v>
      </c>
      <c r="L1577" t="n">
        <v>1.83</v>
      </c>
      <c r="M1577" t="n">
        <v>0</v>
      </c>
      <c r="N1577" t="inlineStr">
        <is>
          <t>train</t>
        </is>
      </c>
      <c r="O1577">
        <f>HYPERLINK("2\1\marker_236_367481.png", "Ver Imagen")</f>
        <v/>
      </c>
      <c r="P1577">
        <f>HYPERLINK("SE\A-497\A-497__846.png", "Ver Imagen")</f>
        <v/>
      </c>
    </row>
    <row r="1578">
      <c r="A1578" t="n">
        <v>991</v>
      </c>
      <c r="B1578" t="inlineStr">
        <is>
          <t>A-497__841</t>
        </is>
      </c>
      <c r="C1578" t="n">
        <v>37.1993513908</v>
      </c>
      <c r="D1578" t="n">
        <v>-6.98396188602</v>
      </c>
      <c r="E1578" t="n">
        <v>1</v>
      </c>
      <c r="F1578" t="n">
        <v>2</v>
      </c>
      <c r="G1578" t="n">
        <v>2</v>
      </c>
      <c r="J1578" t="inlineStr">
        <is>
          <t>Moda</t>
        </is>
      </c>
      <c r="K1578" t="n">
        <v>2</v>
      </c>
      <c r="L1578" t="n">
        <v>2.122</v>
      </c>
      <c r="M1578" t="n">
        <v>0</v>
      </c>
      <c r="N1578" t="inlineStr">
        <is>
          <t>train</t>
        </is>
      </c>
      <c r="O1578">
        <f>HYPERLINK("2\1\marker_532_367534.png", "Ver Imagen")</f>
        <v/>
      </c>
      <c r="P1578">
        <f>HYPERLINK("SE\A-497\A-497__841.png", "Ver Imagen")</f>
        <v/>
      </c>
    </row>
    <row r="1579">
      <c r="A1579" t="n">
        <v>992</v>
      </c>
      <c r="B1579" t="inlineStr">
        <is>
          <t>A-497__840</t>
        </is>
      </c>
      <c r="C1579" t="n">
        <v>37.1992830837</v>
      </c>
      <c r="D1579" t="n">
        <v>-6.98373011686</v>
      </c>
      <c r="E1579" t="n">
        <v>1</v>
      </c>
      <c r="F1579" t="n">
        <v>2</v>
      </c>
      <c r="G1579" t="n">
        <v>2</v>
      </c>
      <c r="J1579" t="inlineStr">
        <is>
          <t>Moda</t>
        </is>
      </c>
      <c r="K1579" t="n">
        <v>2</v>
      </c>
      <c r="L1579" t="n">
        <v>2.11</v>
      </c>
      <c r="M1579" t="n">
        <v>0</v>
      </c>
      <c r="N1579" t="inlineStr">
        <is>
          <t>val</t>
        </is>
      </c>
      <c r="O1579">
        <f>HYPERLINK("2\1\marker_325_367543.png", "Ver Imagen")</f>
        <v/>
      </c>
      <c r="P1579">
        <f>HYPERLINK("SE\A-497\A-497__840.png", "Ver Imagen")</f>
        <v/>
      </c>
    </row>
    <row r="1580">
      <c r="A1580" t="n">
        <v>993</v>
      </c>
      <c r="B1580" t="inlineStr">
        <is>
          <t>A-497__839</t>
        </is>
      </c>
      <c r="C1580" t="n">
        <v>37.1992116346</v>
      </c>
      <c r="D1580" t="n">
        <v>-6.98349697866</v>
      </c>
      <c r="E1580" t="n">
        <v>1</v>
      </c>
      <c r="F1580" t="n">
        <v>2</v>
      </c>
      <c r="G1580" t="n">
        <v>2</v>
      </c>
      <c r="J1580" t="inlineStr">
        <is>
          <t>Moda</t>
        </is>
      </c>
      <c r="K1580" t="n">
        <v>2</v>
      </c>
      <c r="L1580" t="n">
        <v>1.837</v>
      </c>
      <c r="M1580" t="n">
        <v>0</v>
      </c>
      <c r="N1580" t="inlineStr">
        <is>
          <t>train</t>
        </is>
      </c>
      <c r="O1580">
        <f>HYPERLINK("2\1\marker_420_367556.png", "Ver Imagen")</f>
        <v/>
      </c>
      <c r="P1580">
        <f>HYPERLINK("SE\A-497\A-497__839.png", "Ver Imagen")</f>
        <v/>
      </c>
    </row>
    <row r="1581">
      <c r="A1581" t="n">
        <v>994</v>
      </c>
      <c r="B1581" t="inlineStr">
        <is>
          <t>A-497__838</t>
        </is>
      </c>
      <c r="C1581" t="n">
        <v>37.1991500977</v>
      </c>
      <c r="D1581" t="n">
        <v>-6.98330240999</v>
      </c>
      <c r="E1581" t="n">
        <v>1</v>
      </c>
      <c r="F1581" t="n">
        <v>2</v>
      </c>
      <c r="G1581" t="n">
        <v>2</v>
      </c>
      <c r="J1581" t="inlineStr">
        <is>
          <t>Moda</t>
        </is>
      </c>
      <c r="K1581" t="n">
        <v>2</v>
      </c>
      <c r="L1581" t="n">
        <v>2.025</v>
      </c>
      <c r="M1581" t="n">
        <v>0</v>
      </c>
      <c r="N1581" t="inlineStr">
        <is>
          <t>val</t>
        </is>
      </c>
      <c r="O1581">
        <f>HYPERLINK("2\1\marker_288_367567.png", "Ver Imagen")</f>
        <v/>
      </c>
      <c r="P1581">
        <f>HYPERLINK("SE\A-497\A-497__838.png", "Ver Imagen")</f>
        <v/>
      </c>
    </row>
    <row r="1582">
      <c r="A1582" t="n">
        <v>995</v>
      </c>
      <c r="B1582" t="inlineStr">
        <is>
          <t>A-497_2C__8</t>
        </is>
      </c>
      <c r="C1582" t="n">
        <v>37.2673792243</v>
      </c>
      <c r="D1582" t="n">
        <v>-6.95897718337</v>
      </c>
      <c r="E1582" t="n">
        <v>1</v>
      </c>
      <c r="F1582" t="n">
        <v>2</v>
      </c>
      <c r="G1582" t="n">
        <v>2</v>
      </c>
      <c r="J1582" t="inlineStr">
        <is>
          <t>Moda</t>
        </is>
      </c>
      <c r="K1582" t="n">
        <v>2</v>
      </c>
      <c r="L1582" t="n">
        <v>1.879</v>
      </c>
      <c r="M1582" t="n">
        <v>0</v>
      </c>
      <c r="N1582" t="inlineStr">
        <is>
          <t>train</t>
        </is>
      </c>
      <c r="O1582">
        <f>HYPERLINK("2\1\marker_943_653798.png", "Ver Imagen")</f>
        <v/>
      </c>
      <c r="P1582">
        <f>HYPERLINK("SE\A-497_2C\A-497_2C__8.png", "Ver Imagen")</f>
        <v/>
      </c>
    </row>
    <row r="1583">
      <c r="A1583" t="n">
        <v>998</v>
      </c>
      <c r="B1583" t="inlineStr">
        <is>
          <t>A-497_2C__13</t>
        </is>
      </c>
      <c r="C1583" t="n">
        <v>37.2675217022</v>
      </c>
      <c r="D1583" t="n">
        <v>-6.96028341093</v>
      </c>
      <c r="E1583" t="n">
        <v>1</v>
      </c>
      <c r="F1583" t="n">
        <v>2</v>
      </c>
      <c r="G1583" t="n">
        <v>2</v>
      </c>
      <c r="J1583" t="inlineStr">
        <is>
          <t>Moda</t>
        </is>
      </c>
      <c r="K1583" t="n">
        <v>2</v>
      </c>
      <c r="L1583" t="n">
        <v>2.066</v>
      </c>
      <c r="M1583" t="n">
        <v>0</v>
      </c>
      <c r="N1583" t="inlineStr">
        <is>
          <t>train</t>
        </is>
      </c>
      <c r="O1583">
        <f>HYPERLINK("2\1\marker_186_654013.png", "Ver Imagen")</f>
        <v/>
      </c>
      <c r="P1583">
        <f>HYPERLINK("SE\A-497_2C\A-497_2C__13.png", "Ver Imagen")</f>
        <v/>
      </c>
    </row>
    <row r="1584">
      <c r="A1584" t="n">
        <v>999</v>
      </c>
      <c r="B1584" t="inlineStr">
        <is>
          <t>A-497_2C__14</t>
        </is>
      </c>
      <c r="C1584" t="n">
        <v>37.2675379537</v>
      </c>
      <c r="D1584" t="n">
        <v>-6.96051183135</v>
      </c>
      <c r="E1584" t="n">
        <v>1</v>
      </c>
      <c r="F1584" t="n">
        <v>2</v>
      </c>
      <c r="G1584" t="n">
        <v>2</v>
      </c>
      <c r="J1584" t="inlineStr">
        <is>
          <t>Moda</t>
        </is>
      </c>
      <c r="K1584" t="n">
        <v>2</v>
      </c>
      <c r="L1584" t="n">
        <v>1.813</v>
      </c>
      <c r="M1584" t="n">
        <v>0</v>
      </c>
      <c r="N1584" t="inlineStr">
        <is>
          <t>train</t>
        </is>
      </c>
      <c r="O1584">
        <f>HYPERLINK("2\1\marker_532_654021.png", "Ver Imagen")</f>
        <v/>
      </c>
      <c r="P1584">
        <f>HYPERLINK("SE\A-497_2C\A-497_2C__14.png", "Ver Imagen")</f>
        <v/>
      </c>
    </row>
    <row r="1585">
      <c r="A1585" t="n">
        <v>1000</v>
      </c>
      <c r="B1585" t="inlineStr">
        <is>
          <t>A-497_2C__15</t>
        </is>
      </c>
      <c r="C1585" t="n">
        <v>37.2675532148</v>
      </c>
      <c r="D1585" t="n">
        <v>-6.96078848082</v>
      </c>
      <c r="E1585" t="n">
        <v>1</v>
      </c>
      <c r="F1585" t="n">
        <v>2</v>
      </c>
      <c r="G1585" t="n">
        <v>2</v>
      </c>
      <c r="J1585" t="inlineStr">
        <is>
          <t>Moda</t>
        </is>
      </c>
      <c r="K1585" t="n">
        <v>2</v>
      </c>
      <c r="L1585" t="n">
        <v>1.956</v>
      </c>
      <c r="M1585" t="n">
        <v>0</v>
      </c>
      <c r="N1585" t="inlineStr">
        <is>
          <t>train</t>
        </is>
      </c>
      <c r="O1585">
        <f>HYPERLINK("2\1\marker_554_654031.png", "Ver Imagen")</f>
        <v/>
      </c>
      <c r="P1585">
        <f>HYPERLINK("SE\A-497_2C\A-497_2C__15.png", "Ver Imagen")</f>
        <v/>
      </c>
    </row>
    <row r="1586">
      <c r="A1586" t="n">
        <v>1001</v>
      </c>
      <c r="B1586" t="inlineStr">
        <is>
          <t>A-497_2C__16</t>
        </is>
      </c>
      <c r="C1586" t="n">
        <v>37.2675641184</v>
      </c>
      <c r="D1586" t="n">
        <v>-6.96103445595</v>
      </c>
      <c r="E1586" t="n">
        <v>1</v>
      </c>
      <c r="F1586" t="n">
        <v>2</v>
      </c>
      <c r="G1586" t="n">
        <v>2</v>
      </c>
      <c r="J1586" t="inlineStr">
        <is>
          <t>Moda</t>
        </is>
      </c>
      <c r="K1586" t="n">
        <v>2</v>
      </c>
      <c r="L1586" t="n">
        <v>2.304</v>
      </c>
      <c r="M1586" t="n">
        <v>0</v>
      </c>
      <c r="N1586" t="inlineStr">
        <is>
          <t>train</t>
        </is>
      </c>
      <c r="O1586">
        <f>HYPERLINK("2\1\marker_352_654339.png", "Ver Imagen")</f>
        <v/>
      </c>
      <c r="P1586">
        <f>HYPERLINK("SE\A-497_2C\A-497_2C__16.png", "Ver Imagen")</f>
        <v/>
      </c>
    </row>
    <row r="1587">
      <c r="A1587" t="n">
        <v>1002</v>
      </c>
      <c r="B1587" t="inlineStr">
        <is>
          <t>A-497_2C__17</t>
        </is>
      </c>
      <c r="C1587" t="n">
        <v>37.267572813</v>
      </c>
      <c r="D1587" t="n">
        <v>-6.96125605594</v>
      </c>
      <c r="E1587" t="n">
        <v>1</v>
      </c>
      <c r="F1587" t="n">
        <v>2</v>
      </c>
      <c r="G1587" t="n">
        <v>2</v>
      </c>
      <c r="J1587" t="inlineStr">
        <is>
          <t>Moda</t>
        </is>
      </c>
      <c r="K1587" t="n">
        <v>2</v>
      </c>
      <c r="L1587" t="n">
        <v>2.215</v>
      </c>
      <c r="M1587" t="n">
        <v>0</v>
      </c>
      <c r="N1587" t="inlineStr">
        <is>
          <t>train</t>
        </is>
      </c>
      <c r="O1587">
        <f>HYPERLINK("2\1\marker_601_654348.png", "Ver Imagen")</f>
        <v/>
      </c>
      <c r="P1587">
        <f>HYPERLINK("SE\A-497_2C\A-497_2C__17.png", "Ver Imagen")</f>
        <v/>
      </c>
    </row>
    <row r="1588">
      <c r="A1588" t="n">
        <v>1003</v>
      </c>
      <c r="B1588" t="inlineStr">
        <is>
          <t>A-497_2C__18</t>
        </is>
      </c>
      <c r="C1588" t="n">
        <v>37.2675805117</v>
      </c>
      <c r="D1588" t="n">
        <v>-6.9614844844</v>
      </c>
      <c r="E1588" t="n">
        <v>1</v>
      </c>
      <c r="F1588" t="n">
        <v>2</v>
      </c>
      <c r="G1588" t="n">
        <v>2</v>
      </c>
      <c r="J1588" t="inlineStr">
        <is>
          <t>Moda</t>
        </is>
      </c>
      <c r="K1588" t="n">
        <v>2</v>
      </c>
      <c r="L1588" t="n">
        <v>2.378</v>
      </c>
      <c r="M1588" t="n">
        <v>0</v>
      </c>
      <c r="N1588" t="inlineStr">
        <is>
          <t>train</t>
        </is>
      </c>
      <c r="O1588">
        <f>HYPERLINK("2\1\marker_133_654357.png", "Ver Imagen")</f>
        <v/>
      </c>
      <c r="P1588">
        <f>HYPERLINK("SE\A-497_2C\A-497_2C__18.png", "Ver Imagen")</f>
        <v/>
      </c>
    </row>
    <row r="1589">
      <c r="A1589" t="n">
        <v>1004</v>
      </c>
      <c r="B1589" t="inlineStr">
        <is>
          <t>A-497__742</t>
        </is>
      </c>
      <c r="C1589" t="n">
        <v>37.1885847557</v>
      </c>
      <c r="D1589" t="n">
        <v>-6.97833361804</v>
      </c>
      <c r="E1589" t="n">
        <v>1</v>
      </c>
      <c r="F1589" t="n">
        <v>2</v>
      </c>
      <c r="G1589" t="n">
        <v>2</v>
      </c>
      <c r="J1589" t="inlineStr">
        <is>
          <t>Moda</t>
        </is>
      </c>
      <c r="K1589" t="n">
        <v>2</v>
      </c>
      <c r="L1589" t="n">
        <v>2.186</v>
      </c>
      <c r="M1589" t="n">
        <v>0</v>
      </c>
      <c r="N1589" t="inlineStr">
        <is>
          <t>train</t>
        </is>
      </c>
      <c r="O1589">
        <f>HYPERLINK("2\1\marker_695_368818.png", "Ver Imagen")</f>
        <v/>
      </c>
      <c r="P1589">
        <f>HYPERLINK("SE\A-497\A-497__742.png", "Ver Imagen")</f>
        <v/>
      </c>
    </row>
    <row r="1590">
      <c r="A1590" t="n">
        <v>1005</v>
      </c>
      <c r="B1590" t="inlineStr">
        <is>
          <t>A-497__741</t>
        </is>
      </c>
      <c r="C1590" t="n">
        <v>37.1887861185</v>
      </c>
      <c r="D1590" t="n">
        <v>-6.97829079026</v>
      </c>
      <c r="E1590" t="n">
        <v>1</v>
      </c>
      <c r="F1590" t="n">
        <v>2</v>
      </c>
      <c r="G1590" t="n">
        <v>2</v>
      </c>
      <c r="J1590" t="inlineStr">
        <is>
          <t>Moda</t>
        </is>
      </c>
      <c r="K1590" t="n">
        <v>2</v>
      </c>
      <c r="L1590" t="n">
        <v>1.87</v>
      </c>
      <c r="M1590" t="n">
        <v>0</v>
      </c>
      <c r="N1590" t="inlineStr">
        <is>
          <t>train</t>
        </is>
      </c>
      <c r="O1590">
        <f>HYPERLINK("2\1\marker_236_368829.png", "Ver Imagen")</f>
        <v/>
      </c>
      <c r="P1590">
        <f>HYPERLINK("SE\A-497\A-497__741.png", "Ver Imagen")</f>
        <v/>
      </c>
    </row>
    <row r="1591">
      <c r="A1591" t="n">
        <v>1006</v>
      </c>
      <c r="B1591" t="inlineStr">
        <is>
          <t>A-497__740</t>
        </is>
      </c>
      <c r="C1591" t="n">
        <v>37.1890123081</v>
      </c>
      <c r="D1591" t="n">
        <v>-6.97823293002</v>
      </c>
      <c r="E1591" t="n">
        <v>1</v>
      </c>
      <c r="F1591" t="n">
        <v>2</v>
      </c>
      <c r="G1591" t="n">
        <v>2</v>
      </c>
      <c r="J1591" t="inlineStr">
        <is>
          <t>Moda</t>
        </is>
      </c>
      <c r="K1591" t="n">
        <v>2</v>
      </c>
      <c r="L1591" t="n">
        <v>2.077</v>
      </c>
      <c r="M1591" t="n">
        <v>0</v>
      </c>
      <c r="N1591" t="inlineStr">
        <is>
          <t>train</t>
        </is>
      </c>
      <c r="O1591">
        <f>HYPERLINK("2\1\marker_961_368840.png", "Ver Imagen")</f>
        <v/>
      </c>
      <c r="P1591">
        <f>HYPERLINK("SE\A-497\A-497__740.png", "Ver Imagen")</f>
        <v/>
      </c>
    </row>
    <row r="1592">
      <c r="A1592" t="n">
        <v>1007</v>
      </c>
      <c r="B1592" t="inlineStr">
        <is>
          <t>A-497__739</t>
        </is>
      </c>
      <c r="C1592" t="n">
        <v>37.1891667895</v>
      </c>
      <c r="D1592" t="n">
        <v>-6.97819068625</v>
      </c>
      <c r="E1592" t="n">
        <v>1</v>
      </c>
      <c r="F1592" t="n">
        <v>2</v>
      </c>
      <c r="G1592" t="n">
        <v>2</v>
      </c>
      <c r="J1592" t="inlineStr">
        <is>
          <t>Moda</t>
        </is>
      </c>
      <c r="K1592" t="n">
        <v>2</v>
      </c>
      <c r="L1592" t="n">
        <v>2.222</v>
      </c>
      <c r="M1592" t="n">
        <v>0</v>
      </c>
      <c r="N1592" t="inlineStr">
        <is>
          <t>train</t>
        </is>
      </c>
      <c r="O1592">
        <f>HYPERLINK("2\1\marker_192_368851.png", "Ver Imagen")</f>
        <v/>
      </c>
      <c r="P1592">
        <f>HYPERLINK("SE\A-497\A-497__739.png", "Ver Imagen")</f>
        <v/>
      </c>
    </row>
    <row r="1593">
      <c r="A1593" t="n">
        <v>1008</v>
      </c>
      <c r="B1593" t="inlineStr">
        <is>
          <t>A-497__738</t>
        </is>
      </c>
      <c r="C1593" t="n">
        <v>37.1893616012</v>
      </c>
      <c r="D1593" t="n">
        <v>-6.97813589865</v>
      </c>
      <c r="E1593" t="n">
        <v>1</v>
      </c>
      <c r="F1593" t="n">
        <v>2</v>
      </c>
      <c r="G1593" t="n">
        <v>2</v>
      </c>
      <c r="J1593" t="inlineStr">
        <is>
          <t>Moda</t>
        </is>
      </c>
      <c r="K1593" t="n">
        <v>2</v>
      </c>
      <c r="L1593" t="n">
        <v>1.698</v>
      </c>
      <c r="M1593" t="n">
        <v>0</v>
      </c>
      <c r="N1593" t="inlineStr">
        <is>
          <t>train</t>
        </is>
      </c>
      <c r="O1593">
        <f>HYPERLINK("2\1\marker_695_368860.png", "Ver Imagen")</f>
        <v/>
      </c>
      <c r="P1593">
        <f>HYPERLINK("SE\A-497\A-497__738.png", "Ver Imagen")</f>
        <v/>
      </c>
    </row>
    <row r="1594">
      <c r="A1594" t="n">
        <v>1009</v>
      </c>
      <c r="B1594" t="inlineStr">
        <is>
          <t>A-497__737</t>
        </is>
      </c>
      <c r="C1594" t="n">
        <v>37.1895907765</v>
      </c>
      <c r="D1594" t="n">
        <v>-6.97807081542</v>
      </c>
      <c r="E1594" t="n">
        <v>1</v>
      </c>
      <c r="F1594" t="n">
        <v>2</v>
      </c>
      <c r="G1594" t="n">
        <v>2</v>
      </c>
      <c r="J1594" t="inlineStr">
        <is>
          <t>Moda</t>
        </is>
      </c>
      <c r="K1594" t="n">
        <v>2</v>
      </c>
      <c r="L1594" t="n">
        <v>2.402</v>
      </c>
      <c r="M1594" t="n">
        <v>0</v>
      </c>
      <c r="N1594" t="inlineStr">
        <is>
          <t>test</t>
        </is>
      </c>
      <c r="O1594">
        <f>HYPERLINK("2\1\marker_429_368869.png", "Ver Imagen")</f>
        <v/>
      </c>
      <c r="P1594">
        <f>HYPERLINK("SE\A-497\A-497__737.png", "Ver Imagen")</f>
        <v/>
      </c>
    </row>
    <row r="1595">
      <c r="A1595" t="n">
        <v>1010</v>
      </c>
      <c r="B1595" t="inlineStr">
        <is>
          <t>A-497__736</t>
        </is>
      </c>
      <c r="C1595" t="n">
        <v>37.1897959411</v>
      </c>
      <c r="D1595" t="n">
        <v>-6.97801397408</v>
      </c>
      <c r="E1595" t="n">
        <v>1</v>
      </c>
      <c r="F1595" t="n">
        <v>2</v>
      </c>
      <c r="G1595" t="n">
        <v>2</v>
      </c>
      <c r="J1595" t="inlineStr">
        <is>
          <t>Moda</t>
        </is>
      </c>
      <c r="K1595" t="n">
        <v>2</v>
      </c>
      <c r="L1595" t="n">
        <v>1.997</v>
      </c>
      <c r="M1595" t="n">
        <v>0</v>
      </c>
      <c r="N1595" t="inlineStr">
        <is>
          <t>train</t>
        </is>
      </c>
      <c r="O1595">
        <f>HYPERLINK("2\1\marker_610_368886.png", "Ver Imagen")</f>
        <v/>
      </c>
      <c r="P1595">
        <f>HYPERLINK("SE\A-497\A-497__736.png", "Ver Imagen")</f>
        <v/>
      </c>
    </row>
    <row r="1596">
      <c r="A1596" t="n">
        <v>1011</v>
      </c>
      <c r="B1596" t="inlineStr">
        <is>
          <t>A-497__735</t>
        </is>
      </c>
      <c r="C1596" t="n">
        <v>37.1899890376</v>
      </c>
      <c r="D1596" t="n">
        <v>-6.97796133069</v>
      </c>
      <c r="E1596" t="n">
        <v>1</v>
      </c>
      <c r="F1596" t="n">
        <v>2</v>
      </c>
      <c r="G1596" t="n">
        <v>2</v>
      </c>
      <c r="J1596" t="inlineStr">
        <is>
          <t>Moda</t>
        </is>
      </c>
      <c r="K1596" t="n">
        <v>2</v>
      </c>
      <c r="L1596" t="n">
        <v>1.862</v>
      </c>
      <c r="M1596" t="n">
        <v>0</v>
      </c>
      <c r="N1596" t="inlineStr">
        <is>
          <t>train</t>
        </is>
      </c>
      <c r="O1596">
        <f>HYPERLINK("2\1\marker_776_368895.png", "Ver Imagen")</f>
        <v/>
      </c>
      <c r="P1596">
        <f>HYPERLINK("SE\A-497\A-497__735.png", "Ver Imagen")</f>
        <v/>
      </c>
    </row>
    <row r="1597">
      <c r="A1597" t="n">
        <v>1012</v>
      </c>
      <c r="B1597" t="inlineStr">
        <is>
          <t>A-497_2C__170</t>
        </is>
      </c>
      <c r="C1597" t="n">
        <v>37.2655682807</v>
      </c>
      <c r="D1597" t="n">
        <v>-6.99569341905</v>
      </c>
      <c r="E1597" t="n">
        <v>2</v>
      </c>
      <c r="F1597" t="n">
        <v>2</v>
      </c>
      <c r="G1597" t="n">
        <v>1</v>
      </c>
      <c r="J1597" t="inlineStr">
        <is>
          <t>Moda</t>
        </is>
      </c>
      <c r="K1597" t="n">
        <v>2</v>
      </c>
      <c r="L1597" t="n">
        <v>2.083</v>
      </c>
      <c r="M1597" t="n">
        <v>0</v>
      </c>
      <c r="N1597" t="inlineStr">
        <is>
          <t>train</t>
        </is>
      </c>
      <c r="O1597">
        <f>HYPERLINK("2\1\marker_366_656199.png", "Ver Imagen")</f>
        <v/>
      </c>
      <c r="P1597">
        <f>HYPERLINK("SE\A-497_2C\A-497_2C__170.png", "Ver Imagen")</f>
        <v/>
      </c>
    </row>
    <row r="1598">
      <c r="A1598" t="n">
        <v>1013</v>
      </c>
      <c r="B1598" t="inlineStr">
        <is>
          <t>A-497__555</t>
        </is>
      </c>
      <c r="C1598" t="n">
        <v>37.2046476853</v>
      </c>
      <c r="D1598" t="n">
        <v>-7.01385566055</v>
      </c>
      <c r="E1598" t="n">
        <v>1</v>
      </c>
      <c r="F1598" t="n">
        <v>2</v>
      </c>
      <c r="G1598" t="n">
        <v>2</v>
      </c>
      <c r="J1598" t="inlineStr">
        <is>
          <t>Moda</t>
        </is>
      </c>
      <c r="K1598" t="n">
        <v>2</v>
      </c>
      <c r="L1598" t="n">
        <v>1.858</v>
      </c>
      <c r="M1598" t="n">
        <v>0</v>
      </c>
      <c r="N1598" t="inlineStr">
        <is>
          <t>train</t>
        </is>
      </c>
      <c r="O1598">
        <f>HYPERLINK("2\1\marker_444_372210.png", "Ver Imagen")</f>
        <v/>
      </c>
      <c r="P1598">
        <f>HYPERLINK("SE\A-497\A-497__555.png", "Ver Imagen")</f>
        <v/>
      </c>
    </row>
    <row r="1599">
      <c r="A1599" t="n">
        <v>1014</v>
      </c>
      <c r="B1599" t="inlineStr">
        <is>
          <t>A-497__554</t>
        </is>
      </c>
      <c r="C1599" t="n">
        <v>37.2047014799</v>
      </c>
      <c r="D1599" t="n">
        <v>-7.01412079043</v>
      </c>
      <c r="E1599" t="n">
        <v>1</v>
      </c>
      <c r="F1599" t="n">
        <v>2</v>
      </c>
      <c r="G1599" t="n">
        <v>2</v>
      </c>
      <c r="J1599" t="inlineStr">
        <is>
          <t>Moda</t>
        </is>
      </c>
      <c r="K1599" t="n">
        <v>2</v>
      </c>
      <c r="L1599" t="n">
        <v>1.878</v>
      </c>
      <c r="M1599" t="n">
        <v>0</v>
      </c>
      <c r="N1599" t="inlineStr">
        <is>
          <t>test</t>
        </is>
      </c>
      <c r="O1599">
        <f>HYPERLINK("2\1\marker_914_372218.png", "Ver Imagen")</f>
        <v/>
      </c>
      <c r="P1599">
        <f>HYPERLINK("SE\A-497\A-497__554.png", "Ver Imagen")</f>
        <v/>
      </c>
    </row>
    <row r="1600">
      <c r="A1600" t="n">
        <v>1015</v>
      </c>
      <c r="B1600" t="inlineStr">
        <is>
          <t>A-497__553</t>
        </is>
      </c>
      <c r="C1600" t="n">
        <v>37.2047477326</v>
      </c>
      <c r="D1600" t="n">
        <v>-7.01435149072</v>
      </c>
      <c r="E1600" t="n">
        <v>1</v>
      </c>
      <c r="F1600" t="n">
        <v>2</v>
      </c>
      <c r="G1600" t="n">
        <v>2</v>
      </c>
      <c r="J1600" t="inlineStr">
        <is>
          <t>Moda</t>
        </is>
      </c>
      <c r="K1600" t="n">
        <v>2</v>
      </c>
      <c r="L1600" t="n">
        <v>2.017</v>
      </c>
      <c r="M1600" t="n">
        <v>0</v>
      </c>
      <c r="N1600" t="inlineStr">
        <is>
          <t>train</t>
        </is>
      </c>
      <c r="O1600">
        <f>HYPERLINK("2\1\marker_274_372227.png", "Ver Imagen")</f>
        <v/>
      </c>
      <c r="P1600">
        <f>HYPERLINK("SE\A-497\A-497__553.png", "Ver Imagen")</f>
        <v/>
      </c>
    </row>
    <row r="1601">
      <c r="A1601" t="n">
        <v>1016</v>
      </c>
      <c r="B1601" t="inlineStr">
        <is>
          <t>A-497__551</t>
        </is>
      </c>
      <c r="C1601" t="n">
        <v>37.2048337162</v>
      </c>
      <c r="D1601" t="n">
        <v>-7.01478608191</v>
      </c>
      <c r="E1601" t="n">
        <v>1</v>
      </c>
      <c r="F1601" t="n">
        <v>2</v>
      </c>
      <c r="G1601" t="n">
        <v>2</v>
      </c>
      <c r="J1601" t="inlineStr">
        <is>
          <t>Moda</t>
        </is>
      </c>
      <c r="K1601" t="n">
        <v>2</v>
      </c>
      <c r="L1601" t="n">
        <v>2.067</v>
      </c>
      <c r="M1601" t="n">
        <v>0</v>
      </c>
      <c r="N1601" t="inlineStr">
        <is>
          <t>train</t>
        </is>
      </c>
      <c r="O1601">
        <f>HYPERLINK("2\1\marker_626_372252.png", "Ver Imagen")</f>
        <v/>
      </c>
      <c r="P1601">
        <f>HYPERLINK("SE\A-497\A-497__551.png", "Ver Imagen")</f>
        <v/>
      </c>
    </row>
    <row r="1602">
      <c r="A1602" t="n">
        <v>1017</v>
      </c>
      <c r="B1602" t="inlineStr">
        <is>
          <t>A-497__549</t>
        </is>
      </c>
      <c r="C1602" t="n">
        <v>37.2049378238</v>
      </c>
      <c r="D1602" t="n">
        <v>-7.01531926902</v>
      </c>
      <c r="E1602" t="n">
        <v>1</v>
      </c>
      <c r="F1602" t="n">
        <v>2</v>
      </c>
      <c r="G1602" t="n">
        <v>2</v>
      </c>
      <c r="J1602" t="inlineStr">
        <is>
          <t>Moda</t>
        </is>
      </c>
      <c r="K1602" t="n">
        <v>2</v>
      </c>
      <c r="L1602" t="n">
        <v>2.338</v>
      </c>
      <c r="M1602" t="n">
        <v>0</v>
      </c>
      <c r="N1602" t="inlineStr">
        <is>
          <t>val</t>
        </is>
      </c>
      <c r="O1602">
        <f>HYPERLINK("2\1\marker_166_372274.png", "Ver Imagen")</f>
        <v/>
      </c>
      <c r="P1602">
        <f>HYPERLINK("SE\A-497\A-497__549.png", "Ver Imagen")</f>
        <v/>
      </c>
    </row>
    <row r="1603">
      <c r="A1603" t="n">
        <v>1018</v>
      </c>
      <c r="B1603" t="inlineStr">
        <is>
          <t>A-497__546</t>
        </is>
      </c>
      <c r="C1603" t="n">
        <v>37.2050790387</v>
      </c>
      <c r="D1603" t="n">
        <v>-7.01601830846</v>
      </c>
      <c r="E1603" t="n">
        <v>1</v>
      </c>
      <c r="F1603" t="n">
        <v>2</v>
      </c>
      <c r="G1603" t="n">
        <v>2</v>
      </c>
      <c r="J1603" t="inlineStr">
        <is>
          <t>Moda</t>
        </is>
      </c>
      <c r="K1603" t="n">
        <v>2</v>
      </c>
      <c r="L1603" t="n">
        <v>1.727</v>
      </c>
      <c r="M1603" t="n">
        <v>0</v>
      </c>
      <c r="N1603" t="inlineStr">
        <is>
          <t>train</t>
        </is>
      </c>
      <c r="O1603">
        <f>HYPERLINK("2\1\marker_673_372318.png", "Ver Imagen")</f>
        <v/>
      </c>
      <c r="P1603">
        <f>HYPERLINK("SE\A-497\A-497__546.png", "Ver Imagen")</f>
        <v/>
      </c>
    </row>
    <row r="1604">
      <c r="A1604" t="n">
        <v>1019</v>
      </c>
      <c r="B1604" t="inlineStr">
        <is>
          <t>A-497__545</t>
        </is>
      </c>
      <c r="C1604" t="n">
        <v>37.2051326281</v>
      </c>
      <c r="D1604" t="n">
        <v>-7.01627033704</v>
      </c>
      <c r="E1604" t="n">
        <v>1</v>
      </c>
      <c r="F1604" t="n">
        <v>2</v>
      </c>
      <c r="G1604" t="n">
        <v>2</v>
      </c>
      <c r="J1604" t="inlineStr">
        <is>
          <t>Moda</t>
        </is>
      </c>
      <c r="K1604" t="n">
        <v>2</v>
      </c>
      <c r="L1604" t="n">
        <v>2.126</v>
      </c>
      <c r="M1604" t="n">
        <v>0</v>
      </c>
      <c r="N1604" t="inlineStr">
        <is>
          <t>train</t>
        </is>
      </c>
      <c r="O1604">
        <f>HYPERLINK("2\1\marker_637_372329.png", "Ver Imagen")</f>
        <v/>
      </c>
      <c r="P1604">
        <f>HYPERLINK("SE\A-497\A-497__545.png", "Ver Imagen")</f>
        <v/>
      </c>
    </row>
    <row r="1605">
      <c r="A1605" t="n">
        <v>1020</v>
      </c>
      <c r="B1605" t="inlineStr">
        <is>
          <t>A-497__544</t>
        </is>
      </c>
      <c r="C1605" t="n">
        <v>37.2051823591</v>
      </c>
      <c r="D1605" t="n">
        <v>-7.01649621698</v>
      </c>
      <c r="E1605" t="n">
        <v>1</v>
      </c>
      <c r="F1605" t="n">
        <v>2</v>
      </c>
      <c r="G1605" t="n">
        <v>2</v>
      </c>
      <c r="J1605" t="inlineStr">
        <is>
          <t>Moda</t>
        </is>
      </c>
      <c r="K1605" t="n">
        <v>2</v>
      </c>
      <c r="L1605" t="n">
        <v>1.776</v>
      </c>
      <c r="M1605" t="n">
        <v>0</v>
      </c>
      <c r="N1605" t="inlineStr">
        <is>
          <t>train</t>
        </is>
      </c>
      <c r="O1605">
        <f>HYPERLINK("2\1\marker_708_372340.png", "Ver Imagen")</f>
        <v/>
      </c>
      <c r="P1605">
        <f>HYPERLINK("SE\A-497\A-497__544.png", "Ver Imagen")</f>
        <v/>
      </c>
    </row>
    <row r="1606">
      <c r="A1606" t="n">
        <v>1021</v>
      </c>
      <c r="B1606" t="inlineStr">
        <is>
          <t>A-497__495</t>
        </is>
      </c>
      <c r="C1606" t="n">
        <v>37.2121457407</v>
      </c>
      <c r="D1606" t="n">
        <v>-7.02384997789</v>
      </c>
      <c r="E1606" t="n">
        <v>1</v>
      </c>
      <c r="F1606" t="n">
        <v>2</v>
      </c>
      <c r="G1606" t="n">
        <v>2</v>
      </c>
      <c r="J1606" t="inlineStr">
        <is>
          <t>Moda</t>
        </is>
      </c>
      <c r="K1606" t="n">
        <v>2</v>
      </c>
      <c r="L1606" t="n">
        <v>1.986</v>
      </c>
      <c r="M1606" t="n">
        <v>0</v>
      </c>
      <c r="N1606" t="inlineStr">
        <is>
          <t>train</t>
        </is>
      </c>
      <c r="O1606">
        <f>HYPERLINK("2\1\marker_703_376151.png", "Ver Imagen")</f>
        <v/>
      </c>
      <c r="P1606">
        <f>HYPERLINK("SE\A-497\A-497__495.png", "Ver Imagen")</f>
        <v/>
      </c>
    </row>
    <row r="1607">
      <c r="A1607" t="n">
        <v>1022</v>
      </c>
      <c r="B1607" t="inlineStr">
        <is>
          <t>A-497__494</t>
        </is>
      </c>
      <c r="C1607" t="n">
        <v>37.2123756849</v>
      </c>
      <c r="D1607" t="n">
        <v>-7.02383414659</v>
      </c>
      <c r="E1607" t="n">
        <v>1</v>
      </c>
      <c r="F1607" t="n">
        <v>2</v>
      </c>
      <c r="G1607" t="n">
        <v>2</v>
      </c>
      <c r="J1607" t="inlineStr">
        <is>
          <t>Moda</t>
        </is>
      </c>
      <c r="K1607" t="n">
        <v>2</v>
      </c>
      <c r="L1607" t="n">
        <v>1.851</v>
      </c>
      <c r="M1607" t="n">
        <v>0</v>
      </c>
      <c r="N1607" t="inlineStr">
        <is>
          <t>train</t>
        </is>
      </c>
      <c r="O1607">
        <f>HYPERLINK("2\1\marker_124_376161.png", "Ver Imagen")</f>
        <v/>
      </c>
      <c r="P1607">
        <f>HYPERLINK("SE\A-497\A-497__494.png", "Ver Imagen")</f>
        <v/>
      </c>
    </row>
    <row r="1608">
      <c r="A1608" t="n">
        <v>1023</v>
      </c>
      <c r="B1608" t="inlineStr">
        <is>
          <t>A-497__493</t>
        </is>
      </c>
      <c r="C1608" t="n">
        <v>37.212584582</v>
      </c>
      <c r="D1608" t="n">
        <v>-7.02381335922</v>
      </c>
      <c r="E1608" t="n">
        <v>1</v>
      </c>
      <c r="F1608" t="n">
        <v>2</v>
      </c>
      <c r="G1608" t="n">
        <v>2</v>
      </c>
      <c r="J1608" t="inlineStr">
        <is>
          <t>Moda</t>
        </is>
      </c>
      <c r="K1608" t="n">
        <v>2</v>
      </c>
      <c r="L1608" t="n">
        <v>1.878</v>
      </c>
      <c r="M1608" t="n">
        <v>0</v>
      </c>
      <c r="N1608" t="inlineStr">
        <is>
          <t>train</t>
        </is>
      </c>
      <c r="O1608">
        <f>HYPERLINK("2\1\marker_941_376169.png", "Ver Imagen")</f>
        <v/>
      </c>
      <c r="P1608">
        <f>HYPERLINK("SE\A-497\A-497__493.png", "Ver Imagen")</f>
        <v/>
      </c>
    </row>
    <row r="1609">
      <c r="A1609" t="n">
        <v>1025</v>
      </c>
      <c r="B1609" t="inlineStr">
        <is>
          <t>A-497__491</t>
        </is>
      </c>
      <c r="C1609" t="n">
        <v>37.2129628513</v>
      </c>
      <c r="D1609" t="n">
        <v>-7.02376305359</v>
      </c>
      <c r="E1609" t="n">
        <v>1</v>
      </c>
      <c r="F1609" t="n">
        <v>2</v>
      </c>
      <c r="G1609" t="n">
        <v>2</v>
      </c>
      <c r="J1609" t="inlineStr">
        <is>
          <t>Moda</t>
        </is>
      </c>
      <c r="K1609" t="n">
        <v>2</v>
      </c>
      <c r="L1609" t="n">
        <v>1.888</v>
      </c>
      <c r="M1609" t="n">
        <v>0</v>
      </c>
      <c r="N1609" t="inlineStr">
        <is>
          <t>train</t>
        </is>
      </c>
      <c r="O1609">
        <f>HYPERLINK("2\1\marker_250_376189.png", "Ver Imagen")</f>
        <v/>
      </c>
      <c r="P1609">
        <f>HYPERLINK("SE\A-497\A-497__491.png", "Ver Imagen")</f>
        <v/>
      </c>
    </row>
    <row r="1610">
      <c r="A1610" t="n">
        <v>1026</v>
      </c>
      <c r="B1610" t="inlineStr">
        <is>
          <t>A-497__490</t>
        </is>
      </c>
      <c r="C1610" t="n">
        <v>37.2131336471</v>
      </c>
      <c r="D1610" t="n">
        <v>-7.02373688759</v>
      </c>
      <c r="E1610" t="n">
        <v>1</v>
      </c>
      <c r="F1610" t="n">
        <v>2</v>
      </c>
      <c r="G1610" t="n">
        <v>2</v>
      </c>
      <c r="J1610" t="inlineStr">
        <is>
          <t>Moda</t>
        </is>
      </c>
      <c r="K1610" t="n">
        <v>2</v>
      </c>
      <c r="L1610" t="n">
        <v>2.026</v>
      </c>
      <c r="M1610" t="n">
        <v>0</v>
      </c>
      <c r="N1610" t="inlineStr">
        <is>
          <t>train</t>
        </is>
      </c>
      <c r="O1610">
        <f>HYPERLINK("2\1\marker_715_376199.png", "Ver Imagen")</f>
        <v/>
      </c>
      <c r="P1610">
        <f>HYPERLINK("SE\A-497\A-497__490.png", "Ver Imagen")</f>
        <v/>
      </c>
    </row>
    <row r="1611">
      <c r="A1611" t="n">
        <v>1027</v>
      </c>
      <c r="B1611" t="inlineStr">
        <is>
          <t>A-497__489</t>
        </is>
      </c>
      <c r="C1611" t="n">
        <v>37.2133690248</v>
      </c>
      <c r="D1611" t="n">
        <v>-7.02369836668</v>
      </c>
      <c r="E1611" t="n">
        <v>1</v>
      </c>
      <c r="F1611" t="n">
        <v>2</v>
      </c>
      <c r="G1611" t="n">
        <v>2</v>
      </c>
      <c r="J1611" t="inlineStr">
        <is>
          <t>Moda</t>
        </is>
      </c>
      <c r="K1611" t="n">
        <v>2</v>
      </c>
      <c r="L1611" t="n">
        <v>1.977</v>
      </c>
      <c r="M1611" t="n">
        <v>0</v>
      </c>
      <c r="N1611" t="inlineStr">
        <is>
          <t>train</t>
        </is>
      </c>
      <c r="O1611">
        <f>HYPERLINK("2\1\marker_213_376208.png", "Ver Imagen")</f>
        <v/>
      </c>
      <c r="P1611">
        <f>HYPERLINK("SE\A-497\A-497__489.png", "Ver Imagen")</f>
        <v/>
      </c>
    </row>
    <row r="1612">
      <c r="A1612" t="n">
        <v>1028</v>
      </c>
      <c r="B1612" t="inlineStr">
        <is>
          <t>A-497__487</t>
        </is>
      </c>
      <c r="C1612" t="n">
        <v>37.2137757768</v>
      </c>
      <c r="D1612" t="n">
        <v>-7.02362882381</v>
      </c>
      <c r="E1612" t="n">
        <v>1</v>
      </c>
      <c r="F1612" t="n">
        <v>2</v>
      </c>
      <c r="G1612" t="n">
        <v>2</v>
      </c>
      <c r="J1612" t="inlineStr">
        <is>
          <t>Moda</t>
        </is>
      </c>
      <c r="K1612" t="n">
        <v>2</v>
      </c>
      <c r="L1612" t="n">
        <v>1.942</v>
      </c>
      <c r="M1612" t="n">
        <v>0</v>
      </c>
      <c r="N1612" t="inlineStr">
        <is>
          <t>train</t>
        </is>
      </c>
      <c r="O1612">
        <f>HYPERLINK("2\1\marker_722_376228.png", "Ver Imagen")</f>
        <v/>
      </c>
      <c r="P1612">
        <f>HYPERLINK("SE\A-497\A-497__487.png", "Ver Imagen")</f>
        <v/>
      </c>
    </row>
    <row r="1613">
      <c r="A1613" t="n">
        <v>1029</v>
      </c>
      <c r="B1613" t="inlineStr">
        <is>
          <t>A-497_2C__423</t>
        </is>
      </c>
      <c r="C1613" t="n">
        <v>37.2256556049</v>
      </c>
      <c r="D1613" t="n">
        <v>-7.02329407148</v>
      </c>
      <c r="E1613" t="n">
        <v>1</v>
      </c>
      <c r="F1613" t="n">
        <v>2</v>
      </c>
      <c r="G1613" t="n">
        <v>2</v>
      </c>
      <c r="J1613" t="inlineStr">
        <is>
          <t>Moda</t>
        </is>
      </c>
      <c r="K1613" t="n">
        <v>2</v>
      </c>
      <c r="L1613" t="n">
        <v>2.119</v>
      </c>
      <c r="M1613" t="n">
        <v>0</v>
      </c>
      <c r="N1613" t="inlineStr">
        <is>
          <t>train</t>
        </is>
      </c>
      <c r="O1613">
        <f>HYPERLINK("2\1\marker_628_363142.png", "Ver Imagen")</f>
        <v/>
      </c>
      <c r="P1613">
        <f>HYPERLINK("SE\A-497_2C\A-497_2C__423.png", "Ver Imagen")</f>
        <v/>
      </c>
    </row>
    <row r="1614">
      <c r="A1614" t="n">
        <v>1030</v>
      </c>
      <c r="B1614" t="inlineStr">
        <is>
          <t>A-497_2C__427</t>
        </is>
      </c>
      <c r="C1614" t="n">
        <v>37.2248613266</v>
      </c>
      <c r="D1614" t="n">
        <v>-7.02339273903</v>
      </c>
      <c r="E1614" t="n">
        <v>1</v>
      </c>
      <c r="F1614" t="n">
        <v>2</v>
      </c>
      <c r="G1614" t="n">
        <v>2</v>
      </c>
      <c r="J1614" t="inlineStr">
        <is>
          <t>Moda</t>
        </is>
      </c>
      <c r="K1614" t="n">
        <v>2</v>
      </c>
      <c r="L1614" t="n">
        <v>2.144</v>
      </c>
      <c r="M1614" t="n">
        <v>0</v>
      </c>
      <c r="N1614" t="inlineStr">
        <is>
          <t>test</t>
        </is>
      </c>
      <c r="O1614">
        <f>HYPERLINK("2\1\marker_109_363178.png", "Ver Imagen")</f>
        <v/>
      </c>
      <c r="P1614">
        <f>HYPERLINK("SE\A-497_2C\A-497_2C__427.png", "Ver Imagen")</f>
        <v/>
      </c>
    </row>
    <row r="1615">
      <c r="A1615" t="n">
        <v>1031</v>
      </c>
      <c r="B1615" t="inlineStr">
        <is>
          <t>A-497_2C__429</t>
        </is>
      </c>
      <c r="C1615" t="n">
        <v>37.2244997945</v>
      </c>
      <c r="D1615" t="n">
        <v>-7.02338350859</v>
      </c>
      <c r="E1615" t="n">
        <v>1</v>
      </c>
      <c r="F1615" t="n">
        <v>2</v>
      </c>
      <c r="G1615" t="n">
        <v>2</v>
      </c>
      <c r="J1615" t="inlineStr">
        <is>
          <t>Moda</t>
        </is>
      </c>
      <c r="K1615" t="n">
        <v>2</v>
      </c>
      <c r="L1615" t="n">
        <v>2.03</v>
      </c>
      <c r="M1615" t="n">
        <v>0</v>
      </c>
      <c r="N1615" t="inlineStr">
        <is>
          <t>train</t>
        </is>
      </c>
      <c r="O1615">
        <f>HYPERLINK("2\1\marker_987_363198.png", "Ver Imagen")</f>
        <v/>
      </c>
      <c r="P1615">
        <f>HYPERLINK("SE\A-497_2C\A-497_2C__429.png", "Ver Imagen")</f>
        <v/>
      </c>
    </row>
    <row r="1616">
      <c r="A1616" t="n">
        <v>1033</v>
      </c>
      <c r="B1616" t="inlineStr">
        <is>
          <t>A-497_2C__437</t>
        </is>
      </c>
      <c r="C1616" t="n">
        <v>37.2228702888</v>
      </c>
      <c r="D1616" t="n">
        <v>-7.02323630761</v>
      </c>
      <c r="E1616" t="n">
        <v>1</v>
      </c>
      <c r="F1616" t="n">
        <v>2</v>
      </c>
      <c r="G1616" t="n">
        <v>2</v>
      </c>
      <c r="J1616" t="inlineStr">
        <is>
          <t>Moda</t>
        </is>
      </c>
      <c r="K1616" t="n">
        <v>2</v>
      </c>
      <c r="L1616" t="n">
        <v>2.284</v>
      </c>
      <c r="M1616" t="n">
        <v>0</v>
      </c>
      <c r="N1616" t="inlineStr">
        <is>
          <t>train</t>
        </is>
      </c>
      <c r="O1616">
        <f>HYPERLINK("2\1\marker_904_363281.png", "Ver Imagen")</f>
        <v/>
      </c>
      <c r="P1616">
        <f>HYPERLINK("SE\A-497_2C\A-497_2C__437.png", "Ver Imagen")</f>
        <v/>
      </c>
    </row>
    <row r="1617">
      <c r="A1617" t="n">
        <v>1034</v>
      </c>
      <c r="B1617" t="inlineStr">
        <is>
          <t>A-497_2C__440</t>
        </is>
      </c>
      <c r="C1617" t="n">
        <v>37.2222797806</v>
      </c>
      <c r="D1617" t="n">
        <v>-7.02317629111</v>
      </c>
      <c r="E1617" t="n">
        <v>1</v>
      </c>
      <c r="F1617" t="n">
        <v>2</v>
      </c>
      <c r="G1617" t="n">
        <v>2</v>
      </c>
      <c r="J1617" t="inlineStr">
        <is>
          <t>Moda</t>
        </is>
      </c>
      <c r="K1617" t="n">
        <v>2</v>
      </c>
      <c r="L1617" t="n">
        <v>2.323</v>
      </c>
      <c r="M1617" t="n">
        <v>0</v>
      </c>
      <c r="N1617" t="inlineStr">
        <is>
          <t>train</t>
        </is>
      </c>
      <c r="O1617">
        <f>HYPERLINK("2\1\marker_525_363307.png", "Ver Imagen")</f>
        <v/>
      </c>
      <c r="P1617">
        <f>HYPERLINK("SE\A-497_2C\A-497_2C__440.png", "Ver Imagen")</f>
        <v/>
      </c>
    </row>
    <row r="1618">
      <c r="A1618" t="n">
        <v>1035</v>
      </c>
      <c r="B1618" t="inlineStr">
        <is>
          <t>A-497_2C__441</t>
        </is>
      </c>
      <c r="C1618" t="n">
        <v>37.222067894</v>
      </c>
      <c r="D1618" t="n">
        <v>-7.02315429631</v>
      </c>
      <c r="E1618" t="n">
        <v>1</v>
      </c>
      <c r="F1618" t="n">
        <v>2</v>
      </c>
      <c r="G1618" t="n">
        <v>2</v>
      </c>
      <c r="J1618" t="inlineStr">
        <is>
          <t>Moda</t>
        </is>
      </c>
      <c r="K1618" t="n">
        <v>2</v>
      </c>
      <c r="L1618" t="n">
        <v>2.147</v>
      </c>
      <c r="M1618" t="n">
        <v>0</v>
      </c>
      <c r="N1618" t="inlineStr">
        <is>
          <t>train</t>
        </is>
      </c>
      <c r="O1618">
        <f>HYPERLINK("2\1\marker_120_363319.png", "Ver Imagen")</f>
        <v/>
      </c>
      <c r="P1618">
        <f>HYPERLINK("SE\A-497_2C\A-497_2C__441.png", "Ver Imagen")</f>
        <v/>
      </c>
    </row>
    <row r="1619">
      <c r="A1619" t="n">
        <v>1039</v>
      </c>
      <c r="B1619" t="inlineStr">
        <is>
          <t>A-497__449</t>
        </is>
      </c>
      <c r="C1619" t="n">
        <v>37.2214634511</v>
      </c>
      <c r="D1619" t="n">
        <v>-7.0229132454</v>
      </c>
      <c r="E1619" t="n">
        <v>1</v>
      </c>
      <c r="F1619" t="n">
        <v>2</v>
      </c>
      <c r="G1619" t="n">
        <v>2</v>
      </c>
      <c r="J1619" t="inlineStr">
        <is>
          <t>Moda</t>
        </is>
      </c>
      <c r="K1619" t="n">
        <v>2</v>
      </c>
      <c r="L1619" t="n">
        <v>2.425</v>
      </c>
      <c r="M1619" t="n">
        <v>0</v>
      </c>
      <c r="N1619" t="inlineStr">
        <is>
          <t>train</t>
        </is>
      </c>
      <c r="O1619">
        <f>HYPERLINK("2\1\marker_107_376698.png", "Ver Imagen")</f>
        <v/>
      </c>
      <c r="P1619">
        <f>HYPERLINK("SE\A-497\A-497__449.png", "Ver Imagen")</f>
        <v/>
      </c>
    </row>
    <row r="1620">
      <c r="A1620" t="n">
        <v>1040</v>
      </c>
      <c r="B1620" t="inlineStr">
        <is>
          <t>A-497_2C__535</t>
        </is>
      </c>
      <c r="C1620" t="n">
        <v>37.2053628836</v>
      </c>
      <c r="D1620" t="n">
        <v>-7.01783114653</v>
      </c>
      <c r="E1620" t="n">
        <v>1</v>
      </c>
      <c r="F1620" t="n">
        <v>2</v>
      </c>
      <c r="G1620" t="n">
        <v>2</v>
      </c>
      <c r="J1620" t="inlineStr">
        <is>
          <t>Moda</t>
        </is>
      </c>
      <c r="K1620" t="n">
        <v>2</v>
      </c>
      <c r="L1620" t="n">
        <v>1.946</v>
      </c>
      <c r="M1620" t="n">
        <v>0</v>
      </c>
      <c r="N1620" t="inlineStr">
        <is>
          <t>train</t>
        </is>
      </c>
      <c r="O1620">
        <f>HYPERLINK("2\1\marker_251_364483.png", "Ver Imagen")</f>
        <v/>
      </c>
      <c r="P1620">
        <f>HYPERLINK("SE\A-497_2C\A-497_2C__535.png", "Ver Imagen")</f>
        <v/>
      </c>
    </row>
    <row r="1621">
      <c r="A1621" t="n">
        <v>1042</v>
      </c>
      <c r="B1621" t="inlineStr">
        <is>
          <t>A-497__416</t>
        </is>
      </c>
      <c r="C1621" t="n">
        <v>37.2278773151</v>
      </c>
      <c r="D1621" t="n">
        <v>-7.02186859919</v>
      </c>
      <c r="E1621" t="n">
        <v>2</v>
      </c>
      <c r="F1621" t="n">
        <v>2</v>
      </c>
      <c r="G1621" t="n">
        <v>1</v>
      </c>
      <c r="J1621" t="inlineStr">
        <is>
          <t>Moda</t>
        </is>
      </c>
      <c r="K1621" t="n">
        <v>2</v>
      </c>
      <c r="L1621" t="n">
        <v>1.797</v>
      </c>
      <c r="M1621" t="n">
        <v>0</v>
      </c>
      <c r="N1621" t="inlineStr">
        <is>
          <t>train</t>
        </is>
      </c>
      <c r="O1621">
        <f>HYPERLINK("2\1\marker_304_377049.png", "Ver Imagen")</f>
        <v/>
      </c>
      <c r="P1621">
        <f>HYPERLINK("SE\A-497\A-497__416.png", "Ver Imagen")</f>
        <v/>
      </c>
    </row>
    <row r="1622">
      <c r="A1622" t="n">
        <v>1043</v>
      </c>
      <c r="B1622" t="inlineStr">
        <is>
          <t>A-497__182</t>
        </is>
      </c>
      <c r="C1622" t="n">
        <v>37.2651520512</v>
      </c>
      <c r="D1622" t="n">
        <v>-6.99737335347</v>
      </c>
      <c r="E1622" t="n">
        <v>1</v>
      </c>
      <c r="F1622" t="n">
        <v>2</v>
      </c>
      <c r="G1622" t="n">
        <v>2</v>
      </c>
      <c r="J1622" t="inlineStr">
        <is>
          <t>Moda</t>
        </is>
      </c>
      <c r="K1622" t="n">
        <v>2</v>
      </c>
      <c r="L1622" t="n">
        <v>1.843</v>
      </c>
      <c r="M1622" t="n">
        <v>0</v>
      </c>
      <c r="N1622" t="inlineStr">
        <is>
          <t>train</t>
        </is>
      </c>
      <c r="O1622">
        <f>HYPERLINK("2\1\marker_717_379620.png", "Ver Imagen")</f>
        <v/>
      </c>
      <c r="P1622">
        <f>HYPERLINK("SE\A-497\A-497__182.png", "Ver Imagen")</f>
        <v/>
      </c>
    </row>
    <row r="1623">
      <c r="A1623" t="n">
        <v>1044</v>
      </c>
      <c r="B1623" t="inlineStr">
        <is>
          <t>A-497__181</t>
        </is>
      </c>
      <c r="C1623" t="n">
        <v>37.2651945112</v>
      </c>
      <c r="D1623" t="n">
        <v>-6.99713955826</v>
      </c>
      <c r="E1623" t="n">
        <v>1</v>
      </c>
      <c r="F1623" t="n">
        <v>2</v>
      </c>
      <c r="G1623" t="n">
        <v>2</v>
      </c>
      <c r="J1623" t="inlineStr">
        <is>
          <t>Moda</t>
        </is>
      </c>
      <c r="K1623" t="n">
        <v>2</v>
      </c>
      <c r="L1623" t="n">
        <v>1.807</v>
      </c>
      <c r="M1623" t="n">
        <v>0</v>
      </c>
      <c r="N1623" t="inlineStr">
        <is>
          <t>train</t>
        </is>
      </c>
      <c r="O1623">
        <f>HYPERLINK("2\1\marker_529_379629.png", "Ver Imagen")</f>
        <v/>
      </c>
      <c r="P1623">
        <f>HYPERLINK("SE\A-497\A-497__181.png", "Ver Imagen")</f>
        <v/>
      </c>
    </row>
    <row r="1624">
      <c r="A1624" t="n">
        <v>1045</v>
      </c>
      <c r="B1624" t="inlineStr">
        <is>
          <t>A-497__178</t>
        </is>
      </c>
      <c r="C1624" t="n">
        <v>37.2653277794</v>
      </c>
      <c r="D1624" t="n">
        <v>-6.99641389526</v>
      </c>
      <c r="E1624" t="n">
        <v>2</v>
      </c>
      <c r="F1624" t="n">
        <v>2</v>
      </c>
      <c r="G1624" t="n">
        <v>1</v>
      </c>
      <c r="J1624" t="inlineStr">
        <is>
          <t>Moda</t>
        </is>
      </c>
      <c r="K1624" t="n">
        <v>2</v>
      </c>
      <c r="L1624" t="n">
        <v>1.788</v>
      </c>
      <c r="M1624" t="n">
        <v>0</v>
      </c>
      <c r="N1624" t="inlineStr">
        <is>
          <t>train</t>
        </is>
      </c>
      <c r="O1624">
        <f>HYPERLINK("2\1\marker_465_379664.png", "Ver Imagen")</f>
        <v/>
      </c>
      <c r="P1624">
        <f>HYPERLINK("SE\A-497\A-497__178.png", "Ver Imagen")</f>
        <v/>
      </c>
    </row>
    <row r="1625">
      <c r="A1625" t="n">
        <v>1046</v>
      </c>
      <c r="B1625" t="inlineStr">
        <is>
          <t>A-497__165</t>
        </is>
      </c>
      <c r="C1625" t="n">
        <v>37.2660427559</v>
      </c>
      <c r="D1625" t="n">
        <v>-6.99324331854</v>
      </c>
      <c r="E1625" t="n">
        <v>2</v>
      </c>
      <c r="F1625" t="n">
        <v>2</v>
      </c>
      <c r="G1625" t="n">
        <v>1</v>
      </c>
      <c r="J1625" t="inlineStr">
        <is>
          <t>Moda</t>
        </is>
      </c>
      <c r="K1625" t="n">
        <v>2</v>
      </c>
      <c r="L1625" t="n">
        <v>2.211</v>
      </c>
      <c r="M1625" t="n">
        <v>0</v>
      </c>
      <c r="N1625" t="inlineStr">
        <is>
          <t>train</t>
        </is>
      </c>
      <c r="O1625">
        <f>HYPERLINK("2\1\marker_532_380200.png", "Ver Imagen")</f>
        <v/>
      </c>
      <c r="P1625">
        <f>HYPERLINK("SE\A-497\A-497__165.png", "Ver Imagen")</f>
        <v/>
      </c>
    </row>
    <row r="1626">
      <c r="A1626" t="n">
        <v>1047</v>
      </c>
      <c r="B1626" t="inlineStr">
        <is>
          <t>A-497__164</t>
        </is>
      </c>
      <c r="C1626" t="n">
        <v>37.2661437905</v>
      </c>
      <c r="D1626" t="n">
        <v>-6.99301207679</v>
      </c>
      <c r="E1626" t="n">
        <v>2</v>
      </c>
      <c r="F1626" t="n">
        <v>2</v>
      </c>
      <c r="G1626" t="n">
        <v>1</v>
      </c>
      <c r="J1626" t="inlineStr">
        <is>
          <t>Moda</t>
        </is>
      </c>
      <c r="K1626" t="n">
        <v>2</v>
      </c>
      <c r="L1626" t="n">
        <v>1.879</v>
      </c>
      <c r="M1626" t="n">
        <v>0</v>
      </c>
      <c r="N1626" t="inlineStr">
        <is>
          <t>train</t>
        </is>
      </c>
      <c r="O1626">
        <f>HYPERLINK("2\1\marker_129_380213.png", "Ver Imagen")</f>
        <v/>
      </c>
      <c r="P1626">
        <f>HYPERLINK("SE\A-497\A-497__164.png", "Ver Imagen")</f>
        <v/>
      </c>
    </row>
    <row r="1627">
      <c r="A1627" t="n">
        <v>1049</v>
      </c>
      <c r="B1627" t="inlineStr">
        <is>
          <t>A-497__152</t>
        </is>
      </c>
      <c r="C1627" t="n">
        <v>37.2679070396</v>
      </c>
      <c r="D1627" t="n">
        <v>-6.99094635521</v>
      </c>
      <c r="E1627" t="n">
        <v>2</v>
      </c>
      <c r="F1627" t="n">
        <v>2</v>
      </c>
      <c r="G1627" t="n">
        <v>1</v>
      </c>
      <c r="J1627" t="inlineStr">
        <is>
          <t>Moda</t>
        </is>
      </c>
      <c r="K1627" t="n">
        <v>2</v>
      </c>
      <c r="L1627" t="n">
        <v>2.09</v>
      </c>
      <c r="M1627" t="n">
        <v>0</v>
      </c>
      <c r="N1627" t="inlineStr">
        <is>
          <t>train</t>
        </is>
      </c>
      <c r="O1627">
        <f>HYPERLINK("2\1\marker_846_380325.png", "Ver Imagen")</f>
        <v/>
      </c>
      <c r="P1627">
        <f>HYPERLINK("SE\A-497\A-497__152.png", "Ver Imagen")</f>
        <v/>
      </c>
    </row>
    <row r="1628">
      <c r="A1628" t="n">
        <v>1050</v>
      </c>
      <c r="B1628" t="inlineStr">
        <is>
          <t>A-490__37</t>
        </is>
      </c>
      <c r="C1628" t="n">
        <v>37.4461729329</v>
      </c>
      <c r="D1628" t="n">
        <v>-7.13546133194</v>
      </c>
      <c r="E1628" t="n">
        <v>2</v>
      </c>
      <c r="F1628" t="n">
        <v>2</v>
      </c>
      <c r="G1628" t="n">
        <v>3</v>
      </c>
      <c r="J1628" t="inlineStr">
        <is>
          <t>Moda</t>
        </is>
      </c>
      <c r="K1628" t="n">
        <v>2</v>
      </c>
      <c r="L1628" t="n">
        <v>2.376</v>
      </c>
      <c r="M1628" t="n">
        <v>0</v>
      </c>
      <c r="N1628" t="inlineStr">
        <is>
          <t>train</t>
        </is>
      </c>
      <c r="O1628">
        <f>HYPERLINK("2\1\marker_763_731097.png", "Ver Imagen")</f>
        <v/>
      </c>
      <c r="P1628">
        <f>HYPERLINK("NE\A-490\A-490__37.png", "Ver Imagen")</f>
        <v/>
      </c>
    </row>
    <row r="1629">
      <c r="A1629" t="n">
        <v>1051</v>
      </c>
      <c r="B1629" t="inlineStr">
        <is>
          <t>A-490__39</t>
        </is>
      </c>
      <c r="C1629" t="n">
        <v>37.4461458001</v>
      </c>
      <c r="D1629" t="n">
        <v>-7.1359771447</v>
      </c>
      <c r="E1629" t="n">
        <v>2</v>
      </c>
      <c r="F1629" t="n">
        <v>3</v>
      </c>
      <c r="G1629" t="n">
        <v>2</v>
      </c>
      <c r="J1629" t="inlineStr">
        <is>
          <t>Moda</t>
        </is>
      </c>
      <c r="K1629" t="n">
        <v>2</v>
      </c>
      <c r="L1629" t="n">
        <v>2.037</v>
      </c>
      <c r="M1629" t="n">
        <v>0</v>
      </c>
      <c r="N1629" t="inlineStr">
        <is>
          <t>train</t>
        </is>
      </c>
      <c r="O1629">
        <f>HYPERLINK("2\1\marker_261_731147.png", "Ver Imagen")</f>
        <v/>
      </c>
      <c r="P1629">
        <f>HYPERLINK("NE\A-490\A-490__39.png", "Ver Imagen")</f>
        <v/>
      </c>
    </row>
    <row r="1630">
      <c r="A1630" t="n">
        <v>1052</v>
      </c>
      <c r="B1630" t="inlineStr">
        <is>
          <t>A-490__67</t>
        </is>
      </c>
      <c r="C1630" t="n">
        <v>37.4483696553</v>
      </c>
      <c r="D1630" t="n">
        <v>-7.14244012129</v>
      </c>
      <c r="E1630" t="n">
        <v>2</v>
      </c>
      <c r="F1630" t="n">
        <v>3</v>
      </c>
      <c r="G1630" t="n">
        <v>2</v>
      </c>
      <c r="J1630" t="inlineStr">
        <is>
          <t>Moda</t>
        </is>
      </c>
      <c r="K1630" t="n">
        <v>2</v>
      </c>
      <c r="L1630" t="n">
        <v>2.057</v>
      </c>
      <c r="M1630" t="n">
        <v>0</v>
      </c>
      <c r="N1630" t="inlineStr">
        <is>
          <t>train</t>
        </is>
      </c>
      <c r="O1630">
        <f>HYPERLINK("2\1\marker_393_738075.png", "Ver Imagen")</f>
        <v/>
      </c>
      <c r="P1630">
        <f>HYPERLINK("NE\A-490\A-490__67.png", "Ver Imagen")</f>
        <v/>
      </c>
    </row>
    <row r="1631">
      <c r="A1631" t="n">
        <v>1053</v>
      </c>
      <c r="B1631" t="inlineStr">
        <is>
          <t>A-490__133</t>
        </is>
      </c>
      <c r="C1631" t="n">
        <v>37.451974107</v>
      </c>
      <c r="D1631" t="n">
        <v>-7.15817127559</v>
      </c>
      <c r="E1631" t="n">
        <v>1</v>
      </c>
      <c r="F1631" t="n">
        <v>2</v>
      </c>
      <c r="G1631" t="n">
        <v>2</v>
      </c>
      <c r="J1631" t="inlineStr">
        <is>
          <t>Moda</t>
        </is>
      </c>
      <c r="K1631" t="n">
        <v>2</v>
      </c>
      <c r="L1631" t="n">
        <v>1.911</v>
      </c>
      <c r="M1631" t="n">
        <v>0</v>
      </c>
      <c r="N1631" t="inlineStr">
        <is>
          <t>train</t>
        </is>
      </c>
      <c r="O1631">
        <f>HYPERLINK("2\1\marker_125_740302.png", "Ver Imagen")</f>
        <v/>
      </c>
      <c r="P1631">
        <f>HYPERLINK("NE\A-490\A-490__133.png", "Ver Imagen")</f>
        <v/>
      </c>
    </row>
    <row r="1632">
      <c r="A1632" t="n">
        <v>1054</v>
      </c>
      <c r="B1632" t="inlineStr">
        <is>
          <t>A-490__136</t>
        </is>
      </c>
      <c r="C1632" t="n">
        <v>37.4521327139</v>
      </c>
      <c r="D1632" t="n">
        <v>-7.15890624447</v>
      </c>
      <c r="E1632" t="n">
        <v>2</v>
      </c>
      <c r="F1632" t="n">
        <v>3</v>
      </c>
      <c r="G1632" t="n">
        <v>2</v>
      </c>
      <c r="J1632" t="inlineStr">
        <is>
          <t>Moda</t>
        </is>
      </c>
      <c r="K1632" t="n">
        <v>2</v>
      </c>
      <c r="L1632" t="n">
        <v>2.193</v>
      </c>
      <c r="M1632" t="n">
        <v>0</v>
      </c>
      <c r="N1632" t="inlineStr">
        <is>
          <t>train</t>
        </is>
      </c>
      <c r="O1632">
        <f>HYPERLINK("2\1\marker_520_740429.png", "Ver Imagen")</f>
        <v/>
      </c>
      <c r="P1632">
        <f>HYPERLINK("NE\A-490\A-490__136.png", "Ver Imagen")</f>
        <v/>
      </c>
    </row>
    <row r="1633">
      <c r="A1633" t="n">
        <v>1057</v>
      </c>
      <c r="B1633" t="inlineStr">
        <is>
          <t>A-490__151</t>
        </is>
      </c>
      <c r="C1633" t="n">
        <v>37.4532751537</v>
      </c>
      <c r="D1633" t="n">
        <v>-7.16233579881</v>
      </c>
      <c r="E1633" t="n">
        <v>2</v>
      </c>
      <c r="F1633" t="n">
        <v>2</v>
      </c>
      <c r="G1633" t="n">
        <v>3</v>
      </c>
      <c r="J1633" t="inlineStr">
        <is>
          <t>Moda</t>
        </is>
      </c>
      <c r="K1633" t="n">
        <v>2</v>
      </c>
      <c r="L1633" t="n">
        <v>2.339</v>
      </c>
      <c r="M1633" t="n">
        <v>0</v>
      </c>
      <c r="N1633" t="inlineStr">
        <is>
          <t>train</t>
        </is>
      </c>
      <c r="O1633">
        <f>HYPERLINK("2\1\marker_246_740774.png", "Ver Imagen")</f>
        <v/>
      </c>
      <c r="P1633">
        <f>HYPERLINK("NE\A-490\A-490__151.png", "Ver Imagen")</f>
        <v/>
      </c>
    </row>
    <row r="1634">
      <c r="A1634" t="n">
        <v>1058</v>
      </c>
      <c r="B1634" t="inlineStr">
        <is>
          <t>A-490__160</t>
        </is>
      </c>
      <c r="C1634" t="n">
        <v>37.4542688217</v>
      </c>
      <c r="D1634" t="n">
        <v>-7.16430632835</v>
      </c>
      <c r="E1634" t="n">
        <v>1</v>
      </c>
      <c r="F1634" t="n">
        <v>2</v>
      </c>
      <c r="G1634" t="n">
        <v>2</v>
      </c>
      <c r="J1634" t="inlineStr">
        <is>
          <t>Moda</t>
        </is>
      </c>
      <c r="K1634" t="n">
        <v>2</v>
      </c>
      <c r="L1634" t="n">
        <v>1.993</v>
      </c>
      <c r="M1634" t="n">
        <v>0</v>
      </c>
      <c r="N1634" t="inlineStr">
        <is>
          <t>train</t>
        </is>
      </c>
      <c r="O1634">
        <f>HYPERLINK("2\1\marker_841_741225.png", "Ver Imagen")</f>
        <v/>
      </c>
      <c r="P1634">
        <f>HYPERLINK("NE\A-490\A-490__160.png", "Ver Imagen")</f>
        <v/>
      </c>
    </row>
    <row r="1635">
      <c r="A1635" t="n">
        <v>1059</v>
      </c>
      <c r="B1635" t="inlineStr">
        <is>
          <t>A-490__161</t>
        </is>
      </c>
      <c r="C1635" t="n">
        <v>37.454399304</v>
      </c>
      <c r="D1635" t="n">
        <v>-7.16456468596</v>
      </c>
      <c r="E1635" t="n">
        <v>1</v>
      </c>
      <c r="F1635" t="n">
        <v>2</v>
      </c>
      <c r="G1635" t="n">
        <v>2</v>
      </c>
      <c r="J1635" t="inlineStr">
        <is>
          <t>Moda</t>
        </is>
      </c>
      <c r="K1635" t="n">
        <v>2</v>
      </c>
      <c r="L1635" t="n">
        <v>2.062</v>
      </c>
      <c r="M1635" t="n">
        <v>0</v>
      </c>
      <c r="N1635" t="inlineStr">
        <is>
          <t>test</t>
        </is>
      </c>
      <c r="O1635">
        <f>HYPERLINK("2\1\marker_115_741250.png", "Ver Imagen")</f>
        <v/>
      </c>
      <c r="P1635">
        <f>HYPERLINK("NE\A-490\A-490__161.png", "Ver Imagen")</f>
        <v/>
      </c>
    </row>
    <row r="1636">
      <c r="A1636" t="n">
        <v>1060</v>
      </c>
      <c r="B1636" t="inlineStr">
        <is>
          <t>A-490__170</t>
        </is>
      </c>
      <c r="C1636" t="n">
        <v>37.4555439843</v>
      </c>
      <c r="D1636" t="n">
        <v>-7.16624054386</v>
      </c>
      <c r="E1636" t="n">
        <v>2</v>
      </c>
      <c r="F1636" t="n">
        <v>3</v>
      </c>
      <c r="G1636" t="n">
        <v>2</v>
      </c>
      <c r="J1636" t="inlineStr">
        <is>
          <t>Moda</t>
        </is>
      </c>
      <c r="K1636" t="n">
        <v>2</v>
      </c>
      <c r="L1636" t="n">
        <v>1.742</v>
      </c>
      <c r="M1636" t="n">
        <v>0</v>
      </c>
      <c r="N1636" t="inlineStr">
        <is>
          <t>train</t>
        </is>
      </c>
      <c r="O1636">
        <f>HYPERLINK("2\1\marker_337_741485.png", "Ver Imagen")</f>
        <v/>
      </c>
      <c r="P1636">
        <f>HYPERLINK("NE\A-490\A-490__170.png", "Ver Imagen")</f>
        <v/>
      </c>
    </row>
    <row r="1637">
      <c r="A1637" t="n">
        <v>1062</v>
      </c>
      <c r="B1637" t="inlineStr">
        <is>
          <t>A-490__213</t>
        </is>
      </c>
      <c r="C1637" t="n">
        <v>37.4614698156</v>
      </c>
      <c r="D1637" t="n">
        <v>-7.17426022819</v>
      </c>
      <c r="E1637" t="n">
        <v>2</v>
      </c>
      <c r="F1637" t="n">
        <v>3</v>
      </c>
      <c r="G1637" t="n">
        <v>2</v>
      </c>
      <c r="J1637" t="inlineStr">
        <is>
          <t>Moda</t>
        </is>
      </c>
      <c r="K1637" t="n">
        <v>2</v>
      </c>
      <c r="L1637" t="n">
        <v>1.941</v>
      </c>
      <c r="M1637" t="n">
        <v>0</v>
      </c>
      <c r="N1637" t="inlineStr">
        <is>
          <t>train</t>
        </is>
      </c>
      <c r="O1637">
        <f>HYPERLINK("2\1\marker_981_742847.png", "Ver Imagen")</f>
        <v/>
      </c>
      <c r="P1637">
        <f>HYPERLINK("NE\A-490\A-490__213.png", "Ver Imagen")</f>
        <v/>
      </c>
    </row>
    <row r="1638">
      <c r="A1638" t="n">
        <v>1063</v>
      </c>
      <c r="B1638" t="inlineStr">
        <is>
          <t>A-490__220</t>
        </is>
      </c>
      <c r="C1638" t="n">
        <v>37.4623291948</v>
      </c>
      <c r="D1638" t="n">
        <v>-7.1756699492</v>
      </c>
      <c r="E1638" t="n">
        <v>2</v>
      </c>
      <c r="F1638" t="n">
        <v>3</v>
      </c>
      <c r="G1638" t="n">
        <v>2</v>
      </c>
      <c r="J1638" t="inlineStr">
        <is>
          <t>Moda</t>
        </is>
      </c>
      <c r="K1638" t="n">
        <v>2</v>
      </c>
      <c r="L1638" t="n">
        <v>1.86</v>
      </c>
      <c r="M1638" t="n">
        <v>0</v>
      </c>
      <c r="N1638" t="inlineStr">
        <is>
          <t>train</t>
        </is>
      </c>
      <c r="O1638">
        <f>HYPERLINK("2\1\marker_757_743361.png", "Ver Imagen")</f>
        <v/>
      </c>
      <c r="P1638">
        <f>HYPERLINK("NE\A-490\A-490__220.png", "Ver Imagen")</f>
        <v/>
      </c>
    </row>
    <row r="1639">
      <c r="A1639" t="n">
        <v>1065</v>
      </c>
      <c r="B1639" t="inlineStr">
        <is>
          <t>A-490__57</t>
        </is>
      </c>
      <c r="C1639" t="n">
        <v>37.4473789214</v>
      </c>
      <c r="D1639" t="n">
        <v>-7.1402554899</v>
      </c>
      <c r="E1639" t="n">
        <v>2</v>
      </c>
      <c r="F1639" t="n">
        <v>2</v>
      </c>
      <c r="G1639" t="n">
        <v>3</v>
      </c>
      <c r="J1639" t="inlineStr">
        <is>
          <t>Moda</t>
        </is>
      </c>
      <c r="K1639" t="n">
        <v>2</v>
      </c>
      <c r="L1639" t="n">
        <v>1.924</v>
      </c>
      <c r="M1639" t="n">
        <v>0</v>
      </c>
      <c r="N1639" t="inlineStr">
        <is>
          <t>train</t>
        </is>
      </c>
      <c r="O1639">
        <f>HYPERLINK("2\1\marker_119_737820.png", "Ver Imagen")</f>
        <v/>
      </c>
      <c r="P1639">
        <f>HYPERLINK("NE\A-490\A-490__57.png", "Ver Imagen")</f>
        <v/>
      </c>
    </row>
    <row r="1640">
      <c r="A1640" t="n">
        <v>1066</v>
      </c>
      <c r="B1640" t="inlineStr">
        <is>
          <t>A-490__368</t>
        </is>
      </c>
      <c r="C1640" t="n">
        <v>37.4786322932</v>
      </c>
      <c r="D1640" t="n">
        <v>-7.20718349938</v>
      </c>
      <c r="E1640" t="n">
        <v>2</v>
      </c>
      <c r="F1640" t="n">
        <v>3</v>
      </c>
      <c r="G1640" t="n">
        <v>2</v>
      </c>
      <c r="J1640" t="inlineStr">
        <is>
          <t>Moda</t>
        </is>
      </c>
      <c r="K1640" t="n">
        <v>2</v>
      </c>
      <c r="L1640" t="n">
        <v>2.01</v>
      </c>
      <c r="M1640" t="n">
        <v>0</v>
      </c>
      <c r="N1640" t="inlineStr">
        <is>
          <t>train</t>
        </is>
      </c>
      <c r="O1640">
        <f>HYPERLINK("2\1\marker_833_752056.png", "Ver Imagen")</f>
        <v/>
      </c>
      <c r="P1640">
        <f>HYPERLINK("NO\A-490\A-490__368.png", "Ver Imagen")</f>
        <v/>
      </c>
    </row>
    <row r="1641">
      <c r="A1641" t="n">
        <v>1067</v>
      </c>
      <c r="B1641" t="inlineStr">
        <is>
          <t>A-490__417</t>
        </is>
      </c>
      <c r="C1641" t="n">
        <v>37.4826754901</v>
      </c>
      <c r="D1641" t="n">
        <v>-7.21852061483</v>
      </c>
      <c r="E1641" t="n">
        <v>2</v>
      </c>
      <c r="F1641" t="n">
        <v>1</v>
      </c>
      <c r="G1641" t="n">
        <v>2</v>
      </c>
      <c r="J1641" t="inlineStr">
        <is>
          <t>Moda</t>
        </is>
      </c>
      <c r="K1641" t="n">
        <v>2</v>
      </c>
      <c r="L1641" t="n">
        <v>2.019</v>
      </c>
      <c r="M1641" t="n">
        <v>0</v>
      </c>
      <c r="N1641" t="inlineStr">
        <is>
          <t>train</t>
        </is>
      </c>
      <c r="O1641">
        <f>HYPERLINK("2\1\marker_458_754248.png", "Ver Imagen")</f>
        <v/>
      </c>
      <c r="P1641">
        <f>HYPERLINK("NO\A-490\A-490__417.png", "Ver Imagen")</f>
        <v/>
      </c>
    </row>
    <row r="1642">
      <c r="A1642" t="n">
        <v>1068</v>
      </c>
      <c r="B1642" t="inlineStr">
        <is>
          <t>A-490__425</t>
        </is>
      </c>
      <c r="C1642" t="n">
        <v>37.4830455498</v>
      </c>
      <c r="D1642" t="n">
        <v>-7.22041952313</v>
      </c>
      <c r="E1642" t="n">
        <v>2</v>
      </c>
      <c r="F1642" t="n">
        <v>1</v>
      </c>
      <c r="G1642" t="n">
        <v>2</v>
      </c>
      <c r="J1642" t="inlineStr">
        <is>
          <t>Moda</t>
        </is>
      </c>
      <c r="K1642" t="n">
        <v>2</v>
      </c>
      <c r="L1642" t="n">
        <v>2.001</v>
      </c>
      <c r="M1642" t="n">
        <v>0</v>
      </c>
      <c r="N1642" t="inlineStr">
        <is>
          <t>test</t>
        </is>
      </c>
      <c r="O1642">
        <f>HYPERLINK("2\1\marker_867_754377.png", "Ver Imagen")</f>
        <v/>
      </c>
      <c r="P1642">
        <f>HYPERLINK("NO\A-490\A-490__425.png", "Ver Imagen")</f>
        <v/>
      </c>
    </row>
    <row r="1643">
      <c r="A1643" t="n">
        <v>1069</v>
      </c>
      <c r="B1643" t="inlineStr">
        <is>
          <t>A-490__428</t>
        </is>
      </c>
      <c r="C1643" t="n">
        <v>37.4832023428</v>
      </c>
      <c r="D1643" t="n">
        <v>-7.2211973816</v>
      </c>
      <c r="E1643" t="n">
        <v>1</v>
      </c>
      <c r="F1643" t="n">
        <v>2</v>
      </c>
      <c r="G1643" t="n">
        <v>2</v>
      </c>
      <c r="J1643" t="inlineStr">
        <is>
          <t>Moda</t>
        </is>
      </c>
      <c r="K1643" t="n">
        <v>2</v>
      </c>
      <c r="L1643" t="n">
        <v>1.989</v>
      </c>
      <c r="M1643" t="n">
        <v>0</v>
      </c>
      <c r="N1643" t="inlineStr">
        <is>
          <t>train</t>
        </is>
      </c>
      <c r="O1643">
        <f>HYPERLINK("2\1\marker_442_754446.png", "Ver Imagen")</f>
        <v/>
      </c>
      <c r="P1643">
        <f>HYPERLINK("NO\A-490\A-490__428.png", "Ver Imagen")</f>
        <v/>
      </c>
    </row>
    <row r="1644">
      <c r="A1644" t="n">
        <v>1070</v>
      </c>
      <c r="B1644" t="inlineStr">
        <is>
          <t>A-490__429</t>
        </is>
      </c>
      <c r="C1644" t="n">
        <v>37.4832514721</v>
      </c>
      <c r="D1644" t="n">
        <v>-7.22144573038</v>
      </c>
      <c r="E1644" t="n">
        <v>2</v>
      </c>
      <c r="F1644" t="n">
        <v>2</v>
      </c>
      <c r="G1644" t="n">
        <v>1</v>
      </c>
      <c r="J1644" t="inlineStr">
        <is>
          <t>Moda</t>
        </is>
      </c>
      <c r="K1644" t="n">
        <v>2</v>
      </c>
      <c r="L1644" t="n">
        <v>1.687</v>
      </c>
      <c r="M1644" t="n">
        <v>0</v>
      </c>
      <c r="N1644" t="inlineStr">
        <is>
          <t>train</t>
        </is>
      </c>
      <c r="O1644">
        <f>HYPERLINK("2\1\marker_148_754462.png", "Ver Imagen")</f>
        <v/>
      </c>
      <c r="P1644">
        <f>HYPERLINK("NO\A-490\A-490__429.png", "Ver Imagen")</f>
        <v/>
      </c>
    </row>
    <row r="1645">
      <c r="A1645" t="n">
        <v>1071</v>
      </c>
      <c r="B1645" t="inlineStr">
        <is>
          <t>A-490__431</t>
        </is>
      </c>
      <c r="C1645" t="n">
        <v>37.4833435539</v>
      </c>
      <c r="D1645" t="n">
        <v>-7.2219134071</v>
      </c>
      <c r="E1645" t="n">
        <v>2</v>
      </c>
      <c r="F1645" t="n">
        <v>1</v>
      </c>
      <c r="G1645" t="n">
        <v>2</v>
      </c>
      <c r="J1645" t="inlineStr">
        <is>
          <t>Moda</t>
        </is>
      </c>
      <c r="K1645" t="n">
        <v>2</v>
      </c>
      <c r="L1645" t="n">
        <v>1.963</v>
      </c>
      <c r="M1645" t="n">
        <v>0</v>
      </c>
      <c r="N1645" t="inlineStr">
        <is>
          <t>train</t>
        </is>
      </c>
      <c r="O1645">
        <f>HYPERLINK("2\1\marker_331_754499.png", "Ver Imagen")</f>
        <v/>
      </c>
      <c r="P1645">
        <f>HYPERLINK("NO\A-490\A-490__431.png", "Ver Imagen")</f>
        <v/>
      </c>
    </row>
    <row r="1646">
      <c r="A1646" t="n">
        <v>1072</v>
      </c>
      <c r="B1646" t="inlineStr">
        <is>
          <t>A-490__432</t>
        </is>
      </c>
      <c r="C1646" t="n">
        <v>37.4833883805</v>
      </c>
      <c r="D1646" t="n">
        <v>-7.2221399081</v>
      </c>
      <c r="E1646" t="n">
        <v>2</v>
      </c>
      <c r="F1646" t="n">
        <v>1</v>
      </c>
      <c r="G1646" t="n">
        <v>2</v>
      </c>
      <c r="J1646" t="inlineStr">
        <is>
          <t>Moda</t>
        </is>
      </c>
      <c r="K1646" t="n">
        <v>2</v>
      </c>
      <c r="L1646" t="n">
        <v>1.591</v>
      </c>
      <c r="M1646" t="n">
        <v>0</v>
      </c>
      <c r="N1646" t="inlineStr">
        <is>
          <t>train</t>
        </is>
      </c>
      <c r="O1646">
        <f>HYPERLINK("2\1\marker_411_754517.png", "Ver Imagen")</f>
        <v/>
      </c>
      <c r="P1646">
        <f>HYPERLINK("NO\A-490\A-490__432.png", "Ver Imagen")</f>
        <v/>
      </c>
    </row>
    <row r="1647">
      <c r="A1647" t="n">
        <v>1073</v>
      </c>
      <c r="B1647" t="inlineStr">
        <is>
          <t>A-490__447</t>
        </is>
      </c>
      <c r="C1647" t="n">
        <v>37.484110803</v>
      </c>
      <c r="D1647" t="n">
        <v>-7.22587919871</v>
      </c>
      <c r="E1647" t="n">
        <v>1</v>
      </c>
      <c r="F1647" t="n">
        <v>2</v>
      </c>
      <c r="G1647" t="n">
        <v>2</v>
      </c>
      <c r="J1647" t="inlineStr">
        <is>
          <t>Moda</t>
        </is>
      </c>
      <c r="K1647" t="n">
        <v>2</v>
      </c>
      <c r="L1647" t="n">
        <v>1.888</v>
      </c>
      <c r="M1647" t="n">
        <v>0</v>
      </c>
      <c r="N1647" t="inlineStr">
        <is>
          <t>train</t>
        </is>
      </c>
      <c r="O1647">
        <f>HYPERLINK("2\1\marker_218_754973.png", "Ver Imagen")</f>
        <v/>
      </c>
      <c r="P1647">
        <f>HYPERLINK("NO\A-490\A-490__447.png", "Ver Imagen")</f>
        <v/>
      </c>
    </row>
    <row r="1648">
      <c r="A1648" t="n">
        <v>1074</v>
      </c>
      <c r="B1648" t="inlineStr">
        <is>
          <t>A-490__455</t>
        </is>
      </c>
      <c r="C1648" t="n">
        <v>37.4844986773</v>
      </c>
      <c r="D1648" t="n">
        <v>-7.22787597117</v>
      </c>
      <c r="E1648" t="n">
        <v>1</v>
      </c>
      <c r="F1648" t="n">
        <v>2</v>
      </c>
      <c r="G1648" t="n">
        <v>2</v>
      </c>
      <c r="J1648" t="inlineStr">
        <is>
          <t>Moda</t>
        </is>
      </c>
      <c r="K1648" t="n">
        <v>2</v>
      </c>
      <c r="L1648" t="n">
        <v>2.156</v>
      </c>
      <c r="M1648" t="n">
        <v>0</v>
      </c>
      <c r="N1648" t="inlineStr">
        <is>
          <t>train</t>
        </is>
      </c>
      <c r="O1648">
        <f>HYPERLINK("2\1\marker_230_755130.png", "Ver Imagen")</f>
        <v/>
      </c>
      <c r="P1648">
        <f>HYPERLINK("NO\A-490\A-490__455.png", "Ver Imagen")</f>
        <v/>
      </c>
    </row>
    <row r="1649">
      <c r="A1649" t="n">
        <v>1075</v>
      </c>
      <c r="B1649" t="inlineStr">
        <is>
          <t>A-490__462</t>
        </is>
      </c>
      <c r="C1649" t="n">
        <v>37.4848375036</v>
      </c>
      <c r="D1649" t="n">
        <v>-7.22961071493</v>
      </c>
      <c r="E1649" t="n">
        <v>2</v>
      </c>
      <c r="F1649" t="n">
        <v>2</v>
      </c>
      <c r="G1649" t="n">
        <v>1</v>
      </c>
      <c r="J1649" t="inlineStr">
        <is>
          <t>Moda</t>
        </is>
      </c>
      <c r="K1649" t="n">
        <v>2</v>
      </c>
      <c r="L1649" t="n">
        <v>1.887</v>
      </c>
      <c r="M1649" t="n">
        <v>0</v>
      </c>
      <c r="N1649" t="inlineStr">
        <is>
          <t>train</t>
        </is>
      </c>
      <c r="O1649">
        <f>HYPERLINK("2\1\marker_668_755252.png", "Ver Imagen")</f>
        <v/>
      </c>
      <c r="P1649">
        <f>HYPERLINK("NO\A-490\A-490__462.png", "Ver Imagen")</f>
        <v/>
      </c>
    </row>
    <row r="1650">
      <c r="A1650" t="n">
        <v>1076</v>
      </c>
      <c r="B1650" t="inlineStr">
        <is>
          <t>A-490__464</t>
        </is>
      </c>
      <c r="C1650" t="n">
        <v>37.4849302165</v>
      </c>
      <c r="D1650" t="n">
        <v>-7.23008923194</v>
      </c>
      <c r="E1650" t="n">
        <v>1</v>
      </c>
      <c r="F1650" t="n">
        <v>2</v>
      </c>
      <c r="G1650" t="n">
        <v>2</v>
      </c>
      <c r="J1650" t="inlineStr">
        <is>
          <t>Moda</t>
        </is>
      </c>
      <c r="K1650" t="n">
        <v>2</v>
      </c>
      <c r="L1650" t="n">
        <v>2.02</v>
      </c>
      <c r="M1650" t="n">
        <v>0</v>
      </c>
      <c r="N1650" t="inlineStr">
        <is>
          <t>train</t>
        </is>
      </c>
      <c r="O1650">
        <f>HYPERLINK("2\1\marker_588_755286.png", "Ver Imagen")</f>
        <v/>
      </c>
      <c r="P1650">
        <f>HYPERLINK("NO\A-490\A-490__464.png", "Ver Imagen")</f>
        <v/>
      </c>
    </row>
    <row r="1651">
      <c r="A1651" t="n">
        <v>1077</v>
      </c>
      <c r="B1651" t="inlineStr">
        <is>
          <t>A-490__470</t>
        </is>
      </c>
      <c r="C1651" t="n">
        <v>37.4852135186</v>
      </c>
      <c r="D1651" t="n">
        <v>-7.23155601455</v>
      </c>
      <c r="E1651" t="n">
        <v>1</v>
      </c>
      <c r="F1651" t="n">
        <v>2</v>
      </c>
      <c r="G1651" t="n">
        <v>2</v>
      </c>
      <c r="J1651" t="inlineStr">
        <is>
          <t>Moda</t>
        </is>
      </c>
      <c r="K1651" t="n">
        <v>2</v>
      </c>
      <c r="L1651" t="n">
        <v>1.725</v>
      </c>
      <c r="M1651" t="n">
        <v>0</v>
      </c>
      <c r="N1651" t="inlineStr">
        <is>
          <t>train</t>
        </is>
      </c>
      <c r="O1651">
        <f>HYPERLINK("2\1\marker_814_755399.png", "Ver Imagen")</f>
        <v/>
      </c>
      <c r="P1651">
        <f>HYPERLINK("NO\A-490\A-490__470.png", "Ver Imagen")</f>
        <v/>
      </c>
    </row>
    <row r="1652">
      <c r="A1652" t="n">
        <v>1079</v>
      </c>
      <c r="B1652" t="inlineStr">
        <is>
          <t>A-490__497</t>
        </is>
      </c>
      <c r="C1652" t="n">
        <v>37.486482768</v>
      </c>
      <c r="D1652" t="n">
        <v>-7.23817535293</v>
      </c>
      <c r="E1652" t="n">
        <v>1</v>
      </c>
      <c r="F1652" t="n">
        <v>2</v>
      </c>
      <c r="G1652" t="n">
        <v>2</v>
      </c>
      <c r="J1652" t="inlineStr">
        <is>
          <t>Moda</t>
        </is>
      </c>
      <c r="K1652" t="n">
        <v>2</v>
      </c>
      <c r="L1652" t="n">
        <v>1.637</v>
      </c>
      <c r="M1652" t="n">
        <v>0</v>
      </c>
      <c r="N1652" t="inlineStr">
        <is>
          <t>train</t>
        </is>
      </c>
      <c r="O1652">
        <f>HYPERLINK("2\1\marker_490_817505.png", "Ver Imagen")</f>
        <v/>
      </c>
      <c r="P1652">
        <f>HYPERLINK("NO\A-490\A-490__497.png", "Ver Imagen")</f>
        <v/>
      </c>
    </row>
    <row r="1653">
      <c r="A1653" t="n">
        <v>1080</v>
      </c>
      <c r="B1653" t="inlineStr">
        <is>
          <t>A-490__501</t>
        </is>
      </c>
      <c r="C1653" t="n">
        <v>37.4866836576</v>
      </c>
      <c r="D1653" t="n">
        <v>-7.23922189682</v>
      </c>
      <c r="E1653" t="n">
        <v>1</v>
      </c>
      <c r="F1653" t="n">
        <v>2</v>
      </c>
      <c r="G1653" t="n">
        <v>2</v>
      </c>
      <c r="J1653" t="inlineStr">
        <is>
          <t>Moda</t>
        </is>
      </c>
      <c r="K1653" t="n">
        <v>2</v>
      </c>
      <c r="L1653" t="n">
        <v>2.487</v>
      </c>
      <c r="M1653" t="n">
        <v>0</v>
      </c>
      <c r="N1653" t="inlineStr">
        <is>
          <t>train</t>
        </is>
      </c>
      <c r="O1653">
        <f>HYPERLINK("2\1\marker_497_817604.png", "Ver Imagen")</f>
        <v/>
      </c>
      <c r="P1653">
        <f>HYPERLINK("NO\A-490\A-490__501.png", "Ver Imagen")</f>
        <v/>
      </c>
    </row>
    <row r="1654">
      <c r="A1654" t="n">
        <v>1081</v>
      </c>
      <c r="B1654" t="inlineStr">
        <is>
          <t>A-490__502</t>
        </is>
      </c>
      <c r="C1654" t="n">
        <v>37.4867313249</v>
      </c>
      <c r="D1654" t="n">
        <v>-7.23946181853</v>
      </c>
      <c r="E1654" t="n">
        <v>1</v>
      </c>
      <c r="F1654" t="n">
        <v>2</v>
      </c>
      <c r="G1654" t="n">
        <v>2</v>
      </c>
      <c r="J1654" t="inlineStr">
        <is>
          <t>Moda</t>
        </is>
      </c>
      <c r="K1654" t="n">
        <v>2</v>
      </c>
      <c r="L1654" t="n">
        <v>1.912</v>
      </c>
      <c r="M1654" t="n">
        <v>0</v>
      </c>
      <c r="N1654" t="inlineStr">
        <is>
          <t>train</t>
        </is>
      </c>
      <c r="O1654">
        <f>HYPERLINK("2\1\marker_782_817623.png", "Ver Imagen")</f>
        <v/>
      </c>
      <c r="P1654">
        <f>HYPERLINK("NO\A-490\A-490__502.png", "Ver Imagen")</f>
        <v/>
      </c>
    </row>
    <row r="1655">
      <c r="A1655" t="n">
        <v>1082</v>
      </c>
      <c r="B1655" t="inlineStr">
        <is>
          <t>A-490__503</t>
        </is>
      </c>
      <c r="C1655" t="n">
        <v>37.4867795734</v>
      </c>
      <c r="D1655" t="n">
        <v>-7.23970268445</v>
      </c>
      <c r="E1655" t="n">
        <v>1</v>
      </c>
      <c r="F1655" t="n">
        <v>2</v>
      </c>
      <c r="G1655" t="n">
        <v>2</v>
      </c>
      <c r="J1655" t="inlineStr">
        <is>
          <t>Moda</t>
        </is>
      </c>
      <c r="K1655" t="n">
        <v>2</v>
      </c>
      <c r="L1655" t="n">
        <v>1.786</v>
      </c>
      <c r="M1655" t="n">
        <v>0</v>
      </c>
      <c r="N1655" t="inlineStr">
        <is>
          <t>train</t>
        </is>
      </c>
      <c r="O1655">
        <f>HYPERLINK("2\1\marker_821_817638.png", "Ver Imagen")</f>
        <v/>
      </c>
      <c r="P1655">
        <f>HYPERLINK("NO\A-490\A-490__503.png", "Ver Imagen")</f>
        <v/>
      </c>
    </row>
    <row r="1656">
      <c r="A1656" t="n">
        <v>1083</v>
      </c>
      <c r="B1656" t="inlineStr">
        <is>
          <t>A-490__506</t>
        </is>
      </c>
      <c r="C1656" t="n">
        <v>37.4869289156</v>
      </c>
      <c r="D1656" t="n">
        <v>-7.24049043459</v>
      </c>
      <c r="E1656" t="n">
        <v>1</v>
      </c>
      <c r="F1656" t="n">
        <v>2</v>
      </c>
      <c r="G1656" t="n">
        <v>2</v>
      </c>
      <c r="J1656" t="inlineStr">
        <is>
          <t>Moda</t>
        </is>
      </c>
      <c r="K1656" t="n">
        <v>2</v>
      </c>
      <c r="L1656" t="n">
        <v>2.265</v>
      </c>
      <c r="M1656" t="n">
        <v>0</v>
      </c>
      <c r="N1656" t="inlineStr">
        <is>
          <t>train</t>
        </is>
      </c>
      <c r="O1656">
        <f>HYPERLINK("2\1\marker_638_817685.png", "Ver Imagen")</f>
        <v/>
      </c>
      <c r="P1656">
        <f>HYPERLINK("NO\A-490\A-490__506.png", "Ver Imagen")</f>
        <v/>
      </c>
    </row>
    <row r="1657">
      <c r="A1657" t="n">
        <v>1084</v>
      </c>
      <c r="B1657" t="inlineStr">
        <is>
          <t>A-490__507</t>
        </is>
      </c>
      <c r="C1657" t="n">
        <v>37.4869614703</v>
      </c>
      <c r="D1657" t="n">
        <v>-7.24071125535</v>
      </c>
      <c r="E1657" t="n">
        <v>1</v>
      </c>
      <c r="F1657" t="n">
        <v>2</v>
      </c>
      <c r="G1657" t="n">
        <v>2</v>
      </c>
      <c r="J1657" t="inlineStr">
        <is>
          <t>Moda</t>
        </is>
      </c>
      <c r="K1657" t="n">
        <v>2</v>
      </c>
      <c r="L1657" t="n">
        <v>1.929</v>
      </c>
      <c r="M1657" t="n">
        <v>0</v>
      </c>
      <c r="N1657" t="inlineStr">
        <is>
          <t>train</t>
        </is>
      </c>
      <c r="O1657">
        <f>HYPERLINK("2\1\marker_615_817712.png", "Ver Imagen")</f>
        <v/>
      </c>
      <c r="P1657">
        <f>HYPERLINK("NO\A-490\A-490__507.png", "Ver Imagen")</f>
        <v/>
      </c>
    </row>
    <row r="1658">
      <c r="A1658" t="n">
        <v>1085</v>
      </c>
      <c r="B1658" t="inlineStr">
        <is>
          <t>A-490__512</t>
        </is>
      </c>
      <c r="C1658" t="n">
        <v>37.4870776839</v>
      </c>
      <c r="D1658" t="n">
        <v>-7.24195043127</v>
      </c>
      <c r="E1658" t="n">
        <v>1</v>
      </c>
      <c r="F1658" t="n">
        <v>2</v>
      </c>
      <c r="G1658" t="n">
        <v>2</v>
      </c>
      <c r="J1658" t="inlineStr">
        <is>
          <t>Moda</t>
        </is>
      </c>
      <c r="K1658" t="n">
        <v>2</v>
      </c>
      <c r="L1658" t="n">
        <v>2.011</v>
      </c>
      <c r="M1658" t="n">
        <v>0</v>
      </c>
      <c r="N1658" t="inlineStr">
        <is>
          <t>train</t>
        </is>
      </c>
      <c r="O1658">
        <f>HYPERLINK("2\1\marker_952_817847.png", "Ver Imagen")</f>
        <v/>
      </c>
      <c r="P1658">
        <f>HYPERLINK("NO\A-490\A-490__512.png", "Ver Imagen")</f>
        <v/>
      </c>
    </row>
    <row r="1659">
      <c r="A1659" t="n">
        <v>1086</v>
      </c>
      <c r="B1659" t="inlineStr">
        <is>
          <t>A-490__519</t>
        </is>
      </c>
      <c r="C1659" t="n">
        <v>37.4873270946</v>
      </c>
      <c r="D1659" t="n">
        <v>-7.24367349573</v>
      </c>
      <c r="E1659" t="n">
        <v>1</v>
      </c>
      <c r="F1659" t="n">
        <v>2</v>
      </c>
      <c r="G1659" t="n">
        <v>2</v>
      </c>
      <c r="J1659" t="inlineStr">
        <is>
          <t>Moda</t>
        </is>
      </c>
      <c r="K1659" t="n">
        <v>2</v>
      </c>
      <c r="L1659" t="n">
        <v>2.324</v>
      </c>
      <c r="M1659" t="n">
        <v>0</v>
      </c>
      <c r="N1659" t="inlineStr">
        <is>
          <t>test</t>
        </is>
      </c>
      <c r="O1659">
        <f>HYPERLINK("2\1\marker_267_818045.png", "Ver Imagen")</f>
        <v/>
      </c>
      <c r="P1659">
        <f>HYPERLINK("NO\A-490\A-490__519.png", "Ver Imagen")</f>
        <v/>
      </c>
    </row>
    <row r="1660">
      <c r="A1660" t="n">
        <v>1088</v>
      </c>
      <c r="B1660" t="inlineStr">
        <is>
          <t>A-490__535</t>
        </is>
      </c>
      <c r="C1660" t="n">
        <v>37.4887847446</v>
      </c>
      <c r="D1660" t="n">
        <v>-7.24730743552</v>
      </c>
      <c r="E1660" t="n">
        <v>1</v>
      </c>
      <c r="F1660" t="n">
        <v>2</v>
      </c>
      <c r="G1660" t="n">
        <v>2</v>
      </c>
      <c r="J1660" t="inlineStr">
        <is>
          <t>Moda</t>
        </is>
      </c>
      <c r="K1660" t="n">
        <v>2</v>
      </c>
      <c r="L1660" t="n">
        <v>1.806</v>
      </c>
      <c r="M1660" t="n">
        <v>0</v>
      </c>
      <c r="N1660" t="inlineStr">
        <is>
          <t>train</t>
        </is>
      </c>
      <c r="O1660">
        <f>HYPERLINK("2\1\marker_228_818277.png", "Ver Imagen")</f>
        <v/>
      </c>
      <c r="P1660">
        <f>HYPERLINK("NO\A-490\A-490__535.png", "Ver Imagen")</f>
        <v/>
      </c>
    </row>
    <row r="1661">
      <c r="A1661" t="n">
        <v>1089</v>
      </c>
      <c r="B1661" t="inlineStr">
        <is>
          <t>A-490__594</t>
        </is>
      </c>
      <c r="C1661" t="n">
        <v>37.4911657648</v>
      </c>
      <c r="D1661" t="n">
        <v>-7.26068468316</v>
      </c>
      <c r="E1661" t="n">
        <v>2</v>
      </c>
      <c r="F1661" t="n">
        <v>2</v>
      </c>
      <c r="G1661" t="n">
        <v>3</v>
      </c>
      <c r="J1661" t="inlineStr">
        <is>
          <t>Moda</t>
        </is>
      </c>
      <c r="K1661" t="n">
        <v>2</v>
      </c>
      <c r="L1661" t="n">
        <v>1.852</v>
      </c>
      <c r="M1661" t="n">
        <v>0</v>
      </c>
      <c r="N1661" t="inlineStr">
        <is>
          <t>train</t>
        </is>
      </c>
      <c r="O1661">
        <f>HYPERLINK("2\1\marker_923_819681.png", "Ver Imagen")</f>
        <v/>
      </c>
      <c r="P1661">
        <f>HYPERLINK("NO\A-490\A-490__594.png", "Ver Imagen")</f>
        <v/>
      </c>
    </row>
    <row r="1662">
      <c r="A1662" t="n">
        <v>1090</v>
      </c>
      <c r="B1662" t="inlineStr">
        <is>
          <t>A-490__608</t>
        </is>
      </c>
      <c r="C1662" t="n">
        <v>37.4930601029</v>
      </c>
      <c r="D1662" t="n">
        <v>-7.26327345508</v>
      </c>
      <c r="E1662" t="n">
        <v>1</v>
      </c>
      <c r="F1662" t="n">
        <v>2</v>
      </c>
      <c r="G1662" t="n">
        <v>2</v>
      </c>
      <c r="J1662" t="inlineStr">
        <is>
          <t>Moda</t>
        </is>
      </c>
      <c r="K1662" t="n">
        <v>2</v>
      </c>
      <c r="L1662" t="n">
        <v>2.226</v>
      </c>
      <c r="M1662" t="n">
        <v>0</v>
      </c>
      <c r="N1662" t="inlineStr">
        <is>
          <t>train</t>
        </is>
      </c>
      <c r="O1662">
        <f>HYPERLINK("2\1\marker_183_820184.png", "Ver Imagen")</f>
        <v/>
      </c>
      <c r="P1662">
        <f>HYPERLINK("NO\A-490\A-490__608.png", "Ver Imagen")</f>
        <v/>
      </c>
    </row>
    <row r="1663">
      <c r="A1663" t="n">
        <v>1091</v>
      </c>
      <c r="B1663" t="inlineStr">
        <is>
          <t>A-492__39</t>
        </is>
      </c>
      <c r="C1663" t="n">
        <v>37.2783484075</v>
      </c>
      <c r="D1663" t="n">
        <v>-6.99312143569</v>
      </c>
      <c r="E1663" t="n">
        <v>2</v>
      </c>
      <c r="F1663" t="n">
        <v>2</v>
      </c>
      <c r="G1663" t="n">
        <v>3</v>
      </c>
      <c r="J1663" t="inlineStr">
        <is>
          <t>Moda</t>
        </is>
      </c>
      <c r="K1663" t="n">
        <v>2</v>
      </c>
      <c r="L1663" t="n">
        <v>1.58</v>
      </c>
      <c r="M1663" t="n">
        <v>0</v>
      </c>
      <c r="N1663" t="inlineStr">
        <is>
          <t>train</t>
        </is>
      </c>
      <c r="O1663">
        <f>HYPERLINK("2\1\marker_713_822851.png", "Ver Imagen")</f>
        <v/>
      </c>
      <c r="P1663">
        <f>HYPERLINK("SE\A-492\A-492__39.png", "Ver Imagen")</f>
        <v/>
      </c>
    </row>
    <row r="1664">
      <c r="A1664" t="n">
        <v>1092</v>
      </c>
      <c r="B1664" t="inlineStr">
        <is>
          <t>A-492__40</t>
        </is>
      </c>
      <c r="C1664" t="n">
        <v>37.2784620082</v>
      </c>
      <c r="D1664" t="n">
        <v>-6.9932942289</v>
      </c>
      <c r="E1664" t="n">
        <v>2</v>
      </c>
      <c r="F1664" t="n">
        <v>2</v>
      </c>
      <c r="G1664" t="n">
        <v>3</v>
      </c>
      <c r="J1664" t="inlineStr">
        <is>
          <t>Moda</t>
        </is>
      </c>
      <c r="K1664" t="n">
        <v>2</v>
      </c>
      <c r="L1664" t="n">
        <v>1.932</v>
      </c>
      <c r="M1664" t="n">
        <v>0</v>
      </c>
      <c r="N1664" t="inlineStr">
        <is>
          <t>train</t>
        </is>
      </c>
      <c r="O1664">
        <f>HYPERLINK("2\1\marker_390_822861.png", "Ver Imagen")</f>
        <v/>
      </c>
      <c r="P1664">
        <f>HYPERLINK("SE\A-492\A-492__40.png", "Ver Imagen")</f>
        <v/>
      </c>
    </row>
    <row r="1665">
      <c r="A1665" t="n">
        <v>1093</v>
      </c>
      <c r="B1665" t="inlineStr">
        <is>
          <t>A-492__41</t>
        </is>
      </c>
      <c r="C1665" t="n">
        <v>37.2785648914</v>
      </c>
      <c r="D1665" t="n">
        <v>-6.99346479297</v>
      </c>
      <c r="E1665" t="n">
        <v>1</v>
      </c>
      <c r="F1665" t="n">
        <v>2</v>
      </c>
      <c r="G1665" t="n">
        <v>2</v>
      </c>
      <c r="J1665" t="inlineStr">
        <is>
          <t>Moda</t>
        </is>
      </c>
      <c r="K1665" t="n">
        <v>2</v>
      </c>
      <c r="L1665" t="n">
        <v>1.889</v>
      </c>
      <c r="M1665" t="n">
        <v>0</v>
      </c>
      <c r="N1665" t="inlineStr">
        <is>
          <t>train</t>
        </is>
      </c>
      <c r="O1665">
        <f>HYPERLINK("2\1\marker_671_822874.png", "Ver Imagen")</f>
        <v/>
      </c>
      <c r="P1665">
        <f>HYPERLINK("SE\A-492\A-492__41.png", "Ver Imagen")</f>
        <v/>
      </c>
    </row>
    <row r="1666">
      <c r="A1666" t="n">
        <v>1094</v>
      </c>
      <c r="B1666" t="inlineStr">
        <is>
          <t>A-492__80</t>
        </is>
      </c>
      <c r="C1666" t="n">
        <v>37.2806248283</v>
      </c>
      <c r="D1666" t="n">
        <v>-7.00250739627</v>
      </c>
      <c r="E1666" t="n">
        <v>2</v>
      </c>
      <c r="F1666" t="n">
        <v>2</v>
      </c>
      <c r="G1666" t="n">
        <v>3</v>
      </c>
      <c r="J1666" t="inlineStr">
        <is>
          <t>Moda</t>
        </is>
      </c>
      <c r="K1666" t="n">
        <v>2</v>
      </c>
      <c r="L1666" t="n">
        <v>2.091</v>
      </c>
      <c r="M1666" t="n">
        <v>0</v>
      </c>
      <c r="N1666" t="inlineStr">
        <is>
          <t>val</t>
        </is>
      </c>
      <c r="O1666">
        <f>HYPERLINK("2\1\marker_215_823490.png", "Ver Imagen")</f>
        <v/>
      </c>
      <c r="P1666">
        <f>HYPERLINK("SE\A-492\A-492__80.png", "Ver Imagen")</f>
        <v/>
      </c>
    </row>
    <row r="1667">
      <c r="A1667" t="n">
        <v>1095</v>
      </c>
      <c r="B1667" t="inlineStr">
        <is>
          <t>A-492__83</t>
        </is>
      </c>
      <c r="C1667" t="n">
        <v>37.2807039591</v>
      </c>
      <c r="D1667" t="n">
        <v>-7.00328153657</v>
      </c>
      <c r="E1667" t="n">
        <v>2</v>
      </c>
      <c r="F1667" t="n">
        <v>2</v>
      </c>
      <c r="G1667" t="n">
        <v>3</v>
      </c>
      <c r="J1667" t="inlineStr">
        <is>
          <t>Moda</t>
        </is>
      </c>
      <c r="K1667" t="n">
        <v>2</v>
      </c>
      <c r="L1667" t="n">
        <v>2.438</v>
      </c>
      <c r="M1667" t="n">
        <v>0</v>
      </c>
      <c r="N1667" t="inlineStr">
        <is>
          <t>val</t>
        </is>
      </c>
      <c r="O1667">
        <f>HYPERLINK("2\1\marker_804_823524.png", "Ver Imagen")</f>
        <v/>
      </c>
      <c r="P1667">
        <f>HYPERLINK("SE\A-492\A-492__83.png", "Ver Imagen")</f>
        <v/>
      </c>
    </row>
    <row r="1668">
      <c r="A1668" t="n">
        <v>1096</v>
      </c>
      <c r="B1668" t="inlineStr">
        <is>
          <t>A-492__105</t>
        </is>
      </c>
      <c r="C1668" t="n">
        <v>37.2790680227</v>
      </c>
      <c r="D1668" t="n">
        <v>-7.00838586761</v>
      </c>
      <c r="E1668" t="n">
        <v>2</v>
      </c>
      <c r="F1668" t="n">
        <v>2</v>
      </c>
      <c r="G1668" t="n">
        <v>3</v>
      </c>
      <c r="J1668" t="inlineStr">
        <is>
          <t>Moda</t>
        </is>
      </c>
      <c r="K1668" t="n">
        <v>2</v>
      </c>
      <c r="L1668" t="n">
        <v>2.419</v>
      </c>
      <c r="M1668" t="n">
        <v>0</v>
      </c>
      <c r="N1668" t="inlineStr">
        <is>
          <t>test</t>
        </is>
      </c>
      <c r="O1668">
        <f>HYPERLINK("2\1\marker_192_824213.png", "Ver Imagen")</f>
        <v/>
      </c>
      <c r="P1668">
        <f>HYPERLINK("SE\A-492\A-492__105.png", "Ver Imagen")</f>
        <v/>
      </c>
    </row>
    <row r="1669">
      <c r="A1669" t="n">
        <v>1097</v>
      </c>
      <c r="B1669" t="inlineStr">
        <is>
          <t>A-492__107</t>
        </is>
      </c>
      <c r="C1669" t="n">
        <v>37.2788921608</v>
      </c>
      <c r="D1669" t="n">
        <v>-7.0088355695</v>
      </c>
      <c r="E1669" t="n">
        <v>2</v>
      </c>
      <c r="F1669" t="n">
        <v>2</v>
      </c>
      <c r="G1669" t="n">
        <v>3</v>
      </c>
      <c r="J1669" t="inlineStr">
        <is>
          <t>Moda</t>
        </is>
      </c>
      <c r="K1669" t="n">
        <v>2</v>
      </c>
      <c r="L1669" t="n">
        <v>1.85</v>
      </c>
      <c r="M1669" t="n">
        <v>0</v>
      </c>
      <c r="N1669" t="inlineStr">
        <is>
          <t>train</t>
        </is>
      </c>
      <c r="O1669">
        <f>HYPERLINK("2\1\marker_755_824256.png", "Ver Imagen")</f>
        <v/>
      </c>
      <c r="P1669">
        <f>HYPERLINK("SE\A-492\A-492__107.png", "Ver Imagen")</f>
        <v/>
      </c>
    </row>
    <row r="1670">
      <c r="A1670" t="n">
        <v>1098</v>
      </c>
      <c r="B1670" t="inlineStr">
        <is>
          <t>A-492__110</t>
        </is>
      </c>
      <c r="C1670" t="n">
        <v>37.2786058561</v>
      </c>
      <c r="D1670" t="n">
        <v>-7.00953555378</v>
      </c>
      <c r="E1670" t="n">
        <v>2</v>
      </c>
      <c r="F1670" t="n">
        <v>2</v>
      </c>
      <c r="G1670" t="n">
        <v>3</v>
      </c>
      <c r="J1670" t="inlineStr">
        <is>
          <t>Moda</t>
        </is>
      </c>
      <c r="K1670" t="n">
        <v>2</v>
      </c>
      <c r="L1670" t="n">
        <v>1.896</v>
      </c>
      <c r="M1670" t="n">
        <v>0</v>
      </c>
      <c r="N1670" t="inlineStr">
        <is>
          <t>train</t>
        </is>
      </c>
      <c r="O1670">
        <f>HYPERLINK("2\1\marker_537_824290.png", "Ver Imagen")</f>
        <v/>
      </c>
      <c r="P1670">
        <f>HYPERLINK("SE\A-492\A-492__110.png", "Ver Imagen")</f>
        <v/>
      </c>
    </row>
    <row r="1671">
      <c r="A1671" t="n">
        <v>1100</v>
      </c>
      <c r="B1671" t="inlineStr">
        <is>
          <t>A-492__145</t>
        </is>
      </c>
      <c r="C1671" t="n">
        <v>37.2753818101</v>
      </c>
      <c r="D1671" t="n">
        <v>-7.01699800517</v>
      </c>
      <c r="E1671" t="n">
        <v>1</v>
      </c>
      <c r="F1671" t="n">
        <v>2</v>
      </c>
      <c r="G1671" t="n">
        <v>2</v>
      </c>
      <c r="J1671" t="inlineStr">
        <is>
          <t>Moda</t>
        </is>
      </c>
      <c r="K1671" t="n">
        <v>2</v>
      </c>
      <c r="L1671" t="n">
        <v>1.884</v>
      </c>
      <c r="M1671" t="n">
        <v>0</v>
      </c>
      <c r="N1671" t="inlineStr">
        <is>
          <t>train</t>
        </is>
      </c>
      <c r="O1671">
        <f>HYPERLINK("2\1\marker_145_824736.png", "Ver Imagen")</f>
        <v/>
      </c>
      <c r="P1671">
        <f>HYPERLINK("SE\A-492\A-492__145.png", "Ver Imagen")</f>
        <v/>
      </c>
    </row>
    <row r="1672">
      <c r="A1672" t="n">
        <v>1101</v>
      </c>
      <c r="B1672" t="inlineStr">
        <is>
          <t>A-492__148</t>
        </is>
      </c>
      <c r="C1672" t="n">
        <v>37.275478497</v>
      </c>
      <c r="D1672" t="n">
        <v>-7.01777374229</v>
      </c>
      <c r="E1672" t="n">
        <v>1</v>
      </c>
      <c r="F1672" t="n">
        <v>2</v>
      </c>
      <c r="G1672" t="n">
        <v>2</v>
      </c>
      <c r="J1672" t="inlineStr">
        <is>
          <t>Moda</t>
        </is>
      </c>
      <c r="K1672" t="n">
        <v>2</v>
      </c>
      <c r="L1672" t="n">
        <v>2.105</v>
      </c>
      <c r="M1672" t="n">
        <v>0</v>
      </c>
      <c r="N1672" t="inlineStr">
        <is>
          <t>train</t>
        </is>
      </c>
      <c r="O1672">
        <f>HYPERLINK("2\1\marker_534_824772.png", "Ver Imagen")</f>
        <v/>
      </c>
      <c r="P1672">
        <f>HYPERLINK("SE\A-492\A-492__148.png", "Ver Imagen")</f>
        <v/>
      </c>
    </row>
    <row r="1673">
      <c r="A1673" t="n">
        <v>1102</v>
      </c>
      <c r="B1673" t="inlineStr">
        <is>
          <t>A-492__149</t>
        </is>
      </c>
      <c r="C1673" t="n">
        <v>37.2755130914</v>
      </c>
      <c r="D1673" t="n">
        <v>-7.01802257591</v>
      </c>
      <c r="E1673" t="n">
        <v>1</v>
      </c>
      <c r="F1673" t="n">
        <v>2</v>
      </c>
      <c r="G1673" t="n">
        <v>2</v>
      </c>
      <c r="J1673" t="inlineStr">
        <is>
          <t>Moda</t>
        </is>
      </c>
      <c r="K1673" t="n">
        <v>2</v>
      </c>
      <c r="L1673" t="n">
        <v>2.089</v>
      </c>
      <c r="M1673" t="n">
        <v>0</v>
      </c>
      <c r="N1673" t="inlineStr">
        <is>
          <t>train</t>
        </is>
      </c>
      <c r="O1673">
        <f>HYPERLINK("2\1\marker_541_824791.png", "Ver Imagen")</f>
        <v/>
      </c>
      <c r="P1673">
        <f>HYPERLINK("SE\A-492\A-492__149.png", "Ver Imagen")</f>
        <v/>
      </c>
    </row>
    <row r="1674">
      <c r="A1674" t="n">
        <v>1103</v>
      </c>
      <c r="B1674" t="inlineStr">
        <is>
          <t>A-492__151</t>
        </is>
      </c>
      <c r="C1674" t="n">
        <v>37.2755798006</v>
      </c>
      <c r="D1674" t="n">
        <v>-7.0184888852</v>
      </c>
      <c r="E1674" t="n">
        <v>1</v>
      </c>
      <c r="F1674" t="n">
        <v>2</v>
      </c>
      <c r="G1674" t="n">
        <v>2</v>
      </c>
      <c r="J1674" t="inlineStr">
        <is>
          <t>Moda</t>
        </is>
      </c>
      <c r="K1674" t="n">
        <v>2</v>
      </c>
      <c r="L1674" t="n">
        <v>2.052</v>
      </c>
      <c r="M1674" t="n">
        <v>0</v>
      </c>
      <c r="N1674" t="inlineStr">
        <is>
          <t>train</t>
        </is>
      </c>
      <c r="O1674">
        <f>HYPERLINK("2\1\marker_326_824813.png", "Ver Imagen")</f>
        <v/>
      </c>
      <c r="P1674">
        <f>HYPERLINK("SE\A-492\A-492__151.png", "Ver Imagen")</f>
        <v/>
      </c>
    </row>
    <row r="1675">
      <c r="A1675" t="n">
        <v>1104</v>
      </c>
      <c r="B1675" t="inlineStr">
        <is>
          <t>A-492__160</t>
        </is>
      </c>
      <c r="C1675" t="n">
        <v>37.2758908804</v>
      </c>
      <c r="D1675" t="n">
        <v>-7.02079249908</v>
      </c>
      <c r="E1675" t="n">
        <v>2</v>
      </c>
      <c r="F1675" t="n">
        <v>2</v>
      </c>
      <c r="G1675" t="n">
        <v>3</v>
      </c>
      <c r="J1675" t="inlineStr">
        <is>
          <t>Moda</t>
        </is>
      </c>
      <c r="K1675" t="n">
        <v>2</v>
      </c>
      <c r="L1675" t="n">
        <v>2.116</v>
      </c>
      <c r="M1675" t="n">
        <v>0</v>
      </c>
      <c r="N1675" t="inlineStr">
        <is>
          <t>train</t>
        </is>
      </c>
      <c r="O1675">
        <f>HYPERLINK("2\1\marker_486_824957.png", "Ver Imagen")</f>
        <v/>
      </c>
      <c r="P1675">
        <f>HYPERLINK("SE\A-492\A-492__160.png", "Ver Imagen")</f>
        <v/>
      </c>
    </row>
    <row r="1676">
      <c r="A1676" t="n">
        <v>1105</v>
      </c>
      <c r="B1676" t="inlineStr">
        <is>
          <t>A-492__161</t>
        </is>
      </c>
      <c r="C1676" t="n">
        <v>37.275912108</v>
      </c>
      <c r="D1676" t="n">
        <v>-7.02095196588</v>
      </c>
      <c r="E1676" t="n">
        <v>2</v>
      </c>
      <c r="F1676" t="n">
        <v>2</v>
      </c>
      <c r="G1676" t="n">
        <v>3</v>
      </c>
      <c r="J1676" t="inlineStr">
        <is>
          <t>Moda</t>
        </is>
      </c>
      <c r="K1676" t="n">
        <v>2</v>
      </c>
      <c r="L1676" t="n">
        <v>1.994</v>
      </c>
      <c r="M1676" t="n">
        <v>0</v>
      </c>
      <c r="N1676" t="inlineStr">
        <is>
          <t>train</t>
        </is>
      </c>
      <c r="O1676">
        <f>HYPERLINK("2\1\marker_375_831330.png", "Ver Imagen")</f>
        <v/>
      </c>
      <c r="P1676">
        <f>HYPERLINK("SE\A-492\A-492__161.png", "Ver Imagen")</f>
        <v/>
      </c>
    </row>
    <row r="1677">
      <c r="A1677" t="n">
        <v>1106</v>
      </c>
      <c r="B1677" t="inlineStr">
        <is>
          <t>A-492__176</t>
        </is>
      </c>
      <c r="C1677" t="n">
        <v>37.2764383727</v>
      </c>
      <c r="D1677" t="n">
        <v>-7.02472882064</v>
      </c>
      <c r="E1677" t="n">
        <v>2</v>
      </c>
      <c r="F1677" t="n">
        <v>2</v>
      </c>
      <c r="G1677" t="n">
        <v>3</v>
      </c>
      <c r="J1677" t="inlineStr">
        <is>
          <t>Moda</t>
        </is>
      </c>
      <c r="K1677" t="n">
        <v>2</v>
      </c>
      <c r="L1677" t="n">
        <v>1.982</v>
      </c>
      <c r="M1677" t="n">
        <v>0</v>
      </c>
      <c r="N1677" t="inlineStr">
        <is>
          <t>train</t>
        </is>
      </c>
      <c r="O1677">
        <f>HYPERLINK("2\1\marker_664_831548.png", "Ver Imagen")</f>
        <v/>
      </c>
      <c r="P1677">
        <f>HYPERLINK("SE\A-492\A-492__176.png", "Ver Imagen")</f>
        <v/>
      </c>
    </row>
    <row r="1678">
      <c r="A1678" t="n">
        <v>1107</v>
      </c>
      <c r="B1678" t="inlineStr">
        <is>
          <t>A-492__177</t>
        </is>
      </c>
      <c r="C1678" t="n">
        <v>37.2764889934</v>
      </c>
      <c r="D1678" t="n">
        <v>-7.02507453295</v>
      </c>
      <c r="E1678" t="n">
        <v>2</v>
      </c>
      <c r="F1678" t="n">
        <v>2</v>
      </c>
      <c r="G1678" t="n">
        <v>3</v>
      </c>
      <c r="J1678" t="inlineStr">
        <is>
          <t>Moda</t>
        </is>
      </c>
      <c r="K1678" t="n">
        <v>2</v>
      </c>
      <c r="L1678" t="n">
        <v>2.369</v>
      </c>
      <c r="M1678" t="n">
        <v>0</v>
      </c>
      <c r="N1678" t="inlineStr">
        <is>
          <t>val</t>
        </is>
      </c>
      <c r="O1678">
        <f>HYPERLINK("2\1\marker_689_831563.png", "Ver Imagen")</f>
        <v/>
      </c>
      <c r="P1678">
        <f>HYPERLINK("SE\A-492\A-492__177.png", "Ver Imagen")</f>
        <v/>
      </c>
    </row>
    <row r="1679">
      <c r="A1679" t="n">
        <v>1108</v>
      </c>
      <c r="B1679" t="inlineStr">
        <is>
          <t>A-492__178</t>
        </is>
      </c>
      <c r="C1679" t="n">
        <v>37.2765168543</v>
      </c>
      <c r="D1679" t="n">
        <v>-7.02527004104</v>
      </c>
      <c r="E1679" t="n">
        <v>2</v>
      </c>
      <c r="F1679" t="n">
        <v>2</v>
      </c>
      <c r="G1679" t="n">
        <v>3</v>
      </c>
      <c r="J1679" t="inlineStr">
        <is>
          <t>Moda</t>
        </is>
      </c>
      <c r="K1679" t="n">
        <v>2</v>
      </c>
      <c r="L1679" t="n">
        <v>2.31</v>
      </c>
      <c r="M1679" t="n">
        <v>0</v>
      </c>
      <c r="N1679" t="inlineStr">
        <is>
          <t>train</t>
        </is>
      </c>
      <c r="O1679">
        <f>HYPERLINK("2\1\marker_901_831582.png", "Ver Imagen")</f>
        <v/>
      </c>
      <c r="P1679">
        <f>HYPERLINK("SE\A-492\A-492__178.png", "Ver Imagen")</f>
        <v/>
      </c>
    </row>
    <row r="1680">
      <c r="A1680" t="n">
        <v>1109</v>
      </c>
      <c r="B1680" t="inlineStr">
        <is>
          <t>A-492__179</t>
        </is>
      </c>
      <c r="C1680" t="n">
        <v>37.2765484822</v>
      </c>
      <c r="D1680" t="n">
        <v>-7.02549559768</v>
      </c>
      <c r="E1680" t="n">
        <v>2</v>
      </c>
      <c r="F1680" t="n">
        <v>2</v>
      </c>
      <c r="G1680" t="n">
        <v>3</v>
      </c>
      <c r="J1680" t="inlineStr">
        <is>
          <t>Moda</t>
        </is>
      </c>
      <c r="K1680" t="n">
        <v>2</v>
      </c>
      <c r="L1680" t="n">
        <v>2.235</v>
      </c>
      <c r="M1680" t="n">
        <v>0</v>
      </c>
      <c r="N1680" t="inlineStr">
        <is>
          <t>train</t>
        </is>
      </c>
      <c r="O1680">
        <f>HYPERLINK("2\1\marker_613_831594.png", "Ver Imagen")</f>
        <v/>
      </c>
      <c r="P1680">
        <f>HYPERLINK("SE\A-492\A-492__179.png", "Ver Imagen")</f>
        <v/>
      </c>
    </row>
    <row r="1681">
      <c r="A1681" t="n">
        <v>1110</v>
      </c>
      <c r="B1681" t="inlineStr">
        <is>
          <t>A-492__183</t>
        </is>
      </c>
      <c r="C1681" t="n">
        <v>37.276687866</v>
      </c>
      <c r="D1681" t="n">
        <v>-7.0265011481</v>
      </c>
      <c r="E1681" t="n">
        <v>2</v>
      </c>
      <c r="F1681" t="n">
        <v>2</v>
      </c>
      <c r="G1681" t="n">
        <v>3</v>
      </c>
      <c r="J1681" t="inlineStr">
        <is>
          <t>Moda</t>
        </is>
      </c>
      <c r="K1681" t="n">
        <v>2</v>
      </c>
      <c r="L1681" t="n">
        <v>1.987</v>
      </c>
      <c r="M1681" t="n">
        <v>0</v>
      </c>
      <c r="N1681" t="inlineStr">
        <is>
          <t>train</t>
        </is>
      </c>
      <c r="O1681">
        <f>HYPERLINK("2\1\marker_644_831673.png", "Ver Imagen")</f>
        <v/>
      </c>
      <c r="P1681">
        <f>HYPERLINK("SE\A-492\A-492__183.png", "Ver Imagen")</f>
        <v/>
      </c>
    </row>
    <row r="1682">
      <c r="A1682" t="n">
        <v>1111</v>
      </c>
      <c r="B1682" t="inlineStr">
        <is>
          <t>A-492__184</t>
        </is>
      </c>
      <c r="C1682" t="n">
        <v>37.2767304585</v>
      </c>
      <c r="D1682" t="n">
        <v>-7.02675909174</v>
      </c>
      <c r="E1682" t="n">
        <v>2</v>
      </c>
      <c r="F1682" t="n">
        <v>2</v>
      </c>
      <c r="G1682" t="n">
        <v>3</v>
      </c>
      <c r="J1682" t="inlineStr">
        <is>
          <t>Moda</t>
        </is>
      </c>
      <c r="K1682" t="n">
        <v>2</v>
      </c>
      <c r="L1682" t="n">
        <v>1.931</v>
      </c>
      <c r="M1682" t="n">
        <v>0</v>
      </c>
      <c r="N1682" t="inlineStr">
        <is>
          <t>train</t>
        </is>
      </c>
      <c r="O1682">
        <f>HYPERLINK("2\1\marker_293_831692.png", "Ver Imagen")</f>
        <v/>
      </c>
      <c r="P1682">
        <f>HYPERLINK("SE\A-492\A-492__184.png", "Ver Imagen")</f>
        <v/>
      </c>
    </row>
    <row r="1683">
      <c r="A1683" t="n">
        <v>1112</v>
      </c>
      <c r="B1683" t="inlineStr">
        <is>
          <t>A-492__185</t>
        </is>
      </c>
      <c r="C1683" t="n">
        <v>37.2767701075</v>
      </c>
      <c r="D1683" t="n">
        <v>-7.02696464613</v>
      </c>
      <c r="E1683" t="n">
        <v>2</v>
      </c>
      <c r="F1683" t="n">
        <v>2</v>
      </c>
      <c r="G1683" t="n">
        <v>3</v>
      </c>
      <c r="J1683" t="inlineStr">
        <is>
          <t>Moda</t>
        </is>
      </c>
      <c r="K1683" t="n">
        <v>2</v>
      </c>
      <c r="L1683" t="n">
        <v>2.133</v>
      </c>
      <c r="M1683" t="n">
        <v>0</v>
      </c>
      <c r="N1683" t="inlineStr">
        <is>
          <t>test</t>
        </is>
      </c>
      <c r="O1683">
        <f>HYPERLINK("2\1\marker_676_831702.png", "Ver Imagen")</f>
        <v/>
      </c>
      <c r="P1683">
        <f>HYPERLINK("SE\A-492\A-492__185.png", "Ver Imagen")</f>
        <v/>
      </c>
    </row>
    <row r="1684">
      <c r="A1684" t="n">
        <v>1113</v>
      </c>
      <c r="B1684" t="inlineStr">
        <is>
          <t>A-492__186</t>
        </is>
      </c>
      <c r="C1684" t="n">
        <v>37.2768218377</v>
      </c>
      <c r="D1684" t="n">
        <v>-7.0271961272</v>
      </c>
      <c r="E1684" t="n">
        <v>2</v>
      </c>
      <c r="F1684" t="n">
        <v>2</v>
      </c>
      <c r="G1684" t="n">
        <v>3</v>
      </c>
      <c r="J1684" t="inlineStr">
        <is>
          <t>Moda</t>
        </is>
      </c>
      <c r="K1684" t="n">
        <v>2</v>
      </c>
      <c r="L1684" t="n">
        <v>2.138</v>
      </c>
      <c r="M1684" t="n">
        <v>0</v>
      </c>
      <c r="N1684" t="inlineStr">
        <is>
          <t>val</t>
        </is>
      </c>
      <c r="O1684">
        <f>HYPERLINK("2\1\marker_913_831744.png", "Ver Imagen")</f>
        <v/>
      </c>
      <c r="P1684">
        <f>HYPERLINK("SE\A-492\A-492__186.png", "Ver Imagen")</f>
        <v/>
      </c>
    </row>
    <row r="1685">
      <c r="A1685" t="n">
        <v>1114</v>
      </c>
      <c r="B1685" t="inlineStr">
        <is>
          <t>A-492__190</t>
        </is>
      </c>
      <c r="C1685" t="n">
        <v>37.2771430424</v>
      </c>
      <c r="D1685" t="n">
        <v>-7.02816440558</v>
      </c>
      <c r="E1685" t="n">
        <v>2</v>
      </c>
      <c r="F1685" t="n">
        <v>2</v>
      </c>
      <c r="G1685" t="n">
        <v>3</v>
      </c>
      <c r="J1685" t="inlineStr">
        <is>
          <t>Moda</t>
        </is>
      </c>
      <c r="K1685" t="n">
        <v>2</v>
      </c>
      <c r="L1685" t="n">
        <v>1.955</v>
      </c>
      <c r="M1685" t="n">
        <v>0</v>
      </c>
      <c r="N1685" t="inlineStr">
        <is>
          <t>train</t>
        </is>
      </c>
      <c r="O1685">
        <f>HYPERLINK("2\1\marker_793_831803.png", "Ver Imagen")</f>
        <v/>
      </c>
      <c r="P1685">
        <f>HYPERLINK("SE\A-492\A-492__190.png", "Ver Imagen")</f>
        <v/>
      </c>
    </row>
    <row r="1686">
      <c r="A1686" t="n">
        <v>1115</v>
      </c>
      <c r="B1686" t="inlineStr">
        <is>
          <t>A-492__193</t>
        </is>
      </c>
      <c r="C1686" t="n">
        <v>37.2774670574</v>
      </c>
      <c r="D1686" t="n">
        <v>-7.02878075166</v>
      </c>
      <c r="E1686" t="n">
        <v>2</v>
      </c>
      <c r="F1686" t="n">
        <v>2</v>
      </c>
      <c r="G1686" t="n">
        <v>3</v>
      </c>
      <c r="J1686" t="inlineStr">
        <is>
          <t>Moda</t>
        </is>
      </c>
      <c r="K1686" t="n">
        <v>2</v>
      </c>
      <c r="L1686" t="n">
        <v>1.571</v>
      </c>
      <c r="M1686" t="n">
        <v>0</v>
      </c>
      <c r="N1686" t="inlineStr">
        <is>
          <t>train</t>
        </is>
      </c>
      <c r="O1686">
        <f>HYPERLINK("2\1\marker_894_831838.png", "Ver Imagen")</f>
        <v/>
      </c>
      <c r="P1686">
        <f>HYPERLINK("SE\A-492\A-492__193.png", "Ver Imagen")</f>
        <v/>
      </c>
    </row>
    <row r="1687">
      <c r="A1687" t="n">
        <v>1116</v>
      </c>
      <c r="B1687" t="inlineStr">
        <is>
          <t>A-492__194</t>
        </is>
      </c>
      <c r="C1687" t="n">
        <v>37.2775869364</v>
      </c>
      <c r="D1687" t="n">
        <v>-7.02896623764</v>
      </c>
      <c r="E1687" t="n">
        <v>2</v>
      </c>
      <c r="F1687" t="n">
        <v>2</v>
      </c>
      <c r="G1687" t="n">
        <v>3</v>
      </c>
      <c r="J1687" t="inlineStr">
        <is>
          <t>Moda</t>
        </is>
      </c>
      <c r="K1687" t="n">
        <v>2</v>
      </c>
      <c r="L1687" t="n">
        <v>2.315</v>
      </c>
      <c r="M1687" t="n">
        <v>0</v>
      </c>
      <c r="N1687" t="inlineStr">
        <is>
          <t>train</t>
        </is>
      </c>
      <c r="O1687">
        <f>HYPERLINK("2\1\marker_722_831853.png", "Ver Imagen")</f>
        <v/>
      </c>
      <c r="P1687">
        <f>HYPERLINK("SE\A-492\A-492__194.png", "Ver Imagen")</f>
        <v/>
      </c>
    </row>
    <row r="1688">
      <c r="A1688" t="n">
        <v>1117</v>
      </c>
      <c r="B1688" t="inlineStr">
        <is>
          <t>A-492__195</t>
        </is>
      </c>
      <c r="C1688" t="n">
        <v>37.2777347093</v>
      </c>
      <c r="D1688" t="n">
        <v>-7.02917295894</v>
      </c>
      <c r="E1688" t="n">
        <v>2</v>
      </c>
      <c r="F1688" t="n">
        <v>2</v>
      </c>
      <c r="G1688" t="n">
        <v>3</v>
      </c>
      <c r="J1688" t="inlineStr">
        <is>
          <t>Moda</t>
        </is>
      </c>
      <c r="K1688" t="n">
        <v>2</v>
      </c>
      <c r="L1688" t="n">
        <v>1.982</v>
      </c>
      <c r="M1688" t="n">
        <v>0</v>
      </c>
      <c r="N1688" t="inlineStr">
        <is>
          <t>train</t>
        </is>
      </c>
      <c r="O1688">
        <f>HYPERLINK("2\1\marker_346_831863.png", "Ver Imagen")</f>
        <v/>
      </c>
      <c r="P1688">
        <f>HYPERLINK("SE\A-492\A-492__195.png", "Ver Imagen")</f>
        <v/>
      </c>
    </row>
    <row r="1689">
      <c r="A1689" t="n">
        <v>1118</v>
      </c>
      <c r="B1689" t="inlineStr">
        <is>
          <t>A-492__196</t>
        </is>
      </c>
      <c r="C1689" t="n">
        <v>37.2778985626</v>
      </c>
      <c r="D1689" t="n">
        <v>-7.02937490419</v>
      </c>
      <c r="E1689" t="n">
        <v>2</v>
      </c>
      <c r="F1689" t="n">
        <v>2</v>
      </c>
      <c r="G1689" t="n">
        <v>3</v>
      </c>
      <c r="J1689" t="inlineStr">
        <is>
          <t>Moda</t>
        </is>
      </c>
      <c r="K1689" t="n">
        <v>2</v>
      </c>
      <c r="L1689" t="n">
        <v>2.356</v>
      </c>
      <c r="M1689" t="n">
        <v>0</v>
      </c>
      <c r="N1689" t="inlineStr">
        <is>
          <t>train</t>
        </is>
      </c>
      <c r="O1689">
        <f>HYPERLINK("2\1\marker_663_831875.png", "Ver Imagen")</f>
        <v/>
      </c>
      <c r="P1689">
        <f>HYPERLINK("SE\A-492\A-492__196.png", "Ver Imagen")</f>
        <v/>
      </c>
    </row>
    <row r="1690">
      <c r="A1690" t="n">
        <v>1119</v>
      </c>
      <c r="B1690" t="inlineStr">
        <is>
          <t>A-492__197</t>
        </is>
      </c>
      <c r="C1690" t="n">
        <v>37.2780328789</v>
      </c>
      <c r="D1690" t="n">
        <v>-7.02952313028</v>
      </c>
      <c r="E1690" t="n">
        <v>2</v>
      </c>
      <c r="F1690" t="n">
        <v>2</v>
      </c>
      <c r="G1690" t="n">
        <v>3</v>
      </c>
      <c r="J1690" t="inlineStr">
        <is>
          <t>Moda</t>
        </is>
      </c>
      <c r="K1690" t="n">
        <v>2</v>
      </c>
      <c r="L1690" t="n">
        <v>1.966</v>
      </c>
      <c r="M1690" t="n">
        <v>0</v>
      </c>
      <c r="N1690" t="inlineStr">
        <is>
          <t>train</t>
        </is>
      </c>
      <c r="O1690">
        <f>HYPERLINK("2\1\marker_167_831886.png", "Ver Imagen")</f>
        <v/>
      </c>
      <c r="P1690">
        <f>HYPERLINK("SE\A-492\A-492__197.png", "Ver Imagen")</f>
        <v/>
      </c>
    </row>
    <row r="1691">
      <c r="A1691" t="n">
        <v>1120</v>
      </c>
      <c r="B1691" t="inlineStr">
        <is>
          <t>A-492__198</t>
        </is>
      </c>
      <c r="C1691" t="n">
        <v>37.2781775133</v>
      </c>
      <c r="D1691" t="n">
        <v>-7.02966940064</v>
      </c>
      <c r="E1691" t="n">
        <v>2</v>
      </c>
      <c r="F1691" t="n">
        <v>2</v>
      </c>
      <c r="G1691" t="n">
        <v>3</v>
      </c>
      <c r="J1691" t="inlineStr">
        <is>
          <t>Moda</t>
        </is>
      </c>
      <c r="K1691" t="n">
        <v>2</v>
      </c>
      <c r="L1691" t="n">
        <v>2.392</v>
      </c>
      <c r="M1691" t="n">
        <v>0</v>
      </c>
      <c r="N1691" t="inlineStr">
        <is>
          <t>train</t>
        </is>
      </c>
      <c r="O1691">
        <f>HYPERLINK("2\1\marker_481_831896.png", "Ver Imagen")</f>
        <v/>
      </c>
      <c r="P1691">
        <f>HYPERLINK("SE\A-492\A-492__198.png", "Ver Imagen")</f>
        <v/>
      </c>
    </row>
    <row r="1692">
      <c r="A1692" t="n">
        <v>1121</v>
      </c>
      <c r="B1692" t="inlineStr">
        <is>
          <t>A-492__202</t>
        </is>
      </c>
      <c r="C1692" t="n">
        <v>37.2788351741</v>
      </c>
      <c r="D1692" t="n">
        <v>-7.03028033173</v>
      </c>
      <c r="E1692" t="n">
        <v>2</v>
      </c>
      <c r="F1692" t="n">
        <v>2</v>
      </c>
      <c r="G1692" t="n">
        <v>3</v>
      </c>
      <c r="J1692" t="inlineStr">
        <is>
          <t>Moda</t>
        </is>
      </c>
      <c r="K1692" t="n">
        <v>2</v>
      </c>
      <c r="L1692" t="n">
        <v>1.972</v>
      </c>
      <c r="M1692" t="n">
        <v>0</v>
      </c>
      <c r="N1692" t="inlineStr">
        <is>
          <t>train</t>
        </is>
      </c>
      <c r="O1692">
        <f>HYPERLINK("2\1\marker_730_831946.png", "Ver Imagen")</f>
        <v/>
      </c>
      <c r="P1692">
        <f>HYPERLINK("SE\A-492\A-492__202.png", "Ver Imagen")</f>
        <v/>
      </c>
    </row>
    <row r="1693">
      <c r="A1693" t="n">
        <v>1122</v>
      </c>
      <c r="B1693" t="inlineStr">
        <is>
          <t>A-492__206</t>
        </is>
      </c>
      <c r="C1693" t="n">
        <v>37.2794872153</v>
      </c>
      <c r="D1693" t="n">
        <v>-7.03088052132</v>
      </c>
      <c r="E1693" t="n">
        <v>2</v>
      </c>
      <c r="F1693" t="n">
        <v>2</v>
      </c>
      <c r="G1693" t="n">
        <v>3</v>
      </c>
      <c r="J1693" t="inlineStr">
        <is>
          <t>Moda</t>
        </is>
      </c>
      <c r="K1693" t="n">
        <v>2</v>
      </c>
      <c r="L1693" t="n">
        <v>2.157</v>
      </c>
      <c r="M1693" t="n">
        <v>0</v>
      </c>
      <c r="N1693" t="inlineStr">
        <is>
          <t>train</t>
        </is>
      </c>
      <c r="O1693">
        <f>HYPERLINK("2\1\marker_879_831990.png", "Ver Imagen")</f>
        <v/>
      </c>
      <c r="P1693">
        <f>HYPERLINK("SE\A-492\A-492__206.png", "Ver Imagen")</f>
        <v/>
      </c>
    </row>
    <row r="1694">
      <c r="A1694" t="n">
        <v>1123</v>
      </c>
      <c r="B1694" t="inlineStr">
        <is>
          <t>A-492__209</t>
        </is>
      </c>
      <c r="C1694" t="n">
        <v>37.2799845644</v>
      </c>
      <c r="D1694" t="n">
        <v>-7.03131442821</v>
      </c>
      <c r="E1694" t="n">
        <v>1</v>
      </c>
      <c r="F1694" t="n">
        <v>2</v>
      </c>
      <c r="G1694" t="n">
        <v>2</v>
      </c>
      <c r="J1694" t="inlineStr">
        <is>
          <t>Moda</t>
        </is>
      </c>
      <c r="K1694" t="n">
        <v>2</v>
      </c>
      <c r="L1694" t="n">
        <v>2.398</v>
      </c>
      <c r="M1694" t="n">
        <v>0</v>
      </c>
      <c r="N1694" t="inlineStr">
        <is>
          <t>val</t>
        </is>
      </c>
      <c r="O1694">
        <f>HYPERLINK("2\1\marker_574_832029.png", "Ver Imagen")</f>
        <v/>
      </c>
      <c r="P1694">
        <f>HYPERLINK("SE\A-492\A-492__209.png", "Ver Imagen")</f>
        <v/>
      </c>
    </row>
    <row r="1695">
      <c r="A1695" t="n">
        <v>1125</v>
      </c>
      <c r="B1695" t="inlineStr">
        <is>
          <t>A-492__212</t>
        </is>
      </c>
      <c r="C1695" t="n">
        <v>37.2805265032</v>
      </c>
      <c r="D1695" t="n">
        <v>-7.03165805189</v>
      </c>
      <c r="E1695" t="n">
        <v>1</v>
      </c>
      <c r="F1695" t="n">
        <v>2</v>
      </c>
      <c r="G1695" t="n">
        <v>2</v>
      </c>
      <c r="J1695" t="inlineStr">
        <is>
          <t>Moda</t>
        </is>
      </c>
      <c r="K1695" t="n">
        <v>2</v>
      </c>
      <c r="L1695" t="n">
        <v>1.841</v>
      </c>
      <c r="M1695" t="n">
        <v>0</v>
      </c>
      <c r="N1695" t="inlineStr">
        <is>
          <t>train</t>
        </is>
      </c>
      <c r="O1695">
        <f>HYPERLINK("2\1\marker_706_832653.png", "Ver Imagen")</f>
        <v/>
      </c>
      <c r="P1695">
        <f>HYPERLINK("SE\A-492\A-492__212.png", "Ver Imagen")</f>
        <v/>
      </c>
    </row>
    <row r="1696">
      <c r="A1696" t="n">
        <v>1126</v>
      </c>
      <c r="B1696" t="inlineStr">
        <is>
          <t>A-492__213</t>
        </is>
      </c>
      <c r="C1696" t="n">
        <v>37.2806931641</v>
      </c>
      <c r="D1696" t="n">
        <v>-7.03174181815</v>
      </c>
      <c r="E1696" t="n">
        <v>1</v>
      </c>
      <c r="F1696" t="n">
        <v>2</v>
      </c>
      <c r="G1696" t="n">
        <v>2</v>
      </c>
      <c r="J1696" t="inlineStr">
        <is>
          <t>Moda</t>
        </is>
      </c>
      <c r="K1696" t="n">
        <v>2</v>
      </c>
      <c r="L1696" t="n">
        <v>1.882</v>
      </c>
      <c r="M1696" t="n">
        <v>0</v>
      </c>
      <c r="N1696" t="inlineStr">
        <is>
          <t>train</t>
        </is>
      </c>
      <c r="O1696">
        <f>HYPERLINK("2\1\marker_618_832663.png", "Ver Imagen")</f>
        <v/>
      </c>
      <c r="P1696">
        <f>HYPERLINK("SE\A-492\A-492__213.png", "Ver Imagen")</f>
        <v/>
      </c>
    </row>
    <row r="1697">
      <c r="A1697" t="n">
        <v>1127</v>
      </c>
      <c r="B1697" t="inlineStr">
        <is>
          <t>A-492__214</t>
        </is>
      </c>
      <c r="C1697" t="n">
        <v>37.2808831135</v>
      </c>
      <c r="D1697" t="n">
        <v>-7.03183302612</v>
      </c>
      <c r="E1697" t="n">
        <v>1</v>
      </c>
      <c r="F1697" t="n">
        <v>2</v>
      </c>
      <c r="G1697" t="n">
        <v>2</v>
      </c>
      <c r="J1697" t="inlineStr">
        <is>
          <t>Moda</t>
        </is>
      </c>
      <c r="K1697" t="n">
        <v>2</v>
      </c>
      <c r="L1697" t="n">
        <v>2.041</v>
      </c>
      <c r="M1697" t="n">
        <v>0</v>
      </c>
      <c r="N1697" t="inlineStr">
        <is>
          <t>train</t>
        </is>
      </c>
      <c r="O1697">
        <f>HYPERLINK("2\1\marker_535_832673.png", "Ver Imagen")</f>
        <v/>
      </c>
      <c r="P1697">
        <f>HYPERLINK("SE\A-492\A-492__214.png", "Ver Imagen")</f>
        <v/>
      </c>
    </row>
    <row r="1698">
      <c r="A1698" t="n">
        <v>1128</v>
      </c>
      <c r="B1698" t="inlineStr">
        <is>
          <t>A-492__217</t>
        </is>
      </c>
      <c r="C1698" t="n">
        <v>37.2814610788</v>
      </c>
      <c r="D1698" t="n">
        <v>-7.0321143007</v>
      </c>
      <c r="E1698" t="n">
        <v>1</v>
      </c>
      <c r="F1698" t="n">
        <v>2</v>
      </c>
      <c r="G1698" t="n">
        <v>2</v>
      </c>
      <c r="J1698" t="inlineStr">
        <is>
          <t>Moda</t>
        </is>
      </c>
      <c r="K1698" t="n">
        <v>2</v>
      </c>
      <c r="L1698" t="n">
        <v>1.958</v>
      </c>
      <c r="M1698" t="n">
        <v>0</v>
      </c>
      <c r="N1698" t="inlineStr">
        <is>
          <t>train</t>
        </is>
      </c>
      <c r="O1698">
        <f>HYPERLINK("2\1\marker_959_832769.png", "Ver Imagen")</f>
        <v/>
      </c>
      <c r="P1698">
        <f>HYPERLINK("SE\A-492\A-492__217.png", "Ver Imagen")</f>
        <v/>
      </c>
    </row>
    <row r="1699">
      <c r="A1699" t="n">
        <v>1129</v>
      </c>
      <c r="B1699" t="inlineStr">
        <is>
          <t>A-492__221</t>
        </is>
      </c>
      <c r="C1699" t="n">
        <v>37.2821993581</v>
      </c>
      <c r="D1699" t="n">
        <v>-7.03252754156</v>
      </c>
      <c r="E1699" t="n">
        <v>1</v>
      </c>
      <c r="F1699" t="n">
        <v>2</v>
      </c>
      <c r="G1699" t="n">
        <v>2</v>
      </c>
      <c r="J1699" t="inlineStr">
        <is>
          <t>Moda</t>
        </is>
      </c>
      <c r="K1699" t="n">
        <v>2</v>
      </c>
      <c r="L1699" t="n">
        <v>1.906</v>
      </c>
      <c r="M1699" t="n">
        <v>0</v>
      </c>
      <c r="N1699" t="inlineStr">
        <is>
          <t>train</t>
        </is>
      </c>
      <c r="O1699">
        <f>HYPERLINK("2\1\marker_576_835672.png", "Ver Imagen")</f>
        <v/>
      </c>
      <c r="P1699">
        <f>HYPERLINK("SE\A-492\A-492__221.png", "Ver Imagen")</f>
        <v/>
      </c>
    </row>
    <row r="1700">
      <c r="A1700" t="n">
        <v>1130</v>
      </c>
      <c r="B1700" t="inlineStr">
        <is>
          <t>A-492__222</t>
        </is>
      </c>
      <c r="C1700" t="n">
        <v>37.282368678</v>
      </c>
      <c r="D1700" t="n">
        <v>-7.03263291836</v>
      </c>
      <c r="E1700" t="n">
        <v>1</v>
      </c>
      <c r="F1700" t="n">
        <v>2</v>
      </c>
      <c r="G1700" t="n">
        <v>2</v>
      </c>
      <c r="J1700" t="inlineStr">
        <is>
          <t>Moda</t>
        </is>
      </c>
      <c r="K1700" t="n">
        <v>2</v>
      </c>
      <c r="L1700" t="n">
        <v>2.285</v>
      </c>
      <c r="M1700" t="n">
        <v>0</v>
      </c>
      <c r="N1700" t="inlineStr">
        <is>
          <t>train</t>
        </is>
      </c>
      <c r="O1700">
        <f>HYPERLINK("2\1\marker_928_835682.png", "Ver Imagen")</f>
        <v/>
      </c>
      <c r="P1700">
        <f>HYPERLINK("SE\A-492\A-492__222.png", "Ver Imagen")</f>
        <v/>
      </c>
    </row>
    <row r="1701">
      <c r="A1701" t="n">
        <v>1131</v>
      </c>
      <c r="B1701" t="inlineStr">
        <is>
          <t>A-492__224</t>
        </is>
      </c>
      <c r="C1701" t="n">
        <v>37.2827565727</v>
      </c>
      <c r="D1701" t="n">
        <v>-7.03289375313</v>
      </c>
      <c r="E1701" t="n">
        <v>1</v>
      </c>
      <c r="F1701" t="n">
        <v>2</v>
      </c>
      <c r="G1701" t="n">
        <v>2</v>
      </c>
      <c r="J1701" t="inlineStr">
        <is>
          <t>Moda</t>
        </is>
      </c>
      <c r="K1701" t="n">
        <v>2</v>
      </c>
      <c r="L1701" t="n">
        <v>1.563</v>
      </c>
      <c r="M1701" t="n">
        <v>0</v>
      </c>
      <c r="N1701" t="inlineStr">
        <is>
          <t>test</t>
        </is>
      </c>
      <c r="O1701">
        <f>HYPERLINK("2\1\marker_227_835703.png", "Ver Imagen")</f>
        <v/>
      </c>
      <c r="P1701">
        <f>HYPERLINK("SE\A-492\A-492__224.png", "Ver Imagen")</f>
        <v/>
      </c>
    </row>
    <row r="1702">
      <c r="A1702" t="n">
        <v>1132</v>
      </c>
      <c r="B1702" t="inlineStr">
        <is>
          <t>A-492__225</t>
        </is>
      </c>
      <c r="C1702" t="n">
        <v>37.2829183792</v>
      </c>
      <c r="D1702" t="n">
        <v>-7.03302044654</v>
      </c>
      <c r="E1702" t="n">
        <v>2</v>
      </c>
      <c r="F1702" t="n">
        <v>2</v>
      </c>
      <c r="G1702" t="n">
        <v>3</v>
      </c>
      <c r="J1702" t="inlineStr">
        <is>
          <t>Moda</t>
        </is>
      </c>
      <c r="K1702" t="n">
        <v>2</v>
      </c>
      <c r="L1702" t="n">
        <v>2.072</v>
      </c>
      <c r="M1702" t="n">
        <v>0</v>
      </c>
      <c r="N1702" t="inlineStr">
        <is>
          <t>train</t>
        </is>
      </c>
      <c r="O1702">
        <f>HYPERLINK("2\1\marker_581_835713.png", "Ver Imagen")</f>
        <v/>
      </c>
      <c r="P1702">
        <f>HYPERLINK("SE\A-492\A-492__225.png", "Ver Imagen")</f>
        <v/>
      </c>
    </row>
    <row r="1703">
      <c r="A1703" t="n">
        <v>1133</v>
      </c>
      <c r="B1703" t="inlineStr">
        <is>
          <t>A-492__227</t>
        </is>
      </c>
      <c r="C1703" t="n">
        <v>37.2832106575</v>
      </c>
      <c r="D1703" t="n">
        <v>-7.03330283016</v>
      </c>
      <c r="E1703" t="n">
        <v>1</v>
      </c>
      <c r="F1703" t="n">
        <v>2</v>
      </c>
      <c r="G1703" t="n">
        <v>2</v>
      </c>
      <c r="J1703" t="inlineStr">
        <is>
          <t>Moda</t>
        </is>
      </c>
      <c r="K1703" t="n">
        <v>2</v>
      </c>
      <c r="L1703" t="n">
        <v>1.955</v>
      </c>
      <c r="M1703" t="n">
        <v>0</v>
      </c>
      <c r="N1703" t="inlineStr">
        <is>
          <t>train</t>
        </is>
      </c>
      <c r="O1703">
        <f>HYPERLINK("2\1\marker_955_835735.png", "Ver Imagen")</f>
        <v/>
      </c>
      <c r="P1703">
        <f>HYPERLINK("SE\A-492\A-492__227.png", "Ver Imagen")</f>
        <v/>
      </c>
    </row>
    <row r="1704">
      <c r="A1704" t="n">
        <v>1134</v>
      </c>
      <c r="B1704" t="inlineStr">
        <is>
          <t>A-492__228</t>
        </is>
      </c>
      <c r="C1704" t="n">
        <v>37.2833697763</v>
      </c>
      <c r="D1704" t="n">
        <v>-7.0335022367</v>
      </c>
      <c r="E1704" t="n">
        <v>1</v>
      </c>
      <c r="F1704" t="n">
        <v>2</v>
      </c>
      <c r="G1704" t="n">
        <v>2</v>
      </c>
      <c r="J1704" t="inlineStr">
        <is>
          <t>Moda</t>
        </is>
      </c>
      <c r="K1704" t="n">
        <v>2</v>
      </c>
      <c r="L1704" t="n">
        <v>1.765</v>
      </c>
      <c r="M1704" t="n">
        <v>0</v>
      </c>
      <c r="N1704" t="inlineStr">
        <is>
          <t>val</t>
        </is>
      </c>
      <c r="O1704">
        <f>HYPERLINK("2\1\marker_309_835749.png", "Ver Imagen")</f>
        <v/>
      </c>
      <c r="P1704">
        <f>HYPERLINK("SE\A-492\A-492__228.png", "Ver Imagen")</f>
        <v/>
      </c>
    </row>
    <row r="1705">
      <c r="A1705" t="n">
        <v>1135</v>
      </c>
      <c r="B1705" t="inlineStr">
        <is>
          <t>A-492__229</t>
        </is>
      </c>
      <c r="C1705" t="n">
        <v>37.2835151984</v>
      </c>
      <c r="D1705" t="n">
        <v>-7.03372554602</v>
      </c>
      <c r="E1705" t="n">
        <v>2</v>
      </c>
      <c r="F1705" t="n">
        <v>2</v>
      </c>
      <c r="G1705" t="n">
        <v>3</v>
      </c>
      <c r="J1705" t="inlineStr">
        <is>
          <t>Moda</t>
        </is>
      </c>
      <c r="K1705" t="n">
        <v>2</v>
      </c>
      <c r="L1705" t="n">
        <v>1.811</v>
      </c>
      <c r="M1705" t="n">
        <v>0</v>
      </c>
      <c r="N1705" t="inlineStr">
        <is>
          <t>train</t>
        </is>
      </c>
      <c r="O1705">
        <f>HYPERLINK("2\1\marker_439_835759.png", "Ver Imagen")</f>
        <v/>
      </c>
      <c r="P1705">
        <f>HYPERLINK("SE\A-492\A-492__229.png", "Ver Imagen")</f>
        <v/>
      </c>
    </row>
    <row r="1706">
      <c r="A1706" t="n">
        <v>1136</v>
      </c>
      <c r="B1706" t="inlineStr">
        <is>
          <t>A-492__232</t>
        </is>
      </c>
      <c r="C1706" t="n">
        <v>37.2838355185</v>
      </c>
      <c r="D1706" t="n">
        <v>-7.03439280165</v>
      </c>
      <c r="E1706" t="n">
        <v>1</v>
      </c>
      <c r="F1706" t="n">
        <v>2</v>
      </c>
      <c r="G1706" t="n">
        <v>2</v>
      </c>
      <c r="J1706" t="inlineStr">
        <is>
          <t>Moda</t>
        </is>
      </c>
      <c r="K1706" t="n">
        <v>2</v>
      </c>
      <c r="L1706" t="n">
        <v>1.961</v>
      </c>
      <c r="M1706" t="n">
        <v>0</v>
      </c>
      <c r="N1706" t="inlineStr">
        <is>
          <t>train</t>
        </is>
      </c>
      <c r="O1706">
        <f>HYPERLINK("2\1\marker_728_835838.png", "Ver Imagen")</f>
        <v/>
      </c>
      <c r="P1706">
        <f>HYPERLINK("SE\A-492\A-492__232.png", "Ver Imagen")</f>
        <v/>
      </c>
    </row>
    <row r="1707">
      <c r="A1707" t="n">
        <v>1137</v>
      </c>
      <c r="B1707" t="inlineStr">
        <is>
          <t>A-492__233</t>
        </is>
      </c>
      <c r="C1707" t="n">
        <v>37.283912618</v>
      </c>
      <c r="D1707" t="n">
        <v>-7.03460868538</v>
      </c>
      <c r="E1707" t="n">
        <v>1</v>
      </c>
      <c r="F1707" t="n">
        <v>2</v>
      </c>
      <c r="G1707" t="n">
        <v>2</v>
      </c>
      <c r="J1707" t="inlineStr">
        <is>
          <t>Moda</t>
        </is>
      </c>
      <c r="K1707" t="n">
        <v>2</v>
      </c>
      <c r="L1707" t="n">
        <v>1.845</v>
      </c>
      <c r="M1707" t="n">
        <v>0</v>
      </c>
      <c r="N1707" t="inlineStr">
        <is>
          <t>train</t>
        </is>
      </c>
      <c r="O1707">
        <f>HYPERLINK("2\1\marker_684_835850.png", "Ver Imagen")</f>
        <v/>
      </c>
      <c r="P1707">
        <f>HYPERLINK("SE\A-492\A-492__233.png", "Ver Imagen")</f>
        <v/>
      </c>
    </row>
    <row r="1708">
      <c r="A1708" t="n">
        <v>1138</v>
      </c>
      <c r="B1708" t="inlineStr">
        <is>
          <t>A-492__241</t>
        </is>
      </c>
      <c r="C1708" t="n">
        <v>37.284104655</v>
      </c>
      <c r="D1708" t="n">
        <v>-7.03661520192</v>
      </c>
      <c r="E1708" t="n">
        <v>1</v>
      </c>
      <c r="F1708" t="n">
        <v>2</v>
      </c>
      <c r="G1708" t="n">
        <v>2</v>
      </c>
      <c r="J1708" t="inlineStr">
        <is>
          <t>Moda</t>
        </is>
      </c>
      <c r="K1708" t="n">
        <v>2</v>
      </c>
      <c r="L1708" t="n">
        <v>1.92</v>
      </c>
      <c r="M1708" t="n">
        <v>0</v>
      </c>
      <c r="N1708" t="inlineStr">
        <is>
          <t>train</t>
        </is>
      </c>
      <c r="O1708">
        <f>HYPERLINK("2\1\marker_480_835956.png", "Ver Imagen")</f>
        <v/>
      </c>
      <c r="P1708">
        <f>HYPERLINK("SE\A-492\A-492__241.png", "Ver Imagen")</f>
        <v/>
      </c>
    </row>
    <row r="1709">
      <c r="A1709" t="n">
        <v>1139</v>
      </c>
      <c r="B1709" t="inlineStr">
        <is>
          <t>A-492__242</t>
        </is>
      </c>
      <c r="C1709" t="n">
        <v>37.2841159695</v>
      </c>
      <c r="D1709" t="n">
        <v>-7.03687650149</v>
      </c>
      <c r="E1709" t="n">
        <v>1</v>
      </c>
      <c r="F1709" t="n">
        <v>2</v>
      </c>
      <c r="G1709" t="n">
        <v>2</v>
      </c>
      <c r="J1709" t="inlineStr">
        <is>
          <t>Moda</t>
        </is>
      </c>
      <c r="K1709" t="n">
        <v>2</v>
      </c>
      <c r="L1709" t="n">
        <v>1.634</v>
      </c>
      <c r="M1709" t="n">
        <v>0</v>
      </c>
      <c r="N1709" t="inlineStr">
        <is>
          <t>train</t>
        </is>
      </c>
      <c r="O1709">
        <f>HYPERLINK("2\1\marker_848_835975.png", "Ver Imagen")</f>
        <v/>
      </c>
      <c r="P1709">
        <f>HYPERLINK("SE\A-492\A-492__242.png", "Ver Imagen")</f>
        <v/>
      </c>
    </row>
    <row r="1710">
      <c r="A1710" t="n">
        <v>1140</v>
      </c>
      <c r="B1710" t="inlineStr">
        <is>
          <t>A-492__246</t>
        </is>
      </c>
      <c r="C1710" t="n">
        <v>37.2842745671</v>
      </c>
      <c r="D1710" t="n">
        <v>-7.03780745324</v>
      </c>
      <c r="E1710" t="n">
        <v>1</v>
      </c>
      <c r="F1710" t="n">
        <v>2</v>
      </c>
      <c r="G1710" t="n">
        <v>2</v>
      </c>
      <c r="J1710" t="inlineStr">
        <is>
          <t>Moda</t>
        </is>
      </c>
      <c r="K1710" t="n">
        <v>2</v>
      </c>
      <c r="L1710" t="n">
        <v>1.97</v>
      </c>
      <c r="M1710" t="n">
        <v>0</v>
      </c>
      <c r="N1710" t="inlineStr">
        <is>
          <t>train</t>
        </is>
      </c>
      <c r="O1710">
        <f>HYPERLINK("2\1\marker_956_836042.png", "Ver Imagen")</f>
        <v/>
      </c>
      <c r="P1710">
        <f>HYPERLINK("SE\A-492\A-492__246.png", "Ver Imagen")</f>
        <v/>
      </c>
    </row>
    <row r="1711">
      <c r="A1711" t="n">
        <v>1141</v>
      </c>
      <c r="B1711" t="inlineStr">
        <is>
          <t>A-492__250</t>
        </is>
      </c>
      <c r="C1711" t="n">
        <v>37.2845214465</v>
      </c>
      <c r="D1711" t="n">
        <v>-7.03878958674</v>
      </c>
      <c r="E1711" t="n">
        <v>1</v>
      </c>
      <c r="F1711" t="n">
        <v>2</v>
      </c>
      <c r="G1711" t="n">
        <v>2</v>
      </c>
      <c r="J1711" t="inlineStr">
        <is>
          <t>Moda</t>
        </is>
      </c>
      <c r="K1711" t="n">
        <v>2</v>
      </c>
      <c r="L1711" t="n">
        <v>1.897</v>
      </c>
      <c r="M1711" t="n">
        <v>0</v>
      </c>
      <c r="N1711" t="inlineStr">
        <is>
          <t>train</t>
        </is>
      </c>
      <c r="O1711">
        <f>HYPERLINK("2\1\marker_685_836097.png", "Ver Imagen")</f>
        <v/>
      </c>
      <c r="P1711">
        <f>HYPERLINK("SE\A-492\A-492__250.png", "Ver Imagen")</f>
        <v/>
      </c>
    </row>
    <row r="1712">
      <c r="A1712" t="n">
        <v>1142</v>
      </c>
      <c r="B1712" t="inlineStr">
        <is>
          <t>A-492__258</t>
        </is>
      </c>
      <c r="C1712" t="n">
        <v>37.2852490765</v>
      </c>
      <c r="D1712" t="n">
        <v>-7.04058824742</v>
      </c>
      <c r="E1712" t="n">
        <v>2</v>
      </c>
      <c r="F1712" t="n">
        <v>1</v>
      </c>
      <c r="G1712" t="n">
        <v>2</v>
      </c>
      <c r="J1712" t="inlineStr">
        <is>
          <t>Moda</t>
        </is>
      </c>
      <c r="K1712" t="n">
        <v>2</v>
      </c>
      <c r="L1712" t="n">
        <v>1.613</v>
      </c>
      <c r="M1712" t="n">
        <v>0</v>
      </c>
      <c r="N1712" t="inlineStr">
        <is>
          <t>train</t>
        </is>
      </c>
      <c r="O1712">
        <f>HYPERLINK("2\1\marker_711_836248.png", "Ver Imagen")</f>
        <v/>
      </c>
      <c r="P1712">
        <f>HYPERLINK("SE\A-492\A-492__258.png", "Ver Imagen")</f>
        <v/>
      </c>
    </row>
    <row r="1713">
      <c r="A1713" t="n">
        <v>1143</v>
      </c>
      <c r="B1713" t="inlineStr">
        <is>
          <t>A-492__260</t>
        </is>
      </c>
      <c r="C1713" t="n">
        <v>37.2855088601</v>
      </c>
      <c r="D1713" t="n">
        <v>-7.0409325121</v>
      </c>
      <c r="E1713" t="n">
        <v>2</v>
      </c>
      <c r="F1713" t="n">
        <v>2</v>
      </c>
      <c r="G1713" t="n">
        <v>3</v>
      </c>
      <c r="J1713" t="inlineStr">
        <is>
          <t>Moda</t>
        </is>
      </c>
      <c r="K1713" t="n">
        <v>2</v>
      </c>
      <c r="L1713" t="n">
        <v>1.66</v>
      </c>
      <c r="M1713" t="n">
        <v>0</v>
      </c>
      <c r="N1713" t="inlineStr">
        <is>
          <t>train</t>
        </is>
      </c>
      <c r="O1713">
        <f>HYPERLINK("2\1\marker_599_836584.png", "Ver Imagen")</f>
        <v/>
      </c>
      <c r="P1713">
        <f>HYPERLINK("SE\A-492\A-492__260.png", "Ver Imagen")</f>
        <v/>
      </c>
    </row>
    <row r="1714">
      <c r="A1714" t="n">
        <v>1144</v>
      </c>
      <c r="B1714" t="inlineStr">
        <is>
          <t>A-492__264</t>
        </is>
      </c>
      <c r="C1714" t="n">
        <v>37.2862036646</v>
      </c>
      <c r="D1714" t="n">
        <v>-7.04154883677</v>
      </c>
      <c r="E1714" t="n">
        <v>1</v>
      </c>
      <c r="F1714" t="n">
        <v>2</v>
      </c>
      <c r="G1714" t="n">
        <v>2</v>
      </c>
      <c r="J1714" t="inlineStr">
        <is>
          <t>Moda</t>
        </is>
      </c>
      <c r="K1714" t="n">
        <v>2</v>
      </c>
      <c r="L1714" t="n">
        <v>1.917</v>
      </c>
      <c r="M1714" t="n">
        <v>0</v>
      </c>
      <c r="N1714" t="inlineStr">
        <is>
          <t>train</t>
        </is>
      </c>
      <c r="O1714">
        <f>HYPERLINK("2\1\marker_188_836679.png", "Ver Imagen")</f>
        <v/>
      </c>
      <c r="P1714">
        <f>HYPERLINK("SE\A-492\A-492__264.png", "Ver Imagen")</f>
        <v/>
      </c>
    </row>
    <row r="1715">
      <c r="A1715" t="n">
        <v>1146</v>
      </c>
      <c r="B1715" t="inlineStr">
        <is>
          <t>A-492__278</t>
        </is>
      </c>
      <c r="C1715" t="n">
        <v>37.2887091338</v>
      </c>
      <c r="D1715" t="n">
        <v>-7.0430480451</v>
      </c>
      <c r="E1715" t="n">
        <v>2</v>
      </c>
      <c r="F1715" t="n">
        <v>2</v>
      </c>
      <c r="G1715" t="n">
        <v>3</v>
      </c>
      <c r="J1715" t="inlineStr">
        <is>
          <t>Moda</t>
        </is>
      </c>
      <c r="K1715" t="n">
        <v>2</v>
      </c>
      <c r="L1715" t="n">
        <v>2.235</v>
      </c>
      <c r="M1715" t="n">
        <v>0</v>
      </c>
      <c r="N1715" t="inlineStr">
        <is>
          <t>train</t>
        </is>
      </c>
      <c r="O1715">
        <f>HYPERLINK("2\1\marker_953_836891.png", "Ver Imagen")</f>
        <v/>
      </c>
      <c r="P1715">
        <f>HYPERLINK("SE\A-492\A-492__278.png", "Ver Imagen")</f>
        <v/>
      </c>
    </row>
    <row r="1716">
      <c r="A1716" t="n">
        <v>1147</v>
      </c>
      <c r="B1716" t="inlineStr">
        <is>
          <t>A-492__281</t>
        </is>
      </c>
      <c r="C1716" t="n">
        <v>37.2890938695</v>
      </c>
      <c r="D1716" t="n">
        <v>-7.04359029526</v>
      </c>
      <c r="E1716" t="n">
        <v>2</v>
      </c>
      <c r="F1716" t="n">
        <v>2</v>
      </c>
      <c r="G1716" t="n">
        <v>3</v>
      </c>
      <c r="J1716" t="inlineStr">
        <is>
          <t>Moda</t>
        </is>
      </c>
      <c r="K1716" t="n">
        <v>2</v>
      </c>
      <c r="L1716" t="n">
        <v>2.143</v>
      </c>
      <c r="M1716" t="n">
        <v>0</v>
      </c>
      <c r="N1716" t="inlineStr">
        <is>
          <t>train</t>
        </is>
      </c>
      <c r="O1716">
        <f>HYPERLINK("2\1\marker_136_837317.png", "Ver Imagen")</f>
        <v/>
      </c>
      <c r="P1716">
        <f>HYPERLINK("SE\A-492\A-492__281.png", "Ver Imagen")</f>
        <v/>
      </c>
    </row>
    <row r="1717">
      <c r="A1717" t="n">
        <v>1148</v>
      </c>
      <c r="B1717" t="inlineStr">
        <is>
          <t>A-492__304</t>
        </is>
      </c>
      <c r="C1717" t="n">
        <v>37.2931187715</v>
      </c>
      <c r="D1717" t="n">
        <v>-7.04615584132</v>
      </c>
      <c r="E1717" t="n">
        <v>1</v>
      </c>
      <c r="F1717" t="n">
        <v>2</v>
      </c>
      <c r="G1717" t="n">
        <v>2</v>
      </c>
      <c r="J1717" t="inlineStr">
        <is>
          <t>Moda</t>
        </is>
      </c>
      <c r="K1717" t="n">
        <v>2</v>
      </c>
      <c r="L1717" t="n">
        <v>1.883</v>
      </c>
      <c r="M1717" t="n">
        <v>0</v>
      </c>
      <c r="N1717" t="inlineStr">
        <is>
          <t>train</t>
        </is>
      </c>
      <c r="O1717">
        <f>HYPERLINK("2\1\marker_781_837601.png", "Ver Imagen")</f>
        <v/>
      </c>
      <c r="P1717">
        <f>HYPERLINK("SE\A-492\A-492__304.png", "Ver Imagen")</f>
        <v/>
      </c>
    </row>
    <row r="1718">
      <c r="A1718" t="n">
        <v>1149</v>
      </c>
      <c r="B1718" t="inlineStr">
        <is>
          <t>A-492__316</t>
        </is>
      </c>
      <c r="C1718" t="n">
        <v>37.2947865139</v>
      </c>
      <c r="D1718" t="n">
        <v>-7.04834699078</v>
      </c>
      <c r="E1718" t="n">
        <v>2</v>
      </c>
      <c r="F1718" t="n">
        <v>1</v>
      </c>
      <c r="G1718" t="n">
        <v>2</v>
      </c>
      <c r="J1718" t="inlineStr">
        <is>
          <t>Moda</t>
        </is>
      </c>
      <c r="K1718" t="n">
        <v>2</v>
      </c>
      <c r="L1718" t="n">
        <v>1.867</v>
      </c>
      <c r="M1718" t="n">
        <v>0</v>
      </c>
      <c r="N1718" t="inlineStr">
        <is>
          <t>train</t>
        </is>
      </c>
      <c r="O1718">
        <f>HYPERLINK("2\1\marker_135_837738.png", "Ver Imagen")</f>
        <v/>
      </c>
      <c r="P1718">
        <f>HYPERLINK("SE\A-492\A-492__316.png", "Ver Imagen")</f>
        <v/>
      </c>
    </row>
    <row r="1719">
      <c r="A1719" t="n">
        <v>1150</v>
      </c>
      <c r="B1719" t="inlineStr">
        <is>
          <t>A-492__317</t>
        </is>
      </c>
      <c r="C1719" t="n">
        <v>37.2949271711</v>
      </c>
      <c r="D1719" t="n">
        <v>-7.04853037925</v>
      </c>
      <c r="E1719" t="n">
        <v>1</v>
      </c>
      <c r="F1719" t="n">
        <v>2</v>
      </c>
      <c r="G1719" t="n">
        <v>2</v>
      </c>
      <c r="J1719" t="inlineStr">
        <is>
          <t>Moda</t>
        </is>
      </c>
      <c r="K1719" t="n">
        <v>2</v>
      </c>
      <c r="L1719" t="n">
        <v>1.893</v>
      </c>
      <c r="M1719" t="n">
        <v>0</v>
      </c>
      <c r="N1719" t="inlineStr">
        <is>
          <t>train</t>
        </is>
      </c>
      <c r="O1719">
        <f>HYPERLINK("2\1\marker_174_837918.png", "Ver Imagen")</f>
        <v/>
      </c>
      <c r="P1719">
        <f>HYPERLINK("SE\A-492\A-492__317.png", "Ver Imagen")</f>
        <v/>
      </c>
    </row>
    <row r="1720">
      <c r="A1720" t="n">
        <v>1151</v>
      </c>
      <c r="B1720" t="inlineStr">
        <is>
          <t>A-492__324</t>
        </is>
      </c>
      <c r="C1720" t="n">
        <v>37.2959695323</v>
      </c>
      <c r="D1720" t="n">
        <v>-7.04972874756</v>
      </c>
      <c r="E1720" t="n">
        <v>2</v>
      </c>
      <c r="F1720" t="n">
        <v>2</v>
      </c>
      <c r="G1720" t="n">
        <v>3</v>
      </c>
      <c r="J1720" t="inlineStr">
        <is>
          <t>Moda</t>
        </is>
      </c>
      <c r="K1720" t="n">
        <v>2</v>
      </c>
      <c r="L1720" t="n">
        <v>1.77</v>
      </c>
      <c r="M1720" t="n">
        <v>0</v>
      </c>
      <c r="N1720" t="inlineStr">
        <is>
          <t>test</t>
        </is>
      </c>
      <c r="O1720">
        <f>HYPERLINK("2\1\marker_709_838008.png", "Ver Imagen")</f>
        <v/>
      </c>
      <c r="P1720">
        <f>HYPERLINK("SE\A-492\A-492__324.png", "Ver Imagen")</f>
        <v/>
      </c>
    </row>
    <row r="1721">
      <c r="A1721" t="n">
        <v>1152</v>
      </c>
      <c r="B1721" t="inlineStr">
        <is>
          <t>A-492__325</t>
        </is>
      </c>
      <c r="C1721" t="n">
        <v>37.2961230311</v>
      </c>
      <c r="D1721" t="n">
        <v>-7.04990026099</v>
      </c>
      <c r="E1721" t="n">
        <v>2</v>
      </c>
      <c r="F1721" t="n">
        <v>2</v>
      </c>
      <c r="G1721" t="n">
        <v>3</v>
      </c>
      <c r="J1721" t="inlineStr">
        <is>
          <t>Moda</t>
        </is>
      </c>
      <c r="K1721" t="n">
        <v>2</v>
      </c>
      <c r="L1721" t="n">
        <v>2.184</v>
      </c>
      <c r="M1721" t="n">
        <v>0</v>
      </c>
      <c r="N1721" t="inlineStr">
        <is>
          <t>train</t>
        </is>
      </c>
      <c r="O1721">
        <f>HYPERLINK("2\1\marker_850_838017.png", "Ver Imagen")</f>
        <v/>
      </c>
      <c r="P1721">
        <f>HYPERLINK("SE\A-492\A-492__325.png", "Ver Imagen")</f>
        <v/>
      </c>
    </row>
    <row r="1722">
      <c r="A1722" t="n">
        <v>1153</v>
      </c>
      <c r="B1722" t="inlineStr">
        <is>
          <t>A-492__330</t>
        </is>
      </c>
      <c r="C1722" t="n">
        <v>37.2967891097</v>
      </c>
      <c r="D1722" t="n">
        <v>-7.05085157339</v>
      </c>
      <c r="E1722" t="n">
        <v>2</v>
      </c>
      <c r="F1722" t="n">
        <v>2</v>
      </c>
      <c r="G1722" t="n">
        <v>3</v>
      </c>
      <c r="J1722" t="inlineStr">
        <is>
          <t>Moda</t>
        </is>
      </c>
      <c r="K1722" t="n">
        <v>2</v>
      </c>
      <c r="L1722" t="n">
        <v>2.056</v>
      </c>
      <c r="M1722" t="n">
        <v>0</v>
      </c>
      <c r="N1722" t="inlineStr">
        <is>
          <t>train</t>
        </is>
      </c>
      <c r="O1722">
        <f>HYPERLINK("2\1\marker_549_838083.png", "Ver Imagen")</f>
        <v/>
      </c>
      <c r="P1722">
        <f>HYPERLINK("SE\A-492\A-492__330.png", "Ver Imagen")</f>
        <v/>
      </c>
    </row>
    <row r="1723">
      <c r="A1723" t="n">
        <v>1154</v>
      </c>
      <c r="B1723" t="inlineStr">
        <is>
          <t>A-492__333</t>
        </is>
      </c>
      <c r="C1723" t="n">
        <v>37.2970761407</v>
      </c>
      <c r="D1723" t="n">
        <v>-7.05150655763</v>
      </c>
      <c r="E1723" t="n">
        <v>1</v>
      </c>
      <c r="F1723" t="n">
        <v>2</v>
      </c>
      <c r="G1723" t="n">
        <v>2</v>
      </c>
      <c r="J1723" t="inlineStr">
        <is>
          <t>Moda</t>
        </is>
      </c>
      <c r="K1723" t="n">
        <v>2</v>
      </c>
      <c r="L1723" t="n">
        <v>1.737</v>
      </c>
      <c r="M1723" t="n">
        <v>0</v>
      </c>
      <c r="N1723" t="inlineStr">
        <is>
          <t>train</t>
        </is>
      </c>
      <c r="O1723">
        <f>HYPERLINK("2\1\marker_520_838123.png", "Ver Imagen")</f>
        <v/>
      </c>
      <c r="P1723">
        <f>HYPERLINK("SE\A-492\A-492__333.png", "Ver Imagen")</f>
        <v/>
      </c>
    </row>
    <row r="1724">
      <c r="A1724" t="n">
        <v>1155</v>
      </c>
      <c r="B1724" t="inlineStr">
        <is>
          <t>A-492__336</t>
        </is>
      </c>
      <c r="C1724" t="n">
        <v>37.2973214455</v>
      </c>
      <c r="D1724" t="n">
        <v>-7.05226118282</v>
      </c>
      <c r="E1724" t="n">
        <v>1</v>
      </c>
      <c r="F1724" t="n">
        <v>2</v>
      </c>
      <c r="G1724" t="n">
        <v>2</v>
      </c>
      <c r="J1724" t="inlineStr">
        <is>
          <t>Moda</t>
        </is>
      </c>
      <c r="K1724" t="n">
        <v>2</v>
      </c>
      <c r="L1724" t="n">
        <v>1.967</v>
      </c>
      <c r="M1724" t="n">
        <v>0</v>
      </c>
      <c r="N1724" t="inlineStr">
        <is>
          <t>train</t>
        </is>
      </c>
      <c r="O1724">
        <f>HYPERLINK("2\1\marker_455_838160.png", "Ver Imagen")</f>
        <v/>
      </c>
      <c r="P1724">
        <f>HYPERLINK("SE\A-492\A-492__336.png", "Ver Imagen")</f>
        <v/>
      </c>
    </row>
    <row r="1725">
      <c r="A1725" t="n">
        <v>1156</v>
      </c>
      <c r="B1725" t="inlineStr">
        <is>
          <t>A-492__340</t>
        </is>
      </c>
      <c r="C1725" t="n">
        <v>37.2976959815</v>
      </c>
      <c r="D1725" t="n">
        <v>-7.0531442579</v>
      </c>
      <c r="E1725" t="n">
        <v>2</v>
      </c>
      <c r="F1725" t="n">
        <v>1</v>
      </c>
      <c r="G1725" t="n">
        <v>2</v>
      </c>
      <c r="J1725" t="inlineStr">
        <is>
          <t>Moda</t>
        </is>
      </c>
      <c r="K1725" t="n">
        <v>2</v>
      </c>
      <c r="L1725" t="n">
        <v>1.865</v>
      </c>
      <c r="M1725" t="n">
        <v>0</v>
      </c>
      <c r="N1725" t="inlineStr">
        <is>
          <t>test</t>
        </is>
      </c>
      <c r="O1725">
        <f>HYPERLINK("2\1\marker_785_838199.png", "Ver Imagen")</f>
        <v/>
      </c>
      <c r="P1725">
        <f>HYPERLINK("SE\A-492\A-492__340.png", "Ver Imagen")</f>
        <v/>
      </c>
    </row>
    <row r="1726">
      <c r="A1726" t="n">
        <v>1157</v>
      </c>
      <c r="B1726" t="inlineStr">
        <is>
          <t>A-492__341</t>
        </is>
      </c>
      <c r="C1726" t="n">
        <v>37.2978109179</v>
      </c>
      <c r="D1726" t="n">
        <v>-7.05332230439</v>
      </c>
      <c r="E1726" t="n">
        <v>1</v>
      </c>
      <c r="F1726" t="n">
        <v>2</v>
      </c>
      <c r="G1726" t="n">
        <v>2</v>
      </c>
      <c r="J1726" t="inlineStr">
        <is>
          <t>Moda</t>
        </is>
      </c>
      <c r="K1726" t="n">
        <v>2</v>
      </c>
      <c r="L1726" t="n">
        <v>1.91</v>
      </c>
      <c r="M1726" t="n">
        <v>0</v>
      </c>
      <c r="N1726" t="inlineStr">
        <is>
          <t>test</t>
        </is>
      </c>
      <c r="O1726">
        <f>HYPERLINK("2\1\marker_196_838210.png", "Ver Imagen")</f>
        <v/>
      </c>
      <c r="P1726">
        <f>HYPERLINK("SE\A-492\A-492__341.png", "Ver Imagen")</f>
        <v/>
      </c>
    </row>
    <row r="1727">
      <c r="A1727" t="n">
        <v>1158</v>
      </c>
      <c r="B1727" t="inlineStr">
        <is>
          <t>A-492__342</t>
        </is>
      </c>
      <c r="C1727" t="n">
        <v>37.2979435853</v>
      </c>
      <c r="D1727" t="n">
        <v>-7.05349386637</v>
      </c>
      <c r="E1727" t="n">
        <v>2</v>
      </c>
      <c r="F1727" t="n">
        <v>2</v>
      </c>
      <c r="G1727" t="n">
        <v>1</v>
      </c>
      <c r="J1727" t="inlineStr">
        <is>
          <t>Moda</t>
        </is>
      </c>
      <c r="K1727" t="n">
        <v>2</v>
      </c>
      <c r="L1727" t="n">
        <v>2.292</v>
      </c>
      <c r="M1727" t="n">
        <v>0</v>
      </c>
      <c r="N1727" t="inlineStr">
        <is>
          <t>val</t>
        </is>
      </c>
      <c r="O1727">
        <f>HYPERLINK("2\1\marker_287_838246.png", "Ver Imagen")</f>
        <v/>
      </c>
      <c r="P1727">
        <f>HYPERLINK("SE\A-492\A-492__342.png", "Ver Imagen")</f>
        <v/>
      </c>
    </row>
    <row r="1728">
      <c r="A1728" t="n">
        <v>1159</v>
      </c>
      <c r="B1728" t="inlineStr">
        <is>
          <t>A-492__347</t>
        </is>
      </c>
      <c r="C1728" t="n">
        <v>37.2987961422</v>
      </c>
      <c r="D1728" t="n">
        <v>-7.05416933501</v>
      </c>
      <c r="E1728" t="n">
        <v>2</v>
      </c>
      <c r="F1728" t="n">
        <v>1</v>
      </c>
      <c r="G1728" t="n">
        <v>2</v>
      </c>
      <c r="J1728" t="inlineStr">
        <is>
          <t>Moda</t>
        </is>
      </c>
      <c r="K1728" t="n">
        <v>2</v>
      </c>
      <c r="L1728" t="n">
        <v>1.899</v>
      </c>
      <c r="M1728" t="n">
        <v>0</v>
      </c>
      <c r="N1728" t="inlineStr">
        <is>
          <t>test</t>
        </is>
      </c>
      <c r="O1728">
        <f>HYPERLINK("2\1\marker_196_838324.png", "Ver Imagen")</f>
        <v/>
      </c>
      <c r="P1728">
        <f>HYPERLINK("SE\A-492\A-492__347.png", "Ver Imagen")</f>
        <v/>
      </c>
    </row>
    <row r="1729">
      <c r="A1729" t="n">
        <v>1160</v>
      </c>
      <c r="B1729" t="inlineStr">
        <is>
          <t>A-492__353</t>
        </is>
      </c>
      <c r="C1729" t="n">
        <v>37.2998330625</v>
      </c>
      <c r="D1729" t="n">
        <v>-7.0550272208</v>
      </c>
      <c r="E1729" t="n">
        <v>2</v>
      </c>
      <c r="F1729" t="n">
        <v>1</v>
      </c>
      <c r="G1729" t="n">
        <v>2</v>
      </c>
      <c r="J1729" t="inlineStr">
        <is>
          <t>Moda</t>
        </is>
      </c>
      <c r="K1729" t="n">
        <v>2</v>
      </c>
      <c r="L1729" t="n">
        <v>2.16</v>
      </c>
      <c r="M1729" t="n">
        <v>0</v>
      </c>
      <c r="N1729" t="inlineStr">
        <is>
          <t>train</t>
        </is>
      </c>
      <c r="O1729">
        <f>HYPERLINK("2\1\marker_444_838550.png", "Ver Imagen")</f>
        <v/>
      </c>
      <c r="P1729">
        <f>HYPERLINK("SE\A-492\A-492__353.png", "Ver Imagen")</f>
        <v/>
      </c>
    </row>
    <row r="1730">
      <c r="A1730" t="n">
        <v>1161</v>
      </c>
      <c r="B1730" t="inlineStr">
        <is>
          <t>A-492__354</t>
        </is>
      </c>
      <c r="C1730" t="n">
        <v>37.2999584799</v>
      </c>
      <c r="D1730" t="n">
        <v>-7.05517975694</v>
      </c>
      <c r="E1730" t="n">
        <v>2</v>
      </c>
      <c r="F1730" t="n">
        <v>3</v>
      </c>
      <c r="G1730" t="n">
        <v>2</v>
      </c>
      <c r="J1730" t="inlineStr">
        <is>
          <t>Moda</t>
        </is>
      </c>
      <c r="K1730" t="n">
        <v>2</v>
      </c>
      <c r="L1730" t="n">
        <v>2.076</v>
      </c>
      <c r="M1730" t="n">
        <v>0</v>
      </c>
      <c r="N1730" t="inlineStr">
        <is>
          <t>val</t>
        </is>
      </c>
      <c r="O1730">
        <f>HYPERLINK("2\1\marker_233_838565.png", "Ver Imagen")</f>
        <v/>
      </c>
      <c r="P1730">
        <f>HYPERLINK("SE\A-492\A-492__354.png", "Ver Imagen")</f>
        <v/>
      </c>
    </row>
    <row r="1731">
      <c r="A1731" t="n">
        <v>1162</v>
      </c>
      <c r="B1731" t="inlineStr">
        <is>
          <t>A-492__356</t>
        </is>
      </c>
      <c r="C1731" t="n">
        <v>37.300235509</v>
      </c>
      <c r="D1731" t="n">
        <v>-7.05551498835</v>
      </c>
      <c r="E1731" t="n">
        <v>2</v>
      </c>
      <c r="F1731" t="n">
        <v>1</v>
      </c>
      <c r="G1731" t="n">
        <v>2</v>
      </c>
      <c r="J1731" t="inlineStr">
        <is>
          <t>Moda</t>
        </is>
      </c>
      <c r="K1731" t="n">
        <v>2</v>
      </c>
      <c r="L1731" t="n">
        <v>1.9</v>
      </c>
      <c r="M1731" t="n">
        <v>0</v>
      </c>
      <c r="N1731" t="inlineStr">
        <is>
          <t>train</t>
        </is>
      </c>
      <c r="O1731">
        <f>HYPERLINK("2\1\marker_754_838585.png", "Ver Imagen")</f>
        <v/>
      </c>
      <c r="P1731">
        <f>HYPERLINK("SE\A-492\A-492__356.png", "Ver Imagen")</f>
        <v/>
      </c>
    </row>
    <row r="1732">
      <c r="A1732" t="n">
        <v>1163</v>
      </c>
      <c r="B1732" t="inlineStr">
        <is>
          <t>A-492__363</t>
        </is>
      </c>
      <c r="C1732" t="n">
        <v>37.3014785834</v>
      </c>
      <c r="D1732" t="n">
        <v>-7.05634836918</v>
      </c>
      <c r="E1732" t="n">
        <v>2</v>
      </c>
      <c r="F1732" t="n">
        <v>2</v>
      </c>
      <c r="G1732" t="n">
        <v>3</v>
      </c>
      <c r="J1732" t="inlineStr">
        <is>
          <t>Moda</t>
        </is>
      </c>
      <c r="K1732" t="n">
        <v>2</v>
      </c>
      <c r="L1732" t="n">
        <v>1.893</v>
      </c>
      <c r="M1732" t="n">
        <v>0</v>
      </c>
      <c r="N1732" t="inlineStr">
        <is>
          <t>train</t>
        </is>
      </c>
      <c r="O1732">
        <f>HYPERLINK("2\1\marker_374_838667.png", "Ver Imagen")</f>
        <v/>
      </c>
      <c r="P1732">
        <f>HYPERLINK("SE\A-492\A-492__363.png", "Ver Imagen")</f>
        <v/>
      </c>
    </row>
    <row r="1733">
      <c r="A1733" t="n">
        <v>1164</v>
      </c>
      <c r="B1733" t="inlineStr">
        <is>
          <t>A-492__364</t>
        </is>
      </c>
      <c r="C1733" t="n">
        <v>37.3017145354</v>
      </c>
      <c r="D1733" t="n">
        <v>-7.0564099923</v>
      </c>
      <c r="E1733" t="n">
        <v>2</v>
      </c>
      <c r="F1733" t="n">
        <v>1</v>
      </c>
      <c r="G1733" t="n">
        <v>2</v>
      </c>
      <c r="J1733" t="inlineStr">
        <is>
          <t>Moda</t>
        </is>
      </c>
      <c r="K1733" t="n">
        <v>2</v>
      </c>
      <c r="L1733" t="n">
        <v>2.054</v>
      </c>
      <c r="M1733" t="n">
        <v>0</v>
      </c>
      <c r="N1733" t="inlineStr">
        <is>
          <t>train</t>
        </is>
      </c>
      <c r="O1733">
        <f>HYPERLINK("2\1\marker_936_838687.png", "Ver Imagen")</f>
        <v/>
      </c>
      <c r="P1733">
        <f>HYPERLINK("SE\A-492\A-492__364.png", "Ver Imagen")</f>
        <v/>
      </c>
    </row>
    <row r="1734">
      <c r="A1734" t="n">
        <v>1165</v>
      </c>
      <c r="B1734" t="inlineStr">
        <is>
          <t>A-492__365</t>
        </is>
      </c>
      <c r="C1734" t="n">
        <v>37.3018893217</v>
      </c>
      <c r="D1734" t="n">
        <v>-7.05644600333</v>
      </c>
      <c r="E1734" t="n">
        <v>1</v>
      </c>
      <c r="F1734" t="n">
        <v>2</v>
      </c>
      <c r="G1734" t="n">
        <v>2</v>
      </c>
      <c r="J1734" t="inlineStr">
        <is>
          <t>Moda</t>
        </is>
      </c>
      <c r="K1734" t="n">
        <v>2</v>
      </c>
      <c r="L1734" t="n">
        <v>2.15</v>
      </c>
      <c r="M1734" t="n">
        <v>0</v>
      </c>
      <c r="N1734" t="inlineStr">
        <is>
          <t>val</t>
        </is>
      </c>
      <c r="O1734">
        <f>HYPERLINK("2\1\marker_487_838704.png", "Ver Imagen")</f>
        <v/>
      </c>
      <c r="P1734">
        <f>HYPERLINK("SE\A-492\A-492__365.png", "Ver Imagen")</f>
        <v/>
      </c>
    </row>
    <row r="1735">
      <c r="A1735" t="n">
        <v>1167</v>
      </c>
      <c r="B1735" t="inlineStr">
        <is>
          <t>A-492__368</t>
        </is>
      </c>
      <c r="C1735" t="n">
        <v>37.3024745321</v>
      </c>
      <c r="D1735" t="n">
        <v>-7.05654954543</v>
      </c>
      <c r="E1735" t="n">
        <v>2</v>
      </c>
      <c r="F1735" t="n">
        <v>1</v>
      </c>
      <c r="G1735" t="n">
        <v>2</v>
      </c>
      <c r="J1735" t="inlineStr">
        <is>
          <t>Moda</t>
        </is>
      </c>
      <c r="K1735" t="n">
        <v>2</v>
      </c>
      <c r="L1735" t="n">
        <v>1.976</v>
      </c>
      <c r="M1735" t="n">
        <v>0</v>
      </c>
      <c r="N1735" t="inlineStr">
        <is>
          <t>train</t>
        </is>
      </c>
      <c r="O1735">
        <f>HYPERLINK("2\1\marker_116_838736.png", "Ver Imagen")</f>
        <v/>
      </c>
      <c r="P1735">
        <f>HYPERLINK("SE\A-492\A-492__368.png", "Ver Imagen")</f>
        <v/>
      </c>
    </row>
    <row r="1736">
      <c r="A1736" t="n">
        <v>1168</v>
      </c>
      <c r="B1736" t="inlineStr">
        <is>
          <t>A-492__371</t>
        </is>
      </c>
      <c r="C1736" t="n">
        <v>37.303056155</v>
      </c>
      <c r="D1736" t="n">
        <v>-7.05664875978</v>
      </c>
      <c r="E1736" t="n">
        <v>1</v>
      </c>
      <c r="F1736" t="n">
        <v>2</v>
      </c>
      <c r="G1736" t="n">
        <v>2</v>
      </c>
      <c r="J1736" t="inlineStr">
        <is>
          <t>Moda</t>
        </is>
      </c>
      <c r="K1736" t="n">
        <v>2</v>
      </c>
      <c r="L1736" t="n">
        <v>2.196</v>
      </c>
      <c r="M1736" t="n">
        <v>0</v>
      </c>
      <c r="N1736" t="inlineStr">
        <is>
          <t>train</t>
        </is>
      </c>
      <c r="O1736">
        <f>HYPERLINK("2\1\marker_630_838767.png", "Ver Imagen")</f>
        <v/>
      </c>
      <c r="P1736">
        <f>HYPERLINK("SE\A-492\A-492__371.png", "Ver Imagen")</f>
        <v/>
      </c>
    </row>
    <row r="1737">
      <c r="A1737" t="n">
        <v>1169</v>
      </c>
      <c r="B1737" t="inlineStr">
        <is>
          <t>A-492__372</t>
        </is>
      </c>
      <c r="C1737" t="n">
        <v>37.3032695288</v>
      </c>
      <c r="D1737" t="n">
        <v>-7.05668339745</v>
      </c>
      <c r="E1737" t="n">
        <v>1</v>
      </c>
      <c r="F1737" t="n">
        <v>2</v>
      </c>
      <c r="G1737" t="n">
        <v>2</v>
      </c>
      <c r="J1737" t="inlineStr">
        <is>
          <t>Moda</t>
        </is>
      </c>
      <c r="K1737" t="n">
        <v>2</v>
      </c>
      <c r="L1737" t="n">
        <v>1.522</v>
      </c>
      <c r="M1737" t="n">
        <v>0</v>
      </c>
      <c r="N1737" t="inlineStr">
        <is>
          <t>train</t>
        </is>
      </c>
      <c r="O1737">
        <f>HYPERLINK("2\1\marker_351_838777.png", "Ver Imagen")</f>
        <v/>
      </c>
      <c r="P1737">
        <f>HYPERLINK("SE\A-492\A-492__372.png", "Ver Imagen")</f>
        <v/>
      </c>
    </row>
    <row r="1738">
      <c r="A1738" t="n">
        <v>1170</v>
      </c>
      <c r="B1738" t="inlineStr">
        <is>
          <t>A-492__374</t>
        </is>
      </c>
      <c r="C1738" t="n">
        <v>37.3036396567</v>
      </c>
      <c r="D1738" t="n">
        <v>-7.05673211777</v>
      </c>
      <c r="E1738" t="n">
        <v>1</v>
      </c>
      <c r="F1738" t="n">
        <v>2</v>
      </c>
      <c r="G1738" t="n">
        <v>2</v>
      </c>
      <c r="J1738" t="inlineStr">
        <is>
          <t>Moda</t>
        </is>
      </c>
      <c r="K1738" t="n">
        <v>2</v>
      </c>
      <c r="L1738" t="n">
        <v>1.792</v>
      </c>
      <c r="M1738" t="n">
        <v>0</v>
      </c>
      <c r="N1738" t="inlineStr">
        <is>
          <t>train</t>
        </is>
      </c>
      <c r="O1738">
        <f>HYPERLINK("2\1\marker_126_838802.png", "Ver Imagen")</f>
        <v/>
      </c>
      <c r="P1738">
        <f>HYPERLINK("SE\A-492\A-492__374.png", "Ver Imagen")</f>
        <v/>
      </c>
    </row>
    <row r="1739">
      <c r="A1739" t="n">
        <v>1171</v>
      </c>
      <c r="B1739" t="inlineStr">
        <is>
          <t>A-492__375</t>
        </is>
      </c>
      <c r="C1739" t="n">
        <v>37.3038695333</v>
      </c>
      <c r="D1739" t="n">
        <v>-7.056748237</v>
      </c>
      <c r="E1739" t="n">
        <v>1</v>
      </c>
      <c r="F1739" t="n">
        <v>2</v>
      </c>
      <c r="G1739" t="n">
        <v>2</v>
      </c>
      <c r="J1739" t="inlineStr">
        <is>
          <t>Moda</t>
        </is>
      </c>
      <c r="K1739" t="n">
        <v>2</v>
      </c>
      <c r="L1739" t="n">
        <v>2.072</v>
      </c>
      <c r="M1739" t="n">
        <v>0</v>
      </c>
      <c r="N1739" t="inlineStr">
        <is>
          <t>train</t>
        </is>
      </c>
      <c r="O1739">
        <f>HYPERLINK("2\1\marker_117_838813.png", "Ver Imagen")</f>
        <v/>
      </c>
      <c r="P1739">
        <f>HYPERLINK("SE\A-492\A-492__375.png", "Ver Imagen")</f>
        <v/>
      </c>
    </row>
    <row r="1740">
      <c r="A1740" t="n">
        <v>1172</v>
      </c>
      <c r="B1740" t="inlineStr">
        <is>
          <t>A-492__376</t>
        </is>
      </c>
      <c r="C1740" t="n">
        <v>37.3040904126</v>
      </c>
      <c r="D1740" t="n">
        <v>-7.05675483935</v>
      </c>
      <c r="E1740" t="n">
        <v>1</v>
      </c>
      <c r="F1740" t="n">
        <v>2</v>
      </c>
      <c r="G1740" t="n">
        <v>2</v>
      </c>
      <c r="J1740" t="inlineStr">
        <is>
          <t>Moda</t>
        </is>
      </c>
      <c r="K1740" t="n">
        <v>2</v>
      </c>
      <c r="L1740" t="n">
        <v>1.859</v>
      </c>
      <c r="M1740" t="n">
        <v>0</v>
      </c>
      <c r="N1740" t="inlineStr">
        <is>
          <t>train</t>
        </is>
      </c>
      <c r="O1740">
        <f>HYPERLINK("2\1\marker_571_838827.png", "Ver Imagen")</f>
        <v/>
      </c>
      <c r="P1740">
        <f>HYPERLINK("SE\A-492\A-492__376.png", "Ver Imagen")</f>
        <v/>
      </c>
    </row>
    <row r="1741">
      <c r="A1741" t="n">
        <v>1173</v>
      </c>
      <c r="B1741" t="inlineStr">
        <is>
          <t>A-492__377</t>
        </is>
      </c>
      <c r="C1741" t="n">
        <v>37.3042739423</v>
      </c>
      <c r="D1741" t="n">
        <v>-7.05675569556</v>
      </c>
      <c r="E1741" t="n">
        <v>1</v>
      </c>
      <c r="F1741" t="n">
        <v>2</v>
      </c>
      <c r="G1741" t="n">
        <v>2</v>
      </c>
      <c r="J1741" t="inlineStr">
        <is>
          <t>Moda</t>
        </is>
      </c>
      <c r="K1741" t="n">
        <v>2</v>
      </c>
      <c r="L1741" t="n">
        <v>1.688</v>
      </c>
      <c r="M1741" t="n">
        <v>0</v>
      </c>
      <c r="N1741" t="inlineStr">
        <is>
          <t>val</t>
        </is>
      </c>
      <c r="O1741">
        <f>HYPERLINK("2\1\marker_104_838842.png", "Ver Imagen")</f>
        <v/>
      </c>
      <c r="P1741">
        <f>HYPERLINK("SE\A-492\A-492__377.png", "Ver Imagen")</f>
        <v/>
      </c>
    </row>
    <row r="1742">
      <c r="A1742" t="n">
        <v>1175</v>
      </c>
      <c r="B1742" t="inlineStr">
        <is>
          <t>A-492__379</t>
        </is>
      </c>
      <c r="C1742" t="n">
        <v>37.3046894315</v>
      </c>
      <c r="D1742" t="n">
        <v>-7.05674644382</v>
      </c>
      <c r="E1742" t="n">
        <v>1</v>
      </c>
      <c r="F1742" t="n">
        <v>2</v>
      </c>
      <c r="G1742" t="n">
        <v>2</v>
      </c>
      <c r="J1742" t="inlineStr">
        <is>
          <t>Moda</t>
        </is>
      </c>
      <c r="K1742" t="n">
        <v>2</v>
      </c>
      <c r="L1742" t="n">
        <v>2.132</v>
      </c>
      <c r="M1742" t="n">
        <v>0</v>
      </c>
      <c r="N1742" t="inlineStr">
        <is>
          <t>train</t>
        </is>
      </c>
      <c r="O1742">
        <f>HYPERLINK("2\1\marker_933_838867.png", "Ver Imagen")</f>
        <v/>
      </c>
      <c r="P1742">
        <f>HYPERLINK("SE\A-492\A-492__379.png", "Ver Imagen")</f>
        <v/>
      </c>
    </row>
    <row r="1743">
      <c r="A1743" t="n">
        <v>1176</v>
      </c>
      <c r="B1743" t="inlineStr">
        <is>
          <t>A-492__382</t>
        </is>
      </c>
      <c r="C1743" t="n">
        <v>37.3052876802</v>
      </c>
      <c r="D1743" t="n">
        <v>-7.05673428971</v>
      </c>
      <c r="E1743" t="n">
        <v>1</v>
      </c>
      <c r="F1743" t="n">
        <v>2</v>
      </c>
      <c r="G1743" t="n">
        <v>2</v>
      </c>
      <c r="J1743" t="inlineStr">
        <is>
          <t>Moda</t>
        </is>
      </c>
      <c r="K1743" t="n">
        <v>2</v>
      </c>
      <c r="L1743" t="n">
        <v>1.863</v>
      </c>
      <c r="M1743" t="n">
        <v>0</v>
      </c>
      <c r="N1743" t="inlineStr">
        <is>
          <t>train</t>
        </is>
      </c>
      <c r="O1743">
        <f>HYPERLINK("2\1\marker_786_838913.png", "Ver Imagen")</f>
        <v/>
      </c>
      <c r="P1743">
        <f>HYPERLINK("SE\A-492\A-492__382.png", "Ver Imagen")</f>
        <v/>
      </c>
    </row>
    <row r="1744">
      <c r="A1744" t="n">
        <v>1177</v>
      </c>
      <c r="B1744" t="inlineStr">
        <is>
          <t>A-492__399</t>
        </is>
      </c>
      <c r="C1744" t="n">
        <v>37.308706376</v>
      </c>
      <c r="D1744" t="n">
        <v>-7.05736696732</v>
      </c>
      <c r="E1744" t="n">
        <v>2</v>
      </c>
      <c r="F1744" t="n">
        <v>2</v>
      </c>
      <c r="G1744" t="n">
        <v>3</v>
      </c>
      <c r="J1744" t="inlineStr">
        <is>
          <t>Moda</t>
        </is>
      </c>
      <c r="K1744" t="n">
        <v>2</v>
      </c>
      <c r="L1744" t="n">
        <v>2.035</v>
      </c>
      <c r="M1744" t="n">
        <v>0</v>
      </c>
      <c r="N1744" t="inlineStr">
        <is>
          <t>train</t>
        </is>
      </c>
      <c r="O1744">
        <f>HYPERLINK("2\1\marker_440_839145.png", "Ver Imagen")</f>
        <v/>
      </c>
      <c r="P1744">
        <f>HYPERLINK("SE\A-492\A-492__399.png", "Ver Imagen")</f>
        <v/>
      </c>
    </row>
    <row r="1745">
      <c r="A1745" t="n">
        <v>1178</v>
      </c>
      <c r="B1745" t="inlineStr">
        <is>
          <t>A-492__402</t>
        </is>
      </c>
      <c r="C1745" t="n">
        <v>37.3092285669</v>
      </c>
      <c r="D1745" t="n">
        <v>-7.05765213129</v>
      </c>
      <c r="E1745" t="n">
        <v>2</v>
      </c>
      <c r="F1745" t="n">
        <v>2</v>
      </c>
      <c r="G1745" t="n">
        <v>3</v>
      </c>
      <c r="J1745" t="inlineStr">
        <is>
          <t>Moda</t>
        </is>
      </c>
      <c r="K1745" t="n">
        <v>2</v>
      </c>
      <c r="L1745" t="n">
        <v>2.186</v>
      </c>
      <c r="M1745" t="n">
        <v>0</v>
      </c>
      <c r="N1745" t="inlineStr">
        <is>
          <t>train</t>
        </is>
      </c>
      <c r="O1745">
        <f>HYPERLINK("2\1\marker_700_839183.png", "Ver Imagen")</f>
        <v/>
      </c>
      <c r="P1745">
        <f>HYPERLINK("SE\A-492\A-492__402.png", "Ver Imagen")</f>
        <v/>
      </c>
    </row>
    <row r="1746">
      <c r="A1746" t="n">
        <v>1179</v>
      </c>
      <c r="B1746" t="inlineStr">
        <is>
          <t>A-492__403</t>
        </is>
      </c>
      <c r="C1746" t="n">
        <v>37.3094231467</v>
      </c>
      <c r="D1746" t="n">
        <v>-7.05778310318</v>
      </c>
      <c r="E1746" t="n">
        <v>2</v>
      </c>
      <c r="F1746" t="n">
        <v>1</v>
      </c>
      <c r="G1746" t="n">
        <v>2</v>
      </c>
      <c r="J1746" t="inlineStr">
        <is>
          <t>Moda</t>
        </is>
      </c>
      <c r="K1746" t="n">
        <v>2</v>
      </c>
      <c r="L1746" t="n">
        <v>2.114</v>
      </c>
      <c r="M1746" t="n">
        <v>0</v>
      </c>
      <c r="N1746" t="inlineStr">
        <is>
          <t>train</t>
        </is>
      </c>
      <c r="O1746">
        <f>HYPERLINK("2\1\marker_386_839195.png", "Ver Imagen")</f>
        <v/>
      </c>
      <c r="P1746">
        <f>HYPERLINK("SE\A-492\A-492__403.png", "Ver Imagen")</f>
        <v/>
      </c>
    </row>
    <row r="1747">
      <c r="A1747" t="n">
        <v>1180</v>
      </c>
      <c r="B1747" t="inlineStr">
        <is>
          <t>A-492__404</t>
        </is>
      </c>
      <c r="C1747" t="n">
        <v>37.3095860978</v>
      </c>
      <c r="D1747" t="n">
        <v>-7.05790429325</v>
      </c>
      <c r="E1747" t="n">
        <v>2</v>
      </c>
      <c r="F1747" t="n">
        <v>1</v>
      </c>
      <c r="G1747" t="n">
        <v>2</v>
      </c>
      <c r="J1747" t="inlineStr">
        <is>
          <t>Moda</t>
        </is>
      </c>
      <c r="K1747" t="n">
        <v>2</v>
      </c>
      <c r="L1747" t="n">
        <v>1.878</v>
      </c>
      <c r="M1747" t="n">
        <v>0</v>
      </c>
      <c r="N1747" t="inlineStr">
        <is>
          <t>val</t>
        </is>
      </c>
      <c r="O1747">
        <f>HYPERLINK("2\1\marker_481_839206.png", "Ver Imagen")</f>
        <v/>
      </c>
      <c r="P1747">
        <f>HYPERLINK("SE\A-492\A-492__404.png", "Ver Imagen")</f>
        <v/>
      </c>
    </row>
    <row r="1748">
      <c r="A1748" t="n">
        <v>1181</v>
      </c>
      <c r="B1748" t="inlineStr">
        <is>
          <t>A-492__408</t>
        </is>
      </c>
      <c r="C1748" t="n">
        <v>37.31028491</v>
      </c>
      <c r="D1748" t="n">
        <v>-7.05847478799</v>
      </c>
      <c r="E1748" t="n">
        <v>1</v>
      </c>
      <c r="F1748" t="n">
        <v>2</v>
      </c>
      <c r="G1748" t="n">
        <v>2</v>
      </c>
      <c r="J1748" t="inlineStr">
        <is>
          <t>Moda</t>
        </is>
      </c>
      <c r="K1748" t="n">
        <v>2</v>
      </c>
      <c r="L1748" t="n">
        <v>1.951</v>
      </c>
      <c r="M1748" t="n">
        <v>0</v>
      </c>
      <c r="N1748" t="inlineStr">
        <is>
          <t>train</t>
        </is>
      </c>
      <c r="O1748">
        <f>HYPERLINK("2\1\marker_169_839268.png", "Ver Imagen")</f>
        <v/>
      </c>
      <c r="P1748">
        <f>HYPERLINK("SE\A-492\A-492__408.png", "Ver Imagen")</f>
        <v/>
      </c>
    </row>
    <row r="1749">
      <c r="A1749" t="n">
        <v>1182</v>
      </c>
      <c r="B1749" t="inlineStr">
        <is>
          <t>A-492__410</t>
        </is>
      </c>
      <c r="C1749" t="n">
        <v>37.3106318271</v>
      </c>
      <c r="D1749" t="n">
        <v>-7.05877231223</v>
      </c>
      <c r="E1749" t="n">
        <v>1</v>
      </c>
      <c r="F1749" t="n">
        <v>2</v>
      </c>
      <c r="G1749" t="n">
        <v>2</v>
      </c>
      <c r="J1749" t="inlineStr">
        <is>
          <t>Moda</t>
        </is>
      </c>
      <c r="K1749" t="n">
        <v>2</v>
      </c>
      <c r="L1749" t="n">
        <v>2.217</v>
      </c>
      <c r="M1749" t="n">
        <v>0</v>
      </c>
      <c r="N1749" t="inlineStr">
        <is>
          <t>train</t>
        </is>
      </c>
      <c r="O1749">
        <f>HYPERLINK("2\1\marker_251_839290.png", "Ver Imagen")</f>
        <v/>
      </c>
      <c r="P1749">
        <f>HYPERLINK("SE\A-492\A-492__410.png", "Ver Imagen")</f>
        <v/>
      </c>
    </row>
    <row r="1750">
      <c r="A1750" t="n">
        <v>1183</v>
      </c>
      <c r="B1750" t="inlineStr">
        <is>
          <t>A-492__411</t>
        </is>
      </c>
      <c r="C1750" t="n">
        <v>37.3107656314</v>
      </c>
      <c r="D1750" t="n">
        <v>-7.05888565113</v>
      </c>
      <c r="E1750" t="n">
        <v>1</v>
      </c>
      <c r="F1750" t="n">
        <v>2</v>
      </c>
      <c r="G1750" t="n">
        <v>2</v>
      </c>
      <c r="J1750" t="inlineStr">
        <is>
          <t>Moda</t>
        </is>
      </c>
      <c r="K1750" t="n">
        <v>2</v>
      </c>
      <c r="L1750" t="n">
        <v>1.89</v>
      </c>
      <c r="M1750" t="n">
        <v>0</v>
      </c>
      <c r="N1750" t="inlineStr">
        <is>
          <t>val</t>
        </is>
      </c>
      <c r="O1750">
        <f>HYPERLINK("2\1\marker_961_839300.png", "Ver Imagen")</f>
        <v/>
      </c>
      <c r="P1750">
        <f>HYPERLINK("SE\A-492\A-492__411.png", "Ver Imagen")</f>
        <v/>
      </c>
    </row>
    <row r="1751">
      <c r="A1751" t="n">
        <v>1184</v>
      </c>
      <c r="B1751" t="inlineStr">
        <is>
          <t>A-492__417</t>
        </is>
      </c>
      <c r="C1751" t="n">
        <v>37.311748243</v>
      </c>
      <c r="D1751" t="n">
        <v>-7.05984268467</v>
      </c>
      <c r="E1751" t="n">
        <v>2</v>
      </c>
      <c r="F1751" t="n">
        <v>1</v>
      </c>
      <c r="G1751" t="n">
        <v>2</v>
      </c>
      <c r="J1751" t="inlineStr">
        <is>
          <t>Moda</t>
        </is>
      </c>
      <c r="K1751" t="n">
        <v>2</v>
      </c>
      <c r="L1751" t="n">
        <v>1.925</v>
      </c>
      <c r="M1751" t="n">
        <v>0</v>
      </c>
      <c r="N1751" t="inlineStr">
        <is>
          <t>train</t>
        </is>
      </c>
      <c r="O1751">
        <f>HYPERLINK("2\1\marker_905_839364.png", "Ver Imagen")</f>
        <v/>
      </c>
      <c r="P1751">
        <f>HYPERLINK("SE\A-492\A-492__417.png", "Ver Imagen")</f>
        <v/>
      </c>
    </row>
    <row r="1752">
      <c r="A1752" t="n">
        <v>1185</v>
      </c>
      <c r="B1752" t="inlineStr">
        <is>
          <t>A-492__419</t>
        </is>
      </c>
      <c r="C1752" t="n">
        <v>37.3120185895</v>
      </c>
      <c r="D1752" t="n">
        <v>-7.06021489032</v>
      </c>
      <c r="E1752" t="n">
        <v>2</v>
      </c>
      <c r="F1752" t="n">
        <v>1</v>
      </c>
      <c r="G1752" t="n">
        <v>2</v>
      </c>
      <c r="J1752" t="inlineStr">
        <is>
          <t>Moda</t>
        </is>
      </c>
      <c r="K1752" t="n">
        <v>2</v>
      </c>
      <c r="L1752" t="n">
        <v>1.987</v>
      </c>
      <c r="M1752" t="n">
        <v>0</v>
      </c>
      <c r="N1752" t="inlineStr">
        <is>
          <t>train</t>
        </is>
      </c>
      <c r="O1752">
        <f>HYPERLINK("2\1\marker_390_839388.png", "Ver Imagen")</f>
        <v/>
      </c>
      <c r="P1752">
        <f>HYPERLINK("SE\A-492\A-492__419.png", "Ver Imagen")</f>
        <v/>
      </c>
    </row>
    <row r="1753">
      <c r="A1753" t="n">
        <v>1186</v>
      </c>
      <c r="B1753" t="inlineStr">
        <is>
          <t>A-492__420</t>
        </is>
      </c>
      <c r="C1753" t="n">
        <v>37.312138451</v>
      </c>
      <c r="D1753" t="n">
        <v>-7.06039476529</v>
      </c>
      <c r="E1753" t="n">
        <v>2</v>
      </c>
      <c r="F1753" t="n">
        <v>1</v>
      </c>
      <c r="G1753" t="n">
        <v>2</v>
      </c>
      <c r="J1753" t="inlineStr">
        <is>
          <t>Moda</t>
        </is>
      </c>
      <c r="K1753" t="n">
        <v>2</v>
      </c>
      <c r="L1753" t="n">
        <v>2.088</v>
      </c>
      <c r="M1753" t="n">
        <v>0</v>
      </c>
      <c r="N1753" t="inlineStr">
        <is>
          <t>train</t>
        </is>
      </c>
      <c r="O1753">
        <f>HYPERLINK("2\1\marker_961_839398.png", "Ver Imagen")</f>
        <v/>
      </c>
      <c r="P1753">
        <f>HYPERLINK("SE\A-492\A-492__420.png", "Ver Imagen")</f>
        <v/>
      </c>
    </row>
    <row r="1754">
      <c r="A1754" t="n">
        <v>1187</v>
      </c>
      <c r="B1754" t="inlineStr">
        <is>
          <t>A-492__424</t>
        </is>
      </c>
      <c r="C1754" t="n">
        <v>37.3126503361</v>
      </c>
      <c r="D1754" t="n">
        <v>-7.06118993483</v>
      </c>
      <c r="E1754" t="n">
        <v>1</v>
      </c>
      <c r="F1754" t="n">
        <v>2</v>
      </c>
      <c r="G1754" t="n">
        <v>2</v>
      </c>
      <c r="J1754" t="inlineStr">
        <is>
          <t>Moda</t>
        </is>
      </c>
      <c r="K1754" t="n">
        <v>2</v>
      </c>
      <c r="L1754" t="n">
        <v>2.353</v>
      </c>
      <c r="M1754" t="n">
        <v>0</v>
      </c>
      <c r="N1754" t="inlineStr">
        <is>
          <t>val</t>
        </is>
      </c>
      <c r="O1754">
        <f>HYPERLINK("2\1\marker_592_839464.png", "Ver Imagen")</f>
        <v/>
      </c>
      <c r="P1754">
        <f>HYPERLINK("SE\A-492\A-492__424.png", "Ver Imagen")</f>
        <v/>
      </c>
    </row>
    <row r="1755">
      <c r="A1755" t="n">
        <v>1188</v>
      </c>
      <c r="B1755" t="inlineStr">
        <is>
          <t>A-492__425</t>
        </is>
      </c>
      <c r="C1755" t="n">
        <v>37.3127743821</v>
      </c>
      <c r="D1755" t="n">
        <v>-7.06138534514</v>
      </c>
      <c r="E1755" t="n">
        <v>1</v>
      </c>
      <c r="F1755" t="n">
        <v>2</v>
      </c>
      <c r="G1755" t="n">
        <v>2</v>
      </c>
      <c r="J1755" t="inlineStr">
        <is>
          <t>Moda</t>
        </is>
      </c>
      <c r="K1755" t="n">
        <v>2</v>
      </c>
      <c r="L1755" t="n">
        <v>2.169</v>
      </c>
      <c r="M1755" t="n">
        <v>0</v>
      </c>
      <c r="N1755" t="inlineStr">
        <is>
          <t>train</t>
        </is>
      </c>
      <c r="O1755">
        <f>HYPERLINK("2\1\marker_109_839476.png", "Ver Imagen")</f>
        <v/>
      </c>
      <c r="P1755">
        <f>HYPERLINK("SE\A-492\A-492__425.png", "Ver Imagen")</f>
        <v/>
      </c>
    </row>
    <row r="1756">
      <c r="A1756" t="n">
        <v>1189</v>
      </c>
      <c r="B1756" t="inlineStr">
        <is>
          <t>A-492__427</t>
        </is>
      </c>
      <c r="C1756" t="n">
        <v>37.3130180379</v>
      </c>
      <c r="D1756" t="n">
        <v>-7.06178349547</v>
      </c>
      <c r="E1756" t="n">
        <v>1</v>
      </c>
      <c r="F1756" t="n">
        <v>2</v>
      </c>
      <c r="G1756" t="n">
        <v>2</v>
      </c>
      <c r="J1756" t="inlineStr">
        <is>
          <t>Moda</t>
        </is>
      </c>
      <c r="K1756" t="n">
        <v>2</v>
      </c>
      <c r="L1756" t="n">
        <v>2.198</v>
      </c>
      <c r="M1756" t="n">
        <v>0</v>
      </c>
      <c r="N1756" t="inlineStr">
        <is>
          <t>train</t>
        </is>
      </c>
      <c r="O1756">
        <f>HYPERLINK("2\1\marker_210_839495.png", "Ver Imagen")</f>
        <v/>
      </c>
      <c r="P1756">
        <f>HYPERLINK("SE\A-492\A-492__427.png", "Ver Imagen")</f>
        <v/>
      </c>
    </row>
    <row r="1757">
      <c r="A1757" t="n">
        <v>1190</v>
      </c>
      <c r="B1757" t="inlineStr">
        <is>
          <t>A-492__428</t>
        </is>
      </c>
      <c r="C1757" t="n">
        <v>37.3131534243</v>
      </c>
      <c r="D1757" t="n">
        <v>-7.06201884503</v>
      </c>
      <c r="E1757" t="n">
        <v>1</v>
      </c>
      <c r="F1757" t="n">
        <v>2</v>
      </c>
      <c r="G1757" t="n">
        <v>2</v>
      </c>
      <c r="J1757" t="inlineStr">
        <is>
          <t>Moda</t>
        </is>
      </c>
      <c r="K1757" t="n">
        <v>2</v>
      </c>
      <c r="L1757" t="n">
        <v>1.768</v>
      </c>
      <c r="M1757" t="n">
        <v>0</v>
      </c>
      <c r="N1757" t="inlineStr">
        <is>
          <t>train</t>
        </is>
      </c>
      <c r="O1757">
        <f>HYPERLINK("2\1\marker_874_839504.png", "Ver Imagen")</f>
        <v/>
      </c>
      <c r="P1757">
        <f>HYPERLINK("SE\A-492\A-492__428.png", "Ver Imagen")</f>
        <v/>
      </c>
    </row>
    <row r="1758">
      <c r="A1758" t="n">
        <v>1191</v>
      </c>
      <c r="B1758" t="inlineStr">
        <is>
          <t>A-492__429</t>
        </is>
      </c>
      <c r="C1758" t="n">
        <v>37.3132664472</v>
      </c>
      <c r="D1758" t="n">
        <v>-7.06222242609</v>
      </c>
      <c r="E1758" t="n">
        <v>2</v>
      </c>
      <c r="F1758" t="n">
        <v>2</v>
      </c>
      <c r="G1758" t="n">
        <v>3</v>
      </c>
      <c r="J1758" t="inlineStr">
        <is>
          <t>Moda</t>
        </is>
      </c>
      <c r="K1758" t="n">
        <v>2</v>
      </c>
      <c r="L1758" t="n">
        <v>2.18</v>
      </c>
      <c r="M1758" t="n">
        <v>0</v>
      </c>
      <c r="N1758" t="inlineStr">
        <is>
          <t>train</t>
        </is>
      </c>
      <c r="O1758">
        <f>HYPERLINK("2\1\marker_327_839513.png", "Ver Imagen")</f>
        <v/>
      </c>
      <c r="P1758">
        <f>HYPERLINK("SE\A-492\A-492__429.png", "Ver Imagen")</f>
        <v/>
      </c>
    </row>
    <row r="1759">
      <c r="A1759" t="n">
        <v>1192</v>
      </c>
      <c r="B1759" t="inlineStr">
        <is>
          <t>A-492__430</t>
        </is>
      </c>
      <c r="C1759" t="n">
        <v>37.3133829838</v>
      </c>
      <c r="D1759" t="n">
        <v>-7.06243680489</v>
      </c>
      <c r="E1759" t="n">
        <v>2</v>
      </c>
      <c r="F1759" t="n">
        <v>1</v>
      </c>
      <c r="G1759" t="n">
        <v>2</v>
      </c>
      <c r="J1759" t="inlineStr">
        <is>
          <t>Moda</t>
        </is>
      </c>
      <c r="K1759" t="n">
        <v>2</v>
      </c>
      <c r="L1759" t="n">
        <v>2.138</v>
      </c>
      <c r="M1759" t="n">
        <v>0</v>
      </c>
      <c r="N1759" t="inlineStr">
        <is>
          <t>val</t>
        </is>
      </c>
      <c r="O1759">
        <f>HYPERLINK("2\1\marker_887_839523.png", "Ver Imagen")</f>
        <v/>
      </c>
      <c r="P1759">
        <f>HYPERLINK("SE\A-492\A-492__430.png", "Ver Imagen")</f>
        <v/>
      </c>
    </row>
    <row r="1760">
      <c r="A1760" t="n">
        <v>1194</v>
      </c>
      <c r="B1760" t="inlineStr">
        <is>
          <t>A-492__440</t>
        </is>
      </c>
      <c r="C1760" t="n">
        <v>37.3144998353</v>
      </c>
      <c r="D1760" t="n">
        <v>-7.06452686514</v>
      </c>
      <c r="E1760" t="n">
        <v>1</v>
      </c>
      <c r="F1760" t="n">
        <v>2</v>
      </c>
      <c r="G1760" t="n">
        <v>2</v>
      </c>
      <c r="J1760" t="inlineStr">
        <is>
          <t>Moda</t>
        </is>
      </c>
      <c r="K1760" t="n">
        <v>2</v>
      </c>
      <c r="L1760" t="n">
        <v>1.78</v>
      </c>
      <c r="M1760" t="n">
        <v>0</v>
      </c>
      <c r="N1760" t="inlineStr">
        <is>
          <t>train</t>
        </is>
      </c>
      <c r="O1760">
        <f>HYPERLINK("2\1\marker_789_839701.png", "Ver Imagen")</f>
        <v/>
      </c>
      <c r="P1760">
        <f>HYPERLINK("SE\A-492\A-492__440.png", "Ver Imagen")</f>
        <v/>
      </c>
    </row>
    <row r="1761">
      <c r="A1761" t="n">
        <v>1196</v>
      </c>
      <c r="B1761" t="inlineStr">
        <is>
          <t>A-492__443</t>
        </is>
      </c>
      <c r="C1761" t="n">
        <v>37.314831772</v>
      </c>
      <c r="D1761" t="n">
        <v>-7.06514974183</v>
      </c>
      <c r="E1761" t="n">
        <v>1</v>
      </c>
      <c r="F1761" t="n">
        <v>2</v>
      </c>
      <c r="G1761" t="n">
        <v>2</v>
      </c>
      <c r="J1761" t="inlineStr">
        <is>
          <t>Moda</t>
        </is>
      </c>
      <c r="K1761" t="n">
        <v>2</v>
      </c>
      <c r="L1761" t="n">
        <v>2.014</v>
      </c>
      <c r="M1761" t="n">
        <v>0</v>
      </c>
      <c r="N1761" t="inlineStr">
        <is>
          <t>train</t>
        </is>
      </c>
      <c r="O1761">
        <f>HYPERLINK("2\1\marker_382_839732.png", "Ver Imagen")</f>
        <v/>
      </c>
      <c r="P1761">
        <f>HYPERLINK("SE\A-492\A-492__443.png", "Ver Imagen")</f>
        <v/>
      </c>
    </row>
    <row r="1762">
      <c r="A1762" t="n">
        <v>1197</v>
      </c>
      <c r="B1762" t="inlineStr">
        <is>
          <t>A-492__445</t>
        </is>
      </c>
      <c r="C1762" t="n">
        <v>37.3150304595</v>
      </c>
      <c r="D1762" t="n">
        <v>-7.06557736158</v>
      </c>
      <c r="E1762" t="n">
        <v>1</v>
      </c>
      <c r="F1762" t="n">
        <v>2</v>
      </c>
      <c r="G1762" t="n">
        <v>2</v>
      </c>
      <c r="J1762" t="inlineStr">
        <is>
          <t>Moda</t>
        </is>
      </c>
      <c r="K1762" t="n">
        <v>2</v>
      </c>
      <c r="L1762" t="n">
        <v>2.382</v>
      </c>
      <c r="M1762" t="n">
        <v>0</v>
      </c>
      <c r="N1762" t="inlineStr">
        <is>
          <t>train</t>
        </is>
      </c>
      <c r="O1762">
        <f>HYPERLINK("2\1\marker_815_839759.png", "Ver Imagen")</f>
        <v/>
      </c>
      <c r="P1762">
        <f>HYPERLINK("SE\A-492\A-492__445.png", "Ver Imagen")</f>
        <v/>
      </c>
    </row>
    <row r="1763">
      <c r="A1763" t="n">
        <v>1198</v>
      </c>
      <c r="B1763" t="inlineStr">
        <is>
          <t>A-492__471</t>
        </is>
      </c>
      <c r="C1763" t="n">
        <v>37.3176056544</v>
      </c>
      <c r="D1763" t="n">
        <v>-7.07110447043</v>
      </c>
      <c r="E1763" t="n">
        <v>2</v>
      </c>
      <c r="F1763" t="n">
        <v>2</v>
      </c>
      <c r="G1763" t="n">
        <v>3</v>
      </c>
      <c r="J1763" t="inlineStr">
        <is>
          <t>Moda</t>
        </is>
      </c>
      <c r="K1763" t="n">
        <v>2</v>
      </c>
      <c r="L1763" t="n">
        <v>2.303</v>
      </c>
      <c r="M1763" t="n">
        <v>0</v>
      </c>
      <c r="N1763" t="inlineStr">
        <is>
          <t>test</t>
        </is>
      </c>
      <c r="O1763">
        <f>HYPERLINK("2\1\marker_289_840054.png", "Ver Imagen")</f>
        <v/>
      </c>
      <c r="P1763">
        <f>HYPERLINK("SE\A-492\A-492__471.png", "Ver Imagen")</f>
        <v/>
      </c>
    </row>
    <row r="1764">
      <c r="A1764" t="n">
        <v>1199</v>
      </c>
      <c r="B1764" t="inlineStr">
        <is>
          <t>A-492__472</t>
        </is>
      </c>
      <c r="C1764" t="n">
        <v>37.3177794132</v>
      </c>
      <c r="D1764" t="n">
        <v>-7.07117567021</v>
      </c>
      <c r="E1764" t="n">
        <v>2</v>
      </c>
      <c r="F1764" t="n">
        <v>2</v>
      </c>
      <c r="G1764" t="n">
        <v>3</v>
      </c>
      <c r="J1764" t="inlineStr">
        <is>
          <t>Moda</t>
        </is>
      </c>
      <c r="K1764" t="n">
        <v>2</v>
      </c>
      <c r="L1764" t="n">
        <v>2.251</v>
      </c>
      <c r="M1764" t="n">
        <v>0</v>
      </c>
      <c r="N1764" t="inlineStr">
        <is>
          <t>train</t>
        </is>
      </c>
      <c r="O1764">
        <f>HYPERLINK("2\1\marker_748_840068.png", "Ver Imagen")</f>
        <v/>
      </c>
      <c r="P1764">
        <f>HYPERLINK("SE\A-492\A-492__472.png", "Ver Imagen")</f>
        <v/>
      </c>
    </row>
    <row r="1765">
      <c r="A1765" t="n">
        <v>1200</v>
      </c>
      <c r="B1765" t="inlineStr">
        <is>
          <t>A-495R__105</t>
        </is>
      </c>
      <c r="C1765" t="n">
        <v>37.4641037946</v>
      </c>
      <c r="D1765" t="n">
        <v>-7.11878678961</v>
      </c>
      <c r="E1765" t="n">
        <v>1</v>
      </c>
      <c r="F1765" t="n">
        <v>2</v>
      </c>
      <c r="G1765" t="n">
        <v>2</v>
      </c>
      <c r="J1765" t="inlineStr">
        <is>
          <t>Moda</t>
        </is>
      </c>
      <c r="K1765" t="n">
        <v>2</v>
      </c>
      <c r="L1765" t="n">
        <v>1.855</v>
      </c>
      <c r="M1765" t="n">
        <v>0</v>
      </c>
      <c r="N1765" t="inlineStr">
        <is>
          <t>train</t>
        </is>
      </c>
      <c r="O1765">
        <f>HYPERLINK("2\1\marker_858_895807.png", "Ver Imagen")</f>
        <v/>
      </c>
      <c r="P1765">
        <f>HYPERLINK("NE\A-495R\A-495R__105.png", "Ver Imagen")</f>
        <v/>
      </c>
    </row>
    <row r="1766">
      <c r="A1766" t="n">
        <v>1201</v>
      </c>
      <c r="B1766" t="inlineStr">
        <is>
          <t>A-495R__18</t>
        </is>
      </c>
      <c r="C1766" t="n">
        <v>37.4483401237</v>
      </c>
      <c r="D1766" t="n">
        <v>-7.10951200292</v>
      </c>
      <c r="E1766" t="n">
        <v>2</v>
      </c>
      <c r="F1766" t="n">
        <v>3</v>
      </c>
      <c r="G1766" t="n">
        <v>2</v>
      </c>
      <c r="J1766" t="inlineStr">
        <is>
          <t>Moda</t>
        </is>
      </c>
      <c r="K1766" t="n">
        <v>2</v>
      </c>
      <c r="L1766" t="n">
        <v>2.123</v>
      </c>
      <c r="M1766" t="n">
        <v>0</v>
      </c>
      <c r="N1766" t="inlineStr">
        <is>
          <t>train</t>
        </is>
      </c>
      <c r="O1766">
        <f>HYPERLINK("2\1\marker_392_936751.png", "Ver Imagen")</f>
        <v/>
      </c>
      <c r="P1766">
        <f>HYPERLINK("NE\A-495R\A-495R__18.png", "Ver Imagen")</f>
        <v/>
      </c>
    </row>
    <row r="1767">
      <c r="A1767" t="n">
        <v>1203</v>
      </c>
      <c r="B1767" t="inlineStr">
        <is>
          <t>A-497__22</t>
        </is>
      </c>
      <c r="C1767" t="n">
        <v>37.2674551124</v>
      </c>
      <c r="D1767" t="n">
        <v>-6.96124115537</v>
      </c>
      <c r="E1767" t="n">
        <v>2</v>
      </c>
      <c r="F1767" t="n">
        <v>2</v>
      </c>
      <c r="G1767" t="n">
        <v>1</v>
      </c>
      <c r="J1767" t="inlineStr">
        <is>
          <t>Moda</t>
        </is>
      </c>
      <c r="K1767" t="n">
        <v>2</v>
      </c>
      <c r="L1767" t="n">
        <v>2.494</v>
      </c>
      <c r="M1767" t="n">
        <v>0</v>
      </c>
      <c r="N1767" t="inlineStr">
        <is>
          <t>test</t>
        </is>
      </c>
      <c r="O1767">
        <f>HYPERLINK("2\1\marker_611_943752.png", "Ver Imagen")</f>
        <v/>
      </c>
      <c r="P1767">
        <f>HYPERLINK("SE\A-497\A-497__22.png", "Ver Imagen")</f>
        <v/>
      </c>
    </row>
    <row r="1768">
      <c r="A1768" t="n">
        <v>1204</v>
      </c>
      <c r="B1768" t="inlineStr">
        <is>
          <t>A-497__15</t>
        </is>
      </c>
      <c r="C1768" t="n">
        <v>37.2671955724</v>
      </c>
      <c r="D1768" t="n">
        <v>-6.95952422111</v>
      </c>
      <c r="E1768" t="n">
        <v>2</v>
      </c>
      <c r="F1768" t="n">
        <v>2</v>
      </c>
      <c r="G1768" t="n">
        <v>1</v>
      </c>
      <c r="J1768" t="inlineStr">
        <is>
          <t>Moda</t>
        </is>
      </c>
      <c r="K1768" t="n">
        <v>2</v>
      </c>
      <c r="L1768" t="n">
        <v>2.086</v>
      </c>
      <c r="M1768" t="n">
        <v>0</v>
      </c>
      <c r="N1768" t="inlineStr">
        <is>
          <t>train</t>
        </is>
      </c>
      <c r="O1768">
        <f>HYPERLINK("2\1\marker_990_943834.png", "Ver Imagen")</f>
        <v/>
      </c>
      <c r="P1768">
        <f>HYPERLINK("SE\A-497\A-497__15.png", "Ver Imagen")</f>
        <v/>
      </c>
    </row>
    <row r="1769">
      <c r="A1769" t="n">
        <v>1205</v>
      </c>
      <c r="B1769" t="inlineStr">
        <is>
          <t>A-497__14</t>
        </is>
      </c>
      <c r="C1769" t="n">
        <v>37.267150917</v>
      </c>
      <c r="D1769" t="n">
        <v>-6.959281333</v>
      </c>
      <c r="E1769" t="n">
        <v>2</v>
      </c>
      <c r="F1769" t="n">
        <v>2</v>
      </c>
      <c r="G1769" t="n">
        <v>1</v>
      </c>
      <c r="J1769" t="inlineStr">
        <is>
          <t>Moda</t>
        </is>
      </c>
      <c r="K1769" t="n">
        <v>2</v>
      </c>
      <c r="L1769" t="n">
        <v>1.71</v>
      </c>
      <c r="M1769" t="n">
        <v>0</v>
      </c>
      <c r="N1769" t="inlineStr">
        <is>
          <t>train</t>
        </is>
      </c>
      <c r="O1769">
        <f>HYPERLINK("2\1\marker_111_943903.png", "Ver Imagen")</f>
        <v/>
      </c>
      <c r="P1769">
        <f>HYPERLINK("SE\A-497\A-497__14.png", "Ver Imagen")</f>
        <v/>
      </c>
    </row>
    <row r="1770">
      <c r="A1770" t="n">
        <v>1206</v>
      </c>
      <c r="B1770" t="inlineStr">
        <is>
          <t>A-497__13</t>
        </is>
      </c>
      <c r="C1770" t="n">
        <v>37.267101991</v>
      </c>
      <c r="D1770" t="n">
        <v>-6.9590260472</v>
      </c>
      <c r="E1770" t="n">
        <v>1</v>
      </c>
      <c r="F1770" t="n">
        <v>2</v>
      </c>
      <c r="G1770" t="n">
        <v>2</v>
      </c>
      <c r="J1770" t="inlineStr">
        <is>
          <t>Moda</t>
        </is>
      </c>
      <c r="K1770" t="n">
        <v>2</v>
      </c>
      <c r="L1770" t="n">
        <v>2.012</v>
      </c>
      <c r="M1770" t="n">
        <v>0</v>
      </c>
      <c r="N1770" t="inlineStr">
        <is>
          <t>train</t>
        </is>
      </c>
      <c r="O1770">
        <f>HYPERLINK("2\1\marker_480_943913.png", "Ver Imagen")</f>
        <v/>
      </c>
      <c r="P1770">
        <f>HYPERLINK("SE\A-497\A-497__13.png", "Ver Imagen")</f>
        <v/>
      </c>
    </row>
    <row r="1771">
      <c r="A1771" t="n">
        <v>1207</v>
      </c>
      <c r="B1771" t="inlineStr">
        <is>
          <t>A-497__12</t>
        </is>
      </c>
      <c r="C1771" t="n">
        <v>37.2670499425</v>
      </c>
      <c r="D1771" t="n">
        <v>-6.95877885691</v>
      </c>
      <c r="E1771" t="n">
        <v>1</v>
      </c>
      <c r="F1771" t="n">
        <v>2</v>
      </c>
      <c r="G1771" t="n">
        <v>2</v>
      </c>
      <c r="J1771" t="inlineStr">
        <is>
          <t>Moda</t>
        </is>
      </c>
      <c r="K1771" t="n">
        <v>2</v>
      </c>
      <c r="L1771" t="n">
        <v>2.008</v>
      </c>
      <c r="M1771" t="n">
        <v>0</v>
      </c>
      <c r="N1771" t="inlineStr">
        <is>
          <t>train</t>
        </is>
      </c>
      <c r="O1771">
        <f>HYPERLINK("2\1\marker_743_943953.png", "Ver Imagen")</f>
        <v/>
      </c>
      <c r="P1771">
        <f>HYPERLINK("SE\A-497\A-497__12.png", "Ver Imagen")</f>
        <v/>
      </c>
    </row>
    <row r="1772">
      <c r="A1772" t="n">
        <v>1208</v>
      </c>
      <c r="B1772" t="inlineStr">
        <is>
          <t>A-5050__180</t>
        </is>
      </c>
      <c r="C1772" t="n">
        <v>37.1900729028</v>
      </c>
      <c r="D1772" t="n">
        <v>-6.98899874599</v>
      </c>
      <c r="E1772" t="n">
        <v>2</v>
      </c>
      <c r="F1772" t="n">
        <v>3</v>
      </c>
      <c r="G1772" t="n">
        <v>2</v>
      </c>
      <c r="J1772" t="inlineStr">
        <is>
          <t>Moda</t>
        </is>
      </c>
      <c r="K1772" t="n">
        <v>2</v>
      </c>
      <c r="L1772" t="n">
        <v>1.706</v>
      </c>
      <c r="M1772" t="n">
        <v>0</v>
      </c>
      <c r="N1772" t="inlineStr">
        <is>
          <t>train</t>
        </is>
      </c>
      <c r="O1772">
        <f>HYPERLINK("2\1\marker_801_944173.png", "Ver Imagen")</f>
        <v/>
      </c>
      <c r="P1772">
        <f>HYPERLINK("SE\A-5050\A-5050__180.png", "Ver Imagen")</f>
        <v/>
      </c>
    </row>
    <row r="1773">
      <c r="A1773" t="n">
        <v>1209</v>
      </c>
      <c r="B1773" t="inlineStr">
        <is>
          <t>A-5050__174</t>
        </is>
      </c>
      <c r="C1773" t="n">
        <v>37.1906866509</v>
      </c>
      <c r="D1773" t="n">
        <v>-6.99032814854</v>
      </c>
      <c r="E1773" t="n">
        <v>2</v>
      </c>
      <c r="F1773" t="n">
        <v>3</v>
      </c>
      <c r="G1773" t="n">
        <v>2</v>
      </c>
      <c r="J1773" t="inlineStr">
        <is>
          <t>Moda</t>
        </is>
      </c>
      <c r="K1773" t="n">
        <v>2</v>
      </c>
      <c r="L1773" t="n">
        <v>1.958</v>
      </c>
      <c r="M1773" t="n">
        <v>0</v>
      </c>
      <c r="N1773" t="inlineStr">
        <is>
          <t>train</t>
        </is>
      </c>
      <c r="O1773">
        <f>HYPERLINK("2\1\marker_676_944243.png", "Ver Imagen")</f>
        <v/>
      </c>
      <c r="P1773">
        <f>HYPERLINK("SE\A-5050\A-5050__174.png", "Ver Imagen")</f>
        <v/>
      </c>
    </row>
    <row r="1774">
      <c r="A1774" t="n">
        <v>1210</v>
      </c>
      <c r="B1774" t="inlineStr">
        <is>
          <t>A-5050__144</t>
        </is>
      </c>
      <c r="C1774" t="n">
        <v>37.1936729104</v>
      </c>
      <c r="D1774" t="n">
        <v>-6.99691784643</v>
      </c>
      <c r="E1774" t="n">
        <v>2</v>
      </c>
      <c r="F1774" t="n">
        <v>2</v>
      </c>
      <c r="G1774" t="n">
        <v>3</v>
      </c>
      <c r="J1774" t="inlineStr">
        <is>
          <t>Moda</t>
        </is>
      </c>
      <c r="K1774" t="n">
        <v>2</v>
      </c>
      <c r="L1774" t="n">
        <v>1.972</v>
      </c>
      <c r="M1774" t="n">
        <v>0</v>
      </c>
      <c r="N1774" t="inlineStr">
        <is>
          <t>test</t>
        </is>
      </c>
      <c r="O1774">
        <f>HYPERLINK("2\1\marker_994_945800.png", "Ver Imagen")</f>
        <v/>
      </c>
      <c r="P1774">
        <f>HYPERLINK("SE\A-5050\A-5050__144.png", "Ver Imagen")</f>
        <v/>
      </c>
    </row>
    <row r="1775">
      <c r="A1775" t="n">
        <v>1211</v>
      </c>
      <c r="B1775" t="inlineStr">
        <is>
          <t>A-5050__133</t>
        </is>
      </c>
      <c r="C1775" t="n">
        <v>37.1946972067</v>
      </c>
      <c r="D1775" t="n">
        <v>-6.99939806413</v>
      </c>
      <c r="E1775" t="n">
        <v>2</v>
      </c>
      <c r="F1775" t="n">
        <v>2</v>
      </c>
      <c r="G1775" t="n">
        <v>3</v>
      </c>
      <c r="J1775" t="inlineStr">
        <is>
          <t>Moda</t>
        </is>
      </c>
      <c r="K1775" t="n">
        <v>2</v>
      </c>
      <c r="L1775" t="n">
        <v>2.087</v>
      </c>
      <c r="M1775" t="n">
        <v>0</v>
      </c>
      <c r="N1775" t="inlineStr">
        <is>
          <t>val</t>
        </is>
      </c>
      <c r="O1775">
        <f>HYPERLINK("2\1\marker_412_945916.png", "Ver Imagen")</f>
        <v/>
      </c>
      <c r="P1775">
        <f>HYPERLINK("SE\A-5050\A-5050__133.png", "Ver Imagen")</f>
        <v/>
      </c>
    </row>
    <row r="1776">
      <c r="A1776" t="n">
        <v>1213</v>
      </c>
      <c r="B1776" t="inlineStr">
        <is>
          <t>A-5050__120</t>
        </is>
      </c>
      <c r="C1776" t="n">
        <v>37.1959037433</v>
      </c>
      <c r="D1776" t="n">
        <v>-7.00232959949</v>
      </c>
      <c r="E1776" t="n">
        <v>2</v>
      </c>
      <c r="F1776" t="n">
        <v>3</v>
      </c>
      <c r="G1776" t="n">
        <v>2</v>
      </c>
      <c r="J1776" t="inlineStr">
        <is>
          <t>Moda</t>
        </is>
      </c>
      <c r="K1776" t="n">
        <v>2</v>
      </c>
      <c r="L1776" t="n">
        <v>1.992</v>
      </c>
      <c r="M1776" t="n">
        <v>0</v>
      </c>
      <c r="N1776" t="inlineStr">
        <is>
          <t>val</t>
        </is>
      </c>
      <c r="O1776">
        <f>HYPERLINK("2\1\marker_259_946508.png", "Ver Imagen")</f>
        <v/>
      </c>
      <c r="P1776">
        <f>HYPERLINK("SE\A-5050\A-5050__120.png", "Ver Imagen")</f>
        <v/>
      </c>
    </row>
    <row r="1777">
      <c r="A1777" t="n">
        <v>1214</v>
      </c>
      <c r="B1777" t="inlineStr">
        <is>
          <t>A-5050__62</t>
        </is>
      </c>
      <c r="C1777" t="n">
        <v>37.2024263153</v>
      </c>
      <c r="D1777" t="n">
        <v>-7.01447486913</v>
      </c>
      <c r="E1777" t="n">
        <v>2</v>
      </c>
      <c r="F1777" t="n">
        <v>2</v>
      </c>
      <c r="G1777" t="n">
        <v>3</v>
      </c>
      <c r="J1777" t="inlineStr">
        <is>
          <t>Moda</t>
        </is>
      </c>
      <c r="K1777" t="n">
        <v>2</v>
      </c>
      <c r="L1777" t="n">
        <v>2.044</v>
      </c>
      <c r="M1777" t="n">
        <v>0</v>
      </c>
      <c r="N1777" t="inlineStr">
        <is>
          <t>train</t>
        </is>
      </c>
      <c r="O1777">
        <f>HYPERLINK("2\1\marker_786_949006.png", "Ver Imagen")</f>
        <v/>
      </c>
      <c r="P1777">
        <f>HYPERLINK("SE\A-5050\A-5050__62.png", "Ver Imagen")</f>
        <v/>
      </c>
    </row>
    <row r="1778">
      <c r="A1778" t="n">
        <v>1216</v>
      </c>
      <c r="B1778" t="inlineStr">
        <is>
          <t>A-5050__49</t>
        </is>
      </c>
      <c r="C1778" t="n">
        <v>37.2040779042</v>
      </c>
      <c r="D1778" t="n">
        <v>-7.01701232897</v>
      </c>
      <c r="E1778" t="n">
        <v>2</v>
      </c>
      <c r="F1778" t="n">
        <v>3</v>
      </c>
      <c r="G1778" t="n">
        <v>2</v>
      </c>
      <c r="J1778" t="inlineStr">
        <is>
          <t>Moda</t>
        </is>
      </c>
      <c r="K1778" t="n">
        <v>2</v>
      </c>
      <c r="L1778" t="n">
        <v>2.044</v>
      </c>
      <c r="M1778" t="n">
        <v>0</v>
      </c>
      <c r="N1778" t="inlineStr">
        <is>
          <t>train</t>
        </is>
      </c>
      <c r="O1778">
        <f>HYPERLINK("2\1\marker_883_949163.png", "Ver Imagen")</f>
        <v/>
      </c>
      <c r="P1778">
        <f>HYPERLINK("SE\A-5050\A-5050__49.png", "Ver Imagen")</f>
        <v/>
      </c>
    </row>
    <row r="1779">
      <c r="A1779" t="n">
        <v>1217</v>
      </c>
      <c r="B1779" t="inlineStr">
        <is>
          <t>A-5050__47</t>
        </is>
      </c>
      <c r="C1779" t="n">
        <v>37.2043638163</v>
      </c>
      <c r="D1779" t="n">
        <v>-7.01745455037</v>
      </c>
      <c r="E1779" t="n">
        <v>2</v>
      </c>
      <c r="F1779" t="n">
        <v>3</v>
      </c>
      <c r="G1779" t="n">
        <v>2</v>
      </c>
      <c r="J1779" t="inlineStr">
        <is>
          <t>Moda</t>
        </is>
      </c>
      <c r="K1779" t="n">
        <v>2</v>
      </c>
      <c r="L1779" t="n">
        <v>2.036</v>
      </c>
      <c r="M1779" t="n">
        <v>0</v>
      </c>
      <c r="N1779" t="inlineStr">
        <is>
          <t>train</t>
        </is>
      </c>
      <c r="O1779">
        <f>HYPERLINK("2\1\marker_126_949180.png", "Ver Imagen")</f>
        <v/>
      </c>
      <c r="P1779">
        <f>HYPERLINK("SE\A-5050\A-5050__47.png", "Ver Imagen")</f>
        <v/>
      </c>
    </row>
    <row r="1780">
      <c r="A1780" t="n">
        <v>1218</v>
      </c>
      <c r="B1780" t="inlineStr">
        <is>
          <t>A-5050__45</t>
        </is>
      </c>
      <c r="C1780" t="n">
        <v>37.2045861264</v>
      </c>
      <c r="D1780" t="n">
        <v>-7.01779713113</v>
      </c>
      <c r="E1780" t="n">
        <v>2</v>
      </c>
      <c r="F1780" t="n">
        <v>3</v>
      </c>
      <c r="G1780" t="n">
        <v>2</v>
      </c>
      <c r="J1780" t="inlineStr">
        <is>
          <t>Moda</t>
        </is>
      </c>
      <c r="K1780" t="n">
        <v>2</v>
      </c>
      <c r="L1780" t="n">
        <v>1.861</v>
      </c>
      <c r="M1780" t="n">
        <v>0</v>
      </c>
      <c r="N1780" t="inlineStr">
        <is>
          <t>train</t>
        </is>
      </c>
      <c r="O1780">
        <f>HYPERLINK("2\1\marker_232_949202.png", "Ver Imagen")</f>
        <v/>
      </c>
      <c r="P1780">
        <f>HYPERLINK("SE\A-5050\A-5050__45.png", "Ver Imagen")</f>
        <v/>
      </c>
    </row>
    <row r="1781">
      <c r="A1781" t="n">
        <v>1220</v>
      </c>
      <c r="B1781" t="inlineStr">
        <is>
          <t>A-5050__29</t>
        </is>
      </c>
      <c r="C1781" t="n">
        <v>37.2065732145</v>
      </c>
      <c r="D1781" t="n">
        <v>-7.02102173043</v>
      </c>
      <c r="E1781" t="n">
        <v>2</v>
      </c>
      <c r="F1781" t="n">
        <v>3</v>
      </c>
      <c r="G1781" t="n">
        <v>2</v>
      </c>
      <c r="J1781" t="inlineStr">
        <is>
          <t>Moda</t>
        </is>
      </c>
      <c r="K1781" t="n">
        <v>2</v>
      </c>
      <c r="L1781" t="n">
        <v>2.098</v>
      </c>
      <c r="M1781" t="n">
        <v>0</v>
      </c>
      <c r="N1781" t="inlineStr">
        <is>
          <t>train</t>
        </is>
      </c>
      <c r="O1781">
        <f>HYPERLINK("2\1\marker_997_949369.png", "Ver Imagen")</f>
        <v/>
      </c>
      <c r="P1781">
        <f>HYPERLINK("SE\A-5050\A-5050__29.png", "Ver Imagen")</f>
        <v/>
      </c>
    </row>
    <row r="1782">
      <c r="A1782" t="n">
        <v>1221</v>
      </c>
      <c r="B1782" t="inlineStr">
        <is>
          <t>A-5050__21</t>
        </is>
      </c>
      <c r="C1782" t="n">
        <v>37.2077389611</v>
      </c>
      <c r="D1782" t="n">
        <v>-7.02239407186</v>
      </c>
      <c r="E1782" t="n">
        <v>2</v>
      </c>
      <c r="F1782" t="n">
        <v>3</v>
      </c>
      <c r="G1782" t="n">
        <v>2</v>
      </c>
      <c r="J1782" t="inlineStr">
        <is>
          <t>Moda</t>
        </is>
      </c>
      <c r="K1782" t="n">
        <v>2</v>
      </c>
      <c r="L1782" t="n">
        <v>2.492</v>
      </c>
      <c r="M1782" t="n">
        <v>0</v>
      </c>
      <c r="N1782" t="inlineStr">
        <is>
          <t>train</t>
        </is>
      </c>
      <c r="O1782">
        <f>HYPERLINK("2\1\marker_413_949448.png", "Ver Imagen")</f>
        <v/>
      </c>
      <c r="P1782">
        <f>HYPERLINK("SE\A-5050\A-5050__21.png", "Ver Imagen")</f>
        <v/>
      </c>
    </row>
    <row r="1783">
      <c r="A1783" t="n">
        <v>1222</v>
      </c>
      <c r="B1783" t="inlineStr">
        <is>
          <t>A-5050__20</t>
        </is>
      </c>
      <c r="C1783" t="n">
        <v>37.207875505</v>
      </c>
      <c r="D1783" t="n">
        <v>-7.02254613412</v>
      </c>
      <c r="E1783" t="n">
        <v>2</v>
      </c>
      <c r="F1783" t="n">
        <v>2</v>
      </c>
      <c r="G1783" t="n">
        <v>3</v>
      </c>
      <c r="J1783" t="inlineStr">
        <is>
          <t>Moda</t>
        </is>
      </c>
      <c r="K1783" t="n">
        <v>2</v>
      </c>
      <c r="L1783" t="n">
        <v>2.379</v>
      </c>
      <c r="M1783" t="n">
        <v>0</v>
      </c>
      <c r="N1783" t="inlineStr">
        <is>
          <t>test</t>
        </is>
      </c>
      <c r="O1783">
        <f>HYPERLINK("2\1\marker_340_949456.png", "Ver Imagen")</f>
        <v/>
      </c>
      <c r="P1783">
        <f>HYPERLINK("SE\A-5050\A-5050__20.png", "Ver Imagen")</f>
        <v/>
      </c>
    </row>
    <row r="1784">
      <c r="A1784" t="n">
        <v>1223</v>
      </c>
      <c r="B1784" t="inlineStr">
        <is>
          <t>A-5050__7</t>
        </is>
      </c>
      <c r="C1784" t="n">
        <v>37.2086375908</v>
      </c>
      <c r="D1784" t="n">
        <v>-7.02567632508</v>
      </c>
      <c r="E1784" t="n">
        <v>2</v>
      </c>
      <c r="F1784" t="n">
        <v>2</v>
      </c>
      <c r="G1784" t="n">
        <v>3</v>
      </c>
      <c r="J1784" t="inlineStr">
        <is>
          <t>Moda</t>
        </is>
      </c>
      <c r="K1784" t="n">
        <v>2</v>
      </c>
      <c r="L1784" t="n">
        <v>2.417</v>
      </c>
      <c r="M1784" t="n">
        <v>0</v>
      </c>
      <c r="N1784" t="inlineStr">
        <is>
          <t>train</t>
        </is>
      </c>
      <c r="O1784">
        <f>HYPERLINK("2\1\marker_693_949638.png", "Ver Imagen")</f>
        <v/>
      </c>
      <c r="P1784">
        <f>HYPERLINK("SE\A-5050\A-5050__7.png", "Ver Imagen")</f>
        <v/>
      </c>
    </row>
    <row r="1785">
      <c r="A1785" t="n">
        <v>1224</v>
      </c>
      <c r="B1785" t="inlineStr">
        <is>
          <t>A-5050__6</t>
        </is>
      </c>
      <c r="C1785" t="n">
        <v>37.2086937077</v>
      </c>
      <c r="D1785" t="n">
        <v>-7.0258853719</v>
      </c>
      <c r="E1785" t="n">
        <v>2</v>
      </c>
      <c r="F1785" t="n">
        <v>3</v>
      </c>
      <c r="G1785" t="n">
        <v>2</v>
      </c>
      <c r="J1785" t="inlineStr">
        <is>
          <t>Moda</t>
        </is>
      </c>
      <c r="K1785" t="n">
        <v>2</v>
      </c>
      <c r="L1785" t="n">
        <v>2.245</v>
      </c>
      <c r="M1785" t="n">
        <v>0</v>
      </c>
      <c r="N1785" t="inlineStr">
        <is>
          <t>train</t>
        </is>
      </c>
      <c r="O1785">
        <f>HYPERLINK("2\1\marker_838_949647.png", "Ver Imagen")</f>
        <v/>
      </c>
      <c r="P1785">
        <f>HYPERLINK("SE\A-5050\A-5050__6.png", "Ver Imagen")</f>
        <v/>
      </c>
    </row>
    <row r="1786">
      <c r="A1786" t="n">
        <v>1225</v>
      </c>
      <c r="B1786" t="inlineStr">
        <is>
          <t>A-5050__5</t>
        </is>
      </c>
      <c r="C1786" t="n">
        <v>37.2087483097</v>
      </c>
      <c r="D1786" t="n">
        <v>-7.02612730571</v>
      </c>
      <c r="E1786" t="n">
        <v>2</v>
      </c>
      <c r="F1786" t="n">
        <v>3</v>
      </c>
      <c r="G1786" t="n">
        <v>2</v>
      </c>
      <c r="J1786" t="inlineStr">
        <is>
          <t>Moda</t>
        </is>
      </c>
      <c r="K1786" t="n">
        <v>2</v>
      </c>
      <c r="L1786" t="n">
        <v>2.307</v>
      </c>
      <c r="M1786" t="n">
        <v>0</v>
      </c>
      <c r="N1786" t="inlineStr">
        <is>
          <t>train</t>
        </is>
      </c>
      <c r="O1786">
        <f>HYPERLINK("2\1\marker_488_949659.png", "Ver Imagen")</f>
        <v/>
      </c>
      <c r="P1786">
        <f>HYPERLINK("SE\A-5050\A-5050__5.png", "Ver Imagen")</f>
        <v/>
      </c>
    </row>
    <row r="1787">
      <c r="A1787" t="n">
        <v>1226</v>
      </c>
      <c r="B1787" t="inlineStr">
        <is>
          <t>A-5052__8</t>
        </is>
      </c>
      <c r="C1787" t="n">
        <v>37.2183577969</v>
      </c>
      <c r="D1787" t="n">
        <v>-7.12393107164</v>
      </c>
      <c r="E1787" t="n">
        <v>1</v>
      </c>
      <c r="F1787" t="n">
        <v>2</v>
      </c>
      <c r="G1787" t="n">
        <v>2</v>
      </c>
      <c r="J1787" t="inlineStr">
        <is>
          <t>Moda</t>
        </is>
      </c>
      <c r="K1787" t="n">
        <v>2</v>
      </c>
      <c r="L1787" t="n">
        <v>1.755</v>
      </c>
      <c r="M1787" t="n">
        <v>0</v>
      </c>
      <c r="N1787" t="inlineStr">
        <is>
          <t>train</t>
        </is>
      </c>
      <c r="O1787">
        <f>HYPERLINK("2\1\marker_110_949959.png", "Ver Imagen")</f>
        <v/>
      </c>
      <c r="P1787">
        <f>HYPERLINK("SO\A-5052\A-5052__8.png", "Ver Imagen")</f>
        <v/>
      </c>
    </row>
    <row r="1788">
      <c r="A1788" t="n">
        <v>1227</v>
      </c>
      <c r="B1788" t="inlineStr">
        <is>
          <t>A-5052__31</t>
        </is>
      </c>
      <c r="C1788" t="n">
        <v>37.2180806379</v>
      </c>
      <c r="D1788" t="n">
        <v>-7.11827347117</v>
      </c>
      <c r="E1788" t="n">
        <v>2</v>
      </c>
      <c r="F1788" t="n">
        <v>3</v>
      </c>
      <c r="G1788" t="n">
        <v>2</v>
      </c>
      <c r="J1788" t="inlineStr">
        <is>
          <t>Moda</t>
        </is>
      </c>
      <c r="K1788" t="n">
        <v>2</v>
      </c>
      <c r="L1788" t="n">
        <v>1.989</v>
      </c>
      <c r="M1788" t="n">
        <v>0</v>
      </c>
      <c r="N1788" t="inlineStr">
        <is>
          <t>train</t>
        </is>
      </c>
      <c r="O1788">
        <f>HYPERLINK("2\1\marker_139_951639.png", "Ver Imagen")</f>
        <v/>
      </c>
      <c r="P1788">
        <f>HYPERLINK("SO\A-5052\A-5052__31.png", "Ver Imagen")</f>
        <v/>
      </c>
    </row>
    <row r="1789">
      <c r="A1789" t="n">
        <v>1228</v>
      </c>
      <c r="B1789" t="inlineStr">
        <is>
          <t>A-5052__32</t>
        </is>
      </c>
      <c r="C1789" t="n">
        <v>37.2180455936</v>
      </c>
      <c r="D1789" t="n">
        <v>-7.11801341409</v>
      </c>
      <c r="E1789" t="n">
        <v>2</v>
      </c>
      <c r="F1789" t="n">
        <v>1</v>
      </c>
      <c r="G1789" t="n">
        <v>2</v>
      </c>
      <c r="J1789" t="inlineStr">
        <is>
          <t>Moda</t>
        </is>
      </c>
      <c r="K1789" t="n">
        <v>2</v>
      </c>
      <c r="L1789" t="n">
        <v>1.783</v>
      </c>
      <c r="M1789" t="n">
        <v>0</v>
      </c>
      <c r="N1789" t="inlineStr">
        <is>
          <t>train</t>
        </is>
      </c>
      <c r="O1789">
        <f>HYPERLINK("2\1\marker_401_951649.png", "Ver Imagen")</f>
        <v/>
      </c>
      <c r="P1789">
        <f>HYPERLINK("SO\A-5052\A-5052__32.png", "Ver Imagen")</f>
        <v/>
      </c>
    </row>
    <row r="1790">
      <c r="A1790" t="n">
        <v>1229</v>
      </c>
      <c r="B1790" t="inlineStr">
        <is>
          <t>A-5052__33</t>
        </is>
      </c>
      <c r="C1790" t="n">
        <v>37.2180054158</v>
      </c>
      <c r="D1790" t="n">
        <v>-7.11773335406</v>
      </c>
      <c r="E1790" t="n">
        <v>1</v>
      </c>
      <c r="F1790" t="n">
        <v>2</v>
      </c>
      <c r="G1790" t="n">
        <v>2</v>
      </c>
      <c r="J1790" t="inlineStr">
        <is>
          <t>Moda</t>
        </is>
      </c>
      <c r="K1790" t="n">
        <v>2</v>
      </c>
      <c r="L1790" t="n">
        <v>1.948</v>
      </c>
      <c r="M1790" t="n">
        <v>0</v>
      </c>
      <c r="N1790" t="inlineStr">
        <is>
          <t>train</t>
        </is>
      </c>
      <c r="O1790">
        <f>HYPERLINK("2\1\marker_625_951662.png", "Ver Imagen")</f>
        <v/>
      </c>
      <c r="P1790">
        <f>HYPERLINK("SO\A-5052\A-5052__33.png", "Ver Imagen")</f>
        <v/>
      </c>
    </row>
    <row r="1791">
      <c r="A1791" t="n">
        <v>1230</v>
      </c>
      <c r="B1791" t="inlineStr">
        <is>
          <t>A-5052__35</t>
        </is>
      </c>
      <c r="C1791" t="n">
        <v>37.2179416501</v>
      </c>
      <c r="D1791" t="n">
        <v>-7.11726629442</v>
      </c>
      <c r="E1791" t="n">
        <v>1</v>
      </c>
      <c r="F1791" t="n">
        <v>2</v>
      </c>
      <c r="G1791" t="n">
        <v>2</v>
      </c>
      <c r="J1791" t="inlineStr">
        <is>
          <t>Moda</t>
        </is>
      </c>
      <c r="K1791" t="n">
        <v>2</v>
      </c>
      <c r="L1791" t="n">
        <v>2.007</v>
      </c>
      <c r="M1791" t="n">
        <v>0</v>
      </c>
      <c r="N1791" t="inlineStr">
        <is>
          <t>train</t>
        </is>
      </c>
      <c r="O1791">
        <f>HYPERLINK("2\1\marker_268_951819.png", "Ver Imagen")</f>
        <v/>
      </c>
      <c r="P1791">
        <f>HYPERLINK("SO\A-5052\A-5052__35.png", "Ver Imagen")</f>
        <v/>
      </c>
    </row>
    <row r="1792">
      <c r="A1792" t="n">
        <v>1231</v>
      </c>
      <c r="B1792" t="inlineStr">
        <is>
          <t>A-5052__59</t>
        </is>
      </c>
      <c r="C1792" t="n">
        <v>37.2176057011</v>
      </c>
      <c r="D1792" t="n">
        <v>-7.1111980431</v>
      </c>
      <c r="E1792" t="n">
        <v>2</v>
      </c>
      <c r="F1792" t="n">
        <v>1</v>
      </c>
      <c r="G1792" t="n">
        <v>2</v>
      </c>
      <c r="J1792" t="inlineStr">
        <is>
          <t>Moda</t>
        </is>
      </c>
      <c r="K1792" t="n">
        <v>2</v>
      </c>
      <c r="L1792" t="n">
        <v>1.929</v>
      </c>
      <c r="M1792" t="n">
        <v>0</v>
      </c>
      <c r="N1792" t="inlineStr">
        <is>
          <t>train</t>
        </is>
      </c>
      <c r="O1792">
        <f>HYPERLINK("2\1\marker_960_957030.png", "Ver Imagen")</f>
        <v/>
      </c>
      <c r="P1792">
        <f>HYPERLINK("SO\A-5052\A-5052__59.png", "Ver Imagen")</f>
        <v/>
      </c>
    </row>
    <row r="1793">
      <c r="A1793" t="n">
        <v>1232</v>
      </c>
      <c r="B1793" t="inlineStr">
        <is>
          <t>A-5052__60</t>
        </is>
      </c>
      <c r="C1793" t="n">
        <v>37.2176164475</v>
      </c>
      <c r="D1793" t="n">
        <v>-7.11097048219</v>
      </c>
      <c r="E1793" t="n">
        <v>2</v>
      </c>
      <c r="F1793" t="n">
        <v>1</v>
      </c>
      <c r="G1793" t="n">
        <v>2</v>
      </c>
      <c r="J1793" t="inlineStr">
        <is>
          <t>Moda</t>
        </is>
      </c>
      <c r="K1793" t="n">
        <v>2</v>
      </c>
      <c r="L1793" t="n">
        <v>2.053</v>
      </c>
      <c r="M1793" t="n">
        <v>0</v>
      </c>
      <c r="N1793" t="inlineStr">
        <is>
          <t>train</t>
        </is>
      </c>
      <c r="O1793">
        <f>HYPERLINK("2\1\marker_419_957051.png", "Ver Imagen")</f>
        <v/>
      </c>
      <c r="P1793">
        <f>HYPERLINK("SO\A-5052\A-5052__60.png", "Ver Imagen")</f>
        <v/>
      </c>
    </row>
    <row r="1794">
      <c r="A1794" t="n">
        <v>1233</v>
      </c>
      <c r="B1794" t="inlineStr">
        <is>
          <t>A-5052__81</t>
        </is>
      </c>
      <c r="C1794" t="n">
        <v>37.2171335646</v>
      </c>
      <c r="D1794" t="n">
        <v>-7.10570480353</v>
      </c>
      <c r="E1794" t="n">
        <v>2</v>
      </c>
      <c r="F1794" t="n">
        <v>1</v>
      </c>
      <c r="G1794" t="n">
        <v>2</v>
      </c>
      <c r="J1794" t="inlineStr">
        <is>
          <t>Moda</t>
        </is>
      </c>
      <c r="K1794" t="n">
        <v>2</v>
      </c>
      <c r="L1794" t="n">
        <v>1.975</v>
      </c>
      <c r="M1794" t="n">
        <v>0</v>
      </c>
      <c r="N1794" t="inlineStr">
        <is>
          <t>train</t>
        </is>
      </c>
      <c r="O1794">
        <f>HYPERLINK("2\1\marker_792_957298.png", "Ver Imagen")</f>
        <v/>
      </c>
      <c r="P1794">
        <f>HYPERLINK("SO\A-5052\A-5052__81.png", "Ver Imagen")</f>
        <v/>
      </c>
    </row>
    <row r="1795">
      <c r="A1795" t="n">
        <v>1234</v>
      </c>
      <c r="B1795" t="inlineStr">
        <is>
          <t>A-5052__84</t>
        </is>
      </c>
      <c r="C1795" t="n">
        <v>37.217058686</v>
      </c>
      <c r="D1795" t="n">
        <v>-7.10494483536</v>
      </c>
      <c r="E1795" t="n">
        <v>2</v>
      </c>
      <c r="F1795" t="n">
        <v>2</v>
      </c>
      <c r="G1795" t="n">
        <v>3</v>
      </c>
      <c r="J1795" t="inlineStr">
        <is>
          <t>Moda</t>
        </is>
      </c>
      <c r="K1795" t="n">
        <v>2</v>
      </c>
      <c r="L1795" t="n">
        <v>1.718</v>
      </c>
      <c r="M1795" t="n">
        <v>0</v>
      </c>
      <c r="N1795" t="inlineStr">
        <is>
          <t>train</t>
        </is>
      </c>
      <c r="O1795">
        <f>HYPERLINK("2\1\marker_137_957419.png", "Ver Imagen")</f>
        <v/>
      </c>
      <c r="P1795">
        <f>HYPERLINK("SO\A-5052\A-5052__84.png", "Ver Imagen")</f>
        <v/>
      </c>
    </row>
    <row r="1796">
      <c r="A1796" t="n">
        <v>1235</v>
      </c>
      <c r="B1796" t="inlineStr">
        <is>
          <t>A-5052__85</t>
        </is>
      </c>
      <c r="C1796" t="n">
        <v>37.2170363452</v>
      </c>
      <c r="D1796" t="n">
        <v>-7.10471045222</v>
      </c>
      <c r="E1796" t="n">
        <v>2</v>
      </c>
      <c r="F1796" t="n">
        <v>2</v>
      </c>
      <c r="G1796" t="n">
        <v>3</v>
      </c>
      <c r="J1796" t="inlineStr">
        <is>
          <t>Moda</t>
        </is>
      </c>
      <c r="K1796" t="n">
        <v>2</v>
      </c>
      <c r="L1796" t="n">
        <v>1.989</v>
      </c>
      <c r="M1796" t="n">
        <v>0</v>
      </c>
      <c r="N1796" t="inlineStr">
        <is>
          <t>train</t>
        </is>
      </c>
      <c r="O1796">
        <f>HYPERLINK("2\1\marker_913_957433.png", "Ver Imagen")</f>
        <v/>
      </c>
      <c r="P1796">
        <f>HYPERLINK("SO\A-5052\A-5052__85.png", "Ver Imagen")</f>
        <v/>
      </c>
    </row>
    <row r="1797">
      <c r="A1797" t="n">
        <v>1236</v>
      </c>
      <c r="B1797" t="inlineStr">
        <is>
          <t>A-5052__92</t>
        </is>
      </c>
      <c r="C1797" t="n">
        <v>37.2168835561</v>
      </c>
      <c r="D1797" t="n">
        <v>-7.10296094399</v>
      </c>
      <c r="E1797" t="n">
        <v>2</v>
      </c>
      <c r="F1797" t="n">
        <v>1</v>
      </c>
      <c r="G1797" t="n">
        <v>2</v>
      </c>
      <c r="J1797" t="inlineStr">
        <is>
          <t>Moda</t>
        </is>
      </c>
      <c r="K1797" t="n">
        <v>2</v>
      </c>
      <c r="L1797" t="n">
        <v>2.396</v>
      </c>
      <c r="M1797" t="n">
        <v>0</v>
      </c>
      <c r="N1797" t="inlineStr">
        <is>
          <t>train</t>
        </is>
      </c>
      <c r="O1797">
        <f>HYPERLINK("2\1\marker_504_957522.png", "Ver Imagen")</f>
        <v/>
      </c>
      <c r="P1797">
        <f>HYPERLINK("SE\A-5052\A-5052__92.png", "Ver Imagen")</f>
        <v/>
      </c>
    </row>
    <row r="1798">
      <c r="A1798" t="n">
        <v>1236</v>
      </c>
      <c r="B1798" t="inlineStr">
        <is>
          <t>A-5052__92</t>
        </is>
      </c>
      <c r="C1798" t="n">
        <v>37.2168835561</v>
      </c>
      <c r="D1798" t="n">
        <v>-7.10296094399</v>
      </c>
      <c r="E1798" t="n">
        <v>2</v>
      </c>
      <c r="F1798" t="n">
        <v>1</v>
      </c>
      <c r="G1798" t="n">
        <v>2</v>
      </c>
      <c r="J1798" t="inlineStr">
        <is>
          <t>Moda</t>
        </is>
      </c>
      <c r="K1798" t="n">
        <v>2</v>
      </c>
      <c r="L1798" t="n">
        <v>2.089</v>
      </c>
      <c r="M1798" t="n">
        <v>0</v>
      </c>
      <c r="N1798" t="inlineStr">
        <is>
          <t>train</t>
        </is>
      </c>
      <c r="O1798">
        <f>HYPERLINK("2\1\marker_504_957522.png", "Ver Imagen")</f>
        <v/>
      </c>
      <c r="P1798">
        <f>HYPERLINK("SO\A-5052\A-5052__92.png", "Ver Imagen")</f>
        <v/>
      </c>
    </row>
    <row r="1799">
      <c r="A1799" t="n">
        <v>1237</v>
      </c>
      <c r="B1799" t="inlineStr">
        <is>
          <t>A-5052__94</t>
        </is>
      </c>
      <c r="C1799" t="n">
        <v>37.2168396331</v>
      </c>
      <c r="D1799" t="n">
        <v>-7.10244936019</v>
      </c>
      <c r="E1799" t="n">
        <v>2</v>
      </c>
      <c r="F1799" t="n">
        <v>2</v>
      </c>
      <c r="G1799" t="n">
        <v>3</v>
      </c>
      <c r="J1799" t="inlineStr">
        <is>
          <t>Moda</t>
        </is>
      </c>
      <c r="K1799" t="n">
        <v>2</v>
      </c>
      <c r="L1799" t="n">
        <v>1.925</v>
      </c>
      <c r="M1799" t="n">
        <v>0</v>
      </c>
      <c r="N1799" t="inlineStr">
        <is>
          <t>val</t>
        </is>
      </c>
      <c r="O1799">
        <f>HYPERLINK("2\1\marker_491_957555.png", "Ver Imagen")</f>
        <v/>
      </c>
      <c r="P1799">
        <f>HYPERLINK("SO\A-5052\A-5052__94.png", "Ver Imagen")</f>
        <v/>
      </c>
    </row>
    <row r="1800">
      <c r="A1800" t="n">
        <v>1238</v>
      </c>
      <c r="B1800" t="inlineStr">
        <is>
          <t>A-5052__101</t>
        </is>
      </c>
      <c r="C1800" t="n">
        <v>37.2169178901</v>
      </c>
      <c r="D1800" t="n">
        <v>-7.1006978799</v>
      </c>
      <c r="E1800" t="n">
        <v>2</v>
      </c>
      <c r="F1800" t="n">
        <v>2</v>
      </c>
      <c r="G1800" t="n">
        <v>3</v>
      </c>
      <c r="J1800" t="inlineStr">
        <is>
          <t>Moda</t>
        </is>
      </c>
      <c r="K1800" t="n">
        <v>2</v>
      </c>
      <c r="L1800" t="n">
        <v>1.887</v>
      </c>
      <c r="M1800" t="n">
        <v>0</v>
      </c>
      <c r="N1800" t="inlineStr">
        <is>
          <t>train</t>
        </is>
      </c>
      <c r="O1800">
        <f>HYPERLINK("2\1\marker_127_957680.png", "Ver Imagen")</f>
        <v/>
      </c>
      <c r="P1800">
        <f>HYPERLINK("SE\A-5052\A-5052__101.png", "Ver Imagen")</f>
        <v/>
      </c>
    </row>
    <row r="1801">
      <c r="A1801" t="n">
        <v>1238</v>
      </c>
      <c r="B1801" t="inlineStr">
        <is>
          <t>A-5052__101</t>
        </is>
      </c>
      <c r="C1801" t="n">
        <v>37.2169178901</v>
      </c>
      <c r="D1801" t="n">
        <v>-7.1006978799</v>
      </c>
      <c r="E1801" t="n">
        <v>2</v>
      </c>
      <c r="F1801" t="n">
        <v>2</v>
      </c>
      <c r="G1801" t="n">
        <v>3</v>
      </c>
      <c r="J1801" t="inlineStr">
        <is>
          <t>Moda</t>
        </is>
      </c>
      <c r="K1801" t="n">
        <v>2</v>
      </c>
      <c r="L1801" t="n">
        <v>1.948</v>
      </c>
      <c r="M1801" t="n">
        <v>0</v>
      </c>
      <c r="N1801" t="inlineStr">
        <is>
          <t>train</t>
        </is>
      </c>
      <c r="O1801">
        <f>HYPERLINK("2\1\marker_127_957680.png", "Ver Imagen")</f>
        <v/>
      </c>
      <c r="P1801">
        <f>HYPERLINK("SO\A-5052\A-5052__101.png", "Ver Imagen")</f>
        <v/>
      </c>
    </row>
    <row r="1802">
      <c r="A1802" t="n">
        <v>1239</v>
      </c>
      <c r="B1802" t="inlineStr">
        <is>
          <t>A-5052__115</t>
        </is>
      </c>
      <c r="C1802" t="n">
        <v>37.2168056916</v>
      </c>
      <c r="D1802" t="n">
        <v>-7.09719746116</v>
      </c>
      <c r="E1802" t="n">
        <v>2</v>
      </c>
      <c r="F1802" t="n">
        <v>2</v>
      </c>
      <c r="G1802" t="n">
        <v>3</v>
      </c>
      <c r="J1802" t="inlineStr">
        <is>
          <t>Moda</t>
        </is>
      </c>
      <c r="K1802" t="n">
        <v>2</v>
      </c>
      <c r="L1802" t="n">
        <v>2.019</v>
      </c>
      <c r="M1802" t="n">
        <v>0</v>
      </c>
      <c r="N1802" t="inlineStr">
        <is>
          <t>test</t>
        </is>
      </c>
      <c r="O1802">
        <f>HYPERLINK("2\1\marker_565_957882.png", "Ver Imagen")</f>
        <v/>
      </c>
      <c r="P1802">
        <f>HYPERLINK("SE\A-5052\A-5052__115.png", "Ver Imagen")</f>
        <v/>
      </c>
    </row>
    <row r="1803">
      <c r="A1803" t="n">
        <v>1239</v>
      </c>
      <c r="B1803" t="inlineStr">
        <is>
          <t>A-5052__115</t>
        </is>
      </c>
      <c r="C1803" t="n">
        <v>37.2168056916</v>
      </c>
      <c r="D1803" t="n">
        <v>-7.09719746116</v>
      </c>
      <c r="E1803" t="n">
        <v>2</v>
      </c>
      <c r="F1803" t="n">
        <v>2</v>
      </c>
      <c r="G1803" t="n">
        <v>3</v>
      </c>
      <c r="J1803" t="inlineStr">
        <is>
          <t>Moda</t>
        </is>
      </c>
      <c r="K1803" t="n">
        <v>2</v>
      </c>
      <c r="L1803" t="n">
        <v>1.764</v>
      </c>
      <c r="M1803" t="n">
        <v>0</v>
      </c>
      <c r="N1803" t="inlineStr">
        <is>
          <t>test</t>
        </is>
      </c>
      <c r="O1803">
        <f>HYPERLINK("2\1\marker_565_957882.png", "Ver Imagen")</f>
        <v/>
      </c>
      <c r="P1803">
        <f>HYPERLINK("SO\A-5052\A-5052__115.png", "Ver Imagen")</f>
        <v/>
      </c>
    </row>
    <row r="1804">
      <c r="A1804" t="n">
        <v>1240</v>
      </c>
      <c r="B1804" t="inlineStr">
        <is>
          <t>A-5052__117</t>
        </is>
      </c>
      <c r="C1804" t="n">
        <v>37.2167566251</v>
      </c>
      <c r="D1804" t="n">
        <v>-7.09665399265</v>
      </c>
      <c r="E1804" t="n">
        <v>2</v>
      </c>
      <c r="F1804" t="n">
        <v>2</v>
      </c>
      <c r="G1804" t="n">
        <v>3</v>
      </c>
      <c r="J1804" t="inlineStr">
        <is>
          <t>Moda</t>
        </is>
      </c>
      <c r="K1804" t="n">
        <v>2</v>
      </c>
      <c r="L1804" t="n">
        <v>1.68</v>
      </c>
      <c r="M1804" t="n">
        <v>0</v>
      </c>
      <c r="N1804" t="inlineStr">
        <is>
          <t>train</t>
        </is>
      </c>
      <c r="O1804">
        <f>HYPERLINK("2\1\marker_839_957904.png", "Ver Imagen")</f>
        <v/>
      </c>
      <c r="P1804">
        <f>HYPERLINK("SE\A-5052\A-5052__117.png", "Ver Imagen")</f>
        <v/>
      </c>
    </row>
    <row r="1805">
      <c r="A1805" t="n">
        <v>1240</v>
      </c>
      <c r="B1805" t="inlineStr">
        <is>
          <t>A-5052__117</t>
        </is>
      </c>
      <c r="C1805" t="n">
        <v>37.2167566251</v>
      </c>
      <c r="D1805" t="n">
        <v>-7.09665399265</v>
      </c>
      <c r="E1805" t="n">
        <v>2</v>
      </c>
      <c r="F1805" t="n">
        <v>2</v>
      </c>
      <c r="G1805" t="n">
        <v>3</v>
      </c>
      <c r="J1805" t="inlineStr">
        <is>
          <t>Moda</t>
        </is>
      </c>
      <c r="K1805" t="n">
        <v>2</v>
      </c>
      <c r="L1805" t="n">
        <v>1.804</v>
      </c>
      <c r="M1805" t="n">
        <v>0</v>
      </c>
      <c r="N1805" t="inlineStr">
        <is>
          <t>train</t>
        </is>
      </c>
      <c r="O1805">
        <f>HYPERLINK("2\1\marker_839_957904.png", "Ver Imagen")</f>
        <v/>
      </c>
      <c r="P1805">
        <f>HYPERLINK("SO\A-5052\A-5052__117.png", "Ver Imagen")</f>
        <v/>
      </c>
    </row>
    <row r="1806">
      <c r="A1806" t="n">
        <v>1241</v>
      </c>
      <c r="B1806" t="inlineStr">
        <is>
          <t>A-5052__120</t>
        </is>
      </c>
      <c r="C1806" t="n">
        <v>37.2166811792</v>
      </c>
      <c r="D1806" t="n">
        <v>-7.09588498828</v>
      </c>
      <c r="E1806" t="n">
        <v>2</v>
      </c>
      <c r="F1806" t="n">
        <v>1</v>
      </c>
      <c r="G1806" t="n">
        <v>2</v>
      </c>
      <c r="J1806" t="inlineStr">
        <is>
          <t>Moda</t>
        </is>
      </c>
      <c r="K1806" t="n">
        <v>2</v>
      </c>
      <c r="L1806" t="n">
        <v>2.11</v>
      </c>
      <c r="M1806" t="n">
        <v>0</v>
      </c>
      <c r="N1806" t="inlineStr">
        <is>
          <t>train</t>
        </is>
      </c>
      <c r="O1806">
        <f>HYPERLINK("2\1\marker_558_957936.png", "Ver Imagen")</f>
        <v/>
      </c>
      <c r="P1806">
        <f>HYPERLINK("SE\A-5052\A-5052__120.png", "Ver Imagen")</f>
        <v/>
      </c>
    </row>
    <row r="1807">
      <c r="A1807" t="n">
        <v>1241</v>
      </c>
      <c r="B1807" t="inlineStr">
        <is>
          <t>A-5052__120</t>
        </is>
      </c>
      <c r="C1807" t="n">
        <v>37.2166811792</v>
      </c>
      <c r="D1807" t="n">
        <v>-7.09588498828</v>
      </c>
      <c r="E1807" t="n">
        <v>2</v>
      </c>
      <c r="F1807" t="n">
        <v>1</v>
      </c>
      <c r="G1807" t="n">
        <v>2</v>
      </c>
      <c r="J1807" t="inlineStr">
        <is>
          <t>Moda</t>
        </is>
      </c>
      <c r="K1807" t="n">
        <v>2</v>
      </c>
      <c r="L1807" t="n">
        <v>2.122</v>
      </c>
      <c r="M1807" t="n">
        <v>0</v>
      </c>
      <c r="N1807" t="inlineStr">
        <is>
          <t>train</t>
        </is>
      </c>
      <c r="O1807">
        <f>HYPERLINK("2\1\marker_558_957936.png", "Ver Imagen")</f>
        <v/>
      </c>
      <c r="P1807">
        <f>HYPERLINK("SO\A-5052\A-5052__120.png", "Ver Imagen")</f>
        <v/>
      </c>
    </row>
    <row r="1808">
      <c r="A1808" t="n">
        <v>1242</v>
      </c>
      <c r="B1808" t="inlineStr">
        <is>
          <t>A-5052__123</t>
        </is>
      </c>
      <c r="C1808" t="n">
        <v>37.2166207544</v>
      </c>
      <c r="D1808" t="n">
        <v>-7.09513188882</v>
      </c>
      <c r="E1808" t="n">
        <v>2</v>
      </c>
      <c r="F1808" t="n">
        <v>1</v>
      </c>
      <c r="G1808" t="n">
        <v>2</v>
      </c>
      <c r="J1808" t="inlineStr">
        <is>
          <t>Moda</t>
        </is>
      </c>
      <c r="K1808" t="n">
        <v>2</v>
      </c>
      <c r="L1808" t="n">
        <v>1.74</v>
      </c>
      <c r="M1808" t="n">
        <v>0</v>
      </c>
      <c r="N1808" t="inlineStr">
        <is>
          <t>train</t>
        </is>
      </c>
      <c r="O1808">
        <f>HYPERLINK("2\1\marker_781_957979.png", "Ver Imagen")</f>
        <v/>
      </c>
      <c r="P1808">
        <f>HYPERLINK("SE\A-5052\A-5052__123.png", "Ver Imagen")</f>
        <v/>
      </c>
    </row>
    <row r="1809">
      <c r="A1809" t="n">
        <v>1242</v>
      </c>
      <c r="B1809" t="inlineStr">
        <is>
          <t>A-5052__123</t>
        </is>
      </c>
      <c r="C1809" t="n">
        <v>37.2166207544</v>
      </c>
      <c r="D1809" t="n">
        <v>-7.09513188882</v>
      </c>
      <c r="E1809" t="n">
        <v>2</v>
      </c>
      <c r="F1809" t="n">
        <v>1</v>
      </c>
      <c r="G1809" t="n">
        <v>2</v>
      </c>
      <c r="J1809" t="inlineStr">
        <is>
          <t>Moda</t>
        </is>
      </c>
      <c r="K1809" t="n">
        <v>2</v>
      </c>
      <c r="L1809" t="n">
        <v>1.722</v>
      </c>
      <c r="M1809" t="n">
        <v>0</v>
      </c>
      <c r="N1809" t="inlineStr">
        <is>
          <t>train</t>
        </is>
      </c>
      <c r="O1809">
        <f>HYPERLINK("2\1\marker_781_957979.png", "Ver Imagen")</f>
        <v/>
      </c>
      <c r="P1809">
        <f>HYPERLINK("SO\A-5052\A-5052__123.png", "Ver Imagen")</f>
        <v/>
      </c>
    </row>
    <row r="1810">
      <c r="A1810" t="n">
        <v>1243</v>
      </c>
      <c r="B1810" t="inlineStr">
        <is>
          <t>A-5052__126</t>
        </is>
      </c>
      <c r="C1810" t="n">
        <v>37.2166322685</v>
      </c>
      <c r="D1810" t="n">
        <v>-7.09442290788</v>
      </c>
      <c r="E1810" t="n">
        <v>2</v>
      </c>
      <c r="F1810" t="n">
        <v>2</v>
      </c>
      <c r="G1810" t="n">
        <v>3</v>
      </c>
      <c r="J1810" t="inlineStr">
        <is>
          <t>Moda</t>
        </is>
      </c>
      <c r="K1810" t="n">
        <v>2</v>
      </c>
      <c r="L1810" t="n">
        <v>2.074</v>
      </c>
      <c r="M1810" t="n">
        <v>0</v>
      </c>
      <c r="N1810" t="inlineStr">
        <is>
          <t>train</t>
        </is>
      </c>
      <c r="O1810">
        <f>HYPERLINK("2\1\marker_194_958037.png", "Ver Imagen")</f>
        <v/>
      </c>
      <c r="P1810">
        <f>HYPERLINK("SE\A-5052\A-5052__126.png", "Ver Imagen")</f>
        <v/>
      </c>
    </row>
    <row r="1811">
      <c r="A1811" t="n">
        <v>1243</v>
      </c>
      <c r="B1811" t="inlineStr">
        <is>
          <t>A-5052__126</t>
        </is>
      </c>
      <c r="C1811" t="n">
        <v>37.2166322685</v>
      </c>
      <c r="D1811" t="n">
        <v>-7.09442290788</v>
      </c>
      <c r="E1811" t="n">
        <v>2</v>
      </c>
      <c r="F1811" t="n">
        <v>2</v>
      </c>
      <c r="G1811" t="n">
        <v>3</v>
      </c>
      <c r="J1811" t="inlineStr">
        <is>
          <t>Moda</t>
        </is>
      </c>
      <c r="K1811" t="n">
        <v>2</v>
      </c>
      <c r="L1811" t="n">
        <v>1.872</v>
      </c>
      <c r="M1811" t="n">
        <v>0</v>
      </c>
      <c r="N1811" t="inlineStr">
        <is>
          <t>train</t>
        </is>
      </c>
      <c r="O1811">
        <f>HYPERLINK("2\1\marker_194_958037.png", "Ver Imagen")</f>
        <v/>
      </c>
      <c r="P1811">
        <f>HYPERLINK("SO\A-5052\A-5052__126.png", "Ver Imagen")</f>
        <v/>
      </c>
    </row>
    <row r="1812">
      <c r="A1812" t="n">
        <v>1244</v>
      </c>
      <c r="B1812" t="inlineStr">
        <is>
          <t>A-5052__133</t>
        </is>
      </c>
      <c r="C1812" t="n">
        <v>37.2164967048</v>
      </c>
      <c r="D1812" t="n">
        <v>-7.09265282963</v>
      </c>
      <c r="E1812" t="n">
        <v>2</v>
      </c>
      <c r="F1812" t="n">
        <v>1</v>
      </c>
      <c r="G1812" t="n">
        <v>2</v>
      </c>
      <c r="J1812" t="inlineStr">
        <is>
          <t>Moda</t>
        </is>
      </c>
      <c r="K1812" t="n">
        <v>2</v>
      </c>
      <c r="L1812" t="n">
        <v>1.902</v>
      </c>
      <c r="M1812" t="n">
        <v>0</v>
      </c>
      <c r="N1812" t="inlineStr">
        <is>
          <t>train</t>
        </is>
      </c>
      <c r="O1812">
        <f>HYPERLINK("2\1\marker_112_958141.png", "Ver Imagen")</f>
        <v/>
      </c>
      <c r="P1812">
        <f>HYPERLINK("SE\A-5052\A-5052__133.png", "Ver Imagen")</f>
        <v/>
      </c>
    </row>
    <row r="1813">
      <c r="A1813" t="n">
        <v>1244</v>
      </c>
      <c r="B1813" t="inlineStr">
        <is>
          <t>A-5052__133</t>
        </is>
      </c>
      <c r="C1813" t="n">
        <v>37.2164967048</v>
      </c>
      <c r="D1813" t="n">
        <v>-7.09265282963</v>
      </c>
      <c r="E1813" t="n">
        <v>2</v>
      </c>
      <c r="F1813" t="n">
        <v>1</v>
      </c>
      <c r="G1813" t="n">
        <v>2</v>
      </c>
      <c r="J1813" t="inlineStr">
        <is>
          <t>Moda</t>
        </is>
      </c>
      <c r="K1813" t="n">
        <v>2</v>
      </c>
      <c r="L1813" t="n">
        <v>1.665</v>
      </c>
      <c r="M1813" t="n">
        <v>0</v>
      </c>
      <c r="N1813" t="inlineStr">
        <is>
          <t>train</t>
        </is>
      </c>
      <c r="O1813">
        <f>HYPERLINK("2\1\marker_112_958141.png", "Ver Imagen")</f>
        <v/>
      </c>
      <c r="P1813">
        <f>HYPERLINK("SO\A-5052\A-5052__133.png", "Ver Imagen")</f>
        <v/>
      </c>
    </row>
    <row r="1814">
      <c r="A1814" t="n">
        <v>1245</v>
      </c>
      <c r="B1814" t="inlineStr">
        <is>
          <t>A-5052__134</t>
        </is>
      </c>
      <c r="C1814" t="n">
        <v>37.2164552044</v>
      </c>
      <c r="D1814" t="n">
        <v>-7.09239136911</v>
      </c>
      <c r="E1814" t="n">
        <v>2</v>
      </c>
      <c r="F1814" t="n">
        <v>1</v>
      </c>
      <c r="G1814" t="n">
        <v>2</v>
      </c>
      <c r="J1814" t="inlineStr">
        <is>
          <t>Moda</t>
        </is>
      </c>
      <c r="K1814" t="n">
        <v>2</v>
      </c>
      <c r="L1814" t="n">
        <v>1.839</v>
      </c>
      <c r="M1814" t="n">
        <v>0</v>
      </c>
      <c r="N1814" t="inlineStr">
        <is>
          <t>train</t>
        </is>
      </c>
      <c r="O1814">
        <f>HYPERLINK("2\1\marker_281_958153.png", "Ver Imagen")</f>
        <v/>
      </c>
      <c r="P1814">
        <f>HYPERLINK("SE\A-5052\A-5052__134.png", "Ver Imagen")</f>
        <v/>
      </c>
    </row>
    <row r="1815">
      <c r="A1815" t="n">
        <v>1245</v>
      </c>
      <c r="B1815" t="inlineStr">
        <is>
          <t>A-5052__134</t>
        </is>
      </c>
      <c r="C1815" t="n">
        <v>37.2164552044</v>
      </c>
      <c r="D1815" t="n">
        <v>-7.09239136911</v>
      </c>
      <c r="E1815" t="n">
        <v>2</v>
      </c>
      <c r="F1815" t="n">
        <v>1</v>
      </c>
      <c r="G1815" t="n">
        <v>2</v>
      </c>
      <c r="J1815" t="inlineStr">
        <is>
          <t>Moda</t>
        </is>
      </c>
      <c r="K1815" t="n">
        <v>2</v>
      </c>
      <c r="L1815" t="n">
        <v>1.834</v>
      </c>
      <c r="M1815" t="n">
        <v>0</v>
      </c>
      <c r="N1815" t="inlineStr">
        <is>
          <t>train</t>
        </is>
      </c>
      <c r="O1815">
        <f>HYPERLINK("2\1\marker_281_958153.png", "Ver Imagen")</f>
        <v/>
      </c>
      <c r="P1815">
        <f>HYPERLINK("SO\A-5052\A-5052__134.png", "Ver Imagen")</f>
        <v/>
      </c>
    </row>
    <row r="1816">
      <c r="A1816" t="n">
        <v>1246</v>
      </c>
      <c r="B1816" t="inlineStr">
        <is>
          <t>A-5052__135</t>
        </is>
      </c>
      <c r="C1816" t="n">
        <v>37.2164189509</v>
      </c>
      <c r="D1816" t="n">
        <v>-7.09216288338</v>
      </c>
      <c r="E1816" t="n">
        <v>2</v>
      </c>
      <c r="F1816" t="n">
        <v>2</v>
      </c>
      <c r="G1816" t="n">
        <v>3</v>
      </c>
      <c r="J1816" t="inlineStr">
        <is>
          <t>Moda</t>
        </is>
      </c>
      <c r="K1816" t="n">
        <v>2</v>
      </c>
      <c r="L1816" t="n">
        <v>1.636</v>
      </c>
      <c r="M1816" t="n">
        <v>0</v>
      </c>
      <c r="N1816" t="inlineStr">
        <is>
          <t>train</t>
        </is>
      </c>
      <c r="O1816">
        <f>HYPERLINK("2\1\marker_269_958163.png", "Ver Imagen")</f>
        <v/>
      </c>
      <c r="P1816">
        <f>HYPERLINK("SE\A-5052\A-5052__135.png", "Ver Imagen")</f>
        <v/>
      </c>
    </row>
    <row r="1817">
      <c r="A1817" t="n">
        <v>1246</v>
      </c>
      <c r="B1817" t="inlineStr">
        <is>
          <t>A-5052__135</t>
        </is>
      </c>
      <c r="C1817" t="n">
        <v>37.2164189509</v>
      </c>
      <c r="D1817" t="n">
        <v>-7.09216288338</v>
      </c>
      <c r="E1817" t="n">
        <v>2</v>
      </c>
      <c r="F1817" t="n">
        <v>2</v>
      </c>
      <c r="G1817" t="n">
        <v>3</v>
      </c>
      <c r="J1817" t="inlineStr">
        <is>
          <t>Moda</t>
        </is>
      </c>
      <c r="K1817" t="n">
        <v>2</v>
      </c>
      <c r="L1817" t="n">
        <v>2.085</v>
      </c>
      <c r="M1817" t="n">
        <v>0</v>
      </c>
      <c r="N1817" t="inlineStr">
        <is>
          <t>train</t>
        </is>
      </c>
      <c r="O1817">
        <f>HYPERLINK("2\1\marker_269_958163.png", "Ver Imagen")</f>
        <v/>
      </c>
      <c r="P1817">
        <f>HYPERLINK("SO\A-5052\A-5052__135.png", "Ver Imagen")</f>
        <v/>
      </c>
    </row>
    <row r="1818">
      <c r="A1818" t="n">
        <v>1247</v>
      </c>
      <c r="B1818" t="inlineStr">
        <is>
          <t>A-5052__140</t>
        </is>
      </c>
      <c r="C1818" t="n">
        <v>37.2162170367</v>
      </c>
      <c r="D1818" t="n">
        <v>-7.09089442645</v>
      </c>
      <c r="E1818" t="n">
        <v>1</v>
      </c>
      <c r="F1818" t="n">
        <v>2</v>
      </c>
      <c r="G1818" t="n">
        <v>2</v>
      </c>
      <c r="J1818" t="inlineStr">
        <is>
          <t>Moda</t>
        </is>
      </c>
      <c r="K1818" t="n">
        <v>2</v>
      </c>
      <c r="L1818" t="n">
        <v>2.038</v>
      </c>
      <c r="M1818" t="n">
        <v>0</v>
      </c>
      <c r="N1818" t="inlineStr">
        <is>
          <t>val</t>
        </is>
      </c>
      <c r="O1818">
        <f>HYPERLINK("2\1\marker_623_958364.png", "Ver Imagen")</f>
        <v/>
      </c>
      <c r="P1818">
        <f>HYPERLINK("SE\A-5052\A-5052__140.png", "Ver Imagen")</f>
        <v/>
      </c>
    </row>
    <row r="1819">
      <c r="A1819" t="n">
        <v>1248</v>
      </c>
      <c r="B1819" t="inlineStr">
        <is>
          <t>A-5052__143</t>
        </is>
      </c>
      <c r="C1819" t="n">
        <v>37.216129753</v>
      </c>
      <c r="D1819" t="n">
        <v>-7.09018212878</v>
      </c>
      <c r="E1819" t="n">
        <v>1</v>
      </c>
      <c r="F1819" t="n">
        <v>2</v>
      </c>
      <c r="G1819" t="n">
        <v>2</v>
      </c>
      <c r="J1819" t="inlineStr">
        <is>
          <t>Moda</t>
        </is>
      </c>
      <c r="K1819" t="n">
        <v>2</v>
      </c>
      <c r="L1819" t="n">
        <v>2.186</v>
      </c>
      <c r="M1819" t="n">
        <v>0</v>
      </c>
      <c r="N1819" t="inlineStr">
        <is>
          <t>train</t>
        </is>
      </c>
      <c r="O1819">
        <f>HYPERLINK("2\1\marker_884_958396.png", "Ver Imagen")</f>
        <v/>
      </c>
      <c r="P1819">
        <f>HYPERLINK("SE\A-5052\A-5052__143.png", "Ver Imagen")</f>
        <v/>
      </c>
    </row>
    <row r="1820">
      <c r="A1820" t="n">
        <v>1248</v>
      </c>
      <c r="B1820" t="inlineStr">
        <is>
          <t>A-5052__143</t>
        </is>
      </c>
      <c r="C1820" t="n">
        <v>37.216129753</v>
      </c>
      <c r="D1820" t="n">
        <v>-7.09018212878</v>
      </c>
      <c r="E1820" t="n">
        <v>1</v>
      </c>
      <c r="F1820" t="n">
        <v>2</v>
      </c>
      <c r="G1820" t="n">
        <v>2</v>
      </c>
      <c r="J1820" t="inlineStr">
        <is>
          <t>Moda</t>
        </is>
      </c>
      <c r="K1820" t="n">
        <v>2</v>
      </c>
      <c r="L1820" t="n">
        <v>1.703</v>
      </c>
      <c r="M1820" t="n">
        <v>0</v>
      </c>
      <c r="N1820" t="inlineStr">
        <is>
          <t>train</t>
        </is>
      </c>
      <c r="O1820">
        <f>HYPERLINK("2\1\marker_884_958396.png", "Ver Imagen")</f>
        <v/>
      </c>
      <c r="P1820">
        <f>HYPERLINK("SO\A-5052\A-5052__143.png", "Ver Imagen")</f>
        <v/>
      </c>
    </row>
    <row r="1821">
      <c r="A1821" t="n">
        <v>1249</v>
      </c>
      <c r="B1821" t="inlineStr">
        <is>
          <t>A-5052__144</t>
        </is>
      </c>
      <c r="C1821" t="n">
        <v>37.2161043409</v>
      </c>
      <c r="D1821" t="n">
        <v>-7.08990385264</v>
      </c>
      <c r="E1821" t="n">
        <v>2</v>
      </c>
      <c r="F1821" t="n">
        <v>2</v>
      </c>
      <c r="G1821" t="n">
        <v>3</v>
      </c>
      <c r="J1821" t="inlineStr">
        <is>
          <t>Moda</t>
        </is>
      </c>
      <c r="K1821" t="n">
        <v>2</v>
      </c>
      <c r="L1821" t="n">
        <v>2.124</v>
      </c>
      <c r="M1821" t="n">
        <v>0</v>
      </c>
      <c r="N1821" t="inlineStr">
        <is>
          <t>test</t>
        </is>
      </c>
      <c r="O1821">
        <f>HYPERLINK("2\1\marker_445_958407.png", "Ver Imagen")</f>
        <v/>
      </c>
      <c r="P1821">
        <f>HYPERLINK("SO\A-5052\A-5052__144.png", "Ver Imagen")</f>
        <v/>
      </c>
    </row>
    <row r="1822">
      <c r="A1822" t="n">
        <v>1250</v>
      </c>
      <c r="B1822" t="inlineStr">
        <is>
          <t>A-5052__155</t>
        </is>
      </c>
      <c r="C1822" t="n">
        <v>37.2160191299</v>
      </c>
      <c r="D1822" t="n">
        <v>-7.08711500077</v>
      </c>
      <c r="E1822" t="n">
        <v>2</v>
      </c>
      <c r="F1822" t="n">
        <v>1</v>
      </c>
      <c r="G1822" t="n">
        <v>2</v>
      </c>
      <c r="J1822" t="inlineStr">
        <is>
          <t>Moda</t>
        </is>
      </c>
      <c r="K1822" t="n">
        <v>2</v>
      </c>
      <c r="L1822" t="n">
        <v>1.886</v>
      </c>
      <c r="M1822" t="n">
        <v>0</v>
      </c>
      <c r="N1822" t="inlineStr">
        <is>
          <t>test</t>
        </is>
      </c>
      <c r="O1822">
        <f>HYPERLINK("2\1\marker_149_958606.png", "Ver Imagen")</f>
        <v/>
      </c>
      <c r="P1822">
        <f>HYPERLINK("SE\A-5052\A-5052__155.png", "Ver Imagen")</f>
        <v/>
      </c>
    </row>
    <row r="1823">
      <c r="A1823" t="n">
        <v>1250</v>
      </c>
      <c r="B1823" t="inlineStr">
        <is>
          <t>A-5052__155</t>
        </is>
      </c>
      <c r="C1823" t="n">
        <v>37.2160191299</v>
      </c>
      <c r="D1823" t="n">
        <v>-7.08711500077</v>
      </c>
      <c r="E1823" t="n">
        <v>2</v>
      </c>
      <c r="F1823" t="n">
        <v>1</v>
      </c>
      <c r="G1823" t="n">
        <v>2</v>
      </c>
      <c r="J1823" t="inlineStr">
        <is>
          <t>Moda</t>
        </is>
      </c>
      <c r="K1823" t="n">
        <v>2</v>
      </c>
      <c r="L1823" t="n">
        <v>2.214</v>
      </c>
      <c r="M1823" t="n">
        <v>0</v>
      </c>
      <c r="N1823" t="inlineStr">
        <is>
          <t>test</t>
        </is>
      </c>
      <c r="O1823">
        <f>HYPERLINK("2\1\marker_149_958606.png", "Ver Imagen")</f>
        <v/>
      </c>
      <c r="P1823">
        <f>HYPERLINK("SO\A-5052\A-5052__155.png", "Ver Imagen")</f>
        <v/>
      </c>
    </row>
    <row r="1824">
      <c r="A1824" t="n">
        <v>1251</v>
      </c>
      <c r="B1824" t="inlineStr">
        <is>
          <t>A-5052__162</t>
        </is>
      </c>
      <c r="C1824" t="n">
        <v>37.2161438729</v>
      </c>
      <c r="D1824" t="n">
        <v>-7.0853776599</v>
      </c>
      <c r="E1824" t="n">
        <v>1</v>
      </c>
      <c r="F1824" t="n">
        <v>2</v>
      </c>
      <c r="G1824" t="n">
        <v>2</v>
      </c>
      <c r="J1824" t="inlineStr">
        <is>
          <t>Moda</t>
        </is>
      </c>
      <c r="K1824" t="n">
        <v>2</v>
      </c>
      <c r="L1824" t="n">
        <v>1.988</v>
      </c>
      <c r="M1824" t="n">
        <v>0</v>
      </c>
      <c r="N1824" t="inlineStr">
        <is>
          <t>train</t>
        </is>
      </c>
      <c r="O1824">
        <f>HYPERLINK("2\1\marker_916_958701.png", "Ver Imagen")</f>
        <v/>
      </c>
      <c r="P1824">
        <f>HYPERLINK("SE\A-5052\A-5052__162.png", "Ver Imagen")</f>
        <v/>
      </c>
    </row>
    <row r="1825">
      <c r="A1825" t="n">
        <v>1251</v>
      </c>
      <c r="B1825" t="inlineStr">
        <is>
          <t>A-5052__162</t>
        </is>
      </c>
      <c r="C1825" t="n">
        <v>37.2161438729</v>
      </c>
      <c r="D1825" t="n">
        <v>-7.0853776599</v>
      </c>
      <c r="E1825" t="n">
        <v>1</v>
      </c>
      <c r="F1825" t="n">
        <v>2</v>
      </c>
      <c r="G1825" t="n">
        <v>2</v>
      </c>
      <c r="J1825" t="inlineStr">
        <is>
          <t>Moda</t>
        </is>
      </c>
      <c r="K1825" t="n">
        <v>2</v>
      </c>
      <c r="L1825" t="n">
        <v>1.802</v>
      </c>
      <c r="M1825" t="n">
        <v>0</v>
      </c>
      <c r="N1825" t="inlineStr">
        <is>
          <t>train</t>
        </is>
      </c>
      <c r="O1825">
        <f>HYPERLINK("2\1\marker_916_958701.png", "Ver Imagen")</f>
        <v/>
      </c>
      <c r="P1825">
        <f>HYPERLINK("SO\A-5052\A-5052__162.png", "Ver Imagen")</f>
        <v/>
      </c>
    </row>
    <row r="1826">
      <c r="A1826" t="n">
        <v>1252</v>
      </c>
      <c r="B1826" t="inlineStr">
        <is>
          <t>A-5052__187</t>
        </is>
      </c>
      <c r="C1826" t="n">
        <v>37.2149362276</v>
      </c>
      <c r="D1826" t="n">
        <v>-7.07929442874</v>
      </c>
      <c r="E1826" t="n">
        <v>2</v>
      </c>
      <c r="F1826" t="n">
        <v>2</v>
      </c>
      <c r="G1826" t="n">
        <v>3</v>
      </c>
      <c r="J1826" t="inlineStr">
        <is>
          <t>Moda</t>
        </is>
      </c>
      <c r="K1826" t="n">
        <v>2</v>
      </c>
      <c r="L1826" t="n">
        <v>2.068</v>
      </c>
      <c r="M1826" t="n">
        <v>0</v>
      </c>
      <c r="N1826" t="inlineStr">
        <is>
          <t>test</t>
        </is>
      </c>
      <c r="O1826">
        <f>HYPERLINK("2\1\marker_469_959280.png", "Ver Imagen")</f>
        <v/>
      </c>
      <c r="P1826">
        <f>HYPERLINK("SE\A-5052\A-5052__187.png", "Ver Imagen")</f>
        <v/>
      </c>
    </row>
    <row r="1827">
      <c r="A1827" t="n">
        <v>1252</v>
      </c>
      <c r="B1827" t="inlineStr">
        <is>
          <t>A-5052__187</t>
        </is>
      </c>
      <c r="C1827" t="n">
        <v>37.2149362276</v>
      </c>
      <c r="D1827" t="n">
        <v>-7.07929442874</v>
      </c>
      <c r="E1827" t="n">
        <v>2</v>
      </c>
      <c r="F1827" t="n">
        <v>2</v>
      </c>
      <c r="G1827" t="n">
        <v>3</v>
      </c>
      <c r="J1827" t="inlineStr">
        <is>
          <t>Moda</t>
        </is>
      </c>
      <c r="K1827" t="n">
        <v>2</v>
      </c>
      <c r="L1827" t="n">
        <v>1.943</v>
      </c>
      <c r="M1827" t="n">
        <v>0</v>
      </c>
      <c r="N1827" t="inlineStr">
        <is>
          <t>test</t>
        </is>
      </c>
      <c r="O1827">
        <f>HYPERLINK("2\1\marker_469_959280.png", "Ver Imagen")</f>
        <v/>
      </c>
      <c r="P1827">
        <f>HYPERLINK("SO\A-5052\A-5052__187.png", "Ver Imagen")</f>
        <v/>
      </c>
    </row>
    <row r="1828">
      <c r="A1828" t="n">
        <v>1253</v>
      </c>
      <c r="B1828" t="inlineStr">
        <is>
          <t>A-5052__188</t>
        </is>
      </c>
      <c r="C1828" t="n">
        <v>37.2148933622</v>
      </c>
      <c r="D1828" t="n">
        <v>-7.07908270903</v>
      </c>
      <c r="E1828" t="n">
        <v>2</v>
      </c>
      <c r="F1828" t="n">
        <v>1</v>
      </c>
      <c r="G1828" t="n">
        <v>2</v>
      </c>
      <c r="J1828" t="inlineStr">
        <is>
          <t>Moda</t>
        </is>
      </c>
      <c r="K1828" t="n">
        <v>2</v>
      </c>
      <c r="L1828" t="n">
        <v>2.071</v>
      </c>
      <c r="M1828" t="n">
        <v>0</v>
      </c>
      <c r="N1828" t="inlineStr">
        <is>
          <t>val</t>
        </is>
      </c>
      <c r="O1828">
        <f>HYPERLINK("2\1\marker_512_959288.png", "Ver Imagen")</f>
        <v/>
      </c>
      <c r="P1828">
        <f>HYPERLINK("SE\A-5052\A-5052__188.png", "Ver Imagen")</f>
        <v/>
      </c>
    </row>
    <row r="1829">
      <c r="A1829" t="n">
        <v>1253</v>
      </c>
      <c r="B1829" t="inlineStr">
        <is>
          <t>A-5052__188</t>
        </is>
      </c>
      <c r="C1829" t="n">
        <v>37.2148933622</v>
      </c>
      <c r="D1829" t="n">
        <v>-7.07908270903</v>
      </c>
      <c r="E1829" t="n">
        <v>2</v>
      </c>
      <c r="F1829" t="n">
        <v>1</v>
      </c>
      <c r="G1829" t="n">
        <v>2</v>
      </c>
      <c r="J1829" t="inlineStr">
        <is>
          <t>Moda</t>
        </is>
      </c>
      <c r="K1829" t="n">
        <v>2</v>
      </c>
      <c r="L1829" t="n">
        <v>1.619</v>
      </c>
      <c r="M1829" t="n">
        <v>0</v>
      </c>
      <c r="N1829" t="inlineStr">
        <is>
          <t>val</t>
        </is>
      </c>
      <c r="O1829">
        <f>HYPERLINK("2\1\marker_512_959288.png", "Ver Imagen")</f>
        <v/>
      </c>
      <c r="P1829">
        <f>HYPERLINK("SO\A-5052\A-5052__188.png", "Ver Imagen")</f>
        <v/>
      </c>
    </row>
    <row r="1830">
      <c r="A1830" t="n">
        <v>1254</v>
      </c>
      <c r="B1830" t="inlineStr">
        <is>
          <t>A-5052__191</t>
        </is>
      </c>
      <c r="C1830" t="n">
        <v>37.2147448452</v>
      </c>
      <c r="D1830" t="n">
        <v>-7.07831904641</v>
      </c>
      <c r="E1830" t="n">
        <v>2</v>
      </c>
      <c r="F1830" t="n">
        <v>1</v>
      </c>
      <c r="G1830" t="n">
        <v>2</v>
      </c>
      <c r="J1830" t="inlineStr">
        <is>
          <t>Moda</t>
        </is>
      </c>
      <c r="K1830" t="n">
        <v>2</v>
      </c>
      <c r="L1830" t="n">
        <v>2.048</v>
      </c>
      <c r="M1830" t="n">
        <v>0</v>
      </c>
      <c r="N1830" t="inlineStr">
        <is>
          <t>train</t>
        </is>
      </c>
      <c r="O1830">
        <f>HYPERLINK("2\1\marker_180_959317.png", "Ver Imagen")</f>
        <v/>
      </c>
      <c r="P1830">
        <f>HYPERLINK("SE\A-5052\A-5052__191.png", "Ver Imagen")</f>
        <v/>
      </c>
    </row>
    <row r="1831">
      <c r="A1831" t="n">
        <v>1254</v>
      </c>
      <c r="B1831" t="inlineStr">
        <is>
          <t>A-5052__191</t>
        </is>
      </c>
      <c r="C1831" t="n">
        <v>37.2147448452</v>
      </c>
      <c r="D1831" t="n">
        <v>-7.07831904641</v>
      </c>
      <c r="E1831" t="n">
        <v>2</v>
      </c>
      <c r="F1831" t="n">
        <v>1</v>
      </c>
      <c r="G1831" t="n">
        <v>2</v>
      </c>
      <c r="J1831" t="inlineStr">
        <is>
          <t>Moda</t>
        </is>
      </c>
      <c r="K1831" t="n">
        <v>2</v>
      </c>
      <c r="L1831" t="n">
        <v>1.868</v>
      </c>
      <c r="M1831" t="n">
        <v>0</v>
      </c>
      <c r="N1831" t="inlineStr">
        <is>
          <t>train</t>
        </is>
      </c>
      <c r="O1831">
        <f>HYPERLINK("2\1\marker_180_959317.png", "Ver Imagen")</f>
        <v/>
      </c>
      <c r="P1831">
        <f>HYPERLINK("SO\A-5052\A-5052__191.png", "Ver Imagen")</f>
        <v/>
      </c>
    </row>
    <row r="1832">
      <c r="A1832" t="n">
        <v>1255</v>
      </c>
      <c r="B1832" t="inlineStr">
        <is>
          <t>A-5052__193</t>
        </is>
      </c>
      <c r="C1832" t="n">
        <v>37.2146479488</v>
      </c>
      <c r="D1832" t="n">
        <v>-7.07781366627</v>
      </c>
      <c r="E1832" t="n">
        <v>2</v>
      </c>
      <c r="F1832" t="n">
        <v>1</v>
      </c>
      <c r="G1832" t="n">
        <v>2</v>
      </c>
      <c r="J1832" t="inlineStr">
        <is>
          <t>Moda</t>
        </is>
      </c>
      <c r="K1832" t="n">
        <v>2</v>
      </c>
      <c r="L1832" t="n">
        <v>2.11</v>
      </c>
      <c r="M1832" t="n">
        <v>0</v>
      </c>
      <c r="N1832" t="inlineStr">
        <is>
          <t>train</t>
        </is>
      </c>
      <c r="O1832">
        <f>HYPERLINK("2\1\marker_919_959360.png", "Ver Imagen")</f>
        <v/>
      </c>
      <c r="P1832">
        <f>HYPERLINK("SE\A-5052\A-5052__193.png", "Ver Imagen")</f>
        <v/>
      </c>
    </row>
    <row r="1833">
      <c r="A1833" t="n">
        <v>1255</v>
      </c>
      <c r="B1833" t="inlineStr">
        <is>
          <t>A-5052__193</t>
        </is>
      </c>
      <c r="C1833" t="n">
        <v>37.2146479488</v>
      </c>
      <c r="D1833" t="n">
        <v>-7.07781366627</v>
      </c>
      <c r="E1833" t="n">
        <v>2</v>
      </c>
      <c r="F1833" t="n">
        <v>1</v>
      </c>
      <c r="G1833" t="n">
        <v>2</v>
      </c>
      <c r="J1833" t="inlineStr">
        <is>
          <t>Moda</t>
        </is>
      </c>
      <c r="K1833" t="n">
        <v>2</v>
      </c>
      <c r="L1833" t="n">
        <v>1.856</v>
      </c>
      <c r="M1833" t="n">
        <v>0</v>
      </c>
      <c r="N1833" t="inlineStr">
        <is>
          <t>train</t>
        </is>
      </c>
      <c r="O1833">
        <f>HYPERLINK("2\1\marker_919_959360.png", "Ver Imagen")</f>
        <v/>
      </c>
      <c r="P1833">
        <f>HYPERLINK("SO\A-5052\A-5052__193.png", "Ver Imagen")</f>
        <v/>
      </c>
    </row>
    <row r="1834">
      <c r="A1834" t="n">
        <v>1256</v>
      </c>
      <c r="B1834" t="inlineStr">
        <is>
          <t>A-5052__208</t>
        </is>
      </c>
      <c r="C1834" t="n">
        <v>37.2139670545</v>
      </c>
      <c r="D1834" t="n">
        <v>-7.07415817743</v>
      </c>
      <c r="E1834" t="n">
        <v>1</v>
      </c>
      <c r="F1834" t="n">
        <v>2</v>
      </c>
      <c r="G1834" t="n">
        <v>2</v>
      </c>
      <c r="J1834" t="inlineStr">
        <is>
          <t>Moda</t>
        </is>
      </c>
      <c r="K1834" t="n">
        <v>2</v>
      </c>
      <c r="L1834" t="n">
        <v>2.01</v>
      </c>
      <c r="M1834" t="n">
        <v>0</v>
      </c>
      <c r="N1834" t="inlineStr">
        <is>
          <t>test</t>
        </is>
      </c>
      <c r="O1834">
        <f>HYPERLINK("2\1\marker_495_959567.png", "Ver Imagen")</f>
        <v/>
      </c>
      <c r="P1834">
        <f>HYPERLINK("SE\A-5052\A-5052__208.png", "Ver Imagen")</f>
        <v/>
      </c>
    </row>
    <row r="1835">
      <c r="A1835" t="n">
        <v>1256</v>
      </c>
      <c r="B1835" t="inlineStr">
        <is>
          <t>A-5052__208</t>
        </is>
      </c>
      <c r="C1835" t="n">
        <v>37.2139670545</v>
      </c>
      <c r="D1835" t="n">
        <v>-7.07415817743</v>
      </c>
      <c r="E1835" t="n">
        <v>1</v>
      </c>
      <c r="F1835" t="n">
        <v>2</v>
      </c>
      <c r="G1835" t="n">
        <v>2</v>
      </c>
      <c r="J1835" t="inlineStr">
        <is>
          <t>Moda</t>
        </is>
      </c>
      <c r="K1835" t="n">
        <v>2</v>
      </c>
      <c r="L1835" t="n">
        <v>1.787</v>
      </c>
      <c r="M1835" t="n">
        <v>0</v>
      </c>
      <c r="N1835" t="inlineStr">
        <is>
          <t>test</t>
        </is>
      </c>
      <c r="O1835">
        <f>HYPERLINK("2\1\marker_495_959567.png", "Ver Imagen")</f>
        <v/>
      </c>
      <c r="P1835">
        <f>HYPERLINK("SO\A-5052\A-5052__208.png", "Ver Imagen")</f>
        <v/>
      </c>
    </row>
    <row r="1836">
      <c r="A1836" t="n">
        <v>1257</v>
      </c>
      <c r="B1836" t="inlineStr">
        <is>
          <t>A-5052__215</t>
        </is>
      </c>
      <c r="C1836" t="n">
        <v>37.2137514028</v>
      </c>
      <c r="D1836" t="n">
        <v>-7.07238119058</v>
      </c>
      <c r="E1836" t="n">
        <v>2</v>
      </c>
      <c r="F1836" t="n">
        <v>1</v>
      </c>
      <c r="G1836" t="n">
        <v>2</v>
      </c>
      <c r="J1836" t="inlineStr">
        <is>
          <t>Moda</t>
        </is>
      </c>
      <c r="K1836" t="n">
        <v>2</v>
      </c>
      <c r="L1836" t="n">
        <v>1.974</v>
      </c>
      <c r="M1836" t="n">
        <v>0</v>
      </c>
      <c r="N1836" t="inlineStr">
        <is>
          <t>train</t>
        </is>
      </c>
      <c r="O1836">
        <f>HYPERLINK("2\1\marker_940_959642.png", "Ver Imagen")</f>
        <v/>
      </c>
      <c r="P1836">
        <f>HYPERLINK("SE\A-5052\A-5052__215.png", "Ver Imagen")</f>
        <v/>
      </c>
    </row>
    <row r="1837">
      <c r="A1837" t="n">
        <v>1258</v>
      </c>
      <c r="B1837" t="inlineStr">
        <is>
          <t>A-5052__216</t>
        </is>
      </c>
      <c r="C1837" t="n">
        <v>37.2137257469</v>
      </c>
      <c r="D1837" t="n">
        <v>-7.07214026188</v>
      </c>
      <c r="E1837" t="n">
        <v>2</v>
      </c>
      <c r="F1837" t="n">
        <v>1</v>
      </c>
      <c r="G1837" t="n">
        <v>2</v>
      </c>
      <c r="J1837" t="inlineStr">
        <is>
          <t>Moda</t>
        </is>
      </c>
      <c r="K1837" t="n">
        <v>2</v>
      </c>
      <c r="L1837" t="n">
        <v>1.841</v>
      </c>
      <c r="M1837" t="n">
        <v>0</v>
      </c>
      <c r="N1837" t="inlineStr">
        <is>
          <t>train</t>
        </is>
      </c>
      <c r="O1837">
        <f>HYPERLINK("2\1\marker_837_959677.png", "Ver Imagen")</f>
        <v/>
      </c>
      <c r="P1837">
        <f>HYPERLINK("SE\A-5052\A-5052__216.png", "Ver Imagen")</f>
        <v/>
      </c>
    </row>
    <row r="1838">
      <c r="A1838" t="n">
        <v>1259</v>
      </c>
      <c r="B1838" t="inlineStr">
        <is>
          <t>A-5052__218</t>
        </is>
      </c>
      <c r="C1838" t="n">
        <v>37.2136701974</v>
      </c>
      <c r="D1838" t="n">
        <v>-7.07165253023</v>
      </c>
      <c r="E1838" t="n">
        <v>2</v>
      </c>
      <c r="F1838" t="n">
        <v>1</v>
      </c>
      <c r="G1838" t="n">
        <v>2</v>
      </c>
      <c r="J1838" t="inlineStr">
        <is>
          <t>Moda</t>
        </is>
      </c>
      <c r="K1838" t="n">
        <v>2</v>
      </c>
      <c r="L1838" t="n">
        <v>1.92</v>
      </c>
      <c r="M1838" t="n">
        <v>0</v>
      </c>
      <c r="N1838" t="inlineStr">
        <is>
          <t>train</t>
        </is>
      </c>
      <c r="O1838">
        <f>HYPERLINK("2\1\marker_283_959699.png", "Ver Imagen")</f>
        <v/>
      </c>
      <c r="P1838">
        <f>HYPERLINK("SE\A-5052\A-5052__218.png", "Ver Imagen")</f>
        <v/>
      </c>
    </row>
    <row r="1839">
      <c r="A1839" t="n">
        <v>1260</v>
      </c>
      <c r="B1839" t="inlineStr">
        <is>
          <t>A-5052__236</t>
        </is>
      </c>
      <c r="C1839" t="n">
        <v>37.2133666539</v>
      </c>
      <c r="D1839" t="n">
        <v>-7.06711152414</v>
      </c>
      <c r="E1839" t="n">
        <v>2</v>
      </c>
      <c r="F1839" t="n">
        <v>1</v>
      </c>
      <c r="G1839" t="n">
        <v>2</v>
      </c>
      <c r="J1839" t="inlineStr">
        <is>
          <t>Moda</t>
        </is>
      </c>
      <c r="K1839" t="n">
        <v>2</v>
      </c>
      <c r="L1839" t="n">
        <v>1.867</v>
      </c>
      <c r="M1839" t="n">
        <v>0</v>
      </c>
      <c r="N1839" t="inlineStr">
        <is>
          <t>train</t>
        </is>
      </c>
      <c r="O1839">
        <f>HYPERLINK("2\1\marker_363_959905.png", "Ver Imagen")</f>
        <v/>
      </c>
      <c r="P1839">
        <f>HYPERLINK("SE\A-5052\A-5052__236.png", "Ver Imagen")</f>
        <v/>
      </c>
    </row>
    <row r="1840">
      <c r="A1840" t="n">
        <v>1261</v>
      </c>
      <c r="B1840" t="inlineStr">
        <is>
          <t>A-5052__239</t>
        </is>
      </c>
      <c r="C1840" t="n">
        <v>37.2133387687</v>
      </c>
      <c r="D1840" t="n">
        <v>-7.06637808777</v>
      </c>
      <c r="E1840" t="n">
        <v>2</v>
      </c>
      <c r="F1840" t="n">
        <v>2</v>
      </c>
      <c r="G1840" t="n">
        <v>3</v>
      </c>
      <c r="J1840" t="inlineStr">
        <is>
          <t>Moda</t>
        </is>
      </c>
      <c r="K1840" t="n">
        <v>2</v>
      </c>
      <c r="L1840" t="n">
        <v>1.863</v>
      </c>
      <c r="M1840" t="n">
        <v>0</v>
      </c>
      <c r="N1840" t="inlineStr">
        <is>
          <t>train</t>
        </is>
      </c>
      <c r="O1840">
        <f>HYPERLINK("2\1\marker_707_959935.png", "Ver Imagen")</f>
        <v/>
      </c>
      <c r="P1840">
        <f>HYPERLINK("SE\A-5052\A-5052__239.png", "Ver Imagen")</f>
        <v/>
      </c>
    </row>
    <row r="1841">
      <c r="A1841" t="n">
        <v>1262</v>
      </c>
      <c r="B1841" t="inlineStr">
        <is>
          <t>A-5052__253</t>
        </is>
      </c>
      <c r="C1841" t="n">
        <v>37.213199674</v>
      </c>
      <c r="D1841" t="n">
        <v>-7.06289205032</v>
      </c>
      <c r="E1841" t="n">
        <v>1</v>
      </c>
      <c r="F1841" t="n">
        <v>2</v>
      </c>
      <c r="G1841" t="n">
        <v>2</v>
      </c>
      <c r="J1841" t="inlineStr">
        <is>
          <t>Moda</t>
        </is>
      </c>
      <c r="K1841" t="n">
        <v>2</v>
      </c>
      <c r="L1841" t="n">
        <v>1.973</v>
      </c>
      <c r="M1841" t="n">
        <v>0</v>
      </c>
      <c r="N1841" t="inlineStr">
        <is>
          <t>train</t>
        </is>
      </c>
      <c r="O1841">
        <f>HYPERLINK("2\1\marker_724_960124.png", "Ver Imagen")</f>
        <v/>
      </c>
      <c r="P1841">
        <f>HYPERLINK("SE\A-5052\A-5052__253.png", "Ver Imagen")</f>
        <v/>
      </c>
    </row>
    <row r="1842">
      <c r="A1842" t="n">
        <v>1263</v>
      </c>
      <c r="B1842" t="inlineStr">
        <is>
          <t>A-5052__258</t>
        </is>
      </c>
      <c r="C1842" t="n">
        <v>37.2129642423</v>
      </c>
      <c r="D1842" t="n">
        <v>-7.06167543621</v>
      </c>
      <c r="E1842" t="n">
        <v>2</v>
      </c>
      <c r="F1842" t="n">
        <v>2</v>
      </c>
      <c r="G1842" t="n">
        <v>3</v>
      </c>
      <c r="J1842" t="inlineStr">
        <is>
          <t>Moda</t>
        </is>
      </c>
      <c r="K1842" t="n">
        <v>2</v>
      </c>
      <c r="L1842" t="n">
        <v>2.146</v>
      </c>
      <c r="M1842" t="n">
        <v>0</v>
      </c>
      <c r="N1842" t="inlineStr">
        <is>
          <t>train</t>
        </is>
      </c>
      <c r="O1842">
        <f>HYPERLINK("2\1\marker_404_960177.png", "Ver Imagen")</f>
        <v/>
      </c>
      <c r="P1842">
        <f>HYPERLINK("SE\A-5052\A-5052__258.png", "Ver Imagen")</f>
        <v/>
      </c>
    </row>
    <row r="1843">
      <c r="A1843" t="n">
        <v>1264</v>
      </c>
      <c r="B1843" t="inlineStr">
        <is>
          <t>A-5052__260</t>
        </is>
      </c>
      <c r="C1843" t="n">
        <v>37.2127957147</v>
      </c>
      <c r="D1843" t="n">
        <v>-7.06117913135</v>
      </c>
      <c r="E1843" t="n">
        <v>1</v>
      </c>
      <c r="F1843" t="n">
        <v>2</v>
      </c>
      <c r="G1843" t="n">
        <v>2</v>
      </c>
      <c r="J1843" t="inlineStr">
        <is>
          <t>Moda</t>
        </is>
      </c>
      <c r="K1843" t="n">
        <v>2</v>
      </c>
      <c r="L1843" t="n">
        <v>1.966</v>
      </c>
      <c r="M1843" t="n">
        <v>0</v>
      </c>
      <c r="N1843" t="inlineStr">
        <is>
          <t>train</t>
        </is>
      </c>
      <c r="O1843">
        <f>HYPERLINK("2\1\marker_920_960202.png", "Ver Imagen")</f>
        <v/>
      </c>
      <c r="P1843">
        <f>HYPERLINK("SE\A-5052\A-5052__260.png", "Ver Imagen")</f>
        <v/>
      </c>
    </row>
    <row r="1844">
      <c r="A1844" t="n">
        <v>1265</v>
      </c>
      <c r="B1844" t="inlineStr">
        <is>
          <t>A-5052__264</t>
        </is>
      </c>
      <c r="C1844" t="n">
        <v>37.2124622376</v>
      </c>
      <c r="D1844" t="n">
        <v>-7.06028866276</v>
      </c>
      <c r="E1844" t="n">
        <v>2</v>
      </c>
      <c r="F1844" t="n">
        <v>1</v>
      </c>
      <c r="G1844" t="n">
        <v>2</v>
      </c>
      <c r="J1844" t="inlineStr">
        <is>
          <t>Moda</t>
        </is>
      </c>
      <c r="K1844" t="n">
        <v>2</v>
      </c>
      <c r="L1844" t="n">
        <v>2.332</v>
      </c>
      <c r="M1844" t="n">
        <v>0</v>
      </c>
      <c r="N1844" t="inlineStr">
        <is>
          <t>train</t>
        </is>
      </c>
      <c r="O1844">
        <f>HYPERLINK("2\1\marker_817_960247.png", "Ver Imagen")</f>
        <v/>
      </c>
      <c r="P1844">
        <f>HYPERLINK("SE\A-5052\A-5052__264.png", "Ver Imagen")</f>
        <v/>
      </c>
    </row>
    <row r="1845">
      <c r="A1845" t="n">
        <v>1266</v>
      </c>
      <c r="B1845" t="inlineStr">
        <is>
          <t>A-5052__267</t>
        </is>
      </c>
      <c r="C1845" t="n">
        <v>37.2121969074</v>
      </c>
      <c r="D1845" t="n">
        <v>-7.05956956085</v>
      </c>
      <c r="E1845" t="n">
        <v>1</v>
      </c>
      <c r="F1845" t="n">
        <v>2</v>
      </c>
      <c r="G1845" t="n">
        <v>2</v>
      </c>
      <c r="J1845" t="inlineStr">
        <is>
          <t>Moda</t>
        </is>
      </c>
      <c r="K1845" t="n">
        <v>2</v>
      </c>
      <c r="L1845" t="n">
        <v>2.338</v>
      </c>
      <c r="M1845" t="n">
        <v>0</v>
      </c>
      <c r="N1845" t="inlineStr">
        <is>
          <t>train</t>
        </is>
      </c>
      <c r="O1845">
        <f>HYPERLINK("2\1\marker_112_960284.png", "Ver Imagen")</f>
        <v/>
      </c>
      <c r="P1845">
        <f>HYPERLINK("SE\A-5052\A-5052__267.png", "Ver Imagen")</f>
        <v/>
      </c>
    </row>
    <row r="1846">
      <c r="A1846" t="n">
        <v>1267</v>
      </c>
      <c r="B1846" t="inlineStr">
        <is>
          <t>A-5052__280</t>
        </is>
      </c>
      <c r="C1846" t="n">
        <v>37.2112837825</v>
      </c>
      <c r="D1846" t="n">
        <v>-7.05653898307</v>
      </c>
      <c r="E1846" t="n">
        <v>1</v>
      </c>
      <c r="F1846" t="n">
        <v>2</v>
      </c>
      <c r="G1846" t="n">
        <v>2</v>
      </c>
      <c r="J1846" t="inlineStr">
        <is>
          <t>Moda</t>
        </is>
      </c>
      <c r="K1846" t="n">
        <v>2</v>
      </c>
      <c r="L1846" t="n">
        <v>2.01</v>
      </c>
      <c r="M1846" t="n">
        <v>0</v>
      </c>
      <c r="N1846" t="inlineStr">
        <is>
          <t>train</t>
        </is>
      </c>
      <c r="O1846">
        <f>HYPERLINK("2\1\marker_455_960516.png", "Ver Imagen")</f>
        <v/>
      </c>
      <c r="P1846">
        <f>HYPERLINK("SE\A-5052\A-5052__280.png", "Ver Imagen")</f>
        <v/>
      </c>
    </row>
    <row r="1847">
      <c r="A1847" t="n">
        <v>1268</v>
      </c>
      <c r="B1847" t="inlineStr">
        <is>
          <t>A-5052__287</t>
        </is>
      </c>
      <c r="C1847" t="n">
        <v>37.2110689749</v>
      </c>
      <c r="D1847" t="n">
        <v>-7.05477684356</v>
      </c>
      <c r="E1847" t="n">
        <v>2</v>
      </c>
      <c r="F1847" t="n">
        <v>3</v>
      </c>
      <c r="G1847" t="n">
        <v>2</v>
      </c>
      <c r="J1847" t="inlineStr">
        <is>
          <t>Moda</t>
        </is>
      </c>
      <c r="K1847" t="n">
        <v>2</v>
      </c>
      <c r="L1847" t="n">
        <v>2.168</v>
      </c>
      <c r="M1847" t="n">
        <v>0</v>
      </c>
      <c r="N1847" t="inlineStr">
        <is>
          <t>train</t>
        </is>
      </c>
      <c r="O1847">
        <f>HYPERLINK("2\1\marker_947_960606.png", "Ver Imagen")</f>
        <v/>
      </c>
      <c r="P1847">
        <f>HYPERLINK("SE\A-5052\A-5052__287.png", "Ver Imagen")</f>
        <v/>
      </c>
    </row>
    <row r="1848">
      <c r="A1848" t="n">
        <v>1269</v>
      </c>
      <c r="B1848" t="inlineStr">
        <is>
          <t>A-5052__289</t>
        </is>
      </c>
      <c r="C1848" t="n">
        <v>37.2110016045</v>
      </c>
      <c r="D1848" t="n">
        <v>-7.05427259678</v>
      </c>
      <c r="E1848" t="n">
        <v>3</v>
      </c>
      <c r="F1848" t="n">
        <v>2</v>
      </c>
      <c r="G1848" t="n">
        <v>2</v>
      </c>
      <c r="J1848" t="inlineStr">
        <is>
          <t>Moda</t>
        </is>
      </c>
      <c r="K1848" t="n">
        <v>2</v>
      </c>
      <c r="L1848" t="n">
        <v>2.244</v>
      </c>
      <c r="M1848" t="n">
        <v>0</v>
      </c>
      <c r="N1848" t="inlineStr">
        <is>
          <t>train</t>
        </is>
      </c>
      <c r="O1848">
        <f>HYPERLINK("2\1\marker_887_960634.png", "Ver Imagen")</f>
        <v/>
      </c>
      <c r="P1848">
        <f>HYPERLINK("SE\A-5052\A-5052__289.png", "Ver Imagen")</f>
        <v/>
      </c>
    </row>
    <row r="1849">
      <c r="A1849" t="n">
        <v>1270</v>
      </c>
      <c r="B1849" t="inlineStr">
        <is>
          <t>A-5052__291</t>
        </is>
      </c>
      <c r="C1849" t="n">
        <v>37.2109069974</v>
      </c>
      <c r="D1849" t="n">
        <v>-7.05380944347</v>
      </c>
      <c r="E1849" t="n">
        <v>2</v>
      </c>
      <c r="F1849" t="n">
        <v>3</v>
      </c>
      <c r="G1849" t="n">
        <v>2</v>
      </c>
      <c r="J1849" t="inlineStr">
        <is>
          <t>Moda</t>
        </is>
      </c>
      <c r="K1849" t="n">
        <v>2</v>
      </c>
      <c r="L1849" t="n">
        <v>1.996</v>
      </c>
      <c r="M1849" t="n">
        <v>0</v>
      </c>
      <c r="N1849" t="inlineStr">
        <is>
          <t>train</t>
        </is>
      </c>
      <c r="O1849">
        <f>HYPERLINK("2\1\marker_559_960665.png", "Ver Imagen")</f>
        <v/>
      </c>
      <c r="P1849">
        <f>HYPERLINK("SE\A-5052\A-5052__291.png", "Ver Imagen")</f>
        <v/>
      </c>
    </row>
    <row r="1850">
      <c r="A1850" t="n">
        <v>1271</v>
      </c>
      <c r="B1850" t="inlineStr">
        <is>
          <t>A-5052__301</t>
        </is>
      </c>
      <c r="C1850" t="n">
        <v>37.2108756168</v>
      </c>
      <c r="D1850" t="n">
        <v>-7.05130451409</v>
      </c>
      <c r="E1850" t="n">
        <v>2</v>
      </c>
      <c r="F1850" t="n">
        <v>3</v>
      </c>
      <c r="G1850" t="n">
        <v>2</v>
      </c>
      <c r="J1850" t="inlineStr">
        <is>
          <t>Moda</t>
        </is>
      </c>
      <c r="K1850" t="n">
        <v>2</v>
      </c>
      <c r="L1850" t="n">
        <v>1.871</v>
      </c>
      <c r="M1850" t="n">
        <v>0</v>
      </c>
      <c r="N1850" t="inlineStr">
        <is>
          <t>train</t>
        </is>
      </c>
      <c r="O1850">
        <f>HYPERLINK("2\1\marker_881_960932.png", "Ver Imagen")</f>
        <v/>
      </c>
      <c r="P1850">
        <f>HYPERLINK("SE\A-5052\A-5052__301.png", "Ver Imagen")</f>
        <v/>
      </c>
    </row>
    <row r="1851">
      <c r="A1851" t="n">
        <v>1272</v>
      </c>
      <c r="B1851" t="inlineStr">
        <is>
          <t>A-5052__312</t>
        </is>
      </c>
      <c r="C1851" t="n">
        <v>37.2117341491</v>
      </c>
      <c r="D1851" t="n">
        <v>-7.04875580947</v>
      </c>
      <c r="E1851" t="n">
        <v>2</v>
      </c>
      <c r="F1851" t="n">
        <v>1</v>
      </c>
      <c r="G1851" t="n">
        <v>2</v>
      </c>
      <c r="J1851" t="inlineStr">
        <is>
          <t>Moda</t>
        </is>
      </c>
      <c r="K1851" t="n">
        <v>2</v>
      </c>
      <c r="L1851" t="n">
        <v>2.133</v>
      </c>
      <c r="M1851" t="n">
        <v>0</v>
      </c>
      <c r="N1851" t="inlineStr">
        <is>
          <t>train</t>
        </is>
      </c>
      <c r="O1851">
        <f>HYPERLINK("2\1\marker_568_961143.png", "Ver Imagen")</f>
        <v/>
      </c>
      <c r="P1851">
        <f>HYPERLINK("SE\A-5052\A-5052__312.png", "Ver Imagen")</f>
        <v/>
      </c>
    </row>
    <row r="1852">
      <c r="A1852" t="n">
        <v>1273</v>
      </c>
      <c r="B1852" t="inlineStr">
        <is>
          <t>A-5052__319</t>
        </is>
      </c>
      <c r="C1852" t="n">
        <v>37.2116079741</v>
      </c>
      <c r="D1852" t="n">
        <v>-7.04696682013</v>
      </c>
      <c r="E1852" t="n">
        <v>2</v>
      </c>
      <c r="F1852" t="n">
        <v>3</v>
      </c>
      <c r="G1852" t="n">
        <v>2</v>
      </c>
      <c r="J1852" t="inlineStr">
        <is>
          <t>Moda</t>
        </is>
      </c>
      <c r="K1852" t="n">
        <v>2</v>
      </c>
      <c r="L1852" t="n">
        <v>1.931</v>
      </c>
      <c r="M1852" t="n">
        <v>0</v>
      </c>
      <c r="N1852" t="inlineStr">
        <is>
          <t>train</t>
        </is>
      </c>
      <c r="O1852">
        <f>HYPERLINK("2\1\marker_146_961242.png", "Ver Imagen")</f>
        <v/>
      </c>
      <c r="P1852">
        <f>HYPERLINK("SE\A-5052\A-5052__319.png", "Ver Imagen")</f>
        <v/>
      </c>
    </row>
    <row r="1853">
      <c r="A1853" t="n">
        <v>1274</v>
      </c>
      <c r="B1853" t="inlineStr">
        <is>
          <t>A-5052__323</t>
        </is>
      </c>
      <c r="C1853" t="n">
        <v>37.2114211042</v>
      </c>
      <c r="D1853" t="n">
        <v>-7.04596185764</v>
      </c>
      <c r="E1853" t="n">
        <v>2</v>
      </c>
      <c r="F1853" t="n">
        <v>1</v>
      </c>
      <c r="G1853" t="n">
        <v>2</v>
      </c>
      <c r="J1853" t="inlineStr">
        <is>
          <t>Moda</t>
        </is>
      </c>
      <c r="K1853" t="n">
        <v>2</v>
      </c>
      <c r="L1853" t="n">
        <v>1.665</v>
      </c>
      <c r="M1853" t="n">
        <v>0</v>
      </c>
      <c r="N1853" t="inlineStr">
        <is>
          <t>train</t>
        </is>
      </c>
      <c r="O1853">
        <f>HYPERLINK("2\1\marker_196_961300.png", "Ver Imagen")</f>
        <v/>
      </c>
      <c r="P1853">
        <f>HYPERLINK("SE\A-5052\A-5052__323.png", "Ver Imagen")</f>
        <v/>
      </c>
    </row>
    <row r="1854">
      <c r="A1854" t="n">
        <v>1275</v>
      </c>
      <c r="B1854" t="inlineStr">
        <is>
          <t>A-5052__333</t>
        </is>
      </c>
      <c r="C1854" t="n">
        <v>37.210682354</v>
      </c>
      <c r="D1854" t="n">
        <v>-7.04357545473</v>
      </c>
      <c r="E1854" t="n">
        <v>2</v>
      </c>
      <c r="F1854" t="n">
        <v>3</v>
      </c>
      <c r="G1854" t="n">
        <v>2</v>
      </c>
      <c r="J1854" t="inlineStr">
        <is>
          <t>Moda</t>
        </is>
      </c>
      <c r="K1854" t="n">
        <v>2</v>
      </c>
      <c r="L1854" t="n">
        <v>2.108</v>
      </c>
      <c r="M1854" t="n">
        <v>0</v>
      </c>
      <c r="N1854" t="inlineStr">
        <is>
          <t>train</t>
        </is>
      </c>
      <c r="O1854">
        <f>HYPERLINK("2\1\marker_489_961531.png", "Ver Imagen")</f>
        <v/>
      </c>
      <c r="P1854">
        <f>HYPERLINK("SE\A-5052\A-5052__333.png", "Ver Imagen")</f>
        <v/>
      </c>
    </row>
    <row r="1855">
      <c r="A1855" t="n">
        <v>1276</v>
      </c>
      <c r="B1855" t="inlineStr">
        <is>
          <t>A-5052__340</t>
        </is>
      </c>
      <c r="C1855" t="n">
        <v>37.2101111899</v>
      </c>
      <c r="D1855" t="n">
        <v>-7.04203443241</v>
      </c>
      <c r="E1855" t="n">
        <v>2</v>
      </c>
      <c r="F1855" t="n">
        <v>3</v>
      </c>
      <c r="G1855" t="n">
        <v>2</v>
      </c>
      <c r="J1855" t="inlineStr">
        <is>
          <t>Moda</t>
        </is>
      </c>
      <c r="K1855" t="n">
        <v>2</v>
      </c>
      <c r="L1855" t="n">
        <v>2.019</v>
      </c>
      <c r="M1855" t="n">
        <v>0</v>
      </c>
      <c r="N1855" t="inlineStr">
        <is>
          <t>train</t>
        </is>
      </c>
      <c r="O1855">
        <f>HYPERLINK("2\1\marker_326_961623.png", "Ver Imagen")</f>
        <v/>
      </c>
      <c r="P1855">
        <f>HYPERLINK("SE\A-5052\A-5052__340.png", "Ver Imagen")</f>
        <v/>
      </c>
    </row>
    <row r="1856">
      <c r="A1856" t="n">
        <v>1277</v>
      </c>
      <c r="B1856" t="inlineStr">
        <is>
          <t>A-5052__344</t>
        </is>
      </c>
      <c r="C1856" t="n">
        <v>37.2097656337</v>
      </c>
      <c r="D1856" t="n">
        <v>-7.04111775496</v>
      </c>
      <c r="E1856" t="n">
        <v>2</v>
      </c>
      <c r="F1856" t="n">
        <v>3</v>
      </c>
      <c r="G1856" t="n">
        <v>2</v>
      </c>
      <c r="J1856" t="inlineStr">
        <is>
          <t>Moda</t>
        </is>
      </c>
      <c r="K1856" t="n">
        <v>2</v>
      </c>
      <c r="L1856" t="n">
        <v>2.052</v>
      </c>
      <c r="M1856" t="n">
        <v>0</v>
      </c>
      <c r="N1856" t="inlineStr">
        <is>
          <t>train</t>
        </is>
      </c>
      <c r="O1856">
        <f>HYPERLINK("2\1\marker_330_961665.png", "Ver Imagen")</f>
        <v/>
      </c>
      <c r="P1856">
        <f>HYPERLINK("SE\A-5052\A-5052__344.png", "Ver Imagen")</f>
        <v/>
      </c>
    </row>
    <row r="1857">
      <c r="A1857" t="n">
        <v>1278</v>
      </c>
      <c r="B1857" t="inlineStr">
        <is>
          <t>A-5052__355</t>
        </is>
      </c>
      <c r="C1857" t="n">
        <v>37.208814296</v>
      </c>
      <c r="D1857" t="n">
        <v>-7.03863519421</v>
      </c>
      <c r="E1857" t="n">
        <v>2</v>
      </c>
      <c r="F1857" t="n">
        <v>3</v>
      </c>
      <c r="G1857" t="n">
        <v>2</v>
      </c>
      <c r="J1857" t="inlineStr">
        <is>
          <t>Moda</t>
        </is>
      </c>
      <c r="K1857" t="n">
        <v>2</v>
      </c>
      <c r="L1857" t="n">
        <v>2.052</v>
      </c>
      <c r="M1857" t="n">
        <v>0</v>
      </c>
      <c r="N1857" t="inlineStr">
        <is>
          <t>train</t>
        </is>
      </c>
      <c r="O1857">
        <f>HYPERLINK("2\1\marker_742_961808.png", "Ver Imagen")</f>
        <v/>
      </c>
      <c r="P1857">
        <f>HYPERLINK("SE\A-5052\A-5052__355.png", "Ver Imagen")</f>
        <v/>
      </c>
    </row>
    <row r="1858">
      <c r="A1858" t="n">
        <v>1279</v>
      </c>
      <c r="B1858" t="inlineStr">
        <is>
          <t>A-5052__363</t>
        </is>
      </c>
      <c r="C1858" t="n">
        <v>37.2081039428</v>
      </c>
      <c r="D1858" t="n">
        <v>-7.0367953869</v>
      </c>
      <c r="E1858" t="n">
        <v>2</v>
      </c>
      <c r="F1858" t="n">
        <v>3</v>
      </c>
      <c r="G1858" t="n">
        <v>2</v>
      </c>
      <c r="J1858" t="inlineStr">
        <is>
          <t>Moda</t>
        </is>
      </c>
      <c r="K1858" t="n">
        <v>2</v>
      </c>
      <c r="L1858" t="n">
        <v>1.874</v>
      </c>
      <c r="M1858" t="n">
        <v>0</v>
      </c>
      <c r="N1858" t="inlineStr">
        <is>
          <t>train</t>
        </is>
      </c>
      <c r="O1858">
        <f>HYPERLINK("2\1\marker_548_961890.png", "Ver Imagen")</f>
        <v/>
      </c>
      <c r="P1858">
        <f>HYPERLINK("SE\A-5052\A-5052__363.png", "Ver Imagen")</f>
        <v/>
      </c>
    </row>
    <row r="1859">
      <c r="A1859" t="n">
        <v>1280</v>
      </c>
      <c r="B1859" t="inlineStr">
        <is>
          <t>A-5052__364</t>
        </is>
      </c>
      <c r="C1859" t="n">
        <v>37.2080146029</v>
      </c>
      <c r="D1859" t="n">
        <v>-7.03656565782</v>
      </c>
      <c r="E1859" t="n">
        <v>2</v>
      </c>
      <c r="F1859" t="n">
        <v>3</v>
      </c>
      <c r="G1859" t="n">
        <v>2</v>
      </c>
      <c r="J1859" t="inlineStr">
        <is>
          <t>Moda</t>
        </is>
      </c>
      <c r="K1859" t="n">
        <v>2</v>
      </c>
      <c r="L1859" t="n">
        <v>1.767</v>
      </c>
      <c r="M1859" t="n">
        <v>0</v>
      </c>
      <c r="N1859" t="inlineStr">
        <is>
          <t>train</t>
        </is>
      </c>
      <c r="O1859">
        <f>HYPERLINK("2\1\marker_717_961898.png", "Ver Imagen")</f>
        <v/>
      </c>
      <c r="P1859">
        <f>HYPERLINK("SE\A-5052\A-5052__364.png", "Ver Imagen")</f>
        <v/>
      </c>
    </row>
    <row r="1860">
      <c r="A1860" t="n">
        <v>1281</v>
      </c>
      <c r="B1860" t="inlineStr">
        <is>
          <t>A-5052__366</t>
        </is>
      </c>
      <c r="C1860" t="n">
        <v>37.2078326852</v>
      </c>
      <c r="D1860" t="n">
        <v>-7.03609550129</v>
      </c>
      <c r="E1860" t="n">
        <v>2</v>
      </c>
      <c r="F1860" t="n">
        <v>3</v>
      </c>
      <c r="G1860" t="n">
        <v>2</v>
      </c>
      <c r="J1860" t="inlineStr">
        <is>
          <t>Moda</t>
        </is>
      </c>
      <c r="K1860" t="n">
        <v>2</v>
      </c>
      <c r="L1860" t="n">
        <v>2.26</v>
      </c>
      <c r="M1860" t="n">
        <v>0</v>
      </c>
      <c r="N1860" t="inlineStr">
        <is>
          <t>train</t>
        </is>
      </c>
      <c r="O1860">
        <f>HYPERLINK("2\1\marker_475_962242.png", "Ver Imagen")</f>
        <v/>
      </c>
      <c r="P1860">
        <f>HYPERLINK("SE\A-5052\A-5052__366.png", "Ver Imagen")</f>
        <v/>
      </c>
    </row>
    <row r="1861">
      <c r="A1861" t="n">
        <v>1283</v>
      </c>
      <c r="B1861" t="inlineStr">
        <is>
          <t>A-5052__369</t>
        </is>
      </c>
      <c r="C1861" t="n">
        <v>37.2075597264</v>
      </c>
      <c r="D1861" t="n">
        <v>-7.0353844257</v>
      </c>
      <c r="E1861" t="n">
        <v>2</v>
      </c>
      <c r="F1861" t="n">
        <v>3</v>
      </c>
      <c r="G1861" t="n">
        <v>2</v>
      </c>
      <c r="J1861" t="inlineStr">
        <is>
          <t>Moda</t>
        </is>
      </c>
      <c r="K1861" t="n">
        <v>2</v>
      </c>
      <c r="L1861" t="n">
        <v>2.13</v>
      </c>
      <c r="M1861" t="n">
        <v>0</v>
      </c>
      <c r="N1861" t="inlineStr">
        <is>
          <t>train</t>
        </is>
      </c>
      <c r="O1861">
        <f>HYPERLINK("2\1\marker_602_962284.png", "Ver Imagen")</f>
        <v/>
      </c>
      <c r="P1861">
        <f>HYPERLINK("SE\A-5052\A-5052__369.png", "Ver Imagen")</f>
        <v/>
      </c>
    </row>
    <row r="1862">
      <c r="A1862" t="n">
        <v>1284</v>
      </c>
      <c r="B1862" t="inlineStr">
        <is>
          <t>A-5052__373</t>
        </is>
      </c>
      <c r="C1862" t="n">
        <v>37.2071953792</v>
      </c>
      <c r="D1862" t="n">
        <v>-7.03445179718</v>
      </c>
      <c r="E1862" t="n">
        <v>2</v>
      </c>
      <c r="F1862" t="n">
        <v>3</v>
      </c>
      <c r="G1862" t="n">
        <v>2</v>
      </c>
      <c r="J1862" t="inlineStr">
        <is>
          <t>Moda</t>
        </is>
      </c>
      <c r="K1862" t="n">
        <v>2</v>
      </c>
      <c r="L1862" t="n">
        <v>1.93</v>
      </c>
      <c r="M1862" t="n">
        <v>0</v>
      </c>
      <c r="N1862" t="inlineStr">
        <is>
          <t>train</t>
        </is>
      </c>
      <c r="O1862">
        <f>HYPERLINK("2\1\marker_625_962338.png", "Ver Imagen")</f>
        <v/>
      </c>
      <c r="P1862">
        <f>HYPERLINK("SE\A-5052\A-5052__373.png", "Ver Imagen")</f>
        <v/>
      </c>
    </row>
    <row r="1863">
      <c r="A1863" t="n">
        <v>1285</v>
      </c>
      <c r="B1863" t="inlineStr">
        <is>
          <t>A-5052__374</t>
        </is>
      </c>
      <c r="C1863" t="n">
        <v>37.207138327</v>
      </c>
      <c r="D1863" t="n">
        <v>-7.03430685282</v>
      </c>
      <c r="E1863" t="n">
        <v>2</v>
      </c>
      <c r="F1863" t="n">
        <v>3</v>
      </c>
      <c r="G1863" t="n">
        <v>2</v>
      </c>
      <c r="J1863" t="inlineStr">
        <is>
          <t>Moda</t>
        </is>
      </c>
      <c r="K1863" t="n">
        <v>2</v>
      </c>
      <c r="L1863" t="n">
        <v>2.16</v>
      </c>
      <c r="M1863" t="n">
        <v>0</v>
      </c>
      <c r="N1863" t="inlineStr">
        <is>
          <t>train</t>
        </is>
      </c>
      <c r="O1863">
        <f>HYPERLINK("2\1\marker_927_962411.png", "Ver Imagen")</f>
        <v/>
      </c>
      <c r="P1863">
        <f>HYPERLINK("SE\A-5052\A-5052__374.png", "Ver Imagen")</f>
        <v/>
      </c>
    </row>
    <row r="1864">
      <c r="A1864" t="n">
        <v>1286</v>
      </c>
      <c r="B1864" t="inlineStr">
        <is>
          <t>A-5052__375</t>
        </is>
      </c>
      <c r="C1864" t="n">
        <v>37.2070346357</v>
      </c>
      <c r="D1864" t="n">
        <v>-7.03404085863</v>
      </c>
      <c r="E1864" t="n">
        <v>2</v>
      </c>
      <c r="F1864" t="n">
        <v>3</v>
      </c>
      <c r="G1864" t="n">
        <v>2</v>
      </c>
      <c r="J1864" t="inlineStr">
        <is>
          <t>Moda</t>
        </is>
      </c>
      <c r="K1864" t="n">
        <v>2</v>
      </c>
      <c r="L1864" t="n">
        <v>2.356</v>
      </c>
      <c r="M1864" t="n">
        <v>0</v>
      </c>
      <c r="N1864" t="inlineStr">
        <is>
          <t>train</t>
        </is>
      </c>
      <c r="O1864">
        <f>HYPERLINK("2\1\marker_371_962425.png", "Ver Imagen")</f>
        <v/>
      </c>
      <c r="P1864">
        <f>HYPERLINK("SE\A-5052\A-5052__375.png", "Ver Imagen")</f>
        <v/>
      </c>
    </row>
    <row r="1865">
      <c r="A1865" t="n">
        <v>1287</v>
      </c>
      <c r="B1865" t="inlineStr">
        <is>
          <t>A-5052__376</t>
        </is>
      </c>
      <c r="C1865" t="n">
        <v>37.2069585245</v>
      </c>
      <c r="D1865" t="n">
        <v>-7.03384156805</v>
      </c>
      <c r="E1865" t="n">
        <v>2</v>
      </c>
      <c r="F1865" t="n">
        <v>3</v>
      </c>
      <c r="G1865" t="n">
        <v>2</v>
      </c>
      <c r="J1865" t="inlineStr">
        <is>
          <t>Moda</t>
        </is>
      </c>
      <c r="K1865" t="n">
        <v>2</v>
      </c>
      <c r="L1865" t="n">
        <v>1.999</v>
      </c>
      <c r="M1865" t="n">
        <v>0</v>
      </c>
      <c r="N1865" t="inlineStr">
        <is>
          <t>train</t>
        </is>
      </c>
      <c r="O1865">
        <f>HYPERLINK("2\1\marker_861_962438.png", "Ver Imagen")</f>
        <v/>
      </c>
      <c r="P1865">
        <f>HYPERLINK("SE\A-5052\A-5052__376.png", "Ver Imagen")</f>
        <v/>
      </c>
    </row>
    <row r="1866">
      <c r="A1866" t="n">
        <v>1290</v>
      </c>
      <c r="B1866" t="inlineStr">
        <is>
          <t>A-5052__390</t>
        </is>
      </c>
      <c r="C1866" t="n">
        <v>37.2057129206</v>
      </c>
      <c r="D1866" t="n">
        <v>-7.03059678865</v>
      </c>
      <c r="E1866" t="n">
        <v>2</v>
      </c>
      <c r="F1866" t="n">
        <v>3</v>
      </c>
      <c r="G1866" t="n">
        <v>2</v>
      </c>
      <c r="J1866" t="inlineStr">
        <is>
          <t>Moda</t>
        </is>
      </c>
      <c r="K1866" t="n">
        <v>2</v>
      </c>
      <c r="L1866" t="n">
        <v>1.941</v>
      </c>
      <c r="M1866" t="n">
        <v>0</v>
      </c>
      <c r="N1866" t="inlineStr">
        <is>
          <t>train</t>
        </is>
      </c>
      <c r="O1866">
        <f>HYPERLINK("2\1\marker_951_962578.png", "Ver Imagen")</f>
        <v/>
      </c>
      <c r="P1866">
        <f>HYPERLINK("SE\A-5052\A-5052__390.png", "Ver Imagen")</f>
        <v/>
      </c>
    </row>
    <row r="1867">
      <c r="A1867" t="n">
        <v>1291</v>
      </c>
      <c r="B1867" t="inlineStr">
        <is>
          <t>A-5052__392</t>
        </is>
      </c>
      <c r="C1867" t="n">
        <v>37.2055472302</v>
      </c>
      <c r="D1867" t="n">
        <v>-7.03016932285</v>
      </c>
      <c r="E1867" t="n">
        <v>2</v>
      </c>
      <c r="F1867" t="n">
        <v>3</v>
      </c>
      <c r="G1867" t="n">
        <v>2</v>
      </c>
      <c r="J1867" t="inlineStr">
        <is>
          <t>Moda</t>
        </is>
      </c>
      <c r="K1867" t="n">
        <v>2</v>
      </c>
      <c r="L1867" t="n">
        <v>2.06</v>
      </c>
      <c r="M1867" t="n">
        <v>0</v>
      </c>
      <c r="N1867" t="inlineStr">
        <is>
          <t>train</t>
        </is>
      </c>
      <c r="O1867">
        <f>HYPERLINK("2\1\marker_734_962595.png", "Ver Imagen")</f>
        <v/>
      </c>
      <c r="P1867">
        <f>HYPERLINK("SE\A-5052\A-5052__392.png", "Ver Imagen")</f>
        <v/>
      </c>
    </row>
    <row r="1868">
      <c r="A1868" t="n">
        <v>1292</v>
      </c>
      <c r="B1868" t="inlineStr">
        <is>
          <t>A-5052__410</t>
        </is>
      </c>
      <c r="C1868" t="n">
        <v>37.2039908253</v>
      </c>
      <c r="D1868" t="n">
        <v>-7.02608276534</v>
      </c>
      <c r="E1868" t="n">
        <v>3</v>
      </c>
      <c r="F1868" t="n">
        <v>2</v>
      </c>
      <c r="G1868" t="n">
        <v>2</v>
      </c>
      <c r="J1868" t="inlineStr">
        <is>
          <t>Moda</t>
        </is>
      </c>
      <c r="K1868" t="n">
        <v>2</v>
      </c>
      <c r="L1868" t="n">
        <v>1.988</v>
      </c>
      <c r="M1868" t="n">
        <v>0</v>
      </c>
      <c r="N1868" t="inlineStr">
        <is>
          <t>train</t>
        </is>
      </c>
      <c r="O1868">
        <f>HYPERLINK("2\1\marker_305_962776.png", "Ver Imagen")</f>
        <v/>
      </c>
      <c r="P1868">
        <f>HYPERLINK("SE\A-5052\A-5052__410.png", "Ver Imagen")</f>
        <v/>
      </c>
    </row>
    <row r="1869">
      <c r="A1869" t="n">
        <v>1293</v>
      </c>
      <c r="B1869" t="inlineStr">
        <is>
          <t>A-5052__416</t>
        </is>
      </c>
      <c r="C1869" t="n">
        <v>37.2034632279</v>
      </c>
      <c r="D1869" t="n">
        <v>-7.02471007592</v>
      </c>
      <c r="E1869" t="n">
        <v>1</v>
      </c>
      <c r="F1869" t="n">
        <v>2</v>
      </c>
      <c r="G1869" t="n">
        <v>2</v>
      </c>
      <c r="J1869" t="inlineStr">
        <is>
          <t>Moda</t>
        </is>
      </c>
      <c r="K1869" t="n">
        <v>2</v>
      </c>
      <c r="L1869" t="n">
        <v>1.838</v>
      </c>
      <c r="M1869" t="n">
        <v>0</v>
      </c>
      <c r="N1869" t="inlineStr">
        <is>
          <t>train</t>
        </is>
      </c>
      <c r="O1869">
        <f>HYPERLINK("2\1\marker_525_962832.png", "Ver Imagen")</f>
        <v/>
      </c>
      <c r="P1869">
        <f>HYPERLINK("SE\A-5052\A-5052__416.png", "Ver Imagen")</f>
        <v/>
      </c>
    </row>
    <row r="1870">
      <c r="A1870" t="n">
        <v>1295</v>
      </c>
      <c r="B1870" t="inlineStr">
        <is>
          <t>A-5052__444</t>
        </is>
      </c>
      <c r="C1870" t="n">
        <v>37.2010172038</v>
      </c>
      <c r="D1870" t="n">
        <v>-7.01834223317</v>
      </c>
      <c r="E1870" t="n">
        <v>2</v>
      </c>
      <c r="F1870" t="n">
        <v>3</v>
      </c>
      <c r="G1870" t="n">
        <v>2</v>
      </c>
      <c r="J1870" t="inlineStr">
        <is>
          <t>Moda</t>
        </is>
      </c>
      <c r="K1870" t="n">
        <v>2</v>
      </c>
      <c r="L1870" t="n">
        <v>1.921</v>
      </c>
      <c r="M1870" t="n">
        <v>0</v>
      </c>
      <c r="N1870" t="inlineStr">
        <is>
          <t>train</t>
        </is>
      </c>
      <c r="O1870">
        <f>HYPERLINK("2\1\marker_150_963120.png", "Ver Imagen")</f>
        <v/>
      </c>
      <c r="P1870">
        <f>HYPERLINK("SE\A-5052\A-5052__444.png", "Ver Imagen")</f>
        <v/>
      </c>
    </row>
    <row r="1871">
      <c r="A1871" t="n">
        <v>1296</v>
      </c>
      <c r="B1871" t="inlineStr">
        <is>
          <t>A-5052__466</t>
        </is>
      </c>
      <c r="C1871" t="n">
        <v>37.1990721546</v>
      </c>
      <c r="D1871" t="n">
        <v>-7.01327015691</v>
      </c>
      <c r="E1871" t="n">
        <v>2</v>
      </c>
      <c r="F1871" t="n">
        <v>3</v>
      </c>
      <c r="G1871" t="n">
        <v>2</v>
      </c>
      <c r="J1871" t="inlineStr">
        <is>
          <t>Moda</t>
        </is>
      </c>
      <c r="K1871" t="n">
        <v>2</v>
      </c>
      <c r="L1871" t="n">
        <v>1.866</v>
      </c>
      <c r="M1871" t="n">
        <v>0</v>
      </c>
      <c r="N1871" t="inlineStr">
        <is>
          <t>train</t>
        </is>
      </c>
      <c r="O1871">
        <f>HYPERLINK("2\1\marker_220_963354.png", "Ver Imagen")</f>
        <v/>
      </c>
      <c r="P1871">
        <f>HYPERLINK("SE\A-5052\A-5052__466.png", "Ver Imagen")</f>
        <v/>
      </c>
    </row>
    <row r="1872">
      <c r="A1872" t="n">
        <v>1297</v>
      </c>
      <c r="B1872" t="inlineStr">
        <is>
          <t>A-5052__467</t>
        </is>
      </c>
      <c r="C1872" t="n">
        <v>37.1989929666</v>
      </c>
      <c r="D1872" t="n">
        <v>-7.01306247998</v>
      </c>
      <c r="E1872" t="n">
        <v>2</v>
      </c>
      <c r="F1872" t="n">
        <v>3</v>
      </c>
      <c r="G1872" t="n">
        <v>2</v>
      </c>
      <c r="J1872" t="inlineStr">
        <is>
          <t>Moda</t>
        </is>
      </c>
      <c r="K1872" t="n">
        <v>2</v>
      </c>
      <c r="L1872" t="n">
        <v>2.03</v>
      </c>
      <c r="M1872" t="n">
        <v>0</v>
      </c>
      <c r="N1872" t="inlineStr">
        <is>
          <t>train</t>
        </is>
      </c>
      <c r="O1872">
        <f>HYPERLINK("2\1\marker_102_963362.png", "Ver Imagen")</f>
        <v/>
      </c>
      <c r="P1872">
        <f>HYPERLINK("SE\A-5052\A-5052__467.png", "Ver Imagen")</f>
        <v/>
      </c>
    </row>
    <row r="1873">
      <c r="A1873" t="n">
        <v>1298</v>
      </c>
      <c r="B1873" t="inlineStr">
        <is>
          <t>A-5052__475</t>
        </is>
      </c>
      <c r="C1873" t="n">
        <v>37.1982966663</v>
      </c>
      <c r="D1873" t="n">
        <v>-7.01126921655</v>
      </c>
      <c r="E1873" t="n">
        <v>2</v>
      </c>
      <c r="F1873" t="n">
        <v>2</v>
      </c>
      <c r="G1873" t="n">
        <v>3</v>
      </c>
      <c r="J1873" t="inlineStr">
        <is>
          <t>Moda</t>
        </is>
      </c>
      <c r="K1873" t="n">
        <v>2</v>
      </c>
      <c r="L1873" t="n">
        <v>1.804</v>
      </c>
      <c r="M1873" t="n">
        <v>0</v>
      </c>
      <c r="N1873" t="inlineStr">
        <is>
          <t>train</t>
        </is>
      </c>
      <c r="O1873">
        <f>HYPERLINK("2\1\marker_555_963442.png", "Ver Imagen")</f>
        <v/>
      </c>
      <c r="P1873">
        <f>HYPERLINK("SE\A-5052\A-5052__475.png", "Ver Imagen")</f>
        <v/>
      </c>
    </row>
    <row r="1874">
      <c r="A1874" t="n">
        <v>1299</v>
      </c>
      <c r="B1874" t="inlineStr">
        <is>
          <t>A-5052__476</t>
        </is>
      </c>
      <c r="C1874" t="n">
        <v>37.198195062</v>
      </c>
      <c r="D1874" t="n">
        <v>-7.01100691559</v>
      </c>
      <c r="E1874" t="n">
        <v>2</v>
      </c>
      <c r="F1874" t="n">
        <v>2</v>
      </c>
      <c r="G1874" t="n">
        <v>3</v>
      </c>
      <c r="J1874" t="inlineStr">
        <is>
          <t>Moda</t>
        </is>
      </c>
      <c r="K1874" t="n">
        <v>2</v>
      </c>
      <c r="L1874" t="n">
        <v>2.183</v>
      </c>
      <c r="M1874" t="n">
        <v>0</v>
      </c>
      <c r="N1874" t="inlineStr">
        <is>
          <t>test</t>
        </is>
      </c>
      <c r="O1874">
        <f>HYPERLINK("2\1\marker_775_963450.png", "Ver Imagen")</f>
        <v/>
      </c>
      <c r="P1874">
        <f>HYPERLINK("SE\A-5052\A-5052__476.png", "Ver Imagen")</f>
        <v/>
      </c>
    </row>
    <row r="1875">
      <c r="A1875" t="n">
        <v>1300</v>
      </c>
      <c r="B1875" t="inlineStr">
        <is>
          <t>A-5052__481</t>
        </is>
      </c>
      <c r="C1875" t="n">
        <v>37.1977624238</v>
      </c>
      <c r="D1875" t="n">
        <v>-7.00989189511</v>
      </c>
      <c r="E1875" t="n">
        <v>2</v>
      </c>
      <c r="F1875" t="n">
        <v>2</v>
      </c>
      <c r="G1875" t="n">
        <v>3</v>
      </c>
      <c r="J1875" t="inlineStr">
        <is>
          <t>Moda</t>
        </is>
      </c>
      <c r="K1875" t="n">
        <v>2</v>
      </c>
      <c r="L1875" t="n">
        <v>2.363</v>
      </c>
      <c r="M1875" t="n">
        <v>0</v>
      </c>
      <c r="N1875" t="inlineStr">
        <is>
          <t>train</t>
        </is>
      </c>
      <c r="O1875">
        <f>HYPERLINK("2\1\marker_680_963501.png", "Ver Imagen")</f>
        <v/>
      </c>
      <c r="P1875">
        <f>HYPERLINK("SE\A-5052\A-5052__481.png", "Ver Imagen")</f>
        <v/>
      </c>
    </row>
    <row r="1876">
      <c r="A1876" t="n">
        <v>1301</v>
      </c>
      <c r="B1876" t="inlineStr">
        <is>
          <t>A-5052__487</t>
        </is>
      </c>
      <c r="C1876" t="n">
        <v>37.1973500172</v>
      </c>
      <c r="D1876" t="n">
        <v>-7.00847607991</v>
      </c>
      <c r="E1876" t="n">
        <v>2</v>
      </c>
      <c r="F1876" t="n">
        <v>2</v>
      </c>
      <c r="G1876" t="n">
        <v>1</v>
      </c>
      <c r="J1876" t="inlineStr">
        <is>
          <t>Moda</t>
        </is>
      </c>
      <c r="K1876" t="n">
        <v>2</v>
      </c>
      <c r="L1876" t="n">
        <v>1.831</v>
      </c>
      <c r="M1876" t="n">
        <v>0</v>
      </c>
      <c r="N1876" t="inlineStr">
        <is>
          <t>test</t>
        </is>
      </c>
      <c r="O1876">
        <f>HYPERLINK("2\1\marker_810_963559.png", "Ver Imagen")</f>
        <v/>
      </c>
      <c r="P1876">
        <f>HYPERLINK("SE\A-5052\A-5052__487.png", "Ver Imagen")</f>
        <v/>
      </c>
    </row>
    <row r="1877">
      <c r="A1877" t="n">
        <v>1302</v>
      </c>
      <c r="B1877" t="inlineStr">
        <is>
          <t>A-5052__493</t>
        </is>
      </c>
      <c r="C1877" t="n">
        <v>37.1972063754</v>
      </c>
      <c r="D1877" t="n">
        <v>-7.0069559465</v>
      </c>
      <c r="E1877" t="n">
        <v>2</v>
      </c>
      <c r="F1877" t="n">
        <v>2</v>
      </c>
      <c r="G1877" t="n">
        <v>3</v>
      </c>
      <c r="J1877" t="inlineStr">
        <is>
          <t>Moda</t>
        </is>
      </c>
      <c r="K1877" t="n">
        <v>2</v>
      </c>
      <c r="L1877" t="n">
        <v>2.299</v>
      </c>
      <c r="M1877" t="n">
        <v>0</v>
      </c>
      <c r="N1877" t="inlineStr">
        <is>
          <t>train</t>
        </is>
      </c>
      <c r="O1877">
        <f>HYPERLINK("2\1\marker_320_963615.png", "Ver Imagen")</f>
        <v/>
      </c>
      <c r="P1877">
        <f>HYPERLINK("SE\A-5052\A-5052__493.png", "Ver Imagen")</f>
        <v/>
      </c>
    </row>
    <row r="1878">
      <c r="A1878" t="n">
        <v>1303</v>
      </c>
      <c r="B1878" t="inlineStr">
        <is>
          <t>A-5052__497</t>
        </is>
      </c>
      <c r="C1878" t="n">
        <v>37.1970532374</v>
      </c>
      <c r="D1878" t="n">
        <v>-7.00598737105</v>
      </c>
      <c r="E1878" t="n">
        <v>2</v>
      </c>
      <c r="F1878" t="n">
        <v>1</v>
      </c>
      <c r="G1878" t="n">
        <v>2</v>
      </c>
      <c r="J1878" t="inlineStr">
        <is>
          <t>Moda</t>
        </is>
      </c>
      <c r="K1878" t="n">
        <v>2</v>
      </c>
      <c r="L1878" t="n">
        <v>2.136</v>
      </c>
      <c r="M1878" t="n">
        <v>0</v>
      </c>
      <c r="N1878" t="inlineStr">
        <is>
          <t>train</t>
        </is>
      </c>
      <c r="O1878">
        <f>HYPERLINK("2\1\marker_297_963651.png", "Ver Imagen")</f>
        <v/>
      </c>
      <c r="P1878">
        <f>HYPERLINK("SE\A-5052\A-5052__497.png", "Ver Imagen")</f>
        <v/>
      </c>
    </row>
    <row r="1879">
      <c r="A1879" t="n">
        <v>1304</v>
      </c>
      <c r="B1879" t="inlineStr">
        <is>
          <t>A-5052__499</t>
        </is>
      </c>
      <c r="C1879" t="n">
        <v>37.1969134151</v>
      </c>
      <c r="D1879" t="n">
        <v>-7.00544338861</v>
      </c>
      <c r="E1879" t="n">
        <v>2</v>
      </c>
      <c r="F1879" t="n">
        <v>2</v>
      </c>
      <c r="G1879" t="n">
        <v>3</v>
      </c>
      <c r="J1879" t="inlineStr">
        <is>
          <t>Moda</t>
        </is>
      </c>
      <c r="K1879" t="n">
        <v>2</v>
      </c>
      <c r="L1879" t="n">
        <v>2.023</v>
      </c>
      <c r="M1879" t="n">
        <v>0</v>
      </c>
      <c r="N1879" t="inlineStr">
        <is>
          <t>train</t>
        </is>
      </c>
      <c r="O1879">
        <f>HYPERLINK("2\1\marker_613_963668.png", "Ver Imagen")</f>
        <v/>
      </c>
      <c r="P1879">
        <f>HYPERLINK("SE\A-5052\A-5052__499.png", "Ver Imagen")</f>
        <v/>
      </c>
    </row>
    <row r="1880">
      <c r="A1880" t="n">
        <v>1305</v>
      </c>
      <c r="B1880" t="inlineStr">
        <is>
          <t>A-5052__501</t>
        </is>
      </c>
      <c r="C1880" t="n">
        <v>37.1967947965</v>
      </c>
      <c r="D1880" t="n">
        <v>-7.00503628289</v>
      </c>
      <c r="E1880" t="n">
        <v>2</v>
      </c>
      <c r="F1880" t="n">
        <v>3</v>
      </c>
      <c r="G1880" t="n">
        <v>2</v>
      </c>
      <c r="J1880" t="inlineStr">
        <is>
          <t>Moda</t>
        </is>
      </c>
      <c r="K1880" t="n">
        <v>2</v>
      </c>
      <c r="L1880" t="n">
        <v>1.903</v>
      </c>
      <c r="M1880" t="n">
        <v>0</v>
      </c>
      <c r="N1880" t="inlineStr">
        <is>
          <t>train</t>
        </is>
      </c>
      <c r="O1880">
        <f>HYPERLINK("2\1\marker_770_963689.png", "Ver Imagen")</f>
        <v/>
      </c>
      <c r="P1880">
        <f>HYPERLINK("SE\A-5052\A-5052__501.png", "Ver Imagen")</f>
        <v/>
      </c>
    </row>
    <row r="1881">
      <c r="A1881" t="n">
        <v>1307</v>
      </c>
      <c r="B1881" t="inlineStr">
        <is>
          <t>A-5053__306</t>
        </is>
      </c>
      <c r="C1881" t="n">
        <v>37.2754239562</v>
      </c>
      <c r="D1881" t="n">
        <v>-7.14275959355</v>
      </c>
      <c r="E1881" t="n">
        <v>2</v>
      </c>
      <c r="F1881" t="n">
        <v>3</v>
      </c>
      <c r="G1881" t="n">
        <v>2</v>
      </c>
      <c r="J1881" t="inlineStr">
        <is>
          <t>Moda</t>
        </is>
      </c>
      <c r="K1881" t="n">
        <v>2</v>
      </c>
      <c r="L1881" t="n">
        <v>2.009</v>
      </c>
      <c r="M1881" t="n">
        <v>0</v>
      </c>
      <c r="N1881" t="inlineStr">
        <is>
          <t>train</t>
        </is>
      </c>
      <c r="O1881">
        <f>HYPERLINK("2\1\marker_609_964713.png", "Ver Imagen")</f>
        <v/>
      </c>
      <c r="P1881">
        <f>HYPERLINK("SO\A-5053\A-5053__306.png", "Ver Imagen")</f>
        <v/>
      </c>
    </row>
    <row r="1882">
      <c r="A1882" t="n">
        <v>1308</v>
      </c>
      <c r="B1882" t="inlineStr">
        <is>
          <t>A-5053__305</t>
        </is>
      </c>
      <c r="C1882" t="n">
        <v>37.2752368122</v>
      </c>
      <c r="D1882" t="n">
        <v>-7.14271184404</v>
      </c>
      <c r="E1882" t="n">
        <v>2</v>
      </c>
      <c r="F1882" t="n">
        <v>3</v>
      </c>
      <c r="G1882" t="n">
        <v>2</v>
      </c>
      <c r="J1882" t="inlineStr">
        <is>
          <t>Moda</t>
        </is>
      </c>
      <c r="K1882" t="n">
        <v>2</v>
      </c>
      <c r="L1882" t="n">
        <v>1.995</v>
      </c>
      <c r="M1882" t="n">
        <v>0</v>
      </c>
      <c r="N1882" t="inlineStr">
        <is>
          <t>test</t>
        </is>
      </c>
      <c r="O1882">
        <f>HYPERLINK("2\1\marker_837_964722.png", "Ver Imagen")</f>
        <v/>
      </c>
      <c r="P1882">
        <f>HYPERLINK("SO\A-5053\A-5053__305.png", "Ver Imagen")</f>
        <v/>
      </c>
    </row>
    <row r="1883">
      <c r="A1883" t="n">
        <v>1309</v>
      </c>
      <c r="B1883" t="inlineStr">
        <is>
          <t>A-5053__303</t>
        </is>
      </c>
      <c r="C1883" t="n">
        <v>37.274831807</v>
      </c>
      <c r="D1883" t="n">
        <v>-7.14258501667</v>
      </c>
      <c r="E1883" t="n">
        <v>2</v>
      </c>
      <c r="F1883" t="n">
        <v>3</v>
      </c>
      <c r="G1883" t="n">
        <v>2</v>
      </c>
      <c r="J1883" t="inlineStr">
        <is>
          <t>Moda</t>
        </is>
      </c>
      <c r="K1883" t="n">
        <v>2</v>
      </c>
      <c r="L1883" t="n">
        <v>1.991</v>
      </c>
      <c r="M1883" t="n">
        <v>0</v>
      </c>
      <c r="N1883" t="inlineStr">
        <is>
          <t>train</t>
        </is>
      </c>
      <c r="O1883">
        <f>HYPERLINK("2\1\marker_762_964741.png", "Ver Imagen")</f>
        <v/>
      </c>
      <c r="P1883">
        <f>HYPERLINK("SO\A-5053\A-5053__303.png", "Ver Imagen")</f>
        <v/>
      </c>
    </row>
    <row r="1884">
      <c r="A1884" t="n">
        <v>1310</v>
      </c>
      <c r="B1884" t="inlineStr">
        <is>
          <t>A-5053__287</t>
        </is>
      </c>
      <c r="C1884" t="n">
        <v>37.2718887898</v>
      </c>
      <c r="D1884" t="n">
        <v>-7.14105941368</v>
      </c>
      <c r="E1884" t="n">
        <v>2</v>
      </c>
      <c r="F1884" t="n">
        <v>3</v>
      </c>
      <c r="G1884" t="n">
        <v>2</v>
      </c>
      <c r="J1884" t="inlineStr">
        <is>
          <t>Moda</t>
        </is>
      </c>
      <c r="K1884" t="n">
        <v>2</v>
      </c>
      <c r="L1884" t="n">
        <v>1.952</v>
      </c>
      <c r="M1884" t="n">
        <v>0</v>
      </c>
      <c r="N1884" t="inlineStr">
        <is>
          <t>train</t>
        </is>
      </c>
      <c r="O1884">
        <f>HYPERLINK("2\1\marker_601_964991.png", "Ver Imagen")</f>
        <v/>
      </c>
      <c r="P1884">
        <f>HYPERLINK("SO\A-5053\A-5053__287.png", "Ver Imagen")</f>
        <v/>
      </c>
    </row>
    <row r="1885">
      <c r="A1885" t="n">
        <v>1311</v>
      </c>
      <c r="B1885" t="inlineStr">
        <is>
          <t>A-5053__286</t>
        </is>
      </c>
      <c r="C1885" t="n">
        <v>37.2717147568</v>
      </c>
      <c r="D1885" t="n">
        <v>-7.14090632957</v>
      </c>
      <c r="E1885" t="n">
        <v>2</v>
      </c>
      <c r="F1885" t="n">
        <v>3</v>
      </c>
      <c r="G1885" t="n">
        <v>2</v>
      </c>
      <c r="J1885" t="inlineStr">
        <is>
          <t>Moda</t>
        </is>
      </c>
      <c r="K1885" t="n">
        <v>2</v>
      </c>
      <c r="L1885" t="n">
        <v>2.111</v>
      </c>
      <c r="M1885" t="n">
        <v>0</v>
      </c>
      <c r="N1885" t="inlineStr">
        <is>
          <t>train</t>
        </is>
      </c>
      <c r="O1885">
        <f>HYPERLINK("2\1\marker_473_965000.png", "Ver Imagen")</f>
        <v/>
      </c>
      <c r="P1885">
        <f>HYPERLINK("SO\A-5053\A-5053__286.png", "Ver Imagen")</f>
        <v/>
      </c>
    </row>
    <row r="1886">
      <c r="A1886" t="n">
        <v>1312</v>
      </c>
      <c r="B1886" t="inlineStr">
        <is>
          <t>A-5053__285</t>
        </is>
      </c>
      <c r="C1886" t="n">
        <v>37.2715466257</v>
      </c>
      <c r="D1886" t="n">
        <v>-7.14075767326</v>
      </c>
      <c r="E1886" t="n">
        <v>2</v>
      </c>
      <c r="F1886" t="n">
        <v>3</v>
      </c>
      <c r="G1886" t="n">
        <v>2</v>
      </c>
      <c r="J1886" t="inlineStr">
        <is>
          <t>Moda</t>
        </is>
      </c>
      <c r="K1886" t="n">
        <v>2</v>
      </c>
      <c r="L1886" t="n">
        <v>1.818</v>
      </c>
      <c r="M1886" t="n">
        <v>0</v>
      </c>
      <c r="N1886" t="inlineStr">
        <is>
          <t>train</t>
        </is>
      </c>
      <c r="O1886">
        <f>HYPERLINK("2\1\marker_566_965010.png", "Ver Imagen")</f>
        <v/>
      </c>
      <c r="P1886">
        <f>HYPERLINK("SO\A-5053\A-5053__285.png", "Ver Imagen")</f>
        <v/>
      </c>
    </row>
    <row r="1887">
      <c r="A1887" t="n">
        <v>1313</v>
      </c>
      <c r="B1887" t="inlineStr">
        <is>
          <t>A-5053__284</t>
        </is>
      </c>
      <c r="C1887" t="n">
        <v>37.2713720194</v>
      </c>
      <c r="D1887" t="n">
        <v>-7.14060742768</v>
      </c>
      <c r="E1887" t="n">
        <v>3</v>
      </c>
      <c r="F1887" t="n">
        <v>2</v>
      </c>
      <c r="G1887" t="n">
        <v>2</v>
      </c>
      <c r="J1887" t="inlineStr">
        <is>
          <t>Moda</t>
        </is>
      </c>
      <c r="K1887" t="n">
        <v>2</v>
      </c>
      <c r="L1887" t="n">
        <v>1.864</v>
      </c>
      <c r="M1887" t="n">
        <v>0</v>
      </c>
      <c r="N1887" t="inlineStr">
        <is>
          <t>train</t>
        </is>
      </c>
      <c r="O1887">
        <f>HYPERLINK("2\1\marker_415_965019.png", "Ver Imagen")</f>
        <v/>
      </c>
      <c r="P1887">
        <f>HYPERLINK("SO\A-5053\A-5053__284.png", "Ver Imagen")</f>
        <v/>
      </c>
    </row>
    <row r="1888">
      <c r="A1888" t="n">
        <v>1314</v>
      </c>
      <c r="B1888" t="inlineStr">
        <is>
          <t>A-5053__243</t>
        </is>
      </c>
      <c r="C1888" t="n">
        <v>37.2663072001</v>
      </c>
      <c r="D1888" t="n">
        <v>-7.13304720706</v>
      </c>
      <c r="E1888" t="n">
        <v>3</v>
      </c>
      <c r="F1888" t="n">
        <v>2</v>
      </c>
      <c r="G1888" t="n">
        <v>2</v>
      </c>
      <c r="J1888" t="inlineStr">
        <is>
          <t>Moda</t>
        </is>
      </c>
      <c r="K1888" t="n">
        <v>2</v>
      </c>
      <c r="L1888" t="n">
        <v>1.952</v>
      </c>
      <c r="M1888" t="n">
        <v>0</v>
      </c>
      <c r="N1888" t="inlineStr">
        <is>
          <t>train</t>
        </is>
      </c>
      <c r="O1888">
        <f>HYPERLINK("2\1\marker_892_965471.png", "Ver Imagen")</f>
        <v/>
      </c>
      <c r="P1888">
        <f>HYPERLINK("SO\A-5053\A-5053__243.png", "Ver Imagen")</f>
        <v/>
      </c>
    </row>
    <row r="1889">
      <c r="A1889" t="n">
        <v>1315</v>
      </c>
      <c r="B1889" t="inlineStr">
        <is>
          <t>A-5053__239</t>
        </is>
      </c>
      <c r="C1889" t="n">
        <v>37.2655560175</v>
      </c>
      <c r="D1889" t="n">
        <v>-7.13256872323</v>
      </c>
      <c r="E1889" t="n">
        <v>2</v>
      </c>
      <c r="F1889" t="n">
        <v>3</v>
      </c>
      <c r="G1889" t="n">
        <v>2</v>
      </c>
      <c r="J1889" t="inlineStr">
        <is>
          <t>Moda</t>
        </is>
      </c>
      <c r="K1889" t="n">
        <v>2</v>
      </c>
      <c r="L1889" t="n">
        <v>1.817</v>
      </c>
      <c r="M1889" t="n">
        <v>0</v>
      </c>
      <c r="N1889" t="inlineStr">
        <is>
          <t>train</t>
        </is>
      </c>
      <c r="O1889">
        <f>HYPERLINK("2\1\marker_167_965509.png", "Ver Imagen")</f>
        <v/>
      </c>
      <c r="P1889">
        <f>HYPERLINK("SO\A-5053\A-5053__239.png", "Ver Imagen")</f>
        <v/>
      </c>
    </row>
    <row r="1890">
      <c r="A1890" t="n">
        <v>1316</v>
      </c>
      <c r="B1890" t="inlineStr">
        <is>
          <t>A-5053__207</t>
        </is>
      </c>
      <c r="C1890" t="n">
        <v>37.2597998738</v>
      </c>
      <c r="D1890" t="n">
        <v>-7.12896141222</v>
      </c>
      <c r="E1890" t="n">
        <v>3</v>
      </c>
      <c r="F1890" t="n">
        <v>2</v>
      </c>
      <c r="G1890" t="n">
        <v>2</v>
      </c>
      <c r="J1890" t="inlineStr">
        <is>
          <t>Moda</t>
        </is>
      </c>
      <c r="K1890" t="n">
        <v>2</v>
      </c>
      <c r="L1890" t="n">
        <v>1.989</v>
      </c>
      <c r="M1890" t="n">
        <v>0</v>
      </c>
      <c r="N1890" t="inlineStr">
        <is>
          <t>train</t>
        </is>
      </c>
      <c r="O1890">
        <f>HYPERLINK("2\1\marker_152_965824.png", "Ver Imagen")</f>
        <v/>
      </c>
      <c r="P1890">
        <f>HYPERLINK("SO\A-5053\A-5053__207.png", "Ver Imagen")</f>
        <v/>
      </c>
    </row>
    <row r="1891">
      <c r="A1891" t="n">
        <v>1317</v>
      </c>
      <c r="B1891" t="inlineStr">
        <is>
          <t>A-5053__204</t>
        </is>
      </c>
      <c r="C1891" t="n">
        <v>37.2592555469</v>
      </c>
      <c r="D1891" t="n">
        <v>-7.12861875085</v>
      </c>
      <c r="E1891" t="n">
        <v>2</v>
      </c>
      <c r="F1891" t="n">
        <v>3</v>
      </c>
      <c r="G1891" t="n">
        <v>2</v>
      </c>
      <c r="J1891" t="inlineStr">
        <is>
          <t>Moda</t>
        </is>
      </c>
      <c r="K1891" t="n">
        <v>2</v>
      </c>
      <c r="L1891" t="n">
        <v>2.113</v>
      </c>
      <c r="M1891" t="n">
        <v>0</v>
      </c>
      <c r="N1891" t="inlineStr">
        <is>
          <t>train</t>
        </is>
      </c>
      <c r="O1891">
        <f>HYPERLINK("2\1\marker_475_965852.png", "Ver Imagen")</f>
        <v/>
      </c>
      <c r="P1891">
        <f>HYPERLINK("SO\A-5053\A-5053__204.png", "Ver Imagen")</f>
        <v/>
      </c>
    </row>
    <row r="1892">
      <c r="A1892" t="n">
        <v>1318</v>
      </c>
      <c r="B1892" t="inlineStr">
        <is>
          <t>A-5053__201</t>
        </is>
      </c>
      <c r="C1892" t="n">
        <v>37.2587024724</v>
      </c>
      <c r="D1892" t="n">
        <v>-7.12826704409</v>
      </c>
      <c r="E1892" t="n">
        <v>2</v>
      </c>
      <c r="F1892" t="n">
        <v>3</v>
      </c>
      <c r="G1892" t="n">
        <v>2</v>
      </c>
      <c r="J1892" t="inlineStr">
        <is>
          <t>Moda</t>
        </is>
      </c>
      <c r="K1892" t="n">
        <v>2</v>
      </c>
      <c r="L1892" t="n">
        <v>2.22</v>
      </c>
      <c r="M1892" t="n">
        <v>0</v>
      </c>
      <c r="N1892" t="inlineStr">
        <is>
          <t>train</t>
        </is>
      </c>
      <c r="O1892">
        <f>HYPERLINK("2\1\marker_100_965876.png", "Ver Imagen")</f>
        <v/>
      </c>
      <c r="P1892">
        <f>HYPERLINK("SO\A-5053\A-5053__201.png", "Ver Imagen")</f>
        <v/>
      </c>
    </row>
    <row r="1893">
      <c r="A1893" t="n">
        <v>1319</v>
      </c>
      <c r="B1893" t="inlineStr">
        <is>
          <t>A-5053__197</t>
        </is>
      </c>
      <c r="C1893" t="n">
        <v>37.2580142638</v>
      </c>
      <c r="D1893" t="n">
        <v>-7.12782815435</v>
      </c>
      <c r="E1893" t="n">
        <v>3</v>
      </c>
      <c r="F1893" t="n">
        <v>2</v>
      </c>
      <c r="G1893" t="n">
        <v>2</v>
      </c>
      <c r="J1893" t="inlineStr">
        <is>
          <t>Moda</t>
        </is>
      </c>
      <c r="K1893" t="n">
        <v>2</v>
      </c>
      <c r="L1893" t="n">
        <v>2.146</v>
      </c>
      <c r="M1893" t="n">
        <v>0</v>
      </c>
      <c r="N1893" t="inlineStr">
        <is>
          <t>train</t>
        </is>
      </c>
      <c r="O1893">
        <f>HYPERLINK("2\1\marker_234_965914.png", "Ver Imagen")</f>
        <v/>
      </c>
      <c r="P1893">
        <f>HYPERLINK("SO\A-5053\A-5053__197.png", "Ver Imagen")</f>
        <v/>
      </c>
    </row>
    <row r="1894">
      <c r="A1894" t="n">
        <v>1320</v>
      </c>
      <c r="B1894" t="inlineStr">
        <is>
          <t>A-5053__178</t>
        </is>
      </c>
      <c r="C1894" t="n">
        <v>37.2543229214</v>
      </c>
      <c r="D1894" t="n">
        <v>-7.1266309183</v>
      </c>
      <c r="E1894" t="n">
        <v>1</v>
      </c>
      <c r="F1894" t="n">
        <v>2</v>
      </c>
      <c r="G1894" t="n">
        <v>2</v>
      </c>
      <c r="J1894" t="inlineStr">
        <is>
          <t>Moda</t>
        </is>
      </c>
      <c r="K1894" t="n">
        <v>2</v>
      </c>
      <c r="L1894" t="n">
        <v>1.991</v>
      </c>
      <c r="M1894" t="n">
        <v>0</v>
      </c>
      <c r="N1894" t="inlineStr">
        <is>
          <t>train</t>
        </is>
      </c>
      <c r="O1894">
        <f>HYPERLINK("2\1\marker_981_966110.png", "Ver Imagen")</f>
        <v/>
      </c>
      <c r="P1894">
        <f>HYPERLINK("SO\A-5053\A-5053__178.png", "Ver Imagen")</f>
        <v/>
      </c>
    </row>
    <row r="1895">
      <c r="A1895" t="n">
        <v>1321</v>
      </c>
      <c r="B1895" t="inlineStr">
        <is>
          <t>A-5053__159</t>
        </is>
      </c>
      <c r="C1895" t="n">
        <v>37.2505512518</v>
      </c>
      <c r="D1895" t="n">
        <v>-7.12719557022</v>
      </c>
      <c r="E1895" t="n">
        <v>2</v>
      </c>
      <c r="F1895" t="n">
        <v>3</v>
      </c>
      <c r="G1895" t="n">
        <v>2</v>
      </c>
      <c r="J1895" t="inlineStr">
        <is>
          <t>Moda</t>
        </is>
      </c>
      <c r="K1895" t="n">
        <v>2</v>
      </c>
      <c r="L1895" t="n">
        <v>1.917</v>
      </c>
      <c r="M1895" t="n">
        <v>0</v>
      </c>
      <c r="N1895" t="inlineStr">
        <is>
          <t>train</t>
        </is>
      </c>
      <c r="O1895">
        <f>HYPERLINK("2\1\marker_698_966294.png", "Ver Imagen")</f>
        <v/>
      </c>
      <c r="P1895">
        <f>HYPERLINK("SO\A-5053\A-5053__159.png", "Ver Imagen")</f>
        <v/>
      </c>
    </row>
    <row r="1896">
      <c r="A1896" t="n">
        <v>1322</v>
      </c>
      <c r="B1896" t="inlineStr">
        <is>
          <t>A-5053__149</t>
        </is>
      </c>
      <c r="C1896" t="n">
        <v>37.248497373</v>
      </c>
      <c r="D1896" t="n">
        <v>-7.12750626345</v>
      </c>
      <c r="E1896" t="n">
        <v>2</v>
      </c>
      <c r="F1896" t="n">
        <v>2</v>
      </c>
      <c r="G1896" t="n">
        <v>3</v>
      </c>
      <c r="J1896" t="inlineStr">
        <is>
          <t>Moda</t>
        </is>
      </c>
      <c r="K1896" t="n">
        <v>2</v>
      </c>
      <c r="L1896" t="n">
        <v>2.049</v>
      </c>
      <c r="M1896" t="n">
        <v>0</v>
      </c>
      <c r="N1896" t="inlineStr">
        <is>
          <t>train</t>
        </is>
      </c>
      <c r="O1896">
        <f>HYPERLINK("2\1\marker_539_966397.png", "Ver Imagen")</f>
        <v/>
      </c>
      <c r="P1896">
        <f>HYPERLINK("SO\A-5053\A-5053__149.png", "Ver Imagen")</f>
        <v/>
      </c>
    </row>
    <row r="1897">
      <c r="A1897" t="n">
        <v>1323</v>
      </c>
      <c r="B1897" t="inlineStr">
        <is>
          <t>A-5053__140</t>
        </is>
      </c>
      <c r="C1897" t="n">
        <v>37.2466909204</v>
      </c>
      <c r="D1897" t="n">
        <v>-7.12777187791</v>
      </c>
      <c r="E1897" t="n">
        <v>2</v>
      </c>
      <c r="F1897" t="n">
        <v>2</v>
      </c>
      <c r="G1897" t="n">
        <v>3</v>
      </c>
      <c r="J1897" t="inlineStr">
        <is>
          <t>Moda</t>
        </is>
      </c>
      <c r="K1897" t="n">
        <v>2</v>
      </c>
      <c r="L1897" t="n">
        <v>1.966</v>
      </c>
      <c r="M1897" t="n">
        <v>0</v>
      </c>
      <c r="N1897" t="inlineStr">
        <is>
          <t>train</t>
        </is>
      </c>
      <c r="O1897">
        <f>HYPERLINK("2\1\marker_591_966484.png", "Ver Imagen")</f>
        <v/>
      </c>
      <c r="P1897">
        <f>HYPERLINK("SO\A-5053\A-5053__140.png", "Ver Imagen")</f>
        <v/>
      </c>
    </row>
    <row r="1898">
      <c r="A1898" t="n">
        <v>1324</v>
      </c>
      <c r="B1898" t="inlineStr">
        <is>
          <t>A-5053__139</t>
        </is>
      </c>
      <c r="C1898" t="n">
        <v>37.2464820254</v>
      </c>
      <c r="D1898" t="n">
        <v>-7.12780336085</v>
      </c>
      <c r="E1898" t="n">
        <v>2</v>
      </c>
      <c r="F1898" t="n">
        <v>2</v>
      </c>
      <c r="G1898" t="n">
        <v>3</v>
      </c>
      <c r="J1898" t="inlineStr">
        <is>
          <t>Moda</t>
        </is>
      </c>
      <c r="K1898" t="n">
        <v>2</v>
      </c>
      <c r="L1898" t="n">
        <v>1.977</v>
      </c>
      <c r="M1898" t="n">
        <v>0</v>
      </c>
      <c r="N1898" t="inlineStr">
        <is>
          <t>train</t>
        </is>
      </c>
      <c r="O1898">
        <f>HYPERLINK("2\1\marker_362_966493.png", "Ver Imagen")</f>
        <v/>
      </c>
      <c r="P1898">
        <f>HYPERLINK("SO\A-5053\A-5053__139.png", "Ver Imagen")</f>
        <v/>
      </c>
    </row>
    <row r="1899">
      <c r="A1899" t="n">
        <v>1325</v>
      </c>
      <c r="B1899" t="inlineStr">
        <is>
          <t>A-5053__138</t>
        </is>
      </c>
      <c r="C1899" t="n">
        <v>37.246299254</v>
      </c>
      <c r="D1899" t="n">
        <v>-7.12783083419</v>
      </c>
      <c r="E1899" t="n">
        <v>2</v>
      </c>
      <c r="F1899" t="n">
        <v>2</v>
      </c>
      <c r="G1899" t="n">
        <v>3</v>
      </c>
      <c r="J1899" t="inlineStr">
        <is>
          <t>Moda</t>
        </is>
      </c>
      <c r="K1899" t="n">
        <v>2</v>
      </c>
      <c r="L1899" t="n">
        <v>2.454</v>
      </c>
      <c r="M1899" t="n">
        <v>0</v>
      </c>
      <c r="N1899" t="inlineStr">
        <is>
          <t>val</t>
        </is>
      </c>
      <c r="O1899">
        <f>HYPERLINK("2\1\marker_573_966504.png", "Ver Imagen")</f>
        <v/>
      </c>
      <c r="P1899">
        <f>HYPERLINK("SO\A-5053\A-5053__138.png", "Ver Imagen")</f>
        <v/>
      </c>
    </row>
    <row r="1900">
      <c r="A1900" t="n">
        <v>1326</v>
      </c>
      <c r="B1900" t="inlineStr">
        <is>
          <t>A-5053__134</t>
        </is>
      </c>
      <c r="C1900" t="n">
        <v>37.2454913016</v>
      </c>
      <c r="D1900" t="n">
        <v>-7.12794943586</v>
      </c>
      <c r="E1900" t="n">
        <v>2</v>
      </c>
      <c r="F1900" t="n">
        <v>2</v>
      </c>
      <c r="G1900" t="n">
        <v>3</v>
      </c>
      <c r="J1900" t="inlineStr">
        <is>
          <t>Moda</t>
        </is>
      </c>
      <c r="K1900" t="n">
        <v>2</v>
      </c>
      <c r="L1900" t="n">
        <v>2.074</v>
      </c>
      <c r="M1900" t="n">
        <v>0</v>
      </c>
      <c r="N1900" t="inlineStr">
        <is>
          <t>val</t>
        </is>
      </c>
      <c r="O1900">
        <f>HYPERLINK("2\1\marker_905_966537.png", "Ver Imagen")</f>
        <v/>
      </c>
      <c r="P1900">
        <f>HYPERLINK("SO\A-5053\A-5053__134.png", "Ver Imagen")</f>
        <v/>
      </c>
    </row>
    <row r="1901">
      <c r="A1901" t="n">
        <v>1327</v>
      </c>
      <c r="B1901" t="inlineStr">
        <is>
          <t>A-5053__123</t>
        </is>
      </c>
      <c r="C1901" t="n">
        <v>37.2432764692</v>
      </c>
      <c r="D1901" t="n">
        <v>-7.12827356923</v>
      </c>
      <c r="E1901" t="n">
        <v>2</v>
      </c>
      <c r="F1901" t="n">
        <v>2</v>
      </c>
      <c r="G1901" t="n">
        <v>3</v>
      </c>
      <c r="J1901" t="inlineStr">
        <is>
          <t>Moda</t>
        </is>
      </c>
      <c r="K1901" t="n">
        <v>2</v>
      </c>
      <c r="L1901" t="n">
        <v>2.086</v>
      </c>
      <c r="M1901" t="n">
        <v>0</v>
      </c>
      <c r="N1901" t="inlineStr">
        <is>
          <t>train</t>
        </is>
      </c>
      <c r="O1901">
        <f>HYPERLINK("2\1\marker_488_019560.png", "Ver Imagen")</f>
        <v/>
      </c>
      <c r="P1901">
        <f>HYPERLINK("SO\A-5053\A-5053__123.png", "Ver Imagen")</f>
        <v/>
      </c>
    </row>
    <row r="1902">
      <c r="A1902" t="n">
        <v>1328</v>
      </c>
      <c r="B1902" t="inlineStr">
        <is>
          <t>A-5053__110</t>
        </is>
      </c>
      <c r="C1902" t="n">
        <v>37.2406548131</v>
      </c>
      <c r="D1902" t="n">
        <v>-7.1286041167</v>
      </c>
      <c r="E1902" t="n">
        <v>2</v>
      </c>
      <c r="F1902" t="n">
        <v>2</v>
      </c>
      <c r="G1902" t="n">
        <v>3</v>
      </c>
      <c r="J1902" t="inlineStr">
        <is>
          <t>Moda</t>
        </is>
      </c>
      <c r="K1902" t="n">
        <v>2</v>
      </c>
      <c r="L1902" t="n">
        <v>1.901</v>
      </c>
      <c r="M1902" t="n">
        <v>0</v>
      </c>
      <c r="N1902" t="inlineStr">
        <is>
          <t>train</t>
        </is>
      </c>
      <c r="O1902">
        <f>HYPERLINK("2\1\marker_238_019703.png", "Ver Imagen")</f>
        <v/>
      </c>
      <c r="P1902">
        <f>HYPERLINK("SO\A-5053\A-5053__110.png", "Ver Imagen")</f>
        <v/>
      </c>
    </row>
    <row r="1903">
      <c r="A1903" t="n">
        <v>1329</v>
      </c>
      <c r="B1903" t="inlineStr">
        <is>
          <t>A-5053__109</t>
        </is>
      </c>
      <c r="C1903" t="n">
        <v>37.2404464988</v>
      </c>
      <c r="D1903" t="n">
        <v>-7.1285981417</v>
      </c>
      <c r="E1903" t="n">
        <v>2</v>
      </c>
      <c r="F1903" t="n">
        <v>1</v>
      </c>
      <c r="G1903" t="n">
        <v>2</v>
      </c>
      <c r="J1903" t="inlineStr">
        <is>
          <t>Moda</t>
        </is>
      </c>
      <c r="K1903" t="n">
        <v>2</v>
      </c>
      <c r="L1903" t="n">
        <v>2.067</v>
      </c>
      <c r="M1903" t="n">
        <v>0</v>
      </c>
      <c r="N1903" t="inlineStr">
        <is>
          <t>test</t>
        </is>
      </c>
      <c r="O1903">
        <f>HYPERLINK("2\1\marker_698_019713.png", "Ver Imagen")</f>
        <v/>
      </c>
      <c r="P1903">
        <f>HYPERLINK("SO\A-5053\A-5053__109.png", "Ver Imagen")</f>
        <v/>
      </c>
    </row>
    <row r="1904">
      <c r="A1904" t="n">
        <v>1330</v>
      </c>
      <c r="B1904" t="inlineStr">
        <is>
          <t>A-5053__108</t>
        </is>
      </c>
      <c r="C1904" t="n">
        <v>37.240269337</v>
      </c>
      <c r="D1904" t="n">
        <v>-7.12858717469</v>
      </c>
      <c r="E1904" t="n">
        <v>2</v>
      </c>
      <c r="F1904" t="n">
        <v>1</v>
      </c>
      <c r="G1904" t="n">
        <v>2</v>
      </c>
      <c r="J1904" t="inlineStr">
        <is>
          <t>Moda</t>
        </is>
      </c>
      <c r="K1904" t="n">
        <v>2</v>
      </c>
      <c r="L1904" t="n">
        <v>2.009</v>
      </c>
      <c r="M1904" t="n">
        <v>0</v>
      </c>
      <c r="N1904" t="inlineStr">
        <is>
          <t>train</t>
        </is>
      </c>
      <c r="O1904">
        <f>HYPERLINK("2\1\marker_670_019724.png", "Ver Imagen")</f>
        <v/>
      </c>
      <c r="P1904">
        <f>HYPERLINK("SO\A-5053\A-5053__108.png", "Ver Imagen")</f>
        <v/>
      </c>
    </row>
    <row r="1905">
      <c r="A1905" t="n">
        <v>1331</v>
      </c>
      <c r="B1905" t="inlineStr">
        <is>
          <t>A-5053__98</t>
        </is>
      </c>
      <c r="C1905" t="n">
        <v>37.2382293365</v>
      </c>
      <c r="D1905" t="n">
        <v>-7.12839815304</v>
      </c>
      <c r="E1905" t="n">
        <v>2</v>
      </c>
      <c r="F1905" t="n">
        <v>3</v>
      </c>
      <c r="G1905" t="n">
        <v>2</v>
      </c>
      <c r="J1905" t="inlineStr">
        <is>
          <t>Moda</t>
        </is>
      </c>
      <c r="K1905" t="n">
        <v>2</v>
      </c>
      <c r="L1905" t="n">
        <v>2.044</v>
      </c>
      <c r="M1905" t="n">
        <v>0</v>
      </c>
      <c r="N1905" t="inlineStr">
        <is>
          <t>train</t>
        </is>
      </c>
      <c r="O1905">
        <f>HYPERLINK("2\1\marker_160_019833.png", "Ver Imagen")</f>
        <v/>
      </c>
      <c r="P1905">
        <f>HYPERLINK("SO\A-5053\A-5053__98.png", "Ver Imagen")</f>
        <v/>
      </c>
    </row>
    <row r="1906">
      <c r="A1906" t="n">
        <v>1332</v>
      </c>
      <c r="B1906" t="inlineStr">
        <is>
          <t>A-5053__90</t>
        </is>
      </c>
      <c r="C1906" t="n">
        <v>37.236593548</v>
      </c>
      <c r="D1906" t="n">
        <v>-7.12824179738</v>
      </c>
      <c r="E1906" t="n">
        <v>2</v>
      </c>
      <c r="F1906" t="n">
        <v>2</v>
      </c>
      <c r="G1906" t="n">
        <v>3</v>
      </c>
      <c r="J1906" t="inlineStr">
        <is>
          <t>Moda</t>
        </is>
      </c>
      <c r="K1906" t="n">
        <v>2</v>
      </c>
      <c r="L1906" t="n">
        <v>2.061</v>
      </c>
      <c r="M1906" t="n">
        <v>0</v>
      </c>
      <c r="N1906" t="inlineStr">
        <is>
          <t>train</t>
        </is>
      </c>
      <c r="O1906">
        <f>HYPERLINK("2\1\marker_248_019912.png", "Ver Imagen")</f>
        <v/>
      </c>
      <c r="P1906">
        <f>HYPERLINK("SO\A-5053\A-5053__90.png", "Ver Imagen")</f>
        <v/>
      </c>
    </row>
    <row r="1907">
      <c r="A1907" t="n">
        <v>1333</v>
      </c>
      <c r="B1907" t="inlineStr">
        <is>
          <t>A-5053__89</t>
        </is>
      </c>
      <c r="C1907" t="n">
        <v>37.2363960046</v>
      </c>
      <c r="D1907" t="n">
        <v>-7.12822439387</v>
      </c>
      <c r="E1907" t="n">
        <v>2</v>
      </c>
      <c r="F1907" t="n">
        <v>2</v>
      </c>
      <c r="G1907" t="n">
        <v>3</v>
      </c>
      <c r="J1907" t="inlineStr">
        <is>
          <t>Moda</t>
        </is>
      </c>
      <c r="K1907" t="n">
        <v>2</v>
      </c>
      <c r="L1907" t="n">
        <v>1.972</v>
      </c>
      <c r="M1907" t="n">
        <v>0</v>
      </c>
      <c r="N1907" t="inlineStr">
        <is>
          <t>test</t>
        </is>
      </c>
      <c r="O1907">
        <f>HYPERLINK("2\1\marker_861_019921.png", "Ver Imagen")</f>
        <v/>
      </c>
      <c r="P1907">
        <f>HYPERLINK("SO\A-5053\A-5053__89.png", "Ver Imagen")</f>
        <v/>
      </c>
    </row>
    <row r="1908">
      <c r="A1908" t="n">
        <v>1334</v>
      </c>
      <c r="B1908" t="inlineStr">
        <is>
          <t>A-5053__88</t>
        </is>
      </c>
      <c r="C1908" t="n">
        <v>37.2362207942</v>
      </c>
      <c r="D1908" t="n">
        <v>-7.1282078211</v>
      </c>
      <c r="E1908" t="n">
        <v>2</v>
      </c>
      <c r="F1908" t="n">
        <v>2</v>
      </c>
      <c r="G1908" t="n">
        <v>3</v>
      </c>
      <c r="J1908" t="inlineStr">
        <is>
          <t>Moda</t>
        </is>
      </c>
      <c r="K1908" t="n">
        <v>2</v>
      </c>
      <c r="L1908" t="n">
        <v>1.835</v>
      </c>
      <c r="M1908" t="n">
        <v>0</v>
      </c>
      <c r="N1908" t="inlineStr">
        <is>
          <t>train</t>
        </is>
      </c>
      <c r="O1908">
        <f>HYPERLINK("2\1\marker_451_019933.png", "Ver Imagen")</f>
        <v/>
      </c>
      <c r="P1908">
        <f>HYPERLINK("SO\A-5053\A-5053__88.png", "Ver Imagen")</f>
        <v/>
      </c>
    </row>
    <row r="1909">
      <c r="A1909" t="n">
        <v>1336</v>
      </c>
      <c r="B1909" t="inlineStr">
        <is>
          <t>A-5053__71</t>
        </is>
      </c>
      <c r="C1909" t="n">
        <v>37.2328575901</v>
      </c>
      <c r="D1909" t="n">
        <v>-7.12722290033</v>
      </c>
      <c r="E1909" t="n">
        <v>1</v>
      </c>
      <c r="F1909" t="n">
        <v>2</v>
      </c>
      <c r="G1909" t="n">
        <v>2</v>
      </c>
      <c r="J1909" t="inlineStr">
        <is>
          <t>Moda</t>
        </is>
      </c>
      <c r="K1909" t="n">
        <v>2</v>
      </c>
      <c r="L1909" t="n">
        <v>1.958</v>
      </c>
      <c r="M1909" t="n">
        <v>0</v>
      </c>
      <c r="N1909" t="inlineStr">
        <is>
          <t>train</t>
        </is>
      </c>
      <c r="O1909">
        <f>HYPERLINK("2\1\marker_240_020296.png", "Ver Imagen")</f>
        <v/>
      </c>
      <c r="P1909">
        <f>HYPERLINK("SO\A-5053\A-5053__71.png", "Ver Imagen")</f>
        <v/>
      </c>
    </row>
    <row r="1910">
      <c r="A1910" t="n">
        <v>1337</v>
      </c>
      <c r="B1910" t="inlineStr">
        <is>
          <t>A-5053__54</t>
        </is>
      </c>
      <c r="C1910" t="n">
        <v>37.2294488694</v>
      </c>
      <c r="D1910" t="n">
        <v>-7.12690812407</v>
      </c>
      <c r="E1910" t="n">
        <v>2</v>
      </c>
      <c r="F1910" t="n">
        <v>2</v>
      </c>
      <c r="G1910" t="n">
        <v>3</v>
      </c>
      <c r="J1910" t="inlineStr">
        <is>
          <t>Moda</t>
        </is>
      </c>
      <c r="K1910" t="n">
        <v>2</v>
      </c>
      <c r="L1910" t="n">
        <v>1.748</v>
      </c>
      <c r="M1910" t="n">
        <v>0</v>
      </c>
      <c r="N1910" t="inlineStr">
        <is>
          <t>train</t>
        </is>
      </c>
      <c r="O1910">
        <f>HYPERLINK("2\1\marker_567_020940.png", "Ver Imagen")</f>
        <v/>
      </c>
      <c r="P1910">
        <f>HYPERLINK("SO\A-5053\A-5053__54.png", "Ver Imagen")</f>
        <v/>
      </c>
    </row>
    <row r="1911">
      <c r="A1911" t="n">
        <v>1339</v>
      </c>
      <c r="B1911" t="inlineStr">
        <is>
          <t>A-5053__29</t>
        </is>
      </c>
      <c r="C1911" t="n">
        <v>37.2245494916</v>
      </c>
      <c r="D1911" t="n">
        <v>-7.1255568135</v>
      </c>
      <c r="E1911" t="n">
        <v>3</v>
      </c>
      <c r="F1911" t="n">
        <v>2</v>
      </c>
      <c r="G1911" t="n">
        <v>2</v>
      </c>
      <c r="J1911" t="inlineStr">
        <is>
          <t>Moda</t>
        </is>
      </c>
      <c r="K1911" t="n">
        <v>2</v>
      </c>
      <c r="L1911" t="n">
        <v>1.918</v>
      </c>
      <c r="M1911" t="n">
        <v>0</v>
      </c>
      <c r="N1911" t="inlineStr">
        <is>
          <t>train</t>
        </is>
      </c>
      <c r="O1911">
        <f>HYPERLINK("2\1\marker_784_021819.png", "Ver Imagen")</f>
        <v/>
      </c>
      <c r="P1911">
        <f>HYPERLINK("SO\A-5053\A-5053__29.png", "Ver Imagen")</f>
        <v/>
      </c>
    </row>
    <row r="1912">
      <c r="A1912" t="n">
        <v>1340</v>
      </c>
      <c r="B1912" t="inlineStr">
        <is>
          <t>A-5053__19</t>
        </is>
      </c>
      <c r="C1912" t="n">
        <v>37.2225787895</v>
      </c>
      <c r="D1912" t="n">
        <v>-7.12503165261</v>
      </c>
      <c r="E1912" t="n">
        <v>2</v>
      </c>
      <c r="F1912" t="n">
        <v>2</v>
      </c>
      <c r="G1912" t="n">
        <v>3</v>
      </c>
      <c r="J1912" t="inlineStr">
        <is>
          <t>Moda</t>
        </is>
      </c>
      <c r="K1912" t="n">
        <v>2</v>
      </c>
      <c r="L1912" t="n">
        <v>2.354</v>
      </c>
      <c r="M1912" t="n">
        <v>0</v>
      </c>
      <c r="N1912" t="inlineStr">
        <is>
          <t>train</t>
        </is>
      </c>
      <c r="O1912">
        <f>HYPERLINK("2\1\marker_951_022913.png", "Ver Imagen")</f>
        <v/>
      </c>
      <c r="P1912">
        <f>HYPERLINK("SO\A-5053\A-5053__19.png", "Ver Imagen")</f>
        <v/>
      </c>
    </row>
    <row r="1913">
      <c r="A1913" t="n">
        <v>1341</v>
      </c>
      <c r="B1913" t="inlineStr">
        <is>
          <t>A-5053__7</t>
        </is>
      </c>
      <c r="C1913" t="n">
        <v>37.2203341665</v>
      </c>
      <c r="D1913" t="n">
        <v>-7.12578852402</v>
      </c>
      <c r="E1913" t="n">
        <v>2</v>
      </c>
      <c r="F1913" t="n">
        <v>2</v>
      </c>
      <c r="G1913" t="n">
        <v>3</v>
      </c>
      <c r="J1913" t="inlineStr">
        <is>
          <t>Moda</t>
        </is>
      </c>
      <c r="K1913" t="n">
        <v>2</v>
      </c>
      <c r="L1913" t="n">
        <v>2.134</v>
      </c>
      <c r="M1913" t="n">
        <v>0</v>
      </c>
      <c r="N1913" t="inlineStr">
        <is>
          <t>train</t>
        </is>
      </c>
      <c r="O1913">
        <f>HYPERLINK("2\1\marker_456_025142.png", "Ver Imagen")</f>
        <v/>
      </c>
      <c r="P1913">
        <f>HYPERLINK("SO\A-5053\A-5053__7.png", "Ver Imagen")</f>
        <v/>
      </c>
    </row>
    <row r="1914">
      <c r="A1914" t="n">
        <v>1342</v>
      </c>
      <c r="B1914" t="inlineStr">
        <is>
          <t>A-5053__6</t>
        </is>
      </c>
      <c r="C1914" t="n">
        <v>37.2201073629</v>
      </c>
      <c r="D1914" t="n">
        <v>-7.12581711071</v>
      </c>
      <c r="E1914" t="n">
        <v>2</v>
      </c>
      <c r="F1914" t="n">
        <v>2</v>
      </c>
      <c r="G1914" t="n">
        <v>3</v>
      </c>
      <c r="J1914" t="inlineStr">
        <is>
          <t>Moda</t>
        </is>
      </c>
      <c r="K1914" t="n">
        <v>2</v>
      </c>
      <c r="L1914" t="n">
        <v>1.917</v>
      </c>
      <c r="M1914" t="n">
        <v>0</v>
      </c>
      <c r="N1914" t="inlineStr">
        <is>
          <t>val</t>
        </is>
      </c>
      <c r="O1914">
        <f>HYPERLINK("2\1\marker_711_025154.png", "Ver Imagen")</f>
        <v/>
      </c>
      <c r="P1914">
        <f>HYPERLINK("SO\A-5053\A-5053__6.png", "Ver Imagen")</f>
        <v/>
      </c>
    </row>
    <row r="1915">
      <c r="A1915" t="n">
        <v>1343</v>
      </c>
      <c r="B1915" t="inlineStr">
        <is>
          <t>A-5053__5</t>
        </is>
      </c>
      <c r="C1915" t="n">
        <v>37.2199237956</v>
      </c>
      <c r="D1915" t="n">
        <v>-7.12584050849</v>
      </c>
      <c r="E1915" t="n">
        <v>2</v>
      </c>
      <c r="F1915" t="n">
        <v>2</v>
      </c>
      <c r="G1915" t="n">
        <v>3</v>
      </c>
      <c r="J1915" t="inlineStr">
        <is>
          <t>Moda</t>
        </is>
      </c>
      <c r="K1915" t="n">
        <v>2</v>
      </c>
      <c r="L1915" t="n">
        <v>2.152</v>
      </c>
      <c r="M1915" t="n">
        <v>0</v>
      </c>
      <c r="N1915" t="inlineStr">
        <is>
          <t>train</t>
        </is>
      </c>
      <c r="O1915">
        <f>HYPERLINK("2\1\marker_269_025164.png", "Ver Imagen")</f>
        <v/>
      </c>
      <c r="P1915">
        <f>HYPERLINK("SO\A-5053\A-5053__5.png", "Ver Imagen")</f>
        <v/>
      </c>
    </row>
    <row r="1916">
      <c r="A1916" t="n">
        <v>1344</v>
      </c>
      <c r="B1916" t="inlineStr">
        <is>
          <t>A-5053__4</t>
        </is>
      </c>
      <c r="C1916" t="n">
        <v>37.2197302046</v>
      </c>
      <c r="D1916" t="n">
        <v>-7.12586563885</v>
      </c>
      <c r="E1916" t="n">
        <v>2</v>
      </c>
      <c r="F1916" t="n">
        <v>2</v>
      </c>
      <c r="G1916" t="n">
        <v>3</v>
      </c>
      <c r="J1916" t="inlineStr">
        <is>
          <t>Moda</t>
        </is>
      </c>
      <c r="K1916" t="n">
        <v>2</v>
      </c>
      <c r="L1916" t="n">
        <v>2.211</v>
      </c>
      <c r="M1916" t="n">
        <v>0</v>
      </c>
      <c r="N1916" t="inlineStr">
        <is>
          <t>train</t>
        </is>
      </c>
      <c r="O1916">
        <f>HYPERLINK("2\1\marker_427_025175.png", "Ver Imagen")</f>
        <v/>
      </c>
      <c r="P1916">
        <f>HYPERLINK("SO\A-5053\A-5053__4.png", "Ver Imagen")</f>
        <v/>
      </c>
    </row>
    <row r="1917">
      <c r="A1917" t="n">
        <v>1345</v>
      </c>
      <c r="B1917" t="inlineStr">
        <is>
          <t>A-5053__3</t>
        </is>
      </c>
      <c r="C1917" t="n">
        <v>37.2195316101</v>
      </c>
      <c r="D1917" t="n">
        <v>-7.12589223706</v>
      </c>
      <c r="E1917" t="n">
        <v>2</v>
      </c>
      <c r="F1917" t="n">
        <v>2</v>
      </c>
      <c r="G1917" t="n">
        <v>3</v>
      </c>
      <c r="J1917" t="inlineStr">
        <is>
          <t>Moda</t>
        </is>
      </c>
      <c r="K1917" t="n">
        <v>2</v>
      </c>
      <c r="L1917" t="n">
        <v>2.017</v>
      </c>
      <c r="M1917" t="n">
        <v>0</v>
      </c>
      <c r="N1917" t="inlineStr">
        <is>
          <t>train</t>
        </is>
      </c>
      <c r="O1917">
        <f>HYPERLINK("2\1\marker_936_025187.png", "Ver Imagen")</f>
        <v/>
      </c>
      <c r="P1917">
        <f>HYPERLINK("SO\A-5053\A-5053__3.png", "Ver Imagen")</f>
        <v/>
      </c>
    </row>
    <row r="1918">
      <c r="A1918" t="n">
        <v>1346</v>
      </c>
      <c r="B1918" t="inlineStr">
        <is>
          <t>A-495__24</t>
        </is>
      </c>
      <c r="C1918" t="n">
        <v>37.4430576752</v>
      </c>
      <c r="D1918" t="n">
        <v>-7.0946079797</v>
      </c>
      <c r="E1918" t="n">
        <v>3</v>
      </c>
      <c r="F1918" t="n">
        <v>2</v>
      </c>
      <c r="G1918" t="n">
        <v>2</v>
      </c>
      <c r="J1918" t="inlineStr">
        <is>
          <t>Moda</t>
        </is>
      </c>
      <c r="K1918" t="n">
        <v>2</v>
      </c>
      <c r="L1918" t="n">
        <v>2.105</v>
      </c>
      <c r="M1918" t="n">
        <v>0</v>
      </c>
      <c r="N1918" t="inlineStr">
        <is>
          <t>train</t>
        </is>
      </c>
      <c r="O1918">
        <f>HYPERLINK("2\1\marker_534_381335.png", "Ver Imagen")</f>
        <v/>
      </c>
      <c r="P1918">
        <f>HYPERLINK("NE\A-495\A-495__24.png", "Ver Imagen")</f>
        <v/>
      </c>
    </row>
    <row r="1919">
      <c r="A1919" t="n">
        <v>1347</v>
      </c>
      <c r="B1919" t="inlineStr">
        <is>
          <t>A-495__25</t>
        </is>
      </c>
      <c r="C1919" t="n">
        <v>37.442972021</v>
      </c>
      <c r="D1919" t="n">
        <v>-7.09438359172</v>
      </c>
      <c r="E1919" t="n">
        <v>2</v>
      </c>
      <c r="F1919" t="n">
        <v>2</v>
      </c>
      <c r="G1919" t="n">
        <v>1</v>
      </c>
      <c r="J1919" t="inlineStr">
        <is>
          <t>Moda</t>
        </is>
      </c>
      <c r="K1919" t="n">
        <v>2</v>
      </c>
      <c r="L1919" t="n">
        <v>2.335</v>
      </c>
      <c r="M1919" t="n">
        <v>0</v>
      </c>
      <c r="N1919" t="inlineStr">
        <is>
          <t>train</t>
        </is>
      </c>
      <c r="O1919">
        <f>HYPERLINK("2\1\marker_584_381345.png", "Ver Imagen")</f>
        <v/>
      </c>
      <c r="P1919">
        <f>HYPERLINK("NE\A-495\A-495__25.png", "Ver Imagen")</f>
        <v/>
      </c>
    </row>
    <row r="1920">
      <c r="A1920" t="n">
        <v>1348</v>
      </c>
      <c r="B1920" t="inlineStr">
        <is>
          <t>A-495__27</t>
        </is>
      </c>
      <c r="C1920" t="n">
        <v>37.4427881424</v>
      </c>
      <c r="D1920" t="n">
        <v>-7.0939032054</v>
      </c>
      <c r="E1920" t="n">
        <v>3</v>
      </c>
      <c r="F1920" t="n">
        <v>2</v>
      </c>
      <c r="G1920" t="n">
        <v>2</v>
      </c>
      <c r="J1920" t="inlineStr">
        <is>
          <t>Moda</t>
        </is>
      </c>
      <c r="K1920" t="n">
        <v>2</v>
      </c>
      <c r="L1920" t="n">
        <v>1.846</v>
      </c>
      <c r="M1920" t="n">
        <v>0</v>
      </c>
      <c r="N1920" t="inlineStr">
        <is>
          <t>train</t>
        </is>
      </c>
      <c r="O1920">
        <f>HYPERLINK("2\1\marker_859_381370.png", "Ver Imagen")</f>
        <v/>
      </c>
      <c r="P1920">
        <f>HYPERLINK("NE\A-495\A-495__27.png", "Ver Imagen")</f>
        <v/>
      </c>
    </row>
    <row r="1921">
      <c r="A1921" t="n">
        <v>1349</v>
      </c>
      <c r="B1921" t="inlineStr">
        <is>
          <t>A-495__34</t>
        </is>
      </c>
      <c r="C1921" t="n">
        <v>37.4421802239</v>
      </c>
      <c r="D1921" t="n">
        <v>-7.09234546526</v>
      </c>
      <c r="E1921" t="n">
        <v>3</v>
      </c>
      <c r="F1921" t="n">
        <v>2</v>
      </c>
      <c r="G1921" t="n">
        <v>2</v>
      </c>
      <c r="J1921" t="inlineStr">
        <is>
          <t>Moda</t>
        </is>
      </c>
      <c r="K1921" t="n">
        <v>2</v>
      </c>
      <c r="L1921" t="n">
        <v>2.166</v>
      </c>
      <c r="M1921" t="n">
        <v>0</v>
      </c>
      <c r="N1921" t="inlineStr">
        <is>
          <t>train</t>
        </is>
      </c>
      <c r="O1921">
        <f>HYPERLINK("2\1\marker_381_381445.png", "Ver Imagen")</f>
        <v/>
      </c>
      <c r="P1921">
        <f>HYPERLINK("NE\A-495\A-495__34.png", "Ver Imagen")</f>
        <v/>
      </c>
    </row>
    <row r="1922">
      <c r="A1922" t="n">
        <v>1350</v>
      </c>
      <c r="B1922" t="inlineStr">
        <is>
          <t>A-495__108</t>
        </is>
      </c>
      <c r="C1922" t="n">
        <v>37.4354509724</v>
      </c>
      <c r="D1922" t="n">
        <v>-7.07607603215</v>
      </c>
      <c r="E1922" t="n">
        <v>2</v>
      </c>
      <c r="F1922" t="n">
        <v>2</v>
      </c>
      <c r="G1922" t="n">
        <v>1</v>
      </c>
      <c r="J1922" t="inlineStr">
        <is>
          <t>Moda</t>
        </is>
      </c>
      <c r="K1922" t="n">
        <v>2</v>
      </c>
      <c r="L1922" t="n">
        <v>2.282</v>
      </c>
      <c r="M1922" t="n">
        <v>0</v>
      </c>
      <c r="N1922" t="inlineStr">
        <is>
          <t>train</t>
        </is>
      </c>
      <c r="O1922">
        <f>HYPERLINK("2\1\marker_373_382254.png", "Ver Imagen")</f>
        <v/>
      </c>
      <c r="P1922">
        <f>HYPERLINK("NE\A-495\A-495__108.png", "Ver Imagen")</f>
        <v/>
      </c>
    </row>
    <row r="1923">
      <c r="A1923" t="n">
        <v>1351</v>
      </c>
      <c r="B1923" t="inlineStr">
        <is>
          <t>A-5059__78</t>
        </is>
      </c>
      <c r="C1923" t="n">
        <v>37.2216654448</v>
      </c>
      <c r="D1923" t="n">
        <v>-7.05474681884</v>
      </c>
      <c r="E1923" t="n">
        <v>3</v>
      </c>
      <c r="F1923" t="n">
        <v>2</v>
      </c>
      <c r="G1923" t="n">
        <v>2</v>
      </c>
      <c r="J1923" t="inlineStr">
        <is>
          <t>Moda</t>
        </is>
      </c>
      <c r="K1923" t="n">
        <v>2</v>
      </c>
      <c r="L1923" t="n">
        <v>1.866</v>
      </c>
      <c r="M1923" t="n">
        <v>0</v>
      </c>
      <c r="N1923" t="inlineStr">
        <is>
          <t>train</t>
        </is>
      </c>
      <c r="O1923">
        <f>HYPERLINK("2\1\marker_347_378765.png", "Ver Imagen")</f>
        <v/>
      </c>
      <c r="P1923">
        <f>HYPERLINK("SE\A-5059\A-5059__78.png", "Ver Imagen")</f>
        <v/>
      </c>
    </row>
    <row r="1924">
      <c r="A1924" t="n">
        <v>1352</v>
      </c>
      <c r="B1924" t="inlineStr">
        <is>
          <t>A-5059__76</t>
        </is>
      </c>
      <c r="C1924" t="n">
        <v>37.2219437082</v>
      </c>
      <c r="D1924" t="n">
        <v>-7.05511665099</v>
      </c>
      <c r="E1924" t="n">
        <v>3</v>
      </c>
      <c r="F1924" t="n">
        <v>2</v>
      </c>
      <c r="G1924" t="n">
        <v>2</v>
      </c>
      <c r="J1924" t="inlineStr">
        <is>
          <t>Moda</t>
        </is>
      </c>
      <c r="K1924" t="n">
        <v>2</v>
      </c>
      <c r="L1924" t="n">
        <v>1.554</v>
      </c>
      <c r="M1924" t="n">
        <v>0</v>
      </c>
      <c r="N1924" t="inlineStr">
        <is>
          <t>train</t>
        </is>
      </c>
      <c r="O1924">
        <f>HYPERLINK("2\1\marker_886_378788.png", "Ver Imagen")</f>
        <v/>
      </c>
      <c r="P1924">
        <f>HYPERLINK("SE\A-5059\A-5059__76.png", "Ver Imagen")</f>
        <v/>
      </c>
    </row>
    <row r="1925">
      <c r="A1925" t="n">
        <v>1353</v>
      </c>
      <c r="B1925" t="inlineStr">
        <is>
          <t>A-5059__74</t>
        </is>
      </c>
      <c r="C1925" t="n">
        <v>37.2222667263</v>
      </c>
      <c r="D1925" t="n">
        <v>-7.05542401512</v>
      </c>
      <c r="E1925" t="n">
        <v>2</v>
      </c>
      <c r="F1925" t="n">
        <v>3</v>
      </c>
      <c r="G1925" t="n">
        <v>2</v>
      </c>
      <c r="J1925" t="inlineStr">
        <is>
          <t>Moda</t>
        </is>
      </c>
      <c r="K1925" t="n">
        <v>2</v>
      </c>
      <c r="L1925" t="n">
        <v>2.302</v>
      </c>
      <c r="M1925" t="n">
        <v>0</v>
      </c>
      <c r="N1925" t="inlineStr">
        <is>
          <t>train</t>
        </is>
      </c>
      <c r="O1925">
        <f>HYPERLINK("2\1\marker_162_378810.png", "Ver Imagen")</f>
        <v/>
      </c>
      <c r="P1925">
        <f>HYPERLINK("SE\A-5059\A-5059__74.png", "Ver Imagen")</f>
        <v/>
      </c>
    </row>
    <row r="1926">
      <c r="A1926" t="n">
        <v>1354</v>
      </c>
      <c r="B1926" t="inlineStr">
        <is>
          <t>A-5059__67</t>
        </is>
      </c>
      <c r="C1926" t="n">
        <v>37.2235923572</v>
      </c>
      <c r="D1926" t="n">
        <v>-7.05606650117</v>
      </c>
      <c r="E1926" t="n">
        <v>3</v>
      </c>
      <c r="F1926" t="n">
        <v>2</v>
      </c>
      <c r="G1926" t="n">
        <v>2</v>
      </c>
      <c r="J1926" t="inlineStr">
        <is>
          <t>Moda</t>
        </is>
      </c>
      <c r="K1926" t="n">
        <v>2</v>
      </c>
      <c r="L1926" t="n">
        <v>2.008</v>
      </c>
      <c r="M1926" t="n">
        <v>0</v>
      </c>
      <c r="N1926" t="inlineStr">
        <is>
          <t>train</t>
        </is>
      </c>
      <c r="O1926">
        <f>HYPERLINK("2\1\marker_512_378875.png", "Ver Imagen")</f>
        <v/>
      </c>
      <c r="P1926">
        <f>HYPERLINK("SE\A-5059\A-5059__67.png", "Ver Imagen")</f>
        <v/>
      </c>
    </row>
    <row r="1927">
      <c r="A1927" t="n">
        <v>1355</v>
      </c>
      <c r="B1927" t="inlineStr">
        <is>
          <t>A-5059__65</t>
        </is>
      </c>
      <c r="C1927" t="n">
        <v>37.2239589729</v>
      </c>
      <c r="D1927" t="n">
        <v>-7.05626871246</v>
      </c>
      <c r="E1927" t="n">
        <v>3</v>
      </c>
      <c r="F1927" t="n">
        <v>2</v>
      </c>
      <c r="G1927" t="n">
        <v>2</v>
      </c>
      <c r="J1927" t="inlineStr">
        <is>
          <t>Moda</t>
        </is>
      </c>
      <c r="K1927" t="n">
        <v>2</v>
      </c>
      <c r="L1927" t="n">
        <v>1.976</v>
      </c>
      <c r="M1927" t="n">
        <v>0</v>
      </c>
      <c r="N1927" t="inlineStr">
        <is>
          <t>train</t>
        </is>
      </c>
      <c r="O1927">
        <f>HYPERLINK("2\1\marker_472_378894.png", "Ver Imagen")</f>
        <v/>
      </c>
      <c r="P1927">
        <f>HYPERLINK("SE\A-5059\A-5059__65.png", "Ver Imagen")</f>
        <v/>
      </c>
    </row>
    <row r="1928">
      <c r="A1928" t="n">
        <v>1356</v>
      </c>
      <c r="B1928" t="inlineStr">
        <is>
          <t>A-5059__62</t>
        </is>
      </c>
      <c r="C1928" t="n">
        <v>37.2244087376</v>
      </c>
      <c r="D1928" t="n">
        <v>-7.05673469444</v>
      </c>
      <c r="E1928" t="n">
        <v>3</v>
      </c>
      <c r="F1928" t="n">
        <v>2</v>
      </c>
      <c r="G1928" t="n">
        <v>2</v>
      </c>
      <c r="J1928" t="inlineStr">
        <is>
          <t>Moda</t>
        </is>
      </c>
      <c r="K1928" t="n">
        <v>2</v>
      </c>
      <c r="L1928" t="n">
        <v>1.936</v>
      </c>
      <c r="M1928" t="n">
        <v>0</v>
      </c>
      <c r="N1928" t="inlineStr">
        <is>
          <t>train</t>
        </is>
      </c>
      <c r="O1928">
        <f>HYPERLINK("2\1\marker_370_378926.png", "Ver Imagen")</f>
        <v/>
      </c>
      <c r="P1928">
        <f>HYPERLINK("SE\A-5059\A-5059__62.png", "Ver Imagen")</f>
        <v/>
      </c>
    </row>
    <row r="1929">
      <c r="A1929" t="n">
        <v>1357</v>
      </c>
      <c r="B1929" t="inlineStr">
        <is>
          <t>A-5059__61</t>
        </is>
      </c>
      <c r="C1929" t="n">
        <v>37.224546288</v>
      </c>
      <c r="D1929" t="n">
        <v>-7.05694829069</v>
      </c>
      <c r="E1929" t="n">
        <v>3</v>
      </c>
      <c r="F1929" t="n">
        <v>2</v>
      </c>
      <c r="G1929" t="n">
        <v>2</v>
      </c>
      <c r="J1929" t="inlineStr">
        <is>
          <t>Moda</t>
        </is>
      </c>
      <c r="K1929" t="n">
        <v>2</v>
      </c>
      <c r="L1929" t="n">
        <v>1.724</v>
      </c>
      <c r="M1929" t="n">
        <v>0</v>
      </c>
      <c r="N1929" t="inlineStr">
        <is>
          <t>train</t>
        </is>
      </c>
      <c r="O1929">
        <f>HYPERLINK("2\1\marker_455_378936.png", "Ver Imagen")</f>
        <v/>
      </c>
      <c r="P1929">
        <f>HYPERLINK("SE\A-5059\A-5059__61.png", "Ver Imagen")</f>
        <v/>
      </c>
    </row>
    <row r="1930">
      <c r="A1930" t="n">
        <v>1358</v>
      </c>
      <c r="B1930" t="inlineStr">
        <is>
          <t>A-5059__60</t>
        </is>
      </c>
      <c r="C1930" t="n">
        <v>37.2246678427</v>
      </c>
      <c r="D1930" t="n">
        <v>-7.05714886582</v>
      </c>
      <c r="E1930" t="n">
        <v>3</v>
      </c>
      <c r="F1930" t="n">
        <v>2</v>
      </c>
      <c r="G1930" t="n">
        <v>2</v>
      </c>
      <c r="J1930" t="inlineStr">
        <is>
          <t>Moda</t>
        </is>
      </c>
      <c r="K1930" t="n">
        <v>2</v>
      </c>
      <c r="L1930" t="n">
        <v>1.914</v>
      </c>
      <c r="M1930" t="n">
        <v>0</v>
      </c>
      <c r="N1930" t="inlineStr">
        <is>
          <t>train</t>
        </is>
      </c>
      <c r="O1930">
        <f>HYPERLINK("2\1\marker_270_378945.png", "Ver Imagen")</f>
        <v/>
      </c>
      <c r="P1930">
        <f>HYPERLINK("SE\A-5059\A-5059__60.png", "Ver Imagen")</f>
        <v/>
      </c>
    </row>
    <row r="1931">
      <c r="A1931" t="n">
        <v>1359</v>
      </c>
      <c r="B1931" t="inlineStr">
        <is>
          <t>A-5059__55</t>
        </is>
      </c>
      <c r="C1931" t="n">
        <v>37.2252759535</v>
      </c>
      <c r="D1931" t="n">
        <v>-7.05817316965</v>
      </c>
      <c r="E1931" t="n">
        <v>3</v>
      </c>
      <c r="F1931" t="n">
        <v>2</v>
      </c>
      <c r="G1931" t="n">
        <v>2</v>
      </c>
      <c r="J1931" t="inlineStr">
        <is>
          <t>Moda</t>
        </is>
      </c>
      <c r="K1931" t="n">
        <v>2</v>
      </c>
      <c r="L1931" t="n">
        <v>2.057</v>
      </c>
      <c r="M1931" t="n">
        <v>0</v>
      </c>
      <c r="N1931" t="inlineStr">
        <is>
          <t>train</t>
        </is>
      </c>
      <c r="O1931">
        <f>HYPERLINK("2\1\marker_404_379033.png", "Ver Imagen")</f>
        <v/>
      </c>
      <c r="P1931">
        <f>HYPERLINK("SE\A-5059\A-5059__55.png", "Ver Imagen")</f>
        <v/>
      </c>
    </row>
    <row r="1932">
      <c r="A1932" t="n">
        <v>1360</v>
      </c>
      <c r="B1932" t="inlineStr">
        <is>
          <t>A-5059__50</t>
        </is>
      </c>
      <c r="C1932" t="n">
        <v>37.2258797395</v>
      </c>
      <c r="D1932" t="n">
        <v>-7.05919564853</v>
      </c>
      <c r="E1932" t="n">
        <v>3</v>
      </c>
      <c r="F1932" t="n">
        <v>2</v>
      </c>
      <c r="G1932" t="n">
        <v>2</v>
      </c>
      <c r="J1932" t="inlineStr">
        <is>
          <t>Moda</t>
        </is>
      </c>
      <c r="K1932" t="n">
        <v>2</v>
      </c>
      <c r="L1932" t="n">
        <v>1.858</v>
      </c>
      <c r="M1932" t="n">
        <v>0</v>
      </c>
      <c r="N1932" t="inlineStr">
        <is>
          <t>train</t>
        </is>
      </c>
      <c r="O1932">
        <f>HYPERLINK("2\1\marker_387_379093.png", "Ver Imagen")</f>
        <v/>
      </c>
      <c r="P1932">
        <f>HYPERLINK("SE\A-5059\A-5059__50.png", "Ver Imagen")</f>
        <v/>
      </c>
    </row>
    <row r="1933">
      <c r="A1933" t="n">
        <v>1361</v>
      </c>
      <c r="B1933" t="inlineStr">
        <is>
          <t>A-5059__49</t>
        </is>
      </c>
      <c r="C1933" t="n">
        <v>37.2260093071</v>
      </c>
      <c r="D1933" t="n">
        <v>-7.05941492358</v>
      </c>
      <c r="E1933" t="n">
        <v>3</v>
      </c>
      <c r="F1933" t="n">
        <v>2</v>
      </c>
      <c r="G1933" t="n">
        <v>2</v>
      </c>
      <c r="J1933" t="inlineStr">
        <is>
          <t>Moda</t>
        </is>
      </c>
      <c r="K1933" t="n">
        <v>2</v>
      </c>
      <c r="L1933" t="n">
        <v>2.16</v>
      </c>
      <c r="M1933" t="n">
        <v>0</v>
      </c>
      <c r="N1933" t="inlineStr">
        <is>
          <t>train</t>
        </is>
      </c>
      <c r="O1933">
        <f>HYPERLINK("2\1\marker_700_379104.png", "Ver Imagen")</f>
        <v/>
      </c>
      <c r="P1933">
        <f>HYPERLINK("SE\A-5059\A-5059__49.png", "Ver Imagen")</f>
        <v/>
      </c>
    </row>
    <row r="1934">
      <c r="A1934" t="n">
        <v>1362</v>
      </c>
      <c r="B1934" t="inlineStr">
        <is>
          <t>A-5059__46</t>
        </is>
      </c>
      <c r="C1934" t="n">
        <v>37.2263609237</v>
      </c>
      <c r="D1934" t="n">
        <v>-7.06001298241</v>
      </c>
      <c r="E1934" t="n">
        <v>3</v>
      </c>
      <c r="F1934" t="n">
        <v>2</v>
      </c>
      <c r="G1934" t="n">
        <v>2</v>
      </c>
      <c r="J1934" t="inlineStr">
        <is>
          <t>Moda</t>
        </is>
      </c>
      <c r="K1934" t="n">
        <v>2</v>
      </c>
      <c r="L1934" t="n">
        <v>2.208</v>
      </c>
      <c r="M1934" t="n">
        <v>0</v>
      </c>
      <c r="N1934" t="inlineStr">
        <is>
          <t>train</t>
        </is>
      </c>
      <c r="O1934">
        <f>HYPERLINK("2\1\marker_825_379133.png", "Ver Imagen")</f>
        <v/>
      </c>
      <c r="P1934">
        <f>HYPERLINK("SE\A-5059\A-5059__46.png", "Ver Imagen")</f>
        <v/>
      </c>
    </row>
    <row r="1935">
      <c r="A1935" t="n">
        <v>1364</v>
      </c>
      <c r="B1935" t="inlineStr">
        <is>
          <t>A-5059__45</t>
        </is>
      </c>
      <c r="C1935" t="n">
        <v>37.2264856907</v>
      </c>
      <c r="D1935" t="n">
        <v>-7.06020976818</v>
      </c>
      <c r="E1935" t="n">
        <v>3</v>
      </c>
      <c r="F1935" t="n">
        <v>2</v>
      </c>
      <c r="G1935" t="n">
        <v>2</v>
      </c>
      <c r="J1935" t="inlineStr">
        <is>
          <t>Moda</t>
        </is>
      </c>
      <c r="K1935" t="n">
        <v>2</v>
      </c>
      <c r="L1935" t="n">
        <v>2.147</v>
      </c>
      <c r="M1935" t="n">
        <v>0</v>
      </c>
      <c r="N1935" t="inlineStr">
        <is>
          <t>train</t>
        </is>
      </c>
      <c r="O1935">
        <f>HYPERLINK("2\1\marker_437_379142.png", "Ver Imagen")</f>
        <v/>
      </c>
      <c r="P1935">
        <f>HYPERLINK("SE\A-5059\A-5059__45.png", "Ver Imagen")</f>
        <v/>
      </c>
    </row>
    <row r="1936">
      <c r="A1936" t="n">
        <v>1365</v>
      </c>
      <c r="B1936" t="inlineStr">
        <is>
          <t>A-495__135</t>
        </is>
      </c>
      <c r="C1936" t="n">
        <v>37.4348220047</v>
      </c>
      <c r="D1936" t="n">
        <v>-7.06923952271</v>
      </c>
      <c r="E1936" t="n">
        <v>2</v>
      </c>
      <c r="F1936" t="n">
        <v>2</v>
      </c>
      <c r="G1936" t="n">
        <v>1</v>
      </c>
      <c r="J1936" t="inlineStr">
        <is>
          <t>Moda</t>
        </is>
      </c>
      <c r="K1936" t="n">
        <v>2</v>
      </c>
      <c r="L1936" t="n">
        <v>2.261</v>
      </c>
      <c r="M1936" t="n">
        <v>0</v>
      </c>
      <c r="N1936" t="inlineStr">
        <is>
          <t>val</t>
        </is>
      </c>
      <c r="O1936">
        <f>HYPERLINK("2\1\marker_230_382530.png", "Ver Imagen")</f>
        <v/>
      </c>
      <c r="P1936">
        <f>HYPERLINK("NE\A-495\A-495__135.png", "Ver Imagen")</f>
        <v/>
      </c>
    </row>
    <row r="1937">
      <c r="A1937" t="n">
        <v>1367</v>
      </c>
      <c r="B1937" t="inlineStr">
        <is>
          <t>A-495__137</t>
        </is>
      </c>
      <c r="C1937" t="n">
        <v>37.4346801251</v>
      </c>
      <c r="D1937" t="n">
        <v>-7.06880530049</v>
      </c>
      <c r="E1937" t="n">
        <v>2</v>
      </c>
      <c r="F1937" t="n">
        <v>3</v>
      </c>
      <c r="G1937" t="n">
        <v>2</v>
      </c>
      <c r="J1937" t="inlineStr">
        <is>
          <t>Moda</t>
        </is>
      </c>
      <c r="K1937" t="n">
        <v>2</v>
      </c>
      <c r="L1937" t="n">
        <v>2.115</v>
      </c>
      <c r="M1937" t="n">
        <v>0</v>
      </c>
      <c r="N1937" t="inlineStr">
        <is>
          <t>test</t>
        </is>
      </c>
      <c r="O1937">
        <f>HYPERLINK("2\1\marker_812_382552.png", "Ver Imagen")</f>
        <v/>
      </c>
      <c r="P1937">
        <f>HYPERLINK("NE\A-495\A-495__137.png", "Ver Imagen")</f>
        <v/>
      </c>
    </row>
    <row r="1938">
      <c r="A1938" t="n">
        <v>1368</v>
      </c>
      <c r="B1938" t="inlineStr">
        <is>
          <t>A-495__138</t>
        </is>
      </c>
      <c r="C1938" t="n">
        <v>37.4345963186</v>
      </c>
      <c r="D1938" t="n">
        <v>-7.06857826563</v>
      </c>
      <c r="E1938" t="n">
        <v>2</v>
      </c>
      <c r="F1938" t="n">
        <v>3</v>
      </c>
      <c r="G1938" t="n">
        <v>2</v>
      </c>
      <c r="J1938" t="inlineStr">
        <is>
          <t>Moda</t>
        </is>
      </c>
      <c r="K1938" t="n">
        <v>2</v>
      </c>
      <c r="L1938" t="n">
        <v>2.339</v>
      </c>
      <c r="M1938" t="n">
        <v>0</v>
      </c>
      <c r="N1938" t="inlineStr">
        <is>
          <t>test</t>
        </is>
      </c>
      <c r="O1938">
        <f>HYPERLINK("2\1\marker_270_382561.png", "Ver Imagen")</f>
        <v/>
      </c>
      <c r="P1938">
        <f>HYPERLINK("NE\A-495\A-495__138.png", "Ver Imagen")</f>
        <v/>
      </c>
    </row>
    <row r="1939">
      <c r="A1939" t="n">
        <v>1369</v>
      </c>
      <c r="B1939" t="inlineStr">
        <is>
          <t>A-5059__35</t>
        </is>
      </c>
      <c r="C1939" t="n">
        <v>37.2282019669</v>
      </c>
      <c r="D1939" t="n">
        <v>-7.06145509576</v>
      </c>
      <c r="E1939" t="n">
        <v>3</v>
      </c>
      <c r="F1939" t="n">
        <v>2</v>
      </c>
      <c r="G1939" t="n">
        <v>2</v>
      </c>
      <c r="J1939" t="inlineStr">
        <is>
          <t>Moda</t>
        </is>
      </c>
      <c r="K1939" t="n">
        <v>2</v>
      </c>
      <c r="L1939" t="n">
        <v>1.977</v>
      </c>
      <c r="M1939" t="n">
        <v>0</v>
      </c>
      <c r="N1939" t="inlineStr">
        <is>
          <t>train</t>
        </is>
      </c>
      <c r="O1939">
        <f>HYPERLINK("2\1\marker_533_379357.png", "Ver Imagen")</f>
        <v/>
      </c>
      <c r="P1939">
        <f>HYPERLINK("SE\A-5059\A-5059__35.png", "Ver Imagen")</f>
        <v/>
      </c>
    </row>
    <row r="1940">
      <c r="A1940" t="n">
        <v>1371</v>
      </c>
      <c r="B1940" t="inlineStr">
        <is>
          <t>A-5059__33</t>
        </is>
      </c>
      <c r="C1940" t="n">
        <v>37.2284986842</v>
      </c>
      <c r="D1940" t="n">
        <v>-7.06180088961</v>
      </c>
      <c r="E1940" t="n">
        <v>2</v>
      </c>
      <c r="F1940" t="n">
        <v>3</v>
      </c>
      <c r="G1940" t="n">
        <v>2</v>
      </c>
      <c r="J1940" t="inlineStr">
        <is>
          <t>Moda</t>
        </is>
      </c>
      <c r="K1940" t="n">
        <v>2</v>
      </c>
      <c r="L1940" t="n">
        <v>2.135</v>
      </c>
      <c r="M1940" t="n">
        <v>0</v>
      </c>
      <c r="N1940" t="inlineStr">
        <is>
          <t>train</t>
        </is>
      </c>
      <c r="O1940">
        <f>HYPERLINK("2\1\marker_403_379377.png", "Ver Imagen")</f>
        <v/>
      </c>
      <c r="P1940">
        <f>HYPERLINK("SE\A-5059\A-5059__33.png", "Ver Imagen")</f>
        <v/>
      </c>
    </row>
    <row r="1941">
      <c r="A1941" t="n">
        <v>1372</v>
      </c>
      <c r="B1941" t="inlineStr">
        <is>
          <t>A-5059__20</t>
        </is>
      </c>
      <c r="C1941" t="n">
        <v>37.2307104064</v>
      </c>
      <c r="D1941" t="n">
        <v>-7.06339943606</v>
      </c>
      <c r="E1941" t="n">
        <v>3</v>
      </c>
      <c r="F1941" t="n">
        <v>2</v>
      </c>
      <c r="G1941" t="n">
        <v>2</v>
      </c>
      <c r="J1941" t="inlineStr">
        <is>
          <t>Moda</t>
        </is>
      </c>
      <c r="K1941" t="n">
        <v>2</v>
      </c>
      <c r="L1941" t="n">
        <v>2.17</v>
      </c>
      <c r="M1941" t="n">
        <v>0</v>
      </c>
      <c r="N1941" t="inlineStr">
        <is>
          <t>train</t>
        </is>
      </c>
      <c r="O1941">
        <f>HYPERLINK("2\1\marker_594_379491.png", "Ver Imagen")</f>
        <v/>
      </c>
      <c r="P1941">
        <f>HYPERLINK("SE\A-5059\A-5059__20.png", "Ver Imagen")</f>
        <v/>
      </c>
    </row>
    <row r="1942">
      <c r="A1942" t="n">
        <v>1373</v>
      </c>
      <c r="B1942" t="inlineStr">
        <is>
          <t>A-5059__17</t>
        </is>
      </c>
      <c r="C1942" t="n">
        <v>37.2313029697</v>
      </c>
      <c r="D1942" t="n">
        <v>-7.06357155254</v>
      </c>
      <c r="E1942" t="n">
        <v>3</v>
      </c>
      <c r="F1942" t="n">
        <v>2</v>
      </c>
      <c r="G1942" t="n">
        <v>2</v>
      </c>
      <c r="J1942" t="inlineStr">
        <is>
          <t>Moda</t>
        </is>
      </c>
      <c r="K1942" t="n">
        <v>2</v>
      </c>
      <c r="L1942" t="n">
        <v>2.198</v>
      </c>
      <c r="M1942" t="n">
        <v>0</v>
      </c>
      <c r="N1942" t="inlineStr">
        <is>
          <t>train</t>
        </is>
      </c>
      <c r="O1942">
        <f>HYPERLINK("2\1\marker_536_379517.png", "Ver Imagen")</f>
        <v/>
      </c>
      <c r="P1942">
        <f>HYPERLINK("SE\A-5059\A-5059__17.png", "Ver Imagen")</f>
        <v/>
      </c>
    </row>
    <row r="1943">
      <c r="A1943" t="n">
        <v>1374</v>
      </c>
      <c r="B1943" t="inlineStr">
        <is>
          <t>A-5059__9</t>
        </is>
      </c>
      <c r="C1943" t="n">
        <v>37.2325258419</v>
      </c>
      <c r="D1943" t="n">
        <v>-7.06483163592</v>
      </c>
      <c r="E1943" t="n">
        <v>3</v>
      </c>
      <c r="F1943" t="n">
        <v>2</v>
      </c>
      <c r="G1943" t="n">
        <v>2</v>
      </c>
      <c r="J1943" t="inlineStr">
        <is>
          <t>Moda</t>
        </is>
      </c>
      <c r="K1943" t="n">
        <v>2</v>
      </c>
      <c r="L1943" t="n">
        <v>1.646</v>
      </c>
      <c r="M1943" t="n">
        <v>0</v>
      </c>
      <c r="N1943" t="inlineStr">
        <is>
          <t>train</t>
        </is>
      </c>
      <c r="O1943">
        <f>HYPERLINK("2\1\marker_189_379590.png", "Ver Imagen")</f>
        <v/>
      </c>
      <c r="P1943">
        <f>HYPERLINK("SE\A-5059\A-5059__9.png", "Ver Imagen")</f>
        <v/>
      </c>
    </row>
    <row r="1944">
      <c r="A1944" t="n">
        <v>1375</v>
      </c>
      <c r="B1944" t="inlineStr">
        <is>
          <t>A-5059__8</t>
        </is>
      </c>
      <c r="C1944" t="n">
        <v>37.2326511879</v>
      </c>
      <c r="D1944" t="n">
        <v>-7.06507282112</v>
      </c>
      <c r="E1944" t="n">
        <v>3</v>
      </c>
      <c r="F1944" t="n">
        <v>2</v>
      </c>
      <c r="G1944" t="n">
        <v>2</v>
      </c>
      <c r="J1944" t="inlineStr">
        <is>
          <t>Moda</t>
        </is>
      </c>
      <c r="K1944" t="n">
        <v>2</v>
      </c>
      <c r="L1944" t="n">
        <v>2.282</v>
      </c>
      <c r="M1944" t="n">
        <v>0</v>
      </c>
      <c r="N1944" t="inlineStr">
        <is>
          <t>train</t>
        </is>
      </c>
      <c r="O1944">
        <f>HYPERLINK("2\1\marker_381_379599.png", "Ver Imagen")</f>
        <v/>
      </c>
      <c r="P1944">
        <f>HYPERLINK("SE\A-5059\A-5059__8.png", "Ver Imagen")</f>
        <v/>
      </c>
    </row>
    <row r="1945">
      <c r="A1945" t="n">
        <v>1376</v>
      </c>
      <c r="B1945" t="inlineStr">
        <is>
          <t>A-5059__2</t>
        </is>
      </c>
      <c r="C1945" t="n">
        <v>37.2334299025</v>
      </c>
      <c r="D1945" t="n">
        <v>-7.06615457077</v>
      </c>
      <c r="E1945" t="n">
        <v>2</v>
      </c>
      <c r="F1945" t="n">
        <v>1</v>
      </c>
      <c r="G1945" t="n">
        <v>2</v>
      </c>
      <c r="J1945" t="inlineStr">
        <is>
          <t>Moda</t>
        </is>
      </c>
      <c r="K1945" t="n">
        <v>2</v>
      </c>
      <c r="L1945" t="n">
        <v>1.901</v>
      </c>
      <c r="M1945" t="n">
        <v>0</v>
      </c>
      <c r="N1945" t="inlineStr">
        <is>
          <t>train</t>
        </is>
      </c>
      <c r="O1945">
        <f>HYPERLINK("2\1\marker_568_379656.png", "Ver Imagen")</f>
        <v/>
      </c>
      <c r="P1945">
        <f>HYPERLINK("SE\A-5059\A-5059__2.png", "Ver Imagen")</f>
        <v/>
      </c>
    </row>
    <row r="1946">
      <c r="A1946" t="n">
        <v>1377</v>
      </c>
      <c r="B1946" t="inlineStr">
        <is>
          <t>A-5058__3</t>
        </is>
      </c>
      <c r="C1946" t="n">
        <v>37.2252612508</v>
      </c>
      <c r="D1946" t="n">
        <v>-7.02801116108</v>
      </c>
      <c r="E1946" t="n">
        <v>3</v>
      </c>
      <c r="F1946" t="n">
        <v>2</v>
      </c>
      <c r="G1946" t="n">
        <v>2</v>
      </c>
      <c r="J1946" t="inlineStr">
        <is>
          <t>Moda</t>
        </is>
      </c>
      <c r="K1946" t="n">
        <v>2</v>
      </c>
      <c r="L1946" t="n">
        <v>1.832</v>
      </c>
      <c r="M1946" t="n">
        <v>0</v>
      </c>
      <c r="N1946" t="inlineStr">
        <is>
          <t>train</t>
        </is>
      </c>
      <c r="O1946">
        <f>HYPERLINK("2\1\marker_766_379809.png", "Ver Imagen")</f>
        <v/>
      </c>
      <c r="P1946">
        <f>HYPERLINK("SE\A-5058\A-5058__3.png", "Ver Imagen")</f>
        <v/>
      </c>
    </row>
    <row r="1947">
      <c r="A1947" t="n">
        <v>1378</v>
      </c>
      <c r="B1947" t="inlineStr">
        <is>
          <t>A-5058__4</t>
        </is>
      </c>
      <c r="C1947" t="n">
        <v>37.2252775646</v>
      </c>
      <c r="D1947" t="n">
        <v>-7.02828286863</v>
      </c>
      <c r="E1947" t="n">
        <v>2</v>
      </c>
      <c r="F1947" t="n">
        <v>3</v>
      </c>
      <c r="G1947" t="n">
        <v>2</v>
      </c>
      <c r="J1947" t="inlineStr">
        <is>
          <t>Moda</t>
        </is>
      </c>
      <c r="K1947" t="n">
        <v>2</v>
      </c>
      <c r="L1947" t="n">
        <v>1.667</v>
      </c>
      <c r="M1947" t="n">
        <v>0</v>
      </c>
      <c r="N1947" t="inlineStr">
        <is>
          <t>train</t>
        </is>
      </c>
      <c r="O1947">
        <f>HYPERLINK("2\1\marker_226_379839.png", "Ver Imagen")</f>
        <v/>
      </c>
      <c r="P1947">
        <f>HYPERLINK("SE\A-5058\A-5058__4.png", "Ver Imagen")</f>
        <v/>
      </c>
    </row>
    <row r="1948">
      <c r="A1948" t="n">
        <v>1379</v>
      </c>
      <c r="B1948" t="inlineStr">
        <is>
          <t>A-495__161</t>
        </is>
      </c>
      <c r="C1948" t="n">
        <v>37.432322809</v>
      </c>
      <c r="D1948" t="n">
        <v>-7.0635568948</v>
      </c>
      <c r="E1948" t="n">
        <v>2</v>
      </c>
      <c r="F1948" t="n">
        <v>3</v>
      </c>
      <c r="G1948" t="n">
        <v>2</v>
      </c>
      <c r="J1948" t="inlineStr">
        <is>
          <t>Moda</t>
        </is>
      </c>
      <c r="K1948" t="n">
        <v>2</v>
      </c>
      <c r="L1948" t="n">
        <v>1.873</v>
      </c>
      <c r="M1948" t="n">
        <v>0</v>
      </c>
      <c r="N1948" t="inlineStr">
        <is>
          <t>train</t>
        </is>
      </c>
      <c r="O1948">
        <f>HYPERLINK("2\1\marker_547_382811.png", "Ver Imagen")</f>
        <v/>
      </c>
      <c r="P1948">
        <f>HYPERLINK("NE\A-495\A-495__161.png", "Ver Imagen")</f>
        <v/>
      </c>
    </row>
    <row r="1949">
      <c r="A1949" t="n">
        <v>1380</v>
      </c>
      <c r="B1949" t="inlineStr">
        <is>
          <t>A-5058__8</t>
        </is>
      </c>
      <c r="C1949" t="n">
        <v>37.2253330518</v>
      </c>
      <c r="D1949" t="n">
        <v>-7.02928561729</v>
      </c>
      <c r="E1949" t="n">
        <v>2</v>
      </c>
      <c r="F1949" t="n">
        <v>2</v>
      </c>
      <c r="G1949" t="n">
        <v>3</v>
      </c>
      <c r="J1949" t="inlineStr">
        <is>
          <t>Moda</t>
        </is>
      </c>
      <c r="K1949" t="n">
        <v>2</v>
      </c>
      <c r="L1949" t="n">
        <v>1.972</v>
      </c>
      <c r="M1949" t="n">
        <v>0</v>
      </c>
      <c r="N1949" t="inlineStr">
        <is>
          <t>train</t>
        </is>
      </c>
      <c r="O1949">
        <f>HYPERLINK("2\1\marker_138_379891.png", "Ver Imagen")</f>
        <v/>
      </c>
      <c r="P1949">
        <f>HYPERLINK("SE\A-5058\A-5058__8.png", "Ver Imagen")</f>
        <v/>
      </c>
    </row>
    <row r="1950">
      <c r="A1950" t="n">
        <v>1381</v>
      </c>
      <c r="B1950" t="inlineStr">
        <is>
          <t>A-5058__13</t>
        </is>
      </c>
      <c r="C1950" t="n">
        <v>37.2253356262</v>
      </c>
      <c r="D1950" t="n">
        <v>-7.03056473897</v>
      </c>
      <c r="E1950" t="n">
        <v>2</v>
      </c>
      <c r="F1950" t="n">
        <v>1</v>
      </c>
      <c r="G1950" t="n">
        <v>2</v>
      </c>
      <c r="J1950" t="inlineStr">
        <is>
          <t>Moda</t>
        </is>
      </c>
      <c r="K1950" t="n">
        <v>2</v>
      </c>
      <c r="L1950" t="n">
        <v>2.352</v>
      </c>
      <c r="M1950" t="n">
        <v>0</v>
      </c>
      <c r="N1950" t="inlineStr">
        <is>
          <t>train</t>
        </is>
      </c>
      <c r="O1950">
        <f>HYPERLINK("2\1\marker_159_379935.png", "Ver Imagen")</f>
        <v/>
      </c>
      <c r="P1950">
        <f>HYPERLINK("SE\A-5058\A-5058__13.png", "Ver Imagen")</f>
        <v/>
      </c>
    </row>
    <row r="1951">
      <c r="A1951" t="n">
        <v>1382</v>
      </c>
      <c r="B1951" t="inlineStr">
        <is>
          <t>A-495__162</t>
        </is>
      </c>
      <c r="C1951" t="n">
        <v>37.4322078252</v>
      </c>
      <c r="D1951" t="n">
        <v>-7.06330903446</v>
      </c>
      <c r="E1951" t="n">
        <v>2</v>
      </c>
      <c r="F1951" t="n">
        <v>3</v>
      </c>
      <c r="G1951" t="n">
        <v>2</v>
      </c>
      <c r="J1951" t="inlineStr">
        <is>
          <t>Moda</t>
        </is>
      </c>
      <c r="K1951" t="n">
        <v>2</v>
      </c>
      <c r="L1951" t="n">
        <v>2.29</v>
      </c>
      <c r="M1951" t="n">
        <v>0</v>
      </c>
      <c r="N1951" t="inlineStr">
        <is>
          <t>train</t>
        </is>
      </c>
      <c r="O1951">
        <f>HYPERLINK("2\1\marker_890_382819.png", "Ver Imagen")</f>
        <v/>
      </c>
      <c r="P1951">
        <f>HYPERLINK("NE\A-495\A-495__162.png", "Ver Imagen")</f>
        <v/>
      </c>
    </row>
    <row r="1952">
      <c r="A1952" t="n">
        <v>1383</v>
      </c>
      <c r="B1952" t="inlineStr">
        <is>
          <t>A-5058__14</t>
        </is>
      </c>
      <c r="C1952" t="n">
        <v>37.2253189316</v>
      </c>
      <c r="D1952" t="n">
        <v>-7.03080410133</v>
      </c>
      <c r="E1952" t="n">
        <v>3</v>
      </c>
      <c r="F1952" t="n">
        <v>2</v>
      </c>
      <c r="G1952" t="n">
        <v>2</v>
      </c>
      <c r="J1952" t="inlineStr">
        <is>
          <t>Moda</t>
        </is>
      </c>
      <c r="K1952" t="n">
        <v>2</v>
      </c>
      <c r="L1952" t="n">
        <v>2.284</v>
      </c>
      <c r="M1952" t="n">
        <v>0</v>
      </c>
      <c r="N1952" t="inlineStr">
        <is>
          <t>val</t>
        </is>
      </c>
      <c r="O1952">
        <f>HYPERLINK("2\1\marker_761_379945.png", "Ver Imagen")</f>
        <v/>
      </c>
      <c r="P1952">
        <f>HYPERLINK("SE\A-5058\A-5058__14.png", "Ver Imagen")</f>
        <v/>
      </c>
    </row>
    <row r="1953">
      <c r="A1953" t="n">
        <v>1385</v>
      </c>
      <c r="B1953" t="inlineStr">
        <is>
          <t>A-495__164</t>
        </is>
      </c>
      <c r="C1953" t="n">
        <v>37.4320009793</v>
      </c>
      <c r="D1953" t="n">
        <v>-7.06285799618</v>
      </c>
      <c r="E1953" t="n">
        <v>2</v>
      </c>
      <c r="F1953" t="n">
        <v>2</v>
      </c>
      <c r="G1953" t="n">
        <v>3</v>
      </c>
      <c r="J1953" t="inlineStr">
        <is>
          <t>Moda</t>
        </is>
      </c>
      <c r="K1953" t="n">
        <v>2</v>
      </c>
      <c r="L1953" t="n">
        <v>2.122</v>
      </c>
      <c r="M1953" t="n">
        <v>0</v>
      </c>
      <c r="N1953" t="inlineStr">
        <is>
          <t>train</t>
        </is>
      </c>
      <c r="O1953">
        <f>HYPERLINK("2\1\marker_165_382854.png", "Ver Imagen")</f>
        <v/>
      </c>
      <c r="P1953">
        <f>HYPERLINK("NE\A-495\A-495__164.png", "Ver Imagen")</f>
        <v/>
      </c>
    </row>
    <row r="1954">
      <c r="A1954" t="n">
        <v>1387</v>
      </c>
      <c r="B1954" t="inlineStr">
        <is>
          <t>A-495__168</t>
        </is>
      </c>
      <c r="C1954" t="n">
        <v>37.4315916053</v>
      </c>
      <c r="D1954" t="n">
        <v>-7.06196967381</v>
      </c>
      <c r="E1954" t="n">
        <v>2</v>
      </c>
      <c r="F1954" t="n">
        <v>2</v>
      </c>
      <c r="G1954" t="n">
        <v>3</v>
      </c>
      <c r="J1954" t="inlineStr">
        <is>
          <t>Moda</t>
        </is>
      </c>
      <c r="K1954" t="n">
        <v>2</v>
      </c>
      <c r="L1954" t="n">
        <v>1.958</v>
      </c>
      <c r="M1954" t="n">
        <v>0</v>
      </c>
      <c r="N1954" t="inlineStr">
        <is>
          <t>train</t>
        </is>
      </c>
      <c r="O1954">
        <f>HYPERLINK("2\1\marker_726_382893.png", "Ver Imagen")</f>
        <v/>
      </c>
      <c r="P1954">
        <f>HYPERLINK("NE\A-495\A-495__168.png", "Ver Imagen")</f>
        <v/>
      </c>
    </row>
    <row r="1955">
      <c r="A1955" t="n">
        <v>1388</v>
      </c>
      <c r="B1955" t="inlineStr">
        <is>
          <t>A-5058__44</t>
        </is>
      </c>
      <c r="C1955" t="n">
        <v>37.2246494848</v>
      </c>
      <c r="D1955" t="n">
        <v>-7.03799783172</v>
      </c>
      <c r="E1955" t="n">
        <v>2</v>
      </c>
      <c r="F1955" t="n">
        <v>3</v>
      </c>
      <c r="G1955" t="n">
        <v>2</v>
      </c>
      <c r="J1955" t="inlineStr">
        <is>
          <t>Moda</t>
        </is>
      </c>
      <c r="K1955" t="n">
        <v>2</v>
      </c>
      <c r="L1955" t="n">
        <v>1.697</v>
      </c>
      <c r="M1955" t="n">
        <v>0</v>
      </c>
      <c r="N1955" t="inlineStr">
        <is>
          <t>train</t>
        </is>
      </c>
      <c r="O1955">
        <f>HYPERLINK("2\1\marker_303_380461.png", "Ver Imagen")</f>
        <v/>
      </c>
      <c r="P1955">
        <f>HYPERLINK("SE\A-5058\A-5058__44.png", "Ver Imagen")</f>
        <v/>
      </c>
    </row>
    <row r="1956">
      <c r="A1956" t="n">
        <v>1389</v>
      </c>
      <c r="B1956" t="inlineStr">
        <is>
          <t>A-5058__49</t>
        </is>
      </c>
      <c r="C1956" t="n">
        <v>37.2248009468</v>
      </c>
      <c r="D1956" t="n">
        <v>-7.03926741962</v>
      </c>
      <c r="E1956" t="n">
        <v>2</v>
      </c>
      <c r="F1956" t="n">
        <v>3</v>
      </c>
      <c r="G1956" t="n">
        <v>2</v>
      </c>
      <c r="J1956" t="inlineStr">
        <is>
          <t>Moda</t>
        </is>
      </c>
      <c r="K1956" t="n">
        <v>2</v>
      </c>
      <c r="L1956" t="n">
        <v>1.734</v>
      </c>
      <c r="M1956" t="n">
        <v>0</v>
      </c>
      <c r="N1956" t="inlineStr">
        <is>
          <t>train</t>
        </is>
      </c>
      <c r="O1956">
        <f>HYPERLINK("2\1\marker_747_380526.png", "Ver Imagen")</f>
        <v/>
      </c>
      <c r="P1956">
        <f>HYPERLINK("SE\A-5058\A-5058__49.png", "Ver Imagen")</f>
        <v/>
      </c>
    </row>
    <row r="1957">
      <c r="A1957" t="n">
        <v>1390</v>
      </c>
      <c r="B1957" t="inlineStr">
        <is>
          <t>A-5058__50</t>
        </is>
      </c>
      <c r="C1957" t="n">
        <v>37.2248536587</v>
      </c>
      <c r="D1957" t="n">
        <v>-7.03951923824</v>
      </c>
      <c r="E1957" t="n">
        <v>2</v>
      </c>
      <c r="F1957" t="n">
        <v>3</v>
      </c>
      <c r="G1957" t="n">
        <v>2</v>
      </c>
      <c r="J1957" t="inlineStr">
        <is>
          <t>Moda</t>
        </is>
      </c>
      <c r="K1957" t="n">
        <v>2</v>
      </c>
      <c r="L1957" t="n">
        <v>2.04</v>
      </c>
      <c r="M1957" t="n">
        <v>0</v>
      </c>
      <c r="N1957" t="inlineStr">
        <is>
          <t>train</t>
        </is>
      </c>
      <c r="O1957">
        <f>HYPERLINK("2\1\marker_404_380535.png", "Ver Imagen")</f>
        <v/>
      </c>
      <c r="P1957">
        <f>HYPERLINK("SE\A-5058\A-5058__50.png", "Ver Imagen")</f>
        <v/>
      </c>
    </row>
    <row r="1958">
      <c r="A1958" t="n">
        <v>1391</v>
      </c>
      <c r="B1958" t="inlineStr">
        <is>
          <t>A-5058__68</t>
        </is>
      </c>
      <c r="C1958" t="n">
        <v>37.2263768817</v>
      </c>
      <c r="D1958" t="n">
        <v>-7.04362392191</v>
      </c>
      <c r="E1958" t="n">
        <v>2</v>
      </c>
      <c r="F1958" t="n">
        <v>3</v>
      </c>
      <c r="G1958" t="n">
        <v>2</v>
      </c>
      <c r="J1958" t="inlineStr">
        <is>
          <t>Moda</t>
        </is>
      </c>
      <c r="K1958" t="n">
        <v>2</v>
      </c>
      <c r="L1958" t="n">
        <v>2.244</v>
      </c>
      <c r="M1958" t="n">
        <v>0</v>
      </c>
      <c r="N1958" t="inlineStr">
        <is>
          <t>train</t>
        </is>
      </c>
      <c r="O1958">
        <f>HYPERLINK("2\1\marker_240_380735.png", "Ver Imagen")</f>
        <v/>
      </c>
      <c r="P1958">
        <f>HYPERLINK("SE\A-5058\A-5058__68.png", "Ver Imagen")</f>
        <v/>
      </c>
    </row>
    <row r="1959">
      <c r="A1959" t="n">
        <v>1392</v>
      </c>
      <c r="B1959" t="inlineStr">
        <is>
          <t>A-5058__71</t>
        </is>
      </c>
      <c r="C1959" t="n">
        <v>37.2266855199</v>
      </c>
      <c r="D1959" t="n">
        <v>-7.04425934307</v>
      </c>
      <c r="E1959" t="n">
        <v>2</v>
      </c>
      <c r="F1959" t="n">
        <v>1</v>
      </c>
      <c r="G1959" t="n">
        <v>2</v>
      </c>
      <c r="J1959" t="inlineStr">
        <is>
          <t>Moda</t>
        </is>
      </c>
      <c r="K1959" t="n">
        <v>2</v>
      </c>
      <c r="L1959" t="n">
        <v>2.024</v>
      </c>
      <c r="M1959" t="n">
        <v>0</v>
      </c>
      <c r="N1959" t="inlineStr">
        <is>
          <t>train</t>
        </is>
      </c>
      <c r="O1959">
        <f>HYPERLINK("2\1\marker_115_380765.png", "Ver Imagen")</f>
        <v/>
      </c>
      <c r="P1959">
        <f>HYPERLINK("SE\A-5058\A-5058__71.png", "Ver Imagen")</f>
        <v/>
      </c>
    </row>
    <row r="1960">
      <c r="A1960" t="n">
        <v>1394</v>
      </c>
      <c r="B1960" t="inlineStr">
        <is>
          <t>A-5058__93</t>
        </is>
      </c>
      <c r="C1960" t="n">
        <v>37.229738925</v>
      </c>
      <c r="D1960" t="n">
        <v>-7.04827174586</v>
      </c>
      <c r="E1960" t="n">
        <v>2</v>
      </c>
      <c r="F1960" t="n">
        <v>2</v>
      </c>
      <c r="G1960" t="n">
        <v>3</v>
      </c>
      <c r="J1960" t="inlineStr">
        <is>
          <t>Moda</t>
        </is>
      </c>
      <c r="K1960" t="n">
        <v>2</v>
      </c>
      <c r="L1960" t="n">
        <v>1.814</v>
      </c>
      <c r="M1960" t="n">
        <v>0</v>
      </c>
      <c r="N1960" t="inlineStr">
        <is>
          <t>train</t>
        </is>
      </c>
      <c r="O1960">
        <f>HYPERLINK("2\1\marker_236_381041.png", "Ver Imagen")</f>
        <v/>
      </c>
      <c r="P1960">
        <f>HYPERLINK("SE\A-5058\A-5058__93.png", "Ver Imagen")</f>
        <v/>
      </c>
    </row>
    <row r="1961">
      <c r="A1961" t="n">
        <v>1395</v>
      </c>
      <c r="B1961" t="inlineStr">
        <is>
          <t>A-5058__97</t>
        </is>
      </c>
      <c r="C1961" t="n">
        <v>37.2302235473</v>
      </c>
      <c r="D1961" t="n">
        <v>-7.04907835941</v>
      </c>
      <c r="E1961" t="n">
        <v>2</v>
      </c>
      <c r="F1961" t="n">
        <v>2</v>
      </c>
      <c r="G1961" t="n">
        <v>3</v>
      </c>
      <c r="J1961" t="inlineStr">
        <is>
          <t>Moda</t>
        </is>
      </c>
      <c r="K1961" t="n">
        <v>2</v>
      </c>
      <c r="L1961" t="n">
        <v>1.827</v>
      </c>
      <c r="M1961" t="n">
        <v>0</v>
      </c>
      <c r="N1961" t="inlineStr">
        <is>
          <t>train</t>
        </is>
      </c>
      <c r="O1961">
        <f>HYPERLINK("2\1\marker_623_381081.png", "Ver Imagen")</f>
        <v/>
      </c>
      <c r="P1961">
        <f>HYPERLINK("SE\A-5058\A-5058__97.png", "Ver Imagen")</f>
        <v/>
      </c>
    </row>
    <row r="1962">
      <c r="A1962" t="n">
        <v>1396</v>
      </c>
      <c r="B1962" t="inlineStr">
        <is>
          <t>A-5058__101</t>
        </is>
      </c>
      <c r="C1962" t="n">
        <v>37.2307216108</v>
      </c>
      <c r="D1962" t="n">
        <v>-7.04992142487</v>
      </c>
      <c r="E1962" t="n">
        <v>2</v>
      </c>
      <c r="F1962" t="n">
        <v>2</v>
      </c>
      <c r="G1962" t="n">
        <v>3</v>
      </c>
      <c r="J1962" t="inlineStr">
        <is>
          <t>Moda</t>
        </is>
      </c>
      <c r="K1962" t="n">
        <v>2</v>
      </c>
      <c r="L1962" t="n">
        <v>2.29</v>
      </c>
      <c r="M1962" t="n">
        <v>0</v>
      </c>
      <c r="N1962" t="inlineStr">
        <is>
          <t>train</t>
        </is>
      </c>
      <c r="O1962">
        <f>HYPERLINK("2\1\marker_725_381129.png", "Ver Imagen")</f>
        <v/>
      </c>
      <c r="P1962">
        <f>HYPERLINK("SE\A-5058\A-5058__101.png", "Ver Imagen")</f>
        <v/>
      </c>
    </row>
    <row r="1963">
      <c r="A1963" t="n">
        <v>1398</v>
      </c>
      <c r="B1963" t="inlineStr">
        <is>
          <t>A-495_1__194</t>
        </is>
      </c>
      <c r="C1963" t="n">
        <v>37.4846103885</v>
      </c>
      <c r="D1963" t="n">
        <v>-7.13039368881</v>
      </c>
      <c r="E1963" t="n">
        <v>2</v>
      </c>
      <c r="F1963" t="n">
        <v>3</v>
      </c>
      <c r="G1963" t="n">
        <v>2</v>
      </c>
      <c r="J1963" t="inlineStr">
        <is>
          <t>Moda</t>
        </is>
      </c>
      <c r="K1963" t="n">
        <v>2</v>
      </c>
      <c r="L1963" t="n">
        <v>2.265</v>
      </c>
      <c r="M1963" t="n">
        <v>0</v>
      </c>
      <c r="N1963" t="inlineStr">
        <is>
          <t>train</t>
        </is>
      </c>
      <c r="O1963">
        <f>HYPERLINK("2\1\marker_508_383691.png", "Ver Imagen")</f>
        <v/>
      </c>
      <c r="P1963">
        <f>HYPERLINK("NE\A-495_1\A-495_1__194.png", "Ver Imagen")</f>
        <v/>
      </c>
    </row>
    <row r="1964">
      <c r="A1964" t="n">
        <v>1399</v>
      </c>
      <c r="B1964" t="inlineStr">
        <is>
          <t>A-495_1__187</t>
        </is>
      </c>
      <c r="C1964" t="n">
        <v>37.4834859136</v>
      </c>
      <c r="D1964" t="n">
        <v>-7.12937146424</v>
      </c>
      <c r="E1964" t="n">
        <v>2</v>
      </c>
      <c r="F1964" t="n">
        <v>3</v>
      </c>
      <c r="G1964" t="n">
        <v>2</v>
      </c>
      <c r="J1964" t="inlineStr">
        <is>
          <t>Moda</t>
        </is>
      </c>
      <c r="K1964" t="n">
        <v>2</v>
      </c>
      <c r="L1964" t="n">
        <v>1.725</v>
      </c>
      <c r="M1964" t="n">
        <v>0</v>
      </c>
      <c r="N1964" t="inlineStr">
        <is>
          <t>train</t>
        </is>
      </c>
      <c r="O1964">
        <f>HYPERLINK("2\1\marker_821_383757.png", "Ver Imagen")</f>
        <v/>
      </c>
      <c r="P1964">
        <f>HYPERLINK("NE\A-495_1\A-495_1__187.png", "Ver Imagen")</f>
        <v/>
      </c>
    </row>
    <row r="1965">
      <c r="A1965" t="n">
        <v>1400</v>
      </c>
      <c r="B1965" t="inlineStr">
        <is>
          <t>A-495_1__186</t>
        </is>
      </c>
      <c r="C1965" t="n">
        <v>37.4833131443</v>
      </c>
      <c r="D1965" t="n">
        <v>-7.12919445215</v>
      </c>
      <c r="E1965" t="n">
        <v>2</v>
      </c>
      <c r="F1965" t="n">
        <v>3</v>
      </c>
      <c r="G1965" t="n">
        <v>2</v>
      </c>
      <c r="J1965" t="inlineStr">
        <is>
          <t>Moda</t>
        </is>
      </c>
      <c r="K1965" t="n">
        <v>2</v>
      </c>
      <c r="L1965" t="n">
        <v>2.073</v>
      </c>
      <c r="M1965" t="n">
        <v>0</v>
      </c>
      <c r="N1965" t="inlineStr">
        <is>
          <t>train</t>
        </is>
      </c>
      <c r="O1965">
        <f>HYPERLINK("2\1\marker_321_383767.png", "Ver Imagen")</f>
        <v/>
      </c>
      <c r="P1965">
        <f>HYPERLINK("NE\A-495_1\A-495_1__186.png", "Ver Imagen")</f>
        <v/>
      </c>
    </row>
    <row r="1966">
      <c r="A1966" t="n">
        <v>1401</v>
      </c>
      <c r="B1966" t="inlineStr">
        <is>
          <t>A-495_1__120</t>
        </is>
      </c>
      <c r="C1966" t="n">
        <v>37.4711302983</v>
      </c>
      <c r="D1966" t="n">
        <v>-7.12551069334</v>
      </c>
      <c r="E1966" t="n">
        <v>3</v>
      </c>
      <c r="F1966" t="n">
        <v>2</v>
      </c>
      <c r="G1966" t="n">
        <v>2</v>
      </c>
      <c r="J1966" t="inlineStr">
        <is>
          <t>Moda</t>
        </is>
      </c>
      <c r="K1966" t="n">
        <v>2</v>
      </c>
      <c r="L1966" t="n">
        <v>1.905</v>
      </c>
      <c r="M1966" t="n">
        <v>0</v>
      </c>
      <c r="N1966" t="inlineStr">
        <is>
          <t>train</t>
        </is>
      </c>
      <c r="O1966">
        <f>HYPERLINK("2\1\marker_901_384570.png", "Ver Imagen")</f>
        <v/>
      </c>
      <c r="P1966">
        <f>HYPERLINK("NE\A-495_1\A-495_1__120.png", "Ver Imagen")</f>
        <v/>
      </c>
    </row>
    <row r="1967">
      <c r="A1967" t="n">
        <v>1403</v>
      </c>
      <c r="B1967" t="inlineStr">
        <is>
          <t>A-495_1__113</t>
        </is>
      </c>
      <c r="C1967" t="n">
        <v>37.4699050568</v>
      </c>
      <c r="D1967" t="n">
        <v>-7.12456641136</v>
      </c>
      <c r="E1967" t="n">
        <v>2</v>
      </c>
      <c r="F1967" t="n">
        <v>3</v>
      </c>
      <c r="G1967" t="n">
        <v>2</v>
      </c>
      <c r="J1967" t="inlineStr">
        <is>
          <t>Moda</t>
        </is>
      </c>
      <c r="K1967" t="n">
        <v>2</v>
      </c>
      <c r="L1967" t="n">
        <v>2.018</v>
      </c>
      <c r="M1967" t="n">
        <v>0</v>
      </c>
      <c r="N1967" t="inlineStr">
        <is>
          <t>train</t>
        </is>
      </c>
      <c r="O1967">
        <f>HYPERLINK("2\1\marker_560_384692.png", "Ver Imagen")</f>
        <v/>
      </c>
      <c r="P1967">
        <f>HYPERLINK("NE\A-495_1\A-495_1__113.png", "Ver Imagen")</f>
        <v/>
      </c>
    </row>
    <row r="1968">
      <c r="A1968" t="n">
        <v>1404</v>
      </c>
      <c r="B1968" t="inlineStr">
        <is>
          <t>A-495_1__97</t>
        </is>
      </c>
      <c r="C1968" t="n">
        <v>37.46698553</v>
      </c>
      <c r="D1968" t="n">
        <v>-7.12279913612</v>
      </c>
      <c r="E1968" t="n">
        <v>2</v>
      </c>
      <c r="F1968" t="n">
        <v>3</v>
      </c>
      <c r="G1968" t="n">
        <v>2</v>
      </c>
      <c r="J1968" t="inlineStr">
        <is>
          <t>Moda</t>
        </is>
      </c>
      <c r="K1968" t="n">
        <v>2</v>
      </c>
      <c r="L1968" t="n">
        <v>2.322</v>
      </c>
      <c r="M1968" t="n">
        <v>0</v>
      </c>
      <c r="N1968" t="inlineStr">
        <is>
          <t>train</t>
        </is>
      </c>
      <c r="O1968">
        <f>HYPERLINK("2\1\marker_835_385070.png", "Ver Imagen")</f>
        <v/>
      </c>
      <c r="P1968">
        <f>HYPERLINK("NE\A-495_1\A-495_1__97.png", "Ver Imagen")</f>
        <v/>
      </c>
    </row>
    <row r="1969">
      <c r="A1969" t="n">
        <v>1406</v>
      </c>
      <c r="B1969" t="inlineStr">
        <is>
          <t>A-495_1__90</t>
        </is>
      </c>
      <c r="C1969" t="n">
        <v>37.4656161605</v>
      </c>
      <c r="D1969" t="n">
        <v>-7.1228731488</v>
      </c>
      <c r="E1969" t="n">
        <v>2</v>
      </c>
      <c r="F1969" t="n">
        <v>3</v>
      </c>
      <c r="G1969" t="n">
        <v>2</v>
      </c>
      <c r="J1969" t="inlineStr">
        <is>
          <t>Moda</t>
        </is>
      </c>
      <c r="K1969" t="n">
        <v>2</v>
      </c>
      <c r="L1969" t="n">
        <v>2.032</v>
      </c>
      <c r="M1969" t="n">
        <v>0</v>
      </c>
      <c r="N1969" t="inlineStr">
        <is>
          <t>train</t>
        </is>
      </c>
      <c r="O1969">
        <f>HYPERLINK("2\1\marker_408_385145.png", "Ver Imagen")</f>
        <v/>
      </c>
      <c r="P1969">
        <f>HYPERLINK("NE\A-495_1\A-495_1__90.png", "Ver Imagen")</f>
        <v/>
      </c>
    </row>
    <row r="1970">
      <c r="A1970" t="n">
        <v>1407</v>
      </c>
      <c r="B1970" t="inlineStr">
        <is>
          <t>A-495_1__84</t>
        </is>
      </c>
      <c r="C1970" t="n">
        <v>37.464503982</v>
      </c>
      <c r="D1970" t="n">
        <v>-7.12355161277</v>
      </c>
      <c r="E1970" t="n">
        <v>2</v>
      </c>
      <c r="F1970" t="n">
        <v>3</v>
      </c>
      <c r="G1970" t="n">
        <v>2</v>
      </c>
      <c r="J1970" t="inlineStr">
        <is>
          <t>Moda</t>
        </is>
      </c>
      <c r="K1970" t="n">
        <v>2</v>
      </c>
      <c r="L1970" t="n">
        <v>1.818</v>
      </c>
      <c r="M1970" t="n">
        <v>0</v>
      </c>
      <c r="N1970" t="inlineStr">
        <is>
          <t>train</t>
        </is>
      </c>
      <c r="O1970">
        <f>HYPERLINK("2\1\marker_332_385200.png", "Ver Imagen")</f>
        <v/>
      </c>
      <c r="P1970">
        <f>HYPERLINK("NE\A-495_1\A-495_1__84.png", "Ver Imagen")</f>
        <v/>
      </c>
    </row>
    <row r="1971">
      <c r="A1971" t="n">
        <v>1408</v>
      </c>
      <c r="B1971" t="inlineStr">
        <is>
          <t>A-495_1__75</t>
        </is>
      </c>
      <c r="C1971" t="n">
        <v>37.4627740805</v>
      </c>
      <c r="D1971" t="n">
        <v>-7.12420665937</v>
      </c>
      <c r="E1971" t="n">
        <v>2</v>
      </c>
      <c r="F1971" t="n">
        <v>3</v>
      </c>
      <c r="G1971" t="n">
        <v>2</v>
      </c>
      <c r="J1971" t="inlineStr">
        <is>
          <t>Moda</t>
        </is>
      </c>
      <c r="K1971" t="n">
        <v>2</v>
      </c>
      <c r="L1971" t="n">
        <v>1.534</v>
      </c>
      <c r="M1971" t="n">
        <v>0</v>
      </c>
      <c r="N1971" t="inlineStr">
        <is>
          <t>test</t>
        </is>
      </c>
      <c r="O1971">
        <f>HYPERLINK("2\1\marker_868_385281.png", "Ver Imagen")</f>
        <v/>
      </c>
      <c r="P1971">
        <f>HYPERLINK("NE\A-495_1\A-495_1__75.png", "Ver Imagen")</f>
        <v/>
      </c>
    </row>
    <row r="1972">
      <c r="A1972" t="n">
        <v>1409</v>
      </c>
      <c r="B1972" t="inlineStr">
        <is>
          <t>A-495_1__74</t>
        </is>
      </c>
      <c r="C1972" t="n">
        <v>37.4625831846</v>
      </c>
      <c r="D1972" t="n">
        <v>-7.12423776209</v>
      </c>
      <c r="E1972" t="n">
        <v>2</v>
      </c>
      <c r="F1972" t="n">
        <v>3</v>
      </c>
      <c r="G1972" t="n">
        <v>2</v>
      </c>
      <c r="J1972" t="inlineStr">
        <is>
          <t>Moda</t>
        </is>
      </c>
      <c r="K1972" t="n">
        <v>2</v>
      </c>
      <c r="L1972" t="n">
        <v>1.958</v>
      </c>
      <c r="M1972" t="n">
        <v>0</v>
      </c>
      <c r="N1972" t="inlineStr">
        <is>
          <t>train</t>
        </is>
      </c>
      <c r="O1972">
        <f>HYPERLINK("2\1\marker_119_385290.png", "Ver Imagen")</f>
        <v/>
      </c>
      <c r="P1972">
        <f>HYPERLINK("NE\A-495_1\A-495_1__74.png", "Ver Imagen")</f>
        <v/>
      </c>
    </row>
    <row r="1973">
      <c r="A1973" t="n">
        <v>1410</v>
      </c>
      <c r="B1973" t="inlineStr">
        <is>
          <t>A-495_1__71</t>
        </is>
      </c>
      <c r="C1973" t="n">
        <v>37.4619794604</v>
      </c>
      <c r="D1973" t="n">
        <v>-7.12434839755</v>
      </c>
      <c r="E1973" t="n">
        <v>2</v>
      </c>
      <c r="F1973" t="n">
        <v>3</v>
      </c>
      <c r="G1973" t="n">
        <v>2</v>
      </c>
      <c r="J1973" t="inlineStr">
        <is>
          <t>Moda</t>
        </is>
      </c>
      <c r="K1973" t="n">
        <v>2</v>
      </c>
      <c r="L1973" t="n">
        <v>1.901</v>
      </c>
      <c r="M1973" t="n">
        <v>0</v>
      </c>
      <c r="N1973" t="inlineStr">
        <is>
          <t>train</t>
        </is>
      </c>
      <c r="O1973">
        <f>HYPERLINK("2\1\marker_809_385318.png", "Ver Imagen")</f>
        <v/>
      </c>
      <c r="P1973">
        <f>HYPERLINK("NE\A-495_1\A-495_1__71.png", "Ver Imagen")</f>
        <v/>
      </c>
    </row>
    <row r="1974">
      <c r="A1974" t="n">
        <v>1411</v>
      </c>
      <c r="B1974" t="inlineStr">
        <is>
          <t>A-495_1__58</t>
        </is>
      </c>
      <c r="C1974" t="n">
        <v>37.4594262683</v>
      </c>
      <c r="D1974" t="n">
        <v>-7.12510358176</v>
      </c>
      <c r="E1974" t="n">
        <v>2</v>
      </c>
      <c r="F1974" t="n">
        <v>3</v>
      </c>
      <c r="G1974" t="n">
        <v>2</v>
      </c>
      <c r="J1974" t="inlineStr">
        <is>
          <t>Moda</t>
        </is>
      </c>
      <c r="K1974" t="n">
        <v>2</v>
      </c>
      <c r="L1974" t="n">
        <v>1.862</v>
      </c>
      <c r="M1974" t="n">
        <v>0</v>
      </c>
      <c r="N1974" t="inlineStr">
        <is>
          <t>train</t>
        </is>
      </c>
      <c r="O1974">
        <f>HYPERLINK("2\1\marker_341_385487.png", "Ver Imagen")</f>
        <v/>
      </c>
      <c r="P1974">
        <f>HYPERLINK("NE\A-495_1\A-495_1__58.png", "Ver Imagen")</f>
        <v/>
      </c>
    </row>
    <row r="1975">
      <c r="A1975" t="n">
        <v>1412</v>
      </c>
      <c r="B1975" t="inlineStr">
        <is>
          <t>A-495_1__49</t>
        </is>
      </c>
      <c r="C1975" t="n">
        <v>37.4576547736</v>
      </c>
      <c r="D1975" t="n">
        <v>-7.12574805846</v>
      </c>
      <c r="E1975" t="n">
        <v>2</v>
      </c>
      <c r="F1975" t="n">
        <v>1</v>
      </c>
      <c r="G1975" t="n">
        <v>2</v>
      </c>
      <c r="J1975" t="inlineStr">
        <is>
          <t>Moda</t>
        </is>
      </c>
      <c r="K1975" t="n">
        <v>2</v>
      </c>
      <c r="L1975" t="n">
        <v>1.999</v>
      </c>
      <c r="M1975" t="n">
        <v>0</v>
      </c>
      <c r="N1975" t="inlineStr">
        <is>
          <t>train</t>
        </is>
      </c>
      <c r="O1975">
        <f>HYPERLINK("2\1\marker_926_385570.png", "Ver Imagen")</f>
        <v/>
      </c>
      <c r="P1975">
        <f>HYPERLINK("NE\A-495_1\A-495_1__49.png", "Ver Imagen")</f>
        <v/>
      </c>
    </row>
    <row r="1976">
      <c r="A1976" t="n">
        <v>1413</v>
      </c>
      <c r="B1976" t="inlineStr">
        <is>
          <t>A-495_1__46</t>
        </is>
      </c>
      <c r="C1976" t="n">
        <v>37.4571008367</v>
      </c>
      <c r="D1976" t="n">
        <v>-7.12594868053</v>
      </c>
      <c r="E1976" t="n">
        <v>2</v>
      </c>
      <c r="F1976" t="n">
        <v>3</v>
      </c>
      <c r="G1976" t="n">
        <v>2</v>
      </c>
      <c r="J1976" t="inlineStr">
        <is>
          <t>Moda</t>
        </is>
      </c>
      <c r="K1976" t="n">
        <v>2</v>
      </c>
      <c r="L1976" t="n">
        <v>2.068</v>
      </c>
      <c r="M1976" t="n">
        <v>0</v>
      </c>
      <c r="N1976" t="inlineStr">
        <is>
          <t>train</t>
        </is>
      </c>
      <c r="O1976">
        <f>HYPERLINK("2\1\marker_259_385597.png", "Ver Imagen")</f>
        <v/>
      </c>
      <c r="P1976">
        <f>HYPERLINK("NE\A-495_1\A-495_1__46.png", "Ver Imagen")</f>
        <v/>
      </c>
    </row>
    <row r="1977">
      <c r="A1977" t="n">
        <v>1414</v>
      </c>
      <c r="B1977" t="inlineStr">
        <is>
          <t>A-495_1__44</t>
        </is>
      </c>
      <c r="C1977" t="n">
        <v>37.4567079746</v>
      </c>
      <c r="D1977" t="n">
        <v>-7.1260958139</v>
      </c>
      <c r="E1977" t="n">
        <v>2</v>
      </c>
      <c r="F1977" t="n">
        <v>3</v>
      </c>
      <c r="G1977" t="n">
        <v>2</v>
      </c>
      <c r="J1977" t="inlineStr">
        <is>
          <t>Moda</t>
        </is>
      </c>
      <c r="K1977" t="n">
        <v>2</v>
      </c>
      <c r="L1977" t="n">
        <v>1.859</v>
      </c>
      <c r="M1977" t="n">
        <v>0</v>
      </c>
      <c r="N1977" t="inlineStr">
        <is>
          <t>train</t>
        </is>
      </c>
      <c r="O1977">
        <f>HYPERLINK("2\1\marker_467_385618.png", "Ver Imagen")</f>
        <v/>
      </c>
      <c r="P1977">
        <f>HYPERLINK("NE\A-495_1\A-495_1__44.png", "Ver Imagen")</f>
        <v/>
      </c>
    </row>
    <row r="1978">
      <c r="A1978" t="n">
        <v>1415</v>
      </c>
      <c r="B1978" t="inlineStr">
        <is>
          <t>A-495_1__42</t>
        </is>
      </c>
      <c r="C1978" t="n">
        <v>37.45623978</v>
      </c>
      <c r="D1978" t="n">
        <v>-7.12627119983</v>
      </c>
      <c r="E1978" t="n">
        <v>2</v>
      </c>
      <c r="F1978" t="n">
        <v>3</v>
      </c>
      <c r="G1978" t="n">
        <v>2</v>
      </c>
      <c r="J1978" t="inlineStr">
        <is>
          <t>Moda</t>
        </is>
      </c>
      <c r="K1978" t="n">
        <v>2</v>
      </c>
      <c r="L1978" t="n">
        <v>2.231</v>
      </c>
      <c r="M1978" t="n">
        <v>0</v>
      </c>
      <c r="N1978" t="inlineStr">
        <is>
          <t>train</t>
        </is>
      </c>
      <c r="O1978">
        <f>HYPERLINK("2\1\marker_928_385635.png", "Ver Imagen")</f>
        <v/>
      </c>
      <c r="P1978">
        <f>HYPERLINK("NE\A-495_1\A-495_1__42.png", "Ver Imagen")</f>
        <v/>
      </c>
    </row>
    <row r="1979">
      <c r="A1979" t="n">
        <v>1416</v>
      </c>
      <c r="B1979" t="inlineStr">
        <is>
          <t>A-495_1__40</t>
        </is>
      </c>
      <c r="C1979" t="n">
        <v>37.4559082992</v>
      </c>
      <c r="D1979" t="n">
        <v>-7.12639321531</v>
      </c>
      <c r="E1979" t="n">
        <v>2</v>
      </c>
      <c r="F1979" t="n">
        <v>3</v>
      </c>
      <c r="G1979" t="n">
        <v>2</v>
      </c>
      <c r="J1979" t="inlineStr">
        <is>
          <t>Moda</t>
        </is>
      </c>
      <c r="K1979" t="n">
        <v>2</v>
      </c>
      <c r="L1979" t="n">
        <v>1.872</v>
      </c>
      <c r="M1979" t="n">
        <v>0</v>
      </c>
      <c r="N1979" t="inlineStr">
        <is>
          <t>train</t>
        </is>
      </c>
      <c r="O1979">
        <f>HYPERLINK("2\1\marker_454_385655.png", "Ver Imagen")</f>
        <v/>
      </c>
      <c r="P1979">
        <f>HYPERLINK("NE\A-495_1\A-495_1__40.png", "Ver Imagen")</f>
        <v/>
      </c>
    </row>
    <row r="1980">
      <c r="A1980" t="n">
        <v>1417</v>
      </c>
      <c r="B1980" t="inlineStr">
        <is>
          <t>A-495_1__28</t>
        </is>
      </c>
      <c r="C1980" t="n">
        <v>37.4535976339</v>
      </c>
      <c r="D1980" t="n">
        <v>-7.12721071538</v>
      </c>
      <c r="E1980" t="n">
        <v>1</v>
      </c>
      <c r="F1980" t="n">
        <v>2</v>
      </c>
      <c r="G1980" t="n">
        <v>2</v>
      </c>
      <c r="J1980" t="inlineStr">
        <is>
          <t>Moda</t>
        </is>
      </c>
      <c r="K1980" t="n">
        <v>2</v>
      </c>
      <c r="L1980" t="n">
        <v>2.05</v>
      </c>
      <c r="M1980" t="n">
        <v>0</v>
      </c>
      <c r="N1980" t="inlineStr">
        <is>
          <t>train</t>
        </is>
      </c>
      <c r="O1980">
        <f>HYPERLINK("2\1\marker_204_385899.png", "Ver Imagen")</f>
        <v/>
      </c>
      <c r="P1980">
        <f>HYPERLINK("NE\A-495_1\A-495_1__28.png", "Ver Imagen")</f>
        <v/>
      </c>
    </row>
    <row r="1981">
      <c r="A1981" t="n">
        <v>1418</v>
      </c>
      <c r="B1981" t="inlineStr">
        <is>
          <t>A-495_1__24</t>
        </is>
      </c>
      <c r="C1981" t="n">
        <v>37.4527311841</v>
      </c>
      <c r="D1981" t="n">
        <v>-7.12739811967</v>
      </c>
      <c r="E1981" t="n">
        <v>2</v>
      </c>
      <c r="F1981" t="n">
        <v>1</v>
      </c>
      <c r="G1981" t="n">
        <v>2</v>
      </c>
      <c r="J1981" t="inlineStr">
        <is>
          <t>Moda</t>
        </is>
      </c>
      <c r="K1981" t="n">
        <v>2</v>
      </c>
      <c r="L1981" t="n">
        <v>2.127</v>
      </c>
      <c r="M1981" t="n">
        <v>0</v>
      </c>
      <c r="N1981" t="inlineStr">
        <is>
          <t>train</t>
        </is>
      </c>
      <c r="O1981">
        <f>HYPERLINK("2\1\marker_798_385933.png", "Ver Imagen")</f>
        <v/>
      </c>
      <c r="P1981">
        <f>HYPERLINK("NE\A-495_1\A-495_1__24.png", "Ver Imagen")</f>
        <v/>
      </c>
    </row>
    <row r="1982">
      <c r="A1982" t="n">
        <v>1419</v>
      </c>
      <c r="B1982" t="inlineStr">
        <is>
          <t>A-499__3</t>
        </is>
      </c>
      <c r="C1982" t="n">
        <v>37.4873627182</v>
      </c>
      <c r="D1982" t="n">
        <v>-7.27999552907</v>
      </c>
      <c r="E1982" t="n">
        <v>2</v>
      </c>
      <c r="F1982" t="n">
        <v>1</v>
      </c>
      <c r="G1982" t="n">
        <v>2</v>
      </c>
      <c r="J1982" t="inlineStr">
        <is>
          <t>Moda</t>
        </is>
      </c>
      <c r="K1982" t="n">
        <v>2</v>
      </c>
      <c r="L1982" t="n">
        <v>2.01</v>
      </c>
      <c r="M1982" t="n">
        <v>0</v>
      </c>
      <c r="N1982" t="inlineStr">
        <is>
          <t>train</t>
        </is>
      </c>
      <c r="O1982">
        <f>HYPERLINK("2\1\marker_839_529205.png", "Ver Imagen")</f>
        <v/>
      </c>
      <c r="P1982">
        <f>HYPERLINK("NO\A-499\A-499__3.png", "Ver Imagen")</f>
        <v/>
      </c>
    </row>
    <row r="1983">
      <c r="A1983" t="n">
        <v>1420</v>
      </c>
      <c r="B1983" t="inlineStr">
        <is>
          <t>A-499__4</t>
        </is>
      </c>
      <c r="C1983" t="n">
        <v>37.4875539399</v>
      </c>
      <c r="D1983" t="n">
        <v>-7.27989638883</v>
      </c>
      <c r="E1983" t="n">
        <v>2</v>
      </c>
      <c r="F1983" t="n">
        <v>3</v>
      </c>
      <c r="G1983" t="n">
        <v>2</v>
      </c>
      <c r="J1983" t="inlineStr">
        <is>
          <t>Moda</t>
        </is>
      </c>
      <c r="K1983" t="n">
        <v>2</v>
      </c>
      <c r="L1983" t="n">
        <v>1.92</v>
      </c>
      <c r="M1983" t="n">
        <v>0</v>
      </c>
      <c r="N1983" t="inlineStr">
        <is>
          <t>train</t>
        </is>
      </c>
      <c r="O1983">
        <f>HYPERLINK("2\1\marker_873_529214.png", "Ver Imagen")</f>
        <v/>
      </c>
      <c r="P1983">
        <f>HYPERLINK("NO\A-499\A-499__4.png", "Ver Imagen")</f>
        <v/>
      </c>
    </row>
    <row r="1984">
      <c r="A1984" t="n">
        <v>1421</v>
      </c>
      <c r="B1984" t="inlineStr">
        <is>
          <t>A-499__7</t>
        </is>
      </c>
      <c r="C1984" t="n">
        <v>37.4881127344</v>
      </c>
      <c r="D1984" t="n">
        <v>-7.27960585302</v>
      </c>
      <c r="E1984" t="n">
        <v>2</v>
      </c>
      <c r="F1984" t="n">
        <v>1</v>
      </c>
      <c r="G1984" t="n">
        <v>2</v>
      </c>
      <c r="J1984" t="inlineStr">
        <is>
          <t>Moda</t>
        </is>
      </c>
      <c r="K1984" t="n">
        <v>2</v>
      </c>
      <c r="L1984" t="n">
        <v>2.128</v>
      </c>
      <c r="M1984" t="n">
        <v>0</v>
      </c>
      <c r="N1984" t="inlineStr">
        <is>
          <t>train</t>
        </is>
      </c>
      <c r="O1984">
        <f>HYPERLINK("2\1\marker_807_529247.png", "Ver Imagen")</f>
        <v/>
      </c>
      <c r="P1984">
        <f>HYPERLINK("NO\A-499\A-499__7.png", "Ver Imagen")</f>
        <v/>
      </c>
    </row>
    <row r="1985">
      <c r="A1985" t="n">
        <v>1422</v>
      </c>
      <c r="B1985" t="inlineStr">
        <is>
          <t>A-499__10</t>
        </is>
      </c>
      <c r="C1985" t="n">
        <v>37.4886611978</v>
      </c>
      <c r="D1985" t="n">
        <v>-7.27931965353</v>
      </c>
      <c r="E1985" t="n">
        <v>2</v>
      </c>
      <c r="F1985" t="n">
        <v>3</v>
      </c>
      <c r="G1985" t="n">
        <v>2</v>
      </c>
      <c r="J1985" t="inlineStr">
        <is>
          <t>Moda</t>
        </is>
      </c>
      <c r="K1985" t="n">
        <v>2</v>
      </c>
      <c r="L1985" t="n">
        <v>1.962</v>
      </c>
      <c r="M1985" t="n">
        <v>0</v>
      </c>
      <c r="N1985" t="inlineStr">
        <is>
          <t>train</t>
        </is>
      </c>
      <c r="O1985">
        <f>HYPERLINK("2\1\marker_563_529302.png", "Ver Imagen")</f>
        <v/>
      </c>
      <c r="P1985">
        <f>HYPERLINK("NO\A-499\A-499__10.png", "Ver Imagen")</f>
        <v/>
      </c>
    </row>
    <row r="1986">
      <c r="A1986" t="n">
        <v>1423</v>
      </c>
      <c r="B1986" t="inlineStr">
        <is>
          <t>A-499__11</t>
        </is>
      </c>
      <c r="C1986" t="n">
        <v>37.4888359097</v>
      </c>
      <c r="D1986" t="n">
        <v>-7.27922919773</v>
      </c>
      <c r="E1986" t="n">
        <v>2</v>
      </c>
      <c r="F1986" t="n">
        <v>1</v>
      </c>
      <c r="G1986" t="n">
        <v>2</v>
      </c>
      <c r="J1986" t="inlineStr">
        <is>
          <t>Moda</t>
        </is>
      </c>
      <c r="K1986" t="n">
        <v>2</v>
      </c>
      <c r="L1986" t="n">
        <v>2.106</v>
      </c>
      <c r="M1986" t="n">
        <v>0</v>
      </c>
      <c r="N1986" t="inlineStr">
        <is>
          <t>train</t>
        </is>
      </c>
      <c r="O1986">
        <f>HYPERLINK("2\1\marker_994_529312.png", "Ver Imagen")</f>
        <v/>
      </c>
      <c r="P1986">
        <f>HYPERLINK("NO\A-499\A-499__11.png", "Ver Imagen")</f>
        <v/>
      </c>
    </row>
    <row r="1987">
      <c r="A1987" t="n">
        <v>1424</v>
      </c>
      <c r="B1987" t="inlineStr">
        <is>
          <t>A-499__12</t>
        </is>
      </c>
      <c r="C1987" t="n">
        <v>37.4890134642</v>
      </c>
      <c r="D1987" t="n">
        <v>-7.27913754457</v>
      </c>
      <c r="E1987" t="n">
        <v>2</v>
      </c>
      <c r="F1987" t="n">
        <v>3</v>
      </c>
      <c r="G1987" t="n">
        <v>2</v>
      </c>
      <c r="J1987" t="inlineStr">
        <is>
          <t>Moda</t>
        </is>
      </c>
      <c r="K1987" t="n">
        <v>2</v>
      </c>
      <c r="L1987" t="n">
        <v>2.081</v>
      </c>
      <c r="M1987" t="n">
        <v>0</v>
      </c>
      <c r="N1987" t="inlineStr">
        <is>
          <t>train</t>
        </is>
      </c>
      <c r="O1987">
        <f>HYPERLINK("2\1\marker_620_529321.png", "Ver Imagen")</f>
        <v/>
      </c>
      <c r="P1987">
        <f>HYPERLINK("NO\A-499\A-499__12.png", "Ver Imagen")</f>
        <v/>
      </c>
    </row>
    <row r="1988">
      <c r="A1988" t="n">
        <v>1425</v>
      </c>
      <c r="B1988" t="inlineStr">
        <is>
          <t>A-499__25</t>
        </is>
      </c>
      <c r="C1988" t="n">
        <v>37.4914925996</v>
      </c>
      <c r="D1988" t="n">
        <v>-7.27789657524</v>
      </c>
      <c r="E1988" t="n">
        <v>2</v>
      </c>
      <c r="F1988" t="n">
        <v>1</v>
      </c>
      <c r="G1988" t="n">
        <v>2</v>
      </c>
      <c r="J1988" t="inlineStr">
        <is>
          <t>Moda</t>
        </is>
      </c>
      <c r="K1988" t="n">
        <v>2</v>
      </c>
      <c r="L1988" t="n">
        <v>2.136</v>
      </c>
      <c r="M1988" t="n">
        <v>0</v>
      </c>
      <c r="N1988" t="inlineStr">
        <is>
          <t>train</t>
        </is>
      </c>
      <c r="O1988">
        <f>HYPERLINK("2\1\marker_954_529493.png", "Ver Imagen")</f>
        <v/>
      </c>
      <c r="P1988">
        <f>HYPERLINK("NO\A-499\A-499__25.png", "Ver Imagen")</f>
        <v/>
      </c>
    </row>
    <row r="1989">
      <c r="A1989" t="n">
        <v>1426</v>
      </c>
      <c r="B1989" t="inlineStr">
        <is>
          <t>A-499__28</t>
        </is>
      </c>
      <c r="C1989" t="n">
        <v>37.4920390542</v>
      </c>
      <c r="D1989" t="n">
        <v>-7.27766609232</v>
      </c>
      <c r="E1989" t="n">
        <v>2</v>
      </c>
      <c r="F1989" t="n">
        <v>3</v>
      </c>
      <c r="G1989" t="n">
        <v>2</v>
      </c>
      <c r="J1989" t="inlineStr">
        <is>
          <t>Moda</t>
        </is>
      </c>
      <c r="K1989" t="n">
        <v>2</v>
      </c>
      <c r="L1989" t="n">
        <v>2.089</v>
      </c>
      <c r="M1989" t="n">
        <v>0</v>
      </c>
      <c r="N1989" t="inlineStr">
        <is>
          <t>train</t>
        </is>
      </c>
      <c r="O1989">
        <f>HYPERLINK("2\1\marker_857_529519.png", "Ver Imagen")</f>
        <v/>
      </c>
      <c r="P1989">
        <f>HYPERLINK("NO\A-499\A-499__28.png", "Ver Imagen")</f>
        <v/>
      </c>
    </row>
    <row r="1990">
      <c r="A1990" t="n">
        <v>1427</v>
      </c>
      <c r="B1990" t="inlineStr">
        <is>
          <t>A-499__33</t>
        </is>
      </c>
      <c r="C1990" t="n">
        <v>37.4930217718</v>
      </c>
      <c r="D1990" t="n">
        <v>-7.27730137784</v>
      </c>
      <c r="E1990" t="n">
        <v>2</v>
      </c>
      <c r="F1990" t="n">
        <v>3</v>
      </c>
      <c r="G1990" t="n">
        <v>2</v>
      </c>
      <c r="J1990" t="inlineStr">
        <is>
          <t>Moda</t>
        </is>
      </c>
      <c r="K1990" t="n">
        <v>2</v>
      </c>
      <c r="L1990" t="n">
        <v>1.948</v>
      </c>
      <c r="M1990" t="n">
        <v>0</v>
      </c>
      <c r="N1990" t="inlineStr">
        <is>
          <t>train</t>
        </is>
      </c>
      <c r="O1990">
        <f>HYPERLINK("2\1\marker_846_529955.png", "Ver Imagen")</f>
        <v/>
      </c>
      <c r="P1990">
        <f>HYPERLINK("NO\A-499\A-499__33.png", "Ver Imagen")</f>
        <v/>
      </c>
    </row>
    <row r="1991">
      <c r="A1991" t="n">
        <v>1428</v>
      </c>
      <c r="B1991" t="inlineStr">
        <is>
          <t>A-499__37</t>
        </is>
      </c>
      <c r="C1991" t="n">
        <v>37.4938041111</v>
      </c>
      <c r="D1991" t="n">
        <v>-7.27703972908</v>
      </c>
      <c r="E1991" t="n">
        <v>2</v>
      </c>
      <c r="F1991" t="n">
        <v>1</v>
      </c>
      <c r="G1991" t="n">
        <v>2</v>
      </c>
      <c r="J1991" t="inlineStr">
        <is>
          <t>Moda</t>
        </is>
      </c>
      <c r="K1991" t="n">
        <v>2</v>
      </c>
      <c r="L1991" t="n">
        <v>1.941</v>
      </c>
      <c r="M1991" t="n">
        <v>0</v>
      </c>
      <c r="N1991" t="inlineStr">
        <is>
          <t>train</t>
        </is>
      </c>
      <c r="O1991">
        <f>HYPERLINK("2\1\marker_197_529995.png", "Ver Imagen")</f>
        <v/>
      </c>
      <c r="P1991">
        <f>HYPERLINK("NO\A-499\A-499__37.png", "Ver Imagen")</f>
        <v/>
      </c>
    </row>
    <row r="1992">
      <c r="A1992" t="n">
        <v>1429</v>
      </c>
      <c r="B1992" t="inlineStr">
        <is>
          <t>A-499__40</t>
        </is>
      </c>
      <c r="C1992" t="n">
        <v>37.4943916292</v>
      </c>
      <c r="D1992" t="n">
        <v>-7.27684606456</v>
      </c>
      <c r="E1992" t="n">
        <v>2</v>
      </c>
      <c r="F1992" t="n">
        <v>1</v>
      </c>
      <c r="G1992" t="n">
        <v>2</v>
      </c>
      <c r="J1992" t="inlineStr">
        <is>
          <t>Moda</t>
        </is>
      </c>
      <c r="K1992" t="n">
        <v>2</v>
      </c>
      <c r="L1992" t="n">
        <v>1.875</v>
      </c>
      <c r="M1992" t="n">
        <v>0</v>
      </c>
      <c r="N1992" t="inlineStr">
        <is>
          <t>train</t>
        </is>
      </c>
      <c r="O1992">
        <f>HYPERLINK("2\1\marker_452_530022.png", "Ver Imagen")</f>
        <v/>
      </c>
      <c r="P1992">
        <f>HYPERLINK("NO\A-499\A-499__40.png", "Ver Imagen")</f>
        <v/>
      </c>
    </row>
    <row r="1993">
      <c r="A1993" t="n">
        <v>1430</v>
      </c>
      <c r="B1993" t="inlineStr">
        <is>
          <t>A-499__42</t>
        </is>
      </c>
      <c r="C1993" t="n">
        <v>37.4947862294</v>
      </c>
      <c r="D1993" t="n">
        <v>-7.27672084299</v>
      </c>
      <c r="E1993" t="n">
        <v>2</v>
      </c>
      <c r="F1993" t="n">
        <v>1</v>
      </c>
      <c r="G1993" t="n">
        <v>2</v>
      </c>
      <c r="J1993" t="inlineStr">
        <is>
          <t>Moda</t>
        </is>
      </c>
      <c r="K1993" t="n">
        <v>2</v>
      </c>
      <c r="L1993" t="n">
        <v>2</v>
      </c>
      <c r="M1993" t="n">
        <v>0</v>
      </c>
      <c r="N1993" t="inlineStr">
        <is>
          <t>train</t>
        </is>
      </c>
      <c r="O1993">
        <f>HYPERLINK("2\1\marker_548_530042.png", "Ver Imagen")</f>
        <v/>
      </c>
      <c r="P1993">
        <f>HYPERLINK("NO\A-499\A-499__42.png", "Ver Imagen")</f>
        <v/>
      </c>
    </row>
    <row r="1994">
      <c r="A1994" t="n">
        <v>1431</v>
      </c>
      <c r="B1994" t="inlineStr">
        <is>
          <t>A-499__49</t>
        </is>
      </c>
      <c r="C1994" t="n">
        <v>37.4956146362</v>
      </c>
      <c r="D1994" t="n">
        <v>-7.27552484365</v>
      </c>
      <c r="E1994" t="n">
        <v>2</v>
      </c>
      <c r="F1994" t="n">
        <v>1</v>
      </c>
      <c r="G1994" t="n">
        <v>2</v>
      </c>
      <c r="J1994" t="inlineStr">
        <is>
          <t>Moda</t>
        </is>
      </c>
      <c r="K1994" t="n">
        <v>2</v>
      </c>
      <c r="L1994" t="n">
        <v>2.132</v>
      </c>
      <c r="M1994" t="n">
        <v>0</v>
      </c>
      <c r="N1994" t="inlineStr">
        <is>
          <t>train</t>
        </is>
      </c>
      <c r="O1994">
        <f>HYPERLINK("2\1\marker_514_534884.png", "Ver Imagen")</f>
        <v/>
      </c>
      <c r="P1994">
        <f>HYPERLINK("NO\A-499\A-499__49.png", "Ver Imagen")</f>
        <v/>
      </c>
    </row>
    <row r="1995">
      <c r="A1995" t="n">
        <v>1432</v>
      </c>
      <c r="B1995" t="inlineStr">
        <is>
          <t>A-499__50</t>
        </is>
      </c>
      <c r="C1995" t="n">
        <v>37.4956451042</v>
      </c>
      <c r="D1995" t="n">
        <v>-7.2752567246</v>
      </c>
      <c r="E1995" t="n">
        <v>3</v>
      </c>
      <c r="F1995" t="n">
        <v>2</v>
      </c>
      <c r="G1995" t="n">
        <v>2</v>
      </c>
      <c r="J1995" t="inlineStr">
        <is>
          <t>Moda</t>
        </is>
      </c>
      <c r="K1995" t="n">
        <v>2</v>
      </c>
      <c r="L1995" t="n">
        <v>2.173</v>
      </c>
      <c r="M1995" t="n">
        <v>0</v>
      </c>
      <c r="N1995" t="inlineStr">
        <is>
          <t>train</t>
        </is>
      </c>
      <c r="O1995">
        <f>HYPERLINK("2\1\marker_709_534893.png", "Ver Imagen")</f>
        <v/>
      </c>
      <c r="P1995">
        <f>HYPERLINK("NO\A-499\A-499__50.png", "Ver Imagen")</f>
        <v/>
      </c>
    </row>
    <row r="1996">
      <c r="A1996" t="n">
        <v>1433</v>
      </c>
      <c r="B1996" t="inlineStr">
        <is>
          <t>A-499__51</t>
        </is>
      </c>
      <c r="C1996" t="n">
        <v>37.4956750243</v>
      </c>
      <c r="D1996" t="n">
        <v>-7.27499037362</v>
      </c>
      <c r="E1996" t="n">
        <v>2</v>
      </c>
      <c r="F1996" t="n">
        <v>1</v>
      </c>
      <c r="G1996" t="n">
        <v>2</v>
      </c>
      <c r="J1996" t="inlineStr">
        <is>
          <t>Moda</t>
        </is>
      </c>
      <c r="K1996" t="n">
        <v>2</v>
      </c>
      <c r="L1996" t="n">
        <v>2.011</v>
      </c>
      <c r="M1996" t="n">
        <v>0</v>
      </c>
      <c r="N1996" t="inlineStr">
        <is>
          <t>train</t>
        </is>
      </c>
      <c r="O1996">
        <f>HYPERLINK("2\1\marker_372_534902.png", "Ver Imagen")</f>
        <v/>
      </c>
      <c r="P1996">
        <f>HYPERLINK("NO\A-499\A-499__51.png", "Ver Imagen")</f>
        <v/>
      </c>
    </row>
    <row r="1997">
      <c r="A1997" t="n">
        <v>1434</v>
      </c>
      <c r="B1997" t="inlineStr">
        <is>
          <t>A-499__60</t>
        </is>
      </c>
      <c r="C1997" t="n">
        <v>37.495510949</v>
      </c>
      <c r="D1997" t="n">
        <v>-7.27276825856</v>
      </c>
      <c r="E1997" t="n">
        <v>2</v>
      </c>
      <c r="F1997" t="n">
        <v>1</v>
      </c>
      <c r="G1997" t="n">
        <v>2</v>
      </c>
      <c r="J1997" t="inlineStr">
        <is>
          <t>Moda</t>
        </is>
      </c>
      <c r="K1997" t="n">
        <v>2</v>
      </c>
      <c r="L1997" t="n">
        <v>1.527</v>
      </c>
      <c r="M1997" t="n">
        <v>0</v>
      </c>
      <c r="N1997" t="inlineStr">
        <is>
          <t>train</t>
        </is>
      </c>
      <c r="O1997">
        <f>HYPERLINK("2\1\marker_219_535072.png", "Ver Imagen")</f>
        <v/>
      </c>
      <c r="P1997">
        <f>HYPERLINK("NO\A-499\A-499__60.png", "Ver Imagen")</f>
        <v/>
      </c>
    </row>
    <row r="1998">
      <c r="A1998" t="n">
        <v>1435</v>
      </c>
      <c r="B1998" t="inlineStr">
        <is>
          <t>A-499__61</t>
        </is>
      </c>
      <c r="C1998" t="n">
        <v>37.4954711503</v>
      </c>
      <c r="D1998" t="n">
        <v>-7.27252937976</v>
      </c>
      <c r="E1998" t="n">
        <v>2</v>
      </c>
      <c r="F1998" t="n">
        <v>3</v>
      </c>
      <c r="G1998" t="n">
        <v>2</v>
      </c>
      <c r="J1998" t="inlineStr">
        <is>
          <t>Moda</t>
        </is>
      </c>
      <c r="K1998" t="n">
        <v>2</v>
      </c>
      <c r="L1998" t="n">
        <v>1.893</v>
      </c>
      <c r="M1998" t="n">
        <v>0</v>
      </c>
      <c r="N1998" t="inlineStr">
        <is>
          <t>test</t>
        </is>
      </c>
      <c r="O1998">
        <f>HYPERLINK("2\1\marker_798_535081.png", "Ver Imagen")</f>
        <v/>
      </c>
      <c r="P1998">
        <f>HYPERLINK("NO\A-499\A-499__61.png", "Ver Imagen")</f>
        <v/>
      </c>
    </row>
    <row r="1999">
      <c r="A1999" t="n">
        <v>1436</v>
      </c>
      <c r="B1999" t="inlineStr">
        <is>
          <t>A-499__87</t>
        </is>
      </c>
      <c r="C1999" t="n">
        <v>37.4962214553</v>
      </c>
      <c r="D1999" t="n">
        <v>-7.26819717205</v>
      </c>
      <c r="E1999" t="n">
        <v>2</v>
      </c>
      <c r="F1999" t="n">
        <v>2</v>
      </c>
      <c r="G1999" t="n">
        <v>3</v>
      </c>
      <c r="J1999" t="inlineStr">
        <is>
          <t>Moda</t>
        </is>
      </c>
      <c r="K1999" t="n">
        <v>2</v>
      </c>
      <c r="L1999" t="n">
        <v>1.679</v>
      </c>
      <c r="M1999" t="n">
        <v>0</v>
      </c>
      <c r="N1999" t="inlineStr">
        <is>
          <t>test</t>
        </is>
      </c>
      <c r="O1999">
        <f>HYPERLINK("2\1\marker_640_789892.png", "Ver Imagen")</f>
        <v/>
      </c>
      <c r="P1999">
        <f>HYPERLINK("NO\A-499\A-499__87.png", "Ver Imagen")</f>
        <v/>
      </c>
    </row>
    <row r="2000">
      <c r="A2000" t="n">
        <v>1437</v>
      </c>
      <c r="B2000" t="inlineStr">
        <is>
          <t>A-499__88</t>
        </is>
      </c>
      <c r="C2000" t="n">
        <v>37.496434219</v>
      </c>
      <c r="D2000" t="n">
        <v>-7.26820386434</v>
      </c>
      <c r="E2000" t="n">
        <v>2</v>
      </c>
      <c r="F2000" t="n">
        <v>3</v>
      </c>
      <c r="G2000" t="n">
        <v>2</v>
      </c>
      <c r="J2000" t="inlineStr">
        <is>
          <t>Moda</t>
        </is>
      </c>
      <c r="K2000" t="n">
        <v>2</v>
      </c>
      <c r="L2000" t="n">
        <v>2.175</v>
      </c>
      <c r="M2000" t="n">
        <v>0</v>
      </c>
      <c r="N2000" t="inlineStr">
        <is>
          <t>train</t>
        </is>
      </c>
      <c r="O2000">
        <f>HYPERLINK("2\1\marker_221_789911.png", "Ver Imagen")</f>
        <v/>
      </c>
      <c r="P2000">
        <f>HYPERLINK("NO\A-499\A-499__88.png", "Ver Imagen")</f>
        <v/>
      </c>
    </row>
    <row r="2001">
      <c r="A2001" t="n">
        <v>1438</v>
      </c>
      <c r="B2001" t="inlineStr">
        <is>
          <t>A-499__89</t>
        </is>
      </c>
      <c r="C2001" t="n">
        <v>37.4966313146</v>
      </c>
      <c r="D2001" t="n">
        <v>-7.26819002393</v>
      </c>
      <c r="E2001" t="n">
        <v>2</v>
      </c>
      <c r="F2001" t="n">
        <v>1</v>
      </c>
      <c r="G2001" t="n">
        <v>2</v>
      </c>
      <c r="J2001" t="inlineStr">
        <is>
          <t>Moda</t>
        </is>
      </c>
      <c r="K2001" t="n">
        <v>2</v>
      </c>
      <c r="L2001" t="n">
        <v>1.981</v>
      </c>
      <c r="M2001" t="n">
        <v>0</v>
      </c>
      <c r="N2001" t="inlineStr">
        <is>
          <t>train</t>
        </is>
      </c>
      <c r="O2001">
        <f>HYPERLINK("2\1\marker_271_789925.png", "Ver Imagen")</f>
        <v/>
      </c>
      <c r="P2001">
        <f>HYPERLINK("NO\A-499\A-499__89.png", "Ver Imagen")</f>
        <v/>
      </c>
    </row>
    <row r="2002">
      <c r="A2002" t="n">
        <v>1439</v>
      </c>
      <c r="B2002" t="inlineStr">
        <is>
          <t>A-499__99</t>
        </is>
      </c>
      <c r="C2002" t="n">
        <v>37.4986179872</v>
      </c>
      <c r="D2002" t="n">
        <v>-7.26757560413</v>
      </c>
      <c r="E2002" t="n">
        <v>2</v>
      </c>
      <c r="F2002" t="n">
        <v>3</v>
      </c>
      <c r="G2002" t="n">
        <v>2</v>
      </c>
      <c r="J2002" t="inlineStr">
        <is>
          <t>Moda</t>
        </is>
      </c>
      <c r="K2002" t="n">
        <v>2</v>
      </c>
      <c r="L2002" t="n">
        <v>2.02</v>
      </c>
      <c r="M2002" t="n">
        <v>0</v>
      </c>
      <c r="N2002" t="inlineStr">
        <is>
          <t>train</t>
        </is>
      </c>
      <c r="O2002">
        <f>HYPERLINK("2\1\marker_816_793218.png", "Ver Imagen")</f>
        <v/>
      </c>
      <c r="P2002">
        <f>HYPERLINK("NO\A-499\A-499__99.png", "Ver Imagen")</f>
        <v/>
      </c>
    </row>
    <row r="2003">
      <c r="A2003" t="n">
        <v>1440</v>
      </c>
      <c r="B2003" t="inlineStr">
        <is>
          <t>A-499__101</t>
        </is>
      </c>
      <c r="C2003" t="n">
        <v>37.4990020277</v>
      </c>
      <c r="D2003" t="n">
        <v>-7.26744203753</v>
      </c>
      <c r="E2003" t="n">
        <v>2</v>
      </c>
      <c r="F2003" t="n">
        <v>3</v>
      </c>
      <c r="G2003" t="n">
        <v>2</v>
      </c>
      <c r="J2003" t="inlineStr">
        <is>
          <t>Moda</t>
        </is>
      </c>
      <c r="K2003" t="n">
        <v>2</v>
      </c>
      <c r="L2003" t="n">
        <v>2.43</v>
      </c>
      <c r="M2003" t="n">
        <v>0</v>
      </c>
      <c r="N2003" t="inlineStr">
        <is>
          <t>val</t>
        </is>
      </c>
      <c r="O2003">
        <f>HYPERLINK("2\1\marker_941_793245.png", "Ver Imagen")</f>
        <v/>
      </c>
      <c r="P2003">
        <f>HYPERLINK("NO\A-499\A-499__101.png", "Ver Imagen")</f>
        <v/>
      </c>
    </row>
    <row r="2004">
      <c r="A2004" t="n">
        <v>1441</v>
      </c>
      <c r="B2004" t="inlineStr">
        <is>
          <t>A-499__104</t>
        </is>
      </c>
      <c r="C2004" t="n">
        <v>37.4995895481</v>
      </c>
      <c r="D2004" t="n">
        <v>-7.26724089998</v>
      </c>
      <c r="E2004" t="n">
        <v>2</v>
      </c>
      <c r="F2004" t="n">
        <v>1</v>
      </c>
      <c r="G2004" t="n">
        <v>2</v>
      </c>
      <c r="J2004" t="inlineStr">
        <is>
          <t>Moda</t>
        </is>
      </c>
      <c r="K2004" t="n">
        <v>2</v>
      </c>
      <c r="L2004" t="n">
        <v>1.832</v>
      </c>
      <c r="M2004" t="n">
        <v>0</v>
      </c>
      <c r="N2004" t="inlineStr">
        <is>
          <t>train</t>
        </is>
      </c>
      <c r="O2004">
        <f>HYPERLINK("2\1\marker_249_793291.png", "Ver Imagen")</f>
        <v/>
      </c>
      <c r="P2004">
        <f>HYPERLINK("NO\A-499\A-499__104.png", "Ver Imagen")</f>
        <v/>
      </c>
    </row>
    <row r="2005">
      <c r="A2005" t="n">
        <v>1442</v>
      </c>
      <c r="B2005" t="inlineStr">
        <is>
          <t>A-497__845</t>
        </is>
      </c>
      <c r="C2005" t="n">
        <v>37.1996200589</v>
      </c>
      <c r="D2005" t="n">
        <v>-6.98494371066</v>
      </c>
      <c r="E2005" t="n">
        <v>2</v>
      </c>
      <c r="F2005" t="n">
        <v>3</v>
      </c>
      <c r="G2005" t="n">
        <v>2</v>
      </c>
      <c r="J2005" t="inlineStr">
        <is>
          <t>Moda</t>
        </is>
      </c>
      <c r="K2005" t="n">
        <v>2</v>
      </c>
      <c r="L2005" t="n">
        <v>2.45</v>
      </c>
      <c r="M2005" t="n">
        <v>0</v>
      </c>
      <c r="N2005" t="inlineStr">
        <is>
          <t>test</t>
        </is>
      </c>
      <c r="O2005">
        <f>HYPERLINK("2\1\marker_543_367493.png", "Ver Imagen")</f>
        <v/>
      </c>
      <c r="P2005">
        <f>HYPERLINK("SE\A-497\A-497__845.png", "Ver Imagen")</f>
        <v/>
      </c>
    </row>
    <row r="2006">
      <c r="A2006" t="n">
        <v>1443</v>
      </c>
      <c r="B2006" t="inlineStr">
        <is>
          <t>A-497__794</t>
        </is>
      </c>
      <c r="C2006" t="n">
        <v>37.1921978083</v>
      </c>
      <c r="D2006" t="n">
        <v>-6.9776763763</v>
      </c>
      <c r="E2006" t="n">
        <v>2</v>
      </c>
      <c r="F2006" t="n">
        <v>2</v>
      </c>
      <c r="G2006" t="n">
        <v>3</v>
      </c>
      <c r="J2006" t="inlineStr">
        <is>
          <t>Moda</t>
        </is>
      </c>
      <c r="K2006" t="n">
        <v>2</v>
      </c>
      <c r="L2006" t="n">
        <v>1.756</v>
      </c>
      <c r="M2006" t="n">
        <v>0</v>
      </c>
      <c r="N2006" t="inlineStr">
        <is>
          <t>train</t>
        </is>
      </c>
      <c r="O2006">
        <f>HYPERLINK("2\1\marker_604_368016.png", "Ver Imagen")</f>
        <v/>
      </c>
      <c r="P2006">
        <f>HYPERLINK("SE\A-497\A-497__794.png", "Ver Imagen")</f>
        <v/>
      </c>
    </row>
    <row r="2007">
      <c r="A2007" t="n">
        <v>1444</v>
      </c>
      <c r="B2007" t="inlineStr">
        <is>
          <t>A-497__774</t>
        </is>
      </c>
      <c r="C2007" t="n">
        <v>37.1882747768</v>
      </c>
      <c r="D2007" t="n">
        <v>-6.9787430482</v>
      </c>
      <c r="E2007" t="n">
        <v>2</v>
      </c>
      <c r="F2007" t="n">
        <v>3</v>
      </c>
      <c r="G2007" t="n">
        <v>2</v>
      </c>
      <c r="J2007" t="inlineStr">
        <is>
          <t>Moda</t>
        </is>
      </c>
      <c r="K2007" t="n">
        <v>2</v>
      </c>
      <c r="L2007" t="n">
        <v>1.594</v>
      </c>
      <c r="M2007" t="n">
        <v>0</v>
      </c>
      <c r="N2007" t="inlineStr">
        <is>
          <t>train</t>
        </is>
      </c>
      <c r="O2007">
        <f>HYPERLINK("2\1\marker_123_368248.png", "Ver Imagen")</f>
        <v/>
      </c>
      <c r="P2007">
        <f>HYPERLINK("SE\A-497\A-497__774.png", "Ver Imagen")</f>
        <v/>
      </c>
    </row>
    <row r="2008">
      <c r="A2008" t="n">
        <v>1445</v>
      </c>
      <c r="B2008" t="inlineStr">
        <is>
          <t>A-499__116</t>
        </is>
      </c>
      <c r="C2008" t="n">
        <v>37.5019199673</v>
      </c>
      <c r="D2008" t="n">
        <v>-7.26644529908</v>
      </c>
      <c r="E2008" t="n">
        <v>2</v>
      </c>
      <c r="F2008" t="n">
        <v>3</v>
      </c>
      <c r="G2008" t="n">
        <v>2</v>
      </c>
      <c r="J2008" t="inlineStr">
        <is>
          <t>Moda</t>
        </is>
      </c>
      <c r="K2008" t="n">
        <v>2</v>
      </c>
      <c r="L2008" t="n">
        <v>1.761</v>
      </c>
      <c r="M2008" t="n">
        <v>0</v>
      </c>
      <c r="N2008" t="inlineStr">
        <is>
          <t>val</t>
        </is>
      </c>
      <c r="O2008">
        <f>HYPERLINK("2\1\marker_537_793524.png", "Ver Imagen")</f>
        <v/>
      </c>
      <c r="P2008">
        <f>HYPERLINK("NO\A-499\A-499__116.png", "Ver Imagen")</f>
        <v/>
      </c>
    </row>
    <row r="2009">
      <c r="A2009" t="n">
        <v>1446</v>
      </c>
      <c r="B2009" t="inlineStr">
        <is>
          <t>A-499__118</t>
        </is>
      </c>
      <c r="C2009" t="n">
        <v>37.5023016732</v>
      </c>
      <c r="D2009" t="n">
        <v>-7.26631273576</v>
      </c>
      <c r="E2009" t="n">
        <v>2</v>
      </c>
      <c r="F2009" t="n">
        <v>2</v>
      </c>
      <c r="G2009" t="n">
        <v>3</v>
      </c>
      <c r="J2009" t="inlineStr">
        <is>
          <t>Moda</t>
        </is>
      </c>
      <c r="K2009" t="n">
        <v>2</v>
      </c>
      <c r="L2009" t="n">
        <v>1.873</v>
      </c>
      <c r="M2009" t="n">
        <v>0</v>
      </c>
      <c r="N2009" t="inlineStr">
        <is>
          <t>train</t>
        </is>
      </c>
      <c r="O2009">
        <f>HYPERLINK("2\1\marker_219_793560.png", "Ver Imagen")</f>
        <v/>
      </c>
      <c r="P2009">
        <f>HYPERLINK("NO\A-499\A-499__118.png", "Ver Imagen")</f>
        <v/>
      </c>
    </row>
    <row r="2010">
      <c r="A2010" t="n">
        <v>1447</v>
      </c>
      <c r="B2010" t="inlineStr">
        <is>
          <t>A-499__120</t>
        </is>
      </c>
      <c r="C2010" t="n">
        <v>37.5026766339</v>
      </c>
      <c r="D2010" t="n">
        <v>-7.26618611262</v>
      </c>
      <c r="E2010" t="n">
        <v>2</v>
      </c>
      <c r="F2010" t="n">
        <v>2</v>
      </c>
      <c r="G2010" t="n">
        <v>3</v>
      </c>
      <c r="J2010" t="inlineStr">
        <is>
          <t>Moda</t>
        </is>
      </c>
      <c r="K2010" t="n">
        <v>2</v>
      </c>
      <c r="L2010" t="n">
        <v>1.925</v>
      </c>
      <c r="M2010" t="n">
        <v>0</v>
      </c>
      <c r="N2010" t="inlineStr">
        <is>
          <t>train</t>
        </is>
      </c>
      <c r="O2010">
        <f>HYPERLINK("2\1\marker_512_793603.png", "Ver Imagen")</f>
        <v/>
      </c>
      <c r="P2010">
        <f>HYPERLINK("NO\A-499\A-499__120.png", "Ver Imagen")</f>
        <v/>
      </c>
    </row>
    <row r="2011">
      <c r="A2011" t="n">
        <v>1448</v>
      </c>
      <c r="B2011" t="inlineStr">
        <is>
          <t>A-499__122</t>
        </is>
      </c>
      <c r="C2011" t="n">
        <v>37.5031098772</v>
      </c>
      <c r="D2011" t="n">
        <v>-7.26604074274</v>
      </c>
      <c r="E2011" t="n">
        <v>2</v>
      </c>
      <c r="F2011" t="n">
        <v>3</v>
      </c>
      <c r="G2011" t="n">
        <v>2</v>
      </c>
      <c r="J2011" t="inlineStr">
        <is>
          <t>Moda</t>
        </is>
      </c>
      <c r="K2011" t="n">
        <v>2</v>
      </c>
      <c r="L2011" t="n">
        <v>2.117</v>
      </c>
      <c r="M2011" t="n">
        <v>0</v>
      </c>
      <c r="N2011" t="inlineStr">
        <is>
          <t>train</t>
        </is>
      </c>
      <c r="O2011">
        <f>HYPERLINK("2\1\marker_884_793644.png", "Ver Imagen")</f>
        <v/>
      </c>
      <c r="P2011">
        <f>HYPERLINK("NO\A-499\A-499__122.png", "Ver Imagen")</f>
        <v/>
      </c>
    </row>
    <row r="2012">
      <c r="A2012" t="n">
        <v>1449</v>
      </c>
      <c r="B2012" t="inlineStr">
        <is>
          <t>A-497_2C__7</t>
        </is>
      </c>
      <c r="C2012" t="n">
        <v>37.2673571939</v>
      </c>
      <c r="D2012" t="n">
        <v>-6.95873299341</v>
      </c>
      <c r="E2012" t="n">
        <v>2</v>
      </c>
      <c r="F2012" t="n">
        <v>3</v>
      </c>
      <c r="G2012" t="n">
        <v>2</v>
      </c>
      <c r="J2012" t="inlineStr">
        <is>
          <t>Moda</t>
        </is>
      </c>
      <c r="K2012" t="n">
        <v>2</v>
      </c>
      <c r="L2012" t="n">
        <v>1.905</v>
      </c>
      <c r="M2012" t="n">
        <v>0</v>
      </c>
      <c r="N2012" t="inlineStr">
        <is>
          <t>train</t>
        </is>
      </c>
      <c r="O2012">
        <f>HYPERLINK("2\1\marker_929_653789.png", "Ver Imagen")</f>
        <v/>
      </c>
      <c r="P2012">
        <f>HYPERLINK("SE\A-497_2C\A-497_2C__7.png", "Ver Imagen")</f>
        <v/>
      </c>
    </row>
    <row r="2013">
      <c r="A2013" t="n">
        <v>1450</v>
      </c>
      <c r="B2013" t="inlineStr">
        <is>
          <t>A-497_2C__11</t>
        </is>
      </c>
      <c r="C2013" t="n">
        <v>37.2674634527</v>
      </c>
      <c r="D2013" t="n">
        <v>-6.95971589154</v>
      </c>
      <c r="E2013" t="n">
        <v>2</v>
      </c>
      <c r="F2013" t="n">
        <v>3</v>
      </c>
      <c r="G2013" t="n">
        <v>2</v>
      </c>
      <c r="J2013" t="inlineStr">
        <is>
          <t>Moda</t>
        </is>
      </c>
      <c r="K2013" t="n">
        <v>2</v>
      </c>
      <c r="L2013" t="n">
        <v>2.401</v>
      </c>
      <c r="M2013" t="n">
        <v>0</v>
      </c>
      <c r="N2013" t="inlineStr">
        <is>
          <t>test</t>
        </is>
      </c>
      <c r="O2013">
        <f>HYPERLINK("2\1\marker_973_653994.png", "Ver Imagen")</f>
        <v/>
      </c>
      <c r="P2013">
        <f>HYPERLINK("SE\A-497_2C\A-497_2C__11.png", "Ver Imagen")</f>
        <v/>
      </c>
    </row>
    <row r="2014">
      <c r="A2014" t="n">
        <v>1451</v>
      </c>
      <c r="B2014" t="inlineStr">
        <is>
          <t>A-499__123</t>
        </is>
      </c>
      <c r="C2014" t="n">
        <v>37.5032817598</v>
      </c>
      <c r="D2014" t="n">
        <v>-7.26598156755</v>
      </c>
      <c r="E2014" t="n">
        <v>3</v>
      </c>
      <c r="F2014" t="n">
        <v>2</v>
      </c>
      <c r="G2014" t="n">
        <v>2</v>
      </c>
      <c r="J2014" t="inlineStr">
        <is>
          <t>Moda</t>
        </is>
      </c>
      <c r="K2014" t="n">
        <v>2</v>
      </c>
      <c r="L2014" t="n">
        <v>2.143</v>
      </c>
      <c r="M2014" t="n">
        <v>0</v>
      </c>
      <c r="N2014" t="inlineStr">
        <is>
          <t>train</t>
        </is>
      </c>
      <c r="O2014">
        <f>HYPERLINK("2\1\marker_471_793659.png", "Ver Imagen")</f>
        <v/>
      </c>
      <c r="P2014">
        <f>HYPERLINK("NO\A-499\A-499__123.png", "Ver Imagen")</f>
        <v/>
      </c>
    </row>
    <row r="2015">
      <c r="A2015" t="n">
        <v>1452</v>
      </c>
      <c r="B2015" t="inlineStr">
        <is>
          <t>A-499__128</t>
        </is>
      </c>
      <c r="C2015" t="n">
        <v>37.5042432352</v>
      </c>
      <c r="D2015" t="n">
        <v>-7.26565479069</v>
      </c>
      <c r="E2015" t="n">
        <v>2</v>
      </c>
      <c r="F2015" t="n">
        <v>2</v>
      </c>
      <c r="G2015" t="n">
        <v>3</v>
      </c>
      <c r="J2015" t="inlineStr">
        <is>
          <t>Moda</t>
        </is>
      </c>
      <c r="K2015" t="n">
        <v>2</v>
      </c>
      <c r="L2015" t="n">
        <v>1.83</v>
      </c>
      <c r="M2015" t="n">
        <v>0</v>
      </c>
      <c r="N2015" t="inlineStr">
        <is>
          <t>train</t>
        </is>
      </c>
      <c r="O2015">
        <f>HYPERLINK("2\1\marker_633_793739.png", "Ver Imagen")</f>
        <v/>
      </c>
      <c r="P2015">
        <f>HYPERLINK("NO\A-499\A-499__128.png", "Ver Imagen")</f>
        <v/>
      </c>
    </row>
    <row r="2016">
      <c r="A2016" t="n">
        <v>1453</v>
      </c>
      <c r="B2016" t="inlineStr">
        <is>
          <t>A-499__130</t>
        </is>
      </c>
      <c r="C2016" t="n">
        <v>37.5046385184</v>
      </c>
      <c r="D2016" t="n">
        <v>-7.26551657682</v>
      </c>
      <c r="E2016" t="n">
        <v>2</v>
      </c>
      <c r="F2016" t="n">
        <v>1</v>
      </c>
      <c r="G2016" t="n">
        <v>2</v>
      </c>
      <c r="J2016" t="inlineStr">
        <is>
          <t>Moda</t>
        </is>
      </c>
      <c r="K2016" t="n">
        <v>2</v>
      </c>
      <c r="L2016" t="n">
        <v>1.865</v>
      </c>
      <c r="M2016" t="n">
        <v>0</v>
      </c>
      <c r="N2016" t="inlineStr">
        <is>
          <t>train</t>
        </is>
      </c>
      <c r="O2016">
        <f>HYPERLINK("2\1\marker_282_793798.png", "Ver Imagen")</f>
        <v/>
      </c>
      <c r="P2016">
        <f>HYPERLINK("NO\A-499\A-499__130.png", "Ver Imagen")</f>
        <v/>
      </c>
    </row>
    <row r="2017">
      <c r="A2017" t="n">
        <v>1454</v>
      </c>
      <c r="B2017" t="inlineStr">
        <is>
          <t>A-499__131</t>
        </is>
      </c>
      <c r="C2017" t="n">
        <v>37.5048509239</v>
      </c>
      <c r="D2017" t="n">
        <v>-7.26544414675</v>
      </c>
      <c r="E2017" t="n">
        <v>2</v>
      </c>
      <c r="F2017" t="n">
        <v>1</v>
      </c>
      <c r="G2017" t="n">
        <v>2</v>
      </c>
      <c r="J2017" t="inlineStr">
        <is>
          <t>Moda</t>
        </is>
      </c>
      <c r="K2017" t="n">
        <v>2</v>
      </c>
      <c r="L2017" t="n">
        <v>1.751</v>
      </c>
      <c r="M2017" t="n">
        <v>0</v>
      </c>
      <c r="N2017" t="inlineStr">
        <is>
          <t>train</t>
        </is>
      </c>
      <c r="O2017">
        <f>HYPERLINK("2\1\marker_504_793812.png", "Ver Imagen")</f>
        <v/>
      </c>
      <c r="P2017">
        <f>HYPERLINK("NO\A-499\A-499__131.png", "Ver Imagen")</f>
        <v/>
      </c>
    </row>
    <row r="2018">
      <c r="A2018" t="n">
        <v>1455</v>
      </c>
      <c r="B2018" t="inlineStr">
        <is>
          <t>A-499__137</t>
        </is>
      </c>
      <c r="C2018" t="n">
        <v>37.5060428275</v>
      </c>
      <c r="D2018" t="n">
        <v>-7.26526531154</v>
      </c>
      <c r="E2018" t="n">
        <v>2</v>
      </c>
      <c r="F2018" t="n">
        <v>1</v>
      </c>
      <c r="G2018" t="n">
        <v>2</v>
      </c>
      <c r="J2018" t="inlineStr">
        <is>
          <t>Moda</t>
        </is>
      </c>
      <c r="K2018" t="n">
        <v>2</v>
      </c>
      <c r="L2018" t="n">
        <v>1.706</v>
      </c>
      <c r="M2018" t="n">
        <v>0</v>
      </c>
      <c r="N2018" t="inlineStr">
        <is>
          <t>train</t>
        </is>
      </c>
      <c r="O2018">
        <f>HYPERLINK("2\1\marker_666_793945.png", "Ver Imagen")</f>
        <v/>
      </c>
      <c r="P2018">
        <f>HYPERLINK("NO\A-499\A-499__137.png", "Ver Imagen")</f>
        <v/>
      </c>
    </row>
    <row r="2019">
      <c r="A2019" t="n">
        <v>1456</v>
      </c>
      <c r="B2019" t="inlineStr">
        <is>
          <t>A-499__144</t>
        </is>
      </c>
      <c r="C2019" t="n">
        <v>37.5073829396</v>
      </c>
      <c r="D2019" t="n">
        <v>-7.2658597391</v>
      </c>
      <c r="E2019" t="n">
        <v>2</v>
      </c>
      <c r="F2019" t="n">
        <v>2</v>
      </c>
      <c r="G2019" t="n">
        <v>3</v>
      </c>
      <c r="J2019" t="inlineStr">
        <is>
          <t>Moda</t>
        </is>
      </c>
      <c r="K2019" t="n">
        <v>2</v>
      </c>
      <c r="L2019" t="n">
        <v>1.944</v>
      </c>
      <c r="M2019" t="n">
        <v>0</v>
      </c>
      <c r="N2019" t="inlineStr">
        <is>
          <t>train</t>
        </is>
      </c>
      <c r="O2019">
        <f>HYPERLINK("2\1\marker_324_794144.png", "Ver Imagen")</f>
        <v/>
      </c>
      <c r="P2019">
        <f>HYPERLINK("NO\A-499\A-499__144.png", "Ver Imagen")</f>
        <v/>
      </c>
    </row>
    <row r="2020">
      <c r="A2020" t="n">
        <v>1457</v>
      </c>
      <c r="B2020" t="inlineStr">
        <is>
          <t>A-499__145</t>
        </is>
      </c>
      <c r="C2020" t="n">
        <v>37.5075660258</v>
      </c>
      <c r="D2020" t="n">
        <v>-7.26600478718</v>
      </c>
      <c r="E2020" t="n">
        <v>2</v>
      </c>
      <c r="F2020" t="n">
        <v>2</v>
      </c>
      <c r="G2020" t="n">
        <v>3</v>
      </c>
      <c r="J2020" t="inlineStr">
        <is>
          <t>Moda</t>
        </is>
      </c>
      <c r="K2020" t="n">
        <v>2</v>
      </c>
      <c r="L2020" t="n">
        <v>2.069</v>
      </c>
      <c r="M2020" t="n">
        <v>0</v>
      </c>
      <c r="N2020" t="inlineStr">
        <is>
          <t>train</t>
        </is>
      </c>
      <c r="O2020">
        <f>HYPERLINK("2\1\marker_885_794167.png", "Ver Imagen")</f>
        <v/>
      </c>
      <c r="P2020">
        <f>HYPERLINK("NO\A-499\A-499__145.png", "Ver Imagen")</f>
        <v/>
      </c>
    </row>
    <row r="2021">
      <c r="A2021" t="n">
        <v>1458</v>
      </c>
      <c r="B2021" t="inlineStr">
        <is>
          <t>A-499__146</t>
        </is>
      </c>
      <c r="C2021" t="n">
        <v>37.5077300863</v>
      </c>
      <c r="D2021" t="n">
        <v>-7.26613825123</v>
      </c>
      <c r="E2021" t="n">
        <v>2</v>
      </c>
      <c r="F2021" t="n">
        <v>2</v>
      </c>
      <c r="G2021" t="n">
        <v>3</v>
      </c>
      <c r="J2021" t="inlineStr">
        <is>
          <t>Moda</t>
        </is>
      </c>
      <c r="K2021" t="n">
        <v>2</v>
      </c>
      <c r="L2021" t="n">
        <v>2.363</v>
      </c>
      <c r="M2021" t="n">
        <v>0</v>
      </c>
      <c r="N2021" t="inlineStr">
        <is>
          <t>val</t>
        </is>
      </c>
      <c r="O2021">
        <f>HYPERLINK("2\1\marker_877_794202.png", "Ver Imagen")</f>
        <v/>
      </c>
      <c r="P2021">
        <f>HYPERLINK("NO\A-499\A-499__146.png", "Ver Imagen")</f>
        <v/>
      </c>
    </row>
    <row r="2022">
      <c r="A2022" t="n">
        <v>1459</v>
      </c>
      <c r="B2022" t="inlineStr">
        <is>
          <t>A-499__147</t>
        </is>
      </c>
      <c r="C2022" t="n">
        <v>37.5079105741</v>
      </c>
      <c r="D2022" t="n">
        <v>-7.26628600202</v>
      </c>
      <c r="E2022" t="n">
        <v>2</v>
      </c>
      <c r="F2022" t="n">
        <v>2</v>
      </c>
      <c r="G2022" t="n">
        <v>3</v>
      </c>
      <c r="J2022" t="inlineStr">
        <is>
          <t>Moda</t>
        </is>
      </c>
      <c r="K2022" t="n">
        <v>2</v>
      </c>
      <c r="L2022" t="n">
        <v>1.749</v>
      </c>
      <c r="M2022" t="n">
        <v>0</v>
      </c>
      <c r="N2022" t="inlineStr">
        <is>
          <t>train</t>
        </is>
      </c>
      <c r="O2022">
        <f>HYPERLINK("2\1\marker_347_794238.png", "Ver Imagen")</f>
        <v/>
      </c>
      <c r="P2022">
        <f>HYPERLINK("NO\A-499\A-499__147.png", "Ver Imagen")</f>
        <v/>
      </c>
    </row>
    <row r="2023">
      <c r="A2023" t="n">
        <v>1460</v>
      </c>
      <c r="B2023" t="inlineStr">
        <is>
          <t>A-499__153</t>
        </is>
      </c>
      <c r="C2023" t="n">
        <v>37.5089304407</v>
      </c>
      <c r="D2023" t="n">
        <v>-7.26706254361</v>
      </c>
      <c r="E2023" t="n">
        <v>2</v>
      </c>
      <c r="F2023" t="n">
        <v>1</v>
      </c>
      <c r="G2023" t="n">
        <v>2</v>
      </c>
      <c r="J2023" t="inlineStr">
        <is>
          <t>Moda</t>
        </is>
      </c>
      <c r="K2023" t="n">
        <v>2</v>
      </c>
      <c r="L2023" t="n">
        <v>2.216</v>
      </c>
      <c r="M2023" t="n">
        <v>0</v>
      </c>
      <c r="N2023" t="inlineStr">
        <is>
          <t>train</t>
        </is>
      </c>
      <c r="O2023">
        <f>HYPERLINK("2\1\marker_696_794410.png", "Ver Imagen")</f>
        <v/>
      </c>
      <c r="P2023">
        <f>HYPERLINK("NO\A-499\A-499__153.png", "Ver Imagen")</f>
        <v/>
      </c>
    </row>
    <row r="2024">
      <c r="A2024" t="n">
        <v>1461</v>
      </c>
      <c r="B2024" t="inlineStr">
        <is>
          <t>A-499__154</t>
        </is>
      </c>
      <c r="C2024" t="n">
        <v>37.5090978108</v>
      </c>
      <c r="D2024" t="n">
        <v>-7.26716624311</v>
      </c>
      <c r="E2024" t="n">
        <v>2</v>
      </c>
      <c r="F2024" t="n">
        <v>1</v>
      </c>
      <c r="G2024" t="n">
        <v>2</v>
      </c>
      <c r="J2024" t="inlineStr">
        <is>
          <t>Moda</t>
        </is>
      </c>
      <c r="K2024" t="n">
        <v>2</v>
      </c>
      <c r="L2024" t="n">
        <v>2.13</v>
      </c>
      <c r="M2024" t="n">
        <v>0</v>
      </c>
      <c r="N2024" t="inlineStr">
        <is>
          <t>train</t>
        </is>
      </c>
      <c r="O2024">
        <f>HYPERLINK("2\1\marker_832_794422.png", "Ver Imagen")</f>
        <v/>
      </c>
      <c r="P2024">
        <f>HYPERLINK("NO\A-499\A-499__154.png", "Ver Imagen")</f>
        <v/>
      </c>
    </row>
    <row r="2025">
      <c r="A2025" t="n">
        <v>1462</v>
      </c>
      <c r="B2025" t="inlineStr">
        <is>
          <t>A-499__155</t>
        </is>
      </c>
      <c r="C2025" t="n">
        <v>37.5092873068</v>
      </c>
      <c r="D2025" t="n">
        <v>-7.26727338322</v>
      </c>
      <c r="E2025" t="n">
        <v>2</v>
      </c>
      <c r="F2025" t="n">
        <v>1</v>
      </c>
      <c r="G2025" t="n">
        <v>2</v>
      </c>
      <c r="J2025" t="inlineStr">
        <is>
          <t>Moda</t>
        </is>
      </c>
      <c r="K2025" t="n">
        <v>2</v>
      </c>
      <c r="L2025" t="n">
        <v>2.393</v>
      </c>
      <c r="M2025" t="n">
        <v>0</v>
      </c>
      <c r="N2025" t="inlineStr">
        <is>
          <t>train</t>
        </is>
      </c>
      <c r="O2025">
        <f>HYPERLINK("2\1\marker_451_794457.png", "Ver Imagen")</f>
        <v/>
      </c>
      <c r="P2025">
        <f>HYPERLINK("NO\A-499\A-499__155.png", "Ver Imagen")</f>
        <v/>
      </c>
    </row>
    <row r="2026">
      <c r="A2026" t="n">
        <v>1463</v>
      </c>
      <c r="B2026" t="inlineStr">
        <is>
          <t>A-499__156</t>
        </is>
      </c>
      <c r="C2026" t="n">
        <v>37.5094662452</v>
      </c>
      <c r="D2026" t="n">
        <v>-7.26736319272</v>
      </c>
      <c r="E2026" t="n">
        <v>2</v>
      </c>
      <c r="F2026" t="n">
        <v>2</v>
      </c>
      <c r="G2026" t="n">
        <v>3</v>
      </c>
      <c r="J2026" t="inlineStr">
        <is>
          <t>Moda</t>
        </is>
      </c>
      <c r="K2026" t="n">
        <v>2</v>
      </c>
      <c r="L2026" t="n">
        <v>2.26</v>
      </c>
      <c r="M2026" t="n">
        <v>0</v>
      </c>
      <c r="N2026" t="inlineStr">
        <is>
          <t>train</t>
        </is>
      </c>
      <c r="O2026">
        <f>HYPERLINK("2\1\marker_309_794520.png", "Ver Imagen")</f>
        <v/>
      </c>
      <c r="P2026">
        <f>HYPERLINK("NO\A-499\A-499__156.png", "Ver Imagen")</f>
        <v/>
      </c>
    </row>
    <row r="2027">
      <c r="A2027" t="n">
        <v>1464</v>
      </c>
      <c r="B2027" t="inlineStr">
        <is>
          <t>A-499__158</t>
        </is>
      </c>
      <c r="C2027" t="n">
        <v>37.5098511628</v>
      </c>
      <c r="D2027" t="n">
        <v>-7.26752743567</v>
      </c>
      <c r="E2027" t="n">
        <v>2</v>
      </c>
      <c r="F2027" t="n">
        <v>2</v>
      </c>
      <c r="G2027" t="n">
        <v>3</v>
      </c>
      <c r="J2027" t="inlineStr">
        <is>
          <t>Moda</t>
        </is>
      </c>
      <c r="K2027" t="n">
        <v>2</v>
      </c>
      <c r="L2027" t="n">
        <v>2.211</v>
      </c>
      <c r="M2027" t="n">
        <v>0</v>
      </c>
      <c r="N2027" t="inlineStr">
        <is>
          <t>train</t>
        </is>
      </c>
      <c r="O2027">
        <f>HYPERLINK("2\1\marker_313_794554.png", "Ver Imagen")</f>
        <v/>
      </c>
      <c r="P2027">
        <f>HYPERLINK("NO\A-499\A-499__158.png", "Ver Imagen")</f>
        <v/>
      </c>
    </row>
    <row r="2028">
      <c r="A2028" t="n">
        <v>1465</v>
      </c>
      <c r="B2028" t="inlineStr">
        <is>
          <t>A-499__160</t>
        </is>
      </c>
      <c r="C2028" t="n">
        <v>37.5102501682</v>
      </c>
      <c r="D2028" t="n">
        <v>-7.26767319378</v>
      </c>
      <c r="E2028" t="n">
        <v>2</v>
      </c>
      <c r="F2028" t="n">
        <v>3</v>
      </c>
      <c r="G2028" t="n">
        <v>2</v>
      </c>
      <c r="J2028" t="inlineStr">
        <is>
          <t>Moda</t>
        </is>
      </c>
      <c r="K2028" t="n">
        <v>2</v>
      </c>
      <c r="L2028" t="n">
        <v>2.048</v>
      </c>
      <c r="M2028" t="n">
        <v>0</v>
      </c>
      <c r="N2028" t="inlineStr">
        <is>
          <t>train</t>
        </is>
      </c>
      <c r="O2028">
        <f>HYPERLINK("2\1\marker_660_794576.png", "Ver Imagen")</f>
        <v/>
      </c>
      <c r="P2028">
        <f>HYPERLINK("NO\A-499\A-499__160.png", "Ver Imagen")</f>
        <v/>
      </c>
    </row>
    <row r="2029">
      <c r="A2029" t="n">
        <v>1467</v>
      </c>
      <c r="B2029" t="inlineStr">
        <is>
          <t>A-499__162</t>
        </is>
      </c>
      <c r="C2029" t="n">
        <v>37.5106306636</v>
      </c>
      <c r="D2029" t="n">
        <v>-7.26780449573</v>
      </c>
      <c r="E2029" t="n">
        <v>2</v>
      </c>
      <c r="F2029" t="n">
        <v>3</v>
      </c>
      <c r="G2029" t="n">
        <v>2</v>
      </c>
      <c r="J2029" t="inlineStr">
        <is>
          <t>Moda</t>
        </is>
      </c>
      <c r="K2029" t="n">
        <v>2</v>
      </c>
      <c r="L2029" t="n">
        <v>2.042</v>
      </c>
      <c r="M2029" t="n">
        <v>0</v>
      </c>
      <c r="N2029" t="inlineStr">
        <is>
          <t>train</t>
        </is>
      </c>
      <c r="O2029">
        <f>HYPERLINK("2\1\marker_157_794615.png", "Ver Imagen")</f>
        <v/>
      </c>
      <c r="P2029">
        <f>HYPERLINK("NO\A-499\A-499__162.png", "Ver Imagen")</f>
        <v/>
      </c>
    </row>
    <row r="2030">
      <c r="A2030" t="n">
        <v>1470</v>
      </c>
      <c r="B2030" t="inlineStr">
        <is>
          <t>A-499__168</t>
        </is>
      </c>
      <c r="C2030" t="n">
        <v>37.5118391792</v>
      </c>
      <c r="D2030" t="n">
        <v>-7.26830817742</v>
      </c>
      <c r="E2030" t="n">
        <v>2</v>
      </c>
      <c r="F2030" t="n">
        <v>3</v>
      </c>
      <c r="G2030" t="n">
        <v>2</v>
      </c>
      <c r="J2030" t="inlineStr">
        <is>
          <t>Moda</t>
        </is>
      </c>
      <c r="K2030" t="n">
        <v>2</v>
      </c>
      <c r="L2030" t="n">
        <v>2.028</v>
      </c>
      <c r="M2030" t="n">
        <v>0</v>
      </c>
      <c r="N2030" t="inlineStr">
        <is>
          <t>train</t>
        </is>
      </c>
      <c r="O2030">
        <f>HYPERLINK("2\1\marker_732_794768.png", "Ver Imagen")</f>
        <v/>
      </c>
      <c r="P2030">
        <f>HYPERLINK("NO\A-499\A-499__168.png", "Ver Imagen")</f>
        <v/>
      </c>
    </row>
    <row r="2031">
      <c r="A2031" t="n">
        <v>1472</v>
      </c>
      <c r="B2031" t="inlineStr">
        <is>
          <t>A-499__175</t>
        </is>
      </c>
      <c r="C2031" t="n">
        <v>37.5131551606</v>
      </c>
      <c r="D2031" t="n">
        <v>-7.26883341766</v>
      </c>
      <c r="E2031" t="n">
        <v>2</v>
      </c>
      <c r="F2031" t="n">
        <v>3</v>
      </c>
      <c r="G2031" t="n">
        <v>2</v>
      </c>
      <c r="J2031" t="inlineStr">
        <is>
          <t>Moda</t>
        </is>
      </c>
      <c r="K2031" t="n">
        <v>2</v>
      </c>
      <c r="L2031" t="n">
        <v>2.14</v>
      </c>
      <c r="M2031" t="n">
        <v>0</v>
      </c>
      <c r="N2031" t="inlineStr">
        <is>
          <t>train</t>
        </is>
      </c>
      <c r="O2031">
        <f>HYPERLINK("2\1\marker_968_795561.png", "Ver Imagen")</f>
        <v/>
      </c>
      <c r="P2031">
        <f>HYPERLINK("NO\A-499\A-499__175.png", "Ver Imagen")</f>
        <v/>
      </c>
    </row>
    <row r="2032">
      <c r="A2032" t="n">
        <v>1473</v>
      </c>
      <c r="B2032" t="inlineStr">
        <is>
          <t>A-499__176</t>
        </is>
      </c>
      <c r="C2032" t="n">
        <v>37.5133456759</v>
      </c>
      <c r="D2032" t="n">
        <v>-7.26889677755</v>
      </c>
      <c r="E2032" t="n">
        <v>3</v>
      </c>
      <c r="F2032" t="n">
        <v>2</v>
      </c>
      <c r="G2032" t="n">
        <v>2</v>
      </c>
      <c r="J2032" t="inlineStr">
        <is>
          <t>Moda</t>
        </is>
      </c>
      <c r="K2032" t="n">
        <v>2</v>
      </c>
      <c r="L2032" t="n">
        <v>2.029</v>
      </c>
      <c r="M2032" t="n">
        <v>0</v>
      </c>
      <c r="N2032" t="inlineStr">
        <is>
          <t>train</t>
        </is>
      </c>
      <c r="O2032">
        <f>HYPERLINK("2\1\marker_575_795575.png", "Ver Imagen")</f>
        <v/>
      </c>
      <c r="P2032">
        <f>HYPERLINK("NO\A-499\A-499__176.png", "Ver Imagen")</f>
        <v/>
      </c>
    </row>
    <row r="2033">
      <c r="A2033" t="n">
        <v>1474</v>
      </c>
      <c r="B2033" t="inlineStr">
        <is>
          <t>A-499__178</t>
        </is>
      </c>
      <c r="C2033" t="n">
        <v>37.5137358633</v>
      </c>
      <c r="D2033" t="n">
        <v>-7.2689869494</v>
      </c>
      <c r="E2033" t="n">
        <v>2</v>
      </c>
      <c r="F2033" t="n">
        <v>3</v>
      </c>
      <c r="G2033" t="n">
        <v>2</v>
      </c>
      <c r="J2033" t="inlineStr">
        <is>
          <t>Moda</t>
        </is>
      </c>
      <c r="K2033" t="n">
        <v>2</v>
      </c>
      <c r="L2033" t="n">
        <v>1.892</v>
      </c>
      <c r="M2033" t="n">
        <v>0</v>
      </c>
      <c r="N2033" t="inlineStr">
        <is>
          <t>train</t>
        </is>
      </c>
      <c r="O2033">
        <f>HYPERLINK("2\1\marker_605_795598.png", "Ver Imagen")</f>
        <v/>
      </c>
      <c r="P2033">
        <f>HYPERLINK("NO\A-499\A-499__178.png", "Ver Imagen")</f>
        <v/>
      </c>
    </row>
    <row r="2034">
      <c r="A2034" t="n">
        <v>1475</v>
      </c>
      <c r="B2034" t="inlineStr">
        <is>
          <t>A-499__179</t>
        </is>
      </c>
      <c r="C2034" t="n">
        <v>37.5139391091</v>
      </c>
      <c r="D2034" t="n">
        <v>-7.26899965584</v>
      </c>
      <c r="E2034" t="n">
        <v>2</v>
      </c>
      <c r="F2034" t="n">
        <v>1</v>
      </c>
      <c r="G2034" t="n">
        <v>2</v>
      </c>
      <c r="J2034" t="inlineStr">
        <is>
          <t>Moda</t>
        </is>
      </c>
      <c r="K2034" t="n">
        <v>2</v>
      </c>
      <c r="L2034" t="n">
        <v>2.09</v>
      </c>
      <c r="M2034" t="n">
        <v>0</v>
      </c>
      <c r="N2034" t="inlineStr">
        <is>
          <t>train</t>
        </is>
      </c>
      <c r="O2034">
        <f>HYPERLINK("2\1\marker_142_795608.png", "Ver Imagen")</f>
        <v/>
      </c>
      <c r="P2034">
        <f>HYPERLINK("NO\A-499\A-499__179.png", "Ver Imagen")</f>
        <v/>
      </c>
    </row>
    <row r="2035">
      <c r="A2035" t="n">
        <v>1476</v>
      </c>
      <c r="B2035" t="inlineStr">
        <is>
          <t>A-499__180</t>
        </is>
      </c>
      <c r="C2035" t="n">
        <v>37.5141260487</v>
      </c>
      <c r="D2035" t="n">
        <v>-7.26898977581</v>
      </c>
      <c r="E2035" t="n">
        <v>2</v>
      </c>
      <c r="F2035" t="n">
        <v>3</v>
      </c>
      <c r="G2035" t="n">
        <v>2</v>
      </c>
      <c r="J2035" t="inlineStr">
        <is>
          <t>Moda</t>
        </is>
      </c>
      <c r="K2035" t="n">
        <v>2</v>
      </c>
      <c r="L2035" t="n">
        <v>2.096</v>
      </c>
      <c r="M2035" t="n">
        <v>0</v>
      </c>
      <c r="N2035" t="inlineStr">
        <is>
          <t>test</t>
        </is>
      </c>
      <c r="O2035">
        <f>HYPERLINK("2\1\marker_127_795622.png", "Ver Imagen")</f>
        <v/>
      </c>
      <c r="P2035">
        <f>HYPERLINK("NO\A-499\A-499__180.png", "Ver Imagen")</f>
        <v/>
      </c>
    </row>
    <row r="2036">
      <c r="A2036" t="n">
        <v>1477</v>
      </c>
      <c r="B2036" t="inlineStr">
        <is>
          <t>A-499__183</t>
        </is>
      </c>
      <c r="C2036" t="n">
        <v>37.5147388203</v>
      </c>
      <c r="D2036" t="n">
        <v>-7.2688362828</v>
      </c>
      <c r="E2036" t="n">
        <v>2</v>
      </c>
      <c r="F2036" t="n">
        <v>1</v>
      </c>
      <c r="G2036" t="n">
        <v>2</v>
      </c>
      <c r="J2036" t="inlineStr">
        <is>
          <t>Moda</t>
        </is>
      </c>
      <c r="K2036" t="n">
        <v>2</v>
      </c>
      <c r="L2036" t="n">
        <v>1.998</v>
      </c>
      <c r="M2036" t="n">
        <v>0</v>
      </c>
      <c r="N2036" t="inlineStr">
        <is>
          <t>train</t>
        </is>
      </c>
      <c r="O2036">
        <f>HYPERLINK("2\1\marker_281_795664.png", "Ver Imagen")</f>
        <v/>
      </c>
      <c r="P2036">
        <f>HYPERLINK("NO\A-499\A-499__183.png", "Ver Imagen")</f>
        <v/>
      </c>
    </row>
    <row r="2037">
      <c r="A2037" t="n">
        <v>1478</v>
      </c>
      <c r="B2037" t="inlineStr">
        <is>
          <t>A-499__187</t>
        </is>
      </c>
      <c r="C2037" t="n">
        <v>37.5154281103</v>
      </c>
      <c r="D2037" t="n">
        <v>-7.26841481777</v>
      </c>
      <c r="E2037" t="n">
        <v>2</v>
      </c>
      <c r="F2037" t="n">
        <v>1</v>
      </c>
      <c r="G2037" t="n">
        <v>2</v>
      </c>
      <c r="J2037" t="inlineStr">
        <is>
          <t>Moda</t>
        </is>
      </c>
      <c r="K2037" t="n">
        <v>2</v>
      </c>
      <c r="L2037" t="n">
        <v>1.953</v>
      </c>
      <c r="M2037" t="n">
        <v>0</v>
      </c>
      <c r="N2037" t="inlineStr">
        <is>
          <t>train</t>
        </is>
      </c>
      <c r="O2037">
        <f>HYPERLINK("2\1\marker_102_795763.png", "Ver Imagen")</f>
        <v/>
      </c>
      <c r="P2037">
        <f>HYPERLINK("NO\A-499\A-499__187.png", "Ver Imagen")</f>
        <v/>
      </c>
    </row>
    <row r="2038">
      <c r="A2038" t="n">
        <v>1479</v>
      </c>
      <c r="B2038" t="inlineStr">
        <is>
          <t>A-499__190</t>
        </is>
      </c>
      <c r="C2038" t="n">
        <v>37.5158828436</v>
      </c>
      <c r="D2038" t="n">
        <v>-7.26791567397</v>
      </c>
      <c r="E2038" t="n">
        <v>2</v>
      </c>
      <c r="F2038" t="n">
        <v>1</v>
      </c>
      <c r="G2038" t="n">
        <v>2</v>
      </c>
      <c r="J2038" t="inlineStr">
        <is>
          <t>Moda</t>
        </is>
      </c>
      <c r="K2038" t="n">
        <v>2</v>
      </c>
      <c r="L2038" t="n">
        <v>2.194</v>
      </c>
      <c r="M2038" t="n">
        <v>0</v>
      </c>
      <c r="N2038" t="inlineStr">
        <is>
          <t>val</t>
        </is>
      </c>
      <c r="O2038">
        <f>HYPERLINK("2\1\marker_588_795808.png", "Ver Imagen")</f>
        <v/>
      </c>
      <c r="P2038">
        <f>HYPERLINK("NO\A-499\A-499__190.png", "Ver Imagen")</f>
        <v/>
      </c>
    </row>
    <row r="2039">
      <c r="A2039" t="n">
        <v>1480</v>
      </c>
      <c r="B2039" t="inlineStr">
        <is>
          <t>A-499__191</t>
        </is>
      </c>
      <c r="C2039" t="n">
        <v>37.5160308506</v>
      </c>
      <c r="D2039" t="n">
        <v>-7.26769900429</v>
      </c>
      <c r="E2039" t="n">
        <v>2</v>
      </c>
      <c r="F2039" t="n">
        <v>1</v>
      </c>
      <c r="G2039" t="n">
        <v>2</v>
      </c>
      <c r="J2039" t="inlineStr">
        <is>
          <t>Moda</t>
        </is>
      </c>
      <c r="K2039" t="n">
        <v>2</v>
      </c>
      <c r="L2039" t="n">
        <v>2.092</v>
      </c>
      <c r="M2039" t="n">
        <v>0</v>
      </c>
      <c r="N2039" t="inlineStr">
        <is>
          <t>train</t>
        </is>
      </c>
      <c r="O2039">
        <f>HYPERLINK("2\1\marker_645_795824.png", "Ver Imagen")</f>
        <v/>
      </c>
      <c r="P2039">
        <f>HYPERLINK("NO\A-499\A-499__191.png", "Ver Imagen")</f>
        <v/>
      </c>
    </row>
    <row r="2040">
      <c r="A2040" t="n">
        <v>1481</v>
      </c>
      <c r="B2040" t="inlineStr">
        <is>
          <t>A-499__192</t>
        </is>
      </c>
      <c r="C2040" t="n">
        <v>37.5161554175</v>
      </c>
      <c r="D2040" t="n">
        <v>-7.26749129919</v>
      </c>
      <c r="E2040" t="n">
        <v>2</v>
      </c>
      <c r="F2040" t="n">
        <v>1</v>
      </c>
      <c r="G2040" t="n">
        <v>2</v>
      </c>
      <c r="J2040" t="inlineStr">
        <is>
          <t>Moda</t>
        </is>
      </c>
      <c r="K2040" t="n">
        <v>2</v>
      </c>
      <c r="L2040" t="n">
        <v>2.004</v>
      </c>
      <c r="M2040" t="n">
        <v>0</v>
      </c>
      <c r="N2040" t="inlineStr">
        <is>
          <t>train</t>
        </is>
      </c>
      <c r="O2040">
        <f>HYPERLINK("2\1\marker_763_795845.png", "Ver Imagen")</f>
        <v/>
      </c>
      <c r="P2040">
        <f>HYPERLINK("NO\A-499\A-499__192.png", "Ver Imagen")</f>
        <v/>
      </c>
    </row>
    <row r="2041">
      <c r="A2041" t="n">
        <v>1482</v>
      </c>
      <c r="B2041" t="inlineStr">
        <is>
          <t>A-499__193</t>
        </is>
      </c>
      <c r="C2041" t="n">
        <v>37.516280141</v>
      </c>
      <c r="D2041" t="n">
        <v>-7.26726377497</v>
      </c>
      <c r="E2041" t="n">
        <v>2</v>
      </c>
      <c r="F2041" t="n">
        <v>1</v>
      </c>
      <c r="G2041" t="n">
        <v>2</v>
      </c>
      <c r="J2041" t="inlineStr">
        <is>
          <t>Moda</t>
        </is>
      </c>
      <c r="K2041" t="n">
        <v>2</v>
      </c>
      <c r="L2041" t="n">
        <v>1.917</v>
      </c>
      <c r="M2041" t="n">
        <v>0</v>
      </c>
      <c r="N2041" t="inlineStr">
        <is>
          <t>train</t>
        </is>
      </c>
      <c r="O2041">
        <f>HYPERLINK("2\1\marker_144_795857.png", "Ver Imagen")</f>
        <v/>
      </c>
      <c r="P2041">
        <f>HYPERLINK("NO\A-499\A-499__193.png", "Ver Imagen")</f>
        <v/>
      </c>
    </row>
    <row r="2042">
      <c r="A2042" t="n">
        <v>1483</v>
      </c>
      <c r="B2042" t="inlineStr">
        <is>
          <t>A-499__201</t>
        </is>
      </c>
      <c r="C2042" t="n">
        <v>37.5171473573</v>
      </c>
      <c r="D2042" t="n">
        <v>-7.26557498674</v>
      </c>
      <c r="E2042" t="n">
        <v>2</v>
      </c>
      <c r="F2042" t="n">
        <v>1</v>
      </c>
      <c r="G2042" t="n">
        <v>2</v>
      </c>
      <c r="J2042" t="inlineStr">
        <is>
          <t>Moda</t>
        </is>
      </c>
      <c r="K2042" t="n">
        <v>2</v>
      </c>
      <c r="L2042" t="n">
        <v>1.898</v>
      </c>
      <c r="M2042" t="n">
        <v>0</v>
      </c>
      <c r="N2042" t="inlineStr">
        <is>
          <t>train</t>
        </is>
      </c>
      <c r="O2042">
        <f>HYPERLINK("2\1\marker_465_796099.png", "Ver Imagen")</f>
        <v/>
      </c>
      <c r="P2042">
        <f>HYPERLINK("NO\A-499\A-499__201.png", "Ver Imagen")</f>
        <v/>
      </c>
    </row>
    <row r="2043">
      <c r="A2043" t="n">
        <v>1484</v>
      </c>
      <c r="B2043" t="inlineStr">
        <is>
          <t>A-499__202</t>
        </is>
      </c>
      <c r="C2043" t="n">
        <v>37.5172661501</v>
      </c>
      <c r="D2043" t="n">
        <v>-7.26534206004</v>
      </c>
      <c r="E2043" t="n">
        <v>2</v>
      </c>
      <c r="F2043" t="n">
        <v>1</v>
      </c>
      <c r="G2043" t="n">
        <v>2</v>
      </c>
      <c r="J2043" t="inlineStr">
        <is>
          <t>Moda</t>
        </is>
      </c>
      <c r="K2043" t="n">
        <v>2</v>
      </c>
      <c r="L2043" t="n">
        <v>1.962</v>
      </c>
      <c r="M2043" t="n">
        <v>0</v>
      </c>
      <c r="N2043" t="inlineStr">
        <is>
          <t>train</t>
        </is>
      </c>
      <c r="O2043">
        <f>HYPERLINK("2\1\marker_944_796111.png", "Ver Imagen")</f>
        <v/>
      </c>
      <c r="P2043">
        <f>HYPERLINK("NO\A-499\A-499__202.png", "Ver Imagen")</f>
        <v/>
      </c>
    </row>
    <row r="2044">
      <c r="A2044" t="n">
        <v>1485</v>
      </c>
      <c r="B2044" t="inlineStr">
        <is>
          <t>A-499__203</t>
        </is>
      </c>
      <c r="C2044" t="n">
        <v>37.5173871975</v>
      </c>
      <c r="D2044" t="n">
        <v>-7.26510459131</v>
      </c>
      <c r="E2044" t="n">
        <v>2</v>
      </c>
      <c r="F2044" t="n">
        <v>1</v>
      </c>
      <c r="G2044" t="n">
        <v>2</v>
      </c>
      <c r="J2044" t="inlineStr">
        <is>
          <t>Moda</t>
        </is>
      </c>
      <c r="K2044" t="n">
        <v>2</v>
      </c>
      <c r="L2044" t="n">
        <v>1.703</v>
      </c>
      <c r="M2044" t="n">
        <v>0</v>
      </c>
      <c r="N2044" t="inlineStr">
        <is>
          <t>test</t>
        </is>
      </c>
      <c r="O2044">
        <f>HYPERLINK("2\1\marker_591_796130.png", "Ver Imagen")</f>
        <v/>
      </c>
      <c r="P2044">
        <f>HYPERLINK("NO\A-499\A-499__203.png", "Ver Imagen")</f>
        <v/>
      </c>
    </row>
    <row r="2045">
      <c r="A2045" t="n">
        <v>1486</v>
      </c>
      <c r="B2045" t="inlineStr">
        <is>
          <t>A-499__204</t>
        </is>
      </c>
      <c r="C2045" t="n">
        <v>37.5174795088</v>
      </c>
      <c r="D2045" t="n">
        <v>-7.26492320547</v>
      </c>
      <c r="E2045" t="n">
        <v>2</v>
      </c>
      <c r="F2045" t="n">
        <v>3</v>
      </c>
      <c r="G2045" t="n">
        <v>2</v>
      </c>
      <c r="J2045" t="inlineStr">
        <is>
          <t>Moda</t>
        </is>
      </c>
      <c r="K2045" t="n">
        <v>2</v>
      </c>
      <c r="L2045" t="n">
        <v>1.636</v>
      </c>
      <c r="M2045" t="n">
        <v>0</v>
      </c>
      <c r="N2045" t="inlineStr">
        <is>
          <t>test</t>
        </is>
      </c>
      <c r="O2045">
        <f>HYPERLINK("2\1\marker_917_796196.png", "Ver Imagen")</f>
        <v/>
      </c>
      <c r="P2045">
        <f>HYPERLINK("NO\A-499\A-499__204.png", "Ver Imagen")</f>
        <v/>
      </c>
    </row>
    <row r="2046">
      <c r="A2046" t="n">
        <v>1487</v>
      </c>
      <c r="B2046" t="inlineStr">
        <is>
          <t>A-499__205</t>
        </is>
      </c>
      <c r="C2046" t="n">
        <v>37.5175782417</v>
      </c>
      <c r="D2046" t="n">
        <v>-7.26472931846</v>
      </c>
      <c r="E2046" t="n">
        <v>2</v>
      </c>
      <c r="F2046" t="n">
        <v>1</v>
      </c>
      <c r="G2046" t="n">
        <v>2</v>
      </c>
      <c r="J2046" t="inlineStr">
        <is>
          <t>Moda</t>
        </is>
      </c>
      <c r="K2046" t="n">
        <v>2</v>
      </c>
      <c r="L2046" t="n">
        <v>1.832</v>
      </c>
      <c r="M2046" t="n">
        <v>0</v>
      </c>
      <c r="N2046" t="inlineStr">
        <is>
          <t>train</t>
        </is>
      </c>
      <c r="O2046">
        <f>HYPERLINK("2\1\marker_186_796212.png", "Ver Imagen")</f>
        <v/>
      </c>
      <c r="P2046">
        <f>HYPERLINK("NO\A-499\A-499__205.png", "Ver Imagen")</f>
        <v/>
      </c>
    </row>
    <row r="2047">
      <c r="A2047" t="n">
        <v>1488</v>
      </c>
      <c r="B2047" t="inlineStr">
        <is>
          <t>A-499__213</t>
        </is>
      </c>
      <c r="C2047" t="n">
        <v>37.5184556442</v>
      </c>
      <c r="D2047" t="n">
        <v>-7.26301412614</v>
      </c>
      <c r="E2047" t="n">
        <v>2</v>
      </c>
      <c r="F2047" t="n">
        <v>1</v>
      </c>
      <c r="G2047" t="n">
        <v>2</v>
      </c>
      <c r="J2047" t="inlineStr">
        <is>
          <t>Moda</t>
        </is>
      </c>
      <c r="K2047" t="n">
        <v>2</v>
      </c>
      <c r="L2047" t="n">
        <v>2.189</v>
      </c>
      <c r="M2047" t="n">
        <v>0</v>
      </c>
      <c r="N2047" t="inlineStr">
        <is>
          <t>train</t>
        </is>
      </c>
      <c r="O2047">
        <f>HYPERLINK("2\1\marker_690_796349.png", "Ver Imagen")</f>
        <v/>
      </c>
      <c r="P2047">
        <f>HYPERLINK("NO\A-499\A-499__213.png", "Ver Imagen")</f>
        <v/>
      </c>
    </row>
    <row r="2048">
      <c r="A2048" t="n">
        <v>1489</v>
      </c>
      <c r="B2048" t="inlineStr">
        <is>
          <t>A-499__214</t>
        </is>
      </c>
      <c r="C2048" t="n">
        <v>37.5185694159</v>
      </c>
      <c r="D2048" t="n">
        <v>-7.26281225456</v>
      </c>
      <c r="E2048" t="n">
        <v>2</v>
      </c>
      <c r="F2048" t="n">
        <v>2</v>
      </c>
      <c r="G2048" t="n">
        <v>3</v>
      </c>
      <c r="J2048" t="inlineStr">
        <is>
          <t>Moda</t>
        </is>
      </c>
      <c r="K2048" t="n">
        <v>2</v>
      </c>
      <c r="L2048" t="n">
        <v>2.177</v>
      </c>
      <c r="M2048" t="n">
        <v>0</v>
      </c>
      <c r="N2048" t="inlineStr">
        <is>
          <t>train</t>
        </is>
      </c>
      <c r="O2048">
        <f>HYPERLINK("2\1\marker_971_796399.png", "Ver Imagen")</f>
        <v/>
      </c>
      <c r="P2048">
        <f>HYPERLINK("NO\A-499\A-499__214.png", "Ver Imagen")</f>
        <v/>
      </c>
    </row>
    <row r="2049">
      <c r="A2049" t="n">
        <v>1490</v>
      </c>
      <c r="B2049" t="inlineStr">
        <is>
          <t>A-499__216</t>
        </is>
      </c>
      <c r="C2049" t="n">
        <v>37.5188272777</v>
      </c>
      <c r="D2049" t="n">
        <v>-7.26242984376</v>
      </c>
      <c r="E2049" t="n">
        <v>2</v>
      </c>
      <c r="F2049" t="n">
        <v>1</v>
      </c>
      <c r="G2049" t="n">
        <v>2</v>
      </c>
      <c r="J2049" t="inlineStr">
        <is>
          <t>Moda</t>
        </is>
      </c>
      <c r="K2049" t="n">
        <v>2</v>
      </c>
      <c r="L2049" t="n">
        <v>2.066</v>
      </c>
      <c r="M2049" t="n">
        <v>0</v>
      </c>
      <c r="N2049" t="inlineStr">
        <is>
          <t>train</t>
        </is>
      </c>
      <c r="O2049">
        <f>HYPERLINK("2\1\marker_367_796423.png", "Ver Imagen")</f>
        <v/>
      </c>
      <c r="P2049">
        <f>HYPERLINK("NO\A-499\A-499__216.png", "Ver Imagen")</f>
        <v/>
      </c>
    </row>
    <row r="2050">
      <c r="A2050" t="n">
        <v>1491</v>
      </c>
      <c r="B2050" t="inlineStr">
        <is>
          <t>A-499__218</t>
        </is>
      </c>
      <c r="C2050" t="n">
        <v>37.5191292747</v>
      </c>
      <c r="D2050" t="n">
        <v>-7.2620838752</v>
      </c>
      <c r="E2050" t="n">
        <v>2</v>
      </c>
      <c r="F2050" t="n">
        <v>1</v>
      </c>
      <c r="G2050" t="n">
        <v>2</v>
      </c>
      <c r="J2050" t="inlineStr">
        <is>
          <t>Moda</t>
        </is>
      </c>
      <c r="K2050" t="n">
        <v>2</v>
      </c>
      <c r="L2050" t="n">
        <v>1.772</v>
      </c>
      <c r="M2050" t="n">
        <v>0</v>
      </c>
      <c r="N2050" t="inlineStr">
        <is>
          <t>train</t>
        </is>
      </c>
      <c r="O2050">
        <f>HYPERLINK("2\1\marker_996_796446.png", "Ver Imagen")</f>
        <v/>
      </c>
      <c r="P2050">
        <f>HYPERLINK("NO\A-499\A-499__218.png", "Ver Imagen")</f>
        <v/>
      </c>
    </row>
    <row r="2051">
      <c r="A2051" t="n">
        <v>1492</v>
      </c>
      <c r="B2051" t="inlineStr">
        <is>
          <t>A-499__220</t>
        </is>
      </c>
      <c r="C2051" t="n">
        <v>37.5194419341</v>
      </c>
      <c r="D2051" t="n">
        <v>-7.26177644757</v>
      </c>
      <c r="E2051" t="n">
        <v>2</v>
      </c>
      <c r="F2051" t="n">
        <v>1</v>
      </c>
      <c r="G2051" t="n">
        <v>2</v>
      </c>
      <c r="J2051" t="inlineStr">
        <is>
          <t>Moda</t>
        </is>
      </c>
      <c r="K2051" t="n">
        <v>2</v>
      </c>
      <c r="L2051" t="n">
        <v>1.92</v>
      </c>
      <c r="M2051" t="n">
        <v>0</v>
      </c>
      <c r="N2051" t="inlineStr">
        <is>
          <t>train</t>
        </is>
      </c>
      <c r="O2051">
        <f>HYPERLINK("2\1\marker_526_796470.png", "Ver Imagen")</f>
        <v/>
      </c>
      <c r="P2051">
        <f>HYPERLINK("NO\A-499\A-499__220.png", "Ver Imagen")</f>
        <v/>
      </c>
    </row>
    <row r="2052">
      <c r="A2052" t="n">
        <v>1493</v>
      </c>
      <c r="B2052" t="inlineStr">
        <is>
          <t>A-499__224</t>
        </is>
      </c>
      <c r="C2052" t="n">
        <v>37.5201026188</v>
      </c>
      <c r="D2052" t="n">
        <v>-7.26115969782</v>
      </c>
      <c r="E2052" t="n">
        <v>2</v>
      </c>
      <c r="F2052" t="n">
        <v>2</v>
      </c>
      <c r="G2052" t="n">
        <v>3</v>
      </c>
      <c r="J2052" t="inlineStr">
        <is>
          <t>Moda</t>
        </is>
      </c>
      <c r="K2052" t="n">
        <v>2</v>
      </c>
      <c r="L2052" t="n">
        <v>1.533</v>
      </c>
      <c r="M2052" t="n">
        <v>0</v>
      </c>
      <c r="N2052" t="inlineStr">
        <is>
          <t>train</t>
        </is>
      </c>
      <c r="O2052">
        <f>HYPERLINK("2\1\marker_770_796530.png", "Ver Imagen")</f>
        <v/>
      </c>
      <c r="P2052">
        <f>HYPERLINK("NO\A-499\A-499__224.png", "Ver Imagen")</f>
        <v/>
      </c>
    </row>
    <row r="2053">
      <c r="A2053" t="n">
        <v>1494</v>
      </c>
      <c r="B2053" t="inlineStr">
        <is>
          <t>A-499__226</t>
        </is>
      </c>
      <c r="C2053" t="n">
        <v>37.5204288405</v>
      </c>
      <c r="D2053" t="n">
        <v>-7.26085318472</v>
      </c>
      <c r="E2053" t="n">
        <v>2</v>
      </c>
      <c r="F2053" t="n">
        <v>1</v>
      </c>
      <c r="G2053" t="n">
        <v>2</v>
      </c>
      <c r="J2053" t="inlineStr">
        <is>
          <t>Moda</t>
        </is>
      </c>
      <c r="K2053" t="n">
        <v>2</v>
      </c>
      <c r="L2053" t="n">
        <v>1.737</v>
      </c>
      <c r="M2053" t="n">
        <v>0</v>
      </c>
      <c r="N2053" t="inlineStr">
        <is>
          <t>train</t>
        </is>
      </c>
      <c r="O2053">
        <f>HYPERLINK("2\1\marker_957_796562.png", "Ver Imagen")</f>
        <v/>
      </c>
      <c r="P2053">
        <f>HYPERLINK("NO\A-499\A-499__226.png", "Ver Imagen")</f>
        <v/>
      </c>
    </row>
    <row r="2054">
      <c r="A2054" t="n">
        <v>1495</v>
      </c>
      <c r="B2054" t="inlineStr">
        <is>
          <t>A-499__228</t>
        </is>
      </c>
      <c r="C2054" t="n">
        <v>37.5207306967</v>
      </c>
      <c r="D2054" t="n">
        <v>-7.26056876802</v>
      </c>
      <c r="E2054" t="n">
        <v>2</v>
      </c>
      <c r="F2054" t="n">
        <v>2</v>
      </c>
      <c r="G2054" t="n">
        <v>3</v>
      </c>
      <c r="J2054" t="inlineStr">
        <is>
          <t>Moda</t>
        </is>
      </c>
      <c r="K2054" t="n">
        <v>2</v>
      </c>
      <c r="L2054" t="n">
        <v>1.861</v>
      </c>
      <c r="M2054" t="n">
        <v>0</v>
      </c>
      <c r="N2054" t="inlineStr">
        <is>
          <t>train</t>
        </is>
      </c>
      <c r="O2054">
        <f>HYPERLINK("2\1\marker_423_796593.png", "Ver Imagen")</f>
        <v/>
      </c>
      <c r="P2054">
        <f>HYPERLINK("NO\A-499\A-499__228.png", "Ver Imagen")</f>
        <v/>
      </c>
    </row>
    <row r="2055">
      <c r="A2055" t="n">
        <v>1496</v>
      </c>
      <c r="B2055" t="inlineStr">
        <is>
          <t>A-497_2C__32</t>
        </is>
      </c>
      <c r="C2055" t="n">
        <v>37.2676726537</v>
      </c>
      <c r="D2055" t="n">
        <v>-6.96509702729</v>
      </c>
      <c r="E2055" t="n">
        <v>2</v>
      </c>
      <c r="F2055" t="n">
        <v>2</v>
      </c>
      <c r="G2055" t="n">
        <v>3</v>
      </c>
      <c r="J2055" t="inlineStr">
        <is>
          <t>Moda</t>
        </is>
      </c>
      <c r="K2055" t="n">
        <v>2</v>
      </c>
      <c r="L2055" t="n">
        <v>2.311</v>
      </c>
      <c r="M2055" t="n">
        <v>0</v>
      </c>
      <c r="N2055" t="inlineStr">
        <is>
          <t>train</t>
        </is>
      </c>
      <c r="O2055">
        <f>HYPERLINK("2\1\marker_670_654508.png", "Ver Imagen")</f>
        <v/>
      </c>
      <c r="P2055">
        <f>HYPERLINK("SE\A-497_2C\A-497_2C__32.png", "Ver Imagen")</f>
        <v/>
      </c>
    </row>
    <row r="2056">
      <c r="A2056" t="n">
        <v>1497</v>
      </c>
      <c r="B2056" t="inlineStr">
        <is>
          <t>A-499__230</t>
        </is>
      </c>
      <c r="C2056" t="n">
        <v>37.5210691684</v>
      </c>
      <c r="D2056" t="n">
        <v>-7.26025083941</v>
      </c>
      <c r="E2056" t="n">
        <v>2</v>
      </c>
      <c r="F2056" t="n">
        <v>1</v>
      </c>
      <c r="G2056" t="n">
        <v>2</v>
      </c>
      <c r="J2056" t="inlineStr">
        <is>
          <t>Moda</t>
        </is>
      </c>
      <c r="K2056" t="n">
        <v>2</v>
      </c>
      <c r="L2056" t="n">
        <v>1.968</v>
      </c>
      <c r="M2056" t="n">
        <v>0</v>
      </c>
      <c r="N2056" t="inlineStr">
        <is>
          <t>train</t>
        </is>
      </c>
      <c r="O2056">
        <f>HYPERLINK("2\1\marker_697_796624.png", "Ver Imagen")</f>
        <v/>
      </c>
      <c r="P2056">
        <f>HYPERLINK("NO\A-499\A-499__230.png", "Ver Imagen")</f>
        <v/>
      </c>
    </row>
    <row r="2057">
      <c r="A2057" t="n">
        <v>1498</v>
      </c>
      <c r="B2057" t="inlineStr">
        <is>
          <t>A-499__231</t>
        </is>
      </c>
      <c r="C2057" t="n">
        <v>37.521232986</v>
      </c>
      <c r="D2057" t="n">
        <v>-7.26010158326</v>
      </c>
      <c r="E2057" t="n">
        <v>2</v>
      </c>
      <c r="F2057" t="n">
        <v>1</v>
      </c>
      <c r="G2057" t="n">
        <v>2</v>
      </c>
      <c r="J2057" t="inlineStr">
        <is>
          <t>Moda</t>
        </is>
      </c>
      <c r="K2057" t="n">
        <v>2</v>
      </c>
      <c r="L2057" t="n">
        <v>1.864</v>
      </c>
      <c r="M2057" t="n">
        <v>0</v>
      </c>
      <c r="N2057" t="inlineStr">
        <is>
          <t>train</t>
        </is>
      </c>
      <c r="O2057">
        <f>HYPERLINK("2\1\marker_815_796659.png", "Ver Imagen")</f>
        <v/>
      </c>
      <c r="P2057">
        <f>HYPERLINK("NO\A-499\A-499__231.png", "Ver Imagen")</f>
        <v/>
      </c>
    </row>
    <row r="2058">
      <c r="A2058" t="n">
        <v>1499</v>
      </c>
      <c r="B2058" t="inlineStr">
        <is>
          <t>A-499__233</t>
        </is>
      </c>
      <c r="C2058" t="n">
        <v>37.5215709666</v>
      </c>
      <c r="D2058" t="n">
        <v>-7.25982849554</v>
      </c>
      <c r="E2058" t="n">
        <v>2</v>
      </c>
      <c r="F2058" t="n">
        <v>1</v>
      </c>
      <c r="G2058" t="n">
        <v>2</v>
      </c>
      <c r="J2058" t="inlineStr">
        <is>
          <t>Moda</t>
        </is>
      </c>
      <c r="K2058" t="n">
        <v>2</v>
      </c>
      <c r="L2058" t="n">
        <v>2.095</v>
      </c>
      <c r="M2058" t="n">
        <v>0</v>
      </c>
      <c r="N2058" t="inlineStr">
        <is>
          <t>train</t>
        </is>
      </c>
      <c r="O2058">
        <f>HYPERLINK("2\1\marker_763_796680.png", "Ver Imagen")</f>
        <v/>
      </c>
      <c r="P2058">
        <f>HYPERLINK("NO\A-499\A-499__233.png", "Ver Imagen")</f>
        <v/>
      </c>
    </row>
    <row r="2059">
      <c r="A2059" t="n">
        <v>1500</v>
      </c>
      <c r="B2059" t="inlineStr">
        <is>
          <t>A-499__237</t>
        </is>
      </c>
      <c r="C2059" t="n">
        <v>37.5223111793</v>
      </c>
      <c r="D2059" t="n">
        <v>-7.25941656659</v>
      </c>
      <c r="E2059" t="n">
        <v>2</v>
      </c>
      <c r="F2059" t="n">
        <v>1</v>
      </c>
      <c r="G2059" t="n">
        <v>2</v>
      </c>
      <c r="J2059" t="inlineStr">
        <is>
          <t>Moda</t>
        </is>
      </c>
      <c r="K2059" t="n">
        <v>2</v>
      </c>
      <c r="L2059" t="n">
        <v>1.928</v>
      </c>
      <c r="M2059" t="n">
        <v>0</v>
      </c>
      <c r="N2059" t="inlineStr">
        <is>
          <t>test</t>
        </is>
      </c>
      <c r="O2059">
        <f>HYPERLINK("2\1\marker_690_796740.png", "Ver Imagen")</f>
        <v/>
      </c>
      <c r="P2059">
        <f>HYPERLINK("NO\A-499\A-499__237.png", "Ver Imagen")</f>
        <v/>
      </c>
    </row>
    <row r="2060">
      <c r="A2060" t="n">
        <v>1501</v>
      </c>
      <c r="B2060" t="inlineStr">
        <is>
          <t>A-499__238</t>
        </is>
      </c>
      <c r="C2060" t="n">
        <v>37.5225085349</v>
      </c>
      <c r="D2060" t="n">
        <v>-7.25933998628</v>
      </c>
      <c r="E2060" t="n">
        <v>2</v>
      </c>
      <c r="F2060" t="n">
        <v>2</v>
      </c>
      <c r="G2060" t="n">
        <v>3</v>
      </c>
      <c r="J2060" t="inlineStr">
        <is>
          <t>Moda</t>
        </is>
      </c>
      <c r="K2060" t="n">
        <v>2</v>
      </c>
      <c r="L2060" t="n">
        <v>1.832</v>
      </c>
      <c r="M2060" t="n">
        <v>0</v>
      </c>
      <c r="N2060" t="inlineStr">
        <is>
          <t>train</t>
        </is>
      </c>
      <c r="O2060">
        <f>HYPERLINK("2\1\marker_916_796779.png", "Ver Imagen")</f>
        <v/>
      </c>
      <c r="P2060">
        <f>HYPERLINK("NO\A-499\A-499__238.png", "Ver Imagen")</f>
        <v/>
      </c>
    </row>
    <row r="2061">
      <c r="A2061" t="n">
        <v>1502</v>
      </c>
      <c r="B2061" t="inlineStr">
        <is>
          <t>A-499__242</t>
        </is>
      </c>
      <c r="C2061" t="n">
        <v>37.5232853619</v>
      </c>
      <c r="D2061" t="n">
        <v>-7.25904054209</v>
      </c>
      <c r="E2061" t="n">
        <v>2</v>
      </c>
      <c r="F2061" t="n">
        <v>1</v>
      </c>
      <c r="G2061" t="n">
        <v>2</v>
      </c>
      <c r="J2061" t="inlineStr">
        <is>
          <t>Moda</t>
        </is>
      </c>
      <c r="K2061" t="n">
        <v>2</v>
      </c>
      <c r="L2061" t="n">
        <v>1.7</v>
      </c>
      <c r="M2061" t="n">
        <v>0</v>
      </c>
      <c r="N2061" t="inlineStr">
        <is>
          <t>train</t>
        </is>
      </c>
      <c r="O2061">
        <f>HYPERLINK("2\1\marker_100_796895.png", "Ver Imagen")</f>
        <v/>
      </c>
      <c r="P2061">
        <f>HYPERLINK("NO\A-499\A-499__242.png", "Ver Imagen")</f>
        <v/>
      </c>
    </row>
    <row r="2062">
      <c r="A2062" t="n">
        <v>1503</v>
      </c>
      <c r="B2062" t="inlineStr">
        <is>
          <t>A-497_2C__51</t>
        </is>
      </c>
      <c r="C2062" t="n">
        <v>37.2680127653</v>
      </c>
      <c r="D2062" t="n">
        <v>-6.96988327855</v>
      </c>
      <c r="E2062" t="n">
        <v>2</v>
      </c>
      <c r="F2062" t="n">
        <v>3</v>
      </c>
      <c r="G2062" t="n">
        <v>2</v>
      </c>
      <c r="J2062" t="inlineStr">
        <is>
          <t>Moda</t>
        </is>
      </c>
      <c r="K2062" t="n">
        <v>2</v>
      </c>
      <c r="L2062" t="n">
        <v>2.14</v>
      </c>
      <c r="M2062" t="n">
        <v>0</v>
      </c>
      <c r="N2062" t="inlineStr">
        <is>
          <t>train</t>
        </is>
      </c>
      <c r="O2062">
        <f>HYPERLINK("2\1\marker_878_654763.png", "Ver Imagen")</f>
        <v/>
      </c>
      <c r="P2062">
        <f>HYPERLINK("SE\A-497_2C\A-497_2C__51.png", "Ver Imagen")</f>
        <v/>
      </c>
    </row>
    <row r="2063">
      <c r="A2063" t="n">
        <v>1504</v>
      </c>
      <c r="B2063" t="inlineStr">
        <is>
          <t>A-499__245</t>
        </is>
      </c>
      <c r="C2063" t="n">
        <v>37.5238274379</v>
      </c>
      <c r="D2063" t="n">
        <v>-7.25870002215</v>
      </c>
      <c r="E2063" t="n">
        <v>2</v>
      </c>
      <c r="F2063" t="n">
        <v>3</v>
      </c>
      <c r="G2063" t="n">
        <v>2</v>
      </c>
      <c r="J2063" t="inlineStr">
        <is>
          <t>Moda</t>
        </is>
      </c>
      <c r="K2063" t="n">
        <v>2</v>
      </c>
      <c r="L2063" t="n">
        <v>2.248</v>
      </c>
      <c r="M2063" t="n">
        <v>0</v>
      </c>
      <c r="N2063" t="inlineStr">
        <is>
          <t>train</t>
        </is>
      </c>
      <c r="O2063">
        <f>HYPERLINK("2\1\marker_615_796930.png", "Ver Imagen")</f>
        <v/>
      </c>
      <c r="P2063">
        <f>HYPERLINK("NO\A-499\A-499__245.png", "Ver Imagen")</f>
        <v/>
      </c>
    </row>
    <row r="2064">
      <c r="A2064" t="n">
        <v>1505</v>
      </c>
      <c r="B2064" t="inlineStr">
        <is>
          <t>A-499__246</t>
        </is>
      </c>
      <c r="C2064" t="n">
        <v>37.5240045437</v>
      </c>
      <c r="D2064" t="n">
        <v>-7.25854947512</v>
      </c>
      <c r="E2064" t="n">
        <v>2</v>
      </c>
      <c r="F2064" t="n">
        <v>3</v>
      </c>
      <c r="G2064" t="n">
        <v>2</v>
      </c>
      <c r="J2064" t="inlineStr">
        <is>
          <t>Moda</t>
        </is>
      </c>
      <c r="K2064" t="n">
        <v>2</v>
      </c>
      <c r="L2064" t="n">
        <v>1.961</v>
      </c>
      <c r="M2064" t="n">
        <v>0</v>
      </c>
      <c r="N2064" t="inlineStr">
        <is>
          <t>train</t>
        </is>
      </c>
      <c r="O2064">
        <f>HYPERLINK("2\1\marker_654_796951.png", "Ver Imagen")</f>
        <v/>
      </c>
      <c r="P2064">
        <f>HYPERLINK("NO\A-499\A-499__246.png", "Ver Imagen")</f>
        <v/>
      </c>
    </row>
    <row r="2065">
      <c r="A2065" t="n">
        <v>1506</v>
      </c>
      <c r="B2065" t="inlineStr">
        <is>
          <t>A-499__247</t>
        </is>
      </c>
      <c r="C2065" t="n">
        <v>37.5241411943</v>
      </c>
      <c r="D2065" t="n">
        <v>-7.25841663321</v>
      </c>
      <c r="E2065" t="n">
        <v>2</v>
      </c>
      <c r="F2065" t="n">
        <v>1</v>
      </c>
      <c r="G2065" t="n">
        <v>2</v>
      </c>
      <c r="J2065" t="inlineStr">
        <is>
          <t>Moda</t>
        </is>
      </c>
      <c r="K2065" t="n">
        <v>2</v>
      </c>
      <c r="L2065" t="n">
        <v>2.217</v>
      </c>
      <c r="M2065" t="n">
        <v>0</v>
      </c>
      <c r="N2065" t="inlineStr">
        <is>
          <t>train</t>
        </is>
      </c>
      <c r="O2065">
        <f>HYPERLINK("2\1\marker_825_796961.png", "Ver Imagen")</f>
        <v/>
      </c>
      <c r="P2065">
        <f>HYPERLINK("NO\A-499\A-499__247.png", "Ver Imagen")</f>
        <v/>
      </c>
    </row>
    <row r="2066">
      <c r="A2066" t="n">
        <v>1507</v>
      </c>
      <c r="B2066" t="inlineStr">
        <is>
          <t>A-499__252</t>
        </is>
      </c>
      <c r="C2066" t="n">
        <v>37.5248355106</v>
      </c>
      <c r="D2066" t="n">
        <v>-7.25747523293</v>
      </c>
      <c r="E2066" t="n">
        <v>2</v>
      </c>
      <c r="F2066" t="n">
        <v>1</v>
      </c>
      <c r="G2066" t="n">
        <v>2</v>
      </c>
      <c r="J2066" t="inlineStr">
        <is>
          <t>Moda</t>
        </is>
      </c>
      <c r="K2066" t="n">
        <v>2</v>
      </c>
      <c r="L2066" t="n">
        <v>1.859</v>
      </c>
      <c r="M2066" t="n">
        <v>0</v>
      </c>
      <c r="N2066" t="inlineStr">
        <is>
          <t>train</t>
        </is>
      </c>
      <c r="O2066">
        <f>HYPERLINK("2\1\marker_101_797030.png", "Ver Imagen")</f>
        <v/>
      </c>
      <c r="P2066">
        <f>HYPERLINK("NO\A-499\A-499__252.png", "Ver Imagen")</f>
        <v/>
      </c>
    </row>
    <row r="2067">
      <c r="A2067" t="n">
        <v>1508</v>
      </c>
      <c r="B2067" t="inlineStr">
        <is>
          <t>A-499__259</t>
        </is>
      </c>
      <c r="C2067" t="n">
        <v>37.5257279665</v>
      </c>
      <c r="D2067" t="n">
        <v>-7.2560609606</v>
      </c>
      <c r="E2067" t="n">
        <v>2</v>
      </c>
      <c r="F2067" t="n">
        <v>1</v>
      </c>
      <c r="G2067" t="n">
        <v>2</v>
      </c>
      <c r="J2067" t="inlineStr">
        <is>
          <t>Moda</t>
        </is>
      </c>
      <c r="K2067" t="n">
        <v>2</v>
      </c>
      <c r="L2067" t="n">
        <v>2.082</v>
      </c>
      <c r="M2067" t="n">
        <v>0</v>
      </c>
      <c r="N2067" t="inlineStr">
        <is>
          <t>train</t>
        </is>
      </c>
      <c r="O2067">
        <f>HYPERLINK("2\1\marker_623_797247.png", "Ver Imagen")</f>
        <v/>
      </c>
      <c r="P2067">
        <f>HYPERLINK("NO\A-499\A-499__259.png", "Ver Imagen")</f>
        <v/>
      </c>
    </row>
    <row r="2068">
      <c r="A2068" t="n">
        <v>1509</v>
      </c>
      <c r="B2068" t="inlineStr">
        <is>
          <t>A-499__261</t>
        </is>
      </c>
      <c r="C2068" t="n">
        <v>37.5260022379</v>
      </c>
      <c r="D2068" t="n">
        <v>-7.25570237512</v>
      </c>
      <c r="E2068" t="n">
        <v>2</v>
      </c>
      <c r="F2068" t="n">
        <v>1</v>
      </c>
      <c r="G2068" t="n">
        <v>2</v>
      </c>
      <c r="J2068" t="inlineStr">
        <is>
          <t>Moda</t>
        </is>
      </c>
      <c r="K2068" t="n">
        <v>2</v>
      </c>
      <c r="L2068" t="n">
        <v>1.731</v>
      </c>
      <c r="M2068" t="n">
        <v>0</v>
      </c>
      <c r="N2068" t="inlineStr">
        <is>
          <t>train</t>
        </is>
      </c>
      <c r="O2068">
        <f>HYPERLINK("2\1\marker_578_797272.png", "Ver Imagen")</f>
        <v/>
      </c>
      <c r="P2068">
        <f>HYPERLINK("NO\A-499\A-499__261.png", "Ver Imagen")</f>
        <v/>
      </c>
    </row>
    <row r="2069">
      <c r="A2069" t="n">
        <v>1510</v>
      </c>
      <c r="B2069" t="inlineStr">
        <is>
          <t>A-497_2C__95</t>
        </is>
      </c>
      <c r="C2069" t="n">
        <v>37.2704498556</v>
      </c>
      <c r="D2069" t="n">
        <v>-6.98060453292</v>
      </c>
      <c r="E2069" t="n">
        <v>2</v>
      </c>
      <c r="F2069" t="n">
        <v>3</v>
      </c>
      <c r="G2069" t="n">
        <v>2</v>
      </c>
      <c r="J2069" t="inlineStr">
        <is>
          <t>Moda</t>
        </is>
      </c>
      <c r="K2069" t="n">
        <v>2</v>
      </c>
      <c r="L2069" t="n">
        <v>1.943</v>
      </c>
      <c r="M2069" t="n">
        <v>0</v>
      </c>
      <c r="N2069" t="inlineStr">
        <is>
          <t>train</t>
        </is>
      </c>
      <c r="O2069">
        <f>HYPERLINK("2\1\marker_859_655358.png", "Ver Imagen")</f>
        <v/>
      </c>
      <c r="P2069">
        <f>HYPERLINK("SE\A-497_2C\A-497_2C__95.png", "Ver Imagen")</f>
        <v/>
      </c>
    </row>
    <row r="2070">
      <c r="A2070" t="n">
        <v>1512</v>
      </c>
      <c r="B2070" t="inlineStr">
        <is>
          <t>A-497_2C__125</t>
        </is>
      </c>
      <c r="C2070" t="n">
        <v>37.2716033231</v>
      </c>
      <c r="D2070" t="n">
        <v>-6.98789177447</v>
      </c>
      <c r="E2070" t="n">
        <v>2</v>
      </c>
      <c r="F2070" t="n">
        <v>3</v>
      </c>
      <c r="G2070" t="n">
        <v>2</v>
      </c>
      <c r="J2070" t="inlineStr">
        <is>
          <t>Moda</t>
        </is>
      </c>
      <c r="K2070" t="n">
        <v>2</v>
      </c>
      <c r="L2070" t="n">
        <v>1.971</v>
      </c>
      <c r="M2070" t="n">
        <v>0</v>
      </c>
      <c r="N2070" t="inlineStr">
        <is>
          <t>train</t>
        </is>
      </c>
      <c r="O2070">
        <f>HYPERLINK("2\1\marker_308_655723.png", "Ver Imagen")</f>
        <v/>
      </c>
      <c r="P2070">
        <f>HYPERLINK("SE\A-497_2C\A-497_2C__125.png", "Ver Imagen")</f>
        <v/>
      </c>
    </row>
    <row r="2071">
      <c r="A2071" t="n">
        <v>1513</v>
      </c>
      <c r="B2071" t="inlineStr">
        <is>
          <t>A-497_2C__126</t>
        </is>
      </c>
      <c r="C2071" t="n">
        <v>37.2714976988</v>
      </c>
      <c r="D2071" t="n">
        <v>-6.98813507234</v>
      </c>
      <c r="E2071" t="n">
        <v>2</v>
      </c>
      <c r="F2071" t="n">
        <v>1</v>
      </c>
      <c r="G2071" t="n">
        <v>2</v>
      </c>
      <c r="J2071" t="inlineStr">
        <is>
          <t>Moda</t>
        </is>
      </c>
      <c r="K2071" t="n">
        <v>2</v>
      </c>
      <c r="L2071" t="n">
        <v>1.973</v>
      </c>
      <c r="M2071" t="n">
        <v>0</v>
      </c>
      <c r="N2071" t="inlineStr">
        <is>
          <t>train</t>
        </is>
      </c>
      <c r="O2071">
        <f>HYPERLINK("2\1\marker_118_655733.png", "Ver Imagen")</f>
        <v/>
      </c>
      <c r="P2071">
        <f>HYPERLINK("SE\A-497_2C\A-497_2C__126.png", "Ver Imagen")</f>
        <v/>
      </c>
    </row>
    <row r="2072">
      <c r="A2072" t="n">
        <v>1515</v>
      </c>
      <c r="B2072" t="inlineStr">
        <is>
          <t>A-497_2C__150</t>
        </is>
      </c>
      <c r="C2072" t="n">
        <v>37.2674730029</v>
      </c>
      <c r="D2072" t="n">
        <v>-6.99145427812</v>
      </c>
      <c r="E2072" t="n">
        <v>2</v>
      </c>
      <c r="F2072" t="n">
        <v>3</v>
      </c>
      <c r="G2072" t="n">
        <v>2</v>
      </c>
      <c r="J2072" t="inlineStr">
        <is>
          <t>Moda</t>
        </is>
      </c>
      <c r="K2072" t="n">
        <v>2</v>
      </c>
      <c r="L2072" t="n">
        <v>1.952</v>
      </c>
      <c r="M2072" t="n">
        <v>0</v>
      </c>
      <c r="N2072" t="inlineStr">
        <is>
          <t>train</t>
        </is>
      </c>
      <c r="O2072">
        <f>HYPERLINK("2\1\marker_850_656002.png", "Ver Imagen")</f>
        <v/>
      </c>
      <c r="P2072">
        <f>HYPERLINK("SE\A-497_2C\A-497_2C__150.png", "Ver Imagen")</f>
        <v/>
      </c>
    </row>
    <row r="2073">
      <c r="A2073" t="n">
        <v>1516</v>
      </c>
      <c r="B2073" t="inlineStr">
        <is>
          <t>A-497_2C__157</t>
        </is>
      </c>
      <c r="C2073" t="n">
        <v>37.2664653984</v>
      </c>
      <c r="D2073" t="n">
        <v>-6.99265408919</v>
      </c>
      <c r="E2073" t="n">
        <v>2</v>
      </c>
      <c r="F2073" t="n">
        <v>3</v>
      </c>
      <c r="G2073" t="n">
        <v>2</v>
      </c>
      <c r="J2073" t="inlineStr">
        <is>
          <t>Moda</t>
        </is>
      </c>
      <c r="K2073" t="n">
        <v>2</v>
      </c>
      <c r="L2073" t="n">
        <v>1.945</v>
      </c>
      <c r="M2073" t="n">
        <v>0</v>
      </c>
      <c r="N2073" t="inlineStr">
        <is>
          <t>train</t>
        </is>
      </c>
      <c r="O2073">
        <f>HYPERLINK("2\1\marker_135_656076.png", "Ver Imagen")</f>
        <v/>
      </c>
      <c r="P2073">
        <f>HYPERLINK("SE\A-497_2C\A-497_2C__157.png", "Ver Imagen")</f>
        <v/>
      </c>
    </row>
    <row r="2074">
      <c r="A2074" t="n">
        <v>1517</v>
      </c>
      <c r="B2074" t="inlineStr">
        <is>
          <t>A-497__734</t>
        </is>
      </c>
      <c r="C2074" t="n">
        <v>37.190145812</v>
      </c>
      <c r="D2074" t="n">
        <v>-6.97791923418</v>
      </c>
      <c r="E2074" t="n">
        <v>2</v>
      </c>
      <c r="F2074" t="n">
        <v>3</v>
      </c>
      <c r="G2074" t="n">
        <v>2</v>
      </c>
      <c r="J2074" t="inlineStr">
        <is>
          <t>Moda</t>
        </is>
      </c>
      <c r="K2074" t="n">
        <v>2</v>
      </c>
      <c r="L2074" t="n">
        <v>1.879</v>
      </c>
      <c r="M2074" t="n">
        <v>0</v>
      </c>
      <c r="N2074" t="inlineStr">
        <is>
          <t>train</t>
        </is>
      </c>
      <c r="O2074">
        <f>HYPERLINK("2\1\marker_864_368904.png", "Ver Imagen")</f>
        <v/>
      </c>
      <c r="P2074">
        <f>HYPERLINK("SE\A-497\A-497__734.png", "Ver Imagen")</f>
        <v/>
      </c>
    </row>
    <row r="2075">
      <c r="A2075" t="n">
        <v>1518</v>
      </c>
      <c r="B2075" t="inlineStr">
        <is>
          <t>A-497__731</t>
        </is>
      </c>
      <c r="C2075" t="n">
        <v>37.1907560831</v>
      </c>
      <c r="D2075" t="n">
        <v>-6.97776404147</v>
      </c>
      <c r="E2075" t="n">
        <v>2</v>
      </c>
      <c r="F2075" t="n">
        <v>3</v>
      </c>
      <c r="G2075" t="n">
        <v>2</v>
      </c>
      <c r="J2075" t="inlineStr">
        <is>
          <t>Moda</t>
        </is>
      </c>
      <c r="K2075" t="n">
        <v>2</v>
      </c>
      <c r="L2075" t="n">
        <v>1.921</v>
      </c>
      <c r="M2075" t="n">
        <v>0</v>
      </c>
      <c r="N2075" t="inlineStr">
        <is>
          <t>train</t>
        </is>
      </c>
      <c r="O2075">
        <f>HYPERLINK("2\1\marker_988_368936.png", "Ver Imagen")</f>
        <v/>
      </c>
      <c r="P2075">
        <f>HYPERLINK("SE\A-497\A-497__731.png", "Ver Imagen")</f>
        <v/>
      </c>
    </row>
    <row r="2076">
      <c r="A2076" t="n">
        <v>1520</v>
      </c>
      <c r="B2076" t="inlineStr">
        <is>
          <t>A-497_2C__169</t>
        </is>
      </c>
      <c r="C2076" t="n">
        <v>37.2656088672</v>
      </c>
      <c r="D2076" t="n">
        <v>-6.99546439366</v>
      </c>
      <c r="E2076" t="n">
        <v>2</v>
      </c>
      <c r="F2076" t="n">
        <v>2</v>
      </c>
      <c r="G2076" t="n">
        <v>1</v>
      </c>
      <c r="J2076" t="inlineStr">
        <is>
          <t>Moda</t>
        </is>
      </c>
      <c r="K2076" t="n">
        <v>2</v>
      </c>
      <c r="L2076" t="n">
        <v>1.877</v>
      </c>
      <c r="M2076" t="n">
        <v>0</v>
      </c>
      <c r="N2076" t="inlineStr">
        <is>
          <t>train</t>
        </is>
      </c>
      <c r="O2076">
        <f>HYPERLINK("2\1\marker_320_656190.png", "Ver Imagen")</f>
        <v/>
      </c>
      <c r="P2076">
        <f>HYPERLINK("SE\A-497_2C\A-497_2C__169.png", "Ver Imagen")</f>
        <v/>
      </c>
    </row>
    <row r="2077">
      <c r="A2077" t="n">
        <v>1521</v>
      </c>
      <c r="B2077" t="inlineStr">
        <is>
          <t>A-497__698</t>
        </is>
      </c>
      <c r="C2077" t="n">
        <v>37.197099102</v>
      </c>
      <c r="D2077" t="n">
        <v>-6.9793245497</v>
      </c>
      <c r="E2077" t="n">
        <v>2</v>
      </c>
      <c r="F2077" t="n">
        <v>3</v>
      </c>
      <c r="G2077" t="n">
        <v>2</v>
      </c>
      <c r="J2077" t="inlineStr">
        <is>
          <t>Moda</t>
        </is>
      </c>
      <c r="K2077" t="n">
        <v>2</v>
      </c>
      <c r="L2077" t="n">
        <v>2.09</v>
      </c>
      <c r="M2077" t="n">
        <v>0</v>
      </c>
      <c r="N2077" t="inlineStr">
        <is>
          <t>train</t>
        </is>
      </c>
      <c r="O2077">
        <f>HYPERLINK("2\1\marker_606_370397.png", "Ver Imagen")</f>
        <v/>
      </c>
      <c r="P2077">
        <f>HYPERLINK("SE\A-497\A-497__698.png", "Ver Imagen")</f>
        <v/>
      </c>
    </row>
    <row r="2078">
      <c r="A2078" t="n">
        <v>1522</v>
      </c>
      <c r="B2078" t="inlineStr">
        <is>
          <t>A-497__680</t>
        </is>
      </c>
      <c r="C2078" t="n">
        <v>37.1992025595</v>
      </c>
      <c r="D2078" t="n">
        <v>-6.98296970375</v>
      </c>
      <c r="E2078" t="n">
        <v>2</v>
      </c>
      <c r="F2078" t="n">
        <v>3</v>
      </c>
      <c r="G2078" t="n">
        <v>2</v>
      </c>
      <c r="J2078" t="inlineStr">
        <is>
          <t>Moda</t>
        </is>
      </c>
      <c r="K2078" t="n">
        <v>2</v>
      </c>
      <c r="L2078" t="n">
        <v>2.173</v>
      </c>
      <c r="M2078" t="n">
        <v>0</v>
      </c>
      <c r="N2078" t="inlineStr">
        <is>
          <t>val</t>
        </is>
      </c>
      <c r="O2078">
        <f>HYPERLINK("2\1\marker_910_370574.png", "Ver Imagen")</f>
        <v/>
      </c>
      <c r="P2078">
        <f>HYPERLINK("SE\A-497\A-497__680.png", "Ver Imagen")</f>
        <v/>
      </c>
    </row>
    <row r="2079">
      <c r="A2079" t="n">
        <v>1523</v>
      </c>
      <c r="B2079" t="inlineStr">
        <is>
          <t>A-497__673</t>
        </is>
      </c>
      <c r="C2079" t="n">
        <v>37.1996833857</v>
      </c>
      <c r="D2079" t="n">
        <v>-6.98460500966</v>
      </c>
      <c r="E2079" t="n">
        <v>2</v>
      </c>
      <c r="F2079" t="n">
        <v>3</v>
      </c>
      <c r="G2079" t="n">
        <v>2</v>
      </c>
      <c r="J2079" t="inlineStr">
        <is>
          <t>Moda</t>
        </is>
      </c>
      <c r="K2079" t="n">
        <v>2</v>
      </c>
      <c r="L2079" t="n">
        <v>2.078</v>
      </c>
      <c r="M2079" t="n">
        <v>0</v>
      </c>
      <c r="N2079" t="inlineStr">
        <is>
          <t>train</t>
        </is>
      </c>
      <c r="O2079">
        <f>HYPERLINK("2\1\marker_916_370997.png", "Ver Imagen")</f>
        <v/>
      </c>
      <c r="P2079">
        <f>HYPERLINK("SE\A-497\A-497__673.png", "Ver Imagen")</f>
        <v/>
      </c>
    </row>
    <row r="2080">
      <c r="A2080" t="n">
        <v>1524</v>
      </c>
      <c r="B2080" t="inlineStr">
        <is>
          <t>A-497_2C__235</t>
        </is>
      </c>
      <c r="C2080" t="n">
        <v>37.2613127047</v>
      </c>
      <c r="D2080" t="n">
        <v>-7.01086094361</v>
      </c>
      <c r="E2080" t="n">
        <v>2</v>
      </c>
      <c r="F2080" t="n">
        <v>3</v>
      </c>
      <c r="G2080" t="n">
        <v>2</v>
      </c>
      <c r="J2080" t="inlineStr">
        <is>
          <t>Moda</t>
        </is>
      </c>
      <c r="K2080" t="n">
        <v>2</v>
      </c>
      <c r="L2080" t="n">
        <v>1.766</v>
      </c>
      <c r="M2080" t="n">
        <v>0</v>
      </c>
      <c r="N2080" t="inlineStr">
        <is>
          <t>train</t>
        </is>
      </c>
      <c r="O2080">
        <f>HYPERLINK("2\1\marker_549_656925.png", "Ver Imagen")</f>
        <v/>
      </c>
      <c r="P2080">
        <f>HYPERLINK("SE\A-497_2C\A-497_2C__235.png", "Ver Imagen")</f>
        <v/>
      </c>
    </row>
    <row r="2081">
      <c r="A2081" t="n">
        <v>1525</v>
      </c>
      <c r="B2081" t="inlineStr">
        <is>
          <t>A-497_2C__238</t>
        </is>
      </c>
      <c r="C2081" t="n">
        <v>37.2608049822</v>
      </c>
      <c r="D2081" t="n">
        <v>-7.01119651988</v>
      </c>
      <c r="E2081" t="n">
        <v>2</v>
      </c>
      <c r="F2081" t="n">
        <v>1</v>
      </c>
      <c r="G2081" t="n">
        <v>2</v>
      </c>
      <c r="J2081" t="inlineStr">
        <is>
          <t>Moda</t>
        </is>
      </c>
      <c r="K2081" t="n">
        <v>2</v>
      </c>
      <c r="L2081" t="n">
        <v>2.38</v>
      </c>
      <c r="M2081" t="n">
        <v>0</v>
      </c>
      <c r="N2081" t="inlineStr">
        <is>
          <t>train</t>
        </is>
      </c>
      <c r="O2081">
        <f>HYPERLINK("2\1\marker_106_656972.png", "Ver Imagen")</f>
        <v/>
      </c>
      <c r="P2081">
        <f>HYPERLINK("SE\A-497_2C\A-497_2C__238.png", "Ver Imagen")</f>
        <v/>
      </c>
    </row>
    <row r="2082">
      <c r="A2082" t="n">
        <v>1526</v>
      </c>
      <c r="B2082" t="inlineStr">
        <is>
          <t>A-497_2C__240</t>
        </is>
      </c>
      <c r="C2082" t="n">
        <v>37.2604269881</v>
      </c>
      <c r="D2082" t="n">
        <v>-7.01143683312</v>
      </c>
      <c r="E2082" t="n">
        <v>2</v>
      </c>
      <c r="F2082" t="n">
        <v>3</v>
      </c>
      <c r="G2082" t="n">
        <v>2</v>
      </c>
      <c r="J2082" t="inlineStr">
        <is>
          <t>Moda</t>
        </is>
      </c>
      <c r="K2082" t="n">
        <v>2</v>
      </c>
      <c r="L2082" t="n">
        <v>2.102</v>
      </c>
      <c r="M2082" t="n">
        <v>0</v>
      </c>
      <c r="N2082" t="inlineStr">
        <is>
          <t>train</t>
        </is>
      </c>
      <c r="O2082">
        <f>HYPERLINK("2\1\marker_938_657027.png", "Ver Imagen")</f>
        <v/>
      </c>
      <c r="P2082">
        <f>HYPERLINK("SE\A-497_2C\A-497_2C__240.png", "Ver Imagen")</f>
        <v/>
      </c>
    </row>
    <row r="2083">
      <c r="A2083" t="n">
        <v>1528</v>
      </c>
      <c r="B2083" t="inlineStr">
        <is>
          <t>A-497_2C__249</t>
        </is>
      </c>
      <c r="C2083" t="n">
        <v>37.2587793576</v>
      </c>
      <c r="D2083" t="n">
        <v>-7.01248544736</v>
      </c>
      <c r="E2083" t="n">
        <v>2</v>
      </c>
      <c r="F2083" t="n">
        <v>3</v>
      </c>
      <c r="G2083" t="n">
        <v>2</v>
      </c>
      <c r="J2083" t="inlineStr">
        <is>
          <t>Moda</t>
        </is>
      </c>
      <c r="K2083" t="n">
        <v>2</v>
      </c>
      <c r="L2083" t="n">
        <v>2.099</v>
      </c>
      <c r="M2083" t="n">
        <v>0</v>
      </c>
      <c r="N2083" t="inlineStr">
        <is>
          <t>train</t>
        </is>
      </c>
      <c r="O2083">
        <f>HYPERLINK("2\1\marker_825_319392.png", "Ver Imagen")</f>
        <v/>
      </c>
      <c r="P2083">
        <f>HYPERLINK("SE\A-497_2C\A-497_2C__249.png", "Ver Imagen")</f>
        <v/>
      </c>
    </row>
    <row r="2084">
      <c r="A2084" t="n">
        <v>1529</v>
      </c>
      <c r="B2084" t="inlineStr">
        <is>
          <t>A-497_2C__265</t>
        </is>
      </c>
      <c r="C2084" t="n">
        <v>37.2558840797</v>
      </c>
      <c r="D2084" t="n">
        <v>-7.01432397459</v>
      </c>
      <c r="E2084" t="n">
        <v>2</v>
      </c>
      <c r="F2084" t="n">
        <v>2</v>
      </c>
      <c r="G2084" t="n">
        <v>3</v>
      </c>
      <c r="J2084" t="inlineStr">
        <is>
          <t>Moda</t>
        </is>
      </c>
      <c r="K2084" t="n">
        <v>2</v>
      </c>
      <c r="L2084" t="n">
        <v>2.457</v>
      </c>
      <c r="M2084" t="n">
        <v>0</v>
      </c>
      <c r="N2084" t="inlineStr">
        <is>
          <t>test</t>
        </is>
      </c>
      <c r="O2084">
        <f>HYPERLINK("2\1\marker_555_319678.png", "Ver Imagen")</f>
        <v/>
      </c>
      <c r="P2084">
        <f>HYPERLINK("SE\A-497_2C\A-497_2C__265.png", "Ver Imagen")</f>
        <v/>
      </c>
    </row>
    <row r="2085">
      <c r="A2085" t="n">
        <v>1531</v>
      </c>
      <c r="B2085" t="inlineStr">
        <is>
          <t>A-497_2C__303</t>
        </is>
      </c>
      <c r="C2085" t="n">
        <v>37.2489023502</v>
      </c>
      <c r="D2085" t="n">
        <v>-7.01831633383</v>
      </c>
      <c r="E2085" t="n">
        <v>2</v>
      </c>
      <c r="F2085" t="n">
        <v>3</v>
      </c>
      <c r="G2085" t="n">
        <v>2</v>
      </c>
      <c r="J2085" t="inlineStr">
        <is>
          <t>Moda</t>
        </is>
      </c>
      <c r="K2085" t="n">
        <v>2</v>
      </c>
      <c r="L2085" t="n">
        <v>1.531</v>
      </c>
      <c r="M2085" t="n">
        <v>0</v>
      </c>
      <c r="N2085" t="inlineStr">
        <is>
          <t>train</t>
        </is>
      </c>
      <c r="O2085">
        <f>HYPERLINK("2\1\marker_653_320200.png", "Ver Imagen")</f>
        <v/>
      </c>
      <c r="P2085">
        <f>HYPERLINK("SE\A-497_2C\A-497_2C__303.png", "Ver Imagen")</f>
        <v/>
      </c>
    </row>
    <row r="2086">
      <c r="A2086" t="n">
        <v>1532</v>
      </c>
      <c r="B2086" t="inlineStr">
        <is>
          <t>A-497_2C__317</t>
        </is>
      </c>
      <c r="C2086" t="n">
        <v>37.2460862342</v>
      </c>
      <c r="D2086" t="n">
        <v>-7.01844865825</v>
      </c>
      <c r="E2086" t="n">
        <v>2</v>
      </c>
      <c r="F2086" t="n">
        <v>3</v>
      </c>
      <c r="G2086" t="n">
        <v>2</v>
      </c>
      <c r="J2086" t="inlineStr">
        <is>
          <t>Moda</t>
        </is>
      </c>
      <c r="K2086" t="n">
        <v>2</v>
      </c>
      <c r="L2086" t="n">
        <v>2.089</v>
      </c>
      <c r="M2086" t="n">
        <v>0</v>
      </c>
      <c r="N2086" t="inlineStr">
        <is>
          <t>train</t>
        </is>
      </c>
      <c r="O2086">
        <f>HYPERLINK("2\1\marker_356_361898.png", "Ver Imagen")</f>
        <v/>
      </c>
      <c r="P2086">
        <f>HYPERLINK("SE\A-497_2C\A-497_2C__317.png", "Ver Imagen")</f>
        <v/>
      </c>
    </row>
    <row r="2087">
      <c r="A2087" t="n">
        <v>1533</v>
      </c>
      <c r="B2087" t="inlineStr">
        <is>
          <t>A-497_2C__411</t>
        </is>
      </c>
      <c r="C2087" t="n">
        <v>37.2278921656</v>
      </c>
      <c r="D2087" t="n">
        <v>-7.0220638218</v>
      </c>
      <c r="E2087" t="n">
        <v>2</v>
      </c>
      <c r="F2087" t="n">
        <v>1</v>
      </c>
      <c r="G2087" t="n">
        <v>2</v>
      </c>
      <c r="J2087" t="inlineStr">
        <is>
          <t>Moda</t>
        </is>
      </c>
      <c r="K2087" t="n">
        <v>2</v>
      </c>
      <c r="L2087" t="n">
        <v>2.135</v>
      </c>
      <c r="M2087" t="n">
        <v>0</v>
      </c>
      <c r="N2087" t="inlineStr">
        <is>
          <t>val</t>
        </is>
      </c>
      <c r="O2087">
        <f>HYPERLINK("2\1\marker_525_363018.png", "Ver Imagen")</f>
        <v/>
      </c>
      <c r="P2087">
        <f>HYPERLINK("SE\A-497_2C\A-497_2C__411.png", "Ver Imagen")</f>
        <v/>
      </c>
    </row>
    <row r="2088">
      <c r="A2088" t="n">
        <v>1534</v>
      </c>
      <c r="B2088" t="inlineStr">
        <is>
          <t>A-497_2C__421</t>
        </is>
      </c>
      <c r="C2088" t="n">
        <v>37.2261292646</v>
      </c>
      <c r="D2088" t="n">
        <v>-7.02315040786</v>
      </c>
      <c r="E2088" t="n">
        <v>2</v>
      </c>
      <c r="F2088" t="n">
        <v>1</v>
      </c>
      <c r="G2088" t="n">
        <v>2</v>
      </c>
      <c r="J2088" t="inlineStr">
        <is>
          <t>Moda</t>
        </is>
      </c>
      <c r="K2088" t="n">
        <v>2</v>
      </c>
      <c r="L2088" t="n">
        <v>2.286</v>
      </c>
      <c r="M2088" t="n">
        <v>0</v>
      </c>
      <c r="N2088" t="inlineStr">
        <is>
          <t>test</t>
        </is>
      </c>
      <c r="O2088">
        <f>HYPERLINK("2\1\marker_871_363122.png", "Ver Imagen")</f>
        <v/>
      </c>
      <c r="P2088">
        <f>HYPERLINK("SE\A-497_2C\A-497_2C__421.png", "Ver Imagen")</f>
        <v/>
      </c>
    </row>
    <row r="2089">
      <c r="A2089" t="n">
        <v>1535</v>
      </c>
      <c r="B2089" t="inlineStr">
        <is>
          <t>A-497_2C__422</t>
        </is>
      </c>
      <c r="C2089" t="n">
        <v>37.225880216</v>
      </c>
      <c r="D2089" t="n">
        <v>-7.02323442356</v>
      </c>
      <c r="E2089" t="n">
        <v>2</v>
      </c>
      <c r="F2089" t="n">
        <v>1</v>
      </c>
      <c r="G2089" t="n">
        <v>2</v>
      </c>
      <c r="J2089" t="inlineStr">
        <is>
          <t>Moda</t>
        </is>
      </c>
      <c r="K2089" t="n">
        <v>2</v>
      </c>
      <c r="L2089" t="n">
        <v>2.002</v>
      </c>
      <c r="M2089" t="n">
        <v>0</v>
      </c>
      <c r="N2089" t="inlineStr">
        <is>
          <t>train</t>
        </is>
      </c>
      <c r="O2089">
        <f>HYPERLINK("2\1\marker_579_363132.png", "Ver Imagen")</f>
        <v/>
      </c>
      <c r="P2089">
        <f>HYPERLINK("SE\A-497_2C\A-497_2C__422.png", "Ver Imagen")</f>
        <v/>
      </c>
    </row>
    <row r="2090">
      <c r="A2090" t="n">
        <v>1536</v>
      </c>
      <c r="B2090" t="inlineStr">
        <is>
          <t>A-497__483</t>
        </is>
      </c>
      <c r="C2090" t="n">
        <v>37.2145833507</v>
      </c>
      <c r="D2090" t="n">
        <v>-7.02348664904</v>
      </c>
      <c r="E2090" t="n">
        <v>2</v>
      </c>
      <c r="F2090" t="n">
        <v>1</v>
      </c>
      <c r="G2090" t="n">
        <v>2</v>
      </c>
      <c r="J2090" t="inlineStr">
        <is>
          <t>Moda</t>
        </is>
      </c>
      <c r="K2090" t="n">
        <v>2</v>
      </c>
      <c r="L2090" t="n">
        <v>2.009</v>
      </c>
      <c r="M2090" t="n">
        <v>0</v>
      </c>
      <c r="N2090" t="inlineStr">
        <is>
          <t>train</t>
        </is>
      </c>
      <c r="O2090">
        <f>HYPERLINK("2\1\marker_842_376270.png", "Ver Imagen")</f>
        <v/>
      </c>
      <c r="P2090">
        <f>HYPERLINK("SE\A-497\A-497__483.png", "Ver Imagen")</f>
        <v/>
      </c>
    </row>
    <row r="2091">
      <c r="A2091" t="n">
        <v>1537</v>
      </c>
      <c r="B2091" t="inlineStr">
        <is>
          <t>A-497__481</t>
        </is>
      </c>
      <c r="C2091" t="n">
        <v>37.2149559358</v>
      </c>
      <c r="D2091" t="n">
        <v>-7.02341875555</v>
      </c>
      <c r="E2091" t="n">
        <v>2</v>
      </c>
      <c r="F2091" t="n">
        <v>3</v>
      </c>
      <c r="G2091" t="n">
        <v>2</v>
      </c>
      <c r="J2091" t="inlineStr">
        <is>
          <t>Moda</t>
        </is>
      </c>
      <c r="K2091" t="n">
        <v>2</v>
      </c>
      <c r="L2091" t="n">
        <v>1.966</v>
      </c>
      <c r="M2091" t="n">
        <v>0</v>
      </c>
      <c r="N2091" t="inlineStr">
        <is>
          <t>train</t>
        </is>
      </c>
      <c r="O2091">
        <f>HYPERLINK("2\1\marker_601_376296.png", "Ver Imagen")</f>
        <v/>
      </c>
      <c r="P2091">
        <f>HYPERLINK("SE\A-497\A-497__481.png", "Ver Imagen")</f>
        <v/>
      </c>
    </row>
    <row r="2092">
      <c r="A2092" t="n">
        <v>1538</v>
      </c>
      <c r="B2092" t="inlineStr">
        <is>
          <t>A-497_2C__428</t>
        </is>
      </c>
      <c r="C2092" t="n">
        <v>37.2246506838</v>
      </c>
      <c r="D2092" t="n">
        <v>-7.02339089137</v>
      </c>
      <c r="E2092" t="n">
        <v>2</v>
      </c>
      <c r="F2092" t="n">
        <v>3</v>
      </c>
      <c r="G2092" t="n">
        <v>2</v>
      </c>
      <c r="J2092" t="inlineStr">
        <is>
          <t>Moda</t>
        </is>
      </c>
      <c r="K2092" t="n">
        <v>2</v>
      </c>
      <c r="L2092" t="n">
        <v>2.445</v>
      </c>
      <c r="M2092" t="n">
        <v>0</v>
      </c>
      <c r="N2092" t="inlineStr">
        <is>
          <t>train</t>
        </is>
      </c>
      <c r="O2092">
        <f>HYPERLINK("2\1\marker_351_363189.png", "Ver Imagen")</f>
        <v/>
      </c>
      <c r="P2092">
        <f>HYPERLINK("SE\A-497_2C\A-497_2C__428.png", "Ver Imagen")</f>
        <v/>
      </c>
    </row>
    <row r="2093">
      <c r="A2093" t="n">
        <v>1539</v>
      </c>
      <c r="B2093" t="inlineStr">
        <is>
          <t>A-497_2C__436</t>
        </is>
      </c>
      <c r="C2093" t="n">
        <v>37.2230512809</v>
      </c>
      <c r="D2093" t="n">
        <v>-7.02325358404</v>
      </c>
      <c r="E2093" t="n">
        <v>2</v>
      </c>
      <c r="F2093" t="n">
        <v>1</v>
      </c>
      <c r="G2093" t="n">
        <v>2</v>
      </c>
      <c r="J2093" t="inlineStr">
        <is>
          <t>Moda</t>
        </is>
      </c>
      <c r="K2093" t="n">
        <v>2</v>
      </c>
      <c r="L2093" t="n">
        <v>2.177</v>
      </c>
      <c r="M2093" t="n">
        <v>0</v>
      </c>
      <c r="N2093" t="inlineStr">
        <is>
          <t>train</t>
        </is>
      </c>
      <c r="O2093">
        <f>HYPERLINK("2\1\marker_200_363268.png", "Ver Imagen")</f>
        <v/>
      </c>
      <c r="P2093">
        <f>HYPERLINK("SE\A-497_2C\A-497_2C__436.png", "Ver Imagen")</f>
        <v/>
      </c>
    </row>
    <row r="2094">
      <c r="A2094" t="n">
        <v>1540</v>
      </c>
      <c r="B2094" t="inlineStr">
        <is>
          <t>A-497__465</t>
        </is>
      </c>
      <c r="C2094" t="n">
        <v>37.2181927114</v>
      </c>
      <c r="D2094" t="n">
        <v>-7.02285214065</v>
      </c>
      <c r="E2094" t="n">
        <v>2</v>
      </c>
      <c r="F2094" t="n">
        <v>1</v>
      </c>
      <c r="G2094" t="n">
        <v>2</v>
      </c>
      <c r="J2094" t="inlineStr">
        <is>
          <t>Moda</t>
        </is>
      </c>
      <c r="K2094" t="n">
        <v>2</v>
      </c>
      <c r="L2094" t="n">
        <v>2.397</v>
      </c>
      <c r="M2094" t="n">
        <v>0</v>
      </c>
      <c r="N2094" t="inlineStr">
        <is>
          <t>val</t>
        </is>
      </c>
      <c r="O2094">
        <f>HYPERLINK("2\1\marker_848_376522.png", "Ver Imagen")</f>
        <v/>
      </c>
      <c r="P2094">
        <f>HYPERLINK("SE\A-497\A-497__465.png", "Ver Imagen")</f>
        <v/>
      </c>
    </row>
    <row r="2095">
      <c r="A2095" t="n">
        <v>1541</v>
      </c>
      <c r="B2095" t="inlineStr">
        <is>
          <t>A-497__461</t>
        </is>
      </c>
      <c r="C2095" t="n">
        <v>37.2189391759</v>
      </c>
      <c r="D2095" t="n">
        <v>-7.02277911083</v>
      </c>
      <c r="E2095" t="n">
        <v>2</v>
      </c>
      <c r="F2095" t="n">
        <v>3</v>
      </c>
      <c r="G2095" t="n">
        <v>2</v>
      </c>
      <c r="J2095" t="inlineStr">
        <is>
          <t>Moda</t>
        </is>
      </c>
      <c r="K2095" t="n">
        <v>2</v>
      </c>
      <c r="L2095" t="n">
        <v>2.119</v>
      </c>
      <c r="M2095" t="n">
        <v>0</v>
      </c>
      <c r="N2095" t="inlineStr">
        <is>
          <t>train</t>
        </is>
      </c>
      <c r="O2095">
        <f>HYPERLINK("2\1\marker_416_376557.png", "Ver Imagen")</f>
        <v/>
      </c>
      <c r="P2095">
        <f>HYPERLINK("SE\A-497\A-497__461.png", "Ver Imagen")</f>
        <v/>
      </c>
    </row>
    <row r="2096">
      <c r="A2096" t="n">
        <v>1542</v>
      </c>
      <c r="B2096" t="inlineStr">
        <is>
          <t>A-497__458</t>
        </is>
      </c>
      <c r="C2096" t="n">
        <v>37.2196155637</v>
      </c>
      <c r="D2096" t="n">
        <v>-7.0227688115</v>
      </c>
      <c r="E2096" t="n">
        <v>2</v>
      </c>
      <c r="F2096" t="n">
        <v>1</v>
      </c>
      <c r="G2096" t="n">
        <v>2</v>
      </c>
      <c r="J2096" t="inlineStr">
        <is>
          <t>Moda</t>
        </is>
      </c>
      <c r="K2096" t="n">
        <v>2</v>
      </c>
      <c r="L2096" t="n">
        <v>2.212</v>
      </c>
      <c r="M2096" t="n">
        <v>0</v>
      </c>
      <c r="N2096" t="inlineStr">
        <is>
          <t>train</t>
        </is>
      </c>
      <c r="O2096">
        <f>HYPERLINK("2\1\marker_106_376594.png", "Ver Imagen")</f>
        <v/>
      </c>
      <c r="P2096">
        <f>HYPERLINK("SE\A-497\A-497__458.png", "Ver Imagen")</f>
        <v/>
      </c>
    </row>
    <row r="2097">
      <c r="A2097" t="n">
        <v>1543</v>
      </c>
      <c r="B2097" t="inlineStr">
        <is>
          <t>A-497_2C__501</t>
        </is>
      </c>
      <c r="C2097" t="n">
        <v>37.2099817996</v>
      </c>
      <c r="D2097" t="n">
        <v>-7.02371176641</v>
      </c>
      <c r="E2097" t="n">
        <v>2</v>
      </c>
      <c r="F2097" t="n">
        <v>1</v>
      </c>
      <c r="G2097" t="n">
        <v>2</v>
      </c>
      <c r="J2097" t="inlineStr">
        <is>
          <t>Moda</t>
        </is>
      </c>
      <c r="K2097" t="n">
        <v>2</v>
      </c>
      <c r="L2097" t="n">
        <v>2.429</v>
      </c>
      <c r="M2097" t="n">
        <v>0</v>
      </c>
      <c r="N2097" t="inlineStr">
        <is>
          <t>test</t>
        </is>
      </c>
      <c r="O2097">
        <f>HYPERLINK("2\1\marker_822_364073.png", "Ver Imagen")</f>
        <v/>
      </c>
      <c r="P2097">
        <f>HYPERLINK("SE\A-497_2C\A-497_2C__501.png", "Ver Imagen")</f>
        <v/>
      </c>
    </row>
    <row r="2098">
      <c r="A2098" t="n">
        <v>1544</v>
      </c>
      <c r="B2098" t="inlineStr">
        <is>
          <t>A-497_2C__509</t>
        </is>
      </c>
      <c r="C2098" t="n">
        <v>37.208512837</v>
      </c>
      <c r="D2098" t="n">
        <v>-7.02292024725</v>
      </c>
      <c r="E2098" t="n">
        <v>2</v>
      </c>
      <c r="F2098" t="n">
        <v>1</v>
      </c>
      <c r="G2098" t="n">
        <v>2</v>
      </c>
      <c r="J2098" t="inlineStr">
        <is>
          <t>Moda</t>
        </is>
      </c>
      <c r="K2098" t="n">
        <v>2</v>
      </c>
      <c r="L2098" t="n">
        <v>2.048</v>
      </c>
      <c r="M2098" t="n">
        <v>0</v>
      </c>
      <c r="N2098" t="inlineStr">
        <is>
          <t>train</t>
        </is>
      </c>
      <c r="O2098">
        <f>HYPERLINK("2\1\marker_682_364150.png", "Ver Imagen")</f>
        <v/>
      </c>
      <c r="P2098">
        <f>HYPERLINK("SE\A-497_2C\A-497_2C__509.png", "Ver Imagen")</f>
        <v/>
      </c>
    </row>
    <row r="2099">
      <c r="A2099" t="n">
        <v>1545</v>
      </c>
      <c r="B2099" t="inlineStr">
        <is>
          <t>A-497_2C__511</t>
        </is>
      </c>
      <c r="C2099" t="n">
        <v>37.2081583735</v>
      </c>
      <c r="D2099" t="n">
        <v>-7.02264139645</v>
      </c>
      <c r="E2099" t="n">
        <v>2</v>
      </c>
      <c r="F2099" t="n">
        <v>3</v>
      </c>
      <c r="G2099" t="n">
        <v>2</v>
      </c>
      <c r="J2099" t="inlineStr">
        <is>
          <t>Moda</t>
        </is>
      </c>
      <c r="K2099" t="n">
        <v>2</v>
      </c>
      <c r="L2099" t="n">
        <v>2.02</v>
      </c>
      <c r="M2099" t="n">
        <v>0</v>
      </c>
      <c r="N2099" t="inlineStr">
        <is>
          <t>train</t>
        </is>
      </c>
      <c r="O2099">
        <f>HYPERLINK("2\1\marker_490_364170.png", "Ver Imagen")</f>
        <v/>
      </c>
      <c r="P2099">
        <f>HYPERLINK("SE\A-497_2C\A-497_2C__511.png", "Ver Imagen")</f>
        <v/>
      </c>
    </row>
    <row r="2100">
      <c r="A2100" t="n">
        <v>1546</v>
      </c>
      <c r="B2100" t="inlineStr">
        <is>
          <t>A-497_2C__522</t>
        </is>
      </c>
      <c r="C2100" t="n">
        <v>37.2065674171</v>
      </c>
      <c r="D2100" t="n">
        <v>-7.02077498028</v>
      </c>
      <c r="E2100" t="n">
        <v>2</v>
      </c>
      <c r="F2100" t="n">
        <v>3</v>
      </c>
      <c r="G2100" t="n">
        <v>2</v>
      </c>
      <c r="J2100" t="inlineStr">
        <is>
          <t>Moda</t>
        </is>
      </c>
      <c r="K2100" t="n">
        <v>2</v>
      </c>
      <c r="L2100" t="n">
        <v>1.985</v>
      </c>
      <c r="M2100" t="n">
        <v>0</v>
      </c>
      <c r="N2100" t="inlineStr">
        <is>
          <t>train</t>
        </is>
      </c>
      <c r="O2100">
        <f>HYPERLINK("2\1\marker_836_364295.png", "Ver Imagen")</f>
        <v/>
      </c>
      <c r="P2100">
        <f>HYPERLINK("SE\A-497_2C\A-497_2C__522.png", "Ver Imagen")</f>
        <v/>
      </c>
    </row>
    <row r="2101">
      <c r="A2101" t="n">
        <v>1547</v>
      </c>
      <c r="B2101" t="inlineStr">
        <is>
          <t>A-497_2C__527</t>
        </is>
      </c>
      <c r="C2101" t="n">
        <v>37.2059772017</v>
      </c>
      <c r="D2101" t="n">
        <v>-7.01962570445</v>
      </c>
      <c r="E2101" t="n">
        <v>2</v>
      </c>
      <c r="F2101" t="n">
        <v>3</v>
      </c>
      <c r="G2101" t="n">
        <v>2</v>
      </c>
      <c r="J2101" t="inlineStr">
        <is>
          <t>Moda</t>
        </is>
      </c>
      <c r="K2101" t="n">
        <v>2</v>
      </c>
      <c r="L2101" t="n">
        <v>1.974</v>
      </c>
      <c r="M2101" t="n">
        <v>0</v>
      </c>
      <c r="N2101" t="inlineStr">
        <is>
          <t>train</t>
        </is>
      </c>
      <c r="O2101">
        <f>HYPERLINK("2\1\marker_611_364408.png", "Ver Imagen")</f>
        <v/>
      </c>
      <c r="P2101">
        <f>HYPERLINK("SE\A-497_2C\A-497_2C__527.png", "Ver Imagen")</f>
        <v/>
      </c>
    </row>
    <row r="2102">
      <c r="A2102" t="n">
        <v>1548</v>
      </c>
      <c r="B2102" t="inlineStr">
        <is>
          <t>A-497_2C__573</t>
        </is>
      </c>
      <c r="C2102" t="n">
        <v>37.2035871156</v>
      </c>
      <c r="D2102" t="n">
        <v>-7.00856779158</v>
      </c>
      <c r="E2102" t="n">
        <v>2</v>
      </c>
      <c r="F2102" t="n">
        <v>3</v>
      </c>
      <c r="G2102" t="n">
        <v>2</v>
      </c>
      <c r="J2102" t="inlineStr">
        <is>
          <t>Moda</t>
        </is>
      </c>
      <c r="K2102" t="n">
        <v>2</v>
      </c>
      <c r="L2102" t="n">
        <v>2.167</v>
      </c>
      <c r="M2102" t="n">
        <v>0</v>
      </c>
      <c r="N2102" t="inlineStr">
        <is>
          <t>train</t>
        </is>
      </c>
      <c r="O2102">
        <f>HYPERLINK("2\1\marker_666_366511.png", "Ver Imagen")</f>
        <v/>
      </c>
      <c r="P2102">
        <f>HYPERLINK("SE\A-497_2C\A-497_2C__573.png", "Ver Imagen")</f>
        <v/>
      </c>
    </row>
    <row r="2103">
      <c r="A2103" t="n">
        <v>1549</v>
      </c>
      <c r="B2103" t="inlineStr">
        <is>
          <t>A-497_2C__625</t>
        </is>
      </c>
      <c r="C2103" t="n">
        <v>37.2018557019</v>
      </c>
      <c r="D2103" t="n">
        <v>-6.99557629423</v>
      </c>
      <c r="E2103" t="n">
        <v>2</v>
      </c>
      <c r="F2103" t="n">
        <v>3</v>
      </c>
      <c r="G2103" t="n">
        <v>2</v>
      </c>
      <c r="J2103" t="inlineStr">
        <is>
          <t>Moda</t>
        </is>
      </c>
      <c r="K2103" t="n">
        <v>2</v>
      </c>
      <c r="L2103" t="n">
        <v>2.014</v>
      </c>
      <c r="M2103" t="n">
        <v>0</v>
      </c>
      <c r="N2103" t="inlineStr">
        <is>
          <t>test</t>
        </is>
      </c>
      <c r="O2103">
        <f>HYPERLINK("2\1\marker_933_367034.png", "Ver Imagen")</f>
        <v/>
      </c>
      <c r="P2103">
        <f>HYPERLINK("SE\A-497_2C\A-497_2C__625.png", "Ver Imagen")</f>
        <v/>
      </c>
    </row>
    <row r="2104">
      <c r="A2104" t="n">
        <v>1550</v>
      </c>
      <c r="B2104" t="inlineStr">
        <is>
          <t>A-497_2C__635</t>
        </is>
      </c>
      <c r="C2104" t="n">
        <v>37.2014306475</v>
      </c>
      <c r="D2104" t="n">
        <v>-6.99312550196</v>
      </c>
      <c r="E2104" t="n">
        <v>2</v>
      </c>
      <c r="F2104" t="n">
        <v>1</v>
      </c>
      <c r="G2104" t="n">
        <v>2</v>
      </c>
      <c r="J2104" t="inlineStr">
        <is>
          <t>Moda</t>
        </is>
      </c>
      <c r="K2104" t="n">
        <v>2</v>
      </c>
      <c r="L2104" t="n">
        <v>1.752</v>
      </c>
      <c r="M2104" t="n">
        <v>0</v>
      </c>
      <c r="N2104" t="inlineStr">
        <is>
          <t>train</t>
        </is>
      </c>
      <c r="O2104">
        <f>HYPERLINK("2\1\marker_136_367130.png", "Ver Imagen")</f>
        <v/>
      </c>
      <c r="P2104">
        <f>HYPERLINK("SE\A-497_2C\A-497_2C__635.png", "Ver Imagen")</f>
        <v/>
      </c>
    </row>
    <row r="2105">
      <c r="A2105" t="n">
        <v>1551</v>
      </c>
      <c r="B2105" t="inlineStr">
        <is>
          <t>A-497_2C__637</t>
        </is>
      </c>
      <c r="C2105" t="n">
        <v>37.2013385399</v>
      </c>
      <c r="D2105" t="n">
        <v>-6.99264039053</v>
      </c>
      <c r="E2105" t="n">
        <v>2</v>
      </c>
      <c r="F2105" t="n">
        <v>3</v>
      </c>
      <c r="G2105" t="n">
        <v>2</v>
      </c>
      <c r="J2105" t="inlineStr">
        <is>
          <t>Moda</t>
        </is>
      </c>
      <c r="K2105" t="n">
        <v>2</v>
      </c>
      <c r="L2105" t="n">
        <v>2.103</v>
      </c>
      <c r="M2105" t="n">
        <v>0</v>
      </c>
      <c r="N2105" t="inlineStr">
        <is>
          <t>train</t>
        </is>
      </c>
      <c r="O2105">
        <f>HYPERLINK("2\1\marker_482_367149.png", "Ver Imagen")</f>
        <v/>
      </c>
      <c r="P2105">
        <f>HYPERLINK("SE\A-497_2C\A-497_2C__637.png", "Ver Imagen")</f>
        <v/>
      </c>
    </row>
    <row r="2106">
      <c r="A2106" t="n">
        <v>1552</v>
      </c>
      <c r="B2106" t="inlineStr">
        <is>
          <t>A-497_2C__639</t>
        </is>
      </c>
      <c r="C2106" t="n">
        <v>37.2012383214</v>
      </c>
      <c r="D2106" t="n">
        <v>-6.99212148136</v>
      </c>
      <c r="E2106" t="n">
        <v>2</v>
      </c>
      <c r="F2106" t="n">
        <v>3</v>
      </c>
      <c r="G2106" t="n">
        <v>2</v>
      </c>
      <c r="J2106" t="inlineStr">
        <is>
          <t>Moda</t>
        </is>
      </c>
      <c r="K2106" t="n">
        <v>2</v>
      </c>
      <c r="L2106" t="n">
        <v>2.101</v>
      </c>
      <c r="M2106" t="n">
        <v>0</v>
      </c>
      <c r="N2106" t="inlineStr">
        <is>
          <t>train</t>
        </is>
      </c>
      <c r="O2106">
        <f>HYPERLINK("2\1\marker_331_367168.png", "Ver Imagen")</f>
        <v/>
      </c>
      <c r="P2106">
        <f>HYPERLINK("SE\A-497_2C\A-497_2C__639.png", "Ver Imagen")</f>
        <v/>
      </c>
    </row>
    <row r="2107">
      <c r="A2107" t="n">
        <v>1553</v>
      </c>
      <c r="B2107" t="inlineStr">
        <is>
          <t>A-497_2C__645</t>
        </is>
      </c>
      <c r="C2107" t="n">
        <v>37.2009438749</v>
      </c>
      <c r="D2107" t="n">
        <v>-6.99062798532</v>
      </c>
      <c r="E2107" t="n">
        <v>2</v>
      </c>
      <c r="F2107" t="n">
        <v>3</v>
      </c>
      <c r="G2107" t="n">
        <v>2</v>
      </c>
      <c r="J2107" t="inlineStr">
        <is>
          <t>Moda</t>
        </is>
      </c>
      <c r="K2107" t="n">
        <v>2</v>
      </c>
      <c r="L2107" t="n">
        <v>2.033</v>
      </c>
      <c r="M2107" t="n">
        <v>0</v>
      </c>
      <c r="N2107" t="inlineStr">
        <is>
          <t>train</t>
        </is>
      </c>
      <c r="O2107">
        <f>HYPERLINK("2\1\marker_574_367229.png", "Ver Imagen")</f>
        <v/>
      </c>
      <c r="P2107">
        <f>HYPERLINK("SE\A-497_2C\A-497_2C__645.png", "Ver Imagen")</f>
        <v/>
      </c>
    </row>
    <row r="2108">
      <c r="A2108" t="n">
        <v>1554</v>
      </c>
      <c r="B2108" t="inlineStr">
        <is>
          <t>A-497_2C__647</t>
        </is>
      </c>
      <c r="C2108" t="n">
        <v>37.200841842</v>
      </c>
      <c r="D2108" t="n">
        <v>-6.99014768003</v>
      </c>
      <c r="E2108" t="n">
        <v>2</v>
      </c>
      <c r="F2108" t="n">
        <v>3</v>
      </c>
      <c r="G2108" t="n">
        <v>2</v>
      </c>
      <c r="J2108" t="inlineStr">
        <is>
          <t>Moda</t>
        </is>
      </c>
      <c r="K2108" t="n">
        <v>2</v>
      </c>
      <c r="L2108" t="n">
        <v>2.092</v>
      </c>
      <c r="M2108" t="n">
        <v>0</v>
      </c>
      <c r="N2108" t="inlineStr">
        <is>
          <t>train</t>
        </is>
      </c>
      <c r="O2108">
        <f>HYPERLINK("2\1\marker_898_367247.png", "Ver Imagen")</f>
        <v/>
      </c>
      <c r="P2108">
        <f>HYPERLINK("SE\A-497_2C\A-497_2C__647.png", "Ver Imagen")</f>
        <v/>
      </c>
    </row>
    <row r="2109">
      <c r="A2109" t="n">
        <v>1555</v>
      </c>
      <c r="B2109" t="inlineStr">
        <is>
          <t>A-497_2C__648</t>
        </is>
      </c>
      <c r="C2109" t="n">
        <v>37.200795221</v>
      </c>
      <c r="D2109" t="n">
        <v>-6.989933336</v>
      </c>
      <c r="E2109" t="n">
        <v>2</v>
      </c>
      <c r="F2109" t="n">
        <v>3</v>
      </c>
      <c r="G2109" t="n">
        <v>2</v>
      </c>
      <c r="J2109" t="inlineStr">
        <is>
          <t>Moda</t>
        </is>
      </c>
      <c r="K2109" t="n">
        <v>2</v>
      </c>
      <c r="L2109" t="n">
        <v>2.47</v>
      </c>
      <c r="M2109" t="n">
        <v>0</v>
      </c>
      <c r="N2109" t="inlineStr">
        <is>
          <t>test</t>
        </is>
      </c>
      <c r="O2109">
        <f>HYPERLINK("2\1\marker_946_367258.png", "Ver Imagen")</f>
        <v/>
      </c>
      <c r="P2109">
        <f>HYPERLINK("SE\A-497_2C\A-497_2C__648.png", "Ver Imagen")</f>
        <v/>
      </c>
    </row>
    <row r="2110">
      <c r="A2110" t="n">
        <v>1556</v>
      </c>
      <c r="B2110" t="inlineStr">
        <is>
          <t>A-497_2C__651</t>
        </is>
      </c>
      <c r="C2110" t="n">
        <v>37.2006315734</v>
      </c>
      <c r="D2110" t="n">
        <v>-6.98918789889</v>
      </c>
      <c r="E2110" t="n">
        <v>2</v>
      </c>
      <c r="F2110" t="n">
        <v>1</v>
      </c>
      <c r="G2110" t="n">
        <v>2</v>
      </c>
      <c r="J2110" t="inlineStr">
        <is>
          <t>Moda</t>
        </is>
      </c>
      <c r="K2110" t="n">
        <v>2</v>
      </c>
      <c r="L2110" t="n">
        <v>1.91</v>
      </c>
      <c r="M2110" t="n">
        <v>0</v>
      </c>
      <c r="N2110" t="inlineStr">
        <is>
          <t>train</t>
        </is>
      </c>
      <c r="O2110">
        <f>HYPERLINK("2\1\marker_879_367286.png", "Ver Imagen")</f>
        <v/>
      </c>
      <c r="P2110">
        <f>HYPERLINK("SE\A-497_2C\A-497_2C__651.png", "Ver Imagen")</f>
        <v/>
      </c>
    </row>
    <row r="2111">
      <c r="A2111" t="n">
        <v>1557</v>
      </c>
      <c r="B2111" t="inlineStr">
        <is>
          <t>A-497_2C__657</t>
        </is>
      </c>
      <c r="C2111" t="n">
        <v>37.2003057834</v>
      </c>
      <c r="D2111" t="n">
        <v>-6.9877451606</v>
      </c>
      <c r="E2111" t="n">
        <v>2</v>
      </c>
      <c r="F2111" t="n">
        <v>3</v>
      </c>
      <c r="G2111" t="n">
        <v>2</v>
      </c>
      <c r="J2111" t="inlineStr">
        <is>
          <t>Moda</t>
        </is>
      </c>
      <c r="K2111" t="n">
        <v>2</v>
      </c>
      <c r="L2111" t="n">
        <v>2.085</v>
      </c>
      <c r="M2111" t="n">
        <v>0</v>
      </c>
      <c r="N2111" t="inlineStr">
        <is>
          <t>train</t>
        </is>
      </c>
      <c r="O2111">
        <f>HYPERLINK("2\1\marker_555_367360.png", "Ver Imagen")</f>
        <v/>
      </c>
      <c r="P2111">
        <f>HYPERLINK("SE\A-497_2C\A-497_2C__657.png", "Ver Imagen")</f>
        <v/>
      </c>
    </row>
    <row r="2112">
      <c r="A2112" t="n">
        <v>1558</v>
      </c>
      <c r="B2112" t="inlineStr">
        <is>
          <t>A-497_2C__658</t>
        </is>
      </c>
      <c r="C2112" t="n">
        <v>37.2002549485</v>
      </c>
      <c r="D2112" t="n">
        <v>-6.98752643952</v>
      </c>
      <c r="E2112" t="n">
        <v>2</v>
      </c>
      <c r="F2112" t="n">
        <v>3</v>
      </c>
      <c r="G2112" t="n">
        <v>2</v>
      </c>
      <c r="J2112" t="inlineStr">
        <is>
          <t>Moda</t>
        </is>
      </c>
      <c r="K2112" t="n">
        <v>2</v>
      </c>
      <c r="L2112" t="n">
        <v>2.014</v>
      </c>
      <c r="M2112" t="n">
        <v>0</v>
      </c>
      <c r="N2112" t="inlineStr">
        <is>
          <t>train</t>
        </is>
      </c>
      <c r="O2112">
        <f>HYPERLINK("2\1\marker_477_367369.png", "Ver Imagen")</f>
        <v/>
      </c>
      <c r="P2112">
        <f>HYPERLINK("SE\A-497_2C\A-497_2C__658.png", "Ver Imagen")</f>
        <v/>
      </c>
    </row>
    <row r="2113">
      <c r="A2113" t="n">
        <v>1559</v>
      </c>
      <c r="B2113" t="inlineStr">
        <is>
          <t>A-497_2C__659</t>
        </is>
      </c>
      <c r="C2113" t="n">
        <v>37.2002017975</v>
      </c>
      <c r="D2113" t="n">
        <v>-6.98729794184</v>
      </c>
      <c r="E2113" t="n">
        <v>2</v>
      </c>
      <c r="F2113" t="n">
        <v>3</v>
      </c>
      <c r="G2113" t="n">
        <v>2</v>
      </c>
      <c r="J2113" t="inlineStr">
        <is>
          <t>Moda</t>
        </is>
      </c>
      <c r="K2113" t="n">
        <v>2</v>
      </c>
      <c r="L2113" t="n">
        <v>1.825</v>
      </c>
      <c r="M2113" t="n">
        <v>0</v>
      </c>
      <c r="N2113" t="inlineStr">
        <is>
          <t>train</t>
        </is>
      </c>
      <c r="O2113">
        <f>HYPERLINK("2\1\marker_124_367377.png", "Ver Imagen")</f>
        <v/>
      </c>
      <c r="P2113">
        <f>HYPERLINK("SE\A-497_2C\A-497_2C__659.png", "Ver Imagen")</f>
        <v/>
      </c>
    </row>
    <row r="2114">
      <c r="A2114" t="n">
        <v>1560</v>
      </c>
      <c r="B2114" t="inlineStr">
        <is>
          <t>A-497__441</t>
        </is>
      </c>
      <c r="C2114" t="n">
        <v>37.2230180747</v>
      </c>
      <c r="D2114" t="n">
        <v>-7.02306300012</v>
      </c>
      <c r="E2114" t="n">
        <v>2</v>
      </c>
      <c r="F2114" t="n">
        <v>1</v>
      </c>
      <c r="G2114" t="n">
        <v>2</v>
      </c>
      <c r="J2114" t="inlineStr">
        <is>
          <t>Moda</t>
        </is>
      </c>
      <c r="K2114" t="n">
        <v>2</v>
      </c>
      <c r="L2114" t="n">
        <v>2.087</v>
      </c>
      <c r="M2114" t="n">
        <v>0</v>
      </c>
      <c r="N2114" t="inlineStr">
        <is>
          <t>train</t>
        </is>
      </c>
      <c r="O2114">
        <f>HYPERLINK("2\1\marker_204_376793.png", "Ver Imagen")</f>
        <v/>
      </c>
      <c r="P2114">
        <f>HYPERLINK("SE\A-497\A-497__441.png", "Ver Imagen")</f>
        <v/>
      </c>
    </row>
    <row r="2115">
      <c r="A2115" t="n">
        <v>1561</v>
      </c>
      <c r="B2115" t="inlineStr">
        <is>
          <t>A-497__437</t>
        </is>
      </c>
      <c r="C2115" t="n">
        <v>37.2238303031</v>
      </c>
      <c r="D2115" t="n">
        <v>-7.02314214677</v>
      </c>
      <c r="E2115" t="n">
        <v>2</v>
      </c>
      <c r="F2115" t="n">
        <v>3</v>
      </c>
      <c r="G2115" t="n">
        <v>2</v>
      </c>
      <c r="J2115" t="inlineStr">
        <is>
          <t>Moda</t>
        </is>
      </c>
      <c r="K2115" t="n">
        <v>2</v>
      </c>
      <c r="L2115" t="n">
        <v>1.956</v>
      </c>
      <c r="M2115" t="n">
        <v>0</v>
      </c>
      <c r="N2115" t="inlineStr">
        <is>
          <t>test</t>
        </is>
      </c>
      <c r="O2115">
        <f>HYPERLINK("2\1\marker_249_376833.png", "Ver Imagen")</f>
        <v/>
      </c>
      <c r="P2115">
        <f>HYPERLINK("SE\A-497\A-497__437.png", "Ver Imagen")</f>
        <v/>
      </c>
    </row>
    <row r="2116">
      <c r="A2116" t="n">
        <v>1562</v>
      </c>
      <c r="B2116" t="inlineStr">
        <is>
          <t>A-497__434</t>
        </is>
      </c>
      <c r="C2116" t="n">
        <v>37.2244119604</v>
      </c>
      <c r="D2116" t="n">
        <v>-7.02319532765</v>
      </c>
      <c r="E2116" t="n">
        <v>2</v>
      </c>
      <c r="F2116" t="n">
        <v>1</v>
      </c>
      <c r="G2116" t="n">
        <v>2</v>
      </c>
      <c r="J2116" t="inlineStr">
        <is>
          <t>Moda</t>
        </is>
      </c>
      <c r="K2116" t="n">
        <v>2</v>
      </c>
      <c r="L2116" t="n">
        <v>2.004</v>
      </c>
      <c r="M2116" t="n">
        <v>0</v>
      </c>
      <c r="N2116" t="inlineStr">
        <is>
          <t>train</t>
        </is>
      </c>
      <c r="O2116">
        <f>HYPERLINK("2\1\marker_585_376861.png", "Ver Imagen")</f>
        <v/>
      </c>
      <c r="P2116">
        <f>HYPERLINK("SE\A-497\A-497__434.png", "Ver Imagen")</f>
        <v/>
      </c>
    </row>
    <row r="2117">
      <c r="A2117" t="n">
        <v>1563</v>
      </c>
      <c r="B2117" t="inlineStr">
        <is>
          <t>A-497__429</t>
        </is>
      </c>
      <c r="C2117" t="n">
        <v>37.2254425891</v>
      </c>
      <c r="D2117" t="n">
        <v>-7.02315640778</v>
      </c>
      <c r="E2117" t="n">
        <v>2</v>
      </c>
      <c r="F2117" t="n">
        <v>3</v>
      </c>
      <c r="G2117" t="n">
        <v>2</v>
      </c>
      <c r="J2117" t="inlineStr">
        <is>
          <t>Moda</t>
        </is>
      </c>
      <c r="K2117" t="n">
        <v>2</v>
      </c>
      <c r="L2117" t="n">
        <v>2.176</v>
      </c>
      <c r="M2117" t="n">
        <v>0</v>
      </c>
      <c r="N2117" t="inlineStr">
        <is>
          <t>train</t>
        </is>
      </c>
      <c r="O2117">
        <f>HYPERLINK("2\1\marker_614_376921.png", "Ver Imagen")</f>
        <v/>
      </c>
      <c r="P2117">
        <f>HYPERLINK("SE\A-497\A-497__429.png", "Ver Imagen")</f>
        <v/>
      </c>
    </row>
    <row r="2118">
      <c r="A2118" t="n">
        <v>1564</v>
      </c>
      <c r="B2118" t="inlineStr">
        <is>
          <t>A-497__427</t>
        </is>
      </c>
      <c r="C2118" t="n">
        <v>37.2258380176</v>
      </c>
      <c r="D2118" t="n">
        <v>-7.02306787894</v>
      </c>
      <c r="E2118" t="n">
        <v>2</v>
      </c>
      <c r="F2118" t="n">
        <v>3</v>
      </c>
      <c r="G2118" t="n">
        <v>2</v>
      </c>
      <c r="J2118" t="inlineStr">
        <is>
          <t>Moda</t>
        </is>
      </c>
      <c r="K2118" t="n">
        <v>2</v>
      </c>
      <c r="L2118" t="n">
        <v>1.983</v>
      </c>
      <c r="M2118" t="n">
        <v>0</v>
      </c>
      <c r="N2118" t="inlineStr">
        <is>
          <t>train</t>
        </is>
      </c>
      <c r="O2118">
        <f>HYPERLINK("2\1\marker_964_376945.png", "Ver Imagen")</f>
        <v/>
      </c>
      <c r="P2118">
        <f>HYPERLINK("SE\A-497\A-497__427.png", "Ver Imagen")</f>
        <v/>
      </c>
    </row>
    <row r="2119">
      <c r="A2119" t="n">
        <v>1565</v>
      </c>
      <c r="B2119" t="inlineStr">
        <is>
          <t>A-497__424</t>
        </is>
      </c>
      <c r="C2119" t="n">
        <v>37.2264128064</v>
      </c>
      <c r="D2119" t="n">
        <v>-7.02285170853</v>
      </c>
      <c r="E2119" t="n">
        <v>2</v>
      </c>
      <c r="F2119" t="n">
        <v>3</v>
      </c>
      <c r="G2119" t="n">
        <v>2</v>
      </c>
      <c r="J2119" t="inlineStr">
        <is>
          <t>Moda</t>
        </is>
      </c>
      <c r="K2119" t="n">
        <v>2</v>
      </c>
      <c r="L2119" t="n">
        <v>2.038</v>
      </c>
      <c r="M2119" t="n">
        <v>0</v>
      </c>
      <c r="N2119" t="inlineStr">
        <is>
          <t>test</t>
        </is>
      </c>
      <c r="O2119">
        <f>HYPERLINK("2\1\marker_601_376975.png", "Ver Imagen")</f>
        <v/>
      </c>
      <c r="P2119">
        <f>HYPERLINK("SE\A-497\A-497__424.png", "Ver Imagen")</f>
        <v/>
      </c>
    </row>
    <row r="2120">
      <c r="A2120" t="n">
        <v>1566</v>
      </c>
      <c r="B2120" t="inlineStr">
        <is>
          <t>A-497__420</t>
        </is>
      </c>
      <c r="C2120" t="n">
        <v>37.2271228381</v>
      </c>
      <c r="D2120" t="n">
        <v>-7.02242729765</v>
      </c>
      <c r="E2120" t="n">
        <v>2</v>
      </c>
      <c r="F2120" t="n">
        <v>3</v>
      </c>
      <c r="G2120" t="n">
        <v>2</v>
      </c>
      <c r="J2120" t="inlineStr">
        <is>
          <t>Moda</t>
        </is>
      </c>
      <c r="K2120" t="n">
        <v>2</v>
      </c>
      <c r="L2120" t="n">
        <v>1.976</v>
      </c>
      <c r="M2120" t="n">
        <v>0</v>
      </c>
      <c r="N2120" t="inlineStr">
        <is>
          <t>train</t>
        </is>
      </c>
      <c r="O2120">
        <f>HYPERLINK("2\1\marker_305_377012.png", "Ver Imagen")</f>
        <v/>
      </c>
      <c r="P2120">
        <f>HYPERLINK("SE\A-497\A-497__420.png", "Ver Imagen")</f>
        <v/>
      </c>
    </row>
    <row r="2121">
      <c r="A2121" t="n">
        <v>1567</v>
      </c>
      <c r="B2121" t="inlineStr">
        <is>
          <t>A-497__381</t>
        </is>
      </c>
      <c r="C2121" t="n">
        <v>37.2340808674</v>
      </c>
      <c r="D2121" t="n">
        <v>-7.01799571856</v>
      </c>
      <c r="E2121" t="n">
        <v>2</v>
      </c>
      <c r="F2121" t="n">
        <v>3</v>
      </c>
      <c r="G2121" t="n">
        <v>2</v>
      </c>
      <c r="J2121" t="inlineStr">
        <is>
          <t>Moda</t>
        </is>
      </c>
      <c r="K2121" t="n">
        <v>2</v>
      </c>
      <c r="L2121" t="n">
        <v>2.009</v>
      </c>
      <c r="M2121" t="n">
        <v>0</v>
      </c>
      <c r="N2121" t="inlineStr">
        <is>
          <t>train</t>
        </is>
      </c>
      <c r="O2121">
        <f>HYPERLINK("2\1\marker_902_377361.png", "Ver Imagen")</f>
        <v/>
      </c>
      <c r="P2121">
        <f>HYPERLINK("SE\A-497\A-497__381.png", "Ver Imagen")</f>
        <v/>
      </c>
    </row>
    <row r="2122">
      <c r="A2122" t="n">
        <v>1568</v>
      </c>
      <c r="B2122" t="inlineStr">
        <is>
          <t>A-497__373</t>
        </is>
      </c>
      <c r="C2122" t="n">
        <v>37.2356924968</v>
      </c>
      <c r="D2122" t="n">
        <v>-7.01828665301</v>
      </c>
      <c r="E2122" t="n">
        <v>2</v>
      </c>
      <c r="F2122" t="n">
        <v>3</v>
      </c>
      <c r="G2122" t="n">
        <v>2</v>
      </c>
      <c r="J2122" t="inlineStr">
        <is>
          <t>Moda</t>
        </is>
      </c>
      <c r="K2122" t="n">
        <v>2</v>
      </c>
      <c r="L2122" t="n">
        <v>1.959</v>
      </c>
      <c r="M2122" t="n">
        <v>0</v>
      </c>
      <c r="N2122" t="inlineStr">
        <is>
          <t>train</t>
        </is>
      </c>
      <c r="O2122">
        <f>HYPERLINK("2\1\marker_123_377428.png", "Ver Imagen")</f>
        <v/>
      </c>
      <c r="P2122">
        <f>HYPERLINK("SE\A-497\A-497__373.png", "Ver Imagen")</f>
        <v/>
      </c>
    </row>
    <row r="2123">
      <c r="A2123" t="n">
        <v>1569</v>
      </c>
      <c r="B2123" t="inlineStr">
        <is>
          <t>A-497__370</t>
        </is>
      </c>
      <c r="C2123" t="n">
        <v>37.2363450983</v>
      </c>
      <c r="D2123" t="n">
        <v>-7.01844762463</v>
      </c>
      <c r="E2123" t="n">
        <v>2</v>
      </c>
      <c r="F2123" t="n">
        <v>3</v>
      </c>
      <c r="G2123" t="n">
        <v>2</v>
      </c>
      <c r="J2123" t="inlineStr">
        <is>
          <t>Moda</t>
        </is>
      </c>
      <c r="K2123" t="n">
        <v>2</v>
      </c>
      <c r="L2123" t="n">
        <v>1.857</v>
      </c>
      <c r="M2123" t="n">
        <v>0</v>
      </c>
      <c r="N2123" t="inlineStr">
        <is>
          <t>train</t>
        </is>
      </c>
      <c r="O2123">
        <f>HYPERLINK("2\1\marker_902_377456.png", "Ver Imagen")</f>
        <v/>
      </c>
      <c r="P2123">
        <f>HYPERLINK("SE\A-497\A-497__370.png", "Ver Imagen")</f>
        <v/>
      </c>
    </row>
    <row r="2124">
      <c r="A2124" t="n">
        <v>1570</v>
      </c>
      <c r="B2124" t="inlineStr">
        <is>
          <t>A-497__367</t>
        </is>
      </c>
      <c r="C2124" t="n">
        <v>37.2369071021</v>
      </c>
      <c r="D2124" t="n">
        <v>-7.01853053597</v>
      </c>
      <c r="E2124" t="n">
        <v>2</v>
      </c>
      <c r="F2124" t="n">
        <v>3</v>
      </c>
      <c r="G2124" t="n">
        <v>2</v>
      </c>
      <c r="J2124" t="inlineStr">
        <is>
          <t>Moda</t>
        </is>
      </c>
      <c r="K2124" t="n">
        <v>2</v>
      </c>
      <c r="L2124" t="n">
        <v>1.778</v>
      </c>
      <c r="M2124" t="n">
        <v>0</v>
      </c>
      <c r="N2124" t="inlineStr">
        <is>
          <t>train</t>
        </is>
      </c>
      <c r="O2124">
        <f>HYPERLINK("2\1\marker_678_377484.png", "Ver Imagen")</f>
        <v/>
      </c>
      <c r="P2124">
        <f>HYPERLINK("SE\A-497\A-497__367.png", "Ver Imagen")</f>
        <v/>
      </c>
    </row>
    <row r="2125">
      <c r="A2125" t="n">
        <v>1571</v>
      </c>
      <c r="B2125" t="inlineStr">
        <is>
          <t>A-497__364</t>
        </is>
      </c>
      <c r="C2125" t="n">
        <v>37.2375126769</v>
      </c>
      <c r="D2125" t="n">
        <v>-7.01856939093</v>
      </c>
      <c r="E2125" t="n">
        <v>2</v>
      </c>
      <c r="F2125" t="n">
        <v>3</v>
      </c>
      <c r="G2125" t="n">
        <v>2</v>
      </c>
      <c r="J2125" t="inlineStr">
        <is>
          <t>Moda</t>
        </is>
      </c>
      <c r="K2125" t="n">
        <v>2</v>
      </c>
      <c r="L2125" t="n">
        <v>2.062</v>
      </c>
      <c r="M2125" t="n">
        <v>0</v>
      </c>
      <c r="N2125" t="inlineStr">
        <is>
          <t>train</t>
        </is>
      </c>
      <c r="O2125">
        <f>HYPERLINK("2\1\marker_181_377513.png", "Ver Imagen")</f>
        <v/>
      </c>
      <c r="P2125">
        <f>HYPERLINK("SE\A-497\A-497__364.png", "Ver Imagen")</f>
        <v/>
      </c>
    </row>
    <row r="2126">
      <c r="A2126" t="n">
        <v>1572</v>
      </c>
      <c r="B2126" t="inlineStr">
        <is>
          <t>A-497__362</t>
        </is>
      </c>
      <c r="C2126" t="n">
        <v>37.2379038552</v>
      </c>
      <c r="D2126" t="n">
        <v>-7.01856960477</v>
      </c>
      <c r="E2126" t="n">
        <v>2</v>
      </c>
      <c r="F2126" t="n">
        <v>3</v>
      </c>
      <c r="G2126" t="n">
        <v>2</v>
      </c>
      <c r="J2126" t="inlineStr">
        <is>
          <t>Moda</t>
        </is>
      </c>
      <c r="K2126" t="n">
        <v>2</v>
      </c>
      <c r="L2126" t="n">
        <v>2.453</v>
      </c>
      <c r="M2126" t="n">
        <v>0</v>
      </c>
      <c r="N2126" t="inlineStr">
        <is>
          <t>train</t>
        </is>
      </c>
      <c r="O2126">
        <f>HYPERLINK("2\1\marker_701_377531.png", "Ver Imagen")</f>
        <v/>
      </c>
      <c r="P2126">
        <f>HYPERLINK("SE\A-497\A-497__362.png", "Ver Imagen")</f>
        <v/>
      </c>
    </row>
    <row r="2127">
      <c r="A2127" t="n">
        <v>1573</v>
      </c>
      <c r="B2127" t="inlineStr">
        <is>
          <t>A-497__313</t>
        </is>
      </c>
      <c r="C2127" t="n">
        <v>37.2478227384</v>
      </c>
      <c r="D2127" t="n">
        <v>-7.01819273023</v>
      </c>
      <c r="E2127" t="n">
        <v>2</v>
      </c>
      <c r="F2127" t="n">
        <v>3</v>
      </c>
      <c r="G2127" t="n">
        <v>2</v>
      </c>
      <c r="J2127" t="inlineStr">
        <is>
          <t>Moda</t>
        </is>
      </c>
      <c r="K2127" t="n">
        <v>2</v>
      </c>
      <c r="L2127" t="n">
        <v>2.087</v>
      </c>
      <c r="M2127" t="n">
        <v>0</v>
      </c>
      <c r="N2127" t="inlineStr">
        <is>
          <t>train</t>
        </is>
      </c>
      <c r="O2127">
        <f>HYPERLINK("2\1\marker_767_378041.png", "Ver Imagen")</f>
        <v/>
      </c>
      <c r="P2127">
        <f>HYPERLINK("SE\A-497\A-497__313.png", "Ver Imagen")</f>
        <v/>
      </c>
    </row>
    <row r="2128">
      <c r="A2128" t="n">
        <v>1574</v>
      </c>
      <c r="B2128" t="inlineStr">
        <is>
          <t>A-497__300</t>
        </is>
      </c>
      <c r="C2128" t="n">
        <v>37.250365224</v>
      </c>
      <c r="D2128" t="n">
        <v>-7.01762904624</v>
      </c>
      <c r="E2128" t="n">
        <v>2</v>
      </c>
      <c r="F2128" t="n">
        <v>3</v>
      </c>
      <c r="G2128" t="n">
        <v>2</v>
      </c>
      <c r="J2128" t="inlineStr">
        <is>
          <t>Moda</t>
        </is>
      </c>
      <c r="K2128" t="n">
        <v>2</v>
      </c>
      <c r="L2128" t="n">
        <v>1.833</v>
      </c>
      <c r="M2128" t="n">
        <v>0</v>
      </c>
      <c r="N2128" t="inlineStr">
        <is>
          <t>train</t>
        </is>
      </c>
      <c r="O2128">
        <f>HYPERLINK("2\1\marker_326_378215.png", "Ver Imagen")</f>
        <v/>
      </c>
      <c r="P2128">
        <f>HYPERLINK("SE\A-497\A-497__300.png", "Ver Imagen")</f>
        <v/>
      </c>
    </row>
    <row r="2129">
      <c r="A2129" t="n">
        <v>1575</v>
      </c>
      <c r="B2129" t="inlineStr">
        <is>
          <t>A-497__287</t>
        </is>
      </c>
      <c r="C2129" t="n">
        <v>37.2527800548</v>
      </c>
      <c r="D2129" t="n">
        <v>-7.01610876279</v>
      </c>
      <c r="E2129" t="n">
        <v>2</v>
      </c>
      <c r="F2129" t="n">
        <v>3</v>
      </c>
      <c r="G2129" t="n">
        <v>2</v>
      </c>
      <c r="J2129" t="inlineStr">
        <is>
          <t>Moda</t>
        </is>
      </c>
      <c r="K2129" t="n">
        <v>2</v>
      </c>
      <c r="L2129" t="n">
        <v>2.381</v>
      </c>
      <c r="M2129" t="n">
        <v>0</v>
      </c>
      <c r="N2129" t="inlineStr">
        <is>
          <t>train</t>
        </is>
      </c>
      <c r="O2129">
        <f>HYPERLINK("2\1\marker_217_378386.png", "Ver Imagen")</f>
        <v/>
      </c>
      <c r="P2129">
        <f>HYPERLINK("SE\A-497\A-497__287.png", "Ver Imagen")</f>
        <v/>
      </c>
    </row>
    <row r="2130">
      <c r="A2130" t="n">
        <v>1576</v>
      </c>
      <c r="B2130" t="inlineStr">
        <is>
          <t>A-497__284</t>
        </is>
      </c>
      <c r="C2130" t="n">
        <v>37.2532534673</v>
      </c>
      <c r="D2130" t="n">
        <v>-7.0158078254</v>
      </c>
      <c r="E2130" t="n">
        <v>2</v>
      </c>
      <c r="F2130" t="n">
        <v>3</v>
      </c>
      <c r="G2130" t="n">
        <v>2</v>
      </c>
      <c r="J2130" t="inlineStr">
        <is>
          <t>Moda</t>
        </is>
      </c>
      <c r="K2130" t="n">
        <v>2</v>
      </c>
      <c r="L2130" t="n">
        <v>1.88</v>
      </c>
      <c r="M2130" t="n">
        <v>0</v>
      </c>
      <c r="N2130" t="inlineStr">
        <is>
          <t>train</t>
        </is>
      </c>
      <c r="O2130">
        <f>HYPERLINK("2\1\marker_845_378427.png", "Ver Imagen")</f>
        <v/>
      </c>
      <c r="P2130">
        <f>HYPERLINK("SE\A-497\A-497__284.png", "Ver Imagen")</f>
        <v/>
      </c>
    </row>
    <row r="2131">
      <c r="A2131" t="n">
        <v>1579</v>
      </c>
      <c r="B2131" t="inlineStr">
        <is>
          <t>A-497__186</t>
        </is>
      </c>
      <c r="C2131" t="n">
        <v>37.2649848075</v>
      </c>
      <c r="D2131" t="n">
        <v>-6.99831395347</v>
      </c>
      <c r="E2131" t="n">
        <v>2</v>
      </c>
      <c r="F2131" t="n">
        <v>3</v>
      </c>
      <c r="G2131" t="n">
        <v>2</v>
      </c>
      <c r="J2131" t="inlineStr">
        <is>
          <t>Moda</t>
        </is>
      </c>
      <c r="K2131" t="n">
        <v>2</v>
      </c>
      <c r="L2131" t="n">
        <v>1.673</v>
      </c>
      <c r="M2131" t="n">
        <v>0</v>
      </c>
      <c r="N2131" t="inlineStr">
        <is>
          <t>train</t>
        </is>
      </c>
      <c r="O2131">
        <f>HYPERLINK("2\1\marker_991_379565.png", "Ver Imagen")</f>
        <v/>
      </c>
      <c r="P2131">
        <f>HYPERLINK("SE\A-497\A-497__186.png", "Ver Imagen")</f>
        <v/>
      </c>
    </row>
    <row r="2132">
      <c r="A2132" t="n">
        <v>1580</v>
      </c>
      <c r="B2132" t="inlineStr">
        <is>
          <t>A-497__180</t>
        </is>
      </c>
      <c r="C2132" t="n">
        <v>37.2652423168</v>
      </c>
      <c r="D2132" t="n">
        <v>-6.99687980693</v>
      </c>
      <c r="E2132" t="n">
        <v>2</v>
      </c>
      <c r="F2132" t="n">
        <v>2</v>
      </c>
      <c r="G2132" t="n">
        <v>1</v>
      </c>
      <c r="J2132" t="inlineStr">
        <is>
          <t>Moda</t>
        </is>
      </c>
      <c r="K2132" t="n">
        <v>2</v>
      </c>
      <c r="L2132" t="n">
        <v>1.54</v>
      </c>
      <c r="M2132" t="n">
        <v>0</v>
      </c>
      <c r="N2132" t="inlineStr">
        <is>
          <t>train</t>
        </is>
      </c>
      <c r="O2132">
        <f>HYPERLINK("2\1\marker_783_379642.png", "Ver Imagen")</f>
        <v/>
      </c>
      <c r="P2132">
        <f>HYPERLINK("SE\A-497\A-497__180.png", "Ver Imagen")</f>
        <v/>
      </c>
    </row>
    <row r="2133">
      <c r="A2133" t="n">
        <v>1581</v>
      </c>
      <c r="B2133" t="inlineStr">
        <is>
          <t>A-497__176</t>
        </is>
      </c>
      <c r="C2133" t="n">
        <v>37.2654169236</v>
      </c>
      <c r="D2133" t="n">
        <v>-6.99591001485</v>
      </c>
      <c r="E2133" t="n">
        <v>2</v>
      </c>
      <c r="F2133" t="n">
        <v>2</v>
      </c>
      <c r="G2133" t="n">
        <v>1</v>
      </c>
      <c r="J2133" t="inlineStr">
        <is>
          <t>Moda</t>
        </is>
      </c>
      <c r="K2133" t="n">
        <v>2</v>
      </c>
      <c r="L2133" t="n">
        <v>1.637</v>
      </c>
      <c r="M2133" t="n">
        <v>0</v>
      </c>
      <c r="N2133" t="inlineStr">
        <is>
          <t>val</t>
        </is>
      </c>
      <c r="O2133">
        <f>HYPERLINK("2\1\marker_732_379688.png", "Ver Imagen")</f>
        <v/>
      </c>
      <c r="P2133">
        <f>HYPERLINK("SE\A-497\A-497__176.png", "Ver Imagen")</f>
        <v/>
      </c>
    </row>
    <row r="2134">
      <c r="A2134" t="n">
        <v>1583</v>
      </c>
      <c r="B2134" t="inlineStr">
        <is>
          <t>A-490__207</t>
        </is>
      </c>
      <c r="C2134" t="n">
        <v>37.4607218091</v>
      </c>
      <c r="D2134" t="n">
        <v>-7.17302245987</v>
      </c>
      <c r="E2134" t="n">
        <v>2</v>
      </c>
      <c r="F2134" t="n">
        <v>2</v>
      </c>
      <c r="G2134" t="n">
        <v>3</v>
      </c>
      <c r="J2134" t="inlineStr">
        <is>
          <t>Moda</t>
        </is>
      </c>
      <c r="K2134" t="n">
        <v>2</v>
      </c>
      <c r="L2134" t="n">
        <v>1.767</v>
      </c>
      <c r="M2134" t="n">
        <v>0</v>
      </c>
      <c r="N2134" t="inlineStr">
        <is>
          <t>train</t>
        </is>
      </c>
      <c r="O2134">
        <f>HYPERLINK("2\1\marker_156_742526.png", "Ver Imagen")</f>
        <v/>
      </c>
      <c r="P2134">
        <f>HYPERLINK("NE\A-490\A-490__207.png", "Ver Imagen")</f>
        <v/>
      </c>
    </row>
    <row r="2135">
      <c r="A2135" t="n">
        <v>1586</v>
      </c>
      <c r="B2135" t="inlineStr">
        <is>
          <t>A-490__354</t>
        </is>
      </c>
      <c r="C2135" t="n">
        <v>37.4772647725</v>
      </c>
      <c r="D2135" t="n">
        <v>-7.20400668697</v>
      </c>
      <c r="E2135" t="n">
        <v>2</v>
      </c>
      <c r="F2135" t="n">
        <v>2</v>
      </c>
      <c r="G2135" t="n">
        <v>3</v>
      </c>
      <c r="J2135" t="inlineStr">
        <is>
          <t>Moda</t>
        </is>
      </c>
      <c r="K2135" t="n">
        <v>2</v>
      </c>
      <c r="L2135" t="n">
        <v>1.78</v>
      </c>
      <c r="M2135" t="n">
        <v>0</v>
      </c>
      <c r="N2135" t="inlineStr">
        <is>
          <t>train</t>
        </is>
      </c>
      <c r="O2135">
        <f>HYPERLINK("2\1\marker_111_751747.png", "Ver Imagen")</f>
        <v/>
      </c>
      <c r="P2135">
        <f>HYPERLINK("NE\A-490\A-490__354.png", "Ver Imagen")</f>
        <v/>
      </c>
    </row>
    <row r="2136">
      <c r="A2136" t="n">
        <v>1586</v>
      </c>
      <c r="B2136" t="inlineStr">
        <is>
          <t>A-490__354</t>
        </is>
      </c>
      <c r="C2136" t="n">
        <v>37.4772647725</v>
      </c>
      <c r="D2136" t="n">
        <v>-7.20400668697</v>
      </c>
      <c r="E2136" t="n">
        <v>2</v>
      </c>
      <c r="F2136" t="n">
        <v>2</v>
      </c>
      <c r="G2136" t="n">
        <v>3</v>
      </c>
      <c r="J2136" t="inlineStr">
        <is>
          <t>Moda</t>
        </is>
      </c>
      <c r="K2136" t="n">
        <v>2</v>
      </c>
      <c r="L2136" t="n">
        <v>2.181</v>
      </c>
      <c r="M2136" t="n">
        <v>0</v>
      </c>
      <c r="N2136" t="inlineStr">
        <is>
          <t>train</t>
        </is>
      </c>
      <c r="O2136">
        <f>HYPERLINK("2\1\marker_111_751747.png", "Ver Imagen")</f>
        <v/>
      </c>
      <c r="P2136">
        <f>HYPERLINK("NO\A-490\A-490__354.png", "Ver Imagen")</f>
        <v/>
      </c>
    </row>
    <row r="2137">
      <c r="A2137" t="n">
        <v>1587</v>
      </c>
      <c r="B2137" t="inlineStr">
        <is>
          <t>A-490__384</t>
        </is>
      </c>
      <c r="C2137" t="n">
        <v>37.4801701786</v>
      </c>
      <c r="D2137" t="n">
        <v>-7.21075660335</v>
      </c>
      <c r="E2137" t="n">
        <v>2</v>
      </c>
      <c r="F2137" t="n">
        <v>2</v>
      </c>
      <c r="G2137" t="n">
        <v>3</v>
      </c>
      <c r="J2137" t="inlineStr">
        <is>
          <t>Moda</t>
        </is>
      </c>
      <c r="K2137" t="n">
        <v>2</v>
      </c>
      <c r="L2137" t="n">
        <v>2.098</v>
      </c>
      <c r="M2137" t="n">
        <v>0</v>
      </c>
      <c r="N2137" t="inlineStr">
        <is>
          <t>train</t>
        </is>
      </c>
      <c r="O2137">
        <f>HYPERLINK("2\1\marker_473_752425.png", "Ver Imagen")</f>
        <v/>
      </c>
      <c r="P2137">
        <f>HYPERLINK("NO\A-490\A-490__384.png", "Ver Imagen")</f>
        <v/>
      </c>
    </row>
    <row r="2138">
      <c r="A2138" t="n">
        <v>1588</v>
      </c>
      <c r="B2138" t="inlineStr">
        <is>
          <t>A-490__532</t>
        </is>
      </c>
      <c r="C2138" t="n">
        <v>37.4884886779</v>
      </c>
      <c r="D2138" t="n">
        <v>-7.24664921351</v>
      </c>
      <c r="E2138" t="n">
        <v>2</v>
      </c>
      <c r="F2138" t="n">
        <v>2</v>
      </c>
      <c r="G2138" t="n">
        <v>3</v>
      </c>
      <c r="J2138" t="inlineStr">
        <is>
          <t>Moda</t>
        </is>
      </c>
      <c r="K2138" t="n">
        <v>2</v>
      </c>
      <c r="L2138" t="n">
        <v>2.164</v>
      </c>
      <c r="M2138" t="n">
        <v>0</v>
      </c>
      <c r="N2138" t="inlineStr">
        <is>
          <t>train</t>
        </is>
      </c>
      <c r="O2138">
        <f>HYPERLINK("2\1\marker_100_818231.png", "Ver Imagen")</f>
        <v/>
      </c>
      <c r="P2138">
        <f>HYPERLINK("NO\A-490\A-490__532.png", "Ver Imagen")</f>
        <v/>
      </c>
    </row>
    <row r="2139">
      <c r="A2139" t="n">
        <v>1589</v>
      </c>
      <c r="B2139" t="inlineStr">
        <is>
          <t>A-490__540</t>
        </is>
      </c>
      <c r="C2139" t="n">
        <v>37.4894930538</v>
      </c>
      <c r="D2139" t="n">
        <v>-7.24820539581</v>
      </c>
      <c r="E2139" t="n">
        <v>2</v>
      </c>
      <c r="F2139" t="n">
        <v>2</v>
      </c>
      <c r="G2139" t="n">
        <v>3</v>
      </c>
      <c r="J2139" t="inlineStr">
        <is>
          <t>Moda</t>
        </is>
      </c>
      <c r="K2139" t="n">
        <v>2</v>
      </c>
      <c r="L2139" t="n">
        <v>1.889</v>
      </c>
      <c r="M2139" t="n">
        <v>0</v>
      </c>
      <c r="N2139" t="inlineStr">
        <is>
          <t>test</t>
        </is>
      </c>
      <c r="O2139">
        <f>HYPERLINK("2\1\marker_197_818346.png", "Ver Imagen")</f>
        <v/>
      </c>
      <c r="P2139">
        <f>HYPERLINK("NO\A-490\A-490__540.png", "Ver Imagen")</f>
        <v/>
      </c>
    </row>
    <row r="2140">
      <c r="A2140" t="n">
        <v>1590</v>
      </c>
      <c r="B2140" t="inlineStr">
        <is>
          <t>A-492__104</t>
        </is>
      </c>
      <c r="C2140" t="n">
        <v>37.2791561928</v>
      </c>
      <c r="D2140" t="n">
        <v>-7.00816128555</v>
      </c>
      <c r="E2140" t="n">
        <v>2</v>
      </c>
      <c r="F2140" t="n">
        <v>2</v>
      </c>
      <c r="G2140" t="n">
        <v>3</v>
      </c>
      <c r="J2140" t="inlineStr">
        <is>
          <t>Moda</t>
        </is>
      </c>
      <c r="K2140" t="n">
        <v>2</v>
      </c>
      <c r="L2140" t="n">
        <v>2.015</v>
      </c>
      <c r="M2140" t="n">
        <v>0</v>
      </c>
      <c r="N2140" t="inlineStr">
        <is>
          <t>train</t>
        </is>
      </c>
      <c r="O2140">
        <f>HYPERLINK("2\1\marker_460_823807.png", "Ver Imagen")</f>
        <v/>
      </c>
      <c r="P2140">
        <f>HYPERLINK("SE\A-492\A-492__104.png", "Ver Imagen")</f>
        <v/>
      </c>
    </row>
    <row r="2141">
      <c r="A2141" t="n">
        <v>1591</v>
      </c>
      <c r="B2141" t="inlineStr">
        <is>
          <t>A-492__141</t>
        </is>
      </c>
      <c r="C2141" t="n">
        <v>37.2754351997</v>
      </c>
      <c r="D2141" t="n">
        <v>-7.01602698437</v>
      </c>
      <c r="E2141" t="n">
        <v>2</v>
      </c>
      <c r="F2141" t="n">
        <v>2</v>
      </c>
      <c r="G2141" t="n">
        <v>3</v>
      </c>
      <c r="J2141" t="inlineStr">
        <is>
          <t>Moda</t>
        </is>
      </c>
      <c r="K2141" t="n">
        <v>2</v>
      </c>
      <c r="L2141" t="n">
        <v>1.733</v>
      </c>
      <c r="M2141" t="n">
        <v>0</v>
      </c>
      <c r="N2141" t="inlineStr">
        <is>
          <t>train</t>
        </is>
      </c>
      <c r="O2141">
        <f>HYPERLINK("2\1\marker_468_824687.png", "Ver Imagen")</f>
        <v/>
      </c>
      <c r="P2141">
        <f>HYPERLINK("SE\A-492\A-492__141.png", "Ver Imagen")</f>
        <v/>
      </c>
    </row>
    <row r="2142">
      <c r="A2142" t="n">
        <v>1592</v>
      </c>
      <c r="B2142" t="inlineStr">
        <is>
          <t>A-492__142</t>
        </is>
      </c>
      <c r="C2142" t="n">
        <v>37.2753748689</v>
      </c>
      <c r="D2142" t="n">
        <v>-7.0162810453</v>
      </c>
      <c r="E2142" t="n">
        <v>2</v>
      </c>
      <c r="F2142" t="n">
        <v>2</v>
      </c>
      <c r="G2142" t="n">
        <v>3</v>
      </c>
      <c r="J2142" t="inlineStr">
        <is>
          <t>Moda</t>
        </is>
      </c>
      <c r="K2142" t="n">
        <v>2</v>
      </c>
      <c r="L2142" t="n">
        <v>1.538</v>
      </c>
      <c r="M2142" t="n">
        <v>0</v>
      </c>
      <c r="N2142" t="inlineStr">
        <is>
          <t>train</t>
        </is>
      </c>
      <c r="O2142">
        <f>HYPERLINK("2\1\marker_538_824698.png", "Ver Imagen")</f>
        <v/>
      </c>
      <c r="P2142">
        <f>HYPERLINK("SE\A-492\A-492__142.png", "Ver Imagen")</f>
        <v/>
      </c>
    </row>
    <row r="2143">
      <c r="A2143" t="n">
        <v>1594</v>
      </c>
      <c r="B2143" t="inlineStr">
        <is>
          <t>A-492__170</t>
        </is>
      </c>
      <c r="C2143" t="n">
        <v>37.2762252394</v>
      </c>
      <c r="D2143" t="n">
        <v>-7.02322410137</v>
      </c>
      <c r="E2143" t="n">
        <v>2</v>
      </c>
      <c r="F2143" t="n">
        <v>2</v>
      </c>
      <c r="G2143" t="n">
        <v>3</v>
      </c>
      <c r="J2143" t="inlineStr">
        <is>
          <t>Moda</t>
        </is>
      </c>
      <c r="K2143" t="n">
        <v>2</v>
      </c>
      <c r="L2143" t="n">
        <v>1.771</v>
      </c>
      <c r="M2143" t="n">
        <v>0</v>
      </c>
      <c r="N2143" t="inlineStr">
        <is>
          <t>train</t>
        </is>
      </c>
      <c r="O2143">
        <f>HYPERLINK("2\1\marker_305_831458.png", "Ver Imagen")</f>
        <v/>
      </c>
      <c r="P2143">
        <f>HYPERLINK("SE\A-492\A-492__170.png", "Ver Imagen")</f>
        <v/>
      </c>
    </row>
    <row r="2144">
      <c r="A2144" t="n">
        <v>1595</v>
      </c>
      <c r="B2144" t="inlineStr">
        <is>
          <t>A-492__274</t>
        </is>
      </c>
      <c r="C2144" t="n">
        <v>37.2880520703</v>
      </c>
      <c r="D2144" t="n">
        <v>-7.04247108021</v>
      </c>
      <c r="E2144" t="n">
        <v>2</v>
      </c>
      <c r="F2144" t="n">
        <v>2</v>
      </c>
      <c r="G2144" t="n">
        <v>3</v>
      </c>
      <c r="J2144" t="inlineStr">
        <is>
          <t>Moda</t>
        </is>
      </c>
      <c r="K2144" t="n">
        <v>2</v>
      </c>
      <c r="L2144" t="n">
        <v>2.072</v>
      </c>
      <c r="M2144" t="n">
        <v>0</v>
      </c>
      <c r="N2144" t="inlineStr">
        <is>
          <t>train</t>
        </is>
      </c>
      <c r="O2144">
        <f>HYPERLINK("2\1\marker_542_836839.png", "Ver Imagen")</f>
        <v/>
      </c>
      <c r="P2144">
        <f>HYPERLINK("SE\A-492\A-492__274.png", "Ver Imagen")</f>
        <v/>
      </c>
    </row>
    <row r="2145">
      <c r="A2145" t="n">
        <v>1596</v>
      </c>
      <c r="B2145" t="inlineStr">
        <is>
          <t>A-492__311</t>
        </is>
      </c>
      <c r="C2145" t="n">
        <v>37.2940946962</v>
      </c>
      <c r="D2145" t="n">
        <v>-7.04741237991</v>
      </c>
      <c r="E2145" t="n">
        <v>2</v>
      </c>
      <c r="F2145" t="n">
        <v>2</v>
      </c>
      <c r="G2145" t="n">
        <v>3</v>
      </c>
      <c r="J2145" t="inlineStr">
        <is>
          <t>Moda</t>
        </is>
      </c>
      <c r="K2145" t="n">
        <v>2</v>
      </c>
      <c r="L2145" t="n">
        <v>2.434</v>
      </c>
      <c r="M2145" t="n">
        <v>0</v>
      </c>
      <c r="N2145" t="inlineStr">
        <is>
          <t>train</t>
        </is>
      </c>
      <c r="O2145">
        <f>HYPERLINK("2\1\marker_810_837684.png", "Ver Imagen")</f>
        <v/>
      </c>
      <c r="P2145">
        <f>HYPERLINK("SE\A-492\A-492__311.png", "Ver Imagen")</f>
        <v/>
      </c>
    </row>
    <row r="2146">
      <c r="A2146" t="n">
        <v>1597</v>
      </c>
      <c r="B2146" t="inlineStr">
        <is>
          <t>A-492__312</t>
        </is>
      </c>
      <c r="C2146" t="n">
        <v>37.2942314285</v>
      </c>
      <c r="D2146" t="n">
        <v>-7.04760022916</v>
      </c>
      <c r="E2146" t="n">
        <v>2</v>
      </c>
      <c r="F2146" t="n">
        <v>2</v>
      </c>
      <c r="G2146" t="n">
        <v>3</v>
      </c>
      <c r="J2146" t="inlineStr">
        <is>
          <t>Moda</t>
        </is>
      </c>
      <c r="K2146" t="n">
        <v>2</v>
      </c>
      <c r="L2146" t="n">
        <v>1.91</v>
      </c>
      <c r="M2146" t="n">
        <v>0</v>
      </c>
      <c r="N2146" t="inlineStr">
        <is>
          <t>train</t>
        </is>
      </c>
      <c r="O2146">
        <f>HYPERLINK("2\1\marker_610_837695.png", "Ver Imagen")</f>
        <v/>
      </c>
      <c r="P2146">
        <f>HYPERLINK("SE\A-492\A-492__312.png", "Ver Imagen")</f>
        <v/>
      </c>
    </row>
    <row r="2147">
      <c r="A2147" t="n">
        <v>1598</v>
      </c>
      <c r="B2147" t="inlineStr">
        <is>
          <t>A-492__326</t>
        </is>
      </c>
      <c r="C2147" t="n">
        <v>37.2962690251</v>
      </c>
      <c r="D2147" t="n">
        <v>-7.05007624582</v>
      </c>
      <c r="E2147" t="n">
        <v>2</v>
      </c>
      <c r="F2147" t="n">
        <v>2</v>
      </c>
      <c r="G2147" t="n">
        <v>3</v>
      </c>
      <c r="J2147" t="inlineStr">
        <is>
          <t>Moda</t>
        </is>
      </c>
      <c r="K2147" t="n">
        <v>2</v>
      </c>
      <c r="L2147" t="n">
        <v>1.877</v>
      </c>
      <c r="M2147" t="n">
        <v>0</v>
      </c>
      <c r="N2147" t="inlineStr">
        <is>
          <t>train</t>
        </is>
      </c>
      <c r="O2147">
        <f>HYPERLINK("2\1\marker_115_838025.png", "Ver Imagen")</f>
        <v/>
      </c>
      <c r="P2147">
        <f>HYPERLINK("SE\A-492\A-492__326.png", "Ver Imagen")</f>
        <v/>
      </c>
    </row>
    <row r="2148">
      <c r="A2148" t="n">
        <v>1599</v>
      </c>
      <c r="B2148" t="inlineStr">
        <is>
          <t>A-497__3</t>
        </is>
      </c>
      <c r="C2148" t="n">
        <v>37.2671835192</v>
      </c>
      <c r="D2148" t="n">
        <v>-6.95731025639</v>
      </c>
      <c r="E2148" t="n">
        <v>2</v>
      </c>
      <c r="F2148" t="n">
        <v>2</v>
      </c>
      <c r="G2148" t="n">
        <v>3</v>
      </c>
      <c r="J2148" t="inlineStr">
        <is>
          <t>Moda</t>
        </is>
      </c>
      <c r="K2148" t="n">
        <v>2</v>
      </c>
      <c r="L2148" t="n">
        <v>2.227</v>
      </c>
      <c r="M2148" t="n">
        <v>0</v>
      </c>
      <c r="N2148" t="inlineStr">
        <is>
          <t>train</t>
        </is>
      </c>
      <c r="O2148">
        <f>HYPERLINK("2\1\marker_661_944050.png", "Ver Imagen")</f>
        <v/>
      </c>
      <c r="P2148">
        <f>HYPERLINK("SE\A-497\A-497__3.png", "Ver Imagen")</f>
        <v/>
      </c>
    </row>
    <row r="2149">
      <c r="A2149" t="n">
        <v>1600</v>
      </c>
      <c r="B2149" t="inlineStr">
        <is>
          <t>A-5050__173</t>
        </is>
      </c>
      <c r="C2149" t="n">
        <v>37.1907869682</v>
      </c>
      <c r="D2149" t="n">
        <v>-6.99054469294</v>
      </c>
      <c r="E2149" t="n">
        <v>2</v>
      </c>
      <c r="F2149" t="n">
        <v>2</v>
      </c>
      <c r="G2149" t="n">
        <v>3</v>
      </c>
      <c r="J2149" t="inlineStr">
        <is>
          <t>Moda</t>
        </is>
      </c>
      <c r="K2149" t="n">
        <v>2</v>
      </c>
      <c r="L2149" t="n">
        <v>1.926</v>
      </c>
      <c r="M2149" t="n">
        <v>0</v>
      </c>
      <c r="N2149" t="inlineStr">
        <is>
          <t>train</t>
        </is>
      </c>
      <c r="O2149">
        <f>HYPERLINK("2\1\marker_440_944253.png", "Ver Imagen")</f>
        <v/>
      </c>
      <c r="P2149">
        <f>HYPERLINK("SE\A-5050\A-5050__173.png", "Ver Imagen")</f>
        <v/>
      </c>
    </row>
    <row r="2150">
      <c r="A2150" t="n">
        <v>1602</v>
      </c>
      <c r="B2150" t="inlineStr">
        <is>
          <t>A-5050__111</t>
        </is>
      </c>
      <c r="C2150" t="n">
        <v>37.1967593094</v>
      </c>
      <c r="D2150" t="n">
        <v>-7.00433771775</v>
      </c>
      <c r="E2150" t="n">
        <v>2</v>
      </c>
      <c r="F2150" t="n">
        <v>2</v>
      </c>
      <c r="G2150" t="n">
        <v>3</v>
      </c>
      <c r="J2150" t="inlineStr">
        <is>
          <t>Moda</t>
        </is>
      </c>
      <c r="K2150" t="n">
        <v>2</v>
      </c>
      <c r="L2150" t="n">
        <v>2.401</v>
      </c>
      <c r="M2150" t="n">
        <v>0</v>
      </c>
      <c r="N2150" t="inlineStr">
        <is>
          <t>test</t>
        </is>
      </c>
      <c r="O2150">
        <f>HYPERLINK("2\1\marker_359_946650.png", "Ver Imagen")</f>
        <v/>
      </c>
      <c r="P2150">
        <f>HYPERLINK("SE\A-5050\A-5050__111.png", "Ver Imagen")</f>
        <v/>
      </c>
    </row>
    <row r="2151">
      <c r="A2151" t="n">
        <v>1603</v>
      </c>
      <c r="B2151" t="inlineStr">
        <is>
          <t>A-5050__106</t>
        </is>
      </c>
      <c r="C2151" t="n">
        <v>37.1972102729</v>
      </c>
      <c r="D2151" t="n">
        <v>-7.00545710383</v>
      </c>
      <c r="E2151" t="n">
        <v>2</v>
      </c>
      <c r="F2151" t="n">
        <v>2</v>
      </c>
      <c r="G2151" t="n">
        <v>3</v>
      </c>
      <c r="J2151" t="inlineStr">
        <is>
          <t>Moda</t>
        </is>
      </c>
      <c r="K2151" t="n">
        <v>2</v>
      </c>
      <c r="L2151" t="n">
        <v>1.949</v>
      </c>
      <c r="M2151" t="n">
        <v>0</v>
      </c>
      <c r="N2151" t="inlineStr">
        <is>
          <t>train</t>
        </is>
      </c>
      <c r="O2151">
        <f>HYPERLINK("2\1\marker_217_946709.png", "Ver Imagen")</f>
        <v/>
      </c>
      <c r="P2151">
        <f>HYPERLINK("SE\A-5050\A-5050__106.png", "Ver Imagen")</f>
        <v/>
      </c>
    </row>
    <row r="2152">
      <c r="A2152" t="n">
        <v>1604</v>
      </c>
      <c r="B2152" t="inlineStr">
        <is>
          <t>A-5050__95</t>
        </is>
      </c>
      <c r="C2152" t="n">
        <v>37.1983401988</v>
      </c>
      <c r="D2152" t="n">
        <v>-7.00785540597</v>
      </c>
      <c r="E2152" t="n">
        <v>2</v>
      </c>
      <c r="F2152" t="n">
        <v>2</v>
      </c>
      <c r="G2152" t="n">
        <v>3</v>
      </c>
      <c r="J2152" t="inlineStr">
        <is>
          <t>Moda</t>
        </is>
      </c>
      <c r="K2152" t="n">
        <v>2</v>
      </c>
      <c r="L2152" t="n">
        <v>2.246</v>
      </c>
      <c r="M2152" t="n">
        <v>0</v>
      </c>
      <c r="N2152" t="inlineStr">
        <is>
          <t>train</t>
        </is>
      </c>
      <c r="O2152">
        <f>HYPERLINK("2\1\marker_780_946922.png", "Ver Imagen")</f>
        <v/>
      </c>
      <c r="P2152">
        <f>HYPERLINK("SE\A-5050\A-5050__95.png", "Ver Imagen")</f>
        <v/>
      </c>
    </row>
    <row r="2153">
      <c r="A2153" t="n">
        <v>1605</v>
      </c>
      <c r="B2153" t="inlineStr">
        <is>
          <t>A-5052__122</t>
        </is>
      </c>
      <c r="C2153" t="n">
        <v>37.2166363875</v>
      </c>
      <c r="D2153" t="n">
        <v>-7.09541613975</v>
      </c>
      <c r="E2153" t="n">
        <v>2</v>
      </c>
      <c r="F2153" t="n">
        <v>2</v>
      </c>
      <c r="G2153" t="n">
        <v>3</v>
      </c>
      <c r="J2153" t="inlineStr">
        <is>
          <t>Moda</t>
        </is>
      </c>
      <c r="K2153" t="n">
        <v>2</v>
      </c>
      <c r="L2153" t="n">
        <v>1.66</v>
      </c>
      <c r="M2153" t="n">
        <v>0</v>
      </c>
      <c r="N2153" t="inlineStr">
        <is>
          <t>train</t>
        </is>
      </c>
      <c r="O2153">
        <f>HYPERLINK("2\1\marker_568_957968.png", "Ver Imagen")</f>
        <v/>
      </c>
      <c r="P2153">
        <f>HYPERLINK("SE\A-5052\A-5052__122.png", "Ver Imagen")</f>
        <v/>
      </c>
    </row>
    <row r="2154">
      <c r="A2154" t="n">
        <v>1605</v>
      </c>
      <c r="B2154" t="inlineStr">
        <is>
          <t>A-5052__122</t>
        </is>
      </c>
      <c r="C2154" t="n">
        <v>37.2166363875</v>
      </c>
      <c r="D2154" t="n">
        <v>-7.09541613975</v>
      </c>
      <c r="E2154" t="n">
        <v>2</v>
      </c>
      <c r="F2154" t="n">
        <v>2</v>
      </c>
      <c r="G2154" t="n">
        <v>3</v>
      </c>
      <c r="J2154" t="inlineStr">
        <is>
          <t>Moda</t>
        </is>
      </c>
      <c r="K2154" t="n">
        <v>2</v>
      </c>
      <c r="L2154" t="n">
        <v>2.175</v>
      </c>
      <c r="M2154" t="n">
        <v>0</v>
      </c>
      <c r="N2154" t="inlineStr">
        <is>
          <t>train</t>
        </is>
      </c>
      <c r="O2154">
        <f>HYPERLINK("2\1\marker_568_957968.png", "Ver Imagen")</f>
        <v/>
      </c>
      <c r="P2154">
        <f>HYPERLINK("SO\A-5052\A-5052__122.png", "Ver Imagen")</f>
        <v/>
      </c>
    </row>
    <row r="2155">
      <c r="A2155" t="n">
        <v>1606</v>
      </c>
      <c r="B2155" t="inlineStr">
        <is>
          <t>A-499__90</t>
        </is>
      </c>
      <c r="C2155" t="n">
        <v>37.4968134339</v>
      </c>
      <c r="D2155" t="n">
        <v>-7.26816241275</v>
      </c>
      <c r="E2155" t="n">
        <v>3</v>
      </c>
      <c r="F2155" t="n">
        <v>2</v>
      </c>
      <c r="G2155" t="n">
        <v>2</v>
      </c>
      <c r="J2155" t="inlineStr">
        <is>
          <t>Moda</t>
        </is>
      </c>
      <c r="K2155" t="n">
        <v>2</v>
      </c>
      <c r="L2155" t="n">
        <v>1.893</v>
      </c>
      <c r="M2155" t="n">
        <v>0</v>
      </c>
      <c r="N2155" t="inlineStr">
        <is>
          <t>train</t>
        </is>
      </c>
      <c r="O2155">
        <f>HYPERLINK("2\1\marker_186_789989.png", "Ver Imagen")</f>
        <v/>
      </c>
      <c r="P2155">
        <f>HYPERLINK("NO\A-499\A-499__90.png", "Ver Imagen")</f>
        <v/>
      </c>
    </row>
    <row r="2156">
      <c r="A2156" t="n">
        <v>1607</v>
      </c>
      <c r="B2156" t="inlineStr">
        <is>
          <t>A-499__96</t>
        </is>
      </c>
      <c r="C2156" t="n">
        <v>37.4980262995</v>
      </c>
      <c r="D2156" t="n">
        <v>-7.26777789312</v>
      </c>
      <c r="E2156" t="n">
        <v>3</v>
      </c>
      <c r="F2156" t="n">
        <v>2</v>
      </c>
      <c r="G2156" t="n">
        <v>2</v>
      </c>
      <c r="J2156" t="inlineStr">
        <is>
          <t>Moda</t>
        </is>
      </c>
      <c r="K2156" t="n">
        <v>2</v>
      </c>
      <c r="L2156" t="n">
        <v>1.975</v>
      </c>
      <c r="M2156" t="n">
        <v>0</v>
      </c>
      <c r="N2156" t="inlineStr">
        <is>
          <t>train</t>
        </is>
      </c>
      <c r="O2156">
        <f>HYPERLINK("2\1\marker_150_793150.png", "Ver Imagen")</f>
        <v/>
      </c>
      <c r="P2156">
        <f>HYPERLINK("NO\A-499\A-499__96.png", "Ver Imagen")</f>
        <v/>
      </c>
    </row>
    <row r="2157">
      <c r="A2157" t="n">
        <v>1608</v>
      </c>
      <c r="B2157" t="inlineStr">
        <is>
          <t>A-490__60</t>
        </is>
      </c>
      <c r="E2157" t="n">
        <v>2</v>
      </c>
      <c r="F2157" t="n">
        <v>2</v>
      </c>
      <c r="G2157" t="n">
        <v>3</v>
      </c>
      <c r="J2157" t="inlineStr">
        <is>
          <t>Modificado</t>
        </is>
      </c>
      <c r="K2157" t="n">
        <v>3</v>
      </c>
      <c r="L2157" t="n">
        <v>3.168</v>
      </c>
      <c r="M2157" t="n">
        <v>0</v>
      </c>
      <c r="N2157" t="inlineStr">
        <is>
          <t>train</t>
        </is>
      </c>
      <c r="O2157">
        <f>HYPERLINK("2\1\marker_309_648402.png", "Ver Imagen")</f>
        <v/>
      </c>
      <c r="P2157">
        <f>HYPERLINK("NE\A-490\A-490__60.png", "Ver Imagen")</f>
        <v/>
      </c>
    </row>
    <row r="2158">
      <c r="A2158" t="n">
        <v>1609</v>
      </c>
      <c r="B2158" t="inlineStr">
        <is>
          <t>A-490__373</t>
        </is>
      </c>
      <c r="C2158" t="n">
        <v>37.4791034636</v>
      </c>
      <c r="D2158" t="n">
        <v>-7.20827761558</v>
      </c>
      <c r="E2158" t="n">
        <v>2</v>
      </c>
      <c r="F2158" t="n">
        <v>2</v>
      </c>
      <c r="G2158" t="n">
        <v>3</v>
      </c>
      <c r="J2158" t="inlineStr">
        <is>
          <t>Moda</t>
        </is>
      </c>
      <c r="K2158" t="n">
        <v>2</v>
      </c>
      <c r="L2158" t="n">
        <v>2.188</v>
      </c>
      <c r="M2158" t="n">
        <v>0</v>
      </c>
      <c r="N2158" t="inlineStr">
        <is>
          <t>test</t>
        </is>
      </c>
      <c r="O2158">
        <f>HYPERLINK("2\1\marker_205_752162.png", "Ver Imagen")</f>
        <v/>
      </c>
      <c r="P2158">
        <f>HYPERLINK("NO\A-490\A-490__373.png", "Ver Imagen")</f>
        <v/>
      </c>
    </row>
    <row r="2159">
      <c r="A2159" t="n">
        <v>1610</v>
      </c>
      <c r="B2159" t="inlineStr">
        <is>
          <t>A-490__419</t>
        </is>
      </c>
      <c r="C2159" t="n">
        <v>37.4827739099</v>
      </c>
      <c r="D2159" t="n">
        <v>-7.21902106822</v>
      </c>
      <c r="E2159" t="n">
        <v>1</v>
      </c>
      <c r="F2159" t="n">
        <v>2</v>
      </c>
      <c r="G2159" t="n">
        <v>2</v>
      </c>
      <c r="J2159" t="inlineStr">
        <is>
          <t>Moda</t>
        </is>
      </c>
      <c r="K2159" t="n">
        <v>2</v>
      </c>
      <c r="L2159" t="n">
        <v>1.692</v>
      </c>
      <c r="M2159" t="n">
        <v>0</v>
      </c>
      <c r="N2159" t="inlineStr">
        <is>
          <t>train</t>
        </is>
      </c>
      <c r="O2159">
        <f>HYPERLINK("2\1\marker_743_754280.png", "Ver Imagen")</f>
        <v/>
      </c>
      <c r="P2159">
        <f>HYPERLINK("NO\A-490\A-490__419.png", "Ver Imagen")</f>
        <v/>
      </c>
    </row>
    <row r="2160">
      <c r="A2160" t="n">
        <v>1611</v>
      </c>
      <c r="B2160" t="inlineStr">
        <is>
          <t>A-490__420</t>
        </is>
      </c>
      <c r="C2160" t="n">
        <v>37.482811379</v>
      </c>
      <c r="D2160" t="n">
        <v>-7.21921341936</v>
      </c>
      <c r="E2160" t="n">
        <v>1</v>
      </c>
      <c r="F2160" t="n">
        <v>2</v>
      </c>
      <c r="G2160" t="n">
        <v>2</v>
      </c>
      <c r="J2160" t="inlineStr">
        <is>
          <t>Moda</t>
        </is>
      </c>
      <c r="K2160" t="n">
        <v>2</v>
      </c>
      <c r="L2160" t="n">
        <v>2.034</v>
      </c>
      <c r="M2160" t="n">
        <v>0</v>
      </c>
      <c r="N2160" t="inlineStr">
        <is>
          <t>train</t>
        </is>
      </c>
      <c r="O2160">
        <f>HYPERLINK("2\1\marker_803_754293.png", "Ver Imagen")</f>
        <v/>
      </c>
      <c r="P2160">
        <f>HYPERLINK("NO\A-490\A-490__420.png", "Ver Imagen")</f>
        <v/>
      </c>
    </row>
    <row r="2161">
      <c r="A2161" t="n">
        <v>1612</v>
      </c>
      <c r="B2161" t="inlineStr">
        <is>
          <t>A-490__465</t>
        </is>
      </c>
      <c r="C2161" t="n">
        <v>37.4849685863</v>
      </c>
      <c r="D2161" t="n">
        <v>-7.23028844782</v>
      </c>
      <c r="E2161" t="n">
        <v>1</v>
      </c>
      <c r="F2161" t="n">
        <v>2</v>
      </c>
      <c r="G2161" t="n">
        <v>2</v>
      </c>
      <c r="J2161" t="inlineStr">
        <is>
          <t>Moda</t>
        </is>
      </c>
      <c r="K2161" t="n">
        <v>2</v>
      </c>
      <c r="L2161" t="n">
        <v>2.475</v>
      </c>
      <c r="M2161" t="n">
        <v>0</v>
      </c>
      <c r="N2161" t="inlineStr">
        <is>
          <t>test</t>
        </is>
      </c>
      <c r="O2161">
        <f>HYPERLINK("2\1\marker_202_755299.png", "Ver Imagen")</f>
        <v/>
      </c>
      <c r="P2161">
        <f>HYPERLINK("NO\A-490\A-490__465.png", "Ver Imagen")</f>
        <v/>
      </c>
    </row>
    <row r="2162">
      <c r="A2162" t="n">
        <v>1613</v>
      </c>
      <c r="B2162" t="inlineStr">
        <is>
          <t>A-490__475</t>
        </is>
      </c>
      <c r="C2162" t="n">
        <v>37.4854602575</v>
      </c>
      <c r="D2162" t="n">
        <v>-7.23285058258</v>
      </c>
      <c r="E2162" t="n">
        <v>1</v>
      </c>
      <c r="F2162" t="n">
        <v>2</v>
      </c>
      <c r="G2162" t="n">
        <v>2</v>
      </c>
      <c r="J2162" t="inlineStr">
        <is>
          <t>Moda</t>
        </is>
      </c>
      <c r="K2162" t="n">
        <v>2</v>
      </c>
      <c r="L2162" t="n">
        <v>1.881</v>
      </c>
      <c r="M2162" t="n">
        <v>0</v>
      </c>
      <c r="N2162" t="inlineStr">
        <is>
          <t>train</t>
        </is>
      </c>
      <c r="O2162">
        <f>HYPERLINK("2\1\marker_994_755497.png", "Ver Imagen")</f>
        <v/>
      </c>
      <c r="P2162">
        <f>HYPERLINK("NO\A-490\A-490__475.png", "Ver Imagen")</f>
        <v/>
      </c>
    </row>
    <row r="2163">
      <c r="A2163" t="n">
        <v>1614</v>
      </c>
      <c r="B2163" t="inlineStr">
        <is>
          <t>A-490__476</t>
        </is>
      </c>
      <c r="C2163" t="n">
        <v>37.4855028877</v>
      </c>
      <c r="D2163" t="n">
        <v>-7.23307182017</v>
      </c>
      <c r="E2163" t="n">
        <v>1</v>
      </c>
      <c r="F2163" t="n">
        <v>2</v>
      </c>
      <c r="G2163" t="n">
        <v>2</v>
      </c>
      <c r="J2163" t="inlineStr">
        <is>
          <t>Moda</t>
        </is>
      </c>
      <c r="K2163" t="n">
        <v>2</v>
      </c>
      <c r="L2163" t="n">
        <v>1.656</v>
      </c>
      <c r="M2163" t="n">
        <v>0</v>
      </c>
      <c r="N2163" t="inlineStr">
        <is>
          <t>test</t>
        </is>
      </c>
      <c r="O2163">
        <f>HYPERLINK("2\1\marker_959_755512.png", "Ver Imagen")</f>
        <v/>
      </c>
      <c r="P2163">
        <f>HYPERLINK("NO\A-490\A-490__476.png", "Ver Imagen")</f>
        <v/>
      </c>
    </row>
    <row r="2164">
      <c r="A2164" t="n">
        <v>1615</v>
      </c>
      <c r="B2164" t="inlineStr">
        <is>
          <t>A-490__477</t>
        </is>
      </c>
      <c r="C2164" t="n">
        <v>37.4855448</v>
      </c>
      <c r="D2164" t="n">
        <v>-7.23329231052</v>
      </c>
      <c r="E2164" t="n">
        <v>1</v>
      </c>
      <c r="F2164" t="n">
        <v>2</v>
      </c>
      <c r="G2164" t="n">
        <v>2</v>
      </c>
      <c r="J2164" t="inlineStr">
        <is>
          <t>Moda</t>
        </is>
      </c>
      <c r="K2164" t="n">
        <v>2</v>
      </c>
      <c r="L2164" t="n">
        <v>2.014</v>
      </c>
      <c r="M2164" t="n">
        <v>0</v>
      </c>
      <c r="N2164" t="inlineStr">
        <is>
          <t>val</t>
        </is>
      </c>
      <c r="O2164">
        <f>HYPERLINK("2\1\marker_272_755527.png", "Ver Imagen")</f>
        <v/>
      </c>
      <c r="P2164">
        <f>HYPERLINK("NO\A-490\A-490__477.png", "Ver Imagen")</f>
        <v/>
      </c>
    </row>
    <row r="2165">
      <c r="A2165" t="n">
        <v>1616</v>
      </c>
      <c r="B2165" t="inlineStr">
        <is>
          <t>A-490__478</t>
        </is>
      </c>
      <c r="C2165" t="n">
        <v>37.4855935026</v>
      </c>
      <c r="D2165" t="n">
        <v>-7.23355355599</v>
      </c>
      <c r="E2165" t="n">
        <v>1</v>
      </c>
      <c r="F2165" t="n">
        <v>2</v>
      </c>
      <c r="G2165" t="n">
        <v>2</v>
      </c>
      <c r="J2165" t="inlineStr">
        <is>
          <t>Moda</t>
        </is>
      </c>
      <c r="K2165" t="n">
        <v>2</v>
      </c>
      <c r="L2165" t="n">
        <v>2.137</v>
      </c>
      <c r="M2165" t="n">
        <v>0</v>
      </c>
      <c r="N2165" t="inlineStr">
        <is>
          <t>train</t>
        </is>
      </c>
      <c r="O2165">
        <f>HYPERLINK("2\1\marker_197_755544.png", "Ver Imagen")</f>
        <v/>
      </c>
      <c r="P2165">
        <f>HYPERLINK("NO\A-490\A-490__478.png", "Ver Imagen")</f>
        <v/>
      </c>
    </row>
    <row r="2166">
      <c r="A2166" t="n">
        <v>1617</v>
      </c>
      <c r="B2166" t="inlineStr">
        <is>
          <t>A-490__488</t>
        </is>
      </c>
      <c r="C2166" t="n">
        <v>37.4860643778</v>
      </c>
      <c r="D2166" t="n">
        <v>-7.23599605183</v>
      </c>
      <c r="E2166" t="n">
        <v>1</v>
      </c>
      <c r="F2166" t="n">
        <v>2</v>
      </c>
      <c r="G2166" t="n">
        <v>2</v>
      </c>
      <c r="J2166" t="inlineStr">
        <is>
          <t>Moda</t>
        </is>
      </c>
      <c r="K2166" t="n">
        <v>2</v>
      </c>
      <c r="L2166" t="n">
        <v>1.987</v>
      </c>
      <c r="M2166" t="n">
        <v>0</v>
      </c>
      <c r="N2166" t="inlineStr">
        <is>
          <t>train</t>
        </is>
      </c>
      <c r="O2166">
        <f>HYPERLINK("2\1\marker_804_755735.png", "Ver Imagen")</f>
        <v/>
      </c>
      <c r="P2166">
        <f>HYPERLINK("NO\A-490\A-490__488.png", "Ver Imagen")</f>
        <v/>
      </c>
    </row>
    <row r="2167">
      <c r="A2167" t="n">
        <v>1618</v>
      </c>
      <c r="B2167" t="inlineStr">
        <is>
          <t>A-490__491</t>
        </is>
      </c>
      <c r="C2167" t="n">
        <v>37.4862097412</v>
      </c>
      <c r="D2167" t="n">
        <v>-7.2367448545</v>
      </c>
      <c r="E2167" t="n">
        <v>1</v>
      </c>
      <c r="F2167" t="n">
        <v>2</v>
      </c>
      <c r="G2167" t="n">
        <v>2</v>
      </c>
      <c r="J2167" t="inlineStr">
        <is>
          <t>Moda</t>
        </is>
      </c>
      <c r="K2167" t="n">
        <v>2</v>
      </c>
      <c r="L2167" t="n">
        <v>1.824</v>
      </c>
      <c r="M2167" t="n">
        <v>0</v>
      </c>
      <c r="N2167" t="inlineStr">
        <is>
          <t>train</t>
        </is>
      </c>
      <c r="O2167">
        <f>HYPERLINK("2\1\marker_330_755778.png", "Ver Imagen")</f>
        <v/>
      </c>
      <c r="P2167">
        <f>HYPERLINK("NO\A-490\A-490__491.png", "Ver Imagen")</f>
        <v/>
      </c>
    </row>
    <row r="2168">
      <c r="A2168" t="n">
        <v>1620</v>
      </c>
      <c r="B2168" t="inlineStr">
        <is>
          <t>A-490__496</t>
        </is>
      </c>
      <c r="C2168" t="n">
        <v>37.4864407655</v>
      </c>
      <c r="D2168" t="n">
        <v>-7.23795185396</v>
      </c>
      <c r="E2168" t="n">
        <v>1</v>
      </c>
      <c r="F2168" t="n">
        <v>2</v>
      </c>
      <c r="G2168" t="n">
        <v>2</v>
      </c>
      <c r="J2168" t="inlineStr">
        <is>
          <t>Moda</t>
        </is>
      </c>
      <c r="K2168" t="n">
        <v>2</v>
      </c>
      <c r="L2168" t="n">
        <v>2.137</v>
      </c>
      <c r="M2168" t="n">
        <v>0</v>
      </c>
      <c r="N2168" t="inlineStr">
        <is>
          <t>train</t>
        </is>
      </c>
      <c r="O2168">
        <f>HYPERLINK("2\1\marker_371_755902.png", "Ver Imagen")</f>
        <v/>
      </c>
      <c r="P2168">
        <f>HYPERLINK("NO\A-490\A-490__496.png", "Ver Imagen")</f>
        <v/>
      </c>
    </row>
    <row r="2169">
      <c r="A2169" t="n">
        <v>1623</v>
      </c>
      <c r="B2169" t="inlineStr">
        <is>
          <t>A-490__621</t>
        </is>
      </c>
      <c r="C2169" t="n">
        <v>37.4944257609</v>
      </c>
      <c r="D2169" t="n">
        <v>-7.26603617101</v>
      </c>
      <c r="E2169" t="n">
        <v>1</v>
      </c>
      <c r="F2169" t="n">
        <v>2</v>
      </c>
      <c r="G2169" t="n">
        <v>2</v>
      </c>
      <c r="J2169" t="inlineStr">
        <is>
          <t>Moda</t>
        </is>
      </c>
      <c r="K2169" t="n">
        <v>2</v>
      </c>
      <c r="L2169" t="n">
        <v>2.095</v>
      </c>
      <c r="M2169" t="n">
        <v>0</v>
      </c>
      <c r="N2169" t="inlineStr">
        <is>
          <t>train</t>
        </is>
      </c>
      <c r="O2169">
        <f>HYPERLINK("2\1\marker_297_820322.png", "Ver Imagen")</f>
        <v/>
      </c>
      <c r="P2169">
        <f>HYPERLINK("NO\A-490\A-490__621.png", "Ver Imagen")</f>
        <v/>
      </c>
    </row>
    <row r="2170">
      <c r="A2170" t="n">
        <v>1624</v>
      </c>
      <c r="B2170" t="inlineStr">
        <is>
          <t>A-492__52</t>
        </is>
      </c>
      <c r="C2170" t="n">
        <v>37.2794086944</v>
      </c>
      <c r="D2170" t="n">
        <v>-6.99608114297</v>
      </c>
      <c r="E2170" t="n">
        <v>2</v>
      </c>
      <c r="F2170" t="n">
        <v>2</v>
      </c>
      <c r="G2170" t="n">
        <v>3</v>
      </c>
      <c r="J2170" t="inlineStr">
        <is>
          <t>Moda</t>
        </is>
      </c>
      <c r="K2170" t="n">
        <v>2</v>
      </c>
      <c r="L2170" t="n">
        <v>1.573</v>
      </c>
      <c r="M2170" t="n">
        <v>0</v>
      </c>
      <c r="N2170" t="inlineStr">
        <is>
          <t>train</t>
        </is>
      </c>
      <c r="O2170">
        <f>HYPERLINK("2\1\marker_429_823028.png", "Ver Imagen")</f>
        <v/>
      </c>
      <c r="P2170">
        <f>HYPERLINK("SE\A-492\A-492__52.png", "Ver Imagen")</f>
        <v/>
      </c>
    </row>
    <row r="2171">
      <c r="A2171" t="n">
        <v>1625</v>
      </c>
      <c r="B2171" t="inlineStr">
        <is>
          <t>A-492__55</t>
        </is>
      </c>
      <c r="C2171" t="n">
        <v>37.2795761674</v>
      </c>
      <c r="D2171" t="n">
        <v>-6.99682629058</v>
      </c>
      <c r="E2171" t="n">
        <v>2</v>
      </c>
      <c r="F2171" t="n">
        <v>2</v>
      </c>
      <c r="G2171" t="n">
        <v>3</v>
      </c>
      <c r="J2171" t="inlineStr">
        <is>
          <t>Moda</t>
        </is>
      </c>
      <c r="K2171" t="n">
        <v>2</v>
      </c>
      <c r="L2171" t="n">
        <v>1.887</v>
      </c>
      <c r="M2171" t="n">
        <v>0</v>
      </c>
      <c r="N2171" t="inlineStr">
        <is>
          <t>train</t>
        </is>
      </c>
      <c r="O2171">
        <f>HYPERLINK("2\1\marker_319_823076.png", "Ver Imagen")</f>
        <v/>
      </c>
      <c r="P2171">
        <f>HYPERLINK("SE\A-492\A-492__55.png", "Ver Imagen")</f>
        <v/>
      </c>
    </row>
    <row r="2172">
      <c r="A2172" t="n">
        <v>1626</v>
      </c>
      <c r="B2172" t="inlineStr">
        <is>
          <t>A-492__56</t>
        </is>
      </c>
      <c r="C2172" t="n">
        <v>37.2796175832</v>
      </c>
      <c r="D2172" t="n">
        <v>-6.99702900202</v>
      </c>
      <c r="E2172" t="n">
        <v>2</v>
      </c>
      <c r="F2172" t="n">
        <v>2</v>
      </c>
      <c r="G2172" t="n">
        <v>3</v>
      </c>
      <c r="J2172" t="inlineStr">
        <is>
          <t>Moda</t>
        </is>
      </c>
      <c r="K2172" t="n">
        <v>2</v>
      </c>
      <c r="L2172" t="n">
        <v>1.601</v>
      </c>
      <c r="M2172" t="n">
        <v>0</v>
      </c>
      <c r="N2172" t="inlineStr">
        <is>
          <t>train</t>
        </is>
      </c>
      <c r="O2172">
        <f>HYPERLINK("2\1\marker_956_823086.png", "Ver Imagen")</f>
        <v/>
      </c>
      <c r="P2172">
        <f>HYPERLINK("SE\A-492\A-492__56.png", "Ver Imagen")</f>
        <v/>
      </c>
    </row>
    <row r="2173">
      <c r="A2173" t="n">
        <v>1627</v>
      </c>
      <c r="B2173" t="inlineStr">
        <is>
          <t>A-492__147</t>
        </is>
      </c>
      <c r="C2173" t="n">
        <v>37.2754459109</v>
      </c>
      <c r="D2173" t="n">
        <v>-7.0175266367</v>
      </c>
      <c r="E2173" t="n">
        <v>1</v>
      </c>
      <c r="F2173" t="n">
        <v>2</v>
      </c>
      <c r="G2173" t="n">
        <v>2</v>
      </c>
      <c r="J2173" t="inlineStr">
        <is>
          <t>Moda</t>
        </is>
      </c>
      <c r="K2173" t="n">
        <v>2</v>
      </c>
      <c r="L2173" t="n">
        <v>1.84</v>
      </c>
      <c r="M2173" t="n">
        <v>0</v>
      </c>
      <c r="N2173" t="inlineStr">
        <is>
          <t>val</t>
        </is>
      </c>
      <c r="O2173">
        <f>HYPERLINK("2\1\marker_219_824758.png", "Ver Imagen")</f>
        <v/>
      </c>
      <c r="P2173">
        <f>HYPERLINK("SE\A-492\A-492__147.png", "Ver Imagen")</f>
        <v/>
      </c>
    </row>
    <row r="2174">
      <c r="A2174" t="n">
        <v>1628</v>
      </c>
      <c r="B2174" t="inlineStr">
        <is>
          <t>A-492__263</t>
        </is>
      </c>
      <c r="C2174" t="n">
        <v>37.2859923011</v>
      </c>
      <c r="D2174" t="n">
        <v>-7.04139966962</v>
      </c>
      <c r="E2174" t="n">
        <v>1</v>
      </c>
      <c r="F2174" t="n">
        <v>2</v>
      </c>
      <c r="G2174" t="n">
        <v>2</v>
      </c>
      <c r="J2174" t="inlineStr">
        <is>
          <t>Moda</t>
        </is>
      </c>
      <c r="K2174" t="n">
        <v>2</v>
      </c>
      <c r="L2174" t="n">
        <v>2.04</v>
      </c>
      <c r="M2174" t="n">
        <v>0</v>
      </c>
      <c r="N2174" t="inlineStr">
        <is>
          <t>train</t>
        </is>
      </c>
      <c r="O2174">
        <f>HYPERLINK("2\1\marker_341_836626.png", "Ver Imagen")</f>
        <v/>
      </c>
      <c r="P2174">
        <f>HYPERLINK("SE\A-492\A-492__263.png", "Ver Imagen")</f>
        <v/>
      </c>
    </row>
    <row r="2175">
      <c r="A2175" t="n">
        <v>1629</v>
      </c>
      <c r="B2175" t="inlineStr">
        <is>
          <t>A-492__268</t>
        </is>
      </c>
      <c r="C2175" t="n">
        <v>37.2869001646</v>
      </c>
      <c r="D2175" t="n">
        <v>-7.04191625375</v>
      </c>
      <c r="E2175" t="n">
        <v>1</v>
      </c>
      <c r="F2175" t="n">
        <v>2</v>
      </c>
      <c r="G2175" t="n">
        <v>2</v>
      </c>
      <c r="J2175" t="inlineStr">
        <is>
          <t>Moda</t>
        </is>
      </c>
      <c r="K2175" t="n">
        <v>2</v>
      </c>
      <c r="L2175" t="n">
        <v>2.142</v>
      </c>
      <c r="M2175" t="n">
        <v>0</v>
      </c>
      <c r="N2175" t="inlineStr">
        <is>
          <t>train</t>
        </is>
      </c>
      <c r="O2175">
        <f>HYPERLINK("2\1\marker_546_836725.png", "Ver Imagen")</f>
        <v/>
      </c>
      <c r="P2175">
        <f>HYPERLINK("SE\A-492\A-492__268.png", "Ver Imagen")</f>
        <v/>
      </c>
    </row>
    <row r="2176">
      <c r="A2176" t="n">
        <v>1630</v>
      </c>
      <c r="B2176" t="inlineStr">
        <is>
          <t>A-492__270</t>
        </is>
      </c>
      <c r="C2176" t="n">
        <v>37.2873060943</v>
      </c>
      <c r="D2176" t="n">
        <v>-7.04209802497</v>
      </c>
      <c r="E2176" t="n">
        <v>1</v>
      </c>
      <c r="F2176" t="n">
        <v>2</v>
      </c>
      <c r="G2176" t="n">
        <v>2</v>
      </c>
      <c r="J2176" t="inlineStr">
        <is>
          <t>Moda</t>
        </is>
      </c>
      <c r="K2176" t="n">
        <v>2</v>
      </c>
      <c r="L2176" t="n">
        <v>2.342</v>
      </c>
      <c r="M2176" t="n">
        <v>0</v>
      </c>
      <c r="N2176" t="inlineStr">
        <is>
          <t>train</t>
        </is>
      </c>
      <c r="O2176">
        <f>HYPERLINK("2\1\marker_730_836750.png", "Ver Imagen")</f>
        <v/>
      </c>
      <c r="P2176">
        <f>HYPERLINK("SE\A-492\A-492__270.png", "Ver Imagen")</f>
        <v/>
      </c>
    </row>
    <row r="2177">
      <c r="A2177" t="n">
        <v>1631</v>
      </c>
      <c r="B2177" t="inlineStr">
        <is>
          <t>A-492__322</t>
        </is>
      </c>
      <c r="C2177" t="n">
        <v>37.2956640634</v>
      </c>
      <c r="D2177" t="n">
        <v>-7.04940179701</v>
      </c>
      <c r="E2177" t="n">
        <v>1</v>
      </c>
      <c r="F2177" t="n">
        <v>2</v>
      </c>
      <c r="G2177" t="n">
        <v>2</v>
      </c>
      <c r="J2177" t="inlineStr">
        <is>
          <t>Moda</t>
        </is>
      </c>
      <c r="K2177" t="n">
        <v>2</v>
      </c>
      <c r="L2177" t="n">
        <v>1.922</v>
      </c>
      <c r="M2177" t="n">
        <v>0</v>
      </c>
      <c r="N2177" t="inlineStr">
        <is>
          <t>train</t>
        </is>
      </c>
      <c r="O2177">
        <f>HYPERLINK("2\1\marker_293_837984.png", "Ver Imagen")</f>
        <v/>
      </c>
      <c r="P2177">
        <f>HYPERLINK("SE\A-492\A-492__322.png", "Ver Imagen")</f>
        <v/>
      </c>
    </row>
    <row r="2178">
      <c r="A2178" t="n">
        <v>1632</v>
      </c>
      <c r="B2178" t="inlineStr">
        <is>
          <t>A-492__339</t>
        </is>
      </c>
      <c r="C2178" t="n">
        <v>37.2975866417</v>
      </c>
      <c r="D2178" t="n">
        <v>-7.05294275082</v>
      </c>
      <c r="E2178" t="n">
        <v>1</v>
      </c>
      <c r="F2178" t="n">
        <v>2</v>
      </c>
      <c r="G2178" t="n">
        <v>2</v>
      </c>
      <c r="J2178" t="inlineStr">
        <is>
          <t>Moda</t>
        </is>
      </c>
      <c r="K2178" t="n">
        <v>2</v>
      </c>
      <c r="L2178" t="n">
        <v>1.735</v>
      </c>
      <c r="M2178" t="n">
        <v>0</v>
      </c>
      <c r="N2178" t="inlineStr">
        <is>
          <t>train</t>
        </is>
      </c>
      <c r="O2178">
        <f>HYPERLINK("2\1\marker_599_838190.png", "Ver Imagen")</f>
        <v/>
      </c>
      <c r="P2178">
        <f>HYPERLINK("SE\A-492\A-492__339.png", "Ver Imagen")</f>
        <v/>
      </c>
    </row>
    <row r="2179">
      <c r="A2179" t="n">
        <v>1633</v>
      </c>
      <c r="B2179" t="inlineStr">
        <is>
          <t>A-492__423</t>
        </is>
      </c>
      <c r="C2179" t="n">
        <v>37.3125339586</v>
      </c>
      <c r="D2179" t="n">
        <v>-7.06100826199</v>
      </c>
      <c r="E2179" t="n">
        <v>1</v>
      </c>
      <c r="F2179" t="n">
        <v>2</v>
      </c>
      <c r="G2179" t="n">
        <v>2</v>
      </c>
      <c r="J2179" t="inlineStr">
        <is>
          <t>Moda</t>
        </is>
      </c>
      <c r="K2179" t="n">
        <v>2</v>
      </c>
      <c r="L2179" t="n">
        <v>2.006</v>
      </c>
      <c r="M2179" t="n">
        <v>0</v>
      </c>
      <c r="N2179" t="inlineStr">
        <is>
          <t>train</t>
        </is>
      </c>
      <c r="O2179">
        <f>HYPERLINK("2\1\marker_617_839448.png", "Ver Imagen")</f>
        <v/>
      </c>
      <c r="P2179">
        <f>HYPERLINK("SE\A-492\A-492__423.png", "Ver Imagen")</f>
        <v/>
      </c>
    </row>
    <row r="2180">
      <c r="A2180" t="n">
        <v>1634</v>
      </c>
      <c r="B2180" t="inlineStr">
        <is>
          <t>A-492__444</t>
        </is>
      </c>
      <c r="C2180" t="n">
        <v>37.3149449888</v>
      </c>
      <c r="D2180" t="n">
        <v>-7.06538215545</v>
      </c>
      <c r="E2180" t="n">
        <v>1</v>
      </c>
      <c r="F2180" t="n">
        <v>2</v>
      </c>
      <c r="G2180" t="n">
        <v>2</v>
      </c>
      <c r="J2180" t="inlineStr">
        <is>
          <t>Moda</t>
        </is>
      </c>
      <c r="K2180" t="n">
        <v>2</v>
      </c>
      <c r="L2180" t="n">
        <v>1.562</v>
      </c>
      <c r="M2180" t="n">
        <v>0</v>
      </c>
      <c r="N2180" t="inlineStr">
        <is>
          <t>train</t>
        </is>
      </c>
      <c r="O2180">
        <f>HYPERLINK("2\1\marker_441_839744.png", "Ver Imagen")</f>
        <v/>
      </c>
      <c r="P2180">
        <f>HYPERLINK("SE\A-492\A-492__444.png", "Ver Imagen")</f>
        <v/>
      </c>
    </row>
    <row r="2181">
      <c r="A2181" t="n">
        <v>1635</v>
      </c>
      <c r="B2181" t="inlineStr">
        <is>
          <t>A-492__475</t>
        </is>
      </c>
      <c r="C2181" t="n">
        <v>37.3183624819</v>
      </c>
      <c r="D2181" t="n">
        <v>-7.07131830153</v>
      </c>
      <c r="E2181" t="n">
        <v>2</v>
      </c>
      <c r="F2181" t="n">
        <v>2</v>
      </c>
      <c r="G2181" t="n">
        <v>3</v>
      </c>
      <c r="J2181" t="inlineStr">
        <is>
          <t>Moda</t>
        </is>
      </c>
      <c r="K2181" t="n">
        <v>2</v>
      </c>
      <c r="L2181" t="n">
        <v>1.923</v>
      </c>
      <c r="M2181" t="n">
        <v>0</v>
      </c>
      <c r="N2181" t="inlineStr">
        <is>
          <t>train</t>
        </is>
      </c>
      <c r="O2181">
        <f>HYPERLINK("2\1\marker_677_840102.png", "Ver Imagen")</f>
        <v/>
      </c>
      <c r="P2181">
        <f>HYPERLINK("SE\A-492\A-492__475.png", "Ver Imagen")</f>
        <v/>
      </c>
    </row>
    <row r="2182">
      <c r="A2182" t="n">
        <v>1636</v>
      </c>
      <c r="B2182" t="inlineStr">
        <is>
          <t>A-492__477</t>
        </is>
      </c>
      <c r="C2182" t="n">
        <v>37.3187626631</v>
      </c>
      <c r="D2182" t="n">
        <v>-7.07138873772</v>
      </c>
      <c r="E2182" t="n">
        <v>2</v>
      </c>
      <c r="F2182" t="n">
        <v>2</v>
      </c>
      <c r="G2182" t="n">
        <v>3</v>
      </c>
      <c r="J2182" t="inlineStr">
        <is>
          <t>Moda</t>
        </is>
      </c>
      <c r="K2182" t="n">
        <v>2</v>
      </c>
      <c r="L2182" t="n">
        <v>2.146</v>
      </c>
      <c r="M2182" t="n">
        <v>0</v>
      </c>
      <c r="N2182" t="inlineStr">
        <is>
          <t>test</t>
        </is>
      </c>
      <c r="O2182">
        <f>HYPERLINK("2\1\marker_336_840122.png", "Ver Imagen")</f>
        <v/>
      </c>
      <c r="P2182">
        <f>HYPERLINK("SE\A-492\A-492__477.png", "Ver Imagen")</f>
        <v/>
      </c>
    </row>
    <row r="2183">
      <c r="A2183" t="n">
        <v>1637</v>
      </c>
      <c r="B2183" t="inlineStr">
        <is>
          <t>A-5050__166</t>
        </is>
      </c>
      <c r="C2183" t="n">
        <v>37.1915162075</v>
      </c>
      <c r="D2183" t="n">
        <v>-6.99205553974</v>
      </c>
      <c r="E2183" t="n">
        <v>2</v>
      </c>
      <c r="F2183" t="n">
        <v>2</v>
      </c>
      <c r="G2183" t="n">
        <v>3</v>
      </c>
      <c r="J2183" t="inlineStr">
        <is>
          <t>Moda</t>
        </is>
      </c>
      <c r="K2183" t="n">
        <v>2</v>
      </c>
      <c r="L2183" t="n">
        <v>1.778</v>
      </c>
      <c r="M2183" t="n">
        <v>0</v>
      </c>
      <c r="N2183" t="inlineStr">
        <is>
          <t>train</t>
        </is>
      </c>
      <c r="O2183">
        <f>HYPERLINK("2\1\marker_374_944331.png", "Ver Imagen")</f>
        <v/>
      </c>
      <c r="P2183">
        <f>HYPERLINK("SE\A-5050\A-5050__166.png", "Ver Imagen")</f>
        <v/>
      </c>
    </row>
    <row r="2184">
      <c r="A2184" t="n">
        <v>1638</v>
      </c>
      <c r="B2184" t="inlineStr">
        <is>
          <t>A-5050__162</t>
        </is>
      </c>
      <c r="C2184" t="n">
        <v>37.1919296768</v>
      </c>
      <c r="D2184" t="n">
        <v>-6.99291349848</v>
      </c>
      <c r="E2184" t="n">
        <v>2</v>
      </c>
      <c r="F2184" t="n">
        <v>2</v>
      </c>
      <c r="G2184" t="n">
        <v>3</v>
      </c>
      <c r="J2184" t="inlineStr">
        <is>
          <t>Moda</t>
        </is>
      </c>
      <c r="K2184" t="n">
        <v>2</v>
      </c>
      <c r="L2184" t="n">
        <v>2.188</v>
      </c>
      <c r="M2184" t="n">
        <v>0</v>
      </c>
      <c r="N2184" t="inlineStr">
        <is>
          <t>train</t>
        </is>
      </c>
      <c r="O2184">
        <f>HYPERLINK("2\1\marker_251_944669.png", "Ver Imagen")</f>
        <v/>
      </c>
      <c r="P2184">
        <f>HYPERLINK("SE\A-5050\A-5050__162.png", "Ver Imagen")</f>
        <v/>
      </c>
    </row>
    <row r="2185">
      <c r="A2185" t="n">
        <v>1639</v>
      </c>
      <c r="B2185" t="inlineStr">
        <is>
          <t>A-5052__20</t>
        </is>
      </c>
      <c r="C2185" t="n">
        <v>37.2179971644</v>
      </c>
      <c r="D2185" t="n">
        <v>-7.12103967902</v>
      </c>
      <c r="E2185" t="n">
        <v>3</v>
      </c>
      <c r="F2185" t="n">
        <v>2</v>
      </c>
      <c r="G2185" t="n">
        <v>2</v>
      </c>
      <c r="J2185" t="inlineStr">
        <is>
          <t>Moda</t>
        </is>
      </c>
      <c r="K2185" t="n">
        <v>2</v>
      </c>
      <c r="L2185" t="n">
        <v>2.366</v>
      </c>
      <c r="M2185" t="n">
        <v>0</v>
      </c>
      <c r="N2185" t="inlineStr">
        <is>
          <t>val</t>
        </is>
      </c>
      <c r="O2185">
        <f>HYPERLINK("2\1\marker_201_951472.png", "Ver Imagen")</f>
        <v/>
      </c>
      <c r="P2185">
        <f>HYPERLINK("SO\A-5052\A-5052__20.png", "Ver Imagen")</f>
        <v/>
      </c>
    </row>
    <row r="2186">
      <c r="A2186" t="n">
        <v>1640</v>
      </c>
      <c r="B2186" t="inlineStr">
        <is>
          <t>A-5052__21</t>
        </is>
      </c>
      <c r="C2186" t="n">
        <v>37.2180166962</v>
      </c>
      <c r="D2186" t="n">
        <v>-7.12078974614</v>
      </c>
      <c r="E2186" t="n">
        <v>2</v>
      </c>
      <c r="F2186" t="n">
        <v>2</v>
      </c>
      <c r="G2186" t="n">
        <v>3</v>
      </c>
      <c r="J2186" t="inlineStr">
        <is>
          <t>Moda</t>
        </is>
      </c>
      <c r="K2186" t="n">
        <v>2</v>
      </c>
      <c r="L2186" t="n">
        <v>2.11</v>
      </c>
      <c r="M2186" t="n">
        <v>0</v>
      </c>
      <c r="N2186" t="inlineStr">
        <is>
          <t>train</t>
        </is>
      </c>
      <c r="O2186">
        <f>HYPERLINK("2\1\marker_225_951484.png", "Ver Imagen")</f>
        <v/>
      </c>
      <c r="P2186">
        <f>HYPERLINK("SO\A-5052\A-5052__21.png", "Ver Imagen")</f>
        <v/>
      </c>
    </row>
    <row r="2187">
      <c r="A2187" t="n">
        <v>1641</v>
      </c>
      <c r="B2187" t="inlineStr">
        <is>
          <t>A-5052__26</t>
        </is>
      </c>
      <c r="C2187" t="n">
        <v>37.2181073132</v>
      </c>
      <c r="D2187" t="n">
        <v>-7.11951733347</v>
      </c>
      <c r="E2187" t="n">
        <v>2</v>
      </c>
      <c r="F2187" t="n">
        <v>2</v>
      </c>
      <c r="G2187" t="n">
        <v>3</v>
      </c>
      <c r="J2187" t="inlineStr">
        <is>
          <t>Moda</t>
        </is>
      </c>
      <c r="K2187" t="n">
        <v>2</v>
      </c>
      <c r="L2187" t="n">
        <v>2.356</v>
      </c>
      <c r="M2187" t="n">
        <v>0</v>
      </c>
      <c r="N2187" t="inlineStr">
        <is>
          <t>train</t>
        </is>
      </c>
      <c r="O2187">
        <f>HYPERLINK("2\1\marker_171_951547.png", "Ver Imagen")</f>
        <v/>
      </c>
      <c r="P2187">
        <f>HYPERLINK("SO\A-5052\A-5052__26.png", "Ver Imagen")</f>
        <v/>
      </c>
    </row>
    <row r="2188">
      <c r="A2188" t="n">
        <v>1642</v>
      </c>
      <c r="B2188" t="inlineStr">
        <is>
          <t>A-5052__106</t>
        </is>
      </c>
      <c r="C2188" t="n">
        <v>37.2170313882</v>
      </c>
      <c r="D2188" t="n">
        <v>-7.09944792779</v>
      </c>
      <c r="E2188" t="n">
        <v>2</v>
      </c>
      <c r="F2188" t="n">
        <v>2</v>
      </c>
      <c r="G2188" t="n">
        <v>3</v>
      </c>
      <c r="J2188" t="inlineStr">
        <is>
          <t>Moda</t>
        </is>
      </c>
      <c r="K2188" t="n">
        <v>2</v>
      </c>
      <c r="L2188" t="n">
        <v>2.02</v>
      </c>
      <c r="M2188" t="n">
        <v>0</v>
      </c>
      <c r="N2188" t="inlineStr">
        <is>
          <t>train</t>
        </is>
      </c>
      <c r="O2188">
        <f>HYPERLINK("2\1\marker_581_957744.png", "Ver Imagen")</f>
        <v/>
      </c>
      <c r="P2188">
        <f>HYPERLINK("SE\A-5052\A-5052__106.png", "Ver Imagen")</f>
        <v/>
      </c>
    </row>
    <row r="2189">
      <c r="A2189" t="n">
        <v>1642</v>
      </c>
      <c r="B2189" t="inlineStr">
        <is>
          <t>A-5052__106</t>
        </is>
      </c>
      <c r="C2189" t="n">
        <v>37.2170313882</v>
      </c>
      <c r="D2189" t="n">
        <v>-7.09944792779</v>
      </c>
      <c r="E2189" t="n">
        <v>2</v>
      </c>
      <c r="F2189" t="n">
        <v>2</v>
      </c>
      <c r="G2189" t="n">
        <v>3</v>
      </c>
      <c r="J2189" t="inlineStr">
        <is>
          <t>Moda</t>
        </is>
      </c>
      <c r="K2189" t="n">
        <v>2</v>
      </c>
      <c r="L2189" t="n">
        <v>2.035</v>
      </c>
      <c r="M2189" t="n">
        <v>0</v>
      </c>
      <c r="N2189" t="inlineStr">
        <is>
          <t>train</t>
        </is>
      </c>
      <c r="O2189">
        <f>HYPERLINK("2\1\marker_581_957744.png", "Ver Imagen")</f>
        <v/>
      </c>
      <c r="P2189">
        <f>HYPERLINK("SO\A-5052\A-5052__106.png", "Ver Imagen")</f>
        <v/>
      </c>
    </row>
    <row r="2190">
      <c r="A2190" t="n">
        <v>1643</v>
      </c>
      <c r="B2190" t="inlineStr">
        <is>
          <t>A-5052__131</t>
        </is>
      </c>
      <c r="C2190" t="n">
        <v>37.2165775939</v>
      </c>
      <c r="D2190" t="n">
        <v>-7.09318192279</v>
      </c>
      <c r="E2190" t="n">
        <v>2</v>
      </c>
      <c r="F2190" t="n">
        <v>2</v>
      </c>
      <c r="G2190" t="n">
        <v>3</v>
      </c>
      <c r="J2190" t="inlineStr">
        <is>
          <t>Moda</t>
        </is>
      </c>
      <c r="K2190" t="n">
        <v>2</v>
      </c>
      <c r="L2190" t="n">
        <v>1.864</v>
      </c>
      <c r="M2190" t="n">
        <v>0</v>
      </c>
      <c r="N2190" t="inlineStr">
        <is>
          <t>train</t>
        </is>
      </c>
      <c r="O2190">
        <f>HYPERLINK("2\1\marker_221_958121.png", "Ver Imagen")</f>
        <v/>
      </c>
      <c r="P2190">
        <f>HYPERLINK("SE\A-5052\A-5052__131.png", "Ver Imagen")</f>
        <v/>
      </c>
    </row>
    <row r="2191">
      <c r="A2191" t="n">
        <v>1643</v>
      </c>
      <c r="B2191" t="inlineStr">
        <is>
          <t>A-5052__131</t>
        </is>
      </c>
      <c r="C2191" t="n">
        <v>37.2165775939</v>
      </c>
      <c r="D2191" t="n">
        <v>-7.09318192279</v>
      </c>
      <c r="E2191" t="n">
        <v>2</v>
      </c>
      <c r="F2191" t="n">
        <v>2</v>
      </c>
      <c r="G2191" t="n">
        <v>3</v>
      </c>
      <c r="J2191" t="inlineStr">
        <is>
          <t>Moda</t>
        </is>
      </c>
      <c r="K2191" t="n">
        <v>2</v>
      </c>
      <c r="L2191" t="n">
        <v>1.739</v>
      </c>
      <c r="M2191" t="n">
        <v>0</v>
      </c>
      <c r="N2191" t="inlineStr">
        <is>
          <t>train</t>
        </is>
      </c>
      <c r="O2191">
        <f>HYPERLINK("2\1\marker_221_958121.png", "Ver Imagen")</f>
        <v/>
      </c>
      <c r="P2191">
        <f>HYPERLINK("SO\A-5052\A-5052__131.png", "Ver Imagen")</f>
        <v/>
      </c>
    </row>
    <row r="2192">
      <c r="A2192" t="n">
        <v>1644</v>
      </c>
      <c r="B2192" t="inlineStr">
        <is>
          <t>A-5052__148</t>
        </is>
      </c>
      <c r="C2192" t="n">
        <v>37.2160449638</v>
      </c>
      <c r="D2192" t="n">
        <v>-7.0889238755</v>
      </c>
      <c r="E2192" t="n">
        <v>2</v>
      </c>
      <c r="F2192" t="n">
        <v>2</v>
      </c>
      <c r="G2192" t="n">
        <v>3</v>
      </c>
      <c r="J2192" t="inlineStr">
        <is>
          <t>Moda</t>
        </is>
      </c>
      <c r="K2192" t="n">
        <v>2</v>
      </c>
      <c r="L2192" t="n">
        <v>2.009</v>
      </c>
      <c r="M2192" t="n">
        <v>0</v>
      </c>
      <c r="N2192" t="inlineStr">
        <is>
          <t>train</t>
        </is>
      </c>
      <c r="O2192">
        <f>HYPERLINK("2\1\marker_224_958456.png", "Ver Imagen")</f>
        <v/>
      </c>
      <c r="P2192">
        <f>HYPERLINK("SE\A-5052\A-5052__148.png", "Ver Imagen")</f>
        <v/>
      </c>
    </row>
    <row r="2193">
      <c r="A2193" t="n">
        <v>1644</v>
      </c>
      <c r="B2193" t="inlineStr">
        <is>
          <t>A-5052__148</t>
        </is>
      </c>
      <c r="C2193" t="n">
        <v>37.2160449638</v>
      </c>
      <c r="D2193" t="n">
        <v>-7.0889238755</v>
      </c>
      <c r="E2193" t="n">
        <v>2</v>
      </c>
      <c r="F2193" t="n">
        <v>2</v>
      </c>
      <c r="G2193" t="n">
        <v>3</v>
      </c>
      <c r="J2193" t="inlineStr">
        <is>
          <t>Moda</t>
        </is>
      </c>
      <c r="K2193" t="n">
        <v>2</v>
      </c>
      <c r="L2193" t="n">
        <v>1.929</v>
      </c>
      <c r="M2193" t="n">
        <v>0</v>
      </c>
      <c r="N2193" t="inlineStr">
        <is>
          <t>train</t>
        </is>
      </c>
      <c r="O2193">
        <f>HYPERLINK("2\1\marker_224_958456.png", "Ver Imagen")</f>
        <v/>
      </c>
      <c r="P2193">
        <f>HYPERLINK("SO\A-5052\A-5052__148.png", "Ver Imagen")</f>
        <v/>
      </c>
    </row>
    <row r="2194">
      <c r="A2194" t="n">
        <v>1645</v>
      </c>
      <c r="B2194" t="inlineStr">
        <is>
          <t>A-5052__168</t>
        </is>
      </c>
      <c r="C2194" t="n">
        <v>37.2161506673</v>
      </c>
      <c r="D2194" t="n">
        <v>-7.08387261882</v>
      </c>
      <c r="E2194" t="n">
        <v>2</v>
      </c>
      <c r="F2194" t="n">
        <v>2</v>
      </c>
      <c r="G2194" t="n">
        <v>3</v>
      </c>
      <c r="J2194" t="inlineStr">
        <is>
          <t>Moda</t>
        </is>
      </c>
      <c r="K2194" t="n">
        <v>2</v>
      </c>
      <c r="L2194" t="n">
        <v>2.031</v>
      </c>
      <c r="M2194" t="n">
        <v>0</v>
      </c>
      <c r="N2194" t="inlineStr">
        <is>
          <t>train</t>
        </is>
      </c>
      <c r="O2194">
        <f>HYPERLINK("2\1\marker_766_958935.png", "Ver Imagen")</f>
        <v/>
      </c>
      <c r="P2194">
        <f>HYPERLINK("SE\A-5052\A-5052__168.png", "Ver Imagen")</f>
        <v/>
      </c>
    </row>
    <row r="2195">
      <c r="A2195" t="n">
        <v>1645</v>
      </c>
      <c r="B2195" t="inlineStr">
        <is>
          <t>A-5052__168</t>
        </is>
      </c>
      <c r="C2195" t="n">
        <v>37.2161506673</v>
      </c>
      <c r="D2195" t="n">
        <v>-7.08387261882</v>
      </c>
      <c r="E2195" t="n">
        <v>2</v>
      </c>
      <c r="F2195" t="n">
        <v>2</v>
      </c>
      <c r="G2195" t="n">
        <v>3</v>
      </c>
      <c r="J2195" t="inlineStr">
        <is>
          <t>Moda</t>
        </is>
      </c>
      <c r="K2195" t="n">
        <v>2</v>
      </c>
      <c r="L2195" t="n">
        <v>2.088</v>
      </c>
      <c r="M2195" t="n">
        <v>0</v>
      </c>
      <c r="N2195" t="inlineStr">
        <is>
          <t>train</t>
        </is>
      </c>
      <c r="O2195">
        <f>HYPERLINK("2\1\marker_766_958935.png", "Ver Imagen")</f>
        <v/>
      </c>
      <c r="P2195">
        <f>HYPERLINK("SO\A-5052\A-5052__168.png", "Ver Imagen")</f>
        <v/>
      </c>
    </row>
    <row r="2196">
      <c r="A2196" t="n">
        <v>1646</v>
      </c>
      <c r="B2196" t="inlineStr">
        <is>
          <t>A-5052__169</t>
        </is>
      </c>
      <c r="C2196" t="n">
        <v>37.2160948609</v>
      </c>
      <c r="D2196" t="n">
        <v>-7.08363317313</v>
      </c>
      <c r="E2196" t="n">
        <v>2</v>
      </c>
      <c r="F2196" t="n">
        <v>2</v>
      </c>
      <c r="G2196" t="n">
        <v>3</v>
      </c>
      <c r="J2196" t="inlineStr">
        <is>
          <t>Moda</t>
        </is>
      </c>
      <c r="K2196" t="n">
        <v>2</v>
      </c>
      <c r="L2196" t="n">
        <v>1.974</v>
      </c>
      <c r="M2196" t="n">
        <v>0</v>
      </c>
      <c r="N2196" t="inlineStr">
        <is>
          <t>train</t>
        </is>
      </c>
      <c r="O2196">
        <f>HYPERLINK("2\1\marker_403_958944.png", "Ver Imagen")</f>
        <v/>
      </c>
      <c r="P2196">
        <f>HYPERLINK("SE\A-5052\A-5052__169.png", "Ver Imagen")</f>
        <v/>
      </c>
    </row>
    <row r="2197">
      <c r="A2197" t="n">
        <v>1646</v>
      </c>
      <c r="B2197" t="inlineStr">
        <is>
          <t>A-5052__169</t>
        </is>
      </c>
      <c r="C2197" t="n">
        <v>37.2160948609</v>
      </c>
      <c r="D2197" t="n">
        <v>-7.08363317313</v>
      </c>
      <c r="E2197" t="n">
        <v>2</v>
      </c>
      <c r="F2197" t="n">
        <v>2</v>
      </c>
      <c r="G2197" t="n">
        <v>3</v>
      </c>
      <c r="J2197" t="inlineStr">
        <is>
          <t>Moda</t>
        </is>
      </c>
      <c r="K2197" t="n">
        <v>2</v>
      </c>
      <c r="L2197" t="n">
        <v>1.95</v>
      </c>
      <c r="M2197" t="n">
        <v>0</v>
      </c>
      <c r="N2197" t="inlineStr">
        <is>
          <t>train</t>
        </is>
      </c>
      <c r="O2197">
        <f>HYPERLINK("2\1\marker_403_958944.png", "Ver Imagen")</f>
        <v/>
      </c>
      <c r="P2197">
        <f>HYPERLINK("SO\A-5052\A-5052__169.png", "Ver Imagen")</f>
        <v/>
      </c>
    </row>
    <row r="2198">
      <c r="A2198" t="n">
        <v>1647</v>
      </c>
      <c r="B2198" t="inlineStr">
        <is>
          <t>A-5052__170</t>
        </is>
      </c>
      <c r="C2198" t="n">
        <v>37.2160408418</v>
      </c>
      <c r="D2198" t="n">
        <v>-7.08340857192</v>
      </c>
      <c r="E2198" t="n">
        <v>2</v>
      </c>
      <c r="F2198" t="n">
        <v>2</v>
      </c>
      <c r="G2198" t="n">
        <v>3</v>
      </c>
      <c r="J2198" t="inlineStr">
        <is>
          <t>Moda</t>
        </is>
      </c>
      <c r="K2198" t="n">
        <v>2</v>
      </c>
      <c r="L2198" t="n">
        <v>1.93</v>
      </c>
      <c r="M2198" t="n">
        <v>0</v>
      </c>
      <c r="N2198" t="inlineStr">
        <is>
          <t>test</t>
        </is>
      </c>
      <c r="O2198">
        <f>HYPERLINK("2\1\marker_689_958953.png", "Ver Imagen")</f>
        <v/>
      </c>
      <c r="P2198">
        <f>HYPERLINK("SE\A-5052\A-5052__170.png", "Ver Imagen")</f>
        <v/>
      </c>
    </row>
    <row r="2199">
      <c r="A2199" t="n">
        <v>1647</v>
      </c>
      <c r="B2199" t="inlineStr">
        <is>
          <t>A-5052__170</t>
        </is>
      </c>
      <c r="C2199" t="n">
        <v>37.2160408418</v>
      </c>
      <c r="D2199" t="n">
        <v>-7.08340857192</v>
      </c>
      <c r="E2199" t="n">
        <v>2</v>
      </c>
      <c r="F2199" t="n">
        <v>2</v>
      </c>
      <c r="G2199" t="n">
        <v>3</v>
      </c>
      <c r="J2199" t="inlineStr">
        <is>
          <t>Moda</t>
        </is>
      </c>
      <c r="K2199" t="n">
        <v>2</v>
      </c>
      <c r="L2199" t="n">
        <v>1.644</v>
      </c>
      <c r="M2199" t="n">
        <v>0</v>
      </c>
      <c r="N2199" t="inlineStr">
        <is>
          <t>test</t>
        </is>
      </c>
      <c r="O2199">
        <f>HYPERLINK("2\1\marker_689_958953.png", "Ver Imagen")</f>
        <v/>
      </c>
      <c r="P2199">
        <f>HYPERLINK("SO\A-5052\A-5052__170.png", "Ver Imagen")</f>
        <v/>
      </c>
    </row>
    <row r="2200">
      <c r="A2200" t="n">
        <v>1648</v>
      </c>
      <c r="B2200" t="inlineStr">
        <is>
          <t>A-5052__171</t>
        </is>
      </c>
      <c r="C2200" t="n">
        <v>37.2159728303</v>
      </c>
      <c r="D2200" t="n">
        <v>-7.08313676273</v>
      </c>
      <c r="E2200" t="n">
        <v>2</v>
      </c>
      <c r="F2200" t="n">
        <v>2</v>
      </c>
      <c r="G2200" t="n">
        <v>3</v>
      </c>
      <c r="J2200" t="inlineStr">
        <is>
          <t>Moda</t>
        </is>
      </c>
      <c r="K2200" t="n">
        <v>2</v>
      </c>
      <c r="L2200" t="n">
        <v>1.923</v>
      </c>
      <c r="M2200" t="n">
        <v>0</v>
      </c>
      <c r="N2200" t="inlineStr">
        <is>
          <t>test</t>
        </is>
      </c>
      <c r="O2200">
        <f>HYPERLINK("2\1\marker_922_958965.png", "Ver Imagen")</f>
        <v/>
      </c>
      <c r="P2200">
        <f>HYPERLINK("SE\A-5052\A-5052__171.png", "Ver Imagen")</f>
        <v/>
      </c>
    </row>
    <row r="2201">
      <c r="A2201" t="n">
        <v>1648</v>
      </c>
      <c r="B2201" t="inlineStr">
        <is>
          <t>A-5052__171</t>
        </is>
      </c>
      <c r="C2201" t="n">
        <v>37.2159728303</v>
      </c>
      <c r="D2201" t="n">
        <v>-7.08313676273</v>
      </c>
      <c r="E2201" t="n">
        <v>2</v>
      </c>
      <c r="F2201" t="n">
        <v>2</v>
      </c>
      <c r="G2201" t="n">
        <v>3</v>
      </c>
      <c r="J2201" t="inlineStr">
        <is>
          <t>Moda</t>
        </is>
      </c>
      <c r="K2201" t="n">
        <v>2</v>
      </c>
      <c r="L2201" t="n">
        <v>1.729</v>
      </c>
      <c r="M2201" t="n">
        <v>0</v>
      </c>
      <c r="N2201" t="inlineStr">
        <is>
          <t>test</t>
        </is>
      </c>
      <c r="O2201">
        <f>HYPERLINK("2\1\marker_922_958965.png", "Ver Imagen")</f>
        <v/>
      </c>
      <c r="P2201">
        <f>HYPERLINK("SO\A-5052\A-5052__171.png", "Ver Imagen")</f>
        <v/>
      </c>
    </row>
    <row r="2202">
      <c r="A2202" t="n">
        <v>1649</v>
      </c>
      <c r="B2202" t="inlineStr">
        <is>
          <t>A-5052__212</t>
        </is>
      </c>
      <c r="C2202" t="n">
        <v>37.2138310839</v>
      </c>
      <c r="D2202" t="n">
        <v>-7.07313672663</v>
      </c>
      <c r="E2202" t="n">
        <v>2</v>
      </c>
      <c r="F2202" t="n">
        <v>2</v>
      </c>
      <c r="G2202" t="n">
        <v>3</v>
      </c>
      <c r="J2202" t="inlineStr">
        <is>
          <t>Moda</t>
        </is>
      </c>
      <c r="K2202" t="n">
        <v>2</v>
      </c>
      <c r="L2202" t="n">
        <v>1.769</v>
      </c>
      <c r="M2202" t="n">
        <v>0</v>
      </c>
      <c r="N2202" t="inlineStr">
        <is>
          <t>train</t>
        </is>
      </c>
      <c r="O2202">
        <f>HYPERLINK("2\1\marker_358_959614.png", "Ver Imagen")</f>
        <v/>
      </c>
      <c r="P2202">
        <f>HYPERLINK("SE\A-5052\A-5052__212.png", "Ver Imagen")</f>
        <v/>
      </c>
    </row>
    <row r="2203">
      <c r="A2203" t="n">
        <v>1649</v>
      </c>
      <c r="B2203" t="inlineStr">
        <is>
          <t>A-5052__212</t>
        </is>
      </c>
      <c r="C2203" t="n">
        <v>37.2138310839</v>
      </c>
      <c r="D2203" t="n">
        <v>-7.07313672663</v>
      </c>
      <c r="E2203" t="n">
        <v>2</v>
      </c>
      <c r="F2203" t="n">
        <v>2</v>
      </c>
      <c r="G2203" t="n">
        <v>3</v>
      </c>
      <c r="J2203" t="inlineStr">
        <is>
          <t>Moda</t>
        </is>
      </c>
      <c r="K2203" t="n">
        <v>2</v>
      </c>
      <c r="L2203" t="n">
        <v>2.337</v>
      </c>
      <c r="M2203" t="n">
        <v>0</v>
      </c>
      <c r="N2203" t="inlineStr">
        <is>
          <t>train</t>
        </is>
      </c>
      <c r="O2203">
        <f>HYPERLINK("2\1\marker_358_959614.png", "Ver Imagen")</f>
        <v/>
      </c>
      <c r="P2203">
        <f>HYPERLINK("SO\A-5052\A-5052__212.png", "Ver Imagen")</f>
        <v/>
      </c>
    </row>
    <row r="2204">
      <c r="A2204" t="n">
        <v>1650</v>
      </c>
      <c r="B2204" t="inlineStr">
        <is>
          <t>A-5052__240</t>
        </is>
      </c>
      <c r="C2204" t="n">
        <v>37.2133261472</v>
      </c>
      <c r="D2204" t="n">
        <v>-7.06609968274</v>
      </c>
      <c r="E2204" t="n">
        <v>2</v>
      </c>
      <c r="F2204" t="n">
        <v>2</v>
      </c>
      <c r="G2204" t="n">
        <v>3</v>
      </c>
      <c r="J2204" t="inlineStr">
        <is>
          <t>Moda</t>
        </is>
      </c>
      <c r="K2204" t="n">
        <v>2</v>
      </c>
      <c r="L2204" t="n">
        <v>1.979</v>
      </c>
      <c r="M2204" t="n">
        <v>0</v>
      </c>
      <c r="N2204" t="inlineStr">
        <is>
          <t>train</t>
        </is>
      </c>
      <c r="O2204">
        <f>HYPERLINK("2\1\marker_859_959946.png", "Ver Imagen")</f>
        <v/>
      </c>
      <c r="P2204">
        <f>HYPERLINK("SE\A-5052\A-5052__240.png", "Ver Imagen")</f>
        <v/>
      </c>
    </row>
    <row r="2205">
      <c r="A2205" t="n">
        <v>1651</v>
      </c>
      <c r="B2205" t="inlineStr">
        <is>
          <t>A-5052__468</t>
        </is>
      </c>
      <c r="C2205" t="n">
        <v>37.1989117493</v>
      </c>
      <c r="D2205" t="n">
        <v>-7.01285020063</v>
      </c>
      <c r="E2205" t="n">
        <v>2</v>
      </c>
      <c r="F2205" t="n">
        <v>2</v>
      </c>
      <c r="G2205" t="n">
        <v>3</v>
      </c>
      <c r="J2205" t="inlineStr">
        <is>
          <t>Moda</t>
        </is>
      </c>
      <c r="K2205" t="n">
        <v>2</v>
      </c>
      <c r="L2205" t="n">
        <v>2.182</v>
      </c>
      <c r="M2205" t="n">
        <v>0</v>
      </c>
      <c r="N2205" t="inlineStr">
        <is>
          <t>train</t>
        </is>
      </c>
      <c r="O2205">
        <f>HYPERLINK("2\1\marker_977_963373.png", "Ver Imagen")</f>
        <v/>
      </c>
      <c r="P2205">
        <f>HYPERLINK("SE\A-5052\A-5052__468.png", "Ver Imagen")</f>
        <v/>
      </c>
    </row>
    <row r="2206">
      <c r="A2206" t="n">
        <v>1652</v>
      </c>
      <c r="B2206" t="inlineStr">
        <is>
          <t>A-5052__483</t>
        </is>
      </c>
      <c r="C2206" t="n">
        <v>37.1975917026</v>
      </c>
      <c r="D2206" t="n">
        <v>-7.00944520608</v>
      </c>
      <c r="E2206" t="n">
        <v>2</v>
      </c>
      <c r="F2206" t="n">
        <v>2</v>
      </c>
      <c r="G2206" t="n">
        <v>3</v>
      </c>
      <c r="J2206" t="inlineStr">
        <is>
          <t>Moda</t>
        </is>
      </c>
      <c r="K2206" t="n">
        <v>2</v>
      </c>
      <c r="L2206" t="n">
        <v>1.623</v>
      </c>
      <c r="M2206" t="n">
        <v>0</v>
      </c>
      <c r="N2206" t="inlineStr">
        <is>
          <t>val</t>
        </is>
      </c>
      <c r="O2206">
        <f>HYPERLINK("2\1\marker_824_963522.png", "Ver Imagen")</f>
        <v/>
      </c>
      <c r="P2206">
        <f>HYPERLINK("SE\A-5052\A-5052__483.png", "Ver Imagen")</f>
        <v/>
      </c>
    </row>
    <row r="2207">
      <c r="A2207" t="n">
        <v>1654</v>
      </c>
      <c r="B2207" t="inlineStr">
        <is>
          <t>A-5053__288</t>
        </is>
      </c>
      <c r="C2207" t="n">
        <v>37.2720421289</v>
      </c>
      <c r="D2207" t="n">
        <v>-7.14118676371</v>
      </c>
      <c r="E2207" t="n">
        <v>3</v>
      </c>
      <c r="F2207" t="n">
        <v>2</v>
      </c>
      <c r="G2207" t="n">
        <v>2</v>
      </c>
      <c r="J2207" t="inlineStr">
        <is>
          <t>Moda</t>
        </is>
      </c>
      <c r="K2207" t="n">
        <v>2</v>
      </c>
      <c r="L2207" t="n">
        <v>2.48</v>
      </c>
      <c r="M2207" t="n">
        <v>0</v>
      </c>
      <c r="N2207" t="inlineStr">
        <is>
          <t>test</t>
        </is>
      </c>
      <c r="O2207">
        <f>HYPERLINK("2\1\marker_275_964976.png", "Ver Imagen")</f>
        <v/>
      </c>
      <c r="P2207">
        <f>HYPERLINK("SO\A-5053\A-5053__288.png", "Ver Imagen")</f>
        <v/>
      </c>
    </row>
    <row r="2208">
      <c r="A2208" t="n">
        <v>1656</v>
      </c>
      <c r="B2208" t="inlineStr">
        <is>
          <t>A-5053__165</t>
        </is>
      </c>
      <c r="C2208" t="n">
        <v>37.2517414489</v>
      </c>
      <c r="D2208" t="n">
        <v>-7.12701726858</v>
      </c>
      <c r="E2208" t="n">
        <v>3</v>
      </c>
      <c r="F2208" t="n">
        <v>2</v>
      </c>
      <c r="G2208" t="n">
        <v>2</v>
      </c>
      <c r="J2208" t="inlineStr">
        <is>
          <t>Moda</t>
        </is>
      </c>
      <c r="K2208" t="n">
        <v>2</v>
      </c>
      <c r="L2208" t="n">
        <v>2.246</v>
      </c>
      <c r="M2208" t="n">
        <v>0</v>
      </c>
      <c r="N2208" t="inlineStr">
        <is>
          <t>train</t>
        </is>
      </c>
      <c r="O2208">
        <f>HYPERLINK("2\1\marker_281_966239.png", "Ver Imagen")</f>
        <v/>
      </c>
      <c r="P2208">
        <f>HYPERLINK("SO\A-5053\A-5053__165.png", "Ver Imagen")</f>
        <v/>
      </c>
    </row>
    <row r="2209">
      <c r="A2209" t="n">
        <v>1659</v>
      </c>
      <c r="B2209" t="inlineStr">
        <is>
          <t>A-5053__93</t>
        </is>
      </c>
      <c r="C2209" t="n">
        <v>37.2372078419</v>
      </c>
      <c r="D2209" t="n">
        <v>-7.12829757133</v>
      </c>
      <c r="E2209" t="n">
        <v>2</v>
      </c>
      <c r="F2209" t="n">
        <v>2</v>
      </c>
      <c r="G2209" t="n">
        <v>3</v>
      </c>
      <c r="J2209" t="inlineStr">
        <is>
          <t>Moda</t>
        </is>
      </c>
      <c r="K2209" t="n">
        <v>2</v>
      </c>
      <c r="L2209" t="n">
        <v>2.227</v>
      </c>
      <c r="M2209" t="n">
        <v>0</v>
      </c>
      <c r="N2209" t="inlineStr">
        <is>
          <t>val</t>
        </is>
      </c>
      <c r="O2209">
        <f>HYPERLINK("2\1\marker_445_019879.png", "Ver Imagen")</f>
        <v/>
      </c>
      <c r="P2209">
        <f>HYPERLINK("SO\A-5053\A-5053__93.png", "Ver Imagen")</f>
        <v/>
      </c>
    </row>
    <row r="2210">
      <c r="A2210" t="n">
        <v>1660</v>
      </c>
      <c r="B2210" t="inlineStr">
        <is>
          <t>A-5053__84</t>
        </is>
      </c>
      <c r="C2210" t="n">
        <v>37.2354144453</v>
      </c>
      <c r="D2210" t="n">
        <v>-7.1280953189</v>
      </c>
      <c r="E2210" t="n">
        <v>2</v>
      </c>
      <c r="F2210" t="n">
        <v>2</v>
      </c>
      <c r="G2210" t="n">
        <v>3</v>
      </c>
      <c r="J2210" t="inlineStr">
        <is>
          <t>Moda</t>
        </is>
      </c>
      <c r="K2210" t="n">
        <v>2</v>
      </c>
      <c r="L2210" t="n">
        <v>1.999</v>
      </c>
      <c r="M2210" t="n">
        <v>0</v>
      </c>
      <c r="N2210" t="inlineStr">
        <is>
          <t>train</t>
        </is>
      </c>
      <c r="O2210">
        <f>HYPERLINK("2\1\marker_433_019974.png", "Ver Imagen")</f>
        <v/>
      </c>
      <c r="P2210">
        <f>HYPERLINK("SO\A-5053\A-5053__84.png", "Ver Imagen")</f>
        <v/>
      </c>
    </row>
    <row r="2211">
      <c r="A2211" t="n">
        <v>1661</v>
      </c>
      <c r="B2211" t="inlineStr">
        <is>
          <t>A-5053__81</t>
        </is>
      </c>
      <c r="C2211" t="n">
        <v>37.234825729</v>
      </c>
      <c r="D2211" t="n">
        <v>-7.12789013063</v>
      </c>
      <c r="E2211" t="n">
        <v>2</v>
      </c>
      <c r="F2211" t="n">
        <v>2</v>
      </c>
      <c r="G2211" t="n">
        <v>3</v>
      </c>
      <c r="J2211" t="inlineStr">
        <is>
          <t>Moda</t>
        </is>
      </c>
      <c r="K2211" t="n">
        <v>2</v>
      </c>
      <c r="L2211" t="n">
        <v>2.126</v>
      </c>
      <c r="M2211" t="n">
        <v>0</v>
      </c>
      <c r="N2211" t="inlineStr">
        <is>
          <t>train</t>
        </is>
      </c>
      <c r="O2211">
        <f>HYPERLINK("2\1\marker_132_020001.png", "Ver Imagen")</f>
        <v/>
      </c>
      <c r="P2211">
        <f>HYPERLINK("SO\A-5053\A-5053__81.png", "Ver Imagen")</f>
        <v/>
      </c>
    </row>
    <row r="2212">
      <c r="A2212" t="n">
        <v>1662</v>
      </c>
      <c r="B2212" t="inlineStr">
        <is>
          <t>A-5053__64</t>
        </is>
      </c>
      <c r="C2212" t="n">
        <v>37.2314567141</v>
      </c>
      <c r="D2212" t="n">
        <v>-7.12709501083</v>
      </c>
      <c r="E2212" t="n">
        <v>2</v>
      </c>
      <c r="F2212" t="n">
        <v>2</v>
      </c>
      <c r="G2212" t="n">
        <v>3</v>
      </c>
      <c r="J2212" t="inlineStr">
        <is>
          <t>Moda</t>
        </is>
      </c>
      <c r="K2212" t="n">
        <v>2</v>
      </c>
      <c r="L2212" t="n">
        <v>1.762</v>
      </c>
      <c r="M2212" t="n">
        <v>0</v>
      </c>
      <c r="N2212" t="inlineStr">
        <is>
          <t>train</t>
        </is>
      </c>
      <c r="O2212">
        <f>HYPERLINK("2\1\marker_679_020764.png", "Ver Imagen")</f>
        <v/>
      </c>
      <c r="P2212">
        <f>HYPERLINK("SO\A-5053\A-5053__64.png", "Ver Imagen")</f>
        <v/>
      </c>
    </row>
    <row r="2213">
      <c r="A2213" t="n">
        <v>1663</v>
      </c>
      <c r="B2213" t="inlineStr">
        <is>
          <t>A-5053__56</t>
        </is>
      </c>
      <c r="C2213" t="n">
        <v>37.2298488049</v>
      </c>
      <c r="D2213" t="n">
        <v>-7.12694663534</v>
      </c>
      <c r="E2213" t="n">
        <v>2</v>
      </c>
      <c r="F2213" t="n">
        <v>2</v>
      </c>
      <c r="G2213" t="n">
        <v>3</v>
      </c>
      <c r="J2213" t="inlineStr">
        <is>
          <t>Moda</t>
        </is>
      </c>
      <c r="K2213" t="n">
        <v>2</v>
      </c>
      <c r="L2213" t="n">
        <v>1.946</v>
      </c>
      <c r="M2213" t="n">
        <v>0</v>
      </c>
      <c r="N2213" t="inlineStr">
        <is>
          <t>train</t>
        </is>
      </c>
      <c r="O2213">
        <f>HYPERLINK("2\1\marker_862_020923.png", "Ver Imagen")</f>
        <v/>
      </c>
      <c r="P2213">
        <f>HYPERLINK("SO\A-5053\A-5053__56.png", "Ver Imagen")</f>
        <v/>
      </c>
    </row>
    <row r="2214">
      <c r="A2214" t="n">
        <v>1664</v>
      </c>
      <c r="B2214" t="inlineStr">
        <is>
          <t>A-5053__55</t>
        </is>
      </c>
      <c r="C2214" t="n">
        <v>37.2296558712</v>
      </c>
      <c r="D2214" t="n">
        <v>-7.12692860669</v>
      </c>
      <c r="E2214" t="n">
        <v>2</v>
      </c>
      <c r="F2214" t="n">
        <v>2</v>
      </c>
      <c r="G2214" t="n">
        <v>3</v>
      </c>
      <c r="J2214" t="inlineStr">
        <is>
          <t>Moda</t>
        </is>
      </c>
      <c r="K2214" t="n">
        <v>2</v>
      </c>
      <c r="L2214" t="n">
        <v>2.315</v>
      </c>
      <c r="M2214" t="n">
        <v>0</v>
      </c>
      <c r="N2214" t="inlineStr">
        <is>
          <t>val</t>
        </is>
      </c>
      <c r="O2214">
        <f>HYPERLINK("2\1\marker_994_020932.png", "Ver Imagen")</f>
        <v/>
      </c>
      <c r="P2214">
        <f>HYPERLINK("SO\A-5053\A-5053__55.png", "Ver Imagen")</f>
        <v/>
      </c>
    </row>
    <row r="2215">
      <c r="A2215" t="n">
        <v>1665</v>
      </c>
      <c r="B2215" t="inlineStr">
        <is>
          <t>A-5053__22</t>
        </is>
      </c>
      <c r="C2215" t="n">
        <v>37.2231812711</v>
      </c>
      <c r="D2215" t="n">
        <v>-7.12503616668</v>
      </c>
      <c r="E2215" t="n">
        <v>3</v>
      </c>
      <c r="F2215" t="n">
        <v>2</v>
      </c>
      <c r="G2215" t="n">
        <v>2</v>
      </c>
      <c r="J2215" t="inlineStr">
        <is>
          <t>Moda</t>
        </is>
      </c>
      <c r="K2215" t="n">
        <v>2</v>
      </c>
      <c r="L2215" t="n">
        <v>1.966</v>
      </c>
      <c r="M2215" t="n">
        <v>0</v>
      </c>
      <c r="N2215" t="inlineStr">
        <is>
          <t>train</t>
        </is>
      </c>
      <c r="O2215">
        <f>HYPERLINK("2\1\marker_389_022884.png", "Ver Imagen")</f>
        <v/>
      </c>
      <c r="P2215">
        <f>HYPERLINK("SO\A-5053\A-5053__22.png", "Ver Imagen")</f>
        <v/>
      </c>
    </row>
    <row r="2216">
      <c r="A2216" t="n">
        <v>1666</v>
      </c>
      <c r="B2216" t="inlineStr">
        <is>
          <t>A-5053__20</t>
        </is>
      </c>
      <c r="C2216" t="n">
        <v>37.2227800912</v>
      </c>
      <c r="D2216" t="n">
        <v>-7.12501051426</v>
      </c>
      <c r="E2216" t="n">
        <v>2</v>
      </c>
      <c r="F2216" t="n">
        <v>2</v>
      </c>
      <c r="G2216" t="n">
        <v>3</v>
      </c>
      <c r="J2216" t="inlineStr">
        <is>
          <t>Moda</t>
        </is>
      </c>
      <c r="K2216" t="n">
        <v>2</v>
      </c>
      <c r="L2216" t="n">
        <v>2.421</v>
      </c>
      <c r="M2216" t="n">
        <v>0</v>
      </c>
      <c r="N2216" t="inlineStr">
        <is>
          <t>val</t>
        </is>
      </c>
      <c r="O2216">
        <f>HYPERLINK("2\1\marker_677_022902.png", "Ver Imagen")</f>
        <v/>
      </c>
      <c r="P2216">
        <f>HYPERLINK("SO\A-5053\A-5053__20.png", "Ver Imagen")</f>
        <v/>
      </c>
    </row>
    <row r="2217">
      <c r="A2217" t="n">
        <v>1668</v>
      </c>
      <c r="B2217" t="inlineStr">
        <is>
          <t>A-495__16</t>
        </is>
      </c>
      <c r="C2217" t="n">
        <v>37.4437526995</v>
      </c>
      <c r="D2217" t="n">
        <v>-7.09645726938</v>
      </c>
      <c r="E2217" t="n">
        <v>3</v>
      </c>
      <c r="F2217" t="n">
        <v>2</v>
      </c>
      <c r="G2217" t="n">
        <v>2</v>
      </c>
      <c r="J2217" t="inlineStr">
        <is>
          <t>Moda</t>
        </is>
      </c>
      <c r="K2217" t="n">
        <v>2</v>
      </c>
      <c r="L2217" t="n">
        <v>1.772</v>
      </c>
      <c r="M2217" t="n">
        <v>0</v>
      </c>
      <c r="N2217" t="inlineStr">
        <is>
          <t>train</t>
        </is>
      </c>
      <c r="O2217">
        <f>HYPERLINK("2\1\marker_484_381223.png", "Ver Imagen")</f>
        <v/>
      </c>
      <c r="P2217">
        <f>HYPERLINK("NE\A-495\A-495__16.png", "Ver Imagen")</f>
        <v/>
      </c>
    </row>
    <row r="2218">
      <c r="A2218" t="n">
        <v>1669</v>
      </c>
      <c r="B2218" t="inlineStr">
        <is>
          <t>A-495__17</t>
        </is>
      </c>
      <c r="C2218" t="n">
        <v>37.4436738602</v>
      </c>
      <c r="D2218" t="n">
        <v>-7.0962244803</v>
      </c>
      <c r="E2218" t="n">
        <v>3</v>
      </c>
      <c r="F2218" t="n">
        <v>2</v>
      </c>
      <c r="G2218" t="n">
        <v>2</v>
      </c>
      <c r="J2218" t="inlineStr">
        <is>
          <t>Moda</t>
        </is>
      </c>
      <c r="K2218" t="n">
        <v>2</v>
      </c>
      <c r="L2218" t="n">
        <v>1.945</v>
      </c>
      <c r="M2218" t="n">
        <v>0</v>
      </c>
      <c r="N2218" t="inlineStr">
        <is>
          <t>train</t>
        </is>
      </c>
      <c r="O2218">
        <f>HYPERLINK("2\1\marker_153_381234.png", "Ver Imagen")</f>
        <v/>
      </c>
      <c r="P2218">
        <f>HYPERLINK("NE\A-495\A-495__17.png", "Ver Imagen")</f>
        <v/>
      </c>
    </row>
    <row r="2219">
      <c r="A2219" t="n">
        <v>1670</v>
      </c>
      <c r="B2219" t="inlineStr">
        <is>
          <t>A-495__21</t>
        </is>
      </c>
      <c r="C2219" t="n">
        <v>37.4433321683</v>
      </c>
      <c r="D2219" t="n">
        <v>-7.09532195543</v>
      </c>
      <c r="E2219" t="n">
        <v>3</v>
      </c>
      <c r="F2219" t="n">
        <v>2</v>
      </c>
      <c r="G2219" t="n">
        <v>2</v>
      </c>
      <c r="J2219" t="inlineStr">
        <is>
          <t>Moda</t>
        </is>
      </c>
      <c r="K2219" t="n">
        <v>2</v>
      </c>
      <c r="L2219" t="n">
        <v>2.067</v>
      </c>
      <c r="M2219" t="n">
        <v>0</v>
      </c>
      <c r="N2219" t="inlineStr">
        <is>
          <t>train</t>
        </is>
      </c>
      <c r="O2219">
        <f>HYPERLINK("2\1\marker_469_381302.png", "Ver Imagen")</f>
        <v/>
      </c>
      <c r="P2219">
        <f>HYPERLINK("NE\A-495\A-495__21.png", "Ver Imagen")</f>
        <v/>
      </c>
    </row>
    <row r="2220">
      <c r="A2220" t="n">
        <v>1671</v>
      </c>
      <c r="B2220" t="inlineStr">
        <is>
          <t>A-5059__71</t>
        </is>
      </c>
      <c r="C2220" t="n">
        <v>37.2228220488</v>
      </c>
      <c r="D2220" t="n">
        <v>-7.05572083969</v>
      </c>
      <c r="E2220" t="n">
        <v>3</v>
      </c>
      <c r="F2220" t="n">
        <v>2</v>
      </c>
      <c r="G2220" t="n">
        <v>2</v>
      </c>
      <c r="J2220" t="inlineStr">
        <is>
          <t>Moda</t>
        </is>
      </c>
      <c r="K2220" t="n">
        <v>2</v>
      </c>
      <c r="L2220" t="n">
        <v>2.091</v>
      </c>
      <c r="M2220" t="n">
        <v>0</v>
      </c>
      <c r="N2220" t="inlineStr">
        <is>
          <t>train</t>
        </is>
      </c>
      <c r="O2220">
        <f>HYPERLINK("2\1\marker_752_378838.png", "Ver Imagen")</f>
        <v/>
      </c>
      <c r="P2220">
        <f>HYPERLINK("SE\A-5059\A-5059__71.png", "Ver Imagen")</f>
        <v/>
      </c>
    </row>
    <row r="2221">
      <c r="A2221" t="n">
        <v>1673</v>
      </c>
      <c r="B2221" t="inlineStr">
        <is>
          <t>A-5058__52</t>
        </is>
      </c>
      <c r="C2221" t="n">
        <v>37.2249656605</v>
      </c>
      <c r="D2221" t="n">
        <v>-7.03999839446</v>
      </c>
      <c r="E2221" t="n">
        <v>2</v>
      </c>
      <c r="F2221" t="n">
        <v>2</v>
      </c>
      <c r="G2221" t="n">
        <v>3</v>
      </c>
      <c r="J2221" t="inlineStr">
        <is>
          <t>Moda</t>
        </is>
      </c>
      <c r="K2221" t="n">
        <v>2</v>
      </c>
      <c r="L2221" t="n">
        <v>1.765</v>
      </c>
      <c r="M2221" t="n">
        <v>0</v>
      </c>
      <c r="N2221" t="inlineStr">
        <is>
          <t>train</t>
        </is>
      </c>
      <c r="O2221">
        <f>HYPERLINK("2\1\marker_828_380551.png", "Ver Imagen")</f>
        <v/>
      </c>
      <c r="P2221">
        <f>HYPERLINK("SE\A-5058\A-5058__52.png", "Ver Imagen")</f>
        <v/>
      </c>
    </row>
    <row r="2222">
      <c r="A2222" t="n">
        <v>1675</v>
      </c>
      <c r="B2222" t="inlineStr">
        <is>
          <t>A-5058__61</t>
        </is>
      </c>
      <c r="C2222" t="n">
        <v>37.2256797538</v>
      </c>
      <c r="D2222" t="n">
        <v>-7.04209020497</v>
      </c>
      <c r="E2222" t="n">
        <v>2</v>
      </c>
      <c r="F2222" t="n">
        <v>2</v>
      </c>
      <c r="G2222" t="n">
        <v>3</v>
      </c>
      <c r="J2222" t="inlineStr">
        <is>
          <t>Moda</t>
        </is>
      </c>
      <c r="K2222" t="n">
        <v>2</v>
      </c>
      <c r="L2222" t="n">
        <v>1.766</v>
      </c>
      <c r="M2222" t="n">
        <v>0</v>
      </c>
      <c r="N2222" t="inlineStr">
        <is>
          <t>train</t>
        </is>
      </c>
      <c r="O2222">
        <f>HYPERLINK("2\1\marker_519_380655.png", "Ver Imagen")</f>
        <v/>
      </c>
      <c r="P2222">
        <f>HYPERLINK("SE\A-5058\A-5058__61.png", "Ver Imagen")</f>
        <v/>
      </c>
    </row>
    <row r="2223">
      <c r="A2223" t="n">
        <v>1677</v>
      </c>
      <c r="B2223" t="inlineStr">
        <is>
          <t>A-5058__66</t>
        </is>
      </c>
      <c r="C2223" t="n">
        <v>37.2261807465</v>
      </c>
      <c r="D2223" t="n">
        <v>-7.04319219018</v>
      </c>
      <c r="E2223" t="n">
        <v>2</v>
      </c>
      <c r="F2223" t="n">
        <v>2</v>
      </c>
      <c r="G2223" t="n">
        <v>3</v>
      </c>
      <c r="J2223" t="inlineStr">
        <is>
          <t>Moda</t>
        </is>
      </c>
      <c r="K2223" t="n">
        <v>2</v>
      </c>
      <c r="L2223" t="n">
        <v>1.938</v>
      </c>
      <c r="M2223" t="n">
        <v>0</v>
      </c>
      <c r="N2223" t="inlineStr">
        <is>
          <t>train</t>
        </is>
      </c>
      <c r="O2223">
        <f>HYPERLINK("2\1\marker_526_380711.png", "Ver Imagen")</f>
        <v/>
      </c>
      <c r="P2223">
        <f>HYPERLINK("SE\A-5058\A-5058__66.png", "Ver Imagen")</f>
        <v/>
      </c>
    </row>
    <row r="2224">
      <c r="A2224" t="n">
        <v>1678</v>
      </c>
      <c r="B2224" t="inlineStr">
        <is>
          <t>A-5058__67</t>
        </is>
      </c>
      <c r="C2224" t="n">
        <v>37.2262721872</v>
      </c>
      <c r="D2224" t="n">
        <v>-7.04339229699</v>
      </c>
      <c r="E2224" t="n">
        <v>2</v>
      </c>
      <c r="F2224" t="n">
        <v>2</v>
      </c>
      <c r="G2224" t="n">
        <v>3</v>
      </c>
      <c r="J2224" t="inlineStr">
        <is>
          <t>Moda</t>
        </is>
      </c>
      <c r="K2224" t="n">
        <v>2</v>
      </c>
      <c r="L2224" t="n">
        <v>1.755</v>
      </c>
      <c r="M2224" t="n">
        <v>0</v>
      </c>
      <c r="N2224" t="inlineStr">
        <is>
          <t>train</t>
        </is>
      </c>
      <c r="O2224">
        <f>HYPERLINK("2\1\marker_766_380726.png", "Ver Imagen")</f>
        <v/>
      </c>
      <c r="P2224">
        <f>HYPERLINK("SE\A-5058\A-5058__67.png", "Ver Imagen")</f>
        <v/>
      </c>
    </row>
    <row r="2225">
      <c r="A2225" t="n">
        <v>1679</v>
      </c>
      <c r="B2225" t="inlineStr">
        <is>
          <t>A-5058__69</t>
        </is>
      </c>
      <c r="C2225" t="n">
        <v>37.2264886288</v>
      </c>
      <c r="D2225" t="n">
        <v>-7.04386604492</v>
      </c>
      <c r="E2225" t="n">
        <v>2</v>
      </c>
      <c r="F2225" t="n">
        <v>2</v>
      </c>
      <c r="G2225" t="n">
        <v>3</v>
      </c>
      <c r="J2225" t="inlineStr">
        <is>
          <t>Moda</t>
        </is>
      </c>
      <c r="K2225" t="n">
        <v>2</v>
      </c>
      <c r="L2225" t="n">
        <v>2.089</v>
      </c>
      <c r="M2225" t="n">
        <v>0</v>
      </c>
      <c r="N2225" t="inlineStr">
        <is>
          <t>train</t>
        </is>
      </c>
      <c r="O2225">
        <f>HYPERLINK("2\1\marker_351_380746.png", "Ver Imagen")</f>
        <v/>
      </c>
      <c r="P2225">
        <f>HYPERLINK("SE\A-5058\A-5058__69.png", "Ver Imagen")</f>
        <v/>
      </c>
    </row>
    <row r="2226">
      <c r="A2226" t="n">
        <v>1680</v>
      </c>
      <c r="B2226" t="inlineStr">
        <is>
          <t>A-5058__70</t>
        </is>
      </c>
      <c r="C2226" t="n">
        <v>37.2265824713</v>
      </c>
      <c r="D2226" t="n">
        <v>-7.04406029752</v>
      </c>
      <c r="E2226" t="n">
        <v>2</v>
      </c>
      <c r="F2226" t="n">
        <v>2</v>
      </c>
      <c r="G2226" t="n">
        <v>3</v>
      </c>
      <c r="J2226" t="inlineStr">
        <is>
          <t>Moda</t>
        </is>
      </c>
      <c r="K2226" t="n">
        <v>2</v>
      </c>
      <c r="L2226" t="n">
        <v>2.24</v>
      </c>
      <c r="M2226" t="n">
        <v>0</v>
      </c>
      <c r="N2226" t="inlineStr">
        <is>
          <t>train</t>
        </is>
      </c>
      <c r="O2226">
        <f>HYPERLINK("2\1\marker_670_380755.png", "Ver Imagen")</f>
        <v/>
      </c>
      <c r="P2226">
        <f>HYPERLINK("SE\A-5058\A-5058__70.png", "Ver Imagen")</f>
        <v/>
      </c>
    </row>
    <row r="2227">
      <c r="A2227" t="n">
        <v>1681</v>
      </c>
      <c r="B2227" t="inlineStr">
        <is>
          <t>A-5058__74</t>
        </is>
      </c>
      <c r="C2227" t="n">
        <v>37.2270935639</v>
      </c>
      <c r="D2227" t="n">
        <v>-7.04483731124</v>
      </c>
      <c r="E2227" t="n">
        <v>2</v>
      </c>
      <c r="F2227" t="n">
        <v>2</v>
      </c>
      <c r="G2227" t="n">
        <v>3</v>
      </c>
      <c r="J2227" t="inlineStr">
        <is>
          <t>Moda</t>
        </is>
      </c>
      <c r="K2227" t="n">
        <v>2</v>
      </c>
      <c r="L2227" t="n">
        <v>1.779</v>
      </c>
      <c r="M2227" t="n">
        <v>0</v>
      </c>
      <c r="N2227" t="inlineStr">
        <is>
          <t>train</t>
        </is>
      </c>
      <c r="O2227">
        <f>HYPERLINK("2\1\marker_246_380794.png", "Ver Imagen")</f>
        <v/>
      </c>
      <c r="P2227">
        <f>HYPERLINK("SE\A-5058\A-5058__74.png", "Ver Imagen")</f>
        <v/>
      </c>
    </row>
    <row r="2228">
      <c r="A2228" t="n">
        <v>1682</v>
      </c>
      <c r="B2228" t="inlineStr">
        <is>
          <t>A-5058__76</t>
        </is>
      </c>
      <c r="C2228" t="n">
        <v>37.2274011958</v>
      </c>
      <c r="D2228" t="n">
        <v>-7.04514636118</v>
      </c>
      <c r="E2228" t="n">
        <v>3</v>
      </c>
      <c r="F2228" t="n">
        <v>2</v>
      </c>
      <c r="G2228" t="n">
        <v>2</v>
      </c>
      <c r="J2228" t="inlineStr">
        <is>
          <t>Moda</t>
        </is>
      </c>
      <c r="K2228" t="n">
        <v>2</v>
      </c>
      <c r="L2228" t="n">
        <v>2.336</v>
      </c>
      <c r="M2228" t="n">
        <v>0</v>
      </c>
      <c r="N2228" t="inlineStr">
        <is>
          <t>train</t>
        </is>
      </c>
      <c r="O2228">
        <f>HYPERLINK("2\1\marker_321_380819.png", "Ver Imagen")</f>
        <v/>
      </c>
      <c r="P2228">
        <f>HYPERLINK("SE\A-5058\A-5058__76.png", "Ver Imagen")</f>
        <v/>
      </c>
    </row>
    <row r="2229">
      <c r="A2229" t="n">
        <v>1683</v>
      </c>
      <c r="B2229" t="inlineStr">
        <is>
          <t>A-5058__77</t>
        </is>
      </c>
      <c r="C2229" t="n">
        <v>37.2275763192</v>
      </c>
      <c r="D2229" t="n">
        <v>-7.04531227155</v>
      </c>
      <c r="E2229" t="n">
        <v>3</v>
      </c>
      <c r="F2229" t="n">
        <v>2</v>
      </c>
      <c r="G2229" t="n">
        <v>2</v>
      </c>
      <c r="J2229" t="inlineStr">
        <is>
          <t>Moda</t>
        </is>
      </c>
      <c r="K2229" t="n">
        <v>2</v>
      </c>
      <c r="L2229" t="n">
        <v>1.878</v>
      </c>
      <c r="M2229" t="n">
        <v>0</v>
      </c>
      <c r="N2229" t="inlineStr">
        <is>
          <t>train</t>
        </is>
      </c>
      <c r="O2229">
        <f>HYPERLINK("2\1\marker_934_380828.png", "Ver Imagen")</f>
        <v/>
      </c>
      <c r="P2229">
        <f>HYPERLINK("SE\A-5058\A-5058__77.png", "Ver Imagen")</f>
        <v/>
      </c>
    </row>
    <row r="2230">
      <c r="A2230" t="n">
        <v>1684</v>
      </c>
      <c r="B2230" t="inlineStr">
        <is>
          <t>A-5058__78</t>
        </is>
      </c>
      <c r="C2230" t="n">
        <v>37.2277269454</v>
      </c>
      <c r="D2230" t="n">
        <v>-7.04545430925</v>
      </c>
      <c r="E2230" t="n">
        <v>2</v>
      </c>
      <c r="F2230" t="n">
        <v>2</v>
      </c>
      <c r="G2230" t="n">
        <v>3</v>
      </c>
      <c r="J2230" t="inlineStr">
        <is>
          <t>Moda</t>
        </is>
      </c>
      <c r="K2230" t="n">
        <v>2</v>
      </c>
      <c r="L2230" t="n">
        <v>1.995</v>
      </c>
      <c r="M2230" t="n">
        <v>0</v>
      </c>
      <c r="N2230" t="inlineStr">
        <is>
          <t>train</t>
        </is>
      </c>
      <c r="O2230">
        <f>HYPERLINK("2\1\marker_692_380839.png", "Ver Imagen")</f>
        <v/>
      </c>
      <c r="P2230">
        <f>HYPERLINK("SE\A-5058\A-5058__78.png", "Ver Imagen")</f>
        <v/>
      </c>
    </row>
    <row r="2231">
      <c r="A2231" t="n">
        <v>1685</v>
      </c>
      <c r="B2231" t="inlineStr">
        <is>
          <t>A-5058__82</t>
        </is>
      </c>
      <c r="C2231" t="n">
        <v>37.2283423206</v>
      </c>
      <c r="D2231" t="n">
        <v>-7.04610001366</v>
      </c>
      <c r="E2231" t="n">
        <v>2</v>
      </c>
      <c r="F2231" t="n">
        <v>2</v>
      </c>
      <c r="G2231" t="n">
        <v>3</v>
      </c>
      <c r="J2231" t="inlineStr">
        <is>
          <t>Moda</t>
        </is>
      </c>
      <c r="K2231" t="n">
        <v>2</v>
      </c>
      <c r="L2231" t="n">
        <v>2.052</v>
      </c>
      <c r="M2231" t="n">
        <v>0</v>
      </c>
      <c r="N2231" t="inlineStr">
        <is>
          <t>train</t>
        </is>
      </c>
      <c r="O2231">
        <f>HYPERLINK("2\1\marker_690_380886.png", "Ver Imagen")</f>
        <v/>
      </c>
      <c r="P2231">
        <f>HYPERLINK("SE\A-5058\A-5058__82.png", "Ver Imagen")</f>
        <v/>
      </c>
    </row>
    <row r="2232">
      <c r="A2232" t="n">
        <v>1686</v>
      </c>
      <c r="B2232" t="inlineStr">
        <is>
          <t>A-5058__83</t>
        </is>
      </c>
      <c r="C2232" t="n">
        <v>37.2284929521</v>
      </c>
      <c r="D2232" t="n">
        <v>-7.04628761626</v>
      </c>
      <c r="E2232" t="n">
        <v>2</v>
      </c>
      <c r="F2232" t="n">
        <v>2</v>
      </c>
      <c r="G2232" t="n">
        <v>3</v>
      </c>
      <c r="J2232" t="inlineStr">
        <is>
          <t>Moda</t>
        </is>
      </c>
      <c r="K2232" t="n">
        <v>2</v>
      </c>
      <c r="L2232" t="n">
        <v>2.042</v>
      </c>
      <c r="M2232" t="n">
        <v>0</v>
      </c>
      <c r="N2232" t="inlineStr">
        <is>
          <t>train</t>
        </is>
      </c>
      <c r="O2232">
        <f>HYPERLINK("2\1\marker_462_380905.png", "Ver Imagen")</f>
        <v/>
      </c>
      <c r="P2232">
        <f>HYPERLINK("SE\A-5058\A-5058__83.png", "Ver Imagen")</f>
        <v/>
      </c>
    </row>
    <row r="2233">
      <c r="A2233" t="n">
        <v>1687</v>
      </c>
      <c r="B2233" t="inlineStr">
        <is>
          <t>A-5058__84</t>
        </is>
      </c>
      <c r="C2233" t="n">
        <v>37.228635919</v>
      </c>
      <c r="D2233" t="n">
        <v>-7.04648217511</v>
      </c>
      <c r="E2233" t="n">
        <v>2</v>
      </c>
      <c r="F2233" t="n">
        <v>2</v>
      </c>
      <c r="G2233" t="n">
        <v>3</v>
      </c>
      <c r="J2233" t="inlineStr">
        <is>
          <t>Moda</t>
        </is>
      </c>
      <c r="K2233" t="n">
        <v>2</v>
      </c>
      <c r="L2233" t="n">
        <v>2.094</v>
      </c>
      <c r="M2233" t="n">
        <v>0</v>
      </c>
      <c r="N2233" t="inlineStr">
        <is>
          <t>train</t>
        </is>
      </c>
      <c r="O2233">
        <f>HYPERLINK("2\1\marker_143_380919.png", "Ver Imagen")</f>
        <v/>
      </c>
      <c r="P2233">
        <f>HYPERLINK("SE\A-5058\A-5058__84.png", "Ver Imagen")</f>
        <v/>
      </c>
    </row>
    <row r="2234">
      <c r="A2234" t="n">
        <v>1689</v>
      </c>
      <c r="B2234" t="inlineStr">
        <is>
          <t>A-5058__88</t>
        </is>
      </c>
      <c r="C2234" t="n">
        <v>37.2291334763</v>
      </c>
      <c r="D2234" t="n">
        <v>-7.04726264875</v>
      </c>
      <c r="E2234" t="n">
        <v>2</v>
      </c>
      <c r="F2234" t="n">
        <v>2</v>
      </c>
      <c r="G2234" t="n">
        <v>3</v>
      </c>
      <c r="J2234" t="inlineStr">
        <is>
          <t>Moda</t>
        </is>
      </c>
      <c r="K2234" t="n">
        <v>2</v>
      </c>
      <c r="L2234" t="n">
        <v>1.81</v>
      </c>
      <c r="M2234" t="n">
        <v>0</v>
      </c>
      <c r="N2234" t="inlineStr">
        <is>
          <t>train</t>
        </is>
      </c>
      <c r="O2234">
        <f>HYPERLINK("2\1\marker_557_380964.png", "Ver Imagen")</f>
        <v/>
      </c>
      <c r="P2234">
        <f>HYPERLINK("SE\A-5058\A-5058__88.png", "Ver Imagen")</f>
        <v/>
      </c>
    </row>
    <row r="2235">
      <c r="A2235" t="n">
        <v>1690</v>
      </c>
      <c r="B2235" t="inlineStr">
        <is>
          <t>A-5058__89</t>
        </is>
      </c>
      <c r="C2235" t="n">
        <v>37.2292575335</v>
      </c>
      <c r="D2235" t="n">
        <v>-7.04746745425</v>
      </c>
      <c r="E2235" t="n">
        <v>2</v>
      </c>
      <c r="F2235" t="n">
        <v>2</v>
      </c>
      <c r="G2235" t="n">
        <v>3</v>
      </c>
      <c r="J2235" t="inlineStr">
        <is>
          <t>Moda</t>
        </is>
      </c>
      <c r="K2235" t="n">
        <v>2</v>
      </c>
      <c r="L2235" t="n">
        <v>1.826</v>
      </c>
      <c r="M2235" t="n">
        <v>0</v>
      </c>
      <c r="N2235" t="inlineStr">
        <is>
          <t>train</t>
        </is>
      </c>
      <c r="O2235">
        <f>HYPERLINK("2\1\marker_375_380973.png", "Ver Imagen")</f>
        <v/>
      </c>
      <c r="P2235">
        <f>HYPERLINK("SE\A-5058\A-5058__89.png", "Ver Imagen")</f>
        <v/>
      </c>
    </row>
    <row r="2236">
      <c r="A2236" t="n">
        <v>1691</v>
      </c>
      <c r="B2236" t="inlineStr">
        <is>
          <t>A-5058__90</t>
        </is>
      </c>
      <c r="C2236" t="n">
        <v>37.2293765596</v>
      </c>
      <c r="D2236" t="n">
        <v>-7.04766463575</v>
      </c>
      <c r="E2236" t="n">
        <v>2</v>
      </c>
      <c r="F2236" t="n">
        <v>2</v>
      </c>
      <c r="G2236" t="n">
        <v>3</v>
      </c>
      <c r="J2236" t="inlineStr">
        <is>
          <t>Moda</t>
        </is>
      </c>
      <c r="K2236" t="n">
        <v>2</v>
      </c>
      <c r="L2236" t="n">
        <v>2.07</v>
      </c>
      <c r="M2236" t="n">
        <v>0</v>
      </c>
      <c r="N2236" t="inlineStr">
        <is>
          <t>train</t>
        </is>
      </c>
      <c r="O2236">
        <f>HYPERLINK("2\1\marker_555_380986.png", "Ver Imagen")</f>
        <v/>
      </c>
      <c r="P2236">
        <f>HYPERLINK("SE\A-5058\A-5058__90.png", "Ver Imagen")</f>
        <v/>
      </c>
    </row>
    <row r="2237">
      <c r="A2237" t="n">
        <v>1692</v>
      </c>
      <c r="B2237" t="inlineStr">
        <is>
          <t>A-5058__91</t>
        </is>
      </c>
      <c r="C2237" t="n">
        <v>37.2295000947</v>
      </c>
      <c r="D2237" t="n">
        <v>-7.04787172681</v>
      </c>
      <c r="E2237" t="n">
        <v>2</v>
      </c>
      <c r="F2237" t="n">
        <v>2</v>
      </c>
      <c r="G2237" t="n">
        <v>3</v>
      </c>
      <c r="J2237" t="inlineStr">
        <is>
          <t>Moda</t>
        </is>
      </c>
      <c r="K2237" t="n">
        <v>2</v>
      </c>
      <c r="L2237" t="n">
        <v>2.252</v>
      </c>
      <c r="M2237" t="n">
        <v>0</v>
      </c>
      <c r="N2237" t="inlineStr">
        <is>
          <t>test</t>
        </is>
      </c>
      <c r="O2237">
        <f>HYPERLINK("2\1\marker_367_381014.png", "Ver Imagen")</f>
        <v/>
      </c>
      <c r="P2237">
        <f>HYPERLINK("SE\A-5058\A-5058__91.png", "Ver Imagen")</f>
        <v/>
      </c>
    </row>
    <row r="2238">
      <c r="A2238" t="n">
        <v>1693</v>
      </c>
      <c r="B2238" t="inlineStr">
        <is>
          <t>A-5058__92</t>
        </is>
      </c>
      <c r="C2238" t="n">
        <v>37.229620822</v>
      </c>
      <c r="D2238" t="n">
        <v>-7.04807459834</v>
      </c>
      <c r="E2238" t="n">
        <v>2</v>
      </c>
      <c r="F2238" t="n">
        <v>2</v>
      </c>
      <c r="G2238" t="n">
        <v>3</v>
      </c>
      <c r="J2238" t="inlineStr">
        <is>
          <t>Moda</t>
        </is>
      </c>
      <c r="K2238" t="n">
        <v>2</v>
      </c>
      <c r="L2238" t="n">
        <v>2.11</v>
      </c>
      <c r="M2238" t="n">
        <v>0</v>
      </c>
      <c r="N2238" t="inlineStr">
        <is>
          <t>train</t>
        </is>
      </c>
      <c r="O2238">
        <f>HYPERLINK("2\1\marker_491_381024.png", "Ver Imagen")</f>
        <v/>
      </c>
      <c r="P2238">
        <f>HYPERLINK("SE\A-5058\A-5058__92.png", "Ver Imagen")</f>
        <v/>
      </c>
    </row>
    <row r="2239">
      <c r="A2239" t="n">
        <v>1694</v>
      </c>
      <c r="B2239" t="inlineStr">
        <is>
          <t>A-5058__94</t>
        </is>
      </c>
      <c r="C2239" t="n">
        <v>37.2298710844</v>
      </c>
      <c r="D2239" t="n">
        <v>-7.04849331505</v>
      </c>
      <c r="E2239" t="n">
        <v>2</v>
      </c>
      <c r="F2239" t="n">
        <v>2</v>
      </c>
      <c r="G2239" t="n">
        <v>3</v>
      </c>
      <c r="J2239" t="inlineStr">
        <is>
          <t>Moda</t>
        </is>
      </c>
      <c r="K2239" t="n">
        <v>2</v>
      </c>
      <c r="L2239" t="n">
        <v>2.383</v>
      </c>
      <c r="M2239" t="n">
        <v>0</v>
      </c>
      <c r="N2239" t="inlineStr">
        <is>
          <t>train</t>
        </is>
      </c>
      <c r="O2239">
        <f>HYPERLINK("2\1\marker_277_381051.png", "Ver Imagen")</f>
        <v/>
      </c>
      <c r="P2239">
        <f>HYPERLINK("SE\A-5058\A-5058__94.png", "Ver Imagen")</f>
        <v/>
      </c>
    </row>
    <row r="2240">
      <c r="A2240" t="n">
        <v>1695</v>
      </c>
      <c r="B2240" t="inlineStr">
        <is>
          <t>A-5058__95</t>
        </is>
      </c>
      <c r="C2240" t="n">
        <v>37.2300034154</v>
      </c>
      <c r="D2240" t="n">
        <v>-7.04871344828</v>
      </c>
      <c r="E2240" t="n">
        <v>2</v>
      </c>
      <c r="F2240" t="n">
        <v>2</v>
      </c>
      <c r="G2240" t="n">
        <v>3</v>
      </c>
      <c r="J2240" t="inlineStr">
        <is>
          <t>Moda</t>
        </is>
      </c>
      <c r="K2240" t="n">
        <v>2</v>
      </c>
      <c r="L2240" t="n">
        <v>2.209</v>
      </c>
      <c r="M2240" t="n">
        <v>0</v>
      </c>
      <c r="N2240" t="inlineStr">
        <is>
          <t>train</t>
        </is>
      </c>
      <c r="O2240">
        <f>HYPERLINK("2\1\marker_898_381061.png", "Ver Imagen")</f>
        <v/>
      </c>
      <c r="P2240">
        <f>HYPERLINK("SE\A-5058\A-5058__95.png", "Ver Imagen")</f>
        <v/>
      </c>
    </row>
    <row r="2241">
      <c r="A2241" t="n">
        <v>1696</v>
      </c>
      <c r="B2241" t="inlineStr">
        <is>
          <t>A-5058__98</t>
        </is>
      </c>
      <c r="C2241" t="n">
        <v>37.2303486867</v>
      </c>
      <c r="D2241" t="n">
        <v>-7.04928790523</v>
      </c>
      <c r="E2241" t="n">
        <v>2</v>
      </c>
      <c r="F2241" t="n">
        <v>2</v>
      </c>
      <c r="G2241" t="n">
        <v>3</v>
      </c>
      <c r="J2241" t="inlineStr">
        <is>
          <t>Moda</t>
        </is>
      </c>
      <c r="K2241" t="n">
        <v>2</v>
      </c>
      <c r="L2241" t="n">
        <v>1.801</v>
      </c>
      <c r="M2241" t="n">
        <v>0</v>
      </c>
      <c r="N2241" t="inlineStr">
        <is>
          <t>train</t>
        </is>
      </c>
      <c r="O2241">
        <f>HYPERLINK("2\1\marker_771_381090.png", "Ver Imagen")</f>
        <v/>
      </c>
      <c r="P2241">
        <f>HYPERLINK("SE\A-5058\A-5058__98.png", "Ver Imagen")</f>
        <v/>
      </c>
    </row>
    <row r="2242">
      <c r="A2242" t="n">
        <v>1697</v>
      </c>
      <c r="B2242" t="inlineStr">
        <is>
          <t>A-5058__105</t>
        </is>
      </c>
      <c r="C2242" t="n">
        <v>37.2311662232</v>
      </c>
      <c r="D2242" t="n">
        <v>-7.05072991893</v>
      </c>
      <c r="E2242" t="n">
        <v>2</v>
      </c>
      <c r="F2242" t="n">
        <v>2</v>
      </c>
      <c r="G2242" t="n">
        <v>3</v>
      </c>
      <c r="J2242" t="inlineStr">
        <is>
          <t>Moda</t>
        </is>
      </c>
      <c r="K2242" t="n">
        <v>2</v>
      </c>
      <c r="L2242" t="n">
        <v>1.94</v>
      </c>
      <c r="M2242" t="n">
        <v>0</v>
      </c>
      <c r="N2242" t="inlineStr">
        <is>
          <t>train</t>
        </is>
      </c>
      <c r="O2242">
        <f>HYPERLINK("2\1\marker_968_381185.png", "Ver Imagen")</f>
        <v/>
      </c>
      <c r="P2242">
        <f>HYPERLINK("SE\A-5058\A-5058__105.png", "Ver Imagen")</f>
        <v/>
      </c>
    </row>
    <row r="2243">
      <c r="A2243" t="n">
        <v>1698</v>
      </c>
      <c r="B2243" t="inlineStr">
        <is>
          <t>A-5058__108</t>
        </is>
      </c>
      <c r="C2243" t="n">
        <v>37.2315063081</v>
      </c>
      <c r="D2243" t="n">
        <v>-7.05137998947</v>
      </c>
      <c r="E2243" t="n">
        <v>2</v>
      </c>
      <c r="F2243" t="n">
        <v>2</v>
      </c>
      <c r="G2243" t="n">
        <v>3</v>
      </c>
      <c r="J2243" t="inlineStr">
        <is>
          <t>Moda</t>
        </is>
      </c>
      <c r="K2243" t="n">
        <v>2</v>
      </c>
      <c r="L2243" t="n">
        <v>1.85</v>
      </c>
      <c r="M2243" t="n">
        <v>0</v>
      </c>
      <c r="N2243" t="inlineStr">
        <is>
          <t>train</t>
        </is>
      </c>
      <c r="O2243">
        <f>HYPERLINK("2\1\marker_869_381219.png", "Ver Imagen")</f>
        <v/>
      </c>
      <c r="P2243">
        <f>HYPERLINK("SE\A-5058\A-5058__108.png", "Ver Imagen")</f>
        <v/>
      </c>
    </row>
    <row r="2244">
      <c r="A2244" t="n">
        <v>1699</v>
      </c>
      <c r="B2244" t="inlineStr">
        <is>
          <t>A-5058__114</t>
        </is>
      </c>
      <c r="C2244" t="n">
        <v>37.2321794718</v>
      </c>
      <c r="D2244" t="n">
        <v>-7.05263215183</v>
      </c>
      <c r="E2244" t="n">
        <v>2</v>
      </c>
      <c r="F2244" t="n">
        <v>2</v>
      </c>
      <c r="G2244" t="n">
        <v>3</v>
      </c>
      <c r="J2244" t="inlineStr">
        <is>
          <t>Moda</t>
        </is>
      </c>
      <c r="K2244" t="n">
        <v>2</v>
      </c>
      <c r="L2244" t="n">
        <v>2.051</v>
      </c>
      <c r="M2244" t="n">
        <v>0</v>
      </c>
      <c r="N2244" t="inlineStr">
        <is>
          <t>train</t>
        </is>
      </c>
      <c r="O2244">
        <f>HYPERLINK("2\1\marker_427_381283.png", "Ver Imagen")</f>
        <v/>
      </c>
      <c r="P2244">
        <f>HYPERLINK("SE\A-5058\A-5058__114.png", "Ver Imagen")</f>
        <v/>
      </c>
    </row>
    <row r="2245">
      <c r="A2245" t="n">
        <v>1700</v>
      </c>
      <c r="B2245" t="inlineStr">
        <is>
          <t>A-5058__117</t>
        </is>
      </c>
      <c r="C2245" t="n">
        <v>37.2325307192</v>
      </c>
      <c r="D2245" t="n">
        <v>-7.05328284338</v>
      </c>
      <c r="E2245" t="n">
        <v>2</v>
      </c>
      <c r="F2245" t="n">
        <v>2</v>
      </c>
      <c r="G2245" t="n">
        <v>3</v>
      </c>
      <c r="J2245" t="inlineStr">
        <is>
          <t>Moda</t>
        </is>
      </c>
      <c r="K2245" t="n">
        <v>2</v>
      </c>
      <c r="L2245" t="n">
        <v>2.457</v>
      </c>
      <c r="M2245" t="n">
        <v>0</v>
      </c>
      <c r="N2245" t="inlineStr">
        <is>
          <t>val</t>
        </is>
      </c>
      <c r="O2245">
        <f>HYPERLINK("2\1\marker_955_381315.png", "Ver Imagen")</f>
        <v/>
      </c>
      <c r="P2245">
        <f>HYPERLINK("SE\A-5058\A-5058__117.png", "Ver Imagen")</f>
        <v/>
      </c>
    </row>
    <row r="2246">
      <c r="A2246" t="n">
        <v>1701</v>
      </c>
      <c r="B2246" t="inlineStr">
        <is>
          <t>A-5058__119</t>
        </is>
      </c>
      <c r="C2246" t="n">
        <v>37.2327383632</v>
      </c>
      <c r="D2246" t="n">
        <v>-7.05370918448</v>
      </c>
      <c r="E2246" t="n">
        <v>2</v>
      </c>
      <c r="F2246" t="n">
        <v>2</v>
      </c>
      <c r="G2246" t="n">
        <v>3</v>
      </c>
      <c r="J2246" t="inlineStr">
        <is>
          <t>Moda</t>
        </is>
      </c>
      <c r="K2246" t="n">
        <v>2</v>
      </c>
      <c r="L2246" t="n">
        <v>1.934</v>
      </c>
      <c r="M2246" t="n">
        <v>0</v>
      </c>
      <c r="N2246" t="inlineStr">
        <is>
          <t>train</t>
        </is>
      </c>
      <c r="O2246">
        <f>HYPERLINK("2\1\marker_789_381334.png", "Ver Imagen")</f>
        <v/>
      </c>
      <c r="P2246">
        <f>HYPERLINK("SE\A-5058\A-5058__119.png", "Ver Imagen")</f>
        <v/>
      </c>
    </row>
    <row r="2247">
      <c r="A2247" t="n">
        <v>1702</v>
      </c>
      <c r="B2247" t="inlineStr">
        <is>
          <t>A-5058__120</t>
        </is>
      </c>
      <c r="C2247" t="n">
        <v>37.2328278614</v>
      </c>
      <c r="D2247" t="n">
        <v>-7.05391945411</v>
      </c>
      <c r="E2247" t="n">
        <v>2</v>
      </c>
      <c r="F2247" t="n">
        <v>2</v>
      </c>
      <c r="G2247" t="n">
        <v>3</v>
      </c>
      <c r="J2247" t="inlineStr">
        <is>
          <t>Moda</t>
        </is>
      </c>
      <c r="K2247" t="n">
        <v>2</v>
      </c>
      <c r="L2247" t="n">
        <v>2.17</v>
      </c>
      <c r="M2247" t="n">
        <v>0</v>
      </c>
      <c r="N2247" t="inlineStr">
        <is>
          <t>val</t>
        </is>
      </c>
      <c r="O2247">
        <f>HYPERLINK("2\1\marker_215_381342.png", "Ver Imagen")</f>
        <v/>
      </c>
      <c r="P2247">
        <f>HYPERLINK("SE\A-5058\A-5058__120.png", "Ver Imagen")</f>
        <v/>
      </c>
    </row>
    <row r="2248">
      <c r="A2248" t="n">
        <v>1703</v>
      </c>
      <c r="B2248" t="inlineStr">
        <is>
          <t>A-5058__121</t>
        </is>
      </c>
      <c r="C2248" t="n">
        <v>37.2329224331</v>
      </c>
      <c r="D2248" t="n">
        <v>-7.05415626657</v>
      </c>
      <c r="E2248" t="n">
        <v>2</v>
      </c>
      <c r="F2248" t="n">
        <v>2</v>
      </c>
      <c r="G2248" t="n">
        <v>3</v>
      </c>
      <c r="J2248" t="inlineStr">
        <is>
          <t>Moda</t>
        </is>
      </c>
      <c r="K2248" t="n">
        <v>2</v>
      </c>
      <c r="L2248" t="n">
        <v>2.243</v>
      </c>
      <c r="M2248" t="n">
        <v>0</v>
      </c>
      <c r="N2248" t="inlineStr">
        <is>
          <t>train</t>
        </is>
      </c>
      <c r="O2248">
        <f>HYPERLINK("2\1\marker_716_381351.png", "Ver Imagen")</f>
        <v/>
      </c>
      <c r="P2248">
        <f>HYPERLINK("SE\A-5058\A-5058__121.png", "Ver Imagen")</f>
        <v/>
      </c>
    </row>
    <row r="2249">
      <c r="A2249" t="n">
        <v>1704</v>
      </c>
      <c r="B2249" t="inlineStr">
        <is>
          <t>A-5058__122</t>
        </is>
      </c>
      <c r="C2249" t="n">
        <v>37.2330057404</v>
      </c>
      <c r="D2249" t="n">
        <v>-7.05438361736</v>
      </c>
      <c r="E2249" t="n">
        <v>2</v>
      </c>
      <c r="F2249" t="n">
        <v>2</v>
      </c>
      <c r="G2249" t="n">
        <v>3</v>
      </c>
      <c r="J2249" t="inlineStr">
        <is>
          <t>Moda</t>
        </is>
      </c>
      <c r="K2249" t="n">
        <v>2</v>
      </c>
      <c r="L2249" t="n">
        <v>2.232</v>
      </c>
      <c r="M2249" t="n">
        <v>0</v>
      </c>
      <c r="N2249" t="inlineStr">
        <is>
          <t>train</t>
        </is>
      </c>
      <c r="O2249">
        <f>HYPERLINK("2\1\marker_899_381360.png", "Ver Imagen")</f>
        <v/>
      </c>
      <c r="P2249">
        <f>HYPERLINK("SE\A-5058\A-5058__122.png", "Ver Imagen")</f>
        <v/>
      </c>
    </row>
    <row r="2250">
      <c r="A2250" t="n">
        <v>1705</v>
      </c>
      <c r="B2250" t="inlineStr">
        <is>
          <t>A-5058__123</t>
        </is>
      </c>
      <c r="C2250" t="n">
        <v>37.2330787923</v>
      </c>
      <c r="D2250" t="n">
        <v>-7.05461009127</v>
      </c>
      <c r="E2250" t="n">
        <v>2</v>
      </c>
      <c r="F2250" t="n">
        <v>2</v>
      </c>
      <c r="G2250" t="n">
        <v>3</v>
      </c>
      <c r="J2250" t="inlineStr">
        <is>
          <t>Moda</t>
        </is>
      </c>
      <c r="K2250" t="n">
        <v>2</v>
      </c>
      <c r="L2250" t="n">
        <v>2.112</v>
      </c>
      <c r="M2250" t="n">
        <v>0</v>
      </c>
      <c r="N2250" t="inlineStr">
        <is>
          <t>train</t>
        </is>
      </c>
      <c r="O2250">
        <f>HYPERLINK("2\1\marker_771_381369.png", "Ver Imagen")</f>
        <v/>
      </c>
      <c r="P2250">
        <f>HYPERLINK("SE\A-5058\A-5058__123.png", "Ver Imagen")</f>
        <v/>
      </c>
    </row>
    <row r="2251">
      <c r="A2251" t="n">
        <v>1707</v>
      </c>
      <c r="B2251" t="inlineStr">
        <is>
          <t>A-5058__126</t>
        </is>
      </c>
      <c r="C2251" t="n">
        <v>37.2332693087</v>
      </c>
      <c r="D2251" t="n">
        <v>-7.05531469651</v>
      </c>
      <c r="E2251" t="n">
        <v>2</v>
      </c>
      <c r="F2251" t="n">
        <v>2</v>
      </c>
      <c r="G2251" t="n">
        <v>3</v>
      </c>
      <c r="J2251" t="inlineStr">
        <is>
          <t>Moda</t>
        </is>
      </c>
      <c r="K2251" t="n">
        <v>2</v>
      </c>
      <c r="L2251" t="n">
        <v>2.172</v>
      </c>
      <c r="M2251" t="n">
        <v>0</v>
      </c>
      <c r="N2251" t="inlineStr">
        <is>
          <t>train</t>
        </is>
      </c>
      <c r="O2251">
        <f>HYPERLINK("2\1\marker_465_381398.png", "Ver Imagen")</f>
        <v/>
      </c>
      <c r="P2251">
        <f>HYPERLINK("SE\A-5058\A-5058__126.png", "Ver Imagen")</f>
        <v/>
      </c>
    </row>
    <row r="2252">
      <c r="A2252" t="n">
        <v>1708</v>
      </c>
      <c r="B2252" t="inlineStr">
        <is>
          <t>A-5058__127</t>
        </is>
      </c>
      <c r="C2252" t="n">
        <v>37.2333274756</v>
      </c>
      <c r="D2252" t="n">
        <v>-7.05554061527</v>
      </c>
      <c r="E2252" t="n">
        <v>2</v>
      </c>
      <c r="F2252" t="n">
        <v>2</v>
      </c>
      <c r="G2252" t="n">
        <v>3</v>
      </c>
      <c r="J2252" t="inlineStr">
        <is>
          <t>Moda</t>
        </is>
      </c>
      <c r="K2252" t="n">
        <v>2</v>
      </c>
      <c r="L2252" t="n">
        <v>2.028</v>
      </c>
      <c r="M2252" t="n">
        <v>0</v>
      </c>
      <c r="N2252" t="inlineStr">
        <is>
          <t>train</t>
        </is>
      </c>
      <c r="O2252">
        <f>HYPERLINK("2\1\marker_542_381422.png", "Ver Imagen")</f>
        <v/>
      </c>
      <c r="P2252">
        <f>HYPERLINK("SE\A-5058\A-5058__127.png", "Ver Imagen")</f>
        <v/>
      </c>
    </row>
    <row r="2253">
      <c r="A2253" t="n">
        <v>1709</v>
      </c>
      <c r="B2253" t="inlineStr">
        <is>
          <t>A-5058__129</t>
        </is>
      </c>
      <c r="C2253" t="n">
        <v>37.2334633621</v>
      </c>
      <c r="D2253" t="n">
        <v>-7.05606400083</v>
      </c>
      <c r="E2253" t="n">
        <v>2</v>
      </c>
      <c r="F2253" t="n">
        <v>2</v>
      </c>
      <c r="G2253" t="n">
        <v>3</v>
      </c>
      <c r="J2253" t="inlineStr">
        <is>
          <t>Moda</t>
        </is>
      </c>
      <c r="K2253" t="n">
        <v>2</v>
      </c>
      <c r="L2253" t="n">
        <v>2.279</v>
      </c>
      <c r="M2253" t="n">
        <v>0</v>
      </c>
      <c r="N2253" t="inlineStr">
        <is>
          <t>train</t>
        </is>
      </c>
      <c r="O2253">
        <f>HYPERLINK("2\1\marker_400_381446.png", "Ver Imagen")</f>
        <v/>
      </c>
      <c r="P2253">
        <f>HYPERLINK("SE\A-5058\A-5058__129.png", "Ver Imagen")</f>
        <v/>
      </c>
    </row>
    <row r="2254">
      <c r="A2254" t="n">
        <v>1710</v>
      </c>
      <c r="B2254" t="inlineStr">
        <is>
          <t>A-5058__131</t>
        </is>
      </c>
      <c r="C2254" t="n">
        <v>37.2335869789</v>
      </c>
      <c r="D2254" t="n">
        <v>-7.0565314661</v>
      </c>
      <c r="E2254" t="n">
        <v>2</v>
      </c>
      <c r="F2254" t="n">
        <v>2</v>
      </c>
      <c r="G2254" t="n">
        <v>3</v>
      </c>
      <c r="J2254" t="inlineStr">
        <is>
          <t>Moda</t>
        </is>
      </c>
      <c r="K2254" t="n">
        <v>2</v>
      </c>
      <c r="L2254" t="n">
        <v>1.98</v>
      </c>
      <c r="M2254" t="n">
        <v>0</v>
      </c>
      <c r="N2254" t="inlineStr">
        <is>
          <t>val</t>
        </is>
      </c>
      <c r="O2254">
        <f>HYPERLINK("2\1\marker_728_381466.png", "Ver Imagen")</f>
        <v/>
      </c>
      <c r="P2254">
        <f>HYPERLINK("SE\A-5058\A-5058__131.png", "Ver Imagen")</f>
        <v/>
      </c>
    </row>
    <row r="2255">
      <c r="A2255" t="n">
        <v>1711</v>
      </c>
      <c r="B2255" t="inlineStr">
        <is>
          <t>A-5058__132</t>
        </is>
      </c>
      <c r="C2255" t="n">
        <v>37.233656557</v>
      </c>
      <c r="D2255" t="n">
        <v>-7.05679547031</v>
      </c>
      <c r="E2255" t="n">
        <v>2</v>
      </c>
      <c r="F2255" t="n">
        <v>2</v>
      </c>
      <c r="G2255" t="n">
        <v>3</v>
      </c>
      <c r="J2255" t="inlineStr">
        <is>
          <t>Moda</t>
        </is>
      </c>
      <c r="K2255" t="n">
        <v>2</v>
      </c>
      <c r="L2255" t="n">
        <v>1.93</v>
      </c>
      <c r="M2255" t="n">
        <v>0</v>
      </c>
      <c r="N2255" t="inlineStr">
        <is>
          <t>train</t>
        </is>
      </c>
      <c r="O2255">
        <f>HYPERLINK("2\1\marker_946_381484.png", "Ver Imagen")</f>
        <v/>
      </c>
      <c r="P2255">
        <f>HYPERLINK("SE\A-5058\A-5058__132.png", "Ver Imagen")</f>
        <v/>
      </c>
    </row>
    <row r="2256">
      <c r="A2256" t="n">
        <v>1712</v>
      </c>
      <c r="B2256" t="inlineStr">
        <is>
          <t>A-5058__133</t>
        </is>
      </c>
      <c r="C2256" t="n">
        <v>37.2337185396</v>
      </c>
      <c r="D2256" t="n">
        <v>-7.05703017198</v>
      </c>
      <c r="E2256" t="n">
        <v>2</v>
      </c>
      <c r="F2256" t="n">
        <v>2</v>
      </c>
      <c r="G2256" t="n">
        <v>3</v>
      </c>
      <c r="J2256" t="inlineStr">
        <is>
          <t>Moda</t>
        </is>
      </c>
      <c r="K2256" t="n">
        <v>2</v>
      </c>
      <c r="L2256" t="n">
        <v>1.928</v>
      </c>
      <c r="M2256" t="n">
        <v>0</v>
      </c>
      <c r="N2256" t="inlineStr">
        <is>
          <t>train</t>
        </is>
      </c>
      <c r="O2256">
        <f>HYPERLINK("2\1\marker_641_381497.png", "Ver Imagen")</f>
        <v/>
      </c>
      <c r="P2256">
        <f>HYPERLINK("SE\A-5058\A-5058__133.png", "Ver Imagen")</f>
        <v/>
      </c>
    </row>
    <row r="2257">
      <c r="A2257" t="n">
        <v>1713</v>
      </c>
      <c r="B2257" t="inlineStr">
        <is>
          <t>A-5058__134</t>
        </is>
      </c>
      <c r="C2257" t="n">
        <v>37.2337777324</v>
      </c>
      <c r="D2257" t="n">
        <v>-7.05725395764</v>
      </c>
      <c r="E2257" t="n">
        <v>2</v>
      </c>
      <c r="F2257" t="n">
        <v>2</v>
      </c>
      <c r="G2257" t="n">
        <v>3</v>
      </c>
      <c r="J2257" t="inlineStr">
        <is>
          <t>Moda</t>
        </is>
      </c>
      <c r="K2257" t="n">
        <v>2</v>
      </c>
      <c r="L2257" t="n">
        <v>1.811</v>
      </c>
      <c r="M2257" t="n">
        <v>0</v>
      </c>
      <c r="N2257" t="inlineStr">
        <is>
          <t>train</t>
        </is>
      </c>
      <c r="O2257">
        <f>HYPERLINK("2\1\marker_819_381508.png", "Ver Imagen")</f>
        <v/>
      </c>
      <c r="P2257">
        <f>HYPERLINK("SE\A-5058\A-5058__134.png", "Ver Imagen")</f>
        <v/>
      </c>
    </row>
    <row r="2258">
      <c r="A2258" t="n">
        <v>1714</v>
      </c>
      <c r="B2258" t="inlineStr">
        <is>
          <t>A-5058__160</t>
        </is>
      </c>
      <c r="C2258" t="n">
        <v>37.2340375351</v>
      </c>
      <c r="D2258" t="n">
        <v>-7.06381739657</v>
      </c>
      <c r="E2258" t="n">
        <v>2</v>
      </c>
      <c r="F2258" t="n">
        <v>2</v>
      </c>
      <c r="G2258" t="n">
        <v>3</v>
      </c>
      <c r="J2258" t="inlineStr">
        <is>
          <t>Moda</t>
        </is>
      </c>
      <c r="K2258" t="n">
        <v>2</v>
      </c>
      <c r="L2258" t="n">
        <v>2.232</v>
      </c>
      <c r="M2258" t="n">
        <v>0</v>
      </c>
      <c r="N2258" t="inlineStr">
        <is>
          <t>test</t>
        </is>
      </c>
      <c r="O2258">
        <f>HYPERLINK("2\1\marker_501_381826.png", "Ver Imagen")</f>
        <v/>
      </c>
      <c r="P2258">
        <f>HYPERLINK("SE\A-5058\A-5058__160.png", "Ver Imagen")</f>
        <v/>
      </c>
    </row>
    <row r="2259">
      <c r="A2259" t="n">
        <v>1715</v>
      </c>
      <c r="B2259" t="inlineStr">
        <is>
          <t>A-5058__236</t>
        </is>
      </c>
      <c r="C2259" t="n">
        <v>37.2394992655</v>
      </c>
      <c r="D2259" t="n">
        <v>-7.08064143974</v>
      </c>
      <c r="E2259" t="n">
        <v>2</v>
      </c>
      <c r="F2259" t="n">
        <v>2</v>
      </c>
      <c r="G2259" t="n">
        <v>3</v>
      </c>
      <c r="J2259" t="inlineStr">
        <is>
          <t>Moda</t>
        </is>
      </c>
      <c r="K2259" t="n">
        <v>2</v>
      </c>
      <c r="L2259" t="n">
        <v>2.138</v>
      </c>
      <c r="M2259" t="n">
        <v>0</v>
      </c>
      <c r="N2259" t="inlineStr">
        <is>
          <t>train</t>
        </is>
      </c>
      <c r="O2259">
        <f>HYPERLINK("2\1\marker_579_383323.png", "Ver Imagen")</f>
        <v/>
      </c>
      <c r="P2259">
        <f>HYPERLINK("SE\A-5058\A-5058__236.png", "Ver Imagen")</f>
        <v/>
      </c>
    </row>
    <row r="2260">
      <c r="A2260" t="n">
        <v>1715</v>
      </c>
      <c r="B2260" t="inlineStr">
        <is>
          <t>A-5058__236</t>
        </is>
      </c>
      <c r="C2260" t="n">
        <v>37.2394992655</v>
      </c>
      <c r="D2260" t="n">
        <v>-7.08064143974</v>
      </c>
      <c r="E2260" t="n">
        <v>2</v>
      </c>
      <c r="F2260" t="n">
        <v>2</v>
      </c>
      <c r="G2260" t="n">
        <v>3</v>
      </c>
      <c r="J2260" t="inlineStr">
        <is>
          <t>Moda</t>
        </is>
      </c>
      <c r="K2260" t="n">
        <v>2</v>
      </c>
      <c r="L2260" t="n">
        <v>2.059</v>
      </c>
      <c r="M2260" t="n">
        <v>0</v>
      </c>
      <c r="N2260" t="inlineStr">
        <is>
          <t>train</t>
        </is>
      </c>
      <c r="O2260">
        <f>HYPERLINK("2\1\marker_579_383323.png", "Ver Imagen")</f>
        <v/>
      </c>
      <c r="P2260">
        <f>HYPERLINK("SO\A-5058\A-5058__236.png", "Ver Imagen")</f>
        <v/>
      </c>
    </row>
    <row r="2261">
      <c r="A2261" t="n">
        <v>1716</v>
      </c>
      <c r="B2261" t="inlineStr">
        <is>
          <t>A-5058__343</t>
        </is>
      </c>
      <c r="C2261" t="n">
        <v>37.2502271421</v>
      </c>
      <c r="D2261" t="n">
        <v>-7.10296308123</v>
      </c>
      <c r="E2261" t="n">
        <v>2</v>
      </c>
      <c r="F2261" t="n">
        <v>2</v>
      </c>
      <c r="G2261" t="n">
        <v>3</v>
      </c>
      <c r="J2261" t="inlineStr">
        <is>
          <t>Moda</t>
        </is>
      </c>
      <c r="K2261" t="n">
        <v>2</v>
      </c>
      <c r="L2261" t="n">
        <v>2.212</v>
      </c>
      <c r="M2261" t="n">
        <v>0</v>
      </c>
      <c r="N2261" t="inlineStr">
        <is>
          <t>test</t>
        </is>
      </c>
      <c r="O2261">
        <f>HYPERLINK("2\1\marker_446_384795.png", "Ver Imagen")</f>
        <v/>
      </c>
      <c r="P2261">
        <f>HYPERLINK("SO\A-5058\A-5058__343.png", "Ver Imagen")</f>
        <v/>
      </c>
    </row>
    <row r="2262">
      <c r="A2262" t="n">
        <v>1717</v>
      </c>
      <c r="B2262" t="inlineStr">
        <is>
          <t>A-5058__348</t>
        </is>
      </c>
      <c r="C2262" t="n">
        <v>37.2511413442</v>
      </c>
      <c r="D2262" t="n">
        <v>-7.10349675147</v>
      </c>
      <c r="E2262" t="n">
        <v>2</v>
      </c>
      <c r="F2262" t="n">
        <v>2</v>
      </c>
      <c r="G2262" t="n">
        <v>3</v>
      </c>
      <c r="J2262" t="inlineStr">
        <is>
          <t>Moda</t>
        </is>
      </c>
      <c r="K2262" t="n">
        <v>2</v>
      </c>
      <c r="L2262" t="n">
        <v>2.366</v>
      </c>
      <c r="M2262" t="n">
        <v>0</v>
      </c>
      <c r="N2262" t="inlineStr">
        <is>
          <t>train</t>
        </is>
      </c>
      <c r="O2262">
        <f>HYPERLINK("2\1\marker_488_384845.png", "Ver Imagen")</f>
        <v/>
      </c>
      <c r="P2262">
        <f>HYPERLINK("SO\A-5058\A-5058__348.png", "Ver Imagen")</f>
        <v/>
      </c>
    </row>
    <row r="2263">
      <c r="A2263" t="n">
        <v>1718</v>
      </c>
      <c r="B2263" t="inlineStr">
        <is>
          <t>A-5058__359</t>
        </is>
      </c>
      <c r="C2263" t="n">
        <v>37.2527817957</v>
      </c>
      <c r="D2263" t="n">
        <v>-7.10532255891</v>
      </c>
      <c r="E2263" t="n">
        <v>2</v>
      </c>
      <c r="F2263" t="n">
        <v>2</v>
      </c>
      <c r="G2263" t="n">
        <v>3</v>
      </c>
      <c r="J2263" t="inlineStr">
        <is>
          <t>Moda</t>
        </is>
      </c>
      <c r="K2263" t="n">
        <v>2</v>
      </c>
      <c r="L2263" t="n">
        <v>2.205</v>
      </c>
      <c r="M2263" t="n">
        <v>0</v>
      </c>
      <c r="N2263" t="inlineStr">
        <is>
          <t>train</t>
        </is>
      </c>
      <c r="O2263">
        <f>HYPERLINK("2\1\marker_321_384963.png", "Ver Imagen")</f>
        <v/>
      </c>
      <c r="P2263">
        <f>HYPERLINK("SO\A-5058\A-5058__359.png", "Ver Imagen")</f>
        <v/>
      </c>
    </row>
    <row r="2264">
      <c r="A2264" t="n">
        <v>1719</v>
      </c>
      <c r="B2264" t="inlineStr">
        <is>
          <t>A-5058__368</t>
        </is>
      </c>
      <c r="C2264" t="n">
        <v>37.2536919036</v>
      </c>
      <c r="D2264" t="n">
        <v>-7.10727469034</v>
      </c>
      <c r="E2264" t="n">
        <v>2</v>
      </c>
      <c r="F2264" t="n">
        <v>2</v>
      </c>
      <c r="G2264" t="n">
        <v>3</v>
      </c>
      <c r="J2264" t="inlineStr">
        <is>
          <t>Moda</t>
        </is>
      </c>
      <c r="K2264" t="n">
        <v>2</v>
      </c>
      <c r="L2264" t="n">
        <v>2.285</v>
      </c>
      <c r="M2264" t="n">
        <v>0</v>
      </c>
      <c r="N2264" t="inlineStr">
        <is>
          <t>train</t>
        </is>
      </c>
      <c r="O2264">
        <f>HYPERLINK("2\1\marker_243_385055.png", "Ver Imagen")</f>
        <v/>
      </c>
      <c r="P2264">
        <f>HYPERLINK("SO\A-5058\A-5058__368.png", "Ver Imagen")</f>
        <v/>
      </c>
    </row>
    <row r="2265">
      <c r="A2265" t="n">
        <v>1721</v>
      </c>
      <c r="B2265" t="inlineStr">
        <is>
          <t>A-495__5</t>
        </is>
      </c>
      <c r="C2265" t="n">
        <v>37.4440457854</v>
      </c>
      <c r="D2265" t="n">
        <v>-7.09918285575</v>
      </c>
      <c r="E2265" t="n">
        <v>2</v>
      </c>
      <c r="F2265" t="n">
        <v>2</v>
      </c>
      <c r="G2265" t="n">
        <v>3</v>
      </c>
      <c r="J2265" t="inlineStr">
        <is>
          <t>Moda</t>
        </is>
      </c>
      <c r="K2265" t="n">
        <v>2</v>
      </c>
      <c r="L2265" t="n">
        <v>1.777</v>
      </c>
      <c r="M2265" t="n">
        <v>0</v>
      </c>
      <c r="N2265" t="inlineStr">
        <is>
          <t>train</t>
        </is>
      </c>
      <c r="O2265">
        <f>HYPERLINK("2\1\marker_705_381029.png", "Ver Imagen")</f>
        <v/>
      </c>
      <c r="P2265">
        <f>HYPERLINK("NE\A-495\A-495__5.png", "Ver Imagen")</f>
        <v/>
      </c>
    </row>
    <row r="2266">
      <c r="A2266" t="n">
        <v>1722</v>
      </c>
      <c r="B2266" t="inlineStr">
        <is>
          <t>A-495_1__179</t>
        </is>
      </c>
      <c r="C2266" t="n">
        <v>37.4820889405</v>
      </c>
      <c r="D2266" t="n">
        <v>-7.12831068675</v>
      </c>
      <c r="E2266" t="n">
        <v>2</v>
      </c>
      <c r="F2266" t="n">
        <v>2</v>
      </c>
      <c r="G2266" t="n">
        <v>3</v>
      </c>
      <c r="J2266" t="inlineStr">
        <is>
          <t>Moda</t>
        </is>
      </c>
      <c r="K2266" t="n">
        <v>2</v>
      </c>
      <c r="L2266" t="n">
        <v>2.278</v>
      </c>
      <c r="M2266" t="n">
        <v>0</v>
      </c>
      <c r="N2266" t="inlineStr">
        <is>
          <t>val</t>
        </is>
      </c>
      <c r="O2266">
        <f>HYPERLINK("2\1\marker_622_383830.png", "Ver Imagen")</f>
        <v/>
      </c>
      <c r="P2266">
        <f>HYPERLINK("NE\A-495_1\A-495_1__179.png", "Ver Imagen")</f>
        <v/>
      </c>
    </row>
    <row r="2267">
      <c r="A2267" t="n">
        <v>1723</v>
      </c>
      <c r="B2267" t="inlineStr">
        <is>
          <t>A-495_1__177</t>
        </is>
      </c>
      <c r="C2267" t="n">
        <v>37.4817471404</v>
      </c>
      <c r="D2267" t="n">
        <v>-7.12810144537</v>
      </c>
      <c r="E2267" t="n">
        <v>2</v>
      </c>
      <c r="F2267" t="n">
        <v>2</v>
      </c>
      <c r="G2267" t="n">
        <v>3</v>
      </c>
      <c r="J2267" t="inlineStr">
        <is>
          <t>Moda</t>
        </is>
      </c>
      <c r="K2267" t="n">
        <v>2</v>
      </c>
      <c r="L2267" t="n">
        <v>1.949</v>
      </c>
      <c r="M2267" t="n">
        <v>0</v>
      </c>
      <c r="N2267" t="inlineStr">
        <is>
          <t>train</t>
        </is>
      </c>
      <c r="O2267">
        <f>HYPERLINK("2\1\marker_322_383925.png", "Ver Imagen")</f>
        <v/>
      </c>
      <c r="P2267">
        <f>HYPERLINK("NE\A-495_1\A-495_1__177.png", "Ver Imagen")</f>
        <v/>
      </c>
    </row>
    <row r="2268">
      <c r="A2268" t="n">
        <v>1724</v>
      </c>
      <c r="B2268" t="inlineStr">
        <is>
          <t>A-495_1__176</t>
        </is>
      </c>
      <c r="C2268" t="n">
        <v>37.4815285801</v>
      </c>
      <c r="D2268" t="n">
        <v>-7.12799367997</v>
      </c>
      <c r="E2268" t="n">
        <v>2</v>
      </c>
      <c r="F2268" t="n">
        <v>2</v>
      </c>
      <c r="G2268" t="n">
        <v>3</v>
      </c>
      <c r="J2268" t="inlineStr">
        <is>
          <t>Moda</t>
        </is>
      </c>
      <c r="K2268" t="n">
        <v>2</v>
      </c>
      <c r="L2268" t="n">
        <v>2.136</v>
      </c>
      <c r="M2268" t="n">
        <v>0</v>
      </c>
      <c r="N2268" t="inlineStr">
        <is>
          <t>train</t>
        </is>
      </c>
      <c r="O2268">
        <f>HYPERLINK("2\1\marker_153_383935.png", "Ver Imagen")</f>
        <v/>
      </c>
      <c r="P2268">
        <f>HYPERLINK("NE\A-495_1\A-495_1__176.png", "Ver Imagen")</f>
        <v/>
      </c>
    </row>
    <row r="2269">
      <c r="A2269" t="n">
        <v>1725</v>
      </c>
      <c r="B2269" t="inlineStr">
        <is>
          <t>A-495_1__116</t>
        </is>
      </c>
      <c r="C2269" t="n">
        <v>37.4704227045</v>
      </c>
      <c r="D2269" t="n">
        <v>-7.12494984769</v>
      </c>
      <c r="E2269" t="n">
        <v>3</v>
      </c>
      <c r="F2269" t="n">
        <v>2</v>
      </c>
      <c r="G2269" t="n">
        <v>2</v>
      </c>
      <c r="J2269" t="inlineStr">
        <is>
          <t>Moda</t>
        </is>
      </c>
      <c r="K2269" t="n">
        <v>2</v>
      </c>
      <c r="L2269" t="n">
        <v>2.085</v>
      </c>
      <c r="M2269" t="n">
        <v>0</v>
      </c>
      <c r="N2269" t="inlineStr">
        <is>
          <t>train</t>
        </is>
      </c>
      <c r="O2269">
        <f>HYPERLINK("2\1\marker_526_384614.png", "Ver Imagen")</f>
        <v/>
      </c>
      <c r="P2269">
        <f>HYPERLINK("NE\A-495_1\A-495_1__116.png", "Ver Imagen")</f>
        <v/>
      </c>
    </row>
    <row r="2270">
      <c r="A2270" t="n">
        <v>1726</v>
      </c>
      <c r="B2270" t="inlineStr">
        <is>
          <t>A-495_1__15</t>
        </is>
      </c>
      <c r="C2270" t="n">
        <v>37.4509801926</v>
      </c>
      <c r="D2270" t="n">
        <v>-7.12741991481</v>
      </c>
      <c r="E2270" t="n">
        <v>2</v>
      </c>
      <c r="F2270" t="n">
        <v>2</v>
      </c>
      <c r="G2270" t="n">
        <v>3</v>
      </c>
      <c r="J2270" t="inlineStr">
        <is>
          <t>Moda</t>
        </is>
      </c>
      <c r="K2270" t="n">
        <v>2</v>
      </c>
      <c r="L2270" t="n">
        <v>1.856</v>
      </c>
      <c r="M2270" t="n">
        <v>0</v>
      </c>
      <c r="N2270" t="inlineStr">
        <is>
          <t>train</t>
        </is>
      </c>
      <c r="O2270">
        <f>HYPERLINK("2\1\marker_269_386179.png", "Ver Imagen")</f>
        <v/>
      </c>
      <c r="P2270">
        <f>HYPERLINK("NE\A-495_1\A-495_1__15.png", "Ver Imagen")</f>
        <v/>
      </c>
    </row>
    <row r="2271">
      <c r="A2271" t="n">
        <v>1727</v>
      </c>
      <c r="B2271" t="inlineStr">
        <is>
          <t>A-499__31</t>
        </is>
      </c>
      <c r="C2271" t="n">
        <v>37.4926101033</v>
      </c>
      <c r="D2271" t="n">
        <v>-7.27744373431</v>
      </c>
      <c r="E2271" t="n">
        <v>2</v>
      </c>
      <c r="F2271" t="n">
        <v>2</v>
      </c>
      <c r="G2271" t="n">
        <v>3</v>
      </c>
      <c r="J2271" t="inlineStr">
        <is>
          <t>Moda</t>
        </is>
      </c>
      <c r="K2271" t="n">
        <v>2</v>
      </c>
      <c r="L2271" t="n">
        <v>1.978</v>
      </c>
      <c r="M2271" t="n">
        <v>0</v>
      </c>
      <c r="N2271" t="inlineStr">
        <is>
          <t>train</t>
        </is>
      </c>
      <c r="O2271">
        <f>HYPERLINK("2\1\marker_338_529936.png", "Ver Imagen")</f>
        <v/>
      </c>
      <c r="P2271">
        <f>HYPERLINK("NO\A-499\A-499__31.png", "Ver Imagen")</f>
        <v/>
      </c>
    </row>
    <row r="2272">
      <c r="A2272" t="n">
        <v>1728</v>
      </c>
      <c r="B2272" t="inlineStr">
        <is>
          <t>A-499__32</t>
        </is>
      </c>
      <c r="C2272" t="n">
        <v>37.492823373</v>
      </c>
      <c r="D2272" t="n">
        <v>-7.27736824202</v>
      </c>
      <c r="E2272" t="n">
        <v>2</v>
      </c>
      <c r="F2272" t="n">
        <v>2</v>
      </c>
      <c r="G2272" t="n">
        <v>3</v>
      </c>
      <c r="J2272" t="inlineStr">
        <is>
          <t>Moda</t>
        </is>
      </c>
      <c r="K2272" t="n">
        <v>2</v>
      </c>
      <c r="L2272" t="n">
        <v>1.966</v>
      </c>
      <c r="M2272" t="n">
        <v>0</v>
      </c>
      <c r="N2272" t="inlineStr">
        <is>
          <t>train</t>
        </is>
      </c>
      <c r="O2272">
        <f>HYPERLINK("2\1\marker_520_529946.png", "Ver Imagen")</f>
        <v/>
      </c>
      <c r="P2272">
        <f>HYPERLINK("NO\A-499\A-499__32.png", "Ver Imagen")</f>
        <v/>
      </c>
    </row>
    <row r="2273">
      <c r="A2273" t="n">
        <v>1730</v>
      </c>
      <c r="B2273" t="inlineStr">
        <is>
          <t>A-499__47</t>
        </is>
      </c>
      <c r="C2273" t="n">
        <v>37.495536257</v>
      </c>
      <c r="D2273" t="n">
        <v>-7.27603525411</v>
      </c>
      <c r="E2273" t="n">
        <v>3</v>
      </c>
      <c r="F2273" t="n">
        <v>2</v>
      </c>
      <c r="G2273" t="n">
        <v>2</v>
      </c>
      <c r="J2273" t="inlineStr">
        <is>
          <t>Moda</t>
        </is>
      </c>
      <c r="K2273" t="n">
        <v>2</v>
      </c>
      <c r="L2273" t="n">
        <v>2.003</v>
      </c>
      <c r="M2273" t="n">
        <v>0</v>
      </c>
      <c r="N2273" t="inlineStr">
        <is>
          <t>train</t>
        </is>
      </c>
      <c r="O2273">
        <f>HYPERLINK("2\1\marker_463_534834.png", "Ver Imagen")</f>
        <v/>
      </c>
      <c r="P2273">
        <f>HYPERLINK("NO\A-499\A-499__47.png", "Ver Imagen")</f>
        <v/>
      </c>
    </row>
    <row r="2274">
      <c r="A2274" t="n">
        <v>1731</v>
      </c>
      <c r="B2274" t="inlineStr">
        <is>
          <t>A-499__53</t>
        </is>
      </c>
      <c r="C2274" t="n">
        <v>37.4957147779</v>
      </c>
      <c r="D2274" t="n">
        <v>-7.27452661377</v>
      </c>
      <c r="E2274" t="n">
        <v>2</v>
      </c>
      <c r="F2274" t="n">
        <v>2</v>
      </c>
      <c r="G2274" t="n">
        <v>3</v>
      </c>
      <c r="J2274" t="inlineStr">
        <is>
          <t>Moda</t>
        </is>
      </c>
      <c r="K2274" t="n">
        <v>2</v>
      </c>
      <c r="L2274" t="n">
        <v>1.752</v>
      </c>
      <c r="M2274" t="n">
        <v>0</v>
      </c>
      <c r="N2274" t="inlineStr">
        <is>
          <t>train</t>
        </is>
      </c>
      <c r="O2274">
        <f>HYPERLINK("2\1\marker_560_534925.png", "Ver Imagen")</f>
        <v/>
      </c>
      <c r="P2274">
        <f>HYPERLINK("NO\A-499\A-499__53.png", "Ver Imagen")</f>
        <v/>
      </c>
    </row>
    <row r="2275">
      <c r="A2275" t="n">
        <v>1732</v>
      </c>
      <c r="B2275" t="inlineStr">
        <is>
          <t>A-499__117</t>
        </is>
      </c>
      <c r="C2275" t="n">
        <v>37.5021227753</v>
      </c>
      <c r="D2275" t="n">
        <v>-7.26637475198</v>
      </c>
      <c r="E2275" t="n">
        <v>2</v>
      </c>
      <c r="F2275" t="n">
        <v>2</v>
      </c>
      <c r="G2275" t="n">
        <v>3</v>
      </c>
      <c r="J2275" t="inlineStr">
        <is>
          <t>Moda</t>
        </is>
      </c>
      <c r="K2275" t="n">
        <v>2</v>
      </c>
      <c r="L2275" t="n">
        <v>2.021</v>
      </c>
      <c r="M2275" t="n">
        <v>0</v>
      </c>
      <c r="N2275" t="inlineStr">
        <is>
          <t>train</t>
        </is>
      </c>
      <c r="O2275">
        <f>HYPERLINK("2\1\marker_393_793542.png", "Ver Imagen")</f>
        <v/>
      </c>
      <c r="P2275">
        <f>HYPERLINK("NO\A-499\A-499__117.png", "Ver Imagen")</f>
        <v/>
      </c>
    </row>
    <row r="2276">
      <c r="A2276" t="n">
        <v>1733</v>
      </c>
      <c r="B2276" t="inlineStr">
        <is>
          <t>A-497_2C__127</t>
        </is>
      </c>
      <c r="C2276" t="n">
        <v>37.2714018412</v>
      </c>
      <c r="D2276" t="n">
        <v>-6.98832023595</v>
      </c>
      <c r="E2276" t="n">
        <v>3</v>
      </c>
      <c r="F2276" t="n">
        <v>2</v>
      </c>
      <c r="G2276" t="n">
        <v>2</v>
      </c>
      <c r="J2276" t="inlineStr">
        <is>
          <t>Moda</t>
        </is>
      </c>
      <c r="K2276" t="n">
        <v>2</v>
      </c>
      <c r="L2276" t="n">
        <v>1.676</v>
      </c>
      <c r="M2276" t="n">
        <v>0</v>
      </c>
      <c r="N2276" t="inlineStr">
        <is>
          <t>train</t>
        </is>
      </c>
      <c r="O2276">
        <f>HYPERLINK("2\1\marker_715_655741.png", "Ver Imagen")</f>
        <v/>
      </c>
      <c r="P2276">
        <f>HYPERLINK("SE\A-497_2C\A-497_2C__127.png", "Ver Imagen")</f>
        <v/>
      </c>
    </row>
    <row r="2277">
      <c r="A2277" t="n">
        <v>1735</v>
      </c>
      <c r="B2277" t="inlineStr">
        <is>
          <t>A-497_2C__218</t>
        </is>
      </c>
      <c r="C2277" t="n">
        <v>37.2634258616</v>
      </c>
      <c r="D2277" t="n">
        <v>-7.00758061765</v>
      </c>
      <c r="E2277" t="n">
        <v>2</v>
      </c>
      <c r="F2277" t="n">
        <v>2</v>
      </c>
      <c r="G2277" t="n">
        <v>3</v>
      </c>
      <c r="J2277" t="inlineStr">
        <is>
          <t>Moda</t>
        </is>
      </c>
      <c r="K2277" t="n">
        <v>2</v>
      </c>
      <c r="L2277" t="n">
        <v>1.912</v>
      </c>
      <c r="M2277" t="n">
        <v>0</v>
      </c>
      <c r="N2277" t="inlineStr">
        <is>
          <t>train</t>
        </is>
      </c>
      <c r="O2277">
        <f>HYPERLINK("2\1\marker_626_656735.png", "Ver Imagen")</f>
        <v/>
      </c>
      <c r="P2277">
        <f>HYPERLINK("SE\A-497_2C\A-497_2C__218.png", "Ver Imagen")</f>
        <v/>
      </c>
    </row>
    <row r="2278">
      <c r="A2278" t="n">
        <v>1737</v>
      </c>
      <c r="B2278" t="inlineStr">
        <is>
          <t>A-497_2C__298</t>
        </is>
      </c>
      <c r="C2278" t="n">
        <v>37.2499048051</v>
      </c>
      <c r="D2278" t="n">
        <v>-7.01805764192</v>
      </c>
      <c r="E2278" t="n">
        <v>2</v>
      </c>
      <c r="F2278" t="n">
        <v>2</v>
      </c>
      <c r="G2278" t="n">
        <v>3</v>
      </c>
      <c r="J2278" t="inlineStr">
        <is>
          <t>Moda</t>
        </is>
      </c>
      <c r="K2278" t="n">
        <v>2</v>
      </c>
      <c r="L2278" t="n">
        <v>2.007</v>
      </c>
      <c r="M2278" t="n">
        <v>0</v>
      </c>
      <c r="N2278" t="inlineStr">
        <is>
          <t>train</t>
        </is>
      </c>
      <c r="O2278">
        <f>HYPERLINK("2\1\marker_298_320151.png", "Ver Imagen")</f>
        <v/>
      </c>
      <c r="P2278">
        <f>HYPERLINK("SE\A-497_2C\A-497_2C__298.png", "Ver Imagen")</f>
        <v/>
      </c>
    </row>
    <row r="2279">
      <c r="A2279" t="n">
        <v>1738</v>
      </c>
      <c r="B2279" t="inlineStr">
        <is>
          <t>A-497__543</t>
        </is>
      </c>
      <c r="C2279" t="n">
        <v>37.2052417011</v>
      </c>
      <c r="D2279" t="n">
        <v>-7.01675545444</v>
      </c>
      <c r="E2279" t="n">
        <v>3</v>
      </c>
      <c r="F2279" t="n">
        <v>2</v>
      </c>
      <c r="G2279" t="n">
        <v>2</v>
      </c>
      <c r="J2279" t="inlineStr">
        <is>
          <t>Moda</t>
        </is>
      </c>
      <c r="K2279" t="n">
        <v>2</v>
      </c>
      <c r="L2279" t="n">
        <v>1.861</v>
      </c>
      <c r="M2279" t="n">
        <v>0</v>
      </c>
      <c r="N2279" t="inlineStr">
        <is>
          <t>train</t>
        </is>
      </c>
      <c r="O2279">
        <f>HYPERLINK("2\1\marker_667_372349.png", "Ver Imagen")</f>
        <v/>
      </c>
      <c r="P2279">
        <f>HYPERLINK("SE\A-497\A-497__543.png", "Ver Imagen")</f>
        <v/>
      </c>
    </row>
    <row r="2280">
      <c r="A2280" t="n">
        <v>1739</v>
      </c>
      <c r="B2280" t="inlineStr">
        <is>
          <t>A-497_2C__359</t>
        </is>
      </c>
      <c r="C2280" t="n">
        <v>37.2375870325</v>
      </c>
      <c r="D2280" t="n">
        <v>-7.01875637783</v>
      </c>
      <c r="E2280" t="n">
        <v>2</v>
      </c>
      <c r="F2280" t="n">
        <v>2</v>
      </c>
      <c r="G2280" t="n">
        <v>3</v>
      </c>
      <c r="J2280" t="inlineStr">
        <is>
          <t>Moda</t>
        </is>
      </c>
      <c r="K2280" t="n">
        <v>2</v>
      </c>
      <c r="L2280" t="n">
        <v>2.004</v>
      </c>
      <c r="M2280" t="n">
        <v>0</v>
      </c>
      <c r="N2280" t="inlineStr">
        <is>
          <t>train</t>
        </is>
      </c>
      <c r="O2280">
        <f>HYPERLINK("2\1\marker_881_362318.png", "Ver Imagen")</f>
        <v/>
      </c>
      <c r="P2280">
        <f>HYPERLINK("SE\A-497_2C\A-497_2C__359.png", "Ver Imagen")</f>
        <v/>
      </c>
    </row>
    <row r="2281">
      <c r="A2281" t="n">
        <v>1740</v>
      </c>
      <c r="B2281" t="inlineStr">
        <is>
          <t>A-497_2C__360</t>
        </is>
      </c>
      <c r="C2281" t="n">
        <v>37.2373875229</v>
      </c>
      <c r="D2281" t="n">
        <v>-7.01875078019</v>
      </c>
      <c r="E2281" t="n">
        <v>2</v>
      </c>
      <c r="F2281" t="n">
        <v>2</v>
      </c>
      <c r="G2281" t="n">
        <v>3</v>
      </c>
      <c r="J2281" t="inlineStr">
        <is>
          <t>Moda</t>
        </is>
      </c>
      <c r="K2281" t="n">
        <v>2</v>
      </c>
      <c r="L2281" t="n">
        <v>2.212</v>
      </c>
      <c r="M2281" t="n">
        <v>0</v>
      </c>
      <c r="N2281" t="inlineStr">
        <is>
          <t>train</t>
        </is>
      </c>
      <c r="O2281">
        <f>HYPERLINK("2\1\marker_155_362327.png", "Ver Imagen")</f>
        <v/>
      </c>
      <c r="P2281">
        <f>HYPERLINK("SE\A-497_2C\A-497_2C__360.png", "Ver Imagen")</f>
        <v/>
      </c>
    </row>
    <row r="2282">
      <c r="A2282" t="n">
        <v>1744</v>
      </c>
      <c r="B2282" t="inlineStr">
        <is>
          <t>A-497_2C__408</t>
        </is>
      </c>
      <c r="C2282" t="n">
        <v>37.2283931579</v>
      </c>
      <c r="D2282" t="n">
        <v>-7.02168013079</v>
      </c>
      <c r="E2282" t="n">
        <v>3</v>
      </c>
      <c r="F2282" t="n">
        <v>2</v>
      </c>
      <c r="G2282" t="n">
        <v>2</v>
      </c>
      <c r="J2282" t="inlineStr">
        <is>
          <t>Moda</t>
        </is>
      </c>
      <c r="K2282" t="n">
        <v>2</v>
      </c>
      <c r="L2282" t="n">
        <v>2.135</v>
      </c>
      <c r="M2282" t="n">
        <v>0</v>
      </c>
      <c r="N2282" t="inlineStr">
        <is>
          <t>train</t>
        </is>
      </c>
      <c r="O2282">
        <f>HYPERLINK("2\1\marker_425_362990.png", "Ver Imagen")</f>
        <v/>
      </c>
      <c r="P2282">
        <f>HYPERLINK("SE\A-497_2C\A-497_2C__408.png", "Ver Imagen")</f>
        <v/>
      </c>
    </row>
    <row r="2283">
      <c r="A2283" t="n">
        <v>1745</v>
      </c>
      <c r="B2283" t="inlineStr">
        <is>
          <t>A-497_2C__409</t>
        </is>
      </c>
      <c r="C2283" t="n">
        <v>37.2282047622</v>
      </c>
      <c r="D2283" t="n">
        <v>-7.02182401093</v>
      </c>
      <c r="E2283" t="n">
        <v>3</v>
      </c>
      <c r="F2283" t="n">
        <v>2</v>
      </c>
      <c r="G2283" t="n">
        <v>2</v>
      </c>
      <c r="J2283" t="inlineStr">
        <is>
          <t>Moda</t>
        </is>
      </c>
      <c r="K2283" t="n">
        <v>2</v>
      </c>
      <c r="L2283" t="n">
        <v>1.899</v>
      </c>
      <c r="M2283" t="n">
        <v>0</v>
      </c>
      <c r="N2283" t="inlineStr">
        <is>
          <t>test</t>
        </is>
      </c>
      <c r="O2283">
        <f>HYPERLINK("2\1\marker_478_362998.png", "Ver Imagen")</f>
        <v/>
      </c>
      <c r="P2283">
        <f>HYPERLINK("SE\A-497_2C\A-497_2C__409.png", "Ver Imagen")</f>
        <v/>
      </c>
    </row>
    <row r="2284">
      <c r="A2284" t="n">
        <v>1746</v>
      </c>
      <c r="B2284" t="inlineStr">
        <is>
          <t>A-497_2C__413</t>
        </is>
      </c>
      <c r="C2284" t="n">
        <v>37.2275749489</v>
      </c>
      <c r="D2284" t="n">
        <v>-7.02230458828</v>
      </c>
      <c r="E2284" t="n">
        <v>3</v>
      </c>
      <c r="F2284" t="n">
        <v>2</v>
      </c>
      <c r="G2284" t="n">
        <v>2</v>
      </c>
      <c r="J2284" t="inlineStr">
        <is>
          <t>Moda</t>
        </is>
      </c>
      <c r="K2284" t="n">
        <v>2</v>
      </c>
      <c r="L2284" t="n">
        <v>1.808</v>
      </c>
      <c r="M2284" t="n">
        <v>0</v>
      </c>
      <c r="N2284" t="inlineStr">
        <is>
          <t>train</t>
        </is>
      </c>
      <c r="O2284">
        <f>HYPERLINK("2\1\marker_753_363045.png", "Ver Imagen")</f>
        <v/>
      </c>
      <c r="P2284">
        <f>HYPERLINK("SE\A-497_2C\A-497_2C__413.png", "Ver Imagen")</f>
        <v/>
      </c>
    </row>
    <row r="2285">
      <c r="A2285" t="n">
        <v>1747</v>
      </c>
      <c r="B2285" t="inlineStr">
        <is>
          <t>A-497__479</t>
        </is>
      </c>
      <c r="C2285" t="n">
        <v>37.2153599228</v>
      </c>
      <c r="D2285" t="n">
        <v>-7.02334591071</v>
      </c>
      <c r="E2285" t="n">
        <v>2</v>
      </c>
      <c r="F2285" t="n">
        <v>2</v>
      </c>
      <c r="G2285" t="n">
        <v>3</v>
      </c>
      <c r="J2285" t="inlineStr">
        <is>
          <t>Moda</t>
        </is>
      </c>
      <c r="K2285" t="n">
        <v>2</v>
      </c>
      <c r="L2285" t="n">
        <v>2.06</v>
      </c>
      <c r="M2285" t="n">
        <v>0</v>
      </c>
      <c r="N2285" t="inlineStr">
        <is>
          <t>train</t>
        </is>
      </c>
      <c r="O2285">
        <f>HYPERLINK("2\1\marker_139_376319.png", "Ver Imagen")</f>
        <v/>
      </c>
      <c r="P2285">
        <f>HYPERLINK("SE\A-497\A-497__479.png", "Ver Imagen")</f>
        <v/>
      </c>
    </row>
    <row r="2286">
      <c r="A2286" t="n">
        <v>1748</v>
      </c>
      <c r="B2286" t="inlineStr">
        <is>
          <t>A-497__478</t>
        </is>
      </c>
      <c r="C2286" t="n">
        <v>37.2155796521</v>
      </c>
      <c r="D2286" t="n">
        <v>-7.02330660159</v>
      </c>
      <c r="E2286" t="n">
        <v>2</v>
      </c>
      <c r="F2286" t="n">
        <v>2</v>
      </c>
      <c r="G2286" t="n">
        <v>3</v>
      </c>
      <c r="J2286" t="inlineStr">
        <is>
          <t>Moda</t>
        </is>
      </c>
      <c r="K2286" t="n">
        <v>2</v>
      </c>
      <c r="L2286" t="n">
        <v>1.769</v>
      </c>
      <c r="M2286" t="n">
        <v>0</v>
      </c>
      <c r="N2286" t="inlineStr">
        <is>
          <t>train</t>
        </is>
      </c>
      <c r="O2286">
        <f>HYPERLINK("2\1\marker_605_376330.png", "Ver Imagen")</f>
        <v/>
      </c>
      <c r="P2286">
        <f>HYPERLINK("SE\A-497\A-497__478.png", "Ver Imagen")</f>
        <v/>
      </c>
    </row>
    <row r="2287">
      <c r="A2287" t="n">
        <v>1749</v>
      </c>
      <c r="B2287" t="inlineStr">
        <is>
          <t>A-497__476</t>
        </is>
      </c>
      <c r="C2287" t="n">
        <v>37.2159493317</v>
      </c>
      <c r="D2287" t="n">
        <v>-7.02323950359</v>
      </c>
      <c r="E2287" t="n">
        <v>3</v>
      </c>
      <c r="F2287" t="n">
        <v>2</v>
      </c>
      <c r="G2287" t="n">
        <v>2</v>
      </c>
      <c r="J2287" t="inlineStr">
        <is>
          <t>Moda</t>
        </is>
      </c>
      <c r="K2287" t="n">
        <v>2</v>
      </c>
      <c r="L2287" t="n">
        <v>1.968</v>
      </c>
      <c r="M2287" t="n">
        <v>0</v>
      </c>
      <c r="N2287" t="inlineStr">
        <is>
          <t>train</t>
        </is>
      </c>
      <c r="O2287">
        <f>HYPERLINK("2\1\marker_345_376362.png", "Ver Imagen")</f>
        <v/>
      </c>
      <c r="P2287">
        <f>HYPERLINK("SE\A-497\A-497__476.png", "Ver Imagen")</f>
        <v/>
      </c>
    </row>
    <row r="2288">
      <c r="A2288" t="n">
        <v>1750</v>
      </c>
      <c r="B2288" t="inlineStr">
        <is>
          <t>A-497__475</t>
        </is>
      </c>
      <c r="C2288" t="n">
        <v>37.21617353</v>
      </c>
      <c r="D2288" t="n">
        <v>-7.02319912541</v>
      </c>
      <c r="E2288" t="n">
        <v>3</v>
      </c>
      <c r="F2288" t="n">
        <v>2</v>
      </c>
      <c r="G2288" t="n">
        <v>2</v>
      </c>
      <c r="J2288" t="inlineStr">
        <is>
          <t>Moda</t>
        </is>
      </c>
      <c r="K2288" t="n">
        <v>2</v>
      </c>
      <c r="L2288" t="n">
        <v>1.867</v>
      </c>
      <c r="M2288" t="n">
        <v>0</v>
      </c>
      <c r="N2288" t="inlineStr">
        <is>
          <t>train</t>
        </is>
      </c>
      <c r="O2288">
        <f>HYPERLINK("2\1\marker_467_376372.png", "Ver Imagen")</f>
        <v/>
      </c>
      <c r="P2288">
        <f>HYPERLINK("SE\A-497\A-497__475.png", "Ver Imagen")</f>
        <v/>
      </c>
    </row>
    <row r="2289">
      <c r="A2289" t="n">
        <v>1751</v>
      </c>
      <c r="B2289" t="inlineStr">
        <is>
          <t>A-497__452</t>
        </is>
      </c>
      <c r="C2289" t="n">
        <v>37.2207949339</v>
      </c>
      <c r="D2289" t="n">
        <v>-7.02284861638</v>
      </c>
      <c r="E2289" t="n">
        <v>2</v>
      </c>
      <c r="F2289" t="n">
        <v>2</v>
      </c>
      <c r="G2289" t="n">
        <v>3</v>
      </c>
      <c r="J2289" t="inlineStr">
        <is>
          <t>Moda</t>
        </is>
      </c>
      <c r="K2289" t="n">
        <v>2</v>
      </c>
      <c r="L2289" t="n">
        <v>2.389</v>
      </c>
      <c r="M2289" t="n">
        <v>0</v>
      </c>
      <c r="N2289" t="inlineStr">
        <is>
          <t>train</t>
        </is>
      </c>
      <c r="O2289">
        <f>HYPERLINK("2\1\marker_448_376666.png", "Ver Imagen")</f>
        <v/>
      </c>
      <c r="P2289">
        <f>HYPERLINK("SE\A-497\A-497__452.png", "Ver Imagen")</f>
        <v/>
      </c>
    </row>
    <row r="2290">
      <c r="A2290" t="n">
        <v>1752</v>
      </c>
      <c r="B2290" t="inlineStr">
        <is>
          <t>A-497_2C__520</t>
        </is>
      </c>
      <c r="C2290" t="n">
        <v>37.206779394</v>
      </c>
      <c r="D2290" t="n">
        <v>-7.02110686371</v>
      </c>
      <c r="E2290" t="n">
        <v>2</v>
      </c>
      <c r="F2290" t="n">
        <v>2</v>
      </c>
      <c r="G2290" t="n">
        <v>3</v>
      </c>
      <c r="J2290" t="inlineStr">
        <is>
          <t>Moda</t>
        </is>
      </c>
      <c r="K2290" t="n">
        <v>2</v>
      </c>
      <c r="L2290" t="n">
        <v>1.952</v>
      </c>
      <c r="M2290" t="n">
        <v>0</v>
      </c>
      <c r="N2290" t="inlineStr">
        <is>
          <t>train</t>
        </is>
      </c>
      <c r="O2290">
        <f>HYPERLINK("2\1\marker_730_364276.png", "Ver Imagen")</f>
        <v/>
      </c>
      <c r="P2290">
        <f>HYPERLINK("SE\A-497_2C\A-497_2C__520.png", "Ver Imagen")</f>
        <v/>
      </c>
    </row>
    <row r="2291">
      <c r="A2291" t="n">
        <v>1753</v>
      </c>
      <c r="B2291" t="inlineStr">
        <is>
          <t>A-497_2C__523</t>
        </is>
      </c>
      <c r="C2291" t="n">
        <v>37.2064378099</v>
      </c>
      <c r="D2291" t="n">
        <v>-7.02055425311</v>
      </c>
      <c r="E2291" t="n">
        <v>2</v>
      </c>
      <c r="F2291" t="n">
        <v>2</v>
      </c>
      <c r="G2291" t="n">
        <v>3</v>
      </c>
      <c r="J2291" t="inlineStr">
        <is>
          <t>Moda</t>
        </is>
      </c>
      <c r="K2291" t="n">
        <v>2</v>
      </c>
      <c r="L2291" t="n">
        <v>2.454</v>
      </c>
      <c r="M2291" t="n">
        <v>0</v>
      </c>
      <c r="N2291" t="inlineStr">
        <is>
          <t>train</t>
        </is>
      </c>
      <c r="O2291">
        <f>HYPERLINK("2\1\marker_260_364363.png", "Ver Imagen")</f>
        <v/>
      </c>
      <c r="P2291">
        <f>HYPERLINK("SE\A-497_2C\A-497_2C__523.png", "Ver Imagen")</f>
        <v/>
      </c>
    </row>
    <row r="2292">
      <c r="A2292" t="n">
        <v>1754</v>
      </c>
      <c r="B2292" t="inlineStr">
        <is>
          <t>A-497_2C__524</t>
        </is>
      </c>
      <c r="C2292" t="n">
        <v>37.2063284213</v>
      </c>
      <c r="D2292" t="n">
        <v>-7.02035656278</v>
      </c>
      <c r="E2292" t="n">
        <v>2</v>
      </c>
      <c r="F2292" t="n">
        <v>2</v>
      </c>
      <c r="G2292" t="n">
        <v>3</v>
      </c>
      <c r="J2292" t="inlineStr">
        <is>
          <t>Moda</t>
        </is>
      </c>
      <c r="K2292" t="n">
        <v>2</v>
      </c>
      <c r="L2292" t="n">
        <v>1.831</v>
      </c>
      <c r="M2292" t="n">
        <v>0</v>
      </c>
      <c r="N2292" t="inlineStr">
        <is>
          <t>test</t>
        </is>
      </c>
      <c r="O2292">
        <f>HYPERLINK("2\1\marker_720_364380.png", "Ver Imagen")</f>
        <v/>
      </c>
      <c r="P2292">
        <f>HYPERLINK("SE\A-497_2C\A-497_2C__524.png", "Ver Imagen")</f>
        <v/>
      </c>
    </row>
    <row r="2293">
      <c r="A2293" t="n">
        <v>1755</v>
      </c>
      <c r="B2293" t="inlineStr">
        <is>
          <t>A-497_2C__530</t>
        </is>
      </c>
      <c r="C2293" t="n">
        <v>37.2057304518</v>
      </c>
      <c r="D2293" t="n">
        <v>-7.0189952039</v>
      </c>
      <c r="E2293" t="n">
        <v>2</v>
      </c>
      <c r="F2293" t="n">
        <v>2</v>
      </c>
      <c r="G2293" t="n">
        <v>3</v>
      </c>
      <c r="J2293" t="inlineStr">
        <is>
          <t>Moda</t>
        </is>
      </c>
      <c r="K2293" t="n">
        <v>2</v>
      </c>
      <c r="L2293" t="n">
        <v>1.928</v>
      </c>
      <c r="M2293" t="n">
        <v>0</v>
      </c>
      <c r="N2293" t="inlineStr">
        <is>
          <t>train</t>
        </is>
      </c>
      <c r="O2293">
        <f>HYPERLINK("2\1\marker_819_364435.png", "Ver Imagen")</f>
        <v/>
      </c>
      <c r="P2293">
        <f>HYPERLINK("SE\A-497_2C\A-497_2C__530.png", "Ver Imagen")</f>
        <v/>
      </c>
    </row>
    <row r="2294">
      <c r="A2294" t="n">
        <v>1756</v>
      </c>
      <c r="B2294" t="inlineStr">
        <is>
          <t>A-497_2C__538</t>
        </is>
      </c>
      <c r="C2294" t="n">
        <v>37.2051750055</v>
      </c>
      <c r="D2294" t="n">
        <v>-7.0171147527</v>
      </c>
      <c r="E2294" t="n">
        <v>3</v>
      </c>
      <c r="F2294" t="n">
        <v>2</v>
      </c>
      <c r="G2294" t="n">
        <v>2</v>
      </c>
      <c r="J2294" t="inlineStr">
        <is>
          <t>Moda</t>
        </is>
      </c>
      <c r="K2294" t="n">
        <v>2</v>
      </c>
      <c r="L2294" t="n">
        <v>2.076</v>
      </c>
      <c r="M2294" t="n">
        <v>0</v>
      </c>
      <c r="N2294" t="inlineStr">
        <is>
          <t>train</t>
        </is>
      </c>
      <c r="O2294">
        <f>HYPERLINK("2\1\marker_525_364520.png", "Ver Imagen")</f>
        <v/>
      </c>
      <c r="P2294">
        <f>HYPERLINK("SE\A-497_2C\A-497_2C__538.png", "Ver Imagen")</f>
        <v/>
      </c>
    </row>
    <row r="2295">
      <c r="A2295" t="n">
        <v>1757</v>
      </c>
      <c r="B2295" t="inlineStr">
        <is>
          <t>A-497_2C__557</t>
        </is>
      </c>
      <c r="C2295" t="n">
        <v>37.2042517611</v>
      </c>
      <c r="D2295" t="n">
        <v>-7.01253973675</v>
      </c>
      <c r="E2295" t="n">
        <v>2</v>
      </c>
      <c r="F2295" t="n">
        <v>2</v>
      </c>
      <c r="G2295" t="n">
        <v>3</v>
      </c>
      <c r="J2295" t="inlineStr">
        <is>
          <t>Moda</t>
        </is>
      </c>
      <c r="K2295" t="n">
        <v>2</v>
      </c>
      <c r="L2295" t="n">
        <v>1.979</v>
      </c>
      <c r="M2295" t="n">
        <v>0</v>
      </c>
      <c r="N2295" t="inlineStr">
        <is>
          <t>train</t>
        </is>
      </c>
      <c r="O2295">
        <f>HYPERLINK("2\1\marker_237_366347.png", "Ver Imagen")</f>
        <v/>
      </c>
      <c r="P2295">
        <f>HYPERLINK("SE\A-497_2C\A-497_2C__557.png", "Ver Imagen")</f>
        <v/>
      </c>
    </row>
    <row r="2296">
      <c r="A2296" t="n">
        <v>1759</v>
      </c>
      <c r="B2296" t="inlineStr">
        <is>
          <t>A-497_2C__575</t>
        </is>
      </c>
      <c r="C2296" t="n">
        <v>37.2035201278</v>
      </c>
      <c r="D2296" t="n">
        <v>-7.00812108192</v>
      </c>
      <c r="E2296" t="n">
        <v>2</v>
      </c>
      <c r="F2296" t="n">
        <v>2</v>
      </c>
      <c r="G2296" t="n">
        <v>3</v>
      </c>
      <c r="J2296" t="inlineStr">
        <is>
          <t>Moda</t>
        </is>
      </c>
      <c r="K2296" t="n">
        <v>2</v>
      </c>
      <c r="L2296" t="n">
        <v>2.014</v>
      </c>
      <c r="M2296" t="n">
        <v>0</v>
      </c>
      <c r="N2296" t="inlineStr">
        <is>
          <t>train</t>
        </is>
      </c>
      <c r="O2296">
        <f>HYPERLINK("2\1\marker_649_366529.png", "Ver Imagen")</f>
        <v/>
      </c>
      <c r="P2296">
        <f>HYPERLINK("SE\A-497_2C\A-497_2C__575.png", "Ver Imagen")</f>
        <v/>
      </c>
    </row>
    <row r="2297">
      <c r="A2297" t="n">
        <v>1760</v>
      </c>
      <c r="B2297" t="inlineStr">
        <is>
          <t>A-497__415</t>
        </is>
      </c>
      <c r="C2297" t="n">
        <v>37.2280405405</v>
      </c>
      <c r="D2297" t="n">
        <v>-7.02174627722</v>
      </c>
      <c r="E2297" t="n">
        <v>3</v>
      </c>
      <c r="F2297" t="n">
        <v>2</v>
      </c>
      <c r="G2297" t="n">
        <v>2</v>
      </c>
      <c r="J2297" t="inlineStr">
        <is>
          <t>Moda</t>
        </is>
      </c>
      <c r="K2297" t="n">
        <v>2</v>
      </c>
      <c r="L2297" t="n">
        <v>1.959</v>
      </c>
      <c r="M2297" t="n">
        <v>0</v>
      </c>
      <c r="N2297" t="inlineStr">
        <is>
          <t>train</t>
        </is>
      </c>
      <c r="O2297">
        <f>HYPERLINK("2\1\marker_497_377057.png", "Ver Imagen")</f>
        <v/>
      </c>
      <c r="P2297">
        <f>HYPERLINK("SE\A-497\A-497__415.png", "Ver Imagen")</f>
        <v/>
      </c>
    </row>
    <row r="2298">
      <c r="A2298" t="n">
        <v>1761</v>
      </c>
      <c r="B2298" t="inlineStr">
        <is>
          <t>A-497__387</t>
        </is>
      </c>
      <c r="C2298" t="n">
        <v>37.2328762188</v>
      </c>
      <c r="D2298" t="n">
        <v>-7.01824158972</v>
      </c>
      <c r="E2298" t="n">
        <v>2</v>
      </c>
      <c r="F2298" t="n">
        <v>2</v>
      </c>
      <c r="G2298" t="n">
        <v>3</v>
      </c>
      <c r="J2298" t="inlineStr">
        <is>
          <t>Moda</t>
        </is>
      </c>
      <c r="K2298" t="n">
        <v>2</v>
      </c>
      <c r="L2298" t="n">
        <v>2.043</v>
      </c>
      <c r="M2298" t="n">
        <v>0</v>
      </c>
      <c r="N2298" t="inlineStr">
        <is>
          <t>train</t>
        </is>
      </c>
      <c r="O2298">
        <f>HYPERLINK("2\1\marker_993_377310.png", "Ver Imagen")</f>
        <v/>
      </c>
      <c r="P2298">
        <f>HYPERLINK("SE\A-497\A-497__387.png", "Ver Imagen")</f>
        <v/>
      </c>
    </row>
    <row r="2299">
      <c r="A2299" t="n">
        <v>1762</v>
      </c>
      <c r="B2299" t="inlineStr">
        <is>
          <t>A-497__376</t>
        </is>
      </c>
      <c r="C2299" t="n">
        <v>37.2351064273</v>
      </c>
      <c r="D2299" t="n">
        <v>-7.01813421303</v>
      </c>
      <c r="E2299" t="n">
        <v>2</v>
      </c>
      <c r="F2299" t="n">
        <v>2</v>
      </c>
      <c r="G2299" t="n">
        <v>3</v>
      </c>
      <c r="J2299" t="inlineStr">
        <is>
          <t>Moda</t>
        </is>
      </c>
      <c r="K2299" t="n">
        <v>2</v>
      </c>
      <c r="L2299" t="n">
        <v>2.245</v>
      </c>
      <c r="M2299" t="n">
        <v>0</v>
      </c>
      <c r="N2299" t="inlineStr">
        <is>
          <t>train</t>
        </is>
      </c>
      <c r="O2299">
        <f>HYPERLINK("2\1\marker_898_377405.png", "Ver Imagen")</f>
        <v/>
      </c>
      <c r="P2299">
        <f>HYPERLINK("SE\A-497\A-497__376.png", "Ver Imagen")</f>
        <v/>
      </c>
    </row>
    <row r="2300">
      <c r="A2300" t="n">
        <v>1763</v>
      </c>
      <c r="B2300" t="inlineStr">
        <is>
          <t>A-497__369</t>
        </is>
      </c>
      <c r="C2300" t="n">
        <v>37.2364940012</v>
      </c>
      <c r="D2300" t="n">
        <v>-7.01847512958</v>
      </c>
      <c r="E2300" t="n">
        <v>2</v>
      </c>
      <c r="F2300" t="n">
        <v>2</v>
      </c>
      <c r="G2300" t="n">
        <v>3</v>
      </c>
      <c r="J2300" t="inlineStr">
        <is>
          <t>Moda</t>
        </is>
      </c>
      <c r="K2300" t="n">
        <v>2</v>
      </c>
      <c r="L2300" t="n">
        <v>2.054</v>
      </c>
      <c r="M2300" t="n">
        <v>0</v>
      </c>
      <c r="N2300" t="inlineStr">
        <is>
          <t>train</t>
        </is>
      </c>
      <c r="O2300">
        <f>HYPERLINK("2\1\marker_528_377467.png", "Ver Imagen")</f>
        <v/>
      </c>
      <c r="P2300">
        <f>HYPERLINK("SE\A-497\A-497__369.png", "Ver Imagen")</f>
        <v/>
      </c>
    </row>
    <row r="2301">
      <c r="A2301" t="n">
        <v>1764</v>
      </c>
      <c r="B2301" t="inlineStr">
        <is>
          <t>A-497__368</t>
        </is>
      </c>
      <c r="C2301" t="n">
        <v>37.2367008085</v>
      </c>
      <c r="D2301" t="n">
        <v>-7.01850622024</v>
      </c>
      <c r="E2301" t="n">
        <v>2</v>
      </c>
      <c r="F2301" t="n">
        <v>2</v>
      </c>
      <c r="G2301" t="n">
        <v>3</v>
      </c>
      <c r="J2301" t="inlineStr">
        <is>
          <t>Moda</t>
        </is>
      </c>
      <c r="K2301" t="n">
        <v>2</v>
      </c>
      <c r="L2301" t="n">
        <v>1.77</v>
      </c>
      <c r="M2301" t="n">
        <v>0</v>
      </c>
      <c r="N2301" t="inlineStr">
        <is>
          <t>train</t>
        </is>
      </c>
      <c r="O2301">
        <f>HYPERLINK("2\1\marker_228_377476.png", "Ver Imagen")</f>
        <v/>
      </c>
      <c r="P2301">
        <f>HYPERLINK("SE\A-497\A-497__368.png", "Ver Imagen")</f>
        <v/>
      </c>
    </row>
    <row r="2302">
      <c r="A2302" t="n">
        <v>1765</v>
      </c>
      <c r="B2302" t="inlineStr">
        <is>
          <t>A-497__312</t>
        </is>
      </c>
      <c r="C2302" t="n">
        <v>37.2480395167</v>
      </c>
      <c r="D2302" t="n">
        <v>-7.0181822282</v>
      </c>
      <c r="E2302" t="n">
        <v>2</v>
      </c>
      <c r="F2302" t="n">
        <v>2</v>
      </c>
      <c r="G2302" t="n">
        <v>3</v>
      </c>
      <c r="J2302" t="inlineStr">
        <is>
          <t>Moda</t>
        </is>
      </c>
      <c r="K2302" t="n">
        <v>2</v>
      </c>
      <c r="L2302" t="n">
        <v>1.995</v>
      </c>
      <c r="M2302" t="n">
        <v>0</v>
      </c>
      <c r="N2302" t="inlineStr">
        <is>
          <t>train</t>
        </is>
      </c>
      <c r="O2302">
        <f>HYPERLINK("2\1\marker_738_378051.png", "Ver Imagen")</f>
        <v/>
      </c>
      <c r="P2302">
        <f>HYPERLINK("SE\A-497\A-497__312.png", "Ver Imagen")</f>
        <v/>
      </c>
    </row>
    <row r="2303">
      <c r="A2303" t="n">
        <v>1766</v>
      </c>
      <c r="B2303" t="inlineStr">
        <is>
          <t>A-497__285</t>
        </is>
      </c>
      <c r="C2303" t="n">
        <v>37.2530764656</v>
      </c>
      <c r="D2303" t="n">
        <v>-7.01592020379</v>
      </c>
      <c r="E2303" t="n">
        <v>2</v>
      </c>
      <c r="F2303" t="n">
        <v>2</v>
      </c>
      <c r="G2303" t="n">
        <v>3</v>
      </c>
      <c r="J2303" t="inlineStr">
        <is>
          <t>Moda</t>
        </is>
      </c>
      <c r="K2303" t="n">
        <v>2</v>
      </c>
      <c r="L2303" t="n">
        <v>2.17</v>
      </c>
      <c r="M2303" t="n">
        <v>0</v>
      </c>
      <c r="N2303" t="inlineStr">
        <is>
          <t>train</t>
        </is>
      </c>
      <c r="O2303">
        <f>HYPERLINK("2\1\marker_901_378417.png", "Ver Imagen")</f>
        <v/>
      </c>
      <c r="P2303">
        <f>HYPERLINK("SE\A-497\A-497__285.png", "Ver Imagen")</f>
        <v/>
      </c>
    </row>
    <row r="2304">
      <c r="A2304" t="n">
        <v>1767</v>
      </c>
      <c r="B2304" t="inlineStr">
        <is>
          <t>A-497__267</t>
        </is>
      </c>
      <c r="C2304" t="n">
        <v>37.2563404343</v>
      </c>
      <c r="D2304" t="n">
        <v>-7.01384139053</v>
      </c>
      <c r="E2304" t="n">
        <v>2</v>
      </c>
      <c r="F2304" t="n">
        <v>2</v>
      </c>
      <c r="G2304" t="n">
        <v>3</v>
      </c>
      <c r="J2304" t="inlineStr">
        <is>
          <t>Moda</t>
        </is>
      </c>
      <c r="K2304" t="n">
        <v>2</v>
      </c>
      <c r="L2304" t="n">
        <v>1.967</v>
      </c>
      <c r="M2304" t="n">
        <v>0</v>
      </c>
      <c r="N2304" t="inlineStr">
        <is>
          <t>train</t>
        </is>
      </c>
      <c r="O2304">
        <f>HYPERLINK("2\1\marker_871_378609.png", "Ver Imagen")</f>
        <v/>
      </c>
      <c r="P2304">
        <f>HYPERLINK("SE\A-497\A-497__267.png", "Ver Imagen")</f>
        <v/>
      </c>
    </row>
    <row r="2305">
      <c r="A2305" t="n">
        <v>1768</v>
      </c>
      <c r="B2305" t="inlineStr">
        <is>
          <t>A-497__261</t>
        </is>
      </c>
      <c r="C2305" t="n">
        <v>37.2574184168</v>
      </c>
      <c r="D2305" t="n">
        <v>-7.01315312885</v>
      </c>
      <c r="E2305" t="n">
        <v>2</v>
      </c>
      <c r="F2305" t="n">
        <v>2</v>
      </c>
      <c r="G2305" t="n">
        <v>3</v>
      </c>
      <c r="J2305" t="inlineStr">
        <is>
          <t>Moda</t>
        </is>
      </c>
      <c r="K2305" t="n">
        <v>2</v>
      </c>
      <c r="L2305" t="n">
        <v>1.846</v>
      </c>
      <c r="M2305" t="n">
        <v>0</v>
      </c>
      <c r="N2305" t="inlineStr">
        <is>
          <t>train</t>
        </is>
      </c>
      <c r="O2305">
        <f>HYPERLINK("2\1\marker_319_378667.png", "Ver Imagen")</f>
        <v/>
      </c>
      <c r="P2305">
        <f>HYPERLINK("SE\A-497\A-497__261.png", "Ver Imagen")</f>
        <v/>
      </c>
    </row>
    <row r="2306">
      <c r="A2306" t="n">
        <v>1769</v>
      </c>
      <c r="B2306" t="inlineStr">
        <is>
          <t>A-497__254</t>
        </is>
      </c>
      <c r="C2306" t="n">
        <v>37.2586777102</v>
      </c>
      <c r="D2306" t="n">
        <v>-7.01235200464</v>
      </c>
      <c r="E2306" t="n">
        <v>2</v>
      </c>
      <c r="F2306" t="n">
        <v>2</v>
      </c>
      <c r="G2306" t="n">
        <v>3</v>
      </c>
      <c r="J2306" t="inlineStr">
        <is>
          <t>Moda</t>
        </is>
      </c>
      <c r="K2306" t="n">
        <v>2</v>
      </c>
      <c r="L2306" t="n">
        <v>2.182</v>
      </c>
      <c r="M2306" t="n">
        <v>0</v>
      </c>
      <c r="N2306" t="inlineStr">
        <is>
          <t>train</t>
        </is>
      </c>
      <c r="O2306">
        <f>HYPERLINK("2\1\marker_171_378743.png", "Ver Imagen")</f>
        <v/>
      </c>
      <c r="P2306">
        <f>HYPERLINK("SE\A-497\A-497__254.png", "Ver Imagen")</f>
        <v/>
      </c>
    </row>
    <row r="2307">
      <c r="A2307" t="n">
        <v>1770</v>
      </c>
      <c r="B2307" t="inlineStr">
        <is>
          <t>A-497__252</t>
        </is>
      </c>
      <c r="C2307" t="n">
        <v>37.2590397507</v>
      </c>
      <c r="D2307" t="n">
        <v>-7.01212116728</v>
      </c>
      <c r="E2307" t="n">
        <v>2</v>
      </c>
      <c r="F2307" t="n">
        <v>2</v>
      </c>
      <c r="G2307" t="n">
        <v>3</v>
      </c>
      <c r="J2307" t="inlineStr">
        <is>
          <t>Moda</t>
        </is>
      </c>
      <c r="K2307" t="n">
        <v>2</v>
      </c>
      <c r="L2307" t="n">
        <v>1.951</v>
      </c>
      <c r="M2307" t="n">
        <v>0</v>
      </c>
      <c r="N2307" t="inlineStr">
        <is>
          <t>train</t>
        </is>
      </c>
      <c r="O2307">
        <f>HYPERLINK("2\1\marker_532_378764.png", "Ver Imagen")</f>
        <v/>
      </c>
      <c r="P2307">
        <f>HYPERLINK("SE\A-497\A-497__252.png", "Ver Imagen")</f>
        <v/>
      </c>
    </row>
    <row r="2308">
      <c r="A2308" t="n">
        <v>1771</v>
      </c>
      <c r="B2308" t="inlineStr">
        <is>
          <t>A-497__251</t>
        </is>
      </c>
      <c r="C2308" t="n">
        <v>37.2592161204</v>
      </c>
      <c r="D2308" t="n">
        <v>-7.01200775841</v>
      </c>
      <c r="E2308" t="n">
        <v>2</v>
      </c>
      <c r="F2308" t="n">
        <v>2</v>
      </c>
      <c r="G2308" t="n">
        <v>3</v>
      </c>
      <c r="J2308" t="inlineStr">
        <is>
          <t>Moda</t>
        </is>
      </c>
      <c r="K2308" t="n">
        <v>2</v>
      </c>
      <c r="L2308" t="n">
        <v>2.395</v>
      </c>
      <c r="M2308" t="n">
        <v>0</v>
      </c>
      <c r="N2308" t="inlineStr">
        <is>
          <t>train</t>
        </is>
      </c>
      <c r="O2308">
        <f>HYPERLINK("2\1\marker_167_378773.png", "Ver Imagen")</f>
        <v/>
      </c>
      <c r="P2308">
        <f>HYPERLINK("SE\A-497\A-497__251.png", "Ver Imagen")</f>
        <v/>
      </c>
    </row>
    <row r="2309">
      <c r="A2309" t="n">
        <v>1772</v>
      </c>
      <c r="B2309" t="inlineStr">
        <is>
          <t>A-497__250</t>
        </is>
      </c>
      <c r="C2309" t="n">
        <v>37.2593856449</v>
      </c>
      <c r="D2309" t="n">
        <v>-7.01189841237</v>
      </c>
      <c r="E2309" t="n">
        <v>2</v>
      </c>
      <c r="F2309" t="n">
        <v>2</v>
      </c>
      <c r="G2309" t="n">
        <v>3</v>
      </c>
      <c r="J2309" t="inlineStr">
        <is>
          <t>Moda</t>
        </is>
      </c>
      <c r="K2309" t="n">
        <v>2</v>
      </c>
      <c r="L2309" t="n">
        <v>2.418</v>
      </c>
      <c r="M2309" t="n">
        <v>0</v>
      </c>
      <c r="N2309" t="inlineStr">
        <is>
          <t>train</t>
        </is>
      </c>
      <c r="O2309">
        <f>HYPERLINK("2\1\marker_468_378782.png", "Ver Imagen")</f>
        <v/>
      </c>
      <c r="P2309">
        <f>HYPERLINK("SE\A-497\A-497__250.png", "Ver Imagen")</f>
        <v/>
      </c>
    </row>
    <row r="2310">
      <c r="A2310" t="n">
        <v>1773</v>
      </c>
      <c r="B2310" t="inlineStr">
        <is>
          <t>A-497__240</t>
        </is>
      </c>
      <c r="C2310" t="n">
        <v>37.2612121835</v>
      </c>
      <c r="D2310" t="n">
        <v>-7.01072388991</v>
      </c>
      <c r="E2310" t="n">
        <v>2</v>
      </c>
      <c r="F2310" t="n">
        <v>2</v>
      </c>
      <c r="G2310" t="n">
        <v>3</v>
      </c>
      <c r="J2310" t="inlineStr">
        <is>
          <t>Moda</t>
        </is>
      </c>
      <c r="K2310" t="n">
        <v>2</v>
      </c>
      <c r="L2310" t="n">
        <v>2.264</v>
      </c>
      <c r="M2310" t="n">
        <v>0</v>
      </c>
      <c r="N2310" t="inlineStr">
        <is>
          <t>train</t>
        </is>
      </c>
      <c r="O2310">
        <f>HYPERLINK("2\1\marker_216_378918.png", "Ver Imagen")</f>
        <v/>
      </c>
      <c r="P2310">
        <f>HYPERLINK("SE\A-497\A-497__240.png", "Ver Imagen")</f>
        <v/>
      </c>
    </row>
    <row r="2311">
      <c r="A2311" t="n">
        <v>1774</v>
      </c>
      <c r="B2311" t="inlineStr">
        <is>
          <t>A-497__237</t>
        </is>
      </c>
      <c r="C2311" t="n">
        <v>37.2617050644</v>
      </c>
      <c r="D2311" t="n">
        <v>-7.01033116088</v>
      </c>
      <c r="E2311" t="n">
        <v>2</v>
      </c>
      <c r="F2311" t="n">
        <v>2</v>
      </c>
      <c r="G2311" t="n">
        <v>3</v>
      </c>
      <c r="J2311" t="inlineStr">
        <is>
          <t>Moda</t>
        </is>
      </c>
      <c r="K2311" t="n">
        <v>2</v>
      </c>
      <c r="L2311" t="n">
        <v>2.077</v>
      </c>
      <c r="M2311" t="n">
        <v>0</v>
      </c>
      <c r="N2311" t="inlineStr">
        <is>
          <t>train</t>
        </is>
      </c>
      <c r="O2311">
        <f>HYPERLINK("2\1\marker_672_378943.png", "Ver Imagen")</f>
        <v/>
      </c>
      <c r="P2311">
        <f>HYPERLINK("SE\A-497\A-497__237.png", "Ver Imagen")</f>
        <v/>
      </c>
    </row>
    <row r="2312">
      <c r="A2312" t="n">
        <v>1775</v>
      </c>
      <c r="B2312" t="inlineStr">
        <is>
          <t>A-497__216</t>
        </is>
      </c>
      <c r="C2312" t="n">
        <v>37.2636539552</v>
      </c>
      <c r="D2312" t="n">
        <v>-7.00580963064</v>
      </c>
      <c r="E2312" t="n">
        <v>2</v>
      </c>
      <c r="F2312" t="n">
        <v>2</v>
      </c>
      <c r="G2312" t="n">
        <v>3</v>
      </c>
      <c r="J2312" t="inlineStr">
        <is>
          <t>Moda</t>
        </is>
      </c>
      <c r="K2312" t="n">
        <v>2</v>
      </c>
      <c r="L2312" t="n">
        <v>1.557</v>
      </c>
      <c r="M2312" t="n">
        <v>0</v>
      </c>
      <c r="N2312" t="inlineStr">
        <is>
          <t>train</t>
        </is>
      </c>
      <c r="O2312">
        <f>HYPERLINK("2\1\marker_956_379193.png", "Ver Imagen")</f>
        <v/>
      </c>
      <c r="P2312">
        <f>HYPERLINK("SE\A-497\A-497__216.png", "Ver Imagen")</f>
        <v/>
      </c>
    </row>
    <row r="2313">
      <c r="A2313" t="n">
        <v>1776</v>
      </c>
      <c r="B2313" t="inlineStr">
        <is>
          <t>A-497__215</t>
        </is>
      </c>
      <c r="C2313" t="n">
        <v>37.2636940206</v>
      </c>
      <c r="D2313" t="n">
        <v>-7.00558203683</v>
      </c>
      <c r="E2313" t="n">
        <v>2</v>
      </c>
      <c r="F2313" t="n">
        <v>2</v>
      </c>
      <c r="G2313" t="n">
        <v>3</v>
      </c>
      <c r="J2313" t="inlineStr">
        <is>
          <t>Moda</t>
        </is>
      </c>
      <c r="K2313" t="n">
        <v>2</v>
      </c>
      <c r="L2313" t="n">
        <v>1.982</v>
      </c>
      <c r="M2313" t="n">
        <v>0</v>
      </c>
      <c r="N2313" t="inlineStr">
        <is>
          <t>val</t>
        </is>
      </c>
      <c r="O2313">
        <f>HYPERLINK("2\1\marker_724_379205.png", "Ver Imagen")</f>
        <v/>
      </c>
      <c r="P2313">
        <f>HYPERLINK("SE\A-497\A-497__215.png", "Ver Imagen")</f>
        <v/>
      </c>
    </row>
    <row r="2314">
      <c r="A2314" t="n">
        <v>1777</v>
      </c>
      <c r="B2314" t="inlineStr">
        <is>
          <t>A-497__214</t>
        </is>
      </c>
      <c r="C2314" t="n">
        <v>37.2637392487</v>
      </c>
      <c r="D2314" t="n">
        <v>-7.00532577436</v>
      </c>
      <c r="E2314" t="n">
        <v>2</v>
      </c>
      <c r="F2314" t="n">
        <v>2</v>
      </c>
      <c r="G2314" t="n">
        <v>3</v>
      </c>
      <c r="J2314" t="inlineStr">
        <is>
          <t>Moda</t>
        </is>
      </c>
      <c r="K2314" t="n">
        <v>2</v>
      </c>
      <c r="L2314" t="n">
        <v>1.682</v>
      </c>
      <c r="M2314" t="n">
        <v>0</v>
      </c>
      <c r="N2314" t="inlineStr">
        <is>
          <t>train</t>
        </is>
      </c>
      <c r="O2314">
        <f>HYPERLINK("2\1\marker_847_379215.png", "Ver Imagen")</f>
        <v/>
      </c>
      <c r="P2314">
        <f>HYPERLINK("SE\A-497\A-497__214.png", "Ver Imagen")</f>
        <v/>
      </c>
    </row>
    <row r="2315">
      <c r="A2315" t="n">
        <v>1778</v>
      </c>
      <c r="B2315" t="inlineStr">
        <is>
          <t>A-497__213</t>
        </is>
      </c>
      <c r="C2315" t="n">
        <v>37.263783166</v>
      </c>
      <c r="D2315" t="n">
        <v>-7.00507894518</v>
      </c>
      <c r="E2315" t="n">
        <v>2</v>
      </c>
      <c r="F2315" t="n">
        <v>2</v>
      </c>
      <c r="G2315" t="n">
        <v>3</v>
      </c>
      <c r="J2315" t="inlineStr">
        <is>
          <t>Moda</t>
        </is>
      </c>
      <c r="K2315" t="n">
        <v>2</v>
      </c>
      <c r="L2315" t="n">
        <v>2.026</v>
      </c>
      <c r="M2315" t="n">
        <v>0</v>
      </c>
      <c r="N2315" t="inlineStr">
        <is>
          <t>train</t>
        </is>
      </c>
      <c r="O2315">
        <f>HYPERLINK("2\1\marker_449_379226.png", "Ver Imagen")</f>
        <v/>
      </c>
      <c r="P2315">
        <f>HYPERLINK("SE\A-497\A-497__213.png", "Ver Imagen")</f>
        <v/>
      </c>
    </row>
    <row r="2316">
      <c r="A2316" t="n">
        <v>1779</v>
      </c>
      <c r="B2316" t="inlineStr">
        <is>
          <t>A-497__211</t>
        </is>
      </c>
      <c r="C2316" t="n">
        <v>37.2638825369</v>
      </c>
      <c r="D2316" t="n">
        <v>-7.00453165793</v>
      </c>
      <c r="E2316" t="n">
        <v>2</v>
      </c>
      <c r="F2316" t="n">
        <v>2</v>
      </c>
      <c r="G2316" t="n">
        <v>3</v>
      </c>
      <c r="J2316" t="inlineStr">
        <is>
          <t>Moda</t>
        </is>
      </c>
      <c r="K2316" t="n">
        <v>2</v>
      </c>
      <c r="L2316" t="n">
        <v>2.136</v>
      </c>
      <c r="M2316" t="n">
        <v>0</v>
      </c>
      <c r="N2316" t="inlineStr">
        <is>
          <t>train</t>
        </is>
      </c>
      <c r="O2316">
        <f>HYPERLINK("2\1\marker_357_379246.png", "Ver Imagen")</f>
        <v/>
      </c>
      <c r="P2316">
        <f>HYPERLINK("SE\A-497\A-497__211.png", "Ver Imagen")</f>
        <v/>
      </c>
    </row>
    <row r="2317">
      <c r="A2317" t="n">
        <v>1781</v>
      </c>
      <c r="B2317" t="inlineStr">
        <is>
          <t>A-497__207</t>
        </is>
      </c>
      <c r="C2317" t="n">
        <v>37.2640577659</v>
      </c>
      <c r="D2317" t="n">
        <v>-7.00353327464</v>
      </c>
      <c r="E2317" t="n">
        <v>2</v>
      </c>
      <c r="F2317" t="n">
        <v>2</v>
      </c>
      <c r="G2317" t="n">
        <v>3</v>
      </c>
      <c r="J2317" t="inlineStr">
        <is>
          <t>Moda</t>
        </is>
      </c>
      <c r="K2317" t="n">
        <v>2</v>
      </c>
      <c r="L2317" t="n">
        <v>2.37</v>
      </c>
      <c r="M2317" t="n">
        <v>0</v>
      </c>
      <c r="N2317" t="inlineStr">
        <is>
          <t>train</t>
        </is>
      </c>
      <c r="O2317">
        <f>HYPERLINK("2\1\marker_692_379302.png", "Ver Imagen")</f>
        <v/>
      </c>
      <c r="P2317">
        <f>HYPERLINK("SE\A-497\A-497__207.png", "Ver Imagen")</f>
        <v/>
      </c>
    </row>
    <row r="2318">
      <c r="A2318" t="n">
        <v>1782</v>
      </c>
      <c r="B2318" t="inlineStr">
        <is>
          <t>A-497__157</t>
        </is>
      </c>
      <c r="C2318" t="n">
        <v>37.2670459393</v>
      </c>
      <c r="D2318" t="n">
        <v>-6.99166626748</v>
      </c>
      <c r="E2318" t="n">
        <v>2</v>
      </c>
      <c r="F2318" t="n">
        <v>2</v>
      </c>
      <c r="G2318" t="n">
        <v>3</v>
      </c>
      <c r="J2318" t="inlineStr">
        <is>
          <t>Moda</t>
        </is>
      </c>
      <c r="K2318" t="n">
        <v>2</v>
      </c>
      <c r="L2318" t="n">
        <v>2.313</v>
      </c>
      <c r="M2318" t="n">
        <v>0</v>
      </c>
      <c r="N2318" t="inlineStr">
        <is>
          <t>train</t>
        </is>
      </c>
      <c r="O2318">
        <f>HYPERLINK("2\1\marker_359_380279.png", "Ver Imagen")</f>
        <v/>
      </c>
      <c r="P2318">
        <f>HYPERLINK("SE\A-497\A-497__157.png", "Ver Imagen")</f>
        <v/>
      </c>
    </row>
    <row r="2319">
      <c r="A2319" t="n">
        <v>1783</v>
      </c>
      <c r="B2319" t="inlineStr">
        <is>
          <t>A-497__139</t>
        </is>
      </c>
      <c r="C2319" t="n">
        <v>37.2701915856</v>
      </c>
      <c r="D2319" t="n">
        <v>-6.98933786283</v>
      </c>
      <c r="E2319" t="n">
        <v>2</v>
      </c>
      <c r="F2319" t="n">
        <v>2</v>
      </c>
      <c r="G2319" t="n">
        <v>3</v>
      </c>
      <c r="J2319" t="inlineStr">
        <is>
          <t>Moda</t>
        </is>
      </c>
      <c r="K2319" t="n">
        <v>2</v>
      </c>
      <c r="L2319" t="n">
        <v>1.718</v>
      </c>
      <c r="M2319" t="n">
        <v>0</v>
      </c>
      <c r="N2319" t="inlineStr">
        <is>
          <t>train</t>
        </is>
      </c>
      <c r="O2319">
        <f>HYPERLINK("2\1\marker_539_380450.png", "Ver Imagen")</f>
        <v/>
      </c>
      <c r="P2319">
        <f>HYPERLINK("SE\A-497\A-497__139.png", "Ver Imagen")</f>
        <v/>
      </c>
    </row>
    <row r="2320">
      <c r="A2320" t="n">
        <v>1784</v>
      </c>
      <c r="B2320" t="inlineStr">
        <is>
          <t>A-497__138</t>
        </is>
      </c>
      <c r="C2320" t="n">
        <v>37.270366556</v>
      </c>
      <c r="D2320" t="n">
        <v>-6.98921351571</v>
      </c>
      <c r="E2320" t="n">
        <v>2</v>
      </c>
      <c r="F2320" t="n">
        <v>2</v>
      </c>
      <c r="G2320" t="n">
        <v>3</v>
      </c>
      <c r="J2320" t="inlineStr">
        <is>
          <t>Moda</t>
        </is>
      </c>
      <c r="K2320" t="n">
        <v>2</v>
      </c>
      <c r="L2320" t="n">
        <v>2.189</v>
      </c>
      <c r="M2320" t="n">
        <v>0</v>
      </c>
      <c r="N2320" t="inlineStr">
        <is>
          <t>train</t>
        </is>
      </c>
      <c r="O2320">
        <f>HYPERLINK("2\1\marker_653_380459.png", "Ver Imagen")</f>
        <v/>
      </c>
      <c r="P2320">
        <f>HYPERLINK("SE\A-497\A-497__138.png", "Ver Imagen")</f>
        <v/>
      </c>
    </row>
    <row r="2321">
      <c r="A2321" t="n">
        <v>1785</v>
      </c>
      <c r="B2321" t="inlineStr">
        <is>
          <t>A-497__137</t>
        </is>
      </c>
      <c r="C2321" t="n">
        <v>37.2705553572</v>
      </c>
      <c r="D2321" t="n">
        <v>-6.98907453736</v>
      </c>
      <c r="E2321" t="n">
        <v>2</v>
      </c>
      <c r="F2321" t="n">
        <v>2</v>
      </c>
      <c r="G2321" t="n">
        <v>3</v>
      </c>
      <c r="J2321" t="inlineStr">
        <is>
          <t>Moda</t>
        </is>
      </c>
      <c r="K2321" t="n">
        <v>2</v>
      </c>
      <c r="L2321" t="n">
        <v>1.816</v>
      </c>
      <c r="M2321" t="n">
        <v>0</v>
      </c>
      <c r="N2321" t="inlineStr">
        <is>
          <t>train</t>
        </is>
      </c>
      <c r="O2321">
        <f>HYPERLINK("2\1\marker_580_380467.png", "Ver Imagen")</f>
        <v/>
      </c>
      <c r="P2321">
        <f>HYPERLINK("SE\A-497\A-497__137.png", "Ver Imagen")</f>
        <v/>
      </c>
    </row>
    <row r="2322">
      <c r="A2322" t="n">
        <v>1786</v>
      </c>
      <c r="B2322" t="inlineStr">
        <is>
          <t>A-497__136</t>
        </is>
      </c>
      <c r="C2322" t="n">
        <v>37.2707196667</v>
      </c>
      <c r="D2322" t="n">
        <v>-6.98894275539</v>
      </c>
      <c r="E2322" t="n">
        <v>2</v>
      </c>
      <c r="F2322" t="n">
        <v>2</v>
      </c>
      <c r="G2322" t="n">
        <v>3</v>
      </c>
      <c r="J2322" t="inlineStr">
        <is>
          <t>Moda</t>
        </is>
      </c>
      <c r="K2322" t="n">
        <v>2</v>
      </c>
      <c r="L2322" t="n">
        <v>1.841</v>
      </c>
      <c r="M2322" t="n">
        <v>0</v>
      </c>
      <c r="N2322" t="inlineStr">
        <is>
          <t>train</t>
        </is>
      </c>
      <c r="O2322">
        <f>HYPERLINK("2\1\marker_526_380477.png", "Ver Imagen")</f>
        <v/>
      </c>
      <c r="P2322">
        <f>HYPERLINK("SE\A-497\A-497__136.png", "Ver Imagen")</f>
        <v/>
      </c>
    </row>
    <row r="2323">
      <c r="A2323" t="n">
        <v>1787</v>
      </c>
      <c r="B2323" t="inlineStr">
        <is>
          <t>A-497__135</t>
        </is>
      </c>
      <c r="C2323" t="n">
        <v>37.2708865532</v>
      </c>
      <c r="D2323" t="n">
        <v>-6.98878577354</v>
      </c>
      <c r="E2323" t="n">
        <v>2</v>
      </c>
      <c r="F2323" t="n">
        <v>2</v>
      </c>
      <c r="G2323" t="n">
        <v>3</v>
      </c>
      <c r="J2323" t="inlineStr">
        <is>
          <t>Moda</t>
        </is>
      </c>
      <c r="K2323" t="n">
        <v>2</v>
      </c>
      <c r="L2323" t="n">
        <v>1.839</v>
      </c>
      <c r="M2323" t="n">
        <v>0</v>
      </c>
      <c r="N2323" t="inlineStr">
        <is>
          <t>train</t>
        </is>
      </c>
      <c r="O2323">
        <f>HYPERLINK("2\1\marker_257_380485.png", "Ver Imagen")</f>
        <v/>
      </c>
      <c r="P2323">
        <f>HYPERLINK("SE\A-497\A-497__135.png", "Ver Imagen")</f>
        <v/>
      </c>
    </row>
    <row r="2324">
      <c r="A2324" t="n">
        <v>1788</v>
      </c>
      <c r="B2324" t="inlineStr">
        <is>
          <t>A-497__134</t>
        </is>
      </c>
      <c r="C2324" t="n">
        <v>37.2710282769</v>
      </c>
      <c r="D2324" t="n">
        <v>-6.98862698238</v>
      </c>
      <c r="E2324" t="n">
        <v>2</v>
      </c>
      <c r="F2324" t="n">
        <v>2</v>
      </c>
      <c r="G2324" t="n">
        <v>3</v>
      </c>
      <c r="J2324" t="inlineStr">
        <is>
          <t>Moda</t>
        </is>
      </c>
      <c r="K2324" t="n">
        <v>2</v>
      </c>
      <c r="L2324" t="n">
        <v>1.809</v>
      </c>
      <c r="M2324" t="n">
        <v>0</v>
      </c>
      <c r="N2324" t="inlineStr">
        <is>
          <t>train</t>
        </is>
      </c>
      <c r="O2324">
        <f>HYPERLINK("2\1\marker_624_380495.png", "Ver Imagen")</f>
        <v/>
      </c>
      <c r="P2324">
        <f>HYPERLINK("SE\A-497\A-497__134.png", "Ver Imagen")</f>
        <v/>
      </c>
    </row>
    <row r="2325">
      <c r="A2325" t="n">
        <v>1789</v>
      </c>
      <c r="B2325" t="inlineStr">
        <is>
          <t>A-490__24</t>
        </is>
      </c>
      <c r="C2325" t="n">
        <v>37.4465784911</v>
      </c>
      <c r="D2325" t="n">
        <v>-7.13223819488</v>
      </c>
      <c r="E2325" t="n">
        <v>3</v>
      </c>
      <c r="F2325" t="n">
        <v>3</v>
      </c>
      <c r="G2325" t="n">
        <v>3</v>
      </c>
      <c r="J2325" t="inlineStr">
        <is>
          <t>Moda</t>
        </is>
      </c>
      <c r="K2325" t="n">
        <v>3</v>
      </c>
      <c r="L2325" t="n">
        <v>2.906</v>
      </c>
      <c r="M2325" t="n">
        <v>0</v>
      </c>
      <c r="N2325" t="inlineStr">
        <is>
          <t>train</t>
        </is>
      </c>
      <c r="O2325">
        <f>HYPERLINK("3\0\marker_174_730754.png", "Ver Imagen")</f>
        <v/>
      </c>
      <c r="P2325">
        <f>HYPERLINK("NE\A-490\A-490__24.png", "Ver Imagen")</f>
        <v/>
      </c>
    </row>
    <row r="2326">
      <c r="A2326" t="n">
        <v>1790</v>
      </c>
      <c r="B2326" t="inlineStr">
        <is>
          <t>A-490__18</t>
        </is>
      </c>
      <c r="C2326" t="n">
        <v>37.4468470756</v>
      </c>
      <c r="D2326" t="n">
        <v>-7.13073247604</v>
      </c>
      <c r="E2326" t="n">
        <v>3</v>
      </c>
      <c r="F2326" t="n">
        <v>3</v>
      </c>
      <c r="G2326" t="n">
        <v>3</v>
      </c>
      <c r="J2326" t="inlineStr">
        <is>
          <t>Moda</t>
        </is>
      </c>
      <c r="K2326" t="n">
        <v>3</v>
      </c>
      <c r="L2326" t="n">
        <v>3.359</v>
      </c>
      <c r="M2326" t="n">
        <v>0</v>
      </c>
      <c r="N2326" t="inlineStr">
        <is>
          <t>val</t>
        </is>
      </c>
      <c r="O2326">
        <f>HYPERLINK("3\0\marker_244_730563.png", "Ver Imagen")</f>
        <v/>
      </c>
      <c r="P2326">
        <f>HYPERLINK("NE\A-490\A-490__18.png", "Ver Imagen")</f>
        <v/>
      </c>
    </row>
    <row r="2327">
      <c r="A2327" t="n">
        <v>1791</v>
      </c>
      <c r="B2327" t="inlineStr">
        <is>
          <t>A-490__214</t>
        </is>
      </c>
      <c r="C2327" t="n">
        <v>37.4615719532</v>
      </c>
      <c r="D2327" t="n">
        <v>-7.17442932149</v>
      </c>
      <c r="E2327" t="n">
        <v>3</v>
      </c>
      <c r="F2327" t="n">
        <v>3</v>
      </c>
      <c r="G2327" t="n">
        <v>3</v>
      </c>
      <c r="J2327" t="inlineStr">
        <is>
          <t>Moda</t>
        </is>
      </c>
      <c r="K2327" t="n">
        <v>3</v>
      </c>
      <c r="L2327" t="n">
        <v>2.928</v>
      </c>
      <c r="M2327" t="n">
        <v>0</v>
      </c>
      <c r="N2327" t="inlineStr">
        <is>
          <t>train</t>
        </is>
      </c>
      <c r="O2327">
        <f>HYPERLINK("3\0\marker_141_742987.png", "Ver Imagen")</f>
        <v/>
      </c>
      <c r="P2327">
        <f>HYPERLINK("NE\A-490\A-490__214.png", "Ver Imagen")</f>
        <v/>
      </c>
    </row>
    <row r="2328">
      <c r="A2328" t="n">
        <v>1792</v>
      </c>
      <c r="B2328" t="inlineStr">
        <is>
          <t>A-490__224</t>
        </is>
      </c>
      <c r="C2328" t="n">
        <v>37.4628149092</v>
      </c>
      <c r="D2328" t="n">
        <v>-7.17646179006</v>
      </c>
      <c r="E2328" t="n">
        <v>3</v>
      </c>
      <c r="F2328" t="n">
        <v>3</v>
      </c>
      <c r="G2328" t="n">
        <v>3</v>
      </c>
      <c r="J2328" t="inlineStr">
        <is>
          <t>Moda</t>
        </is>
      </c>
      <c r="K2328" t="n">
        <v>3</v>
      </c>
      <c r="L2328" t="n">
        <v>3.001</v>
      </c>
      <c r="M2328" t="n">
        <v>0</v>
      </c>
      <c r="N2328" t="inlineStr">
        <is>
          <t>train</t>
        </is>
      </c>
      <c r="O2328">
        <f>HYPERLINK("3\0\marker_722_743676.png", "Ver Imagen")</f>
        <v/>
      </c>
      <c r="P2328">
        <f>HYPERLINK("NE\A-490\A-490__224.png", "Ver Imagen")</f>
        <v/>
      </c>
    </row>
    <row r="2329">
      <c r="A2329" t="n">
        <v>1793</v>
      </c>
      <c r="B2329" t="inlineStr">
        <is>
          <t>A-490__231</t>
        </is>
      </c>
      <c r="C2329" t="n">
        <v>37.4636423132</v>
      </c>
      <c r="D2329" t="n">
        <v>-7.17784589656</v>
      </c>
      <c r="E2329" t="n">
        <v>3</v>
      </c>
      <c r="F2329" t="n">
        <v>3</v>
      </c>
      <c r="G2329" t="n">
        <v>3</v>
      </c>
      <c r="J2329" t="inlineStr">
        <is>
          <t>Moda</t>
        </is>
      </c>
      <c r="K2329" t="n">
        <v>3</v>
      </c>
      <c r="L2329" t="n">
        <v>2.84</v>
      </c>
      <c r="M2329" t="n">
        <v>0</v>
      </c>
      <c r="N2329" t="inlineStr">
        <is>
          <t>train</t>
        </is>
      </c>
      <c r="O2329">
        <f>HYPERLINK("3\0\marker_480_743862.png", "Ver Imagen")</f>
        <v/>
      </c>
      <c r="P2329">
        <f>HYPERLINK("NE\A-490\A-490__231.png", "Ver Imagen")</f>
        <v/>
      </c>
    </row>
    <row r="2330">
      <c r="A2330" t="n">
        <v>1795</v>
      </c>
      <c r="B2330" t="inlineStr">
        <is>
          <t>A-490__587</t>
        </is>
      </c>
      <c r="C2330" t="n">
        <v>37.49017194</v>
      </c>
      <c r="D2330" t="n">
        <v>-7.25946555941</v>
      </c>
      <c r="E2330" t="n">
        <v>3</v>
      </c>
      <c r="F2330" t="n">
        <v>3</v>
      </c>
      <c r="G2330" t="n">
        <v>3</v>
      </c>
      <c r="J2330" t="inlineStr">
        <is>
          <t>Moda</t>
        </is>
      </c>
      <c r="K2330" t="n">
        <v>3</v>
      </c>
      <c r="L2330" t="n">
        <v>3.101</v>
      </c>
      <c r="M2330" t="n">
        <v>0</v>
      </c>
      <c r="N2330" t="inlineStr">
        <is>
          <t>train</t>
        </is>
      </c>
      <c r="O2330">
        <f>HYPERLINK("3\0\marker_908_819577.png", "Ver Imagen")</f>
        <v/>
      </c>
      <c r="P2330">
        <f>HYPERLINK("NO\A-490\A-490__587.png", "Ver Imagen")</f>
        <v/>
      </c>
    </row>
    <row r="2331">
      <c r="A2331" t="n">
        <v>1797</v>
      </c>
      <c r="B2331" t="inlineStr">
        <is>
          <t>A-492__82</t>
        </is>
      </c>
      <c r="C2331" t="n">
        <v>37.2806880016</v>
      </c>
      <c r="D2331" t="n">
        <v>-7.0029920334</v>
      </c>
      <c r="E2331" t="n">
        <v>3</v>
      </c>
      <c r="F2331" t="n">
        <v>3</v>
      </c>
      <c r="G2331" t="n">
        <v>3</v>
      </c>
      <c r="J2331" t="inlineStr">
        <is>
          <t>Moda</t>
        </is>
      </c>
      <c r="K2331" t="n">
        <v>3</v>
      </c>
      <c r="L2331" t="n">
        <v>3.124</v>
      </c>
      <c r="M2331" t="n">
        <v>0</v>
      </c>
      <c r="N2331" t="inlineStr">
        <is>
          <t>train</t>
        </is>
      </c>
      <c r="O2331">
        <f>HYPERLINK("3\0\marker_185_823512.png", "Ver Imagen")</f>
        <v/>
      </c>
      <c r="P2331">
        <f>HYPERLINK("SE\A-492\A-492__82.png", "Ver Imagen")</f>
        <v/>
      </c>
    </row>
    <row r="2332">
      <c r="A2332" t="n">
        <v>1799</v>
      </c>
      <c r="B2332" t="inlineStr">
        <is>
          <t>A-492__116</t>
        </is>
      </c>
      <c r="C2332" t="n">
        <v>37.2779466502</v>
      </c>
      <c r="D2332" t="n">
        <v>-7.01082500468</v>
      </c>
      <c r="E2332" t="n">
        <v>3</v>
      </c>
      <c r="F2332" t="n">
        <v>3</v>
      </c>
      <c r="G2332" t="n">
        <v>3</v>
      </c>
      <c r="J2332" t="inlineStr">
        <is>
          <t>Moda</t>
        </is>
      </c>
      <c r="K2332" t="n">
        <v>3</v>
      </c>
      <c r="L2332" t="n">
        <v>3.293</v>
      </c>
      <c r="M2332" t="n">
        <v>0</v>
      </c>
      <c r="N2332" t="inlineStr">
        <is>
          <t>train</t>
        </is>
      </c>
      <c r="O2332">
        <f>HYPERLINK("3\0\marker_283_824360.png", "Ver Imagen")</f>
        <v/>
      </c>
      <c r="P2332">
        <f>HYPERLINK("SE\A-492\A-492__116.png", "Ver Imagen")</f>
        <v/>
      </c>
    </row>
    <row r="2333">
      <c r="A2333" t="n">
        <v>1800</v>
      </c>
      <c r="B2333" t="inlineStr">
        <is>
          <t>A-492__470</t>
        </is>
      </c>
      <c r="C2333" t="n">
        <v>37.3174097367</v>
      </c>
      <c r="D2333" t="n">
        <v>-7.070998004</v>
      </c>
      <c r="E2333" t="n">
        <v>3</v>
      </c>
      <c r="F2333" t="n">
        <v>3</v>
      </c>
      <c r="G2333" t="n">
        <v>3</v>
      </c>
      <c r="J2333" t="inlineStr">
        <is>
          <t>Moda</t>
        </is>
      </c>
      <c r="K2333" t="n">
        <v>3</v>
      </c>
      <c r="L2333" t="n">
        <v>2.905</v>
      </c>
      <c r="M2333" t="n">
        <v>0</v>
      </c>
      <c r="N2333" t="inlineStr">
        <is>
          <t>train</t>
        </is>
      </c>
      <c r="O2333">
        <f>HYPERLINK("3\0\marker_950_840045.png", "Ver Imagen")</f>
        <v/>
      </c>
      <c r="P2333">
        <f>HYPERLINK("SE\A-492\A-492__470.png", "Ver Imagen")</f>
        <v/>
      </c>
    </row>
    <row r="2334">
      <c r="A2334" t="n">
        <v>1801</v>
      </c>
      <c r="B2334" t="inlineStr">
        <is>
          <t>A-495R__44</t>
        </is>
      </c>
      <c r="C2334" t="n">
        <v>37.4531378102</v>
      </c>
      <c r="D2334" t="n">
        <v>-7.11214203966</v>
      </c>
      <c r="E2334" t="n">
        <v>3</v>
      </c>
      <c r="F2334" t="n">
        <v>3</v>
      </c>
      <c r="G2334" t="n">
        <v>3</v>
      </c>
      <c r="J2334" t="inlineStr">
        <is>
          <t>Moda</t>
        </is>
      </c>
      <c r="K2334" t="n">
        <v>3</v>
      </c>
      <c r="L2334" t="n">
        <v>3.073</v>
      </c>
      <c r="M2334" t="n">
        <v>0</v>
      </c>
      <c r="N2334" t="inlineStr">
        <is>
          <t>train</t>
        </is>
      </c>
      <c r="O2334">
        <f>HYPERLINK("3\0\marker_237_935721.png", "Ver Imagen")</f>
        <v/>
      </c>
      <c r="P2334">
        <f>HYPERLINK("NE\A-495R\A-495R__44.png", "Ver Imagen")</f>
        <v/>
      </c>
    </row>
    <row r="2335">
      <c r="A2335" t="n">
        <v>1803</v>
      </c>
      <c r="B2335" t="inlineStr">
        <is>
          <t>A-497__66</t>
        </is>
      </c>
      <c r="C2335" t="n">
        <v>37.2682520375</v>
      </c>
      <c r="D2335" t="n">
        <v>-6.97239138153</v>
      </c>
      <c r="E2335" t="n">
        <v>3</v>
      </c>
      <c r="F2335" t="n">
        <v>3</v>
      </c>
      <c r="G2335" t="n">
        <v>3</v>
      </c>
      <c r="J2335" t="inlineStr">
        <is>
          <t>Moda</t>
        </is>
      </c>
      <c r="K2335" t="n">
        <v>3</v>
      </c>
      <c r="L2335" t="n">
        <v>2.903</v>
      </c>
      <c r="M2335" t="n">
        <v>0</v>
      </c>
      <c r="N2335" t="inlineStr">
        <is>
          <t>train</t>
        </is>
      </c>
      <c r="O2335">
        <f>HYPERLINK("3\0\marker_944_938191.png", "Ver Imagen")</f>
        <v/>
      </c>
      <c r="P2335">
        <f>HYPERLINK("SE\A-497\A-497__66.png", "Ver Imagen")</f>
        <v/>
      </c>
    </row>
    <row r="2336">
      <c r="A2336" t="n">
        <v>1804</v>
      </c>
      <c r="B2336" t="inlineStr">
        <is>
          <t>A-497__65</t>
        </is>
      </c>
      <c r="C2336" t="n">
        <v>37.2681942415</v>
      </c>
      <c r="D2336" t="n">
        <v>-6.97205460715</v>
      </c>
      <c r="E2336" t="n">
        <v>3</v>
      </c>
      <c r="F2336" t="n">
        <v>3</v>
      </c>
      <c r="G2336" t="n">
        <v>3</v>
      </c>
      <c r="J2336" t="inlineStr">
        <is>
          <t>Moda</t>
        </is>
      </c>
      <c r="K2336" t="n">
        <v>3</v>
      </c>
      <c r="L2336" t="n">
        <v>3.038</v>
      </c>
      <c r="M2336" t="n">
        <v>0</v>
      </c>
      <c r="N2336" t="inlineStr">
        <is>
          <t>train</t>
        </is>
      </c>
      <c r="O2336">
        <f>HYPERLINK("3\0\marker_150_938206.png", "Ver Imagen")</f>
        <v/>
      </c>
      <c r="P2336">
        <f>HYPERLINK("SE\A-497\A-497__65.png", "Ver Imagen")</f>
        <v/>
      </c>
    </row>
    <row r="2337">
      <c r="A2337" t="n">
        <v>1805</v>
      </c>
      <c r="B2337" t="inlineStr">
        <is>
          <t>A-497__50</t>
        </is>
      </c>
      <c r="C2337" t="n">
        <v>37.2677100402</v>
      </c>
      <c r="D2337" t="n">
        <v>-6.9682686943</v>
      </c>
      <c r="E2337" t="n">
        <v>3</v>
      </c>
      <c r="F2337" t="n">
        <v>3</v>
      </c>
      <c r="G2337" t="n">
        <v>3</v>
      </c>
      <c r="J2337" t="inlineStr">
        <is>
          <t>Moda</t>
        </is>
      </c>
      <c r="K2337" t="n">
        <v>3</v>
      </c>
      <c r="L2337" t="n">
        <v>2.708</v>
      </c>
      <c r="M2337" t="n">
        <v>0</v>
      </c>
      <c r="N2337" t="inlineStr">
        <is>
          <t>test</t>
        </is>
      </c>
      <c r="O2337">
        <f>HYPERLINK("3\0\marker_989_938394.png", "Ver Imagen")</f>
        <v/>
      </c>
      <c r="P2337">
        <f>HYPERLINK("SE\A-497\A-497__50.png", "Ver Imagen")</f>
        <v/>
      </c>
    </row>
    <row r="2338">
      <c r="A2338" t="n">
        <v>1807</v>
      </c>
      <c r="B2338" t="inlineStr">
        <is>
          <t>A-497__26</t>
        </is>
      </c>
      <c r="C2338" t="n">
        <v>37.2674826505</v>
      </c>
      <c r="D2338" t="n">
        <v>-6.96225579733</v>
      </c>
      <c r="E2338" t="n">
        <v>3</v>
      </c>
      <c r="F2338" t="n">
        <v>3</v>
      </c>
      <c r="G2338" t="n">
        <v>3</v>
      </c>
      <c r="J2338" t="inlineStr">
        <is>
          <t>Moda</t>
        </is>
      </c>
      <c r="K2338" t="n">
        <v>3</v>
      </c>
      <c r="L2338" t="n">
        <v>2.749</v>
      </c>
      <c r="M2338" t="n">
        <v>0</v>
      </c>
      <c r="N2338" t="inlineStr">
        <is>
          <t>train</t>
        </is>
      </c>
      <c r="O2338">
        <f>HYPERLINK("3\0\marker_745_940911.png", "Ver Imagen")</f>
        <v/>
      </c>
      <c r="P2338">
        <f>HYPERLINK("SE\A-497\A-497__26.png", "Ver Imagen")</f>
        <v/>
      </c>
    </row>
    <row r="2339">
      <c r="A2339" t="n">
        <v>1808</v>
      </c>
      <c r="B2339" t="inlineStr">
        <is>
          <t>A-5050__117</t>
        </is>
      </c>
      <c r="C2339" t="n">
        <v>37.1962068863</v>
      </c>
      <c r="D2339" t="n">
        <v>-7.00300165156</v>
      </c>
      <c r="E2339" t="n">
        <v>3</v>
      </c>
      <c r="F2339" t="n">
        <v>3</v>
      </c>
      <c r="G2339" t="n">
        <v>3</v>
      </c>
      <c r="J2339" t="inlineStr">
        <is>
          <t>Moda</t>
        </is>
      </c>
      <c r="K2339" t="n">
        <v>3</v>
      </c>
      <c r="L2339" t="n">
        <v>2.504</v>
      </c>
      <c r="M2339" t="n">
        <v>0</v>
      </c>
      <c r="N2339" t="inlineStr">
        <is>
          <t>train</t>
        </is>
      </c>
      <c r="O2339">
        <f>HYPERLINK("3\0\marker_561_946540.png", "Ver Imagen")</f>
        <v/>
      </c>
      <c r="P2339">
        <f>HYPERLINK("SE\A-5050\A-5050__117.png", "Ver Imagen")</f>
        <v/>
      </c>
    </row>
    <row r="2340">
      <c r="A2340" t="n">
        <v>1810</v>
      </c>
      <c r="B2340" t="inlineStr">
        <is>
          <t>A-5050__104</t>
        </is>
      </c>
      <c r="C2340" t="n">
        <v>37.1974081917</v>
      </c>
      <c r="D2340" t="n">
        <v>-7.00591252505</v>
      </c>
      <c r="E2340" t="n">
        <v>3</v>
      </c>
      <c r="F2340" t="n">
        <v>3</v>
      </c>
      <c r="G2340" t="n">
        <v>3</v>
      </c>
      <c r="J2340" t="inlineStr">
        <is>
          <t>Moda</t>
        </is>
      </c>
      <c r="K2340" t="n">
        <v>3</v>
      </c>
      <c r="L2340" t="n">
        <v>2.782</v>
      </c>
      <c r="M2340" t="n">
        <v>0</v>
      </c>
      <c r="N2340" t="inlineStr">
        <is>
          <t>train</t>
        </is>
      </c>
      <c r="O2340">
        <f>HYPERLINK("3\0\marker_100_946738.png", "Ver Imagen")</f>
        <v/>
      </c>
      <c r="P2340">
        <f>HYPERLINK("SE\A-5050\A-5050__104.png", "Ver Imagen")</f>
        <v/>
      </c>
    </row>
    <row r="2341">
      <c r="A2341" t="n">
        <v>1812</v>
      </c>
      <c r="B2341" t="inlineStr">
        <is>
          <t>A-5050__76</t>
        </is>
      </c>
      <c r="C2341" t="n">
        <v>37.2006025766</v>
      </c>
      <c r="D2341" t="n">
        <v>-7.01168156327</v>
      </c>
      <c r="E2341" t="n">
        <v>3</v>
      </c>
      <c r="F2341" t="n">
        <v>3</v>
      </c>
      <c r="G2341" t="n">
        <v>3</v>
      </c>
      <c r="J2341" t="inlineStr">
        <is>
          <t>Moda</t>
        </is>
      </c>
      <c r="K2341" t="n">
        <v>3</v>
      </c>
      <c r="L2341" t="n">
        <v>3.136</v>
      </c>
      <c r="M2341" t="n">
        <v>0</v>
      </c>
      <c r="N2341" t="inlineStr">
        <is>
          <t>train</t>
        </is>
      </c>
      <c r="O2341">
        <f>HYPERLINK("3\0\marker_380_948815.png", "Ver Imagen")</f>
        <v/>
      </c>
      <c r="P2341">
        <f>HYPERLINK("SE\A-5050\A-5050__76.png", "Ver Imagen")</f>
        <v/>
      </c>
    </row>
    <row r="2342">
      <c r="A2342" t="n">
        <v>1813</v>
      </c>
      <c r="B2342" t="inlineStr">
        <is>
          <t>A-5050__43</t>
        </is>
      </c>
      <c r="C2342" t="n">
        <v>37.2048342602</v>
      </c>
      <c r="D2342" t="n">
        <v>-7.01818068301</v>
      </c>
      <c r="E2342" t="n">
        <v>3</v>
      </c>
      <c r="F2342" t="n">
        <v>3</v>
      </c>
      <c r="G2342" t="n">
        <v>3</v>
      </c>
      <c r="J2342" t="inlineStr">
        <is>
          <t>Moda</t>
        </is>
      </c>
      <c r="K2342" t="n">
        <v>3</v>
      </c>
      <c r="L2342" t="n">
        <v>2.78</v>
      </c>
      <c r="M2342" t="n">
        <v>0</v>
      </c>
      <c r="N2342" t="inlineStr">
        <is>
          <t>train</t>
        </is>
      </c>
      <c r="O2342">
        <f>HYPERLINK("3\0\marker_965_949220.png", "Ver Imagen")</f>
        <v/>
      </c>
      <c r="P2342">
        <f>HYPERLINK("SE\A-5050\A-5050__43.png", "Ver Imagen")</f>
        <v/>
      </c>
    </row>
    <row r="2343">
      <c r="A2343" t="n">
        <v>1814</v>
      </c>
      <c r="B2343" t="inlineStr">
        <is>
          <t>A-5050__42</t>
        </is>
      </c>
      <c r="C2343" t="n">
        <v>37.2049791116</v>
      </c>
      <c r="D2343" t="n">
        <v>-7.01840459699</v>
      </c>
      <c r="E2343" t="n">
        <v>3</v>
      </c>
      <c r="F2343" t="n">
        <v>3</v>
      </c>
      <c r="G2343" t="n">
        <v>3</v>
      </c>
      <c r="J2343" t="inlineStr">
        <is>
          <t>Moda</t>
        </is>
      </c>
      <c r="K2343" t="n">
        <v>3</v>
      </c>
      <c r="L2343" t="n">
        <v>2.655</v>
      </c>
      <c r="M2343" t="n">
        <v>0</v>
      </c>
      <c r="N2343" t="inlineStr">
        <is>
          <t>val</t>
        </is>
      </c>
      <c r="O2343">
        <f>HYPERLINK("3\0\marker_660_949229.png", "Ver Imagen")</f>
        <v/>
      </c>
      <c r="P2343">
        <f>HYPERLINK("SE\A-5050\A-5050__42.png", "Ver Imagen")</f>
        <v/>
      </c>
    </row>
    <row r="2344">
      <c r="A2344" t="n">
        <v>1815</v>
      </c>
      <c r="B2344" t="inlineStr">
        <is>
          <t>A-5050__41</t>
        </is>
      </c>
      <c r="C2344" t="n">
        <v>37.2051026725</v>
      </c>
      <c r="D2344" t="n">
        <v>-7.01859518012</v>
      </c>
      <c r="E2344" t="n">
        <v>3</v>
      </c>
      <c r="F2344" t="n">
        <v>3</v>
      </c>
      <c r="G2344" t="n">
        <v>3</v>
      </c>
      <c r="J2344" t="inlineStr">
        <is>
          <t>Moda</t>
        </is>
      </c>
      <c r="K2344" t="n">
        <v>3</v>
      </c>
      <c r="L2344" t="n">
        <v>3.048</v>
      </c>
      <c r="M2344" t="n">
        <v>0</v>
      </c>
      <c r="N2344" t="inlineStr">
        <is>
          <t>train</t>
        </is>
      </c>
      <c r="O2344">
        <f>HYPERLINK("3\0\marker_865_949238.png", "Ver Imagen")</f>
        <v/>
      </c>
      <c r="P2344">
        <f>HYPERLINK("SE\A-5050\A-5050__41.png", "Ver Imagen")</f>
        <v/>
      </c>
    </row>
    <row r="2345">
      <c r="A2345" t="n">
        <v>1816</v>
      </c>
      <c r="B2345" t="inlineStr">
        <is>
          <t>A-5050__39</t>
        </is>
      </c>
      <c r="C2345" t="n">
        <v>37.2053601164</v>
      </c>
      <c r="D2345" t="n">
        <v>-7.0189907466</v>
      </c>
      <c r="E2345" t="n">
        <v>3</v>
      </c>
      <c r="F2345" t="n">
        <v>3</v>
      </c>
      <c r="G2345" t="n">
        <v>3</v>
      </c>
      <c r="J2345" t="inlineStr">
        <is>
          <t>Moda</t>
        </is>
      </c>
      <c r="K2345" t="n">
        <v>3</v>
      </c>
      <c r="L2345" t="n">
        <v>3.163</v>
      </c>
      <c r="M2345" t="n">
        <v>0</v>
      </c>
      <c r="N2345" t="inlineStr">
        <is>
          <t>test</t>
        </is>
      </c>
      <c r="O2345">
        <f>HYPERLINK("3\0\marker_774_949259.png", "Ver Imagen")</f>
        <v/>
      </c>
      <c r="P2345">
        <f>HYPERLINK("SE\A-5050\A-5050__39.png", "Ver Imagen")</f>
        <v/>
      </c>
    </row>
    <row r="2346">
      <c r="A2346" t="n">
        <v>1817</v>
      </c>
      <c r="B2346" t="inlineStr">
        <is>
          <t>A-5050__38</t>
        </is>
      </c>
      <c r="C2346" t="n">
        <v>37.2054881641</v>
      </c>
      <c r="D2346" t="n">
        <v>-7.01918894123</v>
      </c>
      <c r="E2346" t="n">
        <v>3</v>
      </c>
      <c r="F2346" t="n">
        <v>3</v>
      </c>
      <c r="G2346" t="n">
        <v>3</v>
      </c>
      <c r="J2346" t="inlineStr">
        <is>
          <t>Moda</t>
        </is>
      </c>
      <c r="K2346" t="n">
        <v>3</v>
      </c>
      <c r="L2346" t="n">
        <v>3.187</v>
      </c>
      <c r="M2346" t="n">
        <v>0</v>
      </c>
      <c r="N2346" t="inlineStr">
        <is>
          <t>train</t>
        </is>
      </c>
      <c r="O2346">
        <f>HYPERLINK("3\0\marker_107_949272.png", "Ver Imagen")</f>
        <v/>
      </c>
      <c r="P2346">
        <f>HYPERLINK("SE\A-5050\A-5050__38.png", "Ver Imagen")</f>
        <v/>
      </c>
    </row>
    <row r="2347">
      <c r="A2347" t="n">
        <v>1818</v>
      </c>
      <c r="B2347" t="inlineStr">
        <is>
          <t>A-5050__37</t>
        </is>
      </c>
      <c r="C2347" t="n">
        <v>37.2056244471</v>
      </c>
      <c r="D2347" t="n">
        <v>-7.01940201454</v>
      </c>
      <c r="E2347" t="n">
        <v>3</v>
      </c>
      <c r="F2347" t="n">
        <v>3</v>
      </c>
      <c r="G2347" t="n">
        <v>3</v>
      </c>
      <c r="J2347" t="inlineStr">
        <is>
          <t>Moda</t>
        </is>
      </c>
      <c r="K2347" t="n">
        <v>3</v>
      </c>
      <c r="L2347" t="n">
        <v>2.651</v>
      </c>
      <c r="M2347" t="n">
        <v>0</v>
      </c>
      <c r="N2347" t="inlineStr">
        <is>
          <t>train</t>
        </is>
      </c>
      <c r="O2347">
        <f>HYPERLINK("3\0\marker_238_949289.png", "Ver Imagen")</f>
        <v/>
      </c>
      <c r="P2347">
        <f>HYPERLINK("SE\A-5050\A-5050__37.png", "Ver Imagen")</f>
        <v/>
      </c>
    </row>
    <row r="2348">
      <c r="A2348" t="n">
        <v>1819</v>
      </c>
      <c r="B2348" t="inlineStr">
        <is>
          <t>A-5050__36</t>
        </is>
      </c>
      <c r="C2348" t="n">
        <v>37.2057205546</v>
      </c>
      <c r="D2348" t="n">
        <v>-7.01955508344</v>
      </c>
      <c r="E2348" t="n">
        <v>3</v>
      </c>
      <c r="F2348" t="n">
        <v>3</v>
      </c>
      <c r="G2348" t="n">
        <v>3</v>
      </c>
      <c r="J2348" t="inlineStr">
        <is>
          <t>Moda</t>
        </is>
      </c>
      <c r="K2348" t="n">
        <v>3</v>
      </c>
      <c r="L2348" t="n">
        <v>2.773</v>
      </c>
      <c r="M2348" t="n">
        <v>0</v>
      </c>
      <c r="N2348" t="inlineStr">
        <is>
          <t>train</t>
        </is>
      </c>
      <c r="O2348">
        <f>HYPERLINK("3\0\marker_763_949300.png", "Ver Imagen")</f>
        <v/>
      </c>
      <c r="P2348">
        <f>HYPERLINK("SE\A-5050\A-5050__36.png", "Ver Imagen")</f>
        <v/>
      </c>
    </row>
    <row r="2349">
      <c r="A2349" t="n">
        <v>1821</v>
      </c>
      <c r="B2349" t="inlineStr">
        <is>
          <t>A-5050__33</t>
        </is>
      </c>
      <c r="C2349" t="n">
        <v>37.2060882395</v>
      </c>
      <c r="D2349" t="n">
        <v>-7.02019881338</v>
      </c>
      <c r="E2349" t="n">
        <v>3</v>
      </c>
      <c r="F2349" t="n">
        <v>3</v>
      </c>
      <c r="G2349" t="n">
        <v>3</v>
      </c>
      <c r="J2349" t="inlineStr">
        <is>
          <t>Moda</t>
        </is>
      </c>
      <c r="K2349" t="n">
        <v>3</v>
      </c>
      <c r="L2349" t="n">
        <v>3.115</v>
      </c>
      <c r="M2349" t="n">
        <v>0</v>
      </c>
      <c r="N2349" t="inlineStr">
        <is>
          <t>train</t>
        </is>
      </c>
      <c r="O2349">
        <f>HYPERLINK("3\0\marker_399_949332.png", "Ver Imagen")</f>
        <v/>
      </c>
      <c r="P2349">
        <f>HYPERLINK("SE\A-5050\A-5050__33.png", "Ver Imagen")</f>
        <v/>
      </c>
    </row>
    <row r="2350">
      <c r="A2350" t="n">
        <v>1822</v>
      </c>
      <c r="B2350" t="inlineStr">
        <is>
          <t>A-5050__32</t>
        </is>
      </c>
      <c r="C2350" t="n">
        <v>37.2062012402</v>
      </c>
      <c r="D2350" t="n">
        <v>-7.02040350911</v>
      </c>
      <c r="E2350" t="n">
        <v>3</v>
      </c>
      <c r="F2350" t="n">
        <v>3</v>
      </c>
      <c r="G2350" t="n">
        <v>3</v>
      </c>
      <c r="J2350" t="inlineStr">
        <is>
          <t>Moda</t>
        </is>
      </c>
      <c r="K2350" t="n">
        <v>3</v>
      </c>
      <c r="L2350" t="n">
        <v>2.813</v>
      </c>
      <c r="M2350" t="n">
        <v>0</v>
      </c>
      <c r="N2350" t="inlineStr">
        <is>
          <t>train</t>
        </is>
      </c>
      <c r="O2350">
        <f>HYPERLINK("3\0\marker_226_949341.png", "Ver Imagen")</f>
        <v/>
      </c>
      <c r="P2350">
        <f>HYPERLINK("SE\A-5050\A-5050__32.png", "Ver Imagen")</f>
        <v/>
      </c>
    </row>
    <row r="2351">
      <c r="A2351" t="n">
        <v>1823</v>
      </c>
      <c r="B2351" t="inlineStr">
        <is>
          <t>A-5050__26</t>
        </is>
      </c>
      <c r="C2351" t="n">
        <v>37.206959974</v>
      </c>
      <c r="D2351" t="n">
        <v>-7.02155843965</v>
      </c>
      <c r="E2351" t="n">
        <v>3</v>
      </c>
      <c r="F2351" t="n">
        <v>3</v>
      </c>
      <c r="G2351" t="n">
        <v>3</v>
      </c>
      <c r="J2351" t="inlineStr">
        <is>
          <t>Moda</t>
        </is>
      </c>
      <c r="K2351" t="n">
        <v>3</v>
      </c>
      <c r="L2351" t="n">
        <v>3.242</v>
      </c>
      <c r="M2351" t="n">
        <v>0</v>
      </c>
      <c r="N2351" t="inlineStr">
        <is>
          <t>train</t>
        </is>
      </c>
      <c r="O2351">
        <f>HYPERLINK("3\0\marker_956_949397.png", "Ver Imagen")</f>
        <v/>
      </c>
      <c r="P2351">
        <f>HYPERLINK("SE\A-5050\A-5050__26.png", "Ver Imagen")</f>
        <v/>
      </c>
    </row>
    <row r="2352">
      <c r="A2352" t="n">
        <v>1824</v>
      </c>
      <c r="B2352" t="inlineStr">
        <is>
          <t>A-5050__14</t>
        </is>
      </c>
      <c r="C2352" t="n">
        <v>37.2082658984</v>
      </c>
      <c r="D2352" t="n">
        <v>-7.02397208813</v>
      </c>
      <c r="E2352" t="n">
        <v>3</v>
      </c>
      <c r="F2352" t="n">
        <v>3</v>
      </c>
      <c r="G2352" t="n">
        <v>3</v>
      </c>
      <c r="J2352" t="inlineStr">
        <is>
          <t>Moda</t>
        </is>
      </c>
      <c r="K2352" t="n">
        <v>3</v>
      </c>
      <c r="L2352" t="n">
        <v>2.528</v>
      </c>
      <c r="M2352" t="n">
        <v>0</v>
      </c>
      <c r="N2352" t="inlineStr">
        <is>
          <t>train</t>
        </is>
      </c>
      <c r="O2352">
        <f>HYPERLINK("3\0\marker_600_949554.png", "Ver Imagen")</f>
        <v/>
      </c>
      <c r="P2352">
        <f>HYPERLINK("SE\A-5050\A-5050__14.png", "Ver Imagen")</f>
        <v/>
      </c>
    </row>
    <row r="2353">
      <c r="A2353" t="n">
        <v>1826</v>
      </c>
      <c r="B2353" t="inlineStr">
        <is>
          <t>A-5050__10</t>
        </is>
      </c>
      <c r="C2353" t="n">
        <v>37.2084160112</v>
      </c>
      <c r="D2353" t="n">
        <v>-7.02497130422</v>
      </c>
      <c r="E2353" t="n">
        <v>3</v>
      </c>
      <c r="F2353" t="n">
        <v>3</v>
      </c>
      <c r="G2353" t="n">
        <v>3</v>
      </c>
      <c r="J2353" t="inlineStr">
        <is>
          <t>Moda</t>
        </is>
      </c>
      <c r="K2353" t="n">
        <v>3</v>
      </c>
      <c r="L2353" t="n">
        <v>2.733</v>
      </c>
      <c r="M2353" t="n">
        <v>0</v>
      </c>
      <c r="N2353" t="inlineStr">
        <is>
          <t>train</t>
        </is>
      </c>
      <c r="O2353">
        <f>HYPERLINK("3\0\marker_698_949608.png", "Ver Imagen")</f>
        <v/>
      </c>
      <c r="P2353">
        <f>HYPERLINK("SE\A-5050\A-5050__10.png", "Ver Imagen")</f>
        <v/>
      </c>
    </row>
    <row r="2354">
      <c r="A2354" t="n">
        <v>1827</v>
      </c>
      <c r="B2354" t="inlineStr">
        <is>
          <t>A-5050__3</t>
        </is>
      </c>
      <c r="C2354" t="n">
        <v>37.2088339792</v>
      </c>
      <c r="D2354" t="n">
        <v>-7.02663400845</v>
      </c>
      <c r="E2354" t="n">
        <v>3</v>
      </c>
      <c r="F2354" t="n">
        <v>3</v>
      </c>
      <c r="G2354" t="n">
        <v>3</v>
      </c>
      <c r="J2354" t="inlineStr">
        <is>
          <t>Moda</t>
        </is>
      </c>
      <c r="K2354" t="n">
        <v>3</v>
      </c>
      <c r="L2354" t="n">
        <v>2.971</v>
      </c>
      <c r="M2354" t="n">
        <v>0</v>
      </c>
      <c r="N2354" t="inlineStr">
        <is>
          <t>train</t>
        </is>
      </c>
      <c r="O2354">
        <f>HYPERLINK("3\0\marker_490_949681.png", "Ver Imagen")</f>
        <v/>
      </c>
      <c r="P2354">
        <f>HYPERLINK("SE\A-5050\A-5050__3.png", "Ver Imagen")</f>
        <v/>
      </c>
    </row>
    <row r="2355">
      <c r="A2355" t="n">
        <v>1828</v>
      </c>
      <c r="B2355" t="inlineStr">
        <is>
          <t>A-5052__3</t>
        </is>
      </c>
      <c r="C2355" t="n">
        <v>37.2184998174</v>
      </c>
      <c r="D2355" t="n">
        <v>-7.12517976996</v>
      </c>
      <c r="E2355" t="n">
        <v>3</v>
      </c>
      <c r="F2355" t="n">
        <v>3</v>
      </c>
      <c r="G2355" t="n">
        <v>3</v>
      </c>
      <c r="J2355" t="inlineStr">
        <is>
          <t>Moda</t>
        </is>
      </c>
      <c r="K2355" t="n">
        <v>3</v>
      </c>
      <c r="L2355" t="n">
        <v>2.88</v>
      </c>
      <c r="M2355" t="n">
        <v>0</v>
      </c>
      <c r="N2355" t="inlineStr">
        <is>
          <t>train</t>
        </is>
      </c>
      <c r="O2355">
        <f>HYPERLINK("3\0\marker_793_949891.png", "Ver Imagen")</f>
        <v/>
      </c>
      <c r="P2355">
        <f>HYPERLINK("SO\A-5052\A-5052__3.png", "Ver Imagen")</f>
        <v/>
      </c>
    </row>
    <row r="2356">
      <c r="A2356" t="n">
        <v>1829</v>
      </c>
      <c r="B2356" t="inlineStr">
        <is>
          <t>A-5052__10</t>
        </is>
      </c>
      <c r="C2356" t="n">
        <v>37.2183176975</v>
      </c>
      <c r="D2356" t="n">
        <v>-7.12345844891</v>
      </c>
      <c r="E2356" t="n">
        <v>3</v>
      </c>
      <c r="F2356" t="n">
        <v>3</v>
      </c>
      <c r="G2356" t="n">
        <v>3</v>
      </c>
      <c r="J2356" t="inlineStr">
        <is>
          <t>Moda</t>
        </is>
      </c>
      <c r="K2356" t="n">
        <v>3</v>
      </c>
      <c r="L2356" t="n">
        <v>3.009</v>
      </c>
      <c r="M2356" t="n">
        <v>0</v>
      </c>
      <c r="N2356" t="inlineStr">
        <is>
          <t>train</t>
        </is>
      </c>
      <c r="O2356">
        <f>HYPERLINK("3\0\marker_977_950021.png", "Ver Imagen")</f>
        <v/>
      </c>
      <c r="P2356">
        <f>HYPERLINK("SO\A-5052\A-5052__10.png", "Ver Imagen")</f>
        <v/>
      </c>
    </row>
    <row r="2357">
      <c r="A2357" t="n">
        <v>1830</v>
      </c>
      <c r="B2357" t="inlineStr">
        <is>
          <t>A-5052__53</t>
        </is>
      </c>
      <c r="C2357" t="n">
        <v>37.217536696</v>
      </c>
      <c r="D2357" t="n">
        <v>-7.11273306866</v>
      </c>
      <c r="E2357" t="n">
        <v>3</v>
      </c>
      <c r="F2357" t="n">
        <v>3</v>
      </c>
      <c r="G2357" t="n">
        <v>3</v>
      </c>
      <c r="J2357" t="inlineStr">
        <is>
          <t>Moda</t>
        </is>
      </c>
      <c r="K2357" t="n">
        <v>3</v>
      </c>
      <c r="L2357" t="n">
        <v>2.95</v>
      </c>
      <c r="M2357" t="n">
        <v>0</v>
      </c>
      <c r="N2357" t="inlineStr">
        <is>
          <t>train</t>
        </is>
      </c>
      <c r="O2357">
        <f>HYPERLINK("3\0\marker_710_956957.png", "Ver Imagen")</f>
        <v/>
      </c>
      <c r="P2357">
        <f>HYPERLINK("SO\A-5052\A-5052__53.png", "Ver Imagen")</f>
        <v/>
      </c>
    </row>
    <row r="2358">
      <c r="A2358" t="n">
        <v>1831</v>
      </c>
      <c r="B2358" t="inlineStr">
        <is>
          <t>A-5052__55</t>
        </is>
      </c>
      <c r="C2358" t="n">
        <v>37.2175603767</v>
      </c>
      <c r="D2358" t="n">
        <v>-7.11223666925</v>
      </c>
      <c r="E2358" t="n">
        <v>3</v>
      </c>
      <c r="F2358" t="n">
        <v>3</v>
      </c>
      <c r="G2358" t="n">
        <v>3</v>
      </c>
      <c r="J2358" t="inlineStr">
        <is>
          <t>Moda</t>
        </is>
      </c>
      <c r="K2358" t="n">
        <v>3</v>
      </c>
      <c r="L2358" t="n">
        <v>3.031</v>
      </c>
      <c r="M2358" t="n">
        <v>0</v>
      </c>
      <c r="N2358" t="inlineStr">
        <is>
          <t>train</t>
        </is>
      </c>
      <c r="O2358">
        <f>HYPERLINK("3\0\marker_352_956980.png", "Ver Imagen")</f>
        <v/>
      </c>
      <c r="P2358">
        <f>HYPERLINK("SO\A-5052\A-5052__55.png", "Ver Imagen")</f>
        <v/>
      </c>
    </row>
    <row r="2359">
      <c r="A2359" t="n">
        <v>1832</v>
      </c>
      <c r="B2359" t="inlineStr">
        <is>
          <t>A-5052__103</t>
        </is>
      </c>
      <c r="C2359" t="n">
        <v>37.217018068</v>
      </c>
      <c r="D2359" t="n">
        <v>-7.10019833828</v>
      </c>
      <c r="E2359" t="n">
        <v>3</v>
      </c>
      <c r="F2359" t="n">
        <v>3</v>
      </c>
      <c r="G2359" t="n">
        <v>3</v>
      </c>
      <c r="J2359" t="inlineStr">
        <is>
          <t>Moda</t>
        </is>
      </c>
      <c r="K2359" t="n">
        <v>3</v>
      </c>
      <c r="L2359" t="n">
        <v>2.693</v>
      </c>
      <c r="M2359" t="n">
        <v>0</v>
      </c>
      <c r="N2359" t="inlineStr">
        <is>
          <t>train</t>
        </is>
      </c>
      <c r="O2359">
        <f>HYPERLINK("3\0\marker_893_957711.png", "Ver Imagen")</f>
        <v/>
      </c>
      <c r="P2359">
        <f>HYPERLINK("SE\A-5052\A-5052__103.png", "Ver Imagen")</f>
        <v/>
      </c>
    </row>
    <row r="2360">
      <c r="A2360" t="n">
        <v>1832</v>
      </c>
      <c r="B2360" t="inlineStr">
        <is>
          <t>A-5052__103</t>
        </is>
      </c>
      <c r="C2360" t="n">
        <v>37.217018068</v>
      </c>
      <c r="D2360" t="n">
        <v>-7.10019833828</v>
      </c>
      <c r="E2360" t="n">
        <v>3</v>
      </c>
      <c r="F2360" t="n">
        <v>3</v>
      </c>
      <c r="G2360" t="n">
        <v>3</v>
      </c>
      <c r="J2360" t="inlineStr">
        <is>
          <t>Moda</t>
        </is>
      </c>
      <c r="K2360" t="n">
        <v>3</v>
      </c>
      <c r="L2360" t="n">
        <v>2.903</v>
      </c>
      <c r="M2360" t="n">
        <v>0</v>
      </c>
      <c r="N2360" t="inlineStr">
        <is>
          <t>train</t>
        </is>
      </c>
      <c r="O2360">
        <f>HYPERLINK("3\0\marker_893_957711.png", "Ver Imagen")</f>
        <v/>
      </c>
      <c r="P2360">
        <f>HYPERLINK("SO\A-5052\A-5052__103.png", "Ver Imagen")</f>
        <v/>
      </c>
    </row>
    <row r="2361">
      <c r="A2361" t="n">
        <v>1833</v>
      </c>
      <c r="B2361" t="inlineStr">
        <is>
          <t>A-5052__213</t>
        </is>
      </c>
      <c r="C2361" t="n">
        <v>37.2138051423</v>
      </c>
      <c r="D2361" t="n">
        <v>-7.07288228236</v>
      </c>
      <c r="E2361" t="n">
        <v>3</v>
      </c>
      <c r="F2361" t="n">
        <v>3</v>
      </c>
      <c r="G2361" t="n">
        <v>3</v>
      </c>
      <c r="J2361" t="inlineStr">
        <is>
          <t>Moda</t>
        </is>
      </c>
      <c r="K2361" t="n">
        <v>3</v>
      </c>
      <c r="L2361" t="n">
        <v>2.84</v>
      </c>
      <c r="M2361" t="n">
        <v>0</v>
      </c>
      <c r="N2361" t="inlineStr">
        <is>
          <t>train</t>
        </is>
      </c>
      <c r="O2361">
        <f>HYPERLINK("3\0\marker_344_959623.png", "Ver Imagen")</f>
        <v/>
      </c>
      <c r="P2361">
        <f>HYPERLINK("SE\A-5052\A-5052__213.png", "Ver Imagen")</f>
        <v/>
      </c>
    </row>
    <row r="2362">
      <c r="A2362" t="n">
        <v>1833</v>
      </c>
      <c r="B2362" t="inlineStr">
        <is>
          <t>A-5052__213</t>
        </is>
      </c>
      <c r="C2362" t="n">
        <v>37.2138051423</v>
      </c>
      <c r="D2362" t="n">
        <v>-7.07288228236</v>
      </c>
      <c r="E2362" t="n">
        <v>3</v>
      </c>
      <c r="F2362" t="n">
        <v>3</v>
      </c>
      <c r="G2362" t="n">
        <v>3</v>
      </c>
      <c r="J2362" t="inlineStr">
        <is>
          <t>Moda</t>
        </is>
      </c>
      <c r="K2362" t="n">
        <v>3</v>
      </c>
      <c r="L2362" t="n">
        <v>2.823</v>
      </c>
      <c r="M2362" t="n">
        <v>0</v>
      </c>
      <c r="N2362" t="inlineStr">
        <is>
          <t>train</t>
        </is>
      </c>
      <c r="O2362">
        <f>HYPERLINK("3\0\marker_344_959623.png", "Ver Imagen")</f>
        <v/>
      </c>
      <c r="P2362">
        <f>HYPERLINK("SO\A-5052\A-5052__213.png", "Ver Imagen")</f>
        <v/>
      </c>
    </row>
    <row r="2363">
      <c r="A2363" t="n">
        <v>1834</v>
      </c>
      <c r="B2363" t="inlineStr">
        <is>
          <t>A-5052__251</t>
        </is>
      </c>
      <c r="C2363" t="n">
        <v>37.2132287738</v>
      </c>
      <c r="D2363" t="n">
        <v>-7.06341015058</v>
      </c>
      <c r="E2363" t="n">
        <v>3</v>
      </c>
      <c r="F2363" t="n">
        <v>3</v>
      </c>
      <c r="G2363" t="n">
        <v>3</v>
      </c>
      <c r="J2363" t="inlineStr">
        <is>
          <t>Moda</t>
        </is>
      </c>
      <c r="K2363" t="n">
        <v>3</v>
      </c>
      <c r="L2363" t="n">
        <v>2.777</v>
      </c>
      <c r="M2363" t="n">
        <v>0</v>
      </c>
      <c r="N2363" t="inlineStr">
        <is>
          <t>train</t>
        </is>
      </c>
      <c r="O2363">
        <f>HYPERLINK("3\0\marker_853_960103.png", "Ver Imagen")</f>
        <v/>
      </c>
      <c r="P2363">
        <f>HYPERLINK("SE\A-5052\A-5052__251.png", "Ver Imagen")</f>
        <v/>
      </c>
    </row>
    <row r="2364">
      <c r="A2364" t="n">
        <v>1835</v>
      </c>
      <c r="B2364" t="inlineStr">
        <is>
          <t>A-5052__252</t>
        </is>
      </c>
      <c r="C2364" t="n">
        <v>37.2132202454</v>
      </c>
      <c r="D2364" t="n">
        <v>-7.06318263952</v>
      </c>
      <c r="E2364" t="n">
        <v>3</v>
      </c>
      <c r="F2364" t="n">
        <v>3</v>
      </c>
      <c r="G2364" t="n">
        <v>3</v>
      </c>
      <c r="J2364" t="inlineStr">
        <is>
          <t>Moda</t>
        </is>
      </c>
      <c r="K2364" t="n">
        <v>3</v>
      </c>
      <c r="L2364" t="n">
        <v>3.064</v>
      </c>
      <c r="M2364" t="n">
        <v>0</v>
      </c>
      <c r="N2364" t="inlineStr">
        <is>
          <t>train</t>
        </is>
      </c>
      <c r="O2364">
        <f>HYPERLINK("3\0\marker_547_960114.png", "Ver Imagen")</f>
        <v/>
      </c>
      <c r="P2364">
        <f>HYPERLINK("SE\A-5052\A-5052__252.png", "Ver Imagen")</f>
        <v/>
      </c>
    </row>
    <row r="2365">
      <c r="A2365" t="n">
        <v>1836</v>
      </c>
      <c r="B2365" t="inlineStr">
        <is>
          <t>A-5052__263</t>
        </is>
      </c>
      <c r="C2365" t="n">
        <v>37.2125607793</v>
      </c>
      <c r="D2365" t="n">
        <v>-7.06055311894</v>
      </c>
      <c r="E2365" t="n">
        <v>3</v>
      </c>
      <c r="F2365" t="n">
        <v>3</v>
      </c>
      <c r="G2365" t="n">
        <v>3</v>
      </c>
      <c r="J2365" t="inlineStr">
        <is>
          <t>Moda</t>
        </is>
      </c>
      <c r="K2365" t="n">
        <v>3</v>
      </c>
      <c r="L2365" t="n">
        <v>3.015</v>
      </c>
      <c r="M2365" t="n">
        <v>0</v>
      </c>
      <c r="N2365" t="inlineStr">
        <is>
          <t>train</t>
        </is>
      </c>
      <c r="O2365">
        <f>HYPERLINK("3\0\marker_149_960234.png", "Ver Imagen")</f>
        <v/>
      </c>
      <c r="P2365">
        <f>HYPERLINK("SE\A-5052\A-5052__263.png", "Ver Imagen")</f>
        <v/>
      </c>
    </row>
    <row r="2366">
      <c r="A2366" t="n">
        <v>1837</v>
      </c>
      <c r="B2366" t="inlineStr">
        <is>
          <t>A-5052__275</t>
        </is>
      </c>
      <c r="C2366" t="n">
        <v>37.2115393698</v>
      </c>
      <c r="D2366" t="n">
        <v>-7.05775366275</v>
      </c>
      <c r="E2366" t="n">
        <v>3</v>
      </c>
      <c r="F2366" t="n">
        <v>3</v>
      </c>
      <c r="G2366" t="n">
        <v>3</v>
      </c>
      <c r="J2366" t="inlineStr">
        <is>
          <t>Moda</t>
        </is>
      </c>
      <c r="K2366" t="n">
        <v>3</v>
      </c>
      <c r="L2366" t="n">
        <v>3.438</v>
      </c>
      <c r="M2366" t="n">
        <v>0</v>
      </c>
      <c r="N2366" t="inlineStr">
        <is>
          <t>train</t>
        </is>
      </c>
      <c r="O2366">
        <f>HYPERLINK("3\0\marker_826_960378.png", "Ver Imagen")</f>
        <v/>
      </c>
      <c r="P2366">
        <f>HYPERLINK("SE\A-5052\A-5052__275.png", "Ver Imagen")</f>
        <v/>
      </c>
    </row>
    <row r="2367">
      <c r="A2367" t="n">
        <v>1838</v>
      </c>
      <c r="B2367" t="inlineStr">
        <is>
          <t>A-5052__277</t>
        </is>
      </c>
      <c r="C2367" t="n">
        <v>37.2114095549</v>
      </c>
      <c r="D2367" t="n">
        <v>-7.05726701446</v>
      </c>
      <c r="E2367" t="n">
        <v>3</v>
      </c>
      <c r="F2367" t="n">
        <v>3</v>
      </c>
      <c r="G2367" t="n">
        <v>3</v>
      </c>
      <c r="J2367" t="inlineStr">
        <is>
          <t>Moda</t>
        </is>
      </c>
      <c r="K2367" t="n">
        <v>3</v>
      </c>
      <c r="L2367" t="n">
        <v>2.934</v>
      </c>
      <c r="M2367" t="n">
        <v>0</v>
      </c>
      <c r="N2367" t="inlineStr">
        <is>
          <t>train</t>
        </is>
      </c>
      <c r="O2367">
        <f>HYPERLINK("3\0\marker_931_960477.png", "Ver Imagen")</f>
        <v/>
      </c>
      <c r="P2367">
        <f>HYPERLINK("SE\A-5052\A-5052__277.png", "Ver Imagen")</f>
        <v/>
      </c>
    </row>
    <row r="2368">
      <c r="A2368" t="n">
        <v>1839</v>
      </c>
      <c r="B2368" t="inlineStr">
        <is>
          <t>A-5052__273</t>
        </is>
      </c>
      <c r="C2368" t="n">
        <v>37.2116858687</v>
      </c>
      <c r="D2368" t="n">
        <v>-7.05820011872</v>
      </c>
      <c r="E2368" t="n">
        <v>3</v>
      </c>
      <c r="F2368" t="n">
        <v>3</v>
      </c>
      <c r="G2368" t="n">
        <v>3</v>
      </c>
      <c r="J2368" t="inlineStr">
        <is>
          <t>Moda</t>
        </is>
      </c>
      <c r="K2368" t="n">
        <v>3</v>
      </c>
      <c r="L2368" t="n">
        <v>2.805</v>
      </c>
      <c r="M2368" t="n">
        <v>0</v>
      </c>
      <c r="N2368" t="inlineStr">
        <is>
          <t>test</t>
        </is>
      </c>
      <c r="O2368">
        <f>HYPERLINK("3\0\marker_287_960359.png", "Ver Imagen")</f>
        <v/>
      </c>
      <c r="P2368">
        <f>HYPERLINK("SE\A-5052\A-5052__273.png", "Ver Imagen")</f>
        <v/>
      </c>
    </row>
    <row r="2369">
      <c r="A2369" t="n">
        <v>1840</v>
      </c>
      <c r="B2369" t="inlineStr">
        <is>
          <t>A-5052__297</t>
        </is>
      </c>
      <c r="C2369" t="n">
        <v>37.2107925648</v>
      </c>
      <c r="D2369" t="n">
        <v>-7.05230991991</v>
      </c>
      <c r="E2369" t="n">
        <v>3</v>
      </c>
      <c r="F2369" t="n">
        <v>3</v>
      </c>
      <c r="G2369" t="n">
        <v>3</v>
      </c>
      <c r="J2369" t="inlineStr">
        <is>
          <t>Moda</t>
        </is>
      </c>
      <c r="K2369" t="n">
        <v>3</v>
      </c>
      <c r="L2369" t="n">
        <v>3.105</v>
      </c>
      <c r="M2369" t="n">
        <v>0</v>
      </c>
      <c r="N2369" t="inlineStr">
        <is>
          <t>val</t>
        </is>
      </c>
      <c r="O2369">
        <f>HYPERLINK("3\0\marker_885_960865.png", "Ver Imagen")</f>
        <v/>
      </c>
      <c r="P2369">
        <f>HYPERLINK("SE\A-5052\A-5052__297.png", "Ver Imagen")</f>
        <v/>
      </c>
    </row>
    <row r="2370">
      <c r="A2370" t="n">
        <v>1841</v>
      </c>
      <c r="B2370" t="inlineStr">
        <is>
          <t>A-5052__334</t>
        </is>
      </c>
      <c r="C2370" t="n">
        <v>37.2106256157</v>
      </c>
      <c r="D2370" t="n">
        <v>-7.04342323314</v>
      </c>
      <c r="E2370" t="n">
        <v>3</v>
      </c>
      <c r="F2370" t="n">
        <v>3</v>
      </c>
      <c r="G2370" t="n">
        <v>3</v>
      </c>
      <c r="J2370" t="inlineStr">
        <is>
          <t>Moda</t>
        </is>
      </c>
      <c r="K2370" t="n">
        <v>3</v>
      </c>
      <c r="L2370" t="n">
        <v>2.893</v>
      </c>
      <c r="M2370" t="n">
        <v>0</v>
      </c>
      <c r="N2370" t="inlineStr">
        <is>
          <t>train</t>
        </is>
      </c>
      <c r="O2370">
        <f>HYPERLINK("3\0\marker_899_961550.png", "Ver Imagen")</f>
        <v/>
      </c>
      <c r="P2370">
        <f>HYPERLINK("SE\A-5052\A-5052__334.png", "Ver Imagen")</f>
        <v/>
      </c>
    </row>
    <row r="2371">
      <c r="A2371" t="n">
        <v>1842</v>
      </c>
      <c r="B2371" t="inlineStr">
        <is>
          <t>A-5052__335</t>
        </is>
      </c>
      <c r="C2371" t="n">
        <v>37.2105189757</v>
      </c>
      <c r="D2371" t="n">
        <v>-7.04313663502</v>
      </c>
      <c r="E2371" t="n">
        <v>3</v>
      </c>
      <c r="F2371" t="n">
        <v>3</v>
      </c>
      <c r="G2371" t="n">
        <v>3</v>
      </c>
      <c r="J2371" t="inlineStr">
        <is>
          <t>Moda</t>
        </is>
      </c>
      <c r="K2371" t="n">
        <v>3</v>
      </c>
      <c r="L2371" t="n">
        <v>2.644</v>
      </c>
      <c r="M2371" t="n">
        <v>0</v>
      </c>
      <c r="N2371" t="inlineStr">
        <is>
          <t>train</t>
        </is>
      </c>
      <c r="O2371">
        <f>HYPERLINK("3\0\marker_502_961560.png", "Ver Imagen")</f>
        <v/>
      </c>
      <c r="P2371">
        <f>HYPERLINK("SE\A-5052\A-5052__335.png", "Ver Imagen")</f>
        <v/>
      </c>
    </row>
    <row r="2372">
      <c r="A2372" t="n">
        <v>1843</v>
      </c>
      <c r="B2372" t="inlineStr">
        <is>
          <t>A-5052__338</t>
        </is>
      </c>
      <c r="C2372" t="n">
        <v>37.2102849075</v>
      </c>
      <c r="D2372" t="n">
        <v>-7.04251141437</v>
      </c>
      <c r="E2372" t="n">
        <v>3</v>
      </c>
      <c r="F2372" t="n">
        <v>3</v>
      </c>
      <c r="G2372" t="n">
        <v>3</v>
      </c>
      <c r="J2372" t="inlineStr">
        <is>
          <t>Moda</t>
        </is>
      </c>
      <c r="K2372" t="n">
        <v>3</v>
      </c>
      <c r="L2372" t="n">
        <v>3.027</v>
      </c>
      <c r="M2372" t="n">
        <v>0</v>
      </c>
      <c r="N2372" t="inlineStr">
        <is>
          <t>train</t>
        </is>
      </c>
      <c r="O2372">
        <f>HYPERLINK("3\0\marker_106_961589.png", "Ver Imagen")</f>
        <v/>
      </c>
      <c r="P2372">
        <f>HYPERLINK("SE\A-5052\A-5052__338.png", "Ver Imagen")</f>
        <v/>
      </c>
    </row>
    <row r="2373">
      <c r="A2373" t="n">
        <v>1844</v>
      </c>
      <c r="B2373" t="inlineStr">
        <is>
          <t>A-5052__348</t>
        </is>
      </c>
      <c r="C2373" t="n">
        <v>37.2094206434</v>
      </c>
      <c r="D2373" t="n">
        <v>-7.04019532331</v>
      </c>
      <c r="E2373" t="n">
        <v>3</v>
      </c>
      <c r="F2373" t="n">
        <v>3</v>
      </c>
      <c r="G2373" t="n">
        <v>3</v>
      </c>
      <c r="J2373" t="inlineStr">
        <is>
          <t>Moda</t>
        </is>
      </c>
      <c r="K2373" t="n">
        <v>3</v>
      </c>
      <c r="L2373" t="n">
        <v>3.049</v>
      </c>
      <c r="M2373" t="n">
        <v>0</v>
      </c>
      <c r="N2373" t="inlineStr">
        <is>
          <t>train</t>
        </is>
      </c>
      <c r="O2373">
        <f>HYPERLINK("3\0\marker_391_961723.png", "Ver Imagen")</f>
        <v/>
      </c>
      <c r="P2373">
        <f>HYPERLINK("SE\A-5052\A-5052__348.png", "Ver Imagen")</f>
        <v/>
      </c>
    </row>
    <row r="2374">
      <c r="A2374" t="n">
        <v>1845</v>
      </c>
      <c r="B2374" t="inlineStr">
        <is>
          <t>A-5052__356</t>
        </is>
      </c>
      <c r="C2374" t="n">
        <v>37.2086992034</v>
      </c>
      <c r="D2374" t="n">
        <v>-7.03833994873</v>
      </c>
      <c r="E2374" t="n">
        <v>3</v>
      </c>
      <c r="F2374" t="n">
        <v>3</v>
      </c>
      <c r="G2374" t="n">
        <v>3</v>
      </c>
      <c r="J2374" t="inlineStr">
        <is>
          <t>Moda</t>
        </is>
      </c>
      <c r="K2374" t="n">
        <v>3</v>
      </c>
      <c r="L2374" t="n">
        <v>2.953</v>
      </c>
      <c r="M2374" t="n">
        <v>0</v>
      </c>
      <c r="N2374" t="inlineStr">
        <is>
          <t>train</t>
        </is>
      </c>
      <c r="O2374">
        <f>HYPERLINK("3\0\marker_810_961820.png", "Ver Imagen")</f>
        <v/>
      </c>
      <c r="P2374">
        <f>HYPERLINK("SE\A-5052\A-5052__356.png", "Ver Imagen")</f>
        <v/>
      </c>
    </row>
    <row r="2375">
      <c r="A2375" t="n">
        <v>1846</v>
      </c>
      <c r="B2375" t="inlineStr">
        <is>
          <t>A-5052__357</t>
        </is>
      </c>
      <c r="C2375" t="n">
        <v>37.2086035841</v>
      </c>
      <c r="D2375" t="n">
        <v>-7.038094551</v>
      </c>
      <c r="E2375" t="n">
        <v>3</v>
      </c>
      <c r="F2375" t="n">
        <v>3</v>
      </c>
      <c r="G2375" t="n">
        <v>3</v>
      </c>
      <c r="J2375" t="inlineStr">
        <is>
          <t>Moda</t>
        </is>
      </c>
      <c r="K2375" t="n">
        <v>3</v>
      </c>
      <c r="L2375" t="n">
        <v>2.94</v>
      </c>
      <c r="M2375" t="n">
        <v>0</v>
      </c>
      <c r="N2375" t="inlineStr">
        <is>
          <t>test</t>
        </is>
      </c>
      <c r="O2375">
        <f>HYPERLINK("3\0\marker_246_961829.png", "Ver Imagen")</f>
        <v/>
      </c>
      <c r="P2375">
        <f>HYPERLINK("SE\A-5052\A-5052__357.png", "Ver Imagen")</f>
        <v/>
      </c>
    </row>
    <row r="2376">
      <c r="A2376" t="n">
        <v>1847</v>
      </c>
      <c r="B2376" t="inlineStr">
        <is>
          <t>A-5052__358</t>
        </is>
      </c>
      <c r="C2376" t="n">
        <v>37.208520396</v>
      </c>
      <c r="D2376" t="n">
        <v>-7.03788098201</v>
      </c>
      <c r="E2376" t="n">
        <v>3</v>
      </c>
      <c r="F2376" t="n">
        <v>3</v>
      </c>
      <c r="G2376" t="n">
        <v>3</v>
      </c>
      <c r="J2376" t="inlineStr">
        <is>
          <t>Moda</t>
        </is>
      </c>
      <c r="K2376" t="n">
        <v>3</v>
      </c>
      <c r="L2376" t="n">
        <v>2.806</v>
      </c>
      <c r="M2376" t="n">
        <v>0</v>
      </c>
      <c r="N2376" t="inlineStr">
        <is>
          <t>val</t>
        </is>
      </c>
      <c r="O2376">
        <f>HYPERLINK("3\0\marker_686_961840.png", "Ver Imagen")</f>
        <v/>
      </c>
      <c r="P2376">
        <f>HYPERLINK("SE\A-5052\A-5052__358.png", "Ver Imagen")</f>
        <v/>
      </c>
    </row>
    <row r="2377">
      <c r="A2377" t="n">
        <v>1848</v>
      </c>
      <c r="B2377" t="inlineStr">
        <is>
          <t>A-5052__359</t>
        </is>
      </c>
      <c r="C2377" t="n">
        <v>37.2084551361</v>
      </c>
      <c r="D2377" t="n">
        <v>-7.03771099412</v>
      </c>
      <c r="E2377" t="n">
        <v>3</v>
      </c>
      <c r="F2377" t="n">
        <v>3</v>
      </c>
      <c r="G2377" t="n">
        <v>3</v>
      </c>
      <c r="J2377" t="inlineStr">
        <is>
          <t>Moda</t>
        </is>
      </c>
      <c r="K2377" t="n">
        <v>3</v>
      </c>
      <c r="L2377" t="n">
        <v>3.154</v>
      </c>
      <c r="M2377" t="n">
        <v>0</v>
      </c>
      <c r="N2377" t="inlineStr">
        <is>
          <t>train</t>
        </is>
      </c>
      <c r="O2377">
        <f>HYPERLINK("3\0\marker_488_961849.png", "Ver Imagen")</f>
        <v/>
      </c>
      <c r="P2377">
        <f>HYPERLINK("SE\A-5052\A-5052__359.png", "Ver Imagen")</f>
        <v/>
      </c>
    </row>
    <row r="2378">
      <c r="A2378" t="n">
        <v>1849</v>
      </c>
      <c r="B2378" t="inlineStr">
        <is>
          <t>A-5052__370</t>
        </is>
      </c>
      <c r="C2378" t="n">
        <v>37.2074776793</v>
      </c>
      <c r="D2378" t="n">
        <v>-7.0351751928</v>
      </c>
      <c r="E2378" t="n">
        <v>3</v>
      </c>
      <c r="F2378" t="n">
        <v>3</v>
      </c>
      <c r="G2378" t="n">
        <v>3</v>
      </c>
      <c r="J2378" t="inlineStr">
        <is>
          <t>Moda</t>
        </is>
      </c>
      <c r="K2378" t="n">
        <v>3</v>
      </c>
      <c r="L2378" t="n">
        <v>3.027</v>
      </c>
      <c r="M2378" t="n">
        <v>0</v>
      </c>
      <c r="N2378" t="inlineStr">
        <is>
          <t>train</t>
        </is>
      </c>
      <c r="O2378">
        <f>HYPERLINK("3\0\marker_501_962294.png", "Ver Imagen")</f>
        <v/>
      </c>
      <c r="P2378">
        <f>HYPERLINK("SE\A-5052\A-5052__370.png", "Ver Imagen")</f>
        <v/>
      </c>
    </row>
    <row r="2379">
      <c r="A2379" t="n">
        <v>1850</v>
      </c>
      <c r="B2379" t="inlineStr">
        <is>
          <t>A-5052__381</t>
        </is>
      </c>
      <c r="C2379" t="n">
        <v>37.20651533</v>
      </c>
      <c r="D2379" t="n">
        <v>-7.03267694203</v>
      </c>
      <c r="E2379" t="n">
        <v>3</v>
      </c>
      <c r="F2379" t="n">
        <v>3</v>
      </c>
      <c r="G2379" t="n">
        <v>3</v>
      </c>
      <c r="J2379" t="inlineStr">
        <is>
          <t>Moda</t>
        </is>
      </c>
      <c r="K2379" t="n">
        <v>3</v>
      </c>
      <c r="L2379" t="n">
        <v>2.999</v>
      </c>
      <c r="M2379" t="n">
        <v>0</v>
      </c>
      <c r="N2379" t="inlineStr">
        <is>
          <t>train</t>
        </is>
      </c>
      <c r="O2379">
        <f>HYPERLINK("3\0\marker_125_962486.png", "Ver Imagen")</f>
        <v/>
      </c>
      <c r="P2379">
        <f>HYPERLINK("SE\A-5052\A-5052__381.png", "Ver Imagen")</f>
        <v/>
      </c>
    </row>
    <row r="2380">
      <c r="A2380" t="n">
        <v>1851</v>
      </c>
      <c r="B2380" t="inlineStr">
        <is>
          <t>A-5052__384</t>
        </is>
      </c>
      <c r="C2380" t="n">
        <v>37.2062507333</v>
      </c>
      <c r="D2380" t="n">
        <v>-7.03199874194</v>
      </c>
      <c r="E2380" t="n">
        <v>3</v>
      </c>
      <c r="F2380" t="n">
        <v>3</v>
      </c>
      <c r="G2380" t="n">
        <v>3</v>
      </c>
      <c r="J2380" t="inlineStr">
        <is>
          <t>Moda</t>
        </is>
      </c>
      <c r="K2380" t="n">
        <v>3</v>
      </c>
      <c r="L2380" t="n">
        <v>3.14</v>
      </c>
      <c r="M2380" t="n">
        <v>0</v>
      </c>
      <c r="N2380" t="inlineStr">
        <is>
          <t>train</t>
        </is>
      </c>
      <c r="O2380">
        <f>HYPERLINK("3\0\marker_857_962520.png", "Ver Imagen")</f>
        <v/>
      </c>
      <c r="P2380">
        <f>HYPERLINK("SE\A-5052\A-5052__384.png", "Ver Imagen")</f>
        <v/>
      </c>
    </row>
    <row r="2381">
      <c r="A2381" t="n">
        <v>1852</v>
      </c>
      <c r="B2381" t="inlineStr">
        <is>
          <t>A-5052__391</t>
        </is>
      </c>
      <c r="C2381" t="n">
        <v>37.2056292586</v>
      </c>
      <c r="D2381" t="n">
        <v>-7.03038171232</v>
      </c>
      <c r="E2381" t="n">
        <v>3</v>
      </c>
      <c r="F2381" t="n">
        <v>3</v>
      </c>
      <c r="G2381" t="n">
        <v>3</v>
      </c>
      <c r="J2381" t="inlineStr">
        <is>
          <t>Moda</t>
        </is>
      </c>
      <c r="K2381" t="n">
        <v>3</v>
      </c>
      <c r="L2381" t="n">
        <v>2.86</v>
      </c>
      <c r="M2381" t="n">
        <v>0</v>
      </c>
      <c r="N2381" t="inlineStr">
        <is>
          <t>train</t>
        </is>
      </c>
      <c r="O2381">
        <f>HYPERLINK("3\0\marker_384_962587.png", "Ver Imagen")</f>
        <v/>
      </c>
      <c r="P2381">
        <f>HYPERLINK("SE\A-5052\A-5052__391.png", "Ver Imagen")</f>
        <v/>
      </c>
    </row>
    <row r="2382">
      <c r="A2382" t="n">
        <v>1853</v>
      </c>
      <c r="B2382" t="inlineStr">
        <is>
          <t>A-5052__395</t>
        </is>
      </c>
      <c r="C2382" t="n">
        <v>37.2052875342</v>
      </c>
      <c r="D2382" t="n">
        <v>-7.02947757783</v>
      </c>
      <c r="E2382" t="n">
        <v>3</v>
      </c>
      <c r="F2382" t="n">
        <v>3</v>
      </c>
      <c r="G2382" t="n">
        <v>3</v>
      </c>
      <c r="J2382" t="inlineStr">
        <is>
          <t>Moda</t>
        </is>
      </c>
      <c r="K2382" t="n">
        <v>3</v>
      </c>
      <c r="L2382" t="n">
        <v>2.747</v>
      </c>
      <c r="M2382" t="n">
        <v>0</v>
      </c>
      <c r="N2382" t="inlineStr">
        <is>
          <t>train</t>
        </is>
      </c>
      <c r="O2382">
        <f>HYPERLINK("3\0\marker_261_962621.png", "Ver Imagen")</f>
        <v/>
      </c>
      <c r="P2382">
        <f>HYPERLINK("SE\A-5052\A-5052__395.png", "Ver Imagen")</f>
        <v/>
      </c>
    </row>
    <row r="2383">
      <c r="A2383" t="n">
        <v>1854</v>
      </c>
      <c r="B2383" t="inlineStr">
        <is>
          <t>A-5052__398</t>
        </is>
      </c>
      <c r="C2383" t="n">
        <v>37.2050312514</v>
      </c>
      <c r="D2383" t="n">
        <v>-7.0288209906</v>
      </c>
      <c r="E2383" t="n">
        <v>3</v>
      </c>
      <c r="F2383" t="n">
        <v>3</v>
      </c>
      <c r="G2383" t="n">
        <v>3</v>
      </c>
      <c r="J2383" t="inlineStr">
        <is>
          <t>Moda</t>
        </is>
      </c>
      <c r="K2383" t="n">
        <v>3</v>
      </c>
      <c r="L2383" t="n">
        <v>2.878</v>
      </c>
      <c r="M2383" t="n">
        <v>0</v>
      </c>
      <c r="N2383" t="inlineStr">
        <is>
          <t>train</t>
        </is>
      </c>
      <c r="O2383">
        <f>HYPERLINK("3\0\marker_841_962647.png", "Ver Imagen")</f>
        <v/>
      </c>
      <c r="P2383">
        <f>HYPERLINK("SE\A-5052\A-5052__398.png", "Ver Imagen")</f>
        <v/>
      </c>
    </row>
    <row r="2384">
      <c r="A2384" t="n">
        <v>1855</v>
      </c>
      <c r="B2384" t="inlineStr">
        <is>
          <t>A-5052__399</t>
        </is>
      </c>
      <c r="C2384" t="n">
        <v>37.2049267444</v>
      </c>
      <c r="D2384" t="n">
        <v>-7.02858680606</v>
      </c>
      <c r="E2384" t="n">
        <v>3</v>
      </c>
      <c r="F2384" t="n">
        <v>3</v>
      </c>
      <c r="G2384" t="n">
        <v>3</v>
      </c>
      <c r="J2384" t="inlineStr">
        <is>
          <t>Moda</t>
        </is>
      </c>
      <c r="K2384" t="n">
        <v>3</v>
      </c>
      <c r="L2384" t="n">
        <v>3.146</v>
      </c>
      <c r="M2384" t="n">
        <v>0</v>
      </c>
      <c r="N2384" t="inlineStr">
        <is>
          <t>train</t>
        </is>
      </c>
      <c r="O2384">
        <f>HYPERLINK("3\0\marker_424_962656.png", "Ver Imagen")</f>
        <v/>
      </c>
      <c r="P2384">
        <f>HYPERLINK("SE\A-5052\A-5052__399.png", "Ver Imagen")</f>
        <v/>
      </c>
    </row>
    <row r="2385">
      <c r="A2385" t="n">
        <v>1856</v>
      </c>
      <c r="B2385" t="inlineStr">
        <is>
          <t>A-5052__405</t>
        </is>
      </c>
      <c r="C2385" t="n">
        <v>37.2043147155</v>
      </c>
      <c r="D2385" t="n">
        <v>-7.02726759823</v>
      </c>
      <c r="E2385" t="n">
        <v>3</v>
      </c>
      <c r="F2385" t="n">
        <v>3</v>
      </c>
      <c r="G2385" t="n">
        <v>3</v>
      </c>
      <c r="J2385" t="inlineStr">
        <is>
          <t>Moda</t>
        </is>
      </c>
      <c r="K2385" t="n">
        <v>3</v>
      </c>
      <c r="L2385" t="n">
        <v>2.736</v>
      </c>
      <c r="M2385" t="n">
        <v>0</v>
      </c>
      <c r="N2385" t="inlineStr">
        <is>
          <t>train</t>
        </is>
      </c>
      <c r="O2385">
        <f>HYPERLINK("3\0\marker_309_962720.png", "Ver Imagen")</f>
        <v/>
      </c>
      <c r="P2385">
        <f>HYPERLINK("SE\A-5052\A-5052__405.png", "Ver Imagen")</f>
        <v/>
      </c>
    </row>
    <row r="2386">
      <c r="A2386" t="n">
        <v>1857</v>
      </c>
      <c r="B2386" t="inlineStr">
        <is>
          <t>A-5052__406</t>
        </is>
      </c>
      <c r="C2386" t="n">
        <v>37.2042680646</v>
      </c>
      <c r="D2386" t="n">
        <v>-7.0270488589</v>
      </c>
      <c r="E2386" t="n">
        <v>3</v>
      </c>
      <c r="F2386" t="n">
        <v>3</v>
      </c>
      <c r="G2386" t="n">
        <v>3</v>
      </c>
      <c r="J2386" t="inlineStr">
        <is>
          <t>Moda</t>
        </is>
      </c>
      <c r="K2386" t="n">
        <v>3</v>
      </c>
      <c r="L2386" t="n">
        <v>2.768</v>
      </c>
      <c r="M2386" t="n">
        <v>0</v>
      </c>
      <c r="N2386" t="inlineStr">
        <is>
          <t>train</t>
        </is>
      </c>
      <c r="O2386">
        <f>HYPERLINK("3\0\marker_501_962729.png", "Ver Imagen")</f>
        <v/>
      </c>
      <c r="P2386">
        <f>HYPERLINK("SE\A-5052\A-5052__406.png", "Ver Imagen")</f>
        <v/>
      </c>
    </row>
    <row r="2387">
      <c r="A2387" t="n">
        <v>1858</v>
      </c>
      <c r="B2387" t="inlineStr">
        <is>
          <t>A-5053__329</t>
        </is>
      </c>
      <c r="C2387" t="n">
        <v>37.2796250257</v>
      </c>
      <c r="D2387" t="n">
        <v>-7.14519224261</v>
      </c>
      <c r="E2387" t="n">
        <v>3</v>
      </c>
      <c r="F2387" t="n">
        <v>3</v>
      </c>
      <c r="G2387" t="n">
        <v>3</v>
      </c>
      <c r="J2387" t="inlineStr">
        <is>
          <t>Moda</t>
        </is>
      </c>
      <c r="K2387" t="n">
        <v>3</v>
      </c>
      <c r="L2387" t="n">
        <v>3.367</v>
      </c>
      <c r="M2387" t="n">
        <v>0</v>
      </c>
      <c r="N2387" t="inlineStr">
        <is>
          <t>test</t>
        </is>
      </c>
      <c r="O2387">
        <f>HYPERLINK("3\0\marker_855_964477.png", "Ver Imagen")</f>
        <v/>
      </c>
      <c r="P2387">
        <f>HYPERLINK("SO\A-5053\A-5053__329.png", "Ver Imagen")</f>
        <v/>
      </c>
    </row>
    <row r="2388">
      <c r="A2388" t="n">
        <v>1859</v>
      </c>
      <c r="B2388" t="inlineStr">
        <is>
          <t>A-5053__327</t>
        </is>
      </c>
      <c r="C2388" t="n">
        <v>37.2793011028</v>
      </c>
      <c r="D2388" t="n">
        <v>-7.14485323732</v>
      </c>
      <c r="E2388" t="n">
        <v>3</v>
      </c>
      <c r="F2388" t="n">
        <v>3</v>
      </c>
      <c r="G2388" t="n">
        <v>3</v>
      </c>
      <c r="J2388" t="inlineStr">
        <is>
          <t>Moda</t>
        </is>
      </c>
      <c r="K2388" t="n">
        <v>3</v>
      </c>
      <c r="L2388" t="n">
        <v>2.903</v>
      </c>
      <c r="M2388" t="n">
        <v>0</v>
      </c>
      <c r="N2388" t="inlineStr">
        <is>
          <t>train</t>
        </is>
      </c>
      <c r="O2388">
        <f>HYPERLINK("3\0\marker_754_964497.png", "Ver Imagen")</f>
        <v/>
      </c>
      <c r="P2388">
        <f>HYPERLINK("SO\A-5053\A-5053__327.png", "Ver Imagen")</f>
        <v/>
      </c>
    </row>
    <row r="2389">
      <c r="A2389" t="n">
        <v>1860</v>
      </c>
      <c r="B2389" t="inlineStr">
        <is>
          <t>A-5053__326</t>
        </is>
      </c>
      <c r="C2389" t="n">
        <v>37.2791289835</v>
      </c>
      <c r="D2389" t="n">
        <v>-7.14471137952</v>
      </c>
      <c r="E2389" t="n">
        <v>3</v>
      </c>
      <c r="F2389" t="n">
        <v>3</v>
      </c>
      <c r="G2389" t="n">
        <v>3</v>
      </c>
      <c r="J2389" t="inlineStr">
        <is>
          <t>Moda</t>
        </is>
      </c>
      <c r="K2389" t="n">
        <v>3</v>
      </c>
      <c r="L2389" t="n">
        <v>3.032</v>
      </c>
      <c r="M2389" t="n">
        <v>0</v>
      </c>
      <c r="N2389" t="inlineStr">
        <is>
          <t>train</t>
        </is>
      </c>
      <c r="O2389">
        <f>HYPERLINK("3\0\marker_798_964507.png", "Ver Imagen")</f>
        <v/>
      </c>
      <c r="P2389">
        <f>HYPERLINK("SO\A-5053\A-5053__326.png", "Ver Imagen")</f>
        <v/>
      </c>
    </row>
    <row r="2390">
      <c r="A2390" t="n">
        <v>1861</v>
      </c>
      <c r="B2390" t="inlineStr">
        <is>
          <t>A-5053__316</t>
        </is>
      </c>
      <c r="C2390" t="n">
        <v>37.2773707726</v>
      </c>
      <c r="D2390" t="n">
        <v>-7.14343108519</v>
      </c>
      <c r="E2390" t="n">
        <v>3</v>
      </c>
      <c r="F2390" t="n">
        <v>3</v>
      </c>
      <c r="G2390" t="n">
        <v>3</v>
      </c>
      <c r="J2390" t="inlineStr">
        <is>
          <t>Moda</t>
        </is>
      </c>
      <c r="K2390" t="n">
        <v>3</v>
      </c>
      <c r="L2390" t="n">
        <v>2.69</v>
      </c>
      <c r="M2390" t="n">
        <v>0</v>
      </c>
      <c r="N2390" t="inlineStr">
        <is>
          <t>train</t>
        </is>
      </c>
      <c r="O2390">
        <f>HYPERLINK("3\0\marker_471_964618.png", "Ver Imagen")</f>
        <v/>
      </c>
      <c r="P2390">
        <f>HYPERLINK("SO\A-5053\A-5053__316.png", "Ver Imagen")</f>
        <v/>
      </c>
    </row>
    <row r="2391">
      <c r="A2391" t="n">
        <v>1862</v>
      </c>
      <c r="B2391" t="inlineStr">
        <is>
          <t>A-5053__302</t>
        </is>
      </c>
      <c r="C2391" t="n">
        <v>37.2746457092</v>
      </c>
      <c r="D2391" t="n">
        <v>-7.14250898497</v>
      </c>
      <c r="E2391" t="n">
        <v>3</v>
      </c>
      <c r="F2391" t="n">
        <v>3</v>
      </c>
      <c r="G2391" t="n">
        <v>3</v>
      </c>
      <c r="J2391" t="inlineStr">
        <is>
          <t>Moda</t>
        </is>
      </c>
      <c r="K2391" t="n">
        <v>3</v>
      </c>
      <c r="L2391" t="n">
        <v>2.784</v>
      </c>
      <c r="M2391" t="n">
        <v>0</v>
      </c>
      <c r="N2391" t="inlineStr">
        <is>
          <t>train</t>
        </is>
      </c>
      <c r="O2391">
        <f>HYPERLINK("3\0\marker_480_964752.png", "Ver Imagen")</f>
        <v/>
      </c>
      <c r="P2391">
        <f>HYPERLINK("SO\A-5053\A-5053__302.png", "Ver Imagen")</f>
        <v/>
      </c>
    </row>
    <row r="2392">
      <c r="A2392" t="n">
        <v>1863</v>
      </c>
      <c r="B2392" t="inlineStr">
        <is>
          <t>A-5053__299</t>
        </is>
      </c>
      <c r="C2392" t="n">
        <v>37.2740897613</v>
      </c>
      <c r="D2392" t="n">
        <v>-7.14226227602</v>
      </c>
      <c r="E2392" t="n">
        <v>3</v>
      </c>
      <c r="F2392" t="n">
        <v>3</v>
      </c>
      <c r="G2392" t="n">
        <v>3</v>
      </c>
      <c r="J2392" t="inlineStr">
        <is>
          <t>Moda</t>
        </is>
      </c>
      <c r="K2392" t="n">
        <v>3</v>
      </c>
      <c r="L2392" t="n">
        <v>2.929</v>
      </c>
      <c r="M2392" t="n">
        <v>0</v>
      </c>
      <c r="N2392" t="inlineStr">
        <is>
          <t>train</t>
        </is>
      </c>
      <c r="O2392">
        <f>HYPERLINK("3\0\marker_317_964874.png", "Ver Imagen")</f>
        <v/>
      </c>
      <c r="P2392">
        <f>HYPERLINK("SO\A-5053\A-5053__299.png", "Ver Imagen")</f>
        <v/>
      </c>
    </row>
    <row r="2393">
      <c r="A2393" t="n">
        <v>1864</v>
      </c>
      <c r="B2393" t="inlineStr">
        <is>
          <t>A-5053__294</t>
        </is>
      </c>
      <c r="C2393" t="n">
        <v>37.2731334662</v>
      </c>
      <c r="D2393" t="n">
        <v>-7.14184446515</v>
      </c>
      <c r="E2393" t="n">
        <v>3</v>
      </c>
      <c r="F2393" t="n">
        <v>3</v>
      </c>
      <c r="G2393" t="n">
        <v>3</v>
      </c>
      <c r="J2393" t="inlineStr">
        <is>
          <t>Moda</t>
        </is>
      </c>
      <c r="K2393" t="n">
        <v>3</v>
      </c>
      <c r="L2393" t="n">
        <v>3.088</v>
      </c>
      <c r="M2393" t="n">
        <v>0</v>
      </c>
      <c r="N2393" t="inlineStr">
        <is>
          <t>train</t>
        </is>
      </c>
      <c r="O2393">
        <f>HYPERLINK("3\0\marker_592_964922.png", "Ver Imagen")</f>
        <v/>
      </c>
      <c r="P2393">
        <f>HYPERLINK("SO\A-5053\A-5053__294.png", "Ver Imagen")</f>
        <v/>
      </c>
    </row>
    <row r="2394">
      <c r="A2394" t="n">
        <v>1865</v>
      </c>
      <c r="B2394" t="inlineStr">
        <is>
          <t>A-5053__280</t>
        </is>
      </c>
      <c r="C2394" t="n">
        <v>37.2706963309</v>
      </c>
      <c r="D2394" t="n">
        <v>-7.14007406619</v>
      </c>
      <c r="E2394" t="n">
        <v>3</v>
      </c>
      <c r="F2394" t="n">
        <v>3</v>
      </c>
      <c r="G2394" t="n">
        <v>3</v>
      </c>
      <c r="J2394" t="inlineStr">
        <is>
          <t>Moda</t>
        </is>
      </c>
      <c r="K2394" t="n">
        <v>3</v>
      </c>
      <c r="L2394" t="n">
        <v>3.073</v>
      </c>
      <c r="M2394" t="n">
        <v>0</v>
      </c>
      <c r="N2394" t="inlineStr">
        <is>
          <t>train</t>
        </is>
      </c>
      <c r="O2394">
        <f>HYPERLINK("3\0\marker_694_965060.png", "Ver Imagen")</f>
        <v/>
      </c>
      <c r="P2394">
        <f>HYPERLINK("SO\A-5053\A-5053__280.png", "Ver Imagen")</f>
        <v/>
      </c>
    </row>
    <row r="2395">
      <c r="A2395" t="n">
        <v>1867</v>
      </c>
      <c r="B2395" t="inlineStr">
        <is>
          <t>A-5053__270</t>
        </is>
      </c>
      <c r="C2395" t="n">
        <v>37.2690811489</v>
      </c>
      <c r="D2395" t="n">
        <v>-7.13857484452</v>
      </c>
      <c r="E2395" t="n">
        <v>3</v>
      </c>
      <c r="F2395" t="n">
        <v>3</v>
      </c>
      <c r="G2395" t="n">
        <v>3</v>
      </c>
      <c r="J2395" t="inlineStr">
        <is>
          <t>Moda</t>
        </is>
      </c>
      <c r="K2395" t="n">
        <v>3</v>
      </c>
      <c r="L2395" t="n">
        <v>3.14</v>
      </c>
      <c r="M2395" t="n">
        <v>0</v>
      </c>
      <c r="N2395" t="inlineStr">
        <is>
          <t>train</t>
        </is>
      </c>
      <c r="O2395">
        <f>HYPERLINK("3\0\marker_567_965147.png", "Ver Imagen")</f>
        <v/>
      </c>
      <c r="P2395">
        <f>HYPERLINK("SO\A-5053\A-5053__270.png", "Ver Imagen")</f>
        <v/>
      </c>
    </row>
    <row r="2396">
      <c r="A2396" t="n">
        <v>1868</v>
      </c>
      <c r="B2396" t="inlineStr">
        <is>
          <t>A-5053__268</t>
        </is>
      </c>
      <c r="C2396" t="n">
        <v>37.2688798033</v>
      </c>
      <c r="D2396" t="n">
        <v>-7.13816983078</v>
      </c>
      <c r="E2396" t="n">
        <v>3</v>
      </c>
      <c r="F2396" t="n">
        <v>3</v>
      </c>
      <c r="G2396" t="n">
        <v>3</v>
      </c>
      <c r="J2396" t="inlineStr">
        <is>
          <t>Moda</t>
        </is>
      </c>
      <c r="K2396" t="n">
        <v>3</v>
      </c>
      <c r="L2396" t="n">
        <v>2.896</v>
      </c>
      <c r="M2396" t="n">
        <v>0</v>
      </c>
      <c r="N2396" t="inlineStr">
        <is>
          <t>train</t>
        </is>
      </c>
      <c r="O2396">
        <f>HYPERLINK("3\0\marker_173_965164.png", "Ver Imagen")</f>
        <v/>
      </c>
      <c r="P2396">
        <f>HYPERLINK("SO\A-5053\A-5053__268.png", "Ver Imagen")</f>
        <v/>
      </c>
    </row>
    <row r="2397">
      <c r="A2397" t="n">
        <v>1869</v>
      </c>
      <c r="B2397" t="inlineStr">
        <is>
          <t>A-5053__250</t>
        </is>
      </c>
      <c r="C2397" t="n">
        <v>37.267462542</v>
      </c>
      <c r="D2397" t="n">
        <v>-7.13399939295</v>
      </c>
      <c r="E2397" t="n">
        <v>3</v>
      </c>
      <c r="F2397" t="n">
        <v>3</v>
      </c>
      <c r="G2397" t="n">
        <v>3</v>
      </c>
      <c r="J2397" t="inlineStr">
        <is>
          <t>Moda</t>
        </is>
      </c>
      <c r="K2397" t="n">
        <v>3</v>
      </c>
      <c r="L2397" t="n">
        <v>3.164</v>
      </c>
      <c r="M2397" t="n">
        <v>0</v>
      </c>
      <c r="N2397" t="inlineStr">
        <is>
          <t>train</t>
        </is>
      </c>
      <c r="O2397">
        <f>HYPERLINK("3\0\marker_390_965350.png", "Ver Imagen")</f>
        <v/>
      </c>
      <c r="P2397">
        <f>HYPERLINK("SO\A-5053\A-5053__250.png", "Ver Imagen")</f>
        <v/>
      </c>
    </row>
    <row r="2398">
      <c r="A2398" t="n">
        <v>1871</v>
      </c>
      <c r="B2398" t="inlineStr">
        <is>
          <t>A-5053__246</t>
        </is>
      </c>
      <c r="C2398" t="n">
        <v>37.2668036401</v>
      </c>
      <c r="D2398" t="n">
        <v>-7.13337675775</v>
      </c>
      <c r="E2398" t="n">
        <v>3</v>
      </c>
      <c r="F2398" t="n">
        <v>3</v>
      </c>
      <c r="G2398" t="n">
        <v>3</v>
      </c>
      <c r="J2398" t="inlineStr">
        <is>
          <t>Moda</t>
        </is>
      </c>
      <c r="K2398" t="n">
        <v>3</v>
      </c>
      <c r="L2398" t="n">
        <v>3.09</v>
      </c>
      <c r="M2398" t="n">
        <v>0</v>
      </c>
      <c r="N2398" t="inlineStr">
        <is>
          <t>train</t>
        </is>
      </c>
      <c r="O2398">
        <f>HYPERLINK("3\0\marker_199_965447.png", "Ver Imagen")</f>
        <v/>
      </c>
      <c r="P2398">
        <f>HYPERLINK("SO\A-5053\A-5053__246.png", "Ver Imagen")</f>
        <v/>
      </c>
    </row>
    <row r="2399">
      <c r="A2399" t="n">
        <v>1872</v>
      </c>
      <c r="B2399" t="inlineStr">
        <is>
          <t>A-5053__242</t>
        </is>
      </c>
      <c r="C2399" t="n">
        <v>37.266120987</v>
      </c>
      <c r="D2399" t="n">
        <v>-7.13292875272</v>
      </c>
      <c r="E2399" t="n">
        <v>3</v>
      </c>
      <c r="F2399" t="n">
        <v>3</v>
      </c>
      <c r="G2399" t="n">
        <v>3</v>
      </c>
      <c r="J2399" t="inlineStr">
        <is>
          <t>Moda</t>
        </is>
      </c>
      <c r="K2399" t="n">
        <v>3</v>
      </c>
      <c r="L2399" t="n">
        <v>2.799</v>
      </c>
      <c r="M2399" t="n">
        <v>0</v>
      </c>
      <c r="N2399" t="inlineStr">
        <is>
          <t>train</t>
        </is>
      </c>
      <c r="O2399">
        <f>HYPERLINK("3\0\marker_234_965481.png", "Ver Imagen")</f>
        <v/>
      </c>
      <c r="P2399">
        <f>HYPERLINK("SO\A-5053\A-5053__242.png", "Ver Imagen")</f>
        <v/>
      </c>
    </row>
    <row r="2400">
      <c r="A2400" t="n">
        <v>1873</v>
      </c>
      <c r="B2400" t="inlineStr">
        <is>
          <t>A-5053__237</t>
        </is>
      </c>
      <c r="C2400" t="n">
        <v>37.2651862466</v>
      </c>
      <c r="D2400" t="n">
        <v>-7.13233774493</v>
      </c>
      <c r="E2400" t="n">
        <v>3</v>
      </c>
      <c r="F2400" t="n">
        <v>3</v>
      </c>
      <c r="G2400" t="n">
        <v>3</v>
      </c>
      <c r="J2400" t="inlineStr">
        <is>
          <t>Moda</t>
        </is>
      </c>
      <c r="K2400" t="n">
        <v>3</v>
      </c>
      <c r="L2400" t="n">
        <v>3.119</v>
      </c>
      <c r="M2400" t="n">
        <v>0</v>
      </c>
      <c r="N2400" t="inlineStr">
        <is>
          <t>train</t>
        </is>
      </c>
      <c r="O2400">
        <f>HYPERLINK("3\0\marker_227_965527.png", "Ver Imagen")</f>
        <v/>
      </c>
      <c r="P2400">
        <f>HYPERLINK("SO\A-5053\A-5053__237.png", "Ver Imagen")</f>
        <v/>
      </c>
    </row>
    <row r="2401">
      <c r="A2401" t="n">
        <v>1874</v>
      </c>
      <c r="B2401" t="inlineStr">
        <is>
          <t>A-5053__236</t>
        </is>
      </c>
      <c r="C2401" t="n">
        <v>37.2650011744</v>
      </c>
      <c r="D2401" t="n">
        <v>-7.13222045496</v>
      </c>
      <c r="E2401" t="n">
        <v>3</v>
      </c>
      <c r="F2401" t="n">
        <v>3</v>
      </c>
      <c r="G2401" t="n">
        <v>3</v>
      </c>
      <c r="J2401" t="inlineStr">
        <is>
          <t>Moda</t>
        </is>
      </c>
      <c r="K2401" t="n">
        <v>3</v>
      </c>
      <c r="L2401" t="n">
        <v>2.841</v>
      </c>
      <c r="M2401" t="n">
        <v>0</v>
      </c>
      <c r="N2401" t="inlineStr">
        <is>
          <t>train</t>
        </is>
      </c>
      <c r="O2401">
        <f>HYPERLINK("3\0\marker_122_965537.png", "Ver Imagen")</f>
        <v/>
      </c>
      <c r="P2401">
        <f>HYPERLINK("SO\A-5053\A-5053__236.png", "Ver Imagen")</f>
        <v/>
      </c>
    </row>
    <row r="2402">
      <c r="A2402" t="n">
        <v>1875</v>
      </c>
      <c r="B2402" t="inlineStr">
        <is>
          <t>A-5053__216</t>
        </is>
      </c>
      <c r="C2402" t="n">
        <v>37.2614343096</v>
      </c>
      <c r="D2402" t="n">
        <v>-7.12993614427</v>
      </c>
      <c r="E2402" t="n">
        <v>3</v>
      </c>
      <c r="F2402" t="n">
        <v>3</v>
      </c>
      <c r="G2402" t="n">
        <v>3</v>
      </c>
      <c r="J2402" t="inlineStr">
        <is>
          <t>Moda</t>
        </is>
      </c>
      <c r="K2402" t="n">
        <v>3</v>
      </c>
      <c r="L2402" t="n">
        <v>3.061</v>
      </c>
      <c r="M2402" t="n">
        <v>0</v>
      </c>
      <c r="N2402" t="inlineStr">
        <is>
          <t>train</t>
        </is>
      </c>
      <c r="O2402">
        <f>HYPERLINK("3\0\marker_627_965728.png", "Ver Imagen")</f>
        <v/>
      </c>
      <c r="P2402">
        <f>HYPERLINK("SO\A-5053\A-5053__216.png", "Ver Imagen")</f>
        <v/>
      </c>
    </row>
    <row r="2403">
      <c r="A2403" t="n">
        <v>1876</v>
      </c>
      <c r="B2403" t="inlineStr">
        <is>
          <t>A-5053__210</t>
        </is>
      </c>
      <c r="C2403" t="n">
        <v>37.2603458608</v>
      </c>
      <c r="D2403" t="n">
        <v>-7.12924730318</v>
      </c>
      <c r="E2403" t="n">
        <v>3</v>
      </c>
      <c r="F2403" t="n">
        <v>3</v>
      </c>
      <c r="G2403" t="n">
        <v>3</v>
      </c>
      <c r="J2403" t="inlineStr">
        <is>
          <t>Moda</t>
        </is>
      </c>
      <c r="K2403" t="n">
        <v>3</v>
      </c>
      <c r="L2403" t="n">
        <v>2.924</v>
      </c>
      <c r="M2403" t="n">
        <v>0</v>
      </c>
      <c r="N2403" t="inlineStr">
        <is>
          <t>train</t>
        </is>
      </c>
      <c r="O2403">
        <f>HYPERLINK("3\0\marker_101_965789.png", "Ver Imagen")</f>
        <v/>
      </c>
      <c r="P2403">
        <f>HYPERLINK("SO\A-5053\A-5053__210.png", "Ver Imagen")</f>
        <v/>
      </c>
    </row>
    <row r="2404">
      <c r="A2404" t="n">
        <v>1878</v>
      </c>
      <c r="B2404" t="inlineStr">
        <is>
          <t>A-5053__199</t>
        </is>
      </c>
      <c r="C2404" t="n">
        <v>37.2583306035</v>
      </c>
      <c r="D2404" t="n">
        <v>-7.12802967802</v>
      </c>
      <c r="E2404" t="n">
        <v>3</v>
      </c>
      <c r="F2404" t="n">
        <v>3</v>
      </c>
      <c r="G2404" t="n">
        <v>3</v>
      </c>
      <c r="J2404" t="inlineStr">
        <is>
          <t>Moda</t>
        </is>
      </c>
      <c r="K2404" t="n">
        <v>3</v>
      </c>
      <c r="L2404" t="n">
        <v>2.904</v>
      </c>
      <c r="M2404" t="n">
        <v>0</v>
      </c>
      <c r="N2404" t="inlineStr">
        <is>
          <t>train</t>
        </is>
      </c>
      <c r="O2404">
        <f>HYPERLINK("3\0\marker_732_965894.png", "Ver Imagen")</f>
        <v/>
      </c>
      <c r="P2404">
        <f>HYPERLINK("SO\A-5053\A-5053__199.png", "Ver Imagen")</f>
        <v/>
      </c>
    </row>
    <row r="2405">
      <c r="A2405" t="n">
        <v>1879</v>
      </c>
      <c r="B2405" t="inlineStr">
        <is>
          <t>A-5053__154</t>
        </is>
      </c>
      <c r="C2405" t="n">
        <v>37.2495060012</v>
      </c>
      <c r="D2405" t="n">
        <v>-7.12735557859</v>
      </c>
      <c r="E2405" t="n">
        <v>3</v>
      </c>
      <c r="F2405" t="n">
        <v>3</v>
      </c>
      <c r="G2405" t="n">
        <v>3</v>
      </c>
      <c r="J2405" t="inlineStr">
        <is>
          <t>Moda</t>
        </is>
      </c>
      <c r="K2405" t="n">
        <v>3</v>
      </c>
      <c r="L2405" t="n">
        <v>2.877</v>
      </c>
      <c r="M2405" t="n">
        <v>0</v>
      </c>
      <c r="N2405" t="inlineStr">
        <is>
          <t>train</t>
        </is>
      </c>
      <c r="O2405">
        <f>HYPERLINK("3\0\marker_446_966350.png", "Ver Imagen")</f>
        <v/>
      </c>
      <c r="P2405">
        <f>HYPERLINK("SO\A-5053\A-5053__154.png", "Ver Imagen")</f>
        <v/>
      </c>
    </row>
    <row r="2406">
      <c r="A2406" t="n">
        <v>1880</v>
      </c>
      <c r="B2406" t="inlineStr">
        <is>
          <t>A-5053__148</t>
        </is>
      </c>
      <c r="C2406" t="n">
        <v>37.2483161337</v>
      </c>
      <c r="D2406" t="n">
        <v>-7.12753231216</v>
      </c>
      <c r="E2406" t="n">
        <v>3</v>
      </c>
      <c r="F2406" t="n">
        <v>3</v>
      </c>
      <c r="G2406" t="n">
        <v>3</v>
      </c>
      <c r="J2406" t="inlineStr">
        <is>
          <t>Moda</t>
        </is>
      </c>
      <c r="K2406" t="n">
        <v>3</v>
      </c>
      <c r="L2406" t="n">
        <v>3.147</v>
      </c>
      <c r="M2406" t="n">
        <v>0</v>
      </c>
      <c r="N2406" t="inlineStr">
        <is>
          <t>train</t>
        </is>
      </c>
      <c r="O2406">
        <f>HYPERLINK("3\0\marker_851_966407.png", "Ver Imagen")</f>
        <v/>
      </c>
      <c r="P2406">
        <f>HYPERLINK("SO\A-5053\A-5053__148.png", "Ver Imagen")</f>
        <v/>
      </c>
    </row>
    <row r="2407">
      <c r="A2407" t="n">
        <v>1881</v>
      </c>
      <c r="B2407" t="inlineStr">
        <is>
          <t>A-5053__147</t>
        </is>
      </c>
      <c r="C2407" t="n">
        <v>37.248077978</v>
      </c>
      <c r="D2407" t="n">
        <v>-7.12756700587</v>
      </c>
      <c r="E2407" t="n">
        <v>3</v>
      </c>
      <c r="F2407" t="n">
        <v>3</v>
      </c>
      <c r="G2407" t="n">
        <v>3</v>
      </c>
      <c r="J2407" t="inlineStr">
        <is>
          <t>Moda</t>
        </is>
      </c>
      <c r="K2407" t="n">
        <v>3</v>
      </c>
      <c r="L2407" t="n">
        <v>2.776</v>
      </c>
      <c r="M2407" t="n">
        <v>0</v>
      </c>
      <c r="N2407" t="inlineStr">
        <is>
          <t>train</t>
        </is>
      </c>
      <c r="O2407">
        <f>HYPERLINK("3\0\marker_195_966422.png", "Ver Imagen")</f>
        <v/>
      </c>
      <c r="P2407">
        <f>HYPERLINK("SO\A-5053\A-5053__147.png", "Ver Imagen")</f>
        <v/>
      </c>
    </row>
    <row r="2408">
      <c r="A2408" t="n">
        <v>1882</v>
      </c>
      <c r="B2408" t="inlineStr">
        <is>
          <t>A-5053__146</t>
        </is>
      </c>
      <c r="C2408" t="n">
        <v>37.2479030947</v>
      </c>
      <c r="D2408" t="n">
        <v>-7.12759316918</v>
      </c>
      <c r="E2408" t="n">
        <v>3</v>
      </c>
      <c r="F2408" t="n">
        <v>3</v>
      </c>
      <c r="G2408" t="n">
        <v>3</v>
      </c>
      <c r="J2408" t="inlineStr">
        <is>
          <t>Moda</t>
        </is>
      </c>
      <c r="K2408" t="n">
        <v>3</v>
      </c>
      <c r="L2408" t="n">
        <v>2.833</v>
      </c>
      <c r="M2408" t="n">
        <v>0</v>
      </c>
      <c r="N2408" t="inlineStr">
        <is>
          <t>train</t>
        </is>
      </c>
      <c r="O2408">
        <f>HYPERLINK("3\0\marker_724_966430.png", "Ver Imagen")</f>
        <v/>
      </c>
      <c r="P2408">
        <f>HYPERLINK("SO\A-5053\A-5053__146.png", "Ver Imagen")</f>
        <v/>
      </c>
    </row>
    <row r="2409">
      <c r="A2409" t="n">
        <v>1883</v>
      </c>
      <c r="B2409" t="inlineStr">
        <is>
          <t>A-5053__145</t>
        </is>
      </c>
      <c r="C2409" t="n">
        <v>37.2476975451</v>
      </c>
      <c r="D2409" t="n">
        <v>-7.12762437575</v>
      </c>
      <c r="E2409" t="n">
        <v>3</v>
      </c>
      <c r="F2409" t="n">
        <v>3</v>
      </c>
      <c r="G2409" t="n">
        <v>3</v>
      </c>
      <c r="J2409" t="inlineStr">
        <is>
          <t>Moda</t>
        </is>
      </c>
      <c r="K2409" t="n">
        <v>3</v>
      </c>
      <c r="L2409" t="n">
        <v>2.945</v>
      </c>
      <c r="M2409" t="n">
        <v>0</v>
      </c>
      <c r="N2409" t="inlineStr">
        <is>
          <t>train</t>
        </is>
      </c>
      <c r="O2409">
        <f>HYPERLINK("3\0\marker_420_966439.png", "Ver Imagen")</f>
        <v/>
      </c>
      <c r="P2409">
        <f>HYPERLINK("SO\A-5053\A-5053__145.png", "Ver Imagen")</f>
        <v/>
      </c>
    </row>
    <row r="2410">
      <c r="A2410" t="n">
        <v>1884</v>
      </c>
      <c r="B2410" t="inlineStr">
        <is>
          <t>A-5053__144</t>
        </is>
      </c>
      <c r="C2410" t="n">
        <v>37.2474845549</v>
      </c>
      <c r="D2410" t="n">
        <v>-7.12765618908</v>
      </c>
      <c r="E2410" t="n">
        <v>3</v>
      </c>
      <c r="F2410" t="n">
        <v>3</v>
      </c>
      <c r="G2410" t="n">
        <v>3</v>
      </c>
      <c r="J2410" t="inlineStr">
        <is>
          <t>Moda</t>
        </is>
      </c>
      <c r="K2410" t="n">
        <v>3</v>
      </c>
      <c r="L2410" t="n">
        <v>2.552</v>
      </c>
      <c r="M2410" t="n">
        <v>0</v>
      </c>
      <c r="N2410" t="inlineStr">
        <is>
          <t>train</t>
        </is>
      </c>
      <c r="O2410">
        <f>HYPERLINK("3\0\marker_990_966448.png", "Ver Imagen")</f>
        <v/>
      </c>
      <c r="P2410">
        <f>HYPERLINK("SO\A-5053\A-5053__144.png", "Ver Imagen")</f>
        <v/>
      </c>
    </row>
    <row r="2411">
      <c r="A2411" t="n">
        <v>1885</v>
      </c>
      <c r="B2411" t="inlineStr">
        <is>
          <t>A-5053__142</t>
        </is>
      </c>
      <c r="C2411" t="n">
        <v>37.2471121135</v>
      </c>
      <c r="D2411" t="n">
        <v>-7.12770968024</v>
      </c>
      <c r="E2411" t="n">
        <v>3</v>
      </c>
      <c r="F2411" t="n">
        <v>3</v>
      </c>
      <c r="G2411" t="n">
        <v>3</v>
      </c>
      <c r="J2411" t="inlineStr">
        <is>
          <t>Moda</t>
        </is>
      </c>
      <c r="K2411" t="n">
        <v>3</v>
      </c>
      <c r="L2411" t="n">
        <v>2.853</v>
      </c>
      <c r="M2411" t="n">
        <v>0</v>
      </c>
      <c r="N2411" t="inlineStr">
        <is>
          <t>train</t>
        </is>
      </c>
      <c r="O2411">
        <f>HYPERLINK("3\0\marker_266_966464.png", "Ver Imagen")</f>
        <v/>
      </c>
      <c r="P2411">
        <f>HYPERLINK("SO\A-5053\A-5053__142.png", "Ver Imagen")</f>
        <v/>
      </c>
    </row>
    <row r="2412">
      <c r="A2412" t="n">
        <v>1886</v>
      </c>
      <c r="B2412" t="inlineStr">
        <is>
          <t>A-5053__141</t>
        </is>
      </c>
      <c r="C2412" t="n">
        <v>37.2469085743</v>
      </c>
      <c r="D2412" t="n">
        <v>-7.12773928752</v>
      </c>
      <c r="E2412" t="n">
        <v>3</v>
      </c>
      <c r="F2412" t="n">
        <v>3</v>
      </c>
      <c r="G2412" t="n">
        <v>3</v>
      </c>
      <c r="J2412" t="inlineStr">
        <is>
          <t>Moda</t>
        </is>
      </c>
      <c r="K2412" t="n">
        <v>3</v>
      </c>
      <c r="L2412" t="n">
        <v>2.657</v>
      </c>
      <c r="M2412" t="n">
        <v>0</v>
      </c>
      <c r="N2412" t="inlineStr">
        <is>
          <t>train</t>
        </is>
      </c>
      <c r="O2412">
        <f>HYPERLINK("3\0\marker_401_966476.png", "Ver Imagen")</f>
        <v/>
      </c>
      <c r="P2412">
        <f>HYPERLINK("SO\A-5053\A-5053__141.png", "Ver Imagen")</f>
        <v/>
      </c>
    </row>
    <row r="2413">
      <c r="A2413" t="n">
        <v>1887</v>
      </c>
      <c r="B2413" t="inlineStr">
        <is>
          <t>A-5053__40</t>
        </is>
      </c>
      <c r="C2413" t="n">
        <v>37.2266883565</v>
      </c>
      <c r="D2413" t="n">
        <v>-7.1262869725</v>
      </c>
      <c r="E2413" t="n">
        <v>3</v>
      </c>
      <c r="F2413" t="n">
        <v>3</v>
      </c>
      <c r="G2413" t="n">
        <v>3</v>
      </c>
      <c r="J2413" t="inlineStr">
        <is>
          <t>Moda</t>
        </is>
      </c>
      <c r="K2413" t="n">
        <v>3</v>
      </c>
      <c r="L2413" t="n">
        <v>2.824</v>
      </c>
      <c r="M2413" t="n">
        <v>0</v>
      </c>
      <c r="N2413" t="inlineStr">
        <is>
          <t>train</t>
        </is>
      </c>
      <c r="O2413">
        <f>HYPERLINK("3\0\marker_107_021715.png", "Ver Imagen")</f>
        <v/>
      </c>
      <c r="P2413">
        <f>HYPERLINK("SO\A-5053\A-5053__40.png", "Ver Imagen")</f>
        <v/>
      </c>
    </row>
    <row r="2414">
      <c r="A2414" t="n">
        <v>1888</v>
      </c>
      <c r="B2414" t="inlineStr">
        <is>
          <t>A-5053__39</t>
        </is>
      </c>
      <c r="C2414" t="n">
        <v>37.226490379</v>
      </c>
      <c r="D2414" t="n">
        <v>-7.12622690539</v>
      </c>
      <c r="E2414" t="n">
        <v>3</v>
      </c>
      <c r="F2414" t="n">
        <v>3</v>
      </c>
      <c r="G2414" t="n">
        <v>3</v>
      </c>
      <c r="J2414" t="inlineStr">
        <is>
          <t>Moda</t>
        </is>
      </c>
      <c r="K2414" t="n">
        <v>3</v>
      </c>
      <c r="L2414" t="n">
        <v>2.985</v>
      </c>
      <c r="M2414" t="n">
        <v>0</v>
      </c>
      <c r="N2414" t="inlineStr">
        <is>
          <t>train</t>
        </is>
      </c>
      <c r="O2414">
        <f>HYPERLINK("3\0\marker_825_021725.png", "Ver Imagen")</f>
        <v/>
      </c>
      <c r="P2414">
        <f>HYPERLINK("SO\A-5053\A-5053__39.png", "Ver Imagen")</f>
        <v/>
      </c>
    </row>
    <row r="2415">
      <c r="A2415" t="n">
        <v>1890</v>
      </c>
      <c r="B2415" t="inlineStr">
        <is>
          <t>A-5053__33</t>
        </is>
      </c>
      <c r="C2415" t="n">
        <v>37.2253040344</v>
      </c>
      <c r="D2415" t="n">
        <v>-7.12587181638</v>
      </c>
      <c r="E2415" t="n">
        <v>3</v>
      </c>
      <c r="F2415" t="n">
        <v>3</v>
      </c>
      <c r="G2415" t="n">
        <v>3</v>
      </c>
      <c r="J2415" t="inlineStr">
        <is>
          <t>Moda</t>
        </is>
      </c>
      <c r="K2415" t="n">
        <v>3</v>
      </c>
      <c r="L2415" t="n">
        <v>2.714</v>
      </c>
      <c r="M2415" t="n">
        <v>0</v>
      </c>
      <c r="N2415" t="inlineStr">
        <is>
          <t>train</t>
        </is>
      </c>
      <c r="O2415">
        <f>HYPERLINK("3\0\marker_805_021780.png", "Ver Imagen")</f>
        <v/>
      </c>
      <c r="P2415">
        <f>HYPERLINK("SO\A-5053\A-5053__33.png", "Ver Imagen")</f>
        <v/>
      </c>
    </row>
    <row r="2416">
      <c r="A2416" t="n">
        <v>1891</v>
      </c>
      <c r="B2416" t="inlineStr">
        <is>
          <t>A-5053__32</t>
        </is>
      </c>
      <c r="C2416" t="n">
        <v>37.2251022459</v>
      </c>
      <c r="D2416" t="n">
        <v>-7.12580505045</v>
      </c>
      <c r="E2416" t="n">
        <v>3</v>
      </c>
      <c r="F2416" t="n">
        <v>3</v>
      </c>
      <c r="G2416" t="n">
        <v>3</v>
      </c>
      <c r="J2416" t="inlineStr">
        <is>
          <t>Moda</t>
        </is>
      </c>
      <c r="K2416" t="n">
        <v>3</v>
      </c>
      <c r="L2416" t="n">
        <v>2.801</v>
      </c>
      <c r="M2416" t="n">
        <v>0</v>
      </c>
      <c r="N2416" t="inlineStr">
        <is>
          <t>train</t>
        </is>
      </c>
      <c r="O2416">
        <f>HYPERLINK("3\0\marker_458_021789.png", "Ver Imagen")</f>
        <v/>
      </c>
      <c r="P2416">
        <f>HYPERLINK("SO\A-5053\A-5053__32.png", "Ver Imagen")</f>
        <v/>
      </c>
    </row>
    <row r="2417">
      <c r="A2417" t="n">
        <v>1892</v>
      </c>
      <c r="B2417" t="inlineStr">
        <is>
          <t>A-5053__31</t>
        </is>
      </c>
      <c r="C2417" t="n">
        <v>37.2249236907</v>
      </c>
      <c r="D2417" t="n">
        <v>-7.12573594787</v>
      </c>
      <c r="E2417" t="n">
        <v>3</v>
      </c>
      <c r="F2417" t="n">
        <v>3</v>
      </c>
      <c r="G2417" t="n">
        <v>3</v>
      </c>
      <c r="J2417" t="inlineStr">
        <is>
          <t>Moda</t>
        </is>
      </c>
      <c r="K2417" t="n">
        <v>3</v>
      </c>
      <c r="L2417" t="n">
        <v>3.05</v>
      </c>
      <c r="M2417" t="n">
        <v>0</v>
      </c>
      <c r="N2417" t="inlineStr">
        <is>
          <t>train</t>
        </is>
      </c>
      <c r="O2417">
        <f>HYPERLINK("3\0\marker_745_021799.png", "Ver Imagen")</f>
        <v/>
      </c>
      <c r="P2417">
        <f>HYPERLINK("SO\A-5053\A-5053__31.png", "Ver Imagen")</f>
        <v/>
      </c>
    </row>
    <row r="2418">
      <c r="A2418" t="n">
        <v>1893</v>
      </c>
      <c r="B2418" t="inlineStr">
        <is>
          <t>A-5053__30</t>
        </is>
      </c>
      <c r="C2418" t="n">
        <v>37.2247440959</v>
      </c>
      <c r="D2418" t="n">
        <v>-7.12565524722</v>
      </c>
      <c r="E2418" t="n">
        <v>3</v>
      </c>
      <c r="F2418" t="n">
        <v>3</v>
      </c>
      <c r="G2418" t="n">
        <v>3</v>
      </c>
      <c r="J2418" t="inlineStr">
        <is>
          <t>Moda</t>
        </is>
      </c>
      <c r="K2418" t="n">
        <v>3</v>
      </c>
      <c r="L2418" t="n">
        <v>2.833</v>
      </c>
      <c r="M2418" t="n">
        <v>0</v>
      </c>
      <c r="N2418" t="inlineStr">
        <is>
          <t>train</t>
        </is>
      </c>
      <c r="O2418">
        <f>HYPERLINK("3\0\marker_548_021809.png", "Ver Imagen")</f>
        <v/>
      </c>
      <c r="P2418">
        <f>HYPERLINK("SO\A-5053\A-5053__30.png", "Ver Imagen")</f>
        <v/>
      </c>
    </row>
    <row r="2419">
      <c r="A2419" t="n">
        <v>1894</v>
      </c>
      <c r="B2419" t="inlineStr">
        <is>
          <t>A-5053__27</t>
        </is>
      </c>
      <c r="C2419" t="n">
        <v>37.224167032</v>
      </c>
      <c r="D2419" t="n">
        <v>-7.12535929022</v>
      </c>
      <c r="E2419" t="n">
        <v>3</v>
      </c>
      <c r="F2419" t="n">
        <v>3</v>
      </c>
      <c r="G2419" t="n">
        <v>3</v>
      </c>
      <c r="J2419" t="inlineStr">
        <is>
          <t>Moda</t>
        </is>
      </c>
      <c r="K2419" t="n">
        <v>3</v>
      </c>
      <c r="L2419" t="n">
        <v>2.778</v>
      </c>
      <c r="M2419" t="n">
        <v>0</v>
      </c>
      <c r="N2419" t="inlineStr">
        <is>
          <t>val</t>
        </is>
      </c>
      <c r="O2419">
        <f>HYPERLINK("3\0\marker_194_022304.png", "Ver Imagen")</f>
        <v/>
      </c>
      <c r="P2419">
        <f>HYPERLINK("SO\A-5053\A-5053__27.png", "Ver Imagen")</f>
        <v/>
      </c>
    </row>
    <row r="2420">
      <c r="A2420" t="n">
        <v>1895</v>
      </c>
      <c r="B2420" t="inlineStr">
        <is>
          <t>A-5053__24</t>
        </is>
      </c>
      <c r="C2420" t="n">
        <v>37.2235863888</v>
      </c>
      <c r="D2420" t="n">
        <v>-7.12513650586</v>
      </c>
      <c r="E2420" t="n">
        <v>3</v>
      </c>
      <c r="F2420" t="n">
        <v>3</v>
      </c>
      <c r="G2420" t="n">
        <v>3</v>
      </c>
      <c r="J2420" t="inlineStr">
        <is>
          <t>Moda</t>
        </is>
      </c>
      <c r="K2420" t="n">
        <v>3</v>
      </c>
      <c r="L2420" t="n">
        <v>2.817</v>
      </c>
      <c r="M2420" t="n">
        <v>0</v>
      </c>
      <c r="N2420" t="inlineStr">
        <is>
          <t>train</t>
        </is>
      </c>
      <c r="O2420">
        <f>HYPERLINK("3\0\marker_753_022846.png", "Ver Imagen")</f>
        <v/>
      </c>
      <c r="P2420">
        <f>HYPERLINK("SO\A-5053\A-5053__24.png", "Ver Imagen")</f>
        <v/>
      </c>
    </row>
    <row r="2421">
      <c r="A2421" t="n">
        <v>1896</v>
      </c>
      <c r="B2421" t="inlineStr">
        <is>
          <t>A-5053__13</t>
        </is>
      </c>
      <c r="C2421" t="n">
        <v>37.2214381671</v>
      </c>
      <c r="D2421" t="n">
        <v>-7.12545422589</v>
      </c>
      <c r="E2421" t="n">
        <v>3</v>
      </c>
      <c r="F2421" t="n">
        <v>3</v>
      </c>
      <c r="G2421" t="n">
        <v>3</v>
      </c>
      <c r="J2421" t="inlineStr">
        <is>
          <t>Moda</t>
        </is>
      </c>
      <c r="K2421" t="n">
        <v>3</v>
      </c>
      <c r="L2421" t="n">
        <v>2.788</v>
      </c>
      <c r="M2421" t="n">
        <v>0</v>
      </c>
      <c r="N2421" t="inlineStr">
        <is>
          <t>train</t>
        </is>
      </c>
      <c r="O2421">
        <f>HYPERLINK("3\0\marker_634_025072.png", "Ver Imagen")</f>
        <v/>
      </c>
      <c r="P2421">
        <f>HYPERLINK("SO\A-5053\A-5053__13.png", "Ver Imagen")</f>
        <v/>
      </c>
    </row>
    <row r="2422">
      <c r="A2422" t="n">
        <v>1897</v>
      </c>
      <c r="B2422" t="inlineStr">
        <is>
          <t>A-5053__9</t>
        </is>
      </c>
      <c r="C2422" t="n">
        <v>37.2207203137</v>
      </c>
      <c r="D2422" t="n">
        <v>-7.12574569996</v>
      </c>
      <c r="E2422" t="n">
        <v>3</v>
      </c>
      <c r="F2422" t="n">
        <v>3</v>
      </c>
      <c r="G2422" t="n">
        <v>3</v>
      </c>
      <c r="J2422" t="inlineStr">
        <is>
          <t>Moda</t>
        </is>
      </c>
      <c r="K2422" t="n">
        <v>3</v>
      </c>
      <c r="L2422" t="n">
        <v>2.654</v>
      </c>
      <c r="M2422" t="n">
        <v>0</v>
      </c>
      <c r="N2422" t="inlineStr">
        <is>
          <t>val</t>
        </is>
      </c>
      <c r="O2422">
        <f>HYPERLINK("3\0\marker_326_025120.png", "Ver Imagen")</f>
        <v/>
      </c>
      <c r="P2422">
        <f>HYPERLINK("SO\A-5053\A-5053__9.png", "Ver Imagen")</f>
        <v/>
      </c>
    </row>
    <row r="2423">
      <c r="A2423" t="n">
        <v>1899</v>
      </c>
      <c r="B2423" t="inlineStr">
        <is>
          <t>A-5053__2</t>
        </is>
      </c>
      <c r="C2423" t="n">
        <v>37.2193460747</v>
      </c>
      <c r="D2423" t="n">
        <v>-7.12592133739</v>
      </c>
      <c r="E2423" t="n">
        <v>3</v>
      </c>
      <c r="F2423" t="n">
        <v>3</v>
      </c>
      <c r="G2423" t="n">
        <v>3</v>
      </c>
      <c r="J2423" t="inlineStr">
        <is>
          <t>Moda</t>
        </is>
      </c>
      <c r="K2423" t="n">
        <v>3</v>
      </c>
      <c r="L2423" t="n">
        <v>2.635</v>
      </c>
      <c r="M2423" t="n">
        <v>0</v>
      </c>
      <c r="N2423" t="inlineStr">
        <is>
          <t>train</t>
        </is>
      </c>
      <c r="O2423">
        <f>HYPERLINK("3\0\marker_704_025197.png", "Ver Imagen")</f>
        <v/>
      </c>
      <c r="P2423">
        <f>HYPERLINK("SO\A-5053\A-5053__2.png", "Ver Imagen")</f>
        <v/>
      </c>
    </row>
    <row r="2424">
      <c r="A2424" t="n">
        <v>1900</v>
      </c>
      <c r="B2424" t="inlineStr">
        <is>
          <t>A-5053__1</t>
        </is>
      </c>
      <c r="C2424" t="n">
        <v>37.2191294799</v>
      </c>
      <c r="D2424" t="n">
        <v>-7.12599187192</v>
      </c>
      <c r="E2424" t="n">
        <v>3</v>
      </c>
      <c r="F2424" t="n">
        <v>3</v>
      </c>
      <c r="G2424" t="n">
        <v>3</v>
      </c>
      <c r="J2424" t="inlineStr">
        <is>
          <t>Moda</t>
        </is>
      </c>
      <c r="K2424" t="n">
        <v>3</v>
      </c>
      <c r="L2424" t="n">
        <v>3.136</v>
      </c>
      <c r="M2424" t="n">
        <v>0</v>
      </c>
      <c r="N2424" t="inlineStr">
        <is>
          <t>train</t>
        </is>
      </c>
      <c r="O2424">
        <f>HYPERLINK("3\0\marker_969_025210.png", "Ver Imagen")</f>
        <v/>
      </c>
      <c r="P2424">
        <f>HYPERLINK("SO\A-5053\A-5053__1.png", "Ver Imagen")</f>
        <v/>
      </c>
    </row>
    <row r="2425">
      <c r="A2425" t="n">
        <v>1901</v>
      </c>
      <c r="B2425" t="inlineStr">
        <is>
          <t>A-495__19</t>
        </is>
      </c>
      <c r="C2425" t="n">
        <v>37.4435166526</v>
      </c>
      <c r="D2425" t="n">
        <v>-7.09580176616</v>
      </c>
      <c r="E2425" t="n">
        <v>3</v>
      </c>
      <c r="F2425" t="n">
        <v>3</v>
      </c>
      <c r="G2425" t="n">
        <v>3</v>
      </c>
      <c r="J2425" t="inlineStr">
        <is>
          <t>Moda</t>
        </is>
      </c>
      <c r="K2425" t="n">
        <v>3</v>
      </c>
      <c r="L2425" t="n">
        <v>2.777</v>
      </c>
      <c r="M2425" t="n">
        <v>0</v>
      </c>
      <c r="N2425" t="inlineStr">
        <is>
          <t>train</t>
        </is>
      </c>
      <c r="O2425">
        <f>HYPERLINK("3\0\marker_973_381254.png", "Ver Imagen")</f>
        <v/>
      </c>
      <c r="P2425">
        <f>HYPERLINK("NE\A-495\A-495__19.png", "Ver Imagen")</f>
        <v/>
      </c>
    </row>
    <row r="2426">
      <c r="A2426" t="n">
        <v>1902</v>
      </c>
      <c r="B2426" t="inlineStr">
        <is>
          <t>A-495__32</t>
        </is>
      </c>
      <c r="C2426" t="n">
        <v>37.4423520162</v>
      </c>
      <c r="D2426" t="n">
        <v>-7.09277041821</v>
      </c>
      <c r="E2426" t="n">
        <v>3</v>
      </c>
      <c r="F2426" t="n">
        <v>3</v>
      </c>
      <c r="G2426" t="n">
        <v>3</v>
      </c>
      <c r="J2426" t="inlineStr">
        <is>
          <t>Moda</t>
        </is>
      </c>
      <c r="K2426" t="n">
        <v>3</v>
      </c>
      <c r="L2426" t="n">
        <v>2.542</v>
      </c>
      <c r="M2426" t="n">
        <v>0</v>
      </c>
      <c r="N2426" t="inlineStr">
        <is>
          <t>test</t>
        </is>
      </c>
      <c r="O2426">
        <f>HYPERLINK("3\0\marker_854_381413.png", "Ver Imagen")</f>
        <v/>
      </c>
      <c r="P2426">
        <f>HYPERLINK("NE\A-495\A-495__32.png", "Ver Imagen")</f>
        <v/>
      </c>
    </row>
    <row r="2427">
      <c r="A2427" t="n">
        <v>1903</v>
      </c>
      <c r="B2427" t="inlineStr">
        <is>
          <t>A-495__35</t>
        </is>
      </c>
      <c r="C2427" t="n">
        <v>37.4420905413</v>
      </c>
      <c r="D2427" t="n">
        <v>-7.09212730466</v>
      </c>
      <c r="E2427" t="n">
        <v>3</v>
      </c>
      <c r="F2427" t="n">
        <v>3</v>
      </c>
      <c r="G2427" t="n">
        <v>3</v>
      </c>
      <c r="J2427" t="inlineStr">
        <is>
          <t>Moda</t>
        </is>
      </c>
      <c r="K2427" t="n">
        <v>3</v>
      </c>
      <c r="L2427" t="n">
        <v>2.86</v>
      </c>
      <c r="M2427" t="n">
        <v>0</v>
      </c>
      <c r="N2427" t="inlineStr">
        <is>
          <t>train</t>
        </is>
      </c>
      <c r="O2427">
        <f>HYPERLINK("3\0\marker_909_381454.png", "Ver Imagen")</f>
        <v/>
      </c>
      <c r="P2427">
        <f>HYPERLINK("NE\A-495\A-495__35.png", "Ver Imagen")</f>
        <v/>
      </c>
    </row>
    <row r="2428">
      <c r="A2428" t="n">
        <v>1904</v>
      </c>
      <c r="B2428" t="inlineStr">
        <is>
          <t>A-495__36</t>
        </is>
      </c>
      <c r="C2428" t="n">
        <v>37.4419816785</v>
      </c>
      <c r="D2428" t="n">
        <v>-7.0918680717</v>
      </c>
      <c r="E2428" t="n">
        <v>3</v>
      </c>
      <c r="F2428" t="n">
        <v>3</v>
      </c>
      <c r="G2428" t="n">
        <v>3</v>
      </c>
      <c r="J2428" t="inlineStr">
        <is>
          <t>Moda</t>
        </is>
      </c>
      <c r="K2428" t="n">
        <v>3</v>
      </c>
      <c r="L2428" t="n">
        <v>2.987</v>
      </c>
      <c r="M2428" t="n">
        <v>0</v>
      </c>
      <c r="N2428" t="inlineStr">
        <is>
          <t>train</t>
        </is>
      </c>
      <c r="O2428">
        <f>HYPERLINK("3\0\marker_132_381463.png", "Ver Imagen")</f>
        <v/>
      </c>
      <c r="P2428">
        <f>HYPERLINK("NE\A-495\A-495__36.png", "Ver Imagen")</f>
        <v/>
      </c>
    </row>
    <row r="2429">
      <c r="A2429" t="n">
        <v>1905</v>
      </c>
      <c r="B2429" t="inlineStr">
        <is>
          <t>A-495__37</t>
        </is>
      </c>
      <c r="C2429" t="n">
        <v>37.4418945863</v>
      </c>
      <c r="D2429" t="n">
        <v>-7.09166751232</v>
      </c>
      <c r="E2429" t="n">
        <v>3</v>
      </c>
      <c r="F2429" t="n">
        <v>3</v>
      </c>
      <c r="G2429" t="n">
        <v>3</v>
      </c>
      <c r="J2429" t="inlineStr">
        <is>
          <t>Moda</t>
        </is>
      </c>
      <c r="K2429" t="n">
        <v>3</v>
      </c>
      <c r="L2429" t="n">
        <v>3.058</v>
      </c>
      <c r="M2429" t="n">
        <v>0</v>
      </c>
      <c r="N2429" t="inlineStr">
        <is>
          <t>train</t>
        </is>
      </c>
      <c r="O2429">
        <f>HYPERLINK("3\0\marker_497_381484.png", "Ver Imagen")</f>
        <v/>
      </c>
      <c r="P2429">
        <f>HYPERLINK("NE\A-495\A-495__37.png", "Ver Imagen")</f>
        <v/>
      </c>
    </row>
    <row r="2430">
      <c r="A2430" t="n">
        <v>1906</v>
      </c>
      <c r="B2430" t="inlineStr">
        <is>
          <t>A-495__38</t>
        </is>
      </c>
      <c r="C2430" t="n">
        <v>37.4417889287</v>
      </c>
      <c r="D2430" t="n">
        <v>-7.09143330231</v>
      </c>
      <c r="E2430" t="n">
        <v>3</v>
      </c>
      <c r="F2430" t="n">
        <v>3</v>
      </c>
      <c r="G2430" t="n">
        <v>3</v>
      </c>
      <c r="J2430" t="inlineStr">
        <is>
          <t>Moda</t>
        </is>
      </c>
      <c r="K2430" t="n">
        <v>3</v>
      </c>
      <c r="L2430" t="n">
        <v>2.705</v>
      </c>
      <c r="M2430" t="n">
        <v>0</v>
      </c>
      <c r="N2430" t="inlineStr">
        <is>
          <t>train</t>
        </is>
      </c>
      <c r="O2430">
        <f>HYPERLINK("3\0\marker_749_381493.png", "Ver Imagen")</f>
        <v/>
      </c>
      <c r="P2430">
        <f>HYPERLINK("NE\A-495\A-495__38.png", "Ver Imagen")</f>
        <v/>
      </c>
    </row>
    <row r="2431">
      <c r="A2431" t="n">
        <v>1907</v>
      </c>
      <c r="B2431" t="inlineStr">
        <is>
          <t>A-495__39</t>
        </is>
      </c>
      <c r="C2431" t="n">
        <v>37.4416908877</v>
      </c>
      <c r="D2431" t="n">
        <v>-7.09122346222</v>
      </c>
      <c r="E2431" t="n">
        <v>3</v>
      </c>
      <c r="F2431" t="n">
        <v>3</v>
      </c>
      <c r="G2431" t="n">
        <v>3</v>
      </c>
      <c r="J2431" t="inlineStr">
        <is>
          <t>Moda</t>
        </is>
      </c>
      <c r="K2431" t="n">
        <v>3</v>
      </c>
      <c r="L2431" t="n">
        <v>3.202</v>
      </c>
      <c r="M2431" t="n">
        <v>0</v>
      </c>
      <c r="N2431" t="inlineStr">
        <is>
          <t>test</t>
        </is>
      </c>
      <c r="O2431">
        <f>HYPERLINK("3\0\marker_906_381502.png", "Ver Imagen")</f>
        <v/>
      </c>
      <c r="P2431">
        <f>HYPERLINK("NE\A-495\A-495__39.png", "Ver Imagen")</f>
        <v/>
      </c>
    </row>
    <row r="2432">
      <c r="A2432" t="n">
        <v>1908</v>
      </c>
      <c r="B2432" t="inlineStr">
        <is>
          <t>A-495__40</t>
        </is>
      </c>
      <c r="C2432" t="n">
        <v>37.4415811631</v>
      </c>
      <c r="D2432" t="n">
        <v>-7.09099228653</v>
      </c>
      <c r="E2432" t="n">
        <v>3</v>
      </c>
      <c r="F2432" t="n">
        <v>3</v>
      </c>
      <c r="G2432" t="n">
        <v>3</v>
      </c>
      <c r="J2432" t="inlineStr">
        <is>
          <t>Moda</t>
        </is>
      </c>
      <c r="K2432" t="n">
        <v>3</v>
      </c>
      <c r="L2432" t="n">
        <v>3.486</v>
      </c>
      <c r="M2432" t="n">
        <v>0</v>
      </c>
      <c r="N2432" t="inlineStr">
        <is>
          <t>train</t>
        </is>
      </c>
      <c r="O2432">
        <f>HYPERLINK("3\0\marker_565_381512.png", "Ver Imagen")</f>
        <v/>
      </c>
      <c r="P2432">
        <f>HYPERLINK("NE\A-495\A-495__40.png", "Ver Imagen")</f>
        <v/>
      </c>
    </row>
    <row r="2433">
      <c r="A2433" t="n">
        <v>1909</v>
      </c>
      <c r="B2433" t="inlineStr">
        <is>
          <t>A-495__41</t>
        </is>
      </c>
      <c r="C2433" t="n">
        <v>37.4414802427</v>
      </c>
      <c r="D2433" t="n">
        <v>-7.09077619508</v>
      </c>
      <c r="E2433" t="n">
        <v>3</v>
      </c>
      <c r="F2433" t="n">
        <v>3</v>
      </c>
      <c r="G2433" t="n">
        <v>3</v>
      </c>
      <c r="J2433" t="inlineStr">
        <is>
          <t>Moda</t>
        </is>
      </c>
      <c r="K2433" t="n">
        <v>3</v>
      </c>
      <c r="L2433" t="n">
        <v>3.163</v>
      </c>
      <c r="M2433" t="n">
        <v>0</v>
      </c>
      <c r="N2433" t="inlineStr">
        <is>
          <t>train</t>
        </is>
      </c>
      <c r="O2433">
        <f>HYPERLINK("3\0\marker_793_381521.png", "Ver Imagen")</f>
        <v/>
      </c>
      <c r="P2433">
        <f>HYPERLINK("NE\A-495\A-495__41.png", "Ver Imagen")</f>
        <v/>
      </c>
    </row>
    <row r="2434">
      <c r="A2434" t="n">
        <v>1910</v>
      </c>
      <c r="B2434" t="inlineStr">
        <is>
          <t>A-495__44</t>
        </is>
      </c>
      <c r="C2434" t="n">
        <v>37.4411712321</v>
      </c>
      <c r="D2434" t="n">
        <v>-7.09011578826</v>
      </c>
      <c r="E2434" t="n">
        <v>3</v>
      </c>
      <c r="F2434" t="n">
        <v>3</v>
      </c>
      <c r="G2434" t="n">
        <v>3</v>
      </c>
      <c r="J2434" t="inlineStr">
        <is>
          <t>Moda</t>
        </is>
      </c>
      <c r="K2434" t="n">
        <v>3</v>
      </c>
      <c r="L2434" t="n">
        <v>2.832</v>
      </c>
      <c r="M2434" t="n">
        <v>0</v>
      </c>
      <c r="N2434" t="inlineStr">
        <is>
          <t>train</t>
        </is>
      </c>
      <c r="O2434">
        <f>HYPERLINK("3\0\marker_843_381554.png", "Ver Imagen")</f>
        <v/>
      </c>
      <c r="P2434">
        <f>HYPERLINK("NE\A-495\A-495__44.png", "Ver Imagen")</f>
        <v/>
      </c>
    </row>
    <row r="2435">
      <c r="A2435" t="n">
        <v>1911</v>
      </c>
      <c r="B2435" t="inlineStr">
        <is>
          <t>A-495__45</t>
        </is>
      </c>
      <c r="C2435" t="n">
        <v>37.4410581457</v>
      </c>
      <c r="D2435" t="n">
        <v>-7.08987766264</v>
      </c>
      <c r="E2435" t="n">
        <v>3</v>
      </c>
      <c r="F2435" t="n">
        <v>3</v>
      </c>
      <c r="G2435" t="n">
        <v>3</v>
      </c>
      <c r="J2435" t="inlineStr">
        <is>
          <t>Moda</t>
        </is>
      </c>
      <c r="K2435" t="n">
        <v>3</v>
      </c>
      <c r="L2435" t="n">
        <v>2.994</v>
      </c>
      <c r="M2435" t="n">
        <v>0</v>
      </c>
      <c r="N2435" t="inlineStr">
        <is>
          <t>train</t>
        </is>
      </c>
      <c r="O2435">
        <f>HYPERLINK("3\0\marker_877_381562.png", "Ver Imagen")</f>
        <v/>
      </c>
      <c r="P2435">
        <f>HYPERLINK("NE\A-495\A-495__45.png", "Ver Imagen")</f>
        <v/>
      </c>
    </row>
    <row r="2436">
      <c r="A2436" t="n">
        <v>1912</v>
      </c>
      <c r="B2436" t="inlineStr">
        <is>
          <t>A-495__46</t>
        </is>
      </c>
      <c r="C2436" t="n">
        <v>37.4409541123</v>
      </c>
      <c r="D2436" t="n">
        <v>-7.0896564211</v>
      </c>
      <c r="E2436" t="n">
        <v>3</v>
      </c>
      <c r="F2436" t="n">
        <v>3</v>
      </c>
      <c r="G2436" t="n">
        <v>3</v>
      </c>
      <c r="J2436" t="inlineStr">
        <is>
          <t>Moda</t>
        </is>
      </c>
      <c r="K2436" t="n">
        <v>3</v>
      </c>
      <c r="L2436" t="n">
        <v>2.995</v>
      </c>
      <c r="M2436" t="n">
        <v>0</v>
      </c>
      <c r="N2436" t="inlineStr">
        <is>
          <t>train</t>
        </is>
      </c>
      <c r="O2436">
        <f>HYPERLINK("3\0\marker_834_381571.png", "Ver Imagen")</f>
        <v/>
      </c>
      <c r="P2436">
        <f>HYPERLINK("NE\A-495\A-495__46.png", "Ver Imagen")</f>
        <v/>
      </c>
    </row>
    <row r="2437">
      <c r="A2437" t="n">
        <v>1913</v>
      </c>
      <c r="B2437" t="inlineStr">
        <is>
          <t>A-495__47</t>
        </is>
      </c>
      <c r="C2437" t="n">
        <v>37.4408642923</v>
      </c>
      <c r="D2437" t="n">
        <v>-7.08946104736</v>
      </c>
      <c r="E2437" t="n">
        <v>3</v>
      </c>
      <c r="F2437" t="n">
        <v>3</v>
      </c>
      <c r="G2437" t="n">
        <v>3</v>
      </c>
      <c r="J2437" t="inlineStr">
        <is>
          <t>Moda</t>
        </is>
      </c>
      <c r="K2437" t="n">
        <v>3</v>
      </c>
      <c r="L2437" t="n">
        <v>2.764</v>
      </c>
      <c r="M2437" t="n">
        <v>0</v>
      </c>
      <c r="N2437" t="inlineStr">
        <is>
          <t>train</t>
        </is>
      </c>
      <c r="O2437">
        <f>HYPERLINK("3\0\marker_127_381581.png", "Ver Imagen")</f>
        <v/>
      </c>
      <c r="P2437">
        <f>HYPERLINK("NE\A-495\A-495__47.png", "Ver Imagen")</f>
        <v/>
      </c>
    </row>
    <row r="2438">
      <c r="A2438" t="n">
        <v>1914</v>
      </c>
      <c r="B2438" t="inlineStr">
        <is>
          <t>A-495__48</t>
        </is>
      </c>
      <c r="C2438" t="n">
        <v>37.4407618158</v>
      </c>
      <c r="D2438" t="n">
        <v>-7.08924046664</v>
      </c>
      <c r="E2438" t="n">
        <v>3</v>
      </c>
      <c r="F2438" t="n">
        <v>3</v>
      </c>
      <c r="G2438" t="n">
        <v>3</v>
      </c>
      <c r="J2438" t="inlineStr">
        <is>
          <t>Moda</t>
        </is>
      </c>
      <c r="K2438" t="n">
        <v>3</v>
      </c>
      <c r="L2438" t="n">
        <v>2.897</v>
      </c>
      <c r="M2438" t="n">
        <v>0</v>
      </c>
      <c r="N2438" t="inlineStr">
        <is>
          <t>train</t>
        </is>
      </c>
      <c r="O2438">
        <f>HYPERLINK("3\0\marker_365_381591.png", "Ver Imagen")</f>
        <v/>
      </c>
      <c r="P2438">
        <f>HYPERLINK("NE\A-495\A-495__48.png", "Ver Imagen")</f>
        <v/>
      </c>
    </row>
    <row r="2439">
      <c r="A2439" t="n">
        <v>1915</v>
      </c>
      <c r="B2439" t="inlineStr">
        <is>
          <t>A-495__50</t>
        </is>
      </c>
      <c r="C2439" t="n">
        <v>37.4405684615</v>
      </c>
      <c r="D2439" t="n">
        <v>-7.08883449759</v>
      </c>
      <c r="E2439" t="n">
        <v>3</v>
      </c>
      <c r="F2439" t="n">
        <v>3</v>
      </c>
      <c r="G2439" t="n">
        <v>3</v>
      </c>
      <c r="J2439" t="inlineStr">
        <is>
          <t>Moda</t>
        </is>
      </c>
      <c r="K2439" t="n">
        <v>3</v>
      </c>
      <c r="L2439" t="n">
        <v>2.885</v>
      </c>
      <c r="M2439" t="n">
        <v>0</v>
      </c>
      <c r="N2439" t="inlineStr">
        <is>
          <t>train</t>
        </is>
      </c>
      <c r="O2439">
        <f>HYPERLINK("3\0\marker_794_381612.png", "Ver Imagen")</f>
        <v/>
      </c>
      <c r="P2439">
        <f>HYPERLINK("NE\A-495\A-495__50.png", "Ver Imagen")</f>
        <v/>
      </c>
    </row>
    <row r="2440">
      <c r="A2440" t="n">
        <v>1917</v>
      </c>
      <c r="B2440" t="inlineStr">
        <is>
          <t>A-495__60</t>
        </is>
      </c>
      <c r="C2440" t="n">
        <v>37.4395221774</v>
      </c>
      <c r="D2440" t="n">
        <v>-7.08665053199</v>
      </c>
      <c r="E2440" t="n">
        <v>3</v>
      </c>
      <c r="F2440" t="n">
        <v>3</v>
      </c>
      <c r="G2440" t="n">
        <v>3</v>
      </c>
      <c r="J2440" t="inlineStr">
        <is>
          <t>Moda</t>
        </is>
      </c>
      <c r="K2440" t="n">
        <v>3</v>
      </c>
      <c r="L2440" t="n">
        <v>3.096</v>
      </c>
      <c r="M2440" t="n">
        <v>0</v>
      </c>
      <c r="N2440" t="inlineStr">
        <is>
          <t>train</t>
        </is>
      </c>
      <c r="O2440">
        <f>HYPERLINK("3\0\marker_824_381711.png", "Ver Imagen")</f>
        <v/>
      </c>
      <c r="P2440">
        <f>HYPERLINK("NE\A-495\A-495__60.png", "Ver Imagen")</f>
        <v/>
      </c>
    </row>
    <row r="2441">
      <c r="A2441" t="n">
        <v>1918</v>
      </c>
      <c r="B2441" t="inlineStr">
        <is>
          <t>A-495__66</t>
        </is>
      </c>
      <c r="C2441" t="n">
        <v>37.4389146908</v>
      </c>
      <c r="D2441" t="n">
        <v>-7.08530657066</v>
      </c>
      <c r="E2441" t="n">
        <v>3</v>
      </c>
      <c r="F2441" t="n">
        <v>3</v>
      </c>
      <c r="G2441" t="n">
        <v>3</v>
      </c>
      <c r="J2441" t="inlineStr">
        <is>
          <t>Moda</t>
        </is>
      </c>
      <c r="K2441" t="n">
        <v>3</v>
      </c>
      <c r="L2441" t="n">
        <v>2.856</v>
      </c>
      <c r="M2441" t="n">
        <v>0</v>
      </c>
      <c r="N2441" t="inlineStr">
        <is>
          <t>train</t>
        </is>
      </c>
      <c r="O2441">
        <f>HYPERLINK("3\0\marker_911_381776.png", "Ver Imagen")</f>
        <v/>
      </c>
      <c r="P2441">
        <f>HYPERLINK("NE\A-495\A-495__66.png", "Ver Imagen")</f>
        <v/>
      </c>
    </row>
    <row r="2442">
      <c r="A2442" t="n">
        <v>1919</v>
      </c>
      <c r="B2442" t="inlineStr">
        <is>
          <t>A-495__79</t>
        </is>
      </c>
      <c r="C2442" t="n">
        <v>37.4378607216</v>
      </c>
      <c r="D2442" t="n">
        <v>-7.08231059657</v>
      </c>
      <c r="E2442" t="n">
        <v>3</v>
      </c>
      <c r="F2442" t="n">
        <v>3</v>
      </c>
      <c r="G2442" t="n">
        <v>3</v>
      </c>
      <c r="J2442" t="inlineStr">
        <is>
          <t>Moda</t>
        </is>
      </c>
      <c r="K2442" t="n">
        <v>3</v>
      </c>
      <c r="L2442" t="n">
        <v>2.972</v>
      </c>
      <c r="M2442" t="n">
        <v>0</v>
      </c>
      <c r="N2442" t="inlineStr">
        <is>
          <t>train</t>
        </is>
      </c>
      <c r="O2442">
        <f>HYPERLINK("3\0\marker_318_381921.png", "Ver Imagen")</f>
        <v/>
      </c>
      <c r="P2442">
        <f>HYPERLINK("NE\A-495\A-495__79.png", "Ver Imagen")</f>
        <v/>
      </c>
    </row>
    <row r="2443">
      <c r="A2443" t="n">
        <v>1921</v>
      </c>
      <c r="B2443" t="inlineStr">
        <is>
          <t>A-495__93</t>
        </is>
      </c>
      <c r="C2443" t="n">
        <v>37.4367696445</v>
      </c>
      <c r="D2443" t="n">
        <v>-7.07919861516</v>
      </c>
      <c r="E2443" t="n">
        <v>3</v>
      </c>
      <c r="F2443" t="n">
        <v>3</v>
      </c>
      <c r="G2443" t="n">
        <v>3</v>
      </c>
      <c r="J2443" t="inlineStr">
        <is>
          <t>Moda</t>
        </is>
      </c>
      <c r="K2443" t="n">
        <v>3</v>
      </c>
      <c r="L2443" t="n">
        <v>3.123</v>
      </c>
      <c r="M2443" t="n">
        <v>0</v>
      </c>
      <c r="N2443" t="inlineStr">
        <is>
          <t>train</t>
        </is>
      </c>
      <c r="O2443">
        <f>HYPERLINK("3\0\marker_900_382088.png", "Ver Imagen")</f>
        <v/>
      </c>
      <c r="P2443">
        <f>HYPERLINK("NE\A-495\A-495__93.png", "Ver Imagen")</f>
        <v/>
      </c>
    </row>
    <row r="2444">
      <c r="A2444" t="n">
        <v>1922</v>
      </c>
      <c r="B2444" t="inlineStr">
        <is>
          <t>A-495__102</t>
        </is>
      </c>
      <c r="C2444" t="n">
        <v>37.4360308517</v>
      </c>
      <c r="D2444" t="n">
        <v>-7.077123705</v>
      </c>
      <c r="E2444" t="n">
        <v>3</v>
      </c>
      <c r="F2444" t="n">
        <v>3</v>
      </c>
      <c r="G2444" t="n">
        <v>3</v>
      </c>
      <c r="J2444" t="inlineStr">
        <is>
          <t>Moda</t>
        </is>
      </c>
      <c r="K2444" t="n">
        <v>3</v>
      </c>
      <c r="L2444" t="n">
        <v>3.233</v>
      </c>
      <c r="M2444" t="n">
        <v>0</v>
      </c>
      <c r="N2444" t="inlineStr">
        <is>
          <t>test</t>
        </is>
      </c>
      <c r="O2444">
        <f>HYPERLINK("3\0\marker_208_382173.png", "Ver Imagen")</f>
        <v/>
      </c>
      <c r="P2444">
        <f>HYPERLINK("NE\A-495\A-495__102.png", "Ver Imagen")</f>
        <v/>
      </c>
    </row>
    <row r="2445">
      <c r="A2445" t="n">
        <v>1923</v>
      </c>
      <c r="B2445" t="inlineStr">
        <is>
          <t>A-495__106</t>
        </is>
      </c>
      <c r="C2445" t="n">
        <v>37.4353952587</v>
      </c>
      <c r="D2445" t="n">
        <v>-7.07652194619</v>
      </c>
      <c r="E2445" t="n">
        <v>3</v>
      </c>
      <c r="F2445" t="n">
        <v>3</v>
      </c>
      <c r="G2445" t="n">
        <v>3</v>
      </c>
      <c r="J2445" t="inlineStr">
        <is>
          <t>Moda</t>
        </is>
      </c>
      <c r="K2445" t="n">
        <v>3</v>
      </c>
      <c r="L2445" t="n">
        <v>2.687</v>
      </c>
      <c r="M2445" t="n">
        <v>0</v>
      </c>
      <c r="N2445" t="inlineStr">
        <is>
          <t>train</t>
        </is>
      </c>
      <c r="O2445">
        <f>HYPERLINK("3\0\marker_482_382224.png", "Ver Imagen")</f>
        <v/>
      </c>
      <c r="P2445">
        <f>HYPERLINK("NE\A-495\A-495__106.png", "Ver Imagen")</f>
        <v/>
      </c>
    </row>
    <row r="2446">
      <c r="A2446" t="n">
        <v>1924</v>
      </c>
      <c r="B2446" t="inlineStr">
        <is>
          <t>A-5059__81</t>
        </is>
      </c>
      <c r="C2446" t="n">
        <v>37.2213580738</v>
      </c>
      <c r="D2446" t="n">
        <v>-7.05408788875</v>
      </c>
      <c r="E2446" t="n">
        <v>3</v>
      </c>
      <c r="F2446" t="n">
        <v>3</v>
      </c>
      <c r="G2446" t="n">
        <v>3</v>
      </c>
      <c r="J2446" t="inlineStr">
        <is>
          <t>Moda</t>
        </is>
      </c>
      <c r="K2446" t="n">
        <v>3</v>
      </c>
      <c r="L2446" t="n">
        <v>3.074</v>
      </c>
      <c r="M2446" t="n">
        <v>0</v>
      </c>
      <c r="N2446" t="inlineStr">
        <is>
          <t>val</t>
        </is>
      </c>
      <c r="O2446">
        <f>HYPERLINK("3\0\marker_433_378727.png", "Ver Imagen")</f>
        <v/>
      </c>
      <c r="P2446">
        <f>HYPERLINK("SE\A-5059\A-5059__81.png", "Ver Imagen")</f>
        <v/>
      </c>
    </row>
    <row r="2447">
      <c r="A2447" t="n">
        <v>1925</v>
      </c>
      <c r="B2447" t="inlineStr">
        <is>
          <t>A-5059__68</t>
        </is>
      </c>
      <c r="C2447" t="n">
        <v>37.2234013369</v>
      </c>
      <c r="D2447" t="n">
        <v>-7.0559805667</v>
      </c>
      <c r="E2447" t="n">
        <v>3</v>
      </c>
      <c r="F2447" t="n">
        <v>3</v>
      </c>
      <c r="G2447" t="n">
        <v>3</v>
      </c>
      <c r="J2447" t="inlineStr">
        <is>
          <t>Moda</t>
        </is>
      </c>
      <c r="K2447" t="n">
        <v>3</v>
      </c>
      <c r="L2447" t="n">
        <v>2.809</v>
      </c>
      <c r="M2447" t="n">
        <v>0</v>
      </c>
      <c r="N2447" t="inlineStr">
        <is>
          <t>train</t>
        </is>
      </c>
      <c r="O2447">
        <f>HYPERLINK("3\0\marker_719_378865.png", "Ver Imagen")</f>
        <v/>
      </c>
      <c r="P2447">
        <f>HYPERLINK("SE\A-5059\A-5059__68.png", "Ver Imagen")</f>
        <v/>
      </c>
    </row>
    <row r="2448">
      <c r="A2448" t="n">
        <v>1926</v>
      </c>
      <c r="B2448" t="inlineStr">
        <is>
          <t>A-5059__64</t>
        </is>
      </c>
      <c r="C2448" t="n">
        <v>37.224104197</v>
      </c>
      <c r="D2448" t="n">
        <v>-7.05638250331</v>
      </c>
      <c r="E2448" t="n">
        <v>3</v>
      </c>
      <c r="F2448" t="n">
        <v>3</v>
      </c>
      <c r="G2448" t="n">
        <v>3</v>
      </c>
      <c r="J2448" t="inlineStr">
        <is>
          <t>Moda</t>
        </is>
      </c>
      <c r="K2448" t="n">
        <v>3</v>
      </c>
      <c r="L2448" t="n">
        <v>3.105</v>
      </c>
      <c r="M2448" t="n">
        <v>0</v>
      </c>
      <c r="N2448" t="inlineStr">
        <is>
          <t>train</t>
        </is>
      </c>
      <c r="O2448">
        <f>HYPERLINK("3\0\marker_897_378904.png", "Ver Imagen")</f>
        <v/>
      </c>
      <c r="P2448">
        <f>HYPERLINK("SE\A-5059\A-5059__64.png", "Ver Imagen")</f>
        <v/>
      </c>
    </row>
    <row r="2449">
      <c r="A2449" t="n">
        <v>1927</v>
      </c>
      <c r="B2449" t="inlineStr">
        <is>
          <t>A-5059__63</t>
        </is>
      </c>
      <c r="C2449" t="n">
        <v>37.2242912805</v>
      </c>
      <c r="D2449" t="n">
        <v>-7.05657743729</v>
      </c>
      <c r="E2449" t="n">
        <v>3</v>
      </c>
      <c r="F2449" t="n">
        <v>3</v>
      </c>
      <c r="G2449" t="n">
        <v>3</v>
      </c>
      <c r="J2449" t="inlineStr">
        <is>
          <t>Moda</t>
        </is>
      </c>
      <c r="K2449" t="n">
        <v>3</v>
      </c>
      <c r="L2449" t="n">
        <v>2.848</v>
      </c>
      <c r="M2449" t="n">
        <v>0</v>
      </c>
      <c r="N2449" t="inlineStr">
        <is>
          <t>train</t>
        </is>
      </c>
      <c r="O2449">
        <f>HYPERLINK("3\0\marker_665_378915.png", "Ver Imagen")</f>
        <v/>
      </c>
      <c r="P2449">
        <f>HYPERLINK("SE\A-5059\A-5059__63.png", "Ver Imagen")</f>
        <v/>
      </c>
    </row>
    <row r="2450">
      <c r="A2450" t="n">
        <v>1928</v>
      </c>
      <c r="B2450" t="inlineStr">
        <is>
          <t>A-495__130</t>
        </is>
      </c>
      <c r="C2450" t="n">
        <v>37.4351343296</v>
      </c>
      <c r="D2450" t="n">
        <v>-7.07052334919</v>
      </c>
      <c r="E2450" t="n">
        <v>3</v>
      </c>
      <c r="F2450" t="n">
        <v>3</v>
      </c>
      <c r="G2450" t="n">
        <v>3</v>
      </c>
      <c r="J2450" t="inlineStr">
        <is>
          <t>Moda</t>
        </is>
      </c>
      <c r="K2450" t="n">
        <v>3</v>
      </c>
      <c r="L2450" t="n">
        <v>2.725</v>
      </c>
      <c r="M2450" t="n">
        <v>0</v>
      </c>
      <c r="N2450" t="inlineStr">
        <is>
          <t>train</t>
        </is>
      </c>
      <c r="O2450">
        <f>HYPERLINK("3\0\marker_732_382477.png", "Ver Imagen")</f>
        <v/>
      </c>
      <c r="P2450">
        <f>HYPERLINK("NE\A-495\A-495__130.png", "Ver Imagen")</f>
        <v/>
      </c>
    </row>
    <row r="2451">
      <c r="A2451" t="n">
        <v>1929</v>
      </c>
      <c r="B2451" t="inlineStr">
        <is>
          <t>A-5059__40</t>
        </is>
      </c>
      <c r="C2451" t="n">
        <v>37.2273193656</v>
      </c>
      <c r="D2451" t="n">
        <v>-7.06087599626</v>
      </c>
      <c r="E2451" t="n">
        <v>3</v>
      </c>
      <c r="F2451" t="n">
        <v>3</v>
      </c>
      <c r="G2451" t="n">
        <v>3</v>
      </c>
      <c r="J2451" t="inlineStr">
        <is>
          <t>Moda</t>
        </is>
      </c>
      <c r="K2451" t="n">
        <v>3</v>
      </c>
      <c r="L2451" t="n">
        <v>2.983</v>
      </c>
      <c r="M2451" t="n">
        <v>0</v>
      </c>
      <c r="N2451" t="inlineStr">
        <is>
          <t>train</t>
        </is>
      </c>
      <c r="O2451">
        <f>HYPERLINK("3\0\marker_111_379295.png", "Ver Imagen")</f>
        <v/>
      </c>
      <c r="P2451">
        <f>HYPERLINK("SE\A-5059\A-5059__40.png", "Ver Imagen")</f>
        <v/>
      </c>
    </row>
    <row r="2452">
      <c r="A2452" t="n">
        <v>1930</v>
      </c>
      <c r="B2452" t="inlineStr">
        <is>
          <t>A-5059__38</t>
        </is>
      </c>
      <c r="C2452" t="n">
        <v>37.2276905762</v>
      </c>
      <c r="D2452" t="n">
        <v>-7.06105400585</v>
      </c>
      <c r="E2452" t="n">
        <v>3</v>
      </c>
      <c r="F2452" t="n">
        <v>3</v>
      </c>
      <c r="G2452" t="n">
        <v>3</v>
      </c>
      <c r="J2452" t="inlineStr">
        <is>
          <t>Moda</t>
        </is>
      </c>
      <c r="K2452" t="n">
        <v>3</v>
      </c>
      <c r="L2452" t="n">
        <v>3.119</v>
      </c>
      <c r="M2452" t="n">
        <v>0</v>
      </c>
      <c r="N2452" t="inlineStr">
        <is>
          <t>train</t>
        </is>
      </c>
      <c r="O2452">
        <f>HYPERLINK("3\0\marker_531_379313.png", "Ver Imagen")</f>
        <v/>
      </c>
      <c r="P2452">
        <f>HYPERLINK("SE\A-5059\A-5059__38.png", "Ver Imagen")</f>
        <v/>
      </c>
    </row>
    <row r="2453">
      <c r="A2453" t="n">
        <v>1931</v>
      </c>
      <c r="B2453" t="inlineStr">
        <is>
          <t>A-5059__30</t>
        </is>
      </c>
      <c r="C2453" t="n">
        <v>37.2289435764</v>
      </c>
      <c r="D2453" t="n">
        <v>-7.06233371648</v>
      </c>
      <c r="E2453" t="n">
        <v>3</v>
      </c>
      <c r="F2453" t="n">
        <v>3</v>
      </c>
      <c r="G2453" t="n">
        <v>3</v>
      </c>
      <c r="J2453" t="inlineStr">
        <is>
          <t>Moda</t>
        </is>
      </c>
      <c r="K2453" t="n">
        <v>3</v>
      </c>
      <c r="L2453" t="n">
        <v>3.044</v>
      </c>
      <c r="M2453" t="n">
        <v>0</v>
      </c>
      <c r="N2453" t="inlineStr">
        <is>
          <t>train</t>
        </is>
      </c>
      <c r="O2453">
        <f>HYPERLINK("3\0\marker_591_379404.png", "Ver Imagen")</f>
        <v/>
      </c>
      <c r="P2453">
        <f>HYPERLINK("SE\A-5059\A-5059__30.png", "Ver Imagen")</f>
        <v/>
      </c>
    </row>
    <row r="2454">
      <c r="A2454" t="n">
        <v>1932</v>
      </c>
      <c r="B2454" t="inlineStr">
        <is>
          <t>A-5059__27</t>
        </is>
      </c>
      <c r="C2454" t="n">
        <v>37.2293957544</v>
      </c>
      <c r="D2454" t="n">
        <v>-7.06283652309</v>
      </c>
      <c r="E2454" t="n">
        <v>3</v>
      </c>
      <c r="F2454" t="n">
        <v>3</v>
      </c>
      <c r="G2454" t="n">
        <v>3</v>
      </c>
      <c r="J2454" t="inlineStr">
        <is>
          <t>Moda</t>
        </is>
      </c>
      <c r="K2454" t="n">
        <v>3</v>
      </c>
      <c r="L2454" t="n">
        <v>2.674</v>
      </c>
      <c r="M2454" t="n">
        <v>0</v>
      </c>
      <c r="N2454" t="inlineStr">
        <is>
          <t>test</t>
        </is>
      </c>
      <c r="O2454">
        <f>HYPERLINK("3\0\marker_936_379430.png", "Ver Imagen")</f>
        <v/>
      </c>
      <c r="P2454">
        <f>HYPERLINK("SE\A-5059\A-5059__27.png", "Ver Imagen")</f>
        <v/>
      </c>
    </row>
    <row r="2455">
      <c r="A2455" t="n">
        <v>1933</v>
      </c>
      <c r="B2455" t="inlineStr">
        <is>
          <t>A-495__145</t>
        </is>
      </c>
      <c r="C2455" t="n">
        <v>37.4339208741</v>
      </c>
      <c r="D2455" t="n">
        <v>-7.06703204702</v>
      </c>
      <c r="E2455" t="n">
        <v>3</v>
      </c>
      <c r="F2455" t="n">
        <v>3</v>
      </c>
      <c r="G2455" t="n">
        <v>3</v>
      </c>
      <c r="J2455" t="inlineStr">
        <is>
          <t>Moda</t>
        </is>
      </c>
      <c r="K2455" t="n">
        <v>3</v>
      </c>
      <c r="L2455" t="n">
        <v>3.022</v>
      </c>
      <c r="M2455" t="n">
        <v>0</v>
      </c>
      <c r="N2455" t="inlineStr">
        <is>
          <t>train</t>
        </is>
      </c>
      <c r="O2455">
        <f>HYPERLINK("3\0\marker_157_382623.png", "Ver Imagen")</f>
        <v/>
      </c>
      <c r="P2455">
        <f>HYPERLINK("NE\A-495\A-495__145.png", "Ver Imagen")</f>
        <v/>
      </c>
    </row>
    <row r="2456">
      <c r="A2456" t="n">
        <v>1934</v>
      </c>
      <c r="B2456" t="inlineStr">
        <is>
          <t>A-5059__25</t>
        </is>
      </c>
      <c r="C2456" t="n">
        <v>37.2297273277</v>
      </c>
      <c r="D2456" t="n">
        <v>-7.06310085319</v>
      </c>
      <c r="E2456" t="n">
        <v>3</v>
      </c>
      <c r="F2456" t="n">
        <v>3</v>
      </c>
      <c r="G2456" t="n">
        <v>3</v>
      </c>
      <c r="J2456" t="inlineStr">
        <is>
          <t>Moda</t>
        </is>
      </c>
      <c r="K2456" t="n">
        <v>3</v>
      </c>
      <c r="L2456" t="n">
        <v>3.062</v>
      </c>
      <c r="M2456" t="n">
        <v>0</v>
      </c>
      <c r="N2456" t="inlineStr">
        <is>
          <t>train</t>
        </is>
      </c>
      <c r="O2456">
        <f>HYPERLINK("3\0\marker_850_379448.png", "Ver Imagen")</f>
        <v/>
      </c>
      <c r="P2456">
        <f>HYPERLINK("SE\A-5059\A-5059__25.png", "Ver Imagen")</f>
        <v/>
      </c>
    </row>
    <row r="2457">
      <c r="A2457" t="n">
        <v>1935</v>
      </c>
      <c r="B2457" t="inlineStr">
        <is>
          <t>A-5059__21</t>
        </is>
      </c>
      <c r="C2457" t="n">
        <v>37.2305063967</v>
      </c>
      <c r="D2457" t="n">
        <v>-7.06336732503</v>
      </c>
      <c r="E2457" t="n">
        <v>3</v>
      </c>
      <c r="F2457" t="n">
        <v>3</v>
      </c>
      <c r="G2457" t="n">
        <v>3</v>
      </c>
      <c r="J2457" t="inlineStr">
        <is>
          <t>Moda</t>
        </is>
      </c>
      <c r="K2457" t="n">
        <v>3</v>
      </c>
      <c r="L2457" t="n">
        <v>3.046</v>
      </c>
      <c r="M2457" t="n">
        <v>0</v>
      </c>
      <c r="N2457" t="inlineStr">
        <is>
          <t>test</t>
        </is>
      </c>
      <c r="O2457">
        <f>HYPERLINK("3\0\marker_405_379482.png", "Ver Imagen")</f>
        <v/>
      </c>
      <c r="P2457">
        <f>HYPERLINK("SE\A-5059\A-5059__21.png", "Ver Imagen")</f>
        <v/>
      </c>
    </row>
    <row r="2458">
      <c r="A2458" t="n">
        <v>1936</v>
      </c>
      <c r="B2458" t="inlineStr">
        <is>
          <t>A-5059__19</t>
        </is>
      </c>
      <c r="C2458" t="n">
        <v>37.230907637</v>
      </c>
      <c r="D2458" t="n">
        <v>-7.06343129462</v>
      </c>
      <c r="E2458" t="n">
        <v>3</v>
      </c>
      <c r="F2458" t="n">
        <v>3</v>
      </c>
      <c r="G2458" t="n">
        <v>3</v>
      </c>
      <c r="J2458" t="inlineStr">
        <is>
          <t>Moda</t>
        </is>
      </c>
      <c r="K2458" t="n">
        <v>3</v>
      </c>
      <c r="L2458" t="n">
        <v>2.851</v>
      </c>
      <c r="M2458" t="n">
        <v>0</v>
      </c>
      <c r="N2458" t="inlineStr">
        <is>
          <t>train</t>
        </is>
      </c>
      <c r="O2458">
        <f>HYPERLINK("3\0\marker_862_379500.png", "Ver Imagen")</f>
        <v/>
      </c>
      <c r="P2458">
        <f>HYPERLINK("SE\A-5059\A-5059__19.png", "Ver Imagen")</f>
        <v/>
      </c>
    </row>
    <row r="2459">
      <c r="A2459" t="n">
        <v>1937</v>
      </c>
      <c r="B2459" t="inlineStr">
        <is>
          <t>A-5059__18</t>
        </is>
      </c>
      <c r="C2459" t="n">
        <v>37.2311021354</v>
      </c>
      <c r="D2459" t="n">
        <v>-7.06348371032</v>
      </c>
      <c r="E2459" t="n">
        <v>3</v>
      </c>
      <c r="F2459" t="n">
        <v>3</v>
      </c>
      <c r="G2459" t="n">
        <v>3</v>
      </c>
      <c r="J2459" t="inlineStr">
        <is>
          <t>Moda</t>
        </is>
      </c>
      <c r="K2459" t="n">
        <v>3</v>
      </c>
      <c r="L2459" t="n">
        <v>2.762</v>
      </c>
      <c r="M2459" t="n">
        <v>0</v>
      </c>
      <c r="N2459" t="inlineStr">
        <is>
          <t>train</t>
        </is>
      </c>
      <c r="O2459">
        <f>HYPERLINK("3\0\marker_181_379509.png", "Ver Imagen")</f>
        <v/>
      </c>
      <c r="P2459">
        <f>HYPERLINK("SE\A-5059\A-5059__18.png", "Ver Imagen")</f>
        <v/>
      </c>
    </row>
    <row r="2460">
      <c r="A2460" t="n">
        <v>1939</v>
      </c>
      <c r="B2460" t="inlineStr">
        <is>
          <t>A-5059__13</t>
        </is>
      </c>
      <c r="C2460" t="n">
        <v>37.2319733564</v>
      </c>
      <c r="D2460" t="n">
        <v>-7.06409822483</v>
      </c>
      <c r="E2460" t="n">
        <v>3</v>
      </c>
      <c r="F2460" t="n">
        <v>3</v>
      </c>
      <c r="G2460" t="n">
        <v>3</v>
      </c>
      <c r="J2460" t="inlineStr">
        <is>
          <t>Moda</t>
        </is>
      </c>
      <c r="K2460" t="n">
        <v>3</v>
      </c>
      <c r="L2460" t="n">
        <v>3.016</v>
      </c>
      <c r="M2460" t="n">
        <v>0</v>
      </c>
      <c r="N2460" t="inlineStr">
        <is>
          <t>train</t>
        </is>
      </c>
      <c r="O2460">
        <f>HYPERLINK("3\0\marker_381_379554.png", "Ver Imagen")</f>
        <v/>
      </c>
      <c r="P2460">
        <f>HYPERLINK("SE\A-5059\A-5059__13.png", "Ver Imagen")</f>
        <v/>
      </c>
    </row>
    <row r="2461">
      <c r="A2461" t="n">
        <v>1940</v>
      </c>
      <c r="B2461" t="inlineStr">
        <is>
          <t>A-5059__7</t>
        </is>
      </c>
      <c r="C2461" t="n">
        <v>37.2327714546</v>
      </c>
      <c r="D2461" t="n">
        <v>-7.06530097214</v>
      </c>
      <c r="E2461" t="n">
        <v>3</v>
      </c>
      <c r="F2461" t="n">
        <v>3</v>
      </c>
      <c r="G2461" t="n">
        <v>3</v>
      </c>
      <c r="J2461" t="inlineStr">
        <is>
          <t>Moda</t>
        </is>
      </c>
      <c r="K2461" t="n">
        <v>3</v>
      </c>
      <c r="L2461" t="n">
        <v>2.988</v>
      </c>
      <c r="M2461" t="n">
        <v>0</v>
      </c>
      <c r="N2461" t="inlineStr">
        <is>
          <t>train</t>
        </is>
      </c>
      <c r="O2461">
        <f>HYPERLINK("3\0\marker_521_379608.png", "Ver Imagen")</f>
        <v/>
      </c>
      <c r="P2461">
        <f>HYPERLINK("SE\A-5059\A-5059__7.png", "Ver Imagen")</f>
        <v/>
      </c>
    </row>
    <row r="2462">
      <c r="A2462" t="n">
        <v>1941</v>
      </c>
      <c r="B2462" t="inlineStr">
        <is>
          <t>A-5059__6</t>
        </is>
      </c>
      <c r="C2462" t="n">
        <v>37.2328658031</v>
      </c>
      <c r="D2462" t="n">
        <v>-7.06546349646</v>
      </c>
      <c r="E2462" t="n">
        <v>3</v>
      </c>
      <c r="F2462" t="n">
        <v>3</v>
      </c>
      <c r="G2462" t="n">
        <v>3</v>
      </c>
      <c r="J2462" t="inlineStr">
        <is>
          <t>Moda</t>
        </is>
      </c>
      <c r="K2462" t="n">
        <v>3</v>
      </c>
      <c r="L2462" t="n">
        <v>2.951</v>
      </c>
      <c r="M2462" t="n">
        <v>0</v>
      </c>
      <c r="N2462" t="inlineStr">
        <is>
          <t>train</t>
        </is>
      </c>
      <c r="O2462">
        <f>HYPERLINK("3\0\marker_959_379616.png", "Ver Imagen")</f>
        <v/>
      </c>
      <c r="P2462">
        <f>HYPERLINK("SE\A-5059\A-5059__6.png", "Ver Imagen")</f>
        <v/>
      </c>
    </row>
    <row r="2463">
      <c r="A2463" t="n">
        <v>1942</v>
      </c>
      <c r="B2463" t="inlineStr">
        <is>
          <t>A-5059__3</t>
        </is>
      </c>
      <c r="C2463" t="n">
        <v>37.2332795251</v>
      </c>
      <c r="D2463" t="n">
        <v>-7.06600117682</v>
      </c>
      <c r="E2463" t="n">
        <v>3</v>
      </c>
      <c r="F2463" t="n">
        <v>3</v>
      </c>
      <c r="G2463" t="n">
        <v>3</v>
      </c>
      <c r="J2463" t="inlineStr">
        <is>
          <t>Moda</t>
        </is>
      </c>
      <c r="K2463" t="n">
        <v>3</v>
      </c>
      <c r="L2463" t="n">
        <v>2.887</v>
      </c>
      <c r="M2463" t="n">
        <v>0</v>
      </c>
      <c r="N2463" t="inlineStr">
        <is>
          <t>train</t>
        </is>
      </c>
      <c r="O2463">
        <f>HYPERLINK("3\0\marker_833_379646.png", "Ver Imagen")</f>
        <v/>
      </c>
      <c r="P2463">
        <f>HYPERLINK("SE\A-5059\A-5059__3.png", "Ver Imagen")</f>
        <v/>
      </c>
    </row>
    <row r="2464">
      <c r="A2464" t="n">
        <v>1943</v>
      </c>
      <c r="B2464" t="inlineStr">
        <is>
          <t>A-495__156</t>
        </is>
      </c>
      <c r="C2464" t="n">
        <v>37.4327836767</v>
      </c>
      <c r="D2464" t="n">
        <v>-7.06455355223</v>
      </c>
      <c r="E2464" t="n">
        <v>3</v>
      </c>
      <c r="F2464" t="n">
        <v>3</v>
      </c>
      <c r="G2464" t="n">
        <v>3</v>
      </c>
      <c r="J2464" t="inlineStr">
        <is>
          <t>Moda</t>
        </is>
      </c>
      <c r="K2464" t="n">
        <v>3</v>
      </c>
      <c r="L2464" t="n">
        <v>2.946</v>
      </c>
      <c r="M2464" t="n">
        <v>0</v>
      </c>
      <c r="N2464" t="inlineStr">
        <is>
          <t>train</t>
        </is>
      </c>
      <c r="O2464">
        <f>HYPERLINK("3\0\marker_862_382752.png", "Ver Imagen")</f>
        <v/>
      </c>
      <c r="P2464">
        <f>HYPERLINK("NE\A-495\A-495__156.png", "Ver Imagen")</f>
        <v/>
      </c>
    </row>
    <row r="2465">
      <c r="A2465" t="n">
        <v>1944</v>
      </c>
      <c r="B2465" t="inlineStr">
        <is>
          <t>A-495__157</t>
        </is>
      </c>
      <c r="C2465" t="n">
        <v>37.4327192128</v>
      </c>
      <c r="D2465" t="n">
        <v>-7.06441337006</v>
      </c>
      <c r="E2465" t="n">
        <v>3</v>
      </c>
      <c r="F2465" t="n">
        <v>3</v>
      </c>
      <c r="G2465" t="n">
        <v>3</v>
      </c>
      <c r="J2465" t="inlineStr">
        <is>
          <t>Moda</t>
        </is>
      </c>
      <c r="K2465" t="n">
        <v>3</v>
      </c>
      <c r="L2465" t="n">
        <v>2.874</v>
      </c>
      <c r="M2465" t="n">
        <v>0</v>
      </c>
      <c r="N2465" t="inlineStr">
        <is>
          <t>train</t>
        </is>
      </c>
      <c r="O2465">
        <f>HYPERLINK("3\0\marker_706_382763.png", "Ver Imagen")</f>
        <v/>
      </c>
      <c r="P2465">
        <f>HYPERLINK("NE\A-495\A-495__157.png", "Ver Imagen")</f>
        <v/>
      </c>
    </row>
    <row r="2466">
      <c r="A2466" t="n">
        <v>1945</v>
      </c>
      <c r="B2466" t="inlineStr">
        <is>
          <t>A-5058__9</t>
        </is>
      </c>
      <c r="C2466" t="n">
        <v>37.2253422244</v>
      </c>
      <c r="D2466" t="n">
        <v>-7.02954531501</v>
      </c>
      <c r="E2466" t="n">
        <v>3</v>
      </c>
      <c r="F2466" t="n">
        <v>3</v>
      </c>
      <c r="G2466" t="n">
        <v>3</v>
      </c>
      <c r="J2466" t="inlineStr">
        <is>
          <t>Moda</t>
        </is>
      </c>
      <c r="K2466" t="n">
        <v>3</v>
      </c>
      <c r="L2466" t="n">
        <v>2.947</v>
      </c>
      <c r="M2466" t="n">
        <v>0</v>
      </c>
      <c r="N2466" t="inlineStr">
        <is>
          <t>train</t>
        </is>
      </c>
      <c r="O2466">
        <f>HYPERLINK("3\0\marker_190_379899.png", "Ver Imagen")</f>
        <v/>
      </c>
      <c r="P2466">
        <f>HYPERLINK("SE\A-5058\A-5058__9.png", "Ver Imagen")</f>
        <v/>
      </c>
    </row>
    <row r="2467">
      <c r="A2467" t="n">
        <v>1946</v>
      </c>
      <c r="B2467" t="inlineStr">
        <is>
          <t>A-5058__11</t>
        </is>
      </c>
      <c r="C2467" t="n">
        <v>37.2253513223</v>
      </c>
      <c r="D2467" t="n">
        <v>-7.03005020407</v>
      </c>
      <c r="E2467" t="n">
        <v>3</v>
      </c>
      <c r="F2467" t="n">
        <v>3</v>
      </c>
      <c r="G2467" t="n">
        <v>3</v>
      </c>
      <c r="J2467" t="inlineStr">
        <is>
          <t>Moda</t>
        </is>
      </c>
      <c r="K2467" t="n">
        <v>3</v>
      </c>
      <c r="L2467" t="n">
        <v>2.569</v>
      </c>
      <c r="M2467" t="n">
        <v>0</v>
      </c>
      <c r="N2467" t="inlineStr">
        <is>
          <t>train</t>
        </is>
      </c>
      <c r="O2467">
        <f>HYPERLINK("3\0\marker_523_379917.png", "Ver Imagen")</f>
        <v/>
      </c>
      <c r="P2467">
        <f>HYPERLINK("SE\A-5058\A-5058__11.png", "Ver Imagen")</f>
        <v/>
      </c>
    </row>
    <row r="2468">
      <c r="A2468" t="n">
        <v>1947</v>
      </c>
      <c r="B2468" t="inlineStr">
        <is>
          <t>A-5058__12</t>
        </is>
      </c>
      <c r="C2468" t="n">
        <v>37.2253482661</v>
      </c>
      <c r="D2468" t="n">
        <v>-7.03028494564</v>
      </c>
      <c r="E2468" t="n">
        <v>3</v>
      </c>
      <c r="F2468" t="n">
        <v>3</v>
      </c>
      <c r="G2468" t="n">
        <v>3</v>
      </c>
      <c r="J2468" t="inlineStr">
        <is>
          <t>Moda</t>
        </is>
      </c>
      <c r="K2468" t="n">
        <v>3</v>
      </c>
      <c r="L2468" t="n">
        <v>2.98</v>
      </c>
      <c r="M2468" t="n">
        <v>0</v>
      </c>
      <c r="N2468" t="inlineStr">
        <is>
          <t>train</t>
        </is>
      </c>
      <c r="O2468">
        <f>HYPERLINK("3\0\marker_518_379927.png", "Ver Imagen")</f>
        <v/>
      </c>
      <c r="P2468">
        <f>HYPERLINK("SE\A-5058\A-5058__12.png", "Ver Imagen")</f>
        <v/>
      </c>
    </row>
    <row r="2469">
      <c r="A2469" t="n">
        <v>1948</v>
      </c>
      <c r="B2469" t="inlineStr">
        <is>
          <t>A-5058__16</t>
        </is>
      </c>
      <c r="C2469" t="n">
        <v>37.2252790461</v>
      </c>
      <c r="D2469" t="n">
        <v>-7.0313062225</v>
      </c>
      <c r="E2469" t="n">
        <v>3</v>
      </c>
      <c r="F2469" t="n">
        <v>3</v>
      </c>
      <c r="G2469" t="n">
        <v>3</v>
      </c>
      <c r="J2469" t="inlineStr">
        <is>
          <t>Moda</t>
        </is>
      </c>
      <c r="K2469" t="n">
        <v>3</v>
      </c>
      <c r="L2469" t="n">
        <v>2.865</v>
      </c>
      <c r="M2469" t="n">
        <v>0</v>
      </c>
      <c r="N2469" t="inlineStr">
        <is>
          <t>train</t>
        </is>
      </c>
      <c r="O2469">
        <f>HYPERLINK("3\0\marker_762_380001.png", "Ver Imagen")</f>
        <v/>
      </c>
      <c r="P2469">
        <f>HYPERLINK("SE\A-5058\A-5058__16.png", "Ver Imagen")</f>
        <v/>
      </c>
    </row>
    <row r="2470">
      <c r="A2470" t="n">
        <v>1949</v>
      </c>
      <c r="B2470" t="inlineStr">
        <is>
          <t>A-5058__19</t>
        </is>
      </c>
      <c r="C2470" t="n">
        <v>37.2252126914</v>
      </c>
      <c r="D2470" t="n">
        <v>-7.03206970073</v>
      </c>
      <c r="E2470" t="n">
        <v>3</v>
      </c>
      <c r="F2470" t="n">
        <v>3</v>
      </c>
      <c r="G2470" t="n">
        <v>3</v>
      </c>
      <c r="J2470" t="inlineStr">
        <is>
          <t>Moda</t>
        </is>
      </c>
      <c r="K2470" t="n">
        <v>3</v>
      </c>
      <c r="L2470" t="n">
        <v>2.971</v>
      </c>
      <c r="M2470" t="n">
        <v>0</v>
      </c>
      <c r="N2470" t="inlineStr">
        <is>
          <t>train</t>
        </is>
      </c>
      <c r="O2470">
        <f>HYPERLINK("3\0\marker_576_380048.png", "Ver Imagen")</f>
        <v/>
      </c>
      <c r="P2470">
        <f>HYPERLINK("SE\A-5058\A-5058__19.png", "Ver Imagen")</f>
        <v/>
      </c>
    </row>
    <row r="2471">
      <c r="A2471" t="n">
        <v>1950</v>
      </c>
      <c r="B2471" t="inlineStr">
        <is>
          <t>A-5058__20</t>
        </is>
      </c>
      <c r="C2471" t="n">
        <v>37.225187366</v>
      </c>
      <c r="D2471" t="n">
        <v>-7.03230153066</v>
      </c>
      <c r="E2471" t="n">
        <v>3</v>
      </c>
      <c r="F2471" t="n">
        <v>3</v>
      </c>
      <c r="G2471" t="n">
        <v>3</v>
      </c>
      <c r="J2471" t="inlineStr">
        <is>
          <t>Moda</t>
        </is>
      </c>
      <c r="K2471" t="n">
        <v>3</v>
      </c>
      <c r="L2471" t="n">
        <v>2.942</v>
      </c>
      <c r="M2471" t="n">
        <v>0</v>
      </c>
      <c r="N2471" t="inlineStr">
        <is>
          <t>train</t>
        </is>
      </c>
      <c r="O2471">
        <f>HYPERLINK("3\0\marker_381_380056.png", "Ver Imagen")</f>
        <v/>
      </c>
      <c r="P2471">
        <f>HYPERLINK("SE\A-5058\A-5058__20.png", "Ver Imagen")</f>
        <v/>
      </c>
    </row>
    <row r="2472">
      <c r="A2472" t="n">
        <v>1951</v>
      </c>
      <c r="B2472" t="inlineStr">
        <is>
          <t>A-5058__21</t>
        </is>
      </c>
      <c r="C2472" t="n">
        <v>37.2251498117</v>
      </c>
      <c r="D2472" t="n">
        <v>-7.03256114035</v>
      </c>
      <c r="E2472" t="n">
        <v>3</v>
      </c>
      <c r="F2472" t="n">
        <v>3</v>
      </c>
      <c r="G2472" t="n">
        <v>3</v>
      </c>
      <c r="J2472" t="inlineStr">
        <is>
          <t>Moda</t>
        </is>
      </c>
      <c r="K2472" t="n">
        <v>3</v>
      </c>
      <c r="L2472" t="n">
        <v>2.66</v>
      </c>
      <c r="M2472" t="n">
        <v>0</v>
      </c>
      <c r="N2472" t="inlineStr">
        <is>
          <t>train</t>
        </is>
      </c>
      <c r="O2472">
        <f>HYPERLINK("3\0\marker_207_380082.png", "Ver Imagen")</f>
        <v/>
      </c>
      <c r="P2472">
        <f>HYPERLINK("SE\A-5058\A-5058__21.png", "Ver Imagen")</f>
        <v/>
      </c>
    </row>
    <row r="2473">
      <c r="A2473" t="n">
        <v>1952</v>
      </c>
      <c r="B2473" t="inlineStr">
        <is>
          <t>A-5058__23</t>
        </is>
      </c>
      <c r="C2473" t="n">
        <v>37.225037896</v>
      </c>
      <c r="D2473" t="n">
        <v>-7.03306933498</v>
      </c>
      <c r="E2473" t="n">
        <v>3</v>
      </c>
      <c r="F2473" t="n">
        <v>3</v>
      </c>
      <c r="G2473" t="n">
        <v>3</v>
      </c>
      <c r="J2473" t="inlineStr">
        <is>
          <t>Moda</t>
        </is>
      </c>
      <c r="K2473" t="n">
        <v>3</v>
      </c>
      <c r="L2473" t="n">
        <v>3.128</v>
      </c>
      <c r="M2473" t="n">
        <v>0</v>
      </c>
      <c r="N2473" t="inlineStr">
        <is>
          <t>train</t>
        </is>
      </c>
      <c r="O2473">
        <f>HYPERLINK("3\0\marker_268_380107.png", "Ver Imagen")</f>
        <v/>
      </c>
      <c r="P2473">
        <f>HYPERLINK("SE\A-5058\A-5058__23.png", "Ver Imagen")</f>
        <v/>
      </c>
    </row>
    <row r="2474">
      <c r="A2474" t="n">
        <v>1954</v>
      </c>
      <c r="B2474" t="inlineStr">
        <is>
          <t>A-5058__30</t>
        </is>
      </c>
      <c r="C2474" t="n">
        <v>37.2245641575</v>
      </c>
      <c r="D2474" t="n">
        <v>-7.03468739787</v>
      </c>
      <c r="E2474" t="n">
        <v>3</v>
      </c>
      <c r="F2474" t="n">
        <v>3</v>
      </c>
      <c r="G2474" t="n">
        <v>3</v>
      </c>
      <c r="J2474" t="inlineStr">
        <is>
          <t>Moda</t>
        </is>
      </c>
      <c r="K2474" t="n">
        <v>3</v>
      </c>
      <c r="L2474" t="n">
        <v>2.798</v>
      </c>
      <c r="M2474" t="n">
        <v>0</v>
      </c>
      <c r="N2474" t="inlineStr">
        <is>
          <t>train</t>
        </is>
      </c>
      <c r="O2474">
        <f>HYPERLINK("3\0\marker_916_380191.png", "Ver Imagen")</f>
        <v/>
      </c>
      <c r="P2474">
        <f>HYPERLINK("SE\A-5058\A-5058__30.png", "Ver Imagen")</f>
        <v/>
      </c>
    </row>
    <row r="2475">
      <c r="A2475" t="n">
        <v>1955</v>
      </c>
      <c r="B2475" t="inlineStr">
        <is>
          <t>A-495__167</t>
        </is>
      </c>
      <c r="C2475" t="n">
        <v>37.4316966268</v>
      </c>
      <c r="D2475" t="n">
        <v>-7.06219628807</v>
      </c>
      <c r="E2475" t="n">
        <v>3</v>
      </c>
      <c r="F2475" t="n">
        <v>3</v>
      </c>
      <c r="G2475" t="n">
        <v>3</v>
      </c>
      <c r="J2475" t="inlineStr">
        <is>
          <t>Moda</t>
        </is>
      </c>
      <c r="K2475" t="n">
        <v>3</v>
      </c>
      <c r="L2475" t="n">
        <v>3.201</v>
      </c>
      <c r="M2475" t="n">
        <v>0</v>
      </c>
      <c r="N2475" t="inlineStr">
        <is>
          <t>train</t>
        </is>
      </c>
      <c r="O2475">
        <f>HYPERLINK("3\0\marker_855_382883.png", "Ver Imagen")</f>
        <v/>
      </c>
      <c r="P2475">
        <f>HYPERLINK("NE\A-495\A-495__167.png", "Ver Imagen")</f>
        <v/>
      </c>
    </row>
    <row r="2476">
      <c r="A2476" t="n">
        <v>1956</v>
      </c>
      <c r="B2476" t="inlineStr">
        <is>
          <t>A-5058__36</t>
        </is>
      </c>
      <c r="C2476" t="n">
        <v>37.2245582557</v>
      </c>
      <c r="D2476" t="n">
        <v>-7.03596621125</v>
      </c>
      <c r="E2476" t="n">
        <v>3</v>
      </c>
      <c r="F2476" t="n">
        <v>3</v>
      </c>
      <c r="G2476" t="n">
        <v>3</v>
      </c>
      <c r="J2476" t="inlineStr">
        <is>
          <t>Moda</t>
        </is>
      </c>
      <c r="K2476" t="n">
        <v>3</v>
      </c>
      <c r="L2476" t="n">
        <v>2.847</v>
      </c>
      <c r="M2476" t="n">
        <v>0</v>
      </c>
      <c r="N2476" t="inlineStr">
        <is>
          <t>train</t>
        </is>
      </c>
      <c r="O2476">
        <f>HYPERLINK("3\0\marker_453_380254.png", "Ver Imagen")</f>
        <v/>
      </c>
      <c r="P2476">
        <f>HYPERLINK("SE\A-5058\A-5058__36.png", "Ver Imagen")</f>
        <v/>
      </c>
    </row>
    <row r="2477">
      <c r="A2477" t="n">
        <v>1957</v>
      </c>
      <c r="B2477" t="inlineStr">
        <is>
          <t>A-5058__41</t>
        </is>
      </c>
      <c r="C2477" t="n">
        <v>37.2246116763</v>
      </c>
      <c r="D2477" t="n">
        <v>-7.0372407291</v>
      </c>
      <c r="E2477" t="n">
        <v>3</v>
      </c>
      <c r="F2477" t="n">
        <v>3</v>
      </c>
      <c r="G2477" t="n">
        <v>3</v>
      </c>
      <c r="J2477" t="inlineStr">
        <is>
          <t>Moda</t>
        </is>
      </c>
      <c r="K2477" t="n">
        <v>3</v>
      </c>
      <c r="L2477" t="n">
        <v>3.037</v>
      </c>
      <c r="M2477" t="n">
        <v>0</v>
      </c>
      <c r="N2477" t="inlineStr">
        <is>
          <t>train</t>
        </is>
      </c>
      <c r="O2477">
        <f>HYPERLINK("3\0\marker_267_380312.png", "Ver Imagen")</f>
        <v/>
      </c>
      <c r="P2477">
        <f>HYPERLINK("SE\A-5058\A-5058__41.png", "Ver Imagen")</f>
        <v/>
      </c>
    </row>
    <row r="2478">
      <c r="A2478" t="n">
        <v>1959</v>
      </c>
      <c r="B2478" t="inlineStr">
        <is>
          <t>A-5058__73</t>
        </is>
      </c>
      <c r="C2478" t="n">
        <v>37.2269331457</v>
      </c>
      <c r="D2478" t="n">
        <v>-7.04464648677</v>
      </c>
      <c r="E2478" t="n">
        <v>3</v>
      </c>
      <c r="F2478" t="n">
        <v>3</v>
      </c>
      <c r="G2478" t="n">
        <v>3</v>
      </c>
      <c r="J2478" t="inlineStr">
        <is>
          <t>Moda</t>
        </is>
      </c>
      <c r="K2478" t="n">
        <v>3</v>
      </c>
      <c r="L2478" t="n">
        <v>2.618</v>
      </c>
      <c r="M2478" t="n">
        <v>0</v>
      </c>
      <c r="N2478" t="inlineStr">
        <is>
          <t>val</t>
        </is>
      </c>
      <c r="O2478">
        <f>HYPERLINK("3\0\marker_447_380784.png", "Ver Imagen")</f>
        <v/>
      </c>
      <c r="P2478">
        <f>HYPERLINK("SE\A-5058\A-5058__73.png", "Ver Imagen")</f>
        <v/>
      </c>
    </row>
    <row r="2479">
      <c r="A2479" t="n">
        <v>1961</v>
      </c>
      <c r="B2479" t="inlineStr">
        <is>
          <t>A-5058__81</t>
        </is>
      </c>
      <c r="C2479" t="n">
        <v>37.2282149138</v>
      </c>
      <c r="D2479" t="n">
        <v>-7.04595352479</v>
      </c>
      <c r="E2479" t="n">
        <v>3</v>
      </c>
      <c r="F2479" t="n">
        <v>3</v>
      </c>
      <c r="G2479" t="n">
        <v>3</v>
      </c>
      <c r="J2479" t="inlineStr">
        <is>
          <t>Moda</t>
        </is>
      </c>
      <c r="K2479" t="n">
        <v>3</v>
      </c>
      <c r="L2479" t="n">
        <v>2.935</v>
      </c>
      <c r="M2479" t="n">
        <v>0</v>
      </c>
      <c r="N2479" t="inlineStr">
        <is>
          <t>train</t>
        </is>
      </c>
      <c r="O2479">
        <f>HYPERLINK("3\0\marker_320_380872.png", "Ver Imagen")</f>
        <v/>
      </c>
      <c r="P2479">
        <f>HYPERLINK("SE\A-5058\A-5058__81.png", "Ver Imagen")</f>
        <v/>
      </c>
    </row>
    <row r="2480">
      <c r="A2480" t="n">
        <v>1962</v>
      </c>
      <c r="B2480" t="inlineStr">
        <is>
          <t>A-5058__102</t>
        </is>
      </c>
      <c r="C2480" t="n">
        <v>37.2308231911</v>
      </c>
      <c r="D2480" t="n">
        <v>-7.05009884421</v>
      </c>
      <c r="E2480" t="n">
        <v>3</v>
      </c>
      <c r="F2480" t="n">
        <v>3</v>
      </c>
      <c r="G2480" t="n">
        <v>3</v>
      </c>
      <c r="J2480" t="inlineStr">
        <is>
          <t>Moda</t>
        </is>
      </c>
      <c r="K2480" t="n">
        <v>3</v>
      </c>
      <c r="L2480" t="n">
        <v>2.773</v>
      </c>
      <c r="M2480" t="n">
        <v>0</v>
      </c>
      <c r="N2480" t="inlineStr">
        <is>
          <t>train</t>
        </is>
      </c>
      <c r="O2480">
        <f>HYPERLINK("3\0\marker_302_381139.png", "Ver Imagen")</f>
        <v/>
      </c>
      <c r="P2480">
        <f>HYPERLINK("SE\A-5058\A-5058__102.png", "Ver Imagen")</f>
        <v/>
      </c>
    </row>
    <row r="2481">
      <c r="A2481" t="n">
        <v>1963</v>
      </c>
      <c r="B2481" t="inlineStr">
        <is>
          <t>A-5058__103</t>
        </is>
      </c>
      <c r="C2481" t="n">
        <v>37.2309401623</v>
      </c>
      <c r="D2481" t="n">
        <v>-7.05030924039</v>
      </c>
      <c r="E2481" t="n">
        <v>3</v>
      </c>
      <c r="F2481" t="n">
        <v>3</v>
      </c>
      <c r="G2481" t="n">
        <v>3</v>
      </c>
      <c r="J2481" t="inlineStr">
        <is>
          <t>Moda</t>
        </is>
      </c>
      <c r="K2481" t="n">
        <v>3</v>
      </c>
      <c r="L2481" t="n">
        <v>2.736</v>
      </c>
      <c r="M2481" t="n">
        <v>0</v>
      </c>
      <c r="N2481" t="inlineStr">
        <is>
          <t>train</t>
        </is>
      </c>
      <c r="O2481">
        <f>HYPERLINK("3\0\marker_350_381152.png", "Ver Imagen")</f>
        <v/>
      </c>
      <c r="P2481">
        <f>HYPERLINK("SE\A-5058\A-5058__103.png", "Ver Imagen")</f>
        <v/>
      </c>
    </row>
    <row r="2482">
      <c r="A2482" t="n">
        <v>1964</v>
      </c>
      <c r="B2482" t="inlineStr">
        <is>
          <t>A-5058__111</t>
        </is>
      </c>
      <c r="C2482" t="n">
        <v>37.2318453375</v>
      </c>
      <c r="D2482" t="n">
        <v>-7.05200667346</v>
      </c>
      <c r="E2482" t="n">
        <v>3</v>
      </c>
      <c r="F2482" t="n">
        <v>3</v>
      </c>
      <c r="G2482" t="n">
        <v>3</v>
      </c>
      <c r="J2482" t="inlineStr">
        <is>
          <t>Moda</t>
        </is>
      </c>
      <c r="K2482" t="n">
        <v>3</v>
      </c>
      <c r="L2482" t="n">
        <v>2.752</v>
      </c>
      <c r="M2482" t="n">
        <v>0</v>
      </c>
      <c r="N2482" t="inlineStr">
        <is>
          <t>val</t>
        </is>
      </c>
      <c r="O2482">
        <f>HYPERLINK("3\0\marker_686_381249.png", "Ver Imagen")</f>
        <v/>
      </c>
      <c r="P2482">
        <f>HYPERLINK("SE\A-5058\A-5058__111.png", "Ver Imagen")</f>
        <v/>
      </c>
    </row>
    <row r="2483">
      <c r="A2483" t="n">
        <v>1965</v>
      </c>
      <c r="B2483" t="inlineStr">
        <is>
          <t>A-5058__118</t>
        </is>
      </c>
      <c r="C2483" t="n">
        <v>37.2326332982</v>
      </c>
      <c r="D2483" t="n">
        <v>-7.05348542816</v>
      </c>
      <c r="E2483" t="n">
        <v>3</v>
      </c>
      <c r="F2483" t="n">
        <v>3</v>
      </c>
      <c r="G2483" t="n">
        <v>3</v>
      </c>
      <c r="J2483" t="inlineStr">
        <is>
          <t>Moda</t>
        </is>
      </c>
      <c r="K2483" t="n">
        <v>3</v>
      </c>
      <c r="L2483" t="n">
        <v>2.926</v>
      </c>
      <c r="M2483" t="n">
        <v>0</v>
      </c>
      <c r="N2483" t="inlineStr">
        <is>
          <t>train</t>
        </is>
      </c>
      <c r="O2483">
        <f>HYPERLINK("3\0\marker_937_381324.png", "Ver Imagen")</f>
        <v/>
      </c>
      <c r="P2483">
        <f>HYPERLINK("SE\A-5058\A-5058__118.png", "Ver Imagen")</f>
        <v/>
      </c>
    </row>
    <row r="2484">
      <c r="A2484" t="n">
        <v>1967</v>
      </c>
      <c r="B2484" t="inlineStr">
        <is>
          <t>A-5058__141</t>
        </is>
      </c>
      <c r="C2484" t="n">
        <v>37.2341199229</v>
      </c>
      <c r="D2484" t="n">
        <v>-7.05900984446</v>
      </c>
      <c r="E2484" t="n">
        <v>3</v>
      </c>
      <c r="F2484" t="n">
        <v>3</v>
      </c>
      <c r="G2484" t="n">
        <v>3</v>
      </c>
      <c r="J2484" t="inlineStr">
        <is>
          <t>Moda</t>
        </is>
      </c>
      <c r="K2484" t="n">
        <v>3</v>
      </c>
      <c r="L2484" t="n">
        <v>2.966</v>
      </c>
      <c r="M2484" t="n">
        <v>0</v>
      </c>
      <c r="N2484" t="inlineStr">
        <is>
          <t>train</t>
        </is>
      </c>
      <c r="O2484">
        <f>HYPERLINK("3\0\marker_490_381597.png", "Ver Imagen")</f>
        <v/>
      </c>
      <c r="P2484">
        <f>HYPERLINK("SE\A-5058\A-5058__141.png", "Ver Imagen")</f>
        <v/>
      </c>
    </row>
    <row r="2485">
      <c r="A2485" t="n">
        <v>1968</v>
      </c>
      <c r="B2485" t="inlineStr">
        <is>
          <t>A-5058__145</t>
        </is>
      </c>
      <c r="C2485" t="n">
        <v>37.2341338302</v>
      </c>
      <c r="D2485" t="n">
        <v>-7.05999058037</v>
      </c>
      <c r="E2485" t="n">
        <v>3</v>
      </c>
      <c r="F2485" t="n">
        <v>3</v>
      </c>
      <c r="G2485" t="n">
        <v>3</v>
      </c>
      <c r="J2485" t="inlineStr">
        <is>
          <t>Moda</t>
        </is>
      </c>
      <c r="K2485" t="n">
        <v>3</v>
      </c>
      <c r="L2485" t="n">
        <v>2.925</v>
      </c>
      <c r="M2485" t="n">
        <v>0</v>
      </c>
      <c r="N2485" t="inlineStr">
        <is>
          <t>train</t>
        </is>
      </c>
      <c r="O2485">
        <f>HYPERLINK("3\0\marker_940_381641.png", "Ver Imagen")</f>
        <v/>
      </c>
      <c r="P2485">
        <f>HYPERLINK("SE\A-5058\A-5058__145.png", "Ver Imagen")</f>
        <v/>
      </c>
    </row>
    <row r="2486">
      <c r="A2486" t="n">
        <v>1969</v>
      </c>
      <c r="B2486" t="inlineStr">
        <is>
          <t>A-5058__149</t>
        </is>
      </c>
      <c r="C2486" t="n">
        <v>37.2341195436</v>
      </c>
      <c r="D2486" t="n">
        <v>-7.06104765236</v>
      </c>
      <c r="E2486" t="n">
        <v>3</v>
      </c>
      <c r="F2486" t="n">
        <v>3</v>
      </c>
      <c r="G2486" t="n">
        <v>3</v>
      </c>
      <c r="J2486" t="inlineStr">
        <is>
          <t>Moda</t>
        </is>
      </c>
      <c r="K2486" t="n">
        <v>3</v>
      </c>
      <c r="L2486" t="n">
        <v>3.335</v>
      </c>
      <c r="M2486" t="n">
        <v>0</v>
      </c>
      <c r="N2486" t="inlineStr">
        <is>
          <t>train</t>
        </is>
      </c>
      <c r="O2486">
        <f>HYPERLINK("3\0\marker_592_381691.png", "Ver Imagen")</f>
        <v/>
      </c>
      <c r="P2486">
        <f>HYPERLINK("SE\A-5058\A-5058__149.png", "Ver Imagen")</f>
        <v/>
      </c>
    </row>
    <row r="2487">
      <c r="A2487" t="n">
        <v>1970</v>
      </c>
      <c r="B2487" t="inlineStr">
        <is>
          <t>A-5058__151</t>
        </is>
      </c>
      <c r="C2487" t="n">
        <v>37.234108371</v>
      </c>
      <c r="D2487" t="n">
        <v>-7.06149466344</v>
      </c>
      <c r="E2487" t="n">
        <v>3</v>
      </c>
      <c r="F2487" t="n">
        <v>3</v>
      </c>
      <c r="G2487" t="n">
        <v>3</v>
      </c>
      <c r="J2487" t="inlineStr">
        <is>
          <t>Moda</t>
        </is>
      </c>
      <c r="K2487" t="n">
        <v>3</v>
      </c>
      <c r="L2487" t="n">
        <v>3.365</v>
      </c>
      <c r="M2487" t="n">
        <v>0</v>
      </c>
      <c r="N2487" t="inlineStr">
        <is>
          <t>train</t>
        </is>
      </c>
      <c r="O2487">
        <f>HYPERLINK("3\0\marker_984_381718.png", "Ver Imagen")</f>
        <v/>
      </c>
      <c r="P2487">
        <f>HYPERLINK("SE\A-5058\A-5058__151.png", "Ver Imagen")</f>
        <v/>
      </c>
    </row>
    <row r="2488">
      <c r="A2488" t="n">
        <v>1971</v>
      </c>
      <c r="B2488" t="inlineStr">
        <is>
          <t>A-5058__152</t>
        </is>
      </c>
      <c r="C2488" t="n">
        <v>37.2340977651</v>
      </c>
      <c r="D2488" t="n">
        <v>-7.06177771455</v>
      </c>
      <c r="E2488" t="n">
        <v>3</v>
      </c>
      <c r="F2488" t="n">
        <v>3</v>
      </c>
      <c r="G2488" t="n">
        <v>3</v>
      </c>
      <c r="J2488" t="inlineStr">
        <is>
          <t>Moda</t>
        </is>
      </c>
      <c r="K2488" t="n">
        <v>3</v>
      </c>
      <c r="L2488" t="n">
        <v>3.09</v>
      </c>
      <c r="M2488" t="n">
        <v>0</v>
      </c>
      <c r="N2488" t="inlineStr">
        <is>
          <t>train</t>
        </is>
      </c>
      <c r="O2488">
        <f>HYPERLINK("3\0\marker_515_381731.png", "Ver Imagen")</f>
        <v/>
      </c>
      <c r="P2488">
        <f>HYPERLINK("SE\A-5058\A-5058__152.png", "Ver Imagen")</f>
        <v/>
      </c>
    </row>
    <row r="2489">
      <c r="A2489" t="n">
        <v>1972</v>
      </c>
      <c r="B2489" t="inlineStr">
        <is>
          <t>A-5058__154</t>
        </is>
      </c>
      <c r="C2489" t="n">
        <v>37.2340819431</v>
      </c>
      <c r="D2489" t="n">
        <v>-7.06227538628</v>
      </c>
      <c r="E2489" t="n">
        <v>3</v>
      </c>
      <c r="F2489" t="n">
        <v>3</v>
      </c>
      <c r="G2489" t="n">
        <v>3</v>
      </c>
      <c r="J2489" t="inlineStr">
        <is>
          <t>Moda</t>
        </is>
      </c>
      <c r="K2489" t="n">
        <v>3</v>
      </c>
      <c r="L2489" t="n">
        <v>2.815</v>
      </c>
      <c r="M2489" t="n">
        <v>0</v>
      </c>
      <c r="N2489" t="inlineStr">
        <is>
          <t>train</t>
        </is>
      </c>
      <c r="O2489">
        <f>HYPERLINK("3\0\marker_753_381750.png", "Ver Imagen")</f>
        <v/>
      </c>
      <c r="P2489">
        <f>HYPERLINK("SE\A-5058\A-5058__154.png", "Ver Imagen")</f>
        <v/>
      </c>
    </row>
    <row r="2490">
      <c r="A2490" t="n">
        <v>1973</v>
      </c>
      <c r="B2490" t="inlineStr">
        <is>
          <t>A-5058__157</t>
        </is>
      </c>
      <c r="C2490" t="n">
        <v>37.2340616137</v>
      </c>
      <c r="D2490" t="n">
        <v>-7.06304536867</v>
      </c>
      <c r="E2490" t="n">
        <v>3</v>
      </c>
      <c r="F2490" t="n">
        <v>3</v>
      </c>
      <c r="G2490" t="n">
        <v>3</v>
      </c>
      <c r="J2490" t="inlineStr">
        <is>
          <t>Moda</t>
        </is>
      </c>
      <c r="K2490" t="n">
        <v>3</v>
      </c>
      <c r="L2490" t="n">
        <v>2.919</v>
      </c>
      <c r="M2490" t="n">
        <v>0</v>
      </c>
      <c r="N2490" t="inlineStr">
        <is>
          <t>train</t>
        </is>
      </c>
      <c r="O2490">
        <f>HYPERLINK("3\0\marker_896_381776.png", "Ver Imagen")</f>
        <v/>
      </c>
      <c r="P2490">
        <f>HYPERLINK("SE\A-5058\A-5058__157.png", "Ver Imagen")</f>
        <v/>
      </c>
    </row>
    <row r="2491">
      <c r="A2491" t="n">
        <v>1974</v>
      </c>
      <c r="B2491" t="inlineStr">
        <is>
          <t>A-5058__158</t>
        </is>
      </c>
      <c r="C2491" t="n">
        <v>37.234053375</v>
      </c>
      <c r="D2491" t="n">
        <v>-7.06330480056</v>
      </c>
      <c r="E2491" t="n">
        <v>3</v>
      </c>
      <c r="F2491" t="n">
        <v>3</v>
      </c>
      <c r="G2491" t="n">
        <v>3</v>
      </c>
      <c r="J2491" t="inlineStr">
        <is>
          <t>Moda</t>
        </is>
      </c>
      <c r="K2491" t="n">
        <v>3</v>
      </c>
      <c r="L2491" t="n">
        <v>3.115</v>
      </c>
      <c r="M2491" t="n">
        <v>0</v>
      </c>
      <c r="N2491" t="inlineStr">
        <is>
          <t>train</t>
        </is>
      </c>
      <c r="O2491">
        <f>HYPERLINK("3\0\marker_858_381802.png", "Ver Imagen")</f>
        <v/>
      </c>
      <c r="P2491">
        <f>HYPERLINK("SE\A-5058\A-5058__158.png", "Ver Imagen")</f>
        <v/>
      </c>
    </row>
    <row r="2492">
      <c r="A2492" t="n">
        <v>1975</v>
      </c>
      <c r="B2492" t="inlineStr">
        <is>
          <t>A-5058__159</t>
        </is>
      </c>
      <c r="C2492" t="n">
        <v>37.2340456412</v>
      </c>
      <c r="D2492" t="n">
        <v>-7.0635552319</v>
      </c>
      <c r="E2492" t="n">
        <v>3</v>
      </c>
      <c r="F2492" t="n">
        <v>3</v>
      </c>
      <c r="G2492" t="n">
        <v>3</v>
      </c>
      <c r="J2492" t="inlineStr">
        <is>
          <t>Moda</t>
        </is>
      </c>
      <c r="K2492" t="n">
        <v>3</v>
      </c>
      <c r="L2492" t="n">
        <v>3.174</v>
      </c>
      <c r="M2492" t="n">
        <v>0</v>
      </c>
      <c r="N2492" t="inlineStr">
        <is>
          <t>train</t>
        </is>
      </c>
      <c r="O2492">
        <f>HYPERLINK("3\0\marker_888_381815.png", "Ver Imagen")</f>
        <v/>
      </c>
      <c r="P2492">
        <f>HYPERLINK("SE\A-5058\A-5058__159.png", "Ver Imagen")</f>
        <v/>
      </c>
    </row>
    <row r="2493">
      <c r="A2493" t="n">
        <v>1976</v>
      </c>
      <c r="B2493" t="inlineStr">
        <is>
          <t>A-5058__161</t>
        </is>
      </c>
      <c r="C2493" t="n">
        <v>37.2340295254</v>
      </c>
      <c r="D2493" t="n">
        <v>-7.06405336537</v>
      </c>
      <c r="E2493" t="n">
        <v>3</v>
      </c>
      <c r="F2493" t="n">
        <v>3</v>
      </c>
      <c r="G2493" t="n">
        <v>3</v>
      </c>
      <c r="J2493" t="inlineStr">
        <is>
          <t>Moda</t>
        </is>
      </c>
      <c r="K2493" t="n">
        <v>3</v>
      </c>
      <c r="L2493" t="n">
        <v>2.642</v>
      </c>
      <c r="M2493" t="n">
        <v>0</v>
      </c>
      <c r="N2493" t="inlineStr">
        <is>
          <t>train</t>
        </is>
      </c>
      <c r="O2493">
        <f>HYPERLINK("3\0\marker_277_381834.png", "Ver Imagen")</f>
        <v/>
      </c>
      <c r="P2493">
        <f>HYPERLINK("SE\A-5058\A-5058__161.png", "Ver Imagen")</f>
        <v/>
      </c>
    </row>
    <row r="2494">
      <c r="A2494" t="n">
        <v>1977</v>
      </c>
      <c r="B2494" t="inlineStr">
        <is>
          <t>A-5058__162</t>
        </is>
      </c>
      <c r="C2494" t="n">
        <v>37.2340190431</v>
      </c>
      <c r="D2494" t="n">
        <v>-7.0643162421</v>
      </c>
      <c r="E2494" t="n">
        <v>3</v>
      </c>
      <c r="F2494" t="n">
        <v>3</v>
      </c>
      <c r="G2494" t="n">
        <v>3</v>
      </c>
      <c r="J2494" t="inlineStr">
        <is>
          <t>Moda</t>
        </is>
      </c>
      <c r="K2494" t="n">
        <v>3</v>
      </c>
      <c r="L2494" t="n">
        <v>3.031</v>
      </c>
      <c r="M2494" t="n">
        <v>0</v>
      </c>
      <c r="N2494" t="inlineStr">
        <is>
          <t>train</t>
        </is>
      </c>
      <c r="O2494">
        <f>HYPERLINK("3\0\marker_395_381843.png", "Ver Imagen")</f>
        <v/>
      </c>
      <c r="P2494">
        <f>HYPERLINK("SE\A-5058\A-5058__162.png", "Ver Imagen")</f>
        <v/>
      </c>
    </row>
    <row r="2495">
      <c r="A2495" t="n">
        <v>1978</v>
      </c>
      <c r="B2495" t="inlineStr">
        <is>
          <t>A-5058__164</t>
        </is>
      </c>
      <c r="C2495" t="n">
        <v>37.2339871219</v>
      </c>
      <c r="D2495" t="n">
        <v>-7.0648170331</v>
      </c>
      <c r="E2495" t="n">
        <v>3</v>
      </c>
      <c r="F2495" t="n">
        <v>3</v>
      </c>
      <c r="G2495" t="n">
        <v>3</v>
      </c>
      <c r="J2495" t="inlineStr">
        <is>
          <t>Moda</t>
        </is>
      </c>
      <c r="K2495" t="n">
        <v>3</v>
      </c>
      <c r="L2495" t="n">
        <v>3.218</v>
      </c>
      <c r="M2495" t="n">
        <v>0</v>
      </c>
      <c r="N2495" t="inlineStr">
        <is>
          <t>train</t>
        </is>
      </c>
      <c r="O2495">
        <f>HYPERLINK("3\0\marker_201_381865.png", "Ver Imagen")</f>
        <v/>
      </c>
      <c r="P2495">
        <f>HYPERLINK("SE\A-5058\A-5058__164.png", "Ver Imagen")</f>
        <v/>
      </c>
    </row>
    <row r="2496">
      <c r="A2496" t="n">
        <v>1979</v>
      </c>
      <c r="B2496" t="inlineStr">
        <is>
          <t>A-5058__167</t>
        </is>
      </c>
      <c r="C2496" t="n">
        <v>37.2339083103</v>
      </c>
      <c r="D2496" t="n">
        <v>-7.0655478998</v>
      </c>
      <c r="E2496" t="n">
        <v>3</v>
      </c>
      <c r="F2496" t="n">
        <v>3</v>
      </c>
      <c r="G2496" t="n">
        <v>3</v>
      </c>
      <c r="J2496" t="inlineStr">
        <is>
          <t>Moda</t>
        </is>
      </c>
      <c r="K2496" t="n">
        <v>3</v>
      </c>
      <c r="L2496" t="n">
        <v>3.146</v>
      </c>
      <c r="M2496" t="n">
        <v>0</v>
      </c>
      <c r="N2496" t="inlineStr">
        <is>
          <t>train</t>
        </is>
      </c>
      <c r="O2496">
        <f>HYPERLINK("3\0\marker_844_382002.png", "Ver Imagen")</f>
        <v/>
      </c>
      <c r="P2496">
        <f>HYPERLINK("SE\A-5058\A-5058__167.png", "Ver Imagen")</f>
        <v/>
      </c>
    </row>
    <row r="2497">
      <c r="A2497" t="n">
        <v>1980</v>
      </c>
      <c r="B2497" t="inlineStr">
        <is>
          <t>A-5058__173</t>
        </is>
      </c>
      <c r="C2497" t="n">
        <v>37.2337224635</v>
      </c>
      <c r="D2497" t="n">
        <v>-7.06688300696</v>
      </c>
      <c r="E2497" t="n">
        <v>3</v>
      </c>
      <c r="F2497" t="n">
        <v>3</v>
      </c>
      <c r="G2497" t="n">
        <v>3</v>
      </c>
      <c r="J2497" t="inlineStr">
        <is>
          <t>Moda</t>
        </is>
      </c>
      <c r="K2497" t="n">
        <v>3</v>
      </c>
      <c r="L2497" t="n">
        <v>3.053</v>
      </c>
      <c r="M2497" t="n">
        <v>0</v>
      </c>
      <c r="N2497" t="inlineStr">
        <is>
          <t>train</t>
        </is>
      </c>
      <c r="O2497">
        <f>HYPERLINK("3\0\marker_833_382428.png", "Ver Imagen")</f>
        <v/>
      </c>
      <c r="P2497">
        <f>HYPERLINK("SE\A-5058\A-5058__173.png", "Ver Imagen")</f>
        <v/>
      </c>
    </row>
    <row r="2498">
      <c r="A2498" t="n">
        <v>1981</v>
      </c>
      <c r="B2498" t="inlineStr">
        <is>
          <t>A-5058__175</t>
        </is>
      </c>
      <c r="C2498" t="n">
        <v>37.2336021269</v>
      </c>
      <c r="D2498" t="n">
        <v>-7.06742199278</v>
      </c>
      <c r="E2498" t="n">
        <v>3</v>
      </c>
      <c r="F2498" t="n">
        <v>3</v>
      </c>
      <c r="G2498" t="n">
        <v>3</v>
      </c>
      <c r="J2498" t="inlineStr">
        <is>
          <t>Moda</t>
        </is>
      </c>
      <c r="K2498" t="n">
        <v>3</v>
      </c>
      <c r="L2498" t="n">
        <v>2.849</v>
      </c>
      <c r="M2498" t="n">
        <v>0</v>
      </c>
      <c r="N2498" t="inlineStr">
        <is>
          <t>test</t>
        </is>
      </c>
      <c r="O2498">
        <f>HYPERLINK("3\0\marker_993_382465.png", "Ver Imagen")</f>
        <v/>
      </c>
      <c r="P2498">
        <f>HYPERLINK("SE\A-5058\A-5058__175.png", "Ver Imagen")</f>
        <v/>
      </c>
    </row>
    <row r="2499">
      <c r="A2499" t="n">
        <v>1982</v>
      </c>
      <c r="B2499" t="inlineStr">
        <is>
          <t>A-5058__177</t>
        </is>
      </c>
      <c r="C2499" t="n">
        <v>37.2335742337</v>
      </c>
      <c r="D2499" t="n">
        <v>-7.06788088492</v>
      </c>
      <c r="E2499" t="n">
        <v>3</v>
      </c>
      <c r="F2499" t="n">
        <v>3</v>
      </c>
      <c r="G2499" t="n">
        <v>3</v>
      </c>
      <c r="J2499" t="inlineStr">
        <is>
          <t>Moda</t>
        </is>
      </c>
      <c r="K2499" t="n">
        <v>3</v>
      </c>
      <c r="L2499" t="n">
        <v>3.168</v>
      </c>
      <c r="M2499" t="n">
        <v>0</v>
      </c>
      <c r="N2499" t="inlineStr">
        <is>
          <t>train</t>
        </is>
      </c>
      <c r="O2499">
        <f>HYPERLINK("3\0\marker_800_382486.png", "Ver Imagen")</f>
        <v/>
      </c>
      <c r="P2499">
        <f>HYPERLINK("SE\A-5058\A-5058__177.png", "Ver Imagen")</f>
        <v/>
      </c>
    </row>
    <row r="2500">
      <c r="A2500" t="n">
        <v>1983</v>
      </c>
      <c r="B2500" t="inlineStr">
        <is>
          <t>A-5058__181</t>
        </is>
      </c>
      <c r="C2500" t="n">
        <v>37.2337669611</v>
      </c>
      <c r="D2500" t="n">
        <v>-7.06884470285</v>
      </c>
      <c r="E2500" t="n">
        <v>3</v>
      </c>
      <c r="F2500" t="n">
        <v>3</v>
      </c>
      <c r="G2500" t="n">
        <v>3</v>
      </c>
      <c r="J2500" t="inlineStr">
        <is>
          <t>Moda</t>
        </is>
      </c>
      <c r="K2500" t="n">
        <v>3</v>
      </c>
      <c r="L2500" t="n">
        <v>3.194</v>
      </c>
      <c r="M2500" t="n">
        <v>0</v>
      </c>
      <c r="N2500" t="inlineStr">
        <is>
          <t>train</t>
        </is>
      </c>
      <c r="O2500">
        <f>HYPERLINK("3\0\marker_427_382671.png", "Ver Imagen")</f>
        <v/>
      </c>
      <c r="P2500">
        <f>HYPERLINK("SE\A-5058\A-5058__181.png", "Ver Imagen")</f>
        <v/>
      </c>
    </row>
    <row r="2501">
      <c r="A2501" t="n">
        <v>1984</v>
      </c>
      <c r="B2501" t="inlineStr">
        <is>
          <t>A-5058__192</t>
        </is>
      </c>
      <c r="C2501" t="n">
        <v>37.234504871</v>
      </c>
      <c r="D2501" t="n">
        <v>-7.07147582918</v>
      </c>
      <c r="E2501" t="n">
        <v>3</v>
      </c>
      <c r="F2501" t="n">
        <v>3</v>
      </c>
      <c r="G2501" t="n">
        <v>3</v>
      </c>
      <c r="J2501" t="inlineStr">
        <is>
          <t>Moda</t>
        </is>
      </c>
      <c r="K2501" t="n">
        <v>3</v>
      </c>
      <c r="L2501" t="n">
        <v>3.066</v>
      </c>
      <c r="M2501" t="n">
        <v>0</v>
      </c>
      <c r="N2501" t="inlineStr">
        <is>
          <t>train</t>
        </is>
      </c>
      <c r="O2501">
        <f>HYPERLINK("3\0\marker_747_382803.png", "Ver Imagen")</f>
        <v/>
      </c>
      <c r="P2501">
        <f>HYPERLINK("SE\A-5058\A-5058__192.png", "Ver Imagen")</f>
        <v/>
      </c>
    </row>
    <row r="2502">
      <c r="A2502" t="n">
        <v>1985</v>
      </c>
      <c r="B2502" t="inlineStr">
        <is>
          <t>A-5058__202</t>
        </is>
      </c>
      <c r="C2502" t="n">
        <v>37.2354025039</v>
      </c>
      <c r="D2502" t="n">
        <v>-7.07374132542</v>
      </c>
      <c r="E2502" t="n">
        <v>3</v>
      </c>
      <c r="F2502" t="n">
        <v>3</v>
      </c>
      <c r="G2502" t="n">
        <v>3</v>
      </c>
      <c r="J2502" t="inlineStr">
        <is>
          <t>Moda</t>
        </is>
      </c>
      <c r="K2502" t="n">
        <v>3</v>
      </c>
      <c r="L2502" t="n">
        <v>2.694</v>
      </c>
      <c r="M2502" t="n">
        <v>0</v>
      </c>
      <c r="N2502" t="inlineStr">
        <is>
          <t>train</t>
        </is>
      </c>
      <c r="O2502">
        <f>HYPERLINK("3\0\marker_318_382911.png", "Ver Imagen")</f>
        <v/>
      </c>
      <c r="P2502">
        <f>HYPERLINK("SE\A-5058\A-5058__202.png", "Ver Imagen")</f>
        <v/>
      </c>
    </row>
    <row r="2503">
      <c r="A2503" t="n">
        <v>1985</v>
      </c>
      <c r="B2503" t="inlineStr">
        <is>
          <t>A-5058__202</t>
        </is>
      </c>
      <c r="C2503" t="n">
        <v>37.2354025039</v>
      </c>
      <c r="D2503" t="n">
        <v>-7.07374132542</v>
      </c>
      <c r="E2503" t="n">
        <v>3</v>
      </c>
      <c r="F2503" t="n">
        <v>3</v>
      </c>
      <c r="G2503" t="n">
        <v>3</v>
      </c>
      <c r="J2503" t="inlineStr">
        <is>
          <t>Moda</t>
        </is>
      </c>
      <c r="K2503" t="n">
        <v>3</v>
      </c>
      <c r="L2503" t="n">
        <v>2.931</v>
      </c>
      <c r="M2503" t="n">
        <v>0</v>
      </c>
      <c r="N2503" t="inlineStr">
        <is>
          <t>train</t>
        </is>
      </c>
      <c r="O2503">
        <f>HYPERLINK("3\0\marker_318_382911.png", "Ver Imagen")</f>
        <v/>
      </c>
      <c r="P2503">
        <f>HYPERLINK("SO\A-5058\A-5058__202.png", "Ver Imagen")</f>
        <v/>
      </c>
    </row>
    <row r="2504">
      <c r="A2504" t="n">
        <v>1986</v>
      </c>
      <c r="B2504" t="inlineStr">
        <is>
          <t>A-5058__225</t>
        </is>
      </c>
      <c r="C2504" t="n">
        <v>37.2380758204</v>
      </c>
      <c r="D2504" t="n">
        <v>-7.07847464566</v>
      </c>
      <c r="E2504" t="n">
        <v>3</v>
      </c>
      <c r="F2504" t="n">
        <v>3</v>
      </c>
      <c r="G2504" t="n">
        <v>3</v>
      </c>
      <c r="J2504" t="inlineStr">
        <is>
          <t>Moda</t>
        </is>
      </c>
      <c r="K2504" t="n">
        <v>3</v>
      </c>
      <c r="L2504" t="n">
        <v>2.942</v>
      </c>
      <c r="M2504" t="n">
        <v>0</v>
      </c>
      <c r="N2504" t="inlineStr">
        <is>
          <t>train</t>
        </is>
      </c>
      <c r="O2504">
        <f>HYPERLINK("3\0\marker_972_383191.png", "Ver Imagen")</f>
        <v/>
      </c>
      <c r="P2504">
        <f>HYPERLINK("SE\A-5058\A-5058__225.png", "Ver Imagen")</f>
        <v/>
      </c>
    </row>
    <row r="2505">
      <c r="A2505" t="n">
        <v>1986</v>
      </c>
      <c r="B2505" t="inlineStr">
        <is>
          <t>A-5058__225</t>
        </is>
      </c>
      <c r="C2505" t="n">
        <v>37.2380758204</v>
      </c>
      <c r="D2505" t="n">
        <v>-7.07847464566</v>
      </c>
      <c r="E2505" t="n">
        <v>3</v>
      </c>
      <c r="F2505" t="n">
        <v>3</v>
      </c>
      <c r="G2505" t="n">
        <v>3</v>
      </c>
      <c r="J2505" t="inlineStr">
        <is>
          <t>Moda</t>
        </is>
      </c>
      <c r="K2505" t="n">
        <v>3</v>
      </c>
      <c r="L2505" t="n">
        <v>3.036</v>
      </c>
      <c r="M2505" t="n">
        <v>0</v>
      </c>
      <c r="N2505" t="inlineStr">
        <is>
          <t>train</t>
        </is>
      </c>
      <c r="O2505">
        <f>HYPERLINK("3\0\marker_972_383191.png", "Ver Imagen")</f>
        <v/>
      </c>
      <c r="P2505">
        <f>HYPERLINK("SO\A-5058\A-5058__225.png", "Ver Imagen")</f>
        <v/>
      </c>
    </row>
    <row r="2506">
      <c r="A2506" t="n">
        <v>1987</v>
      </c>
      <c r="B2506" t="inlineStr">
        <is>
          <t>A-5058__230</t>
        </is>
      </c>
      <c r="C2506" t="n">
        <v>37.2387287925</v>
      </c>
      <c r="D2506" t="n">
        <v>-7.07947560172</v>
      </c>
      <c r="E2506" t="n">
        <v>3</v>
      </c>
      <c r="F2506" t="n">
        <v>3</v>
      </c>
      <c r="G2506" t="n">
        <v>3</v>
      </c>
      <c r="J2506" t="inlineStr">
        <is>
          <t>Moda</t>
        </is>
      </c>
      <c r="K2506" t="n">
        <v>3</v>
      </c>
      <c r="L2506" t="n">
        <v>3.284</v>
      </c>
      <c r="M2506" t="n">
        <v>0</v>
      </c>
      <c r="N2506" t="inlineStr">
        <is>
          <t>test</t>
        </is>
      </c>
      <c r="O2506">
        <f>HYPERLINK("3\0\marker_987_383249.png", "Ver Imagen")</f>
        <v/>
      </c>
      <c r="P2506">
        <f>HYPERLINK("SE\A-5058\A-5058__230.png", "Ver Imagen")</f>
        <v/>
      </c>
    </row>
    <row r="2507">
      <c r="A2507" t="n">
        <v>1988</v>
      </c>
      <c r="B2507" t="inlineStr">
        <is>
          <t>A-5058__233</t>
        </is>
      </c>
      <c r="C2507" t="n">
        <v>37.2390988046</v>
      </c>
      <c r="D2507" t="n">
        <v>-7.08002881335</v>
      </c>
      <c r="E2507" t="n">
        <v>3</v>
      </c>
      <c r="F2507" t="n">
        <v>3</v>
      </c>
      <c r="G2507" t="n">
        <v>3</v>
      </c>
      <c r="J2507" t="inlineStr">
        <is>
          <t>Moda</t>
        </is>
      </c>
      <c r="K2507" t="n">
        <v>3</v>
      </c>
      <c r="L2507" t="n">
        <v>2.935</v>
      </c>
      <c r="M2507" t="n">
        <v>0</v>
      </c>
      <c r="N2507" t="inlineStr">
        <is>
          <t>test</t>
        </is>
      </c>
      <c r="O2507">
        <f>HYPERLINK("3\0\marker_508_383292.png", "Ver Imagen")</f>
        <v/>
      </c>
      <c r="P2507">
        <f>HYPERLINK("SE\A-5058\A-5058__233.png", "Ver Imagen")</f>
        <v/>
      </c>
    </row>
    <row r="2508">
      <c r="A2508" t="n">
        <v>1988</v>
      </c>
      <c r="B2508" t="inlineStr">
        <is>
          <t>A-5058__233</t>
        </is>
      </c>
      <c r="C2508" t="n">
        <v>37.2390988046</v>
      </c>
      <c r="D2508" t="n">
        <v>-7.08002881335</v>
      </c>
      <c r="E2508" t="n">
        <v>3</v>
      </c>
      <c r="F2508" t="n">
        <v>3</v>
      </c>
      <c r="G2508" t="n">
        <v>3</v>
      </c>
      <c r="J2508" t="inlineStr">
        <is>
          <t>Moda</t>
        </is>
      </c>
      <c r="K2508" t="n">
        <v>3</v>
      </c>
      <c r="L2508" t="n">
        <v>2.953</v>
      </c>
      <c r="M2508" t="n">
        <v>0</v>
      </c>
      <c r="N2508" t="inlineStr">
        <is>
          <t>test</t>
        </is>
      </c>
      <c r="O2508">
        <f>HYPERLINK("3\0\marker_508_383292.png", "Ver Imagen")</f>
        <v/>
      </c>
      <c r="P2508">
        <f>HYPERLINK("SO\A-5058\A-5058__233.png", "Ver Imagen")</f>
        <v/>
      </c>
    </row>
    <row r="2509">
      <c r="A2509" t="n">
        <v>1989</v>
      </c>
      <c r="B2509" t="inlineStr">
        <is>
          <t>A-5058__234</t>
        </is>
      </c>
      <c r="C2509" t="n">
        <v>37.239242807</v>
      </c>
      <c r="D2509" t="n">
        <v>-7.08024818365</v>
      </c>
      <c r="E2509" t="n">
        <v>3</v>
      </c>
      <c r="F2509" t="n">
        <v>3</v>
      </c>
      <c r="G2509" t="n">
        <v>3</v>
      </c>
      <c r="J2509" t="inlineStr">
        <is>
          <t>Moda</t>
        </is>
      </c>
      <c r="K2509" t="n">
        <v>3</v>
      </c>
      <c r="L2509" t="n">
        <v>2.946</v>
      </c>
      <c r="M2509" t="n">
        <v>0</v>
      </c>
      <c r="N2509" t="inlineStr">
        <is>
          <t>val</t>
        </is>
      </c>
      <c r="O2509">
        <f>HYPERLINK("3\0\marker_710_383301.png", "Ver Imagen")</f>
        <v/>
      </c>
      <c r="P2509">
        <f>HYPERLINK("SE\A-5058\A-5058__234.png", "Ver Imagen")</f>
        <v/>
      </c>
    </row>
    <row r="2510">
      <c r="A2510" t="n">
        <v>1989</v>
      </c>
      <c r="B2510" t="inlineStr">
        <is>
          <t>A-5058__234</t>
        </is>
      </c>
      <c r="C2510" t="n">
        <v>37.239242807</v>
      </c>
      <c r="D2510" t="n">
        <v>-7.08024818365</v>
      </c>
      <c r="E2510" t="n">
        <v>3</v>
      </c>
      <c r="F2510" t="n">
        <v>3</v>
      </c>
      <c r="G2510" t="n">
        <v>3</v>
      </c>
      <c r="J2510" t="inlineStr">
        <is>
          <t>Moda</t>
        </is>
      </c>
      <c r="K2510" t="n">
        <v>3</v>
      </c>
      <c r="L2510" t="n">
        <v>3.071</v>
      </c>
      <c r="M2510" t="n">
        <v>0</v>
      </c>
      <c r="N2510" t="inlineStr">
        <is>
          <t>val</t>
        </is>
      </c>
      <c r="O2510">
        <f>HYPERLINK("3\0\marker_710_383301.png", "Ver Imagen")</f>
        <v/>
      </c>
      <c r="P2510">
        <f>HYPERLINK("SO\A-5058\A-5058__234.png", "Ver Imagen")</f>
        <v/>
      </c>
    </row>
    <row r="2511">
      <c r="A2511" t="n">
        <v>1990</v>
      </c>
      <c r="B2511" t="inlineStr">
        <is>
          <t>A-5058__235</t>
        </is>
      </c>
      <c r="C2511" t="n">
        <v>37.2393683325</v>
      </c>
      <c r="D2511" t="n">
        <v>-7.08044115852</v>
      </c>
      <c r="E2511" t="n">
        <v>3</v>
      </c>
      <c r="F2511" t="n">
        <v>3</v>
      </c>
      <c r="G2511" t="n">
        <v>3</v>
      </c>
      <c r="J2511" t="inlineStr">
        <is>
          <t>Moda</t>
        </is>
      </c>
      <c r="K2511" t="n">
        <v>3</v>
      </c>
      <c r="L2511" t="n">
        <v>3.028</v>
      </c>
      <c r="M2511" t="n">
        <v>0</v>
      </c>
      <c r="N2511" t="inlineStr">
        <is>
          <t>train</t>
        </is>
      </c>
      <c r="O2511">
        <f>HYPERLINK("3\0\marker_551_383311.png", "Ver Imagen")</f>
        <v/>
      </c>
      <c r="P2511">
        <f>HYPERLINK("SE\A-5058\A-5058__235.png", "Ver Imagen")</f>
        <v/>
      </c>
    </row>
    <row r="2512">
      <c r="A2512" t="n">
        <v>1990</v>
      </c>
      <c r="B2512" t="inlineStr">
        <is>
          <t>A-5058__235</t>
        </is>
      </c>
      <c r="C2512" t="n">
        <v>37.2393683325</v>
      </c>
      <c r="D2512" t="n">
        <v>-7.08044115852</v>
      </c>
      <c r="E2512" t="n">
        <v>3</v>
      </c>
      <c r="F2512" t="n">
        <v>3</v>
      </c>
      <c r="G2512" t="n">
        <v>3</v>
      </c>
      <c r="J2512" t="inlineStr">
        <is>
          <t>Moda</t>
        </is>
      </c>
      <c r="K2512" t="n">
        <v>3</v>
      </c>
      <c r="L2512" t="n">
        <v>3.017</v>
      </c>
      <c r="M2512" t="n">
        <v>0</v>
      </c>
      <c r="N2512" t="inlineStr">
        <is>
          <t>train</t>
        </is>
      </c>
      <c r="O2512">
        <f>HYPERLINK("3\0\marker_551_383311.png", "Ver Imagen")</f>
        <v/>
      </c>
      <c r="P2512">
        <f>HYPERLINK("SO\A-5058\A-5058__235.png", "Ver Imagen")</f>
        <v/>
      </c>
    </row>
    <row r="2513">
      <c r="A2513" t="n">
        <v>1991</v>
      </c>
      <c r="B2513" t="inlineStr">
        <is>
          <t>A-5058__263</t>
        </is>
      </c>
      <c r="C2513" t="n">
        <v>37.2425702361</v>
      </c>
      <c r="D2513" t="n">
        <v>-7.08624630406</v>
      </c>
      <c r="E2513" t="n">
        <v>3</v>
      </c>
      <c r="F2513" t="n">
        <v>3</v>
      </c>
      <c r="G2513" t="n">
        <v>3</v>
      </c>
      <c r="J2513" t="inlineStr">
        <is>
          <t>Moda</t>
        </is>
      </c>
      <c r="K2513" t="n">
        <v>3</v>
      </c>
      <c r="L2513" t="n">
        <v>2.872</v>
      </c>
      <c r="M2513" t="n">
        <v>0</v>
      </c>
      <c r="N2513" t="inlineStr">
        <is>
          <t>train</t>
        </is>
      </c>
      <c r="O2513">
        <f>HYPERLINK("3\0\marker_105_383712.png", "Ver Imagen")</f>
        <v/>
      </c>
      <c r="P2513">
        <f>HYPERLINK("SE\A-5058\A-5058__263.png", "Ver Imagen")</f>
        <v/>
      </c>
    </row>
    <row r="2514">
      <c r="A2514" t="n">
        <v>1991</v>
      </c>
      <c r="B2514" t="inlineStr">
        <is>
          <t>A-5058__263</t>
        </is>
      </c>
      <c r="C2514" t="n">
        <v>37.2425702361</v>
      </c>
      <c r="D2514" t="n">
        <v>-7.08624630406</v>
      </c>
      <c r="E2514" t="n">
        <v>3</v>
      </c>
      <c r="F2514" t="n">
        <v>3</v>
      </c>
      <c r="G2514" t="n">
        <v>3</v>
      </c>
      <c r="J2514" t="inlineStr">
        <is>
          <t>Moda</t>
        </is>
      </c>
      <c r="K2514" t="n">
        <v>3</v>
      </c>
      <c r="L2514" t="n">
        <v>3.121</v>
      </c>
      <c r="M2514" t="n">
        <v>0</v>
      </c>
      <c r="N2514" t="inlineStr">
        <is>
          <t>train</t>
        </is>
      </c>
      <c r="O2514">
        <f>HYPERLINK("3\0\marker_105_383712.png", "Ver Imagen")</f>
        <v/>
      </c>
      <c r="P2514">
        <f>HYPERLINK("SO\A-5058\A-5058__263.png", "Ver Imagen")</f>
        <v/>
      </c>
    </row>
    <row r="2515">
      <c r="A2515" t="n">
        <v>1992</v>
      </c>
      <c r="B2515" t="inlineStr">
        <is>
          <t>A-5058__270</t>
        </is>
      </c>
      <c r="C2515" t="n">
        <v>37.2430306362</v>
      </c>
      <c r="D2515" t="n">
        <v>-7.08788375722</v>
      </c>
      <c r="E2515" t="n">
        <v>3</v>
      </c>
      <c r="F2515" t="n">
        <v>3</v>
      </c>
      <c r="G2515" t="n">
        <v>3</v>
      </c>
      <c r="J2515" t="inlineStr">
        <is>
          <t>Moda</t>
        </is>
      </c>
      <c r="K2515" t="n">
        <v>3</v>
      </c>
      <c r="L2515" t="n">
        <v>3.105</v>
      </c>
      <c r="M2515" t="n">
        <v>0</v>
      </c>
      <c r="N2515" t="inlineStr">
        <is>
          <t>train</t>
        </is>
      </c>
      <c r="O2515">
        <f>HYPERLINK("3\0\marker_347_383919.png", "Ver Imagen")</f>
        <v/>
      </c>
      <c r="P2515">
        <f>HYPERLINK("SE\A-5058\A-5058__270.png", "Ver Imagen")</f>
        <v/>
      </c>
    </row>
    <row r="2516">
      <c r="A2516" t="n">
        <v>1992</v>
      </c>
      <c r="B2516" t="inlineStr">
        <is>
          <t>A-5058__270</t>
        </is>
      </c>
      <c r="C2516" t="n">
        <v>37.2430306362</v>
      </c>
      <c r="D2516" t="n">
        <v>-7.08788375722</v>
      </c>
      <c r="E2516" t="n">
        <v>3</v>
      </c>
      <c r="F2516" t="n">
        <v>3</v>
      </c>
      <c r="G2516" t="n">
        <v>3</v>
      </c>
      <c r="J2516" t="inlineStr">
        <is>
          <t>Moda</t>
        </is>
      </c>
      <c r="K2516" t="n">
        <v>3</v>
      </c>
      <c r="L2516" t="n">
        <v>3.121</v>
      </c>
      <c r="M2516" t="n">
        <v>0</v>
      </c>
      <c r="N2516" t="inlineStr">
        <is>
          <t>train</t>
        </is>
      </c>
      <c r="O2516">
        <f>HYPERLINK("3\0\marker_347_383919.png", "Ver Imagen")</f>
        <v/>
      </c>
      <c r="P2516">
        <f>HYPERLINK("SO\A-5058\A-5058__270.png", "Ver Imagen")</f>
        <v/>
      </c>
    </row>
    <row r="2517">
      <c r="A2517" t="n">
        <v>1993</v>
      </c>
      <c r="B2517" t="inlineStr">
        <is>
          <t>A-5058__271</t>
        </is>
      </c>
      <c r="C2517" t="n">
        <v>37.2431153512</v>
      </c>
      <c r="D2517" t="n">
        <v>-7.08811770978</v>
      </c>
      <c r="E2517" t="n">
        <v>3</v>
      </c>
      <c r="F2517" t="n">
        <v>3</v>
      </c>
      <c r="G2517" t="n">
        <v>3</v>
      </c>
      <c r="J2517" t="inlineStr">
        <is>
          <t>Moda</t>
        </is>
      </c>
      <c r="K2517" t="n">
        <v>3</v>
      </c>
      <c r="L2517" t="n">
        <v>3.129</v>
      </c>
      <c r="M2517" t="n">
        <v>0</v>
      </c>
      <c r="N2517" t="inlineStr">
        <is>
          <t>train</t>
        </is>
      </c>
      <c r="O2517">
        <f>HYPERLINK("3\0\marker_983_383928.png", "Ver Imagen")</f>
        <v/>
      </c>
      <c r="P2517">
        <f>HYPERLINK("SE\A-5058\A-5058__271.png", "Ver Imagen")</f>
        <v/>
      </c>
    </row>
    <row r="2518">
      <c r="A2518" t="n">
        <v>1993</v>
      </c>
      <c r="B2518" t="inlineStr">
        <is>
          <t>A-5058__271</t>
        </is>
      </c>
      <c r="C2518" t="n">
        <v>37.2431153512</v>
      </c>
      <c r="D2518" t="n">
        <v>-7.08811770978</v>
      </c>
      <c r="E2518" t="n">
        <v>3</v>
      </c>
      <c r="F2518" t="n">
        <v>3</v>
      </c>
      <c r="G2518" t="n">
        <v>3</v>
      </c>
      <c r="J2518" t="inlineStr">
        <is>
          <t>Moda</t>
        </is>
      </c>
      <c r="K2518" t="n">
        <v>3</v>
      </c>
      <c r="L2518" t="n">
        <v>3.015</v>
      </c>
      <c r="M2518" t="n">
        <v>0</v>
      </c>
      <c r="N2518" t="inlineStr">
        <is>
          <t>train</t>
        </is>
      </c>
      <c r="O2518">
        <f>HYPERLINK("3\0\marker_983_383928.png", "Ver Imagen")</f>
        <v/>
      </c>
      <c r="P2518">
        <f>HYPERLINK("SO\A-5058\A-5058__271.png", "Ver Imagen")</f>
        <v/>
      </c>
    </row>
    <row r="2519">
      <c r="A2519" t="n">
        <v>1994</v>
      </c>
      <c r="B2519" t="inlineStr">
        <is>
          <t>A-5058__272</t>
        </is>
      </c>
      <c r="C2519" t="n">
        <v>37.2432188458</v>
      </c>
      <c r="D2519" t="n">
        <v>-7.08837389962</v>
      </c>
      <c r="E2519" t="n">
        <v>3</v>
      </c>
      <c r="F2519" t="n">
        <v>3</v>
      </c>
      <c r="G2519" t="n">
        <v>3</v>
      </c>
      <c r="J2519" t="inlineStr">
        <is>
          <t>Moda</t>
        </is>
      </c>
      <c r="K2519" t="n">
        <v>3</v>
      </c>
      <c r="L2519" t="n">
        <v>3.159</v>
      </c>
      <c r="M2519" t="n">
        <v>0</v>
      </c>
      <c r="N2519" t="inlineStr">
        <is>
          <t>train</t>
        </is>
      </c>
      <c r="O2519">
        <f>HYPERLINK("3\0\marker_856_383943.png", "Ver Imagen")</f>
        <v/>
      </c>
      <c r="P2519">
        <f>HYPERLINK("SE\A-5058\A-5058__272.png", "Ver Imagen")</f>
        <v/>
      </c>
    </row>
    <row r="2520">
      <c r="A2520" t="n">
        <v>1994</v>
      </c>
      <c r="B2520" t="inlineStr">
        <is>
          <t>A-5058__272</t>
        </is>
      </c>
      <c r="C2520" t="n">
        <v>37.2432188458</v>
      </c>
      <c r="D2520" t="n">
        <v>-7.08837389962</v>
      </c>
      <c r="E2520" t="n">
        <v>3</v>
      </c>
      <c r="F2520" t="n">
        <v>3</v>
      </c>
      <c r="G2520" t="n">
        <v>3</v>
      </c>
      <c r="J2520" t="inlineStr">
        <is>
          <t>Moda</t>
        </is>
      </c>
      <c r="K2520" t="n">
        <v>3</v>
      </c>
      <c r="L2520" t="n">
        <v>2.927</v>
      </c>
      <c r="M2520" t="n">
        <v>0</v>
      </c>
      <c r="N2520" t="inlineStr">
        <is>
          <t>train</t>
        </is>
      </c>
      <c r="O2520">
        <f>HYPERLINK("3\0\marker_856_383943.png", "Ver Imagen")</f>
        <v/>
      </c>
      <c r="P2520">
        <f>HYPERLINK("SO\A-5058\A-5058__272.png", "Ver Imagen")</f>
        <v/>
      </c>
    </row>
    <row r="2521">
      <c r="A2521" t="n">
        <v>1995</v>
      </c>
      <c r="B2521" t="inlineStr">
        <is>
          <t>A-5058__275</t>
        </is>
      </c>
      <c r="C2521" t="n">
        <v>37.2435117996</v>
      </c>
      <c r="D2521" t="n">
        <v>-7.0889983276</v>
      </c>
      <c r="E2521" t="n">
        <v>3</v>
      </c>
      <c r="F2521" t="n">
        <v>3</v>
      </c>
      <c r="G2521" t="n">
        <v>3</v>
      </c>
      <c r="J2521" t="inlineStr">
        <is>
          <t>Moda</t>
        </is>
      </c>
      <c r="K2521" t="n">
        <v>3</v>
      </c>
      <c r="L2521" t="n">
        <v>3.02</v>
      </c>
      <c r="M2521" t="n">
        <v>0</v>
      </c>
      <c r="N2521" t="inlineStr">
        <is>
          <t>test</t>
        </is>
      </c>
      <c r="O2521">
        <f>HYPERLINK("3\0\marker_426_383976.png", "Ver Imagen")</f>
        <v/>
      </c>
      <c r="P2521">
        <f>HYPERLINK("SE\A-5058\A-5058__275.png", "Ver Imagen")</f>
        <v/>
      </c>
    </row>
    <row r="2522">
      <c r="A2522" t="n">
        <v>1995</v>
      </c>
      <c r="B2522" t="inlineStr">
        <is>
          <t>A-5058__275</t>
        </is>
      </c>
      <c r="C2522" t="n">
        <v>37.2435117996</v>
      </c>
      <c r="D2522" t="n">
        <v>-7.0889983276</v>
      </c>
      <c r="E2522" t="n">
        <v>3</v>
      </c>
      <c r="F2522" t="n">
        <v>3</v>
      </c>
      <c r="G2522" t="n">
        <v>3</v>
      </c>
      <c r="J2522" t="inlineStr">
        <is>
          <t>Moda</t>
        </is>
      </c>
      <c r="K2522" t="n">
        <v>3</v>
      </c>
      <c r="L2522" t="n">
        <v>3.176</v>
      </c>
      <c r="M2522" t="n">
        <v>0</v>
      </c>
      <c r="N2522" t="inlineStr">
        <is>
          <t>test</t>
        </is>
      </c>
      <c r="O2522">
        <f>HYPERLINK("3\0\marker_426_383976.png", "Ver Imagen")</f>
        <v/>
      </c>
      <c r="P2522">
        <f>HYPERLINK("SO\A-5058\A-5058__275.png", "Ver Imagen")</f>
        <v/>
      </c>
    </row>
    <row r="2523">
      <c r="A2523" t="n">
        <v>1996</v>
      </c>
      <c r="B2523" t="inlineStr">
        <is>
          <t>A-5058__277</t>
        </is>
      </c>
      <c r="C2523" t="n">
        <v>37.2437262045</v>
      </c>
      <c r="D2523" t="n">
        <v>-7.08942274848</v>
      </c>
      <c r="E2523" t="n">
        <v>3</v>
      </c>
      <c r="F2523" t="n">
        <v>3</v>
      </c>
      <c r="G2523" t="n">
        <v>3</v>
      </c>
      <c r="J2523" t="inlineStr">
        <is>
          <t>Moda</t>
        </is>
      </c>
      <c r="K2523" t="n">
        <v>3</v>
      </c>
      <c r="L2523" t="n">
        <v>3.272</v>
      </c>
      <c r="M2523" t="n">
        <v>0</v>
      </c>
      <c r="N2523" t="inlineStr">
        <is>
          <t>train</t>
        </is>
      </c>
      <c r="O2523">
        <f>HYPERLINK("3\0\marker_840_383999.png", "Ver Imagen")</f>
        <v/>
      </c>
      <c r="P2523">
        <f>HYPERLINK("SE\A-5058\A-5058__277.png", "Ver Imagen")</f>
        <v/>
      </c>
    </row>
    <row r="2524">
      <c r="A2524" t="n">
        <v>1996</v>
      </c>
      <c r="B2524" t="inlineStr">
        <is>
          <t>A-5058__277</t>
        </is>
      </c>
      <c r="C2524" t="n">
        <v>37.2437262045</v>
      </c>
      <c r="D2524" t="n">
        <v>-7.08942274848</v>
      </c>
      <c r="E2524" t="n">
        <v>3</v>
      </c>
      <c r="F2524" t="n">
        <v>3</v>
      </c>
      <c r="G2524" t="n">
        <v>3</v>
      </c>
      <c r="J2524" t="inlineStr">
        <is>
          <t>Moda</t>
        </is>
      </c>
      <c r="K2524" t="n">
        <v>3</v>
      </c>
      <c r="L2524" t="n">
        <v>3.197</v>
      </c>
      <c r="M2524" t="n">
        <v>0</v>
      </c>
      <c r="N2524" t="inlineStr">
        <is>
          <t>train</t>
        </is>
      </c>
      <c r="O2524">
        <f>HYPERLINK("3\0\marker_840_383999.png", "Ver Imagen")</f>
        <v/>
      </c>
      <c r="P2524">
        <f>HYPERLINK("SO\A-5058\A-5058__277.png", "Ver Imagen")</f>
        <v/>
      </c>
    </row>
    <row r="2525">
      <c r="A2525" t="n">
        <v>1997</v>
      </c>
      <c r="B2525" t="inlineStr">
        <is>
          <t>A-5058__290</t>
        </is>
      </c>
      <c r="C2525" t="n">
        <v>37.245103443</v>
      </c>
      <c r="D2525" t="n">
        <v>-7.09223478001</v>
      </c>
      <c r="E2525" t="n">
        <v>3</v>
      </c>
      <c r="F2525" t="n">
        <v>3</v>
      </c>
      <c r="G2525" t="n">
        <v>3</v>
      </c>
      <c r="J2525" t="inlineStr">
        <is>
          <t>Moda</t>
        </is>
      </c>
      <c r="K2525" t="n">
        <v>3</v>
      </c>
      <c r="L2525" t="n">
        <v>2.814</v>
      </c>
      <c r="M2525" t="n">
        <v>0</v>
      </c>
      <c r="N2525" t="inlineStr">
        <is>
          <t>train</t>
        </is>
      </c>
      <c r="O2525">
        <f>HYPERLINK("3\0\marker_326_384145.png", "Ver Imagen")</f>
        <v/>
      </c>
      <c r="P2525">
        <f>HYPERLINK("SE\A-5058\A-5058__290.png", "Ver Imagen")</f>
        <v/>
      </c>
    </row>
    <row r="2526">
      <c r="A2526" t="n">
        <v>1997</v>
      </c>
      <c r="B2526" t="inlineStr">
        <is>
          <t>A-5058__290</t>
        </is>
      </c>
      <c r="C2526" t="n">
        <v>37.245103443</v>
      </c>
      <c r="D2526" t="n">
        <v>-7.09223478001</v>
      </c>
      <c r="E2526" t="n">
        <v>3</v>
      </c>
      <c r="F2526" t="n">
        <v>3</v>
      </c>
      <c r="G2526" t="n">
        <v>3</v>
      </c>
      <c r="J2526" t="inlineStr">
        <is>
          <t>Moda</t>
        </is>
      </c>
      <c r="K2526" t="n">
        <v>3</v>
      </c>
      <c r="L2526" t="n">
        <v>2.783</v>
      </c>
      <c r="M2526" t="n">
        <v>0</v>
      </c>
      <c r="N2526" t="inlineStr">
        <is>
          <t>train</t>
        </is>
      </c>
      <c r="O2526">
        <f>HYPERLINK("3\0\marker_326_384145.png", "Ver Imagen")</f>
        <v/>
      </c>
      <c r="P2526">
        <f>HYPERLINK("SO\A-5058\A-5058__290.png", "Ver Imagen")</f>
        <v/>
      </c>
    </row>
    <row r="2527">
      <c r="A2527" t="n">
        <v>1999</v>
      </c>
      <c r="B2527" t="inlineStr">
        <is>
          <t>A-5058__304</t>
        </is>
      </c>
      <c r="C2527" t="n">
        <v>37.2455676661</v>
      </c>
      <c r="D2527" t="n">
        <v>-7.09573568975</v>
      </c>
      <c r="E2527" t="n">
        <v>3</v>
      </c>
      <c r="F2527" t="n">
        <v>3</v>
      </c>
      <c r="G2527" t="n">
        <v>3</v>
      </c>
      <c r="J2527" t="inlineStr">
        <is>
          <t>Moda</t>
        </is>
      </c>
      <c r="K2527" t="n">
        <v>3</v>
      </c>
      <c r="L2527" t="n">
        <v>2.782</v>
      </c>
      <c r="M2527" t="n">
        <v>0</v>
      </c>
      <c r="N2527" t="inlineStr">
        <is>
          <t>test</t>
        </is>
      </c>
      <c r="O2527">
        <f>HYPERLINK("3\0\marker_577_384321.png", "Ver Imagen")</f>
        <v/>
      </c>
      <c r="P2527">
        <f>HYPERLINK("SE\A-5058\A-5058__304.png", "Ver Imagen")</f>
        <v/>
      </c>
    </row>
    <row r="2528">
      <c r="A2528" t="n">
        <v>1999</v>
      </c>
      <c r="B2528" t="inlineStr">
        <is>
          <t>A-5058__304</t>
        </is>
      </c>
      <c r="C2528" t="n">
        <v>37.2455676661</v>
      </c>
      <c r="D2528" t="n">
        <v>-7.09573568975</v>
      </c>
      <c r="E2528" t="n">
        <v>3</v>
      </c>
      <c r="F2528" t="n">
        <v>3</v>
      </c>
      <c r="G2528" t="n">
        <v>3</v>
      </c>
      <c r="J2528" t="inlineStr">
        <is>
          <t>Moda</t>
        </is>
      </c>
      <c r="K2528" t="n">
        <v>3</v>
      </c>
      <c r="L2528" t="n">
        <v>2.934</v>
      </c>
      <c r="M2528" t="n">
        <v>0</v>
      </c>
      <c r="N2528" t="inlineStr">
        <is>
          <t>test</t>
        </is>
      </c>
      <c r="O2528">
        <f>HYPERLINK("3\0\marker_577_384321.png", "Ver Imagen")</f>
        <v/>
      </c>
      <c r="P2528">
        <f>HYPERLINK("SO\A-5058\A-5058__304.png", "Ver Imagen")</f>
        <v/>
      </c>
    </row>
    <row r="2529">
      <c r="A2529" t="n">
        <v>2000</v>
      </c>
      <c r="B2529" t="inlineStr">
        <is>
          <t>A-5058__305</t>
        </is>
      </c>
      <c r="C2529" t="n">
        <v>37.2455867098</v>
      </c>
      <c r="D2529" t="n">
        <v>-7.09599498542</v>
      </c>
      <c r="E2529" t="n">
        <v>3</v>
      </c>
      <c r="F2529" t="n">
        <v>3</v>
      </c>
      <c r="G2529" t="n">
        <v>3</v>
      </c>
      <c r="J2529" t="inlineStr">
        <is>
          <t>Moda</t>
        </is>
      </c>
      <c r="K2529" t="n">
        <v>3</v>
      </c>
      <c r="L2529" t="n">
        <v>2.965</v>
      </c>
      <c r="M2529" t="n">
        <v>0</v>
      </c>
      <c r="N2529" t="inlineStr">
        <is>
          <t>train</t>
        </is>
      </c>
      <c r="O2529">
        <f>HYPERLINK("3\0\marker_911_384333.png", "Ver Imagen")</f>
        <v/>
      </c>
      <c r="P2529">
        <f>HYPERLINK("SE\A-5058\A-5058__305.png", "Ver Imagen")</f>
        <v/>
      </c>
    </row>
    <row r="2530">
      <c r="A2530" t="n">
        <v>2000</v>
      </c>
      <c r="B2530" t="inlineStr">
        <is>
          <t>A-5058__305</t>
        </is>
      </c>
      <c r="C2530" t="n">
        <v>37.2455867098</v>
      </c>
      <c r="D2530" t="n">
        <v>-7.09599498542</v>
      </c>
      <c r="E2530" t="n">
        <v>3</v>
      </c>
      <c r="F2530" t="n">
        <v>3</v>
      </c>
      <c r="G2530" t="n">
        <v>3</v>
      </c>
      <c r="J2530" t="inlineStr">
        <is>
          <t>Moda</t>
        </is>
      </c>
      <c r="K2530" t="n">
        <v>3</v>
      </c>
      <c r="L2530" t="n">
        <v>3.143</v>
      </c>
      <c r="M2530" t="n">
        <v>0</v>
      </c>
      <c r="N2530" t="inlineStr">
        <is>
          <t>train</t>
        </is>
      </c>
      <c r="O2530">
        <f>HYPERLINK("3\0\marker_911_384333.png", "Ver Imagen")</f>
        <v/>
      </c>
      <c r="P2530">
        <f>HYPERLINK("SO\A-5058\A-5058__305.png", "Ver Imagen")</f>
        <v/>
      </c>
    </row>
    <row r="2531">
      <c r="A2531" t="n">
        <v>2001</v>
      </c>
      <c r="B2531" t="inlineStr">
        <is>
          <t>A-5058__308</t>
        </is>
      </c>
      <c r="C2531" t="n">
        <v>37.245649158</v>
      </c>
      <c r="D2531" t="n">
        <v>-7.09674154114</v>
      </c>
      <c r="E2531" t="n">
        <v>3</v>
      </c>
      <c r="F2531" t="n">
        <v>3</v>
      </c>
      <c r="G2531" t="n">
        <v>3</v>
      </c>
      <c r="J2531" t="inlineStr">
        <is>
          <t>Moda</t>
        </is>
      </c>
      <c r="K2531" t="n">
        <v>3</v>
      </c>
      <c r="L2531" t="n">
        <v>2.975</v>
      </c>
      <c r="M2531" t="n">
        <v>0</v>
      </c>
      <c r="N2531" t="inlineStr">
        <is>
          <t>train</t>
        </is>
      </c>
      <c r="O2531">
        <f>HYPERLINK("3\0\marker_895_384375.png", "Ver Imagen")</f>
        <v/>
      </c>
      <c r="P2531">
        <f>HYPERLINK("SE\A-5058\A-5058__308.png", "Ver Imagen")</f>
        <v/>
      </c>
    </row>
    <row r="2532">
      <c r="A2532" t="n">
        <v>2001</v>
      </c>
      <c r="B2532" t="inlineStr">
        <is>
          <t>A-5058__308</t>
        </is>
      </c>
      <c r="C2532" t="n">
        <v>37.245649158</v>
      </c>
      <c r="D2532" t="n">
        <v>-7.09674154114</v>
      </c>
      <c r="E2532" t="n">
        <v>3</v>
      </c>
      <c r="F2532" t="n">
        <v>3</v>
      </c>
      <c r="G2532" t="n">
        <v>3</v>
      </c>
      <c r="J2532" t="inlineStr">
        <is>
          <t>Moda</t>
        </is>
      </c>
      <c r="K2532" t="n">
        <v>3</v>
      </c>
      <c r="L2532" t="n">
        <v>3.174</v>
      </c>
      <c r="M2532" t="n">
        <v>0</v>
      </c>
      <c r="N2532" t="inlineStr">
        <is>
          <t>train</t>
        </is>
      </c>
      <c r="O2532">
        <f>HYPERLINK("3\0\marker_895_384375.png", "Ver Imagen")</f>
        <v/>
      </c>
      <c r="P2532">
        <f>HYPERLINK("SO\A-5058\A-5058__308.png", "Ver Imagen")</f>
        <v/>
      </c>
    </row>
    <row r="2533">
      <c r="A2533" t="n">
        <v>2002</v>
      </c>
      <c r="B2533" t="inlineStr">
        <is>
          <t>A-5058__309</t>
        </is>
      </c>
      <c r="C2533" t="n">
        <v>37.2456780832</v>
      </c>
      <c r="D2533" t="n">
        <v>-7.09699607257</v>
      </c>
      <c r="E2533" t="n">
        <v>3</v>
      </c>
      <c r="F2533" t="n">
        <v>3</v>
      </c>
      <c r="G2533" t="n">
        <v>3</v>
      </c>
      <c r="J2533" t="inlineStr">
        <is>
          <t>Moda</t>
        </is>
      </c>
      <c r="K2533" t="n">
        <v>3</v>
      </c>
      <c r="L2533" t="n">
        <v>3.153</v>
      </c>
      <c r="M2533" t="n">
        <v>0</v>
      </c>
      <c r="N2533" t="inlineStr">
        <is>
          <t>train</t>
        </is>
      </c>
      <c r="O2533">
        <f>HYPERLINK("3\0\marker_603_384385.png", "Ver Imagen")</f>
        <v/>
      </c>
      <c r="P2533">
        <f>HYPERLINK("SE\A-5058\A-5058__309.png", "Ver Imagen")</f>
        <v/>
      </c>
    </row>
    <row r="2534">
      <c r="A2534" t="n">
        <v>2002</v>
      </c>
      <c r="B2534" t="inlineStr">
        <is>
          <t>A-5058__309</t>
        </is>
      </c>
      <c r="C2534" t="n">
        <v>37.2456780832</v>
      </c>
      <c r="D2534" t="n">
        <v>-7.09699607257</v>
      </c>
      <c r="E2534" t="n">
        <v>3</v>
      </c>
      <c r="F2534" t="n">
        <v>3</v>
      </c>
      <c r="G2534" t="n">
        <v>3</v>
      </c>
      <c r="J2534" t="inlineStr">
        <is>
          <t>Moda</t>
        </is>
      </c>
      <c r="K2534" t="n">
        <v>3</v>
      </c>
      <c r="L2534" t="n">
        <v>3.262</v>
      </c>
      <c r="M2534" t="n">
        <v>0</v>
      </c>
      <c r="N2534" t="inlineStr">
        <is>
          <t>train</t>
        </is>
      </c>
      <c r="O2534">
        <f>HYPERLINK("3\0\marker_603_384385.png", "Ver Imagen")</f>
        <v/>
      </c>
      <c r="P2534">
        <f>HYPERLINK("SO\A-5058\A-5058__309.png", "Ver Imagen")</f>
        <v/>
      </c>
    </row>
    <row r="2535">
      <c r="A2535" t="n">
        <v>2003</v>
      </c>
      <c r="B2535" t="inlineStr">
        <is>
          <t>A-5058__311</t>
        </is>
      </c>
      <c r="C2535" t="n">
        <v>37.2457533765</v>
      </c>
      <c r="D2535" t="n">
        <v>-7.09748323534</v>
      </c>
      <c r="E2535" t="n">
        <v>3</v>
      </c>
      <c r="F2535" t="n">
        <v>3</v>
      </c>
      <c r="G2535" t="n">
        <v>3</v>
      </c>
      <c r="J2535" t="inlineStr">
        <is>
          <t>Moda</t>
        </is>
      </c>
      <c r="K2535" t="n">
        <v>3</v>
      </c>
      <c r="L2535" t="n">
        <v>2.775</v>
      </c>
      <c r="M2535" t="n">
        <v>0</v>
      </c>
      <c r="N2535" t="inlineStr">
        <is>
          <t>test</t>
        </is>
      </c>
      <c r="O2535">
        <f>HYPERLINK("3\0\marker_252_384402.png", "Ver Imagen")</f>
        <v/>
      </c>
      <c r="P2535">
        <f>HYPERLINK("SE\A-5058\A-5058__311.png", "Ver Imagen")</f>
        <v/>
      </c>
    </row>
    <row r="2536">
      <c r="A2536" t="n">
        <v>2003</v>
      </c>
      <c r="B2536" t="inlineStr">
        <is>
          <t>A-5058__311</t>
        </is>
      </c>
      <c r="C2536" t="n">
        <v>37.2457533765</v>
      </c>
      <c r="D2536" t="n">
        <v>-7.09748323534</v>
      </c>
      <c r="E2536" t="n">
        <v>3</v>
      </c>
      <c r="F2536" t="n">
        <v>3</v>
      </c>
      <c r="G2536" t="n">
        <v>3</v>
      </c>
      <c r="J2536" t="inlineStr">
        <is>
          <t>Moda</t>
        </is>
      </c>
      <c r="K2536" t="n">
        <v>3</v>
      </c>
      <c r="L2536" t="n">
        <v>2.824</v>
      </c>
      <c r="M2536" t="n">
        <v>0</v>
      </c>
      <c r="N2536" t="inlineStr">
        <is>
          <t>test</t>
        </is>
      </c>
      <c r="O2536">
        <f>HYPERLINK("3\0\marker_252_384402.png", "Ver Imagen")</f>
        <v/>
      </c>
      <c r="P2536">
        <f>HYPERLINK("SO\A-5058\A-5058__311.png", "Ver Imagen")</f>
        <v/>
      </c>
    </row>
    <row r="2537">
      <c r="A2537" t="n">
        <v>2004</v>
      </c>
      <c r="B2537" t="inlineStr">
        <is>
          <t>A-5058__327</t>
        </is>
      </c>
      <c r="C2537" t="n">
        <v>37.2475627395</v>
      </c>
      <c r="D2537" t="n">
        <v>-7.10079518983</v>
      </c>
      <c r="E2537" t="n">
        <v>3</v>
      </c>
      <c r="F2537" t="n">
        <v>3</v>
      </c>
      <c r="G2537" t="n">
        <v>3</v>
      </c>
      <c r="J2537" t="inlineStr">
        <is>
          <t>Moda</t>
        </is>
      </c>
      <c r="K2537" t="n">
        <v>3</v>
      </c>
      <c r="L2537" t="n">
        <v>3.049</v>
      </c>
      <c r="M2537" t="n">
        <v>0</v>
      </c>
      <c r="N2537" t="inlineStr">
        <is>
          <t>train</t>
        </is>
      </c>
      <c r="O2537">
        <f>HYPERLINK("3\0\marker_870_384583.png", "Ver Imagen")</f>
        <v/>
      </c>
      <c r="P2537">
        <f>HYPERLINK("SE\A-5058\A-5058__327.png", "Ver Imagen")</f>
        <v/>
      </c>
    </row>
    <row r="2538">
      <c r="A2538" t="n">
        <v>2004</v>
      </c>
      <c r="B2538" t="inlineStr">
        <is>
          <t>A-5058__327</t>
        </is>
      </c>
      <c r="C2538" t="n">
        <v>37.2475627395</v>
      </c>
      <c r="D2538" t="n">
        <v>-7.10079518983</v>
      </c>
      <c r="E2538" t="n">
        <v>3</v>
      </c>
      <c r="F2538" t="n">
        <v>3</v>
      </c>
      <c r="G2538" t="n">
        <v>3</v>
      </c>
      <c r="J2538" t="inlineStr">
        <is>
          <t>Moda</t>
        </is>
      </c>
      <c r="K2538" t="n">
        <v>3</v>
      </c>
      <c r="L2538" t="n">
        <v>2.901</v>
      </c>
      <c r="M2538" t="n">
        <v>0</v>
      </c>
      <c r="N2538" t="inlineStr">
        <is>
          <t>train</t>
        </is>
      </c>
      <c r="O2538">
        <f>HYPERLINK("3\0\marker_870_384583.png", "Ver Imagen")</f>
        <v/>
      </c>
      <c r="P2538">
        <f>HYPERLINK("SO\A-5058\A-5058__327.png", "Ver Imagen")</f>
        <v/>
      </c>
    </row>
    <row r="2539">
      <c r="A2539" t="n">
        <v>2005</v>
      </c>
      <c r="B2539" t="inlineStr">
        <is>
          <t>A-5058__332</t>
        </is>
      </c>
      <c r="C2539" t="n">
        <v>37.2482443727</v>
      </c>
      <c r="D2539" t="n">
        <v>-7.10172252306</v>
      </c>
      <c r="E2539" t="n">
        <v>3</v>
      </c>
      <c r="F2539" t="n">
        <v>3</v>
      </c>
      <c r="G2539" t="n">
        <v>3</v>
      </c>
      <c r="J2539" t="inlineStr">
        <is>
          <t>Moda</t>
        </is>
      </c>
      <c r="K2539" t="n">
        <v>3</v>
      </c>
      <c r="L2539" t="n">
        <v>2.967</v>
      </c>
      <c r="M2539" t="n">
        <v>0</v>
      </c>
      <c r="N2539" t="inlineStr">
        <is>
          <t>train</t>
        </is>
      </c>
      <c r="O2539">
        <f>HYPERLINK("3\0\marker_449_384655.png", "Ver Imagen")</f>
        <v/>
      </c>
      <c r="P2539">
        <f>HYPERLINK("SE\A-5058\A-5058__332.png", "Ver Imagen")</f>
        <v/>
      </c>
    </row>
    <row r="2540">
      <c r="A2540" t="n">
        <v>2005</v>
      </c>
      <c r="B2540" t="inlineStr">
        <is>
          <t>A-5058__332</t>
        </is>
      </c>
      <c r="C2540" t="n">
        <v>37.2482443727</v>
      </c>
      <c r="D2540" t="n">
        <v>-7.10172252306</v>
      </c>
      <c r="E2540" t="n">
        <v>3</v>
      </c>
      <c r="F2540" t="n">
        <v>3</v>
      </c>
      <c r="G2540" t="n">
        <v>3</v>
      </c>
      <c r="J2540" t="inlineStr">
        <is>
          <t>Moda</t>
        </is>
      </c>
      <c r="K2540" t="n">
        <v>3</v>
      </c>
      <c r="L2540" t="n">
        <v>3.221</v>
      </c>
      <c r="M2540" t="n">
        <v>0</v>
      </c>
      <c r="N2540" t="inlineStr">
        <is>
          <t>train</t>
        </is>
      </c>
      <c r="O2540">
        <f>HYPERLINK("3\0\marker_449_384655.png", "Ver Imagen")</f>
        <v/>
      </c>
      <c r="P2540">
        <f>HYPERLINK("SO\A-5058\A-5058__332.png", "Ver Imagen")</f>
        <v/>
      </c>
    </row>
    <row r="2541">
      <c r="A2541" t="n">
        <v>2006</v>
      </c>
      <c r="B2541" t="inlineStr">
        <is>
          <t>A-5058__337</t>
        </is>
      </c>
      <c r="C2541" t="n">
        <v>37.249133442</v>
      </c>
      <c r="D2541" t="n">
        <v>-7.10233100284</v>
      </c>
      <c r="E2541" t="n">
        <v>3</v>
      </c>
      <c r="F2541" t="n">
        <v>3</v>
      </c>
      <c r="G2541" t="n">
        <v>3</v>
      </c>
      <c r="J2541" t="inlineStr">
        <is>
          <t>Moda</t>
        </is>
      </c>
      <c r="K2541" t="n">
        <v>3</v>
      </c>
      <c r="L2541" t="n">
        <v>3.363</v>
      </c>
      <c r="M2541" t="n">
        <v>0</v>
      </c>
      <c r="N2541" t="inlineStr">
        <is>
          <t>train</t>
        </is>
      </c>
      <c r="O2541">
        <f>HYPERLINK("3\0\marker_331_384722.png", "Ver Imagen")</f>
        <v/>
      </c>
      <c r="P2541">
        <f>HYPERLINK("SE\A-5058\A-5058__337.png", "Ver Imagen")</f>
        <v/>
      </c>
    </row>
    <row r="2542">
      <c r="A2542" t="n">
        <v>2007</v>
      </c>
      <c r="B2542" t="inlineStr">
        <is>
          <t>A-5058__342</t>
        </is>
      </c>
      <c r="C2542" t="n">
        <v>37.2500338127</v>
      </c>
      <c r="D2542" t="n">
        <v>-7.10285249496</v>
      </c>
      <c r="E2542" t="n">
        <v>3</v>
      </c>
      <c r="F2542" t="n">
        <v>3</v>
      </c>
      <c r="G2542" t="n">
        <v>3</v>
      </c>
      <c r="J2542" t="inlineStr">
        <is>
          <t>Moda</t>
        </is>
      </c>
      <c r="K2542" t="n">
        <v>3</v>
      </c>
      <c r="L2542" t="n">
        <v>3.148</v>
      </c>
      <c r="M2542" t="n">
        <v>0</v>
      </c>
      <c r="N2542" t="inlineStr">
        <is>
          <t>train</t>
        </is>
      </c>
      <c r="O2542">
        <f>HYPERLINK("3\0\marker_962_384785.png", "Ver Imagen")</f>
        <v/>
      </c>
      <c r="P2542">
        <f>HYPERLINK("SE\A-5058\A-5058__342.png", "Ver Imagen")</f>
        <v/>
      </c>
    </row>
    <row r="2543">
      <c r="A2543" t="n">
        <v>2007</v>
      </c>
      <c r="B2543" t="inlineStr">
        <is>
          <t>A-5058__342</t>
        </is>
      </c>
      <c r="C2543" t="n">
        <v>37.2500338127</v>
      </c>
      <c r="D2543" t="n">
        <v>-7.10285249496</v>
      </c>
      <c r="E2543" t="n">
        <v>3</v>
      </c>
      <c r="F2543" t="n">
        <v>3</v>
      </c>
      <c r="G2543" t="n">
        <v>3</v>
      </c>
      <c r="J2543" t="inlineStr">
        <is>
          <t>Moda</t>
        </is>
      </c>
      <c r="K2543" t="n">
        <v>3</v>
      </c>
      <c r="L2543" t="n">
        <v>2.948</v>
      </c>
      <c r="M2543" t="n">
        <v>0</v>
      </c>
      <c r="N2543" t="inlineStr">
        <is>
          <t>train</t>
        </is>
      </c>
      <c r="O2543">
        <f>HYPERLINK("3\0\marker_962_384785.png", "Ver Imagen")</f>
        <v/>
      </c>
      <c r="P2543">
        <f>HYPERLINK("SO\A-5058\A-5058__342.png", "Ver Imagen")</f>
        <v/>
      </c>
    </row>
    <row r="2544">
      <c r="A2544" t="n">
        <v>2009</v>
      </c>
      <c r="B2544" t="inlineStr">
        <is>
          <t>A-5058__383</t>
        </is>
      </c>
      <c r="C2544" t="n">
        <v>37.2553130864</v>
      </c>
      <c r="D2544" t="n">
        <v>-7.11017305715</v>
      </c>
      <c r="E2544" t="n">
        <v>3</v>
      </c>
      <c r="F2544" t="n">
        <v>3</v>
      </c>
      <c r="G2544" t="n">
        <v>3</v>
      </c>
      <c r="J2544" t="inlineStr">
        <is>
          <t>Moda</t>
        </is>
      </c>
      <c r="K2544" t="n">
        <v>3</v>
      </c>
      <c r="L2544" t="n">
        <v>2.936</v>
      </c>
      <c r="M2544" t="n">
        <v>0</v>
      </c>
      <c r="N2544" t="inlineStr">
        <is>
          <t>train</t>
        </is>
      </c>
      <c r="O2544">
        <f>HYPERLINK("3\0\marker_160_385241.png", "Ver Imagen")</f>
        <v/>
      </c>
      <c r="P2544">
        <f>HYPERLINK("SO\A-5058\A-5058__383.png", "Ver Imagen")</f>
        <v/>
      </c>
    </row>
    <row r="2545">
      <c r="A2545" t="n">
        <v>2010</v>
      </c>
      <c r="B2545" t="inlineStr">
        <is>
          <t>A-5058__390</t>
        </is>
      </c>
      <c r="C2545" t="n">
        <v>37.2552765941</v>
      </c>
      <c r="D2545" t="n">
        <v>-7.1119392471</v>
      </c>
      <c r="E2545" t="n">
        <v>3</v>
      </c>
      <c r="F2545" t="n">
        <v>3</v>
      </c>
      <c r="G2545" t="n">
        <v>3</v>
      </c>
      <c r="J2545" t="inlineStr">
        <is>
          <t>Moda</t>
        </is>
      </c>
      <c r="K2545" t="n">
        <v>3</v>
      </c>
      <c r="L2545" t="n">
        <v>2.777</v>
      </c>
      <c r="M2545" t="n">
        <v>0</v>
      </c>
      <c r="N2545" t="inlineStr">
        <is>
          <t>train</t>
        </is>
      </c>
      <c r="O2545">
        <f>HYPERLINK("3\0\marker_400_385305.png", "Ver Imagen")</f>
        <v/>
      </c>
      <c r="P2545">
        <f>HYPERLINK("SO\A-5058\A-5058__390.png", "Ver Imagen")</f>
        <v/>
      </c>
    </row>
    <row r="2546">
      <c r="A2546" t="n">
        <v>2011</v>
      </c>
      <c r="B2546" t="inlineStr">
        <is>
          <t>A-5058__393</t>
        </is>
      </c>
      <c r="C2546" t="n">
        <v>37.2551237078</v>
      </c>
      <c r="D2546" t="n">
        <v>-7.11263663605</v>
      </c>
      <c r="E2546" t="n">
        <v>3</v>
      </c>
      <c r="F2546" t="n">
        <v>3</v>
      </c>
      <c r="G2546" t="n">
        <v>3</v>
      </c>
      <c r="J2546" t="inlineStr">
        <is>
          <t>Moda</t>
        </is>
      </c>
      <c r="K2546" t="n">
        <v>3</v>
      </c>
      <c r="L2546" t="n">
        <v>2.876</v>
      </c>
      <c r="M2546" t="n">
        <v>0</v>
      </c>
      <c r="N2546" t="inlineStr">
        <is>
          <t>train</t>
        </is>
      </c>
      <c r="O2546">
        <f>HYPERLINK("3\0\marker_252_385332.png", "Ver Imagen")</f>
        <v/>
      </c>
      <c r="P2546">
        <f>HYPERLINK("SO\A-5058\A-5058__393.png", "Ver Imagen")</f>
        <v/>
      </c>
    </row>
    <row r="2547">
      <c r="A2547" t="n">
        <v>2013</v>
      </c>
      <c r="B2547" t="inlineStr">
        <is>
          <t>A-5058__400</t>
        </is>
      </c>
      <c r="C2547" t="n">
        <v>37.2546984193</v>
      </c>
      <c r="D2547" t="n">
        <v>-7.11436839687</v>
      </c>
      <c r="E2547" t="n">
        <v>3</v>
      </c>
      <c r="F2547" t="n">
        <v>3</v>
      </c>
      <c r="G2547" t="n">
        <v>3</v>
      </c>
      <c r="J2547" t="inlineStr">
        <is>
          <t>Moda</t>
        </is>
      </c>
      <c r="K2547" t="n">
        <v>3</v>
      </c>
      <c r="L2547" t="n">
        <v>2.778</v>
      </c>
      <c r="M2547" t="n">
        <v>0</v>
      </c>
      <c r="N2547" t="inlineStr">
        <is>
          <t>train</t>
        </is>
      </c>
      <c r="O2547">
        <f>HYPERLINK("3\0\marker_855_388064.png", "Ver Imagen")</f>
        <v/>
      </c>
      <c r="P2547">
        <f>HYPERLINK("SO\A-5058\A-5058__400.png", "Ver Imagen")</f>
        <v/>
      </c>
    </row>
    <row r="2548">
      <c r="A2548" t="n">
        <v>2014</v>
      </c>
      <c r="B2548" t="inlineStr">
        <is>
          <t>A-5058__407</t>
        </is>
      </c>
      <c r="C2548" t="n">
        <v>37.2546221626</v>
      </c>
      <c r="D2548" t="n">
        <v>-7.11609740572</v>
      </c>
      <c r="E2548" t="n">
        <v>3</v>
      </c>
      <c r="F2548" t="n">
        <v>3</v>
      </c>
      <c r="G2548" t="n">
        <v>3</v>
      </c>
      <c r="J2548" t="inlineStr">
        <is>
          <t>Moda</t>
        </is>
      </c>
      <c r="K2548" t="n">
        <v>3</v>
      </c>
      <c r="L2548" t="n">
        <v>2.848</v>
      </c>
      <c r="M2548" t="n">
        <v>0</v>
      </c>
      <c r="N2548" t="inlineStr">
        <is>
          <t>train</t>
        </is>
      </c>
      <c r="O2548">
        <f>HYPERLINK("3\0\marker_992_388618.png", "Ver Imagen")</f>
        <v/>
      </c>
      <c r="P2548">
        <f>HYPERLINK("SO\A-5058\A-5058__407.png", "Ver Imagen")</f>
        <v/>
      </c>
    </row>
    <row r="2549">
      <c r="A2549" t="n">
        <v>2015</v>
      </c>
      <c r="B2549" t="inlineStr">
        <is>
          <t>A-5058__408</t>
        </is>
      </c>
      <c r="C2549" t="n">
        <v>37.2546666239</v>
      </c>
      <c r="D2549" t="n">
        <v>-7.11632592991</v>
      </c>
      <c r="E2549" t="n">
        <v>3</v>
      </c>
      <c r="F2549" t="n">
        <v>3</v>
      </c>
      <c r="G2549" t="n">
        <v>3</v>
      </c>
      <c r="J2549" t="inlineStr">
        <is>
          <t>Moda</t>
        </is>
      </c>
      <c r="K2549" t="n">
        <v>3</v>
      </c>
      <c r="L2549" t="n">
        <v>2.965</v>
      </c>
      <c r="M2549" t="n">
        <v>0</v>
      </c>
      <c r="N2549" t="inlineStr">
        <is>
          <t>train</t>
        </is>
      </c>
      <c r="O2549">
        <f>HYPERLINK("3\0\marker_419_388627.png", "Ver Imagen")</f>
        <v/>
      </c>
      <c r="P2549">
        <f>HYPERLINK("SO\A-5058\A-5058__408.png", "Ver Imagen")</f>
        <v/>
      </c>
    </row>
    <row r="2550">
      <c r="A2550" t="n">
        <v>2016</v>
      </c>
      <c r="B2550" t="inlineStr">
        <is>
          <t>A-5058__434</t>
        </is>
      </c>
      <c r="C2550" t="n">
        <v>37.2584810184</v>
      </c>
      <c r="D2550" t="n">
        <v>-7.12053623356</v>
      </c>
      <c r="E2550" t="n">
        <v>3</v>
      </c>
      <c r="F2550" t="n">
        <v>3</v>
      </c>
      <c r="G2550" t="n">
        <v>3</v>
      </c>
      <c r="J2550" t="inlineStr">
        <is>
          <t>Moda</t>
        </is>
      </c>
      <c r="K2550" t="n">
        <v>3</v>
      </c>
      <c r="L2550" t="n">
        <v>2.984</v>
      </c>
      <c r="M2550" t="n">
        <v>0</v>
      </c>
      <c r="N2550" t="inlineStr">
        <is>
          <t>train</t>
        </is>
      </c>
      <c r="O2550">
        <f>HYPERLINK("3\0\marker_967_388901.png", "Ver Imagen")</f>
        <v/>
      </c>
      <c r="P2550">
        <f>HYPERLINK("SO\A-5058\A-5058__434.png", "Ver Imagen")</f>
        <v/>
      </c>
    </row>
    <row r="2551">
      <c r="A2551" t="n">
        <v>2017</v>
      </c>
      <c r="B2551" t="inlineStr">
        <is>
          <t>A-5058__443</t>
        </is>
      </c>
      <c r="C2551" t="n">
        <v>37.2588339792</v>
      </c>
      <c r="D2551" t="n">
        <v>-7.12278581994</v>
      </c>
      <c r="E2551" t="n">
        <v>3</v>
      </c>
      <c r="F2551" t="n">
        <v>3</v>
      </c>
      <c r="G2551" t="n">
        <v>3</v>
      </c>
      <c r="J2551" t="inlineStr">
        <is>
          <t>Moda</t>
        </is>
      </c>
      <c r="K2551" t="n">
        <v>3</v>
      </c>
      <c r="L2551" t="n">
        <v>3.201</v>
      </c>
      <c r="M2551" t="n">
        <v>0</v>
      </c>
      <c r="N2551" t="inlineStr">
        <is>
          <t>train</t>
        </is>
      </c>
      <c r="O2551">
        <f>HYPERLINK("3\0\marker_930_389011.png", "Ver Imagen")</f>
        <v/>
      </c>
      <c r="P2551">
        <f>HYPERLINK("SO\A-5058\A-5058__443.png", "Ver Imagen")</f>
        <v/>
      </c>
    </row>
    <row r="2552">
      <c r="A2552" t="n">
        <v>2018</v>
      </c>
      <c r="B2552" t="inlineStr">
        <is>
          <t>A-5058__445</t>
        </is>
      </c>
      <c r="C2552" t="n">
        <v>37.2588775198</v>
      </c>
      <c r="D2552" t="n">
        <v>-7.12331664864</v>
      </c>
      <c r="E2552" t="n">
        <v>3</v>
      </c>
      <c r="F2552" t="n">
        <v>3</v>
      </c>
      <c r="G2552" t="n">
        <v>3</v>
      </c>
      <c r="J2552" t="inlineStr">
        <is>
          <t>Moda</t>
        </is>
      </c>
      <c r="K2552" t="n">
        <v>3</v>
      </c>
      <c r="L2552" t="n">
        <v>3.278</v>
      </c>
      <c r="M2552" t="n">
        <v>0</v>
      </c>
      <c r="N2552" t="inlineStr">
        <is>
          <t>train</t>
        </is>
      </c>
      <c r="O2552">
        <f>HYPERLINK("3\0\marker_417_389029.png", "Ver Imagen")</f>
        <v/>
      </c>
      <c r="P2552">
        <f>HYPERLINK("SO\A-5058\A-5058__445.png", "Ver Imagen")</f>
        <v/>
      </c>
    </row>
    <row r="2553">
      <c r="A2553" t="n">
        <v>2019</v>
      </c>
      <c r="B2553" t="inlineStr">
        <is>
          <t>A-5058__453</t>
        </is>
      </c>
      <c r="C2553" t="n">
        <v>37.2591451256</v>
      </c>
      <c r="D2553" t="n">
        <v>-7.12528865363</v>
      </c>
      <c r="E2553" t="n">
        <v>3</v>
      </c>
      <c r="F2553" t="n">
        <v>3</v>
      </c>
      <c r="G2553" t="n">
        <v>3</v>
      </c>
      <c r="J2553" t="inlineStr">
        <is>
          <t>Moda</t>
        </is>
      </c>
      <c r="K2553" t="n">
        <v>3</v>
      </c>
      <c r="L2553" t="n">
        <v>3.166</v>
      </c>
      <c r="M2553" t="n">
        <v>0</v>
      </c>
      <c r="N2553" t="inlineStr">
        <is>
          <t>train</t>
        </is>
      </c>
      <c r="O2553">
        <f>HYPERLINK("3\0\marker_629_389121.png", "Ver Imagen")</f>
        <v/>
      </c>
      <c r="P2553">
        <f>HYPERLINK("SO\A-5058\A-5058__453.png", "Ver Imagen")</f>
        <v/>
      </c>
    </row>
    <row r="2554">
      <c r="A2554" t="n">
        <v>2020</v>
      </c>
      <c r="B2554" t="inlineStr">
        <is>
          <t>A-495__8</t>
        </is>
      </c>
      <c r="C2554" t="n">
        <v>37.4440035578</v>
      </c>
      <c r="D2554" t="n">
        <v>-7.09844229479</v>
      </c>
      <c r="E2554" t="n">
        <v>3</v>
      </c>
      <c r="F2554" t="n">
        <v>3</v>
      </c>
      <c r="G2554" t="n">
        <v>3</v>
      </c>
      <c r="J2554" t="inlineStr">
        <is>
          <t>Moda</t>
        </is>
      </c>
      <c r="K2554" t="n">
        <v>3</v>
      </c>
      <c r="L2554" t="n">
        <v>3.042</v>
      </c>
      <c r="M2554" t="n">
        <v>0</v>
      </c>
      <c r="N2554" t="inlineStr">
        <is>
          <t>train</t>
        </is>
      </c>
      <c r="O2554">
        <f>HYPERLINK("3\0\marker_990_381057.png", "Ver Imagen")</f>
        <v/>
      </c>
      <c r="P2554">
        <f>HYPERLINK("NE\A-495\A-495__8.png", "Ver Imagen")</f>
        <v/>
      </c>
    </row>
    <row r="2555">
      <c r="A2555" t="n">
        <v>2021</v>
      </c>
      <c r="B2555" t="inlineStr">
        <is>
          <t>A-495__9</t>
        </is>
      </c>
      <c r="C2555" t="n">
        <v>37.4439940175</v>
      </c>
      <c r="D2555" t="n">
        <v>-7.09822724296</v>
      </c>
      <c r="E2555" t="n">
        <v>3</v>
      </c>
      <c r="F2555" t="n">
        <v>3</v>
      </c>
      <c r="G2555" t="n">
        <v>3</v>
      </c>
      <c r="J2555" t="inlineStr">
        <is>
          <t>Moda</t>
        </is>
      </c>
      <c r="K2555" t="n">
        <v>3</v>
      </c>
      <c r="L2555" t="n">
        <v>2.624</v>
      </c>
      <c r="M2555" t="n">
        <v>0</v>
      </c>
      <c r="N2555" t="inlineStr">
        <is>
          <t>train</t>
        </is>
      </c>
      <c r="O2555">
        <f>HYPERLINK("3\0\marker_931_381150.png", "Ver Imagen")</f>
        <v/>
      </c>
      <c r="P2555">
        <f>HYPERLINK("NE\A-495\A-495__9.png", "Ver Imagen")</f>
        <v/>
      </c>
    </row>
    <row r="2556">
      <c r="A2556" t="n">
        <v>2022</v>
      </c>
      <c r="B2556" t="inlineStr">
        <is>
          <t>A-495_1__193</t>
        </is>
      </c>
      <c r="C2556" t="n">
        <v>37.4844342846</v>
      </c>
      <c r="D2556" t="n">
        <v>-7.13029926944</v>
      </c>
      <c r="E2556" t="n">
        <v>3</v>
      </c>
      <c r="F2556" t="n">
        <v>3</v>
      </c>
      <c r="G2556" t="n">
        <v>3</v>
      </c>
      <c r="J2556" t="inlineStr">
        <is>
          <t>Moda</t>
        </is>
      </c>
      <c r="K2556" t="n">
        <v>3</v>
      </c>
      <c r="L2556" t="n">
        <v>2.87</v>
      </c>
      <c r="M2556" t="n">
        <v>0</v>
      </c>
      <c r="N2556" t="inlineStr">
        <is>
          <t>val</t>
        </is>
      </c>
      <c r="O2556">
        <f>HYPERLINK("3\0\marker_950_383702.png", "Ver Imagen")</f>
        <v/>
      </c>
      <c r="P2556">
        <f>HYPERLINK("NE\A-495_1\A-495_1__193.png", "Ver Imagen")</f>
        <v/>
      </c>
    </row>
    <row r="2557">
      <c r="A2557" t="n">
        <v>2025</v>
      </c>
      <c r="B2557" t="inlineStr">
        <is>
          <t>A-495_1__138</t>
        </is>
      </c>
      <c r="C2557" t="n">
        <v>37.4745746644</v>
      </c>
      <c r="D2557" t="n">
        <v>-7.12609747406</v>
      </c>
      <c r="E2557" t="n">
        <v>3</v>
      </c>
      <c r="F2557" t="n">
        <v>3</v>
      </c>
      <c r="G2557" t="n">
        <v>3</v>
      </c>
      <c r="J2557" t="inlineStr">
        <is>
          <t>Moda</t>
        </is>
      </c>
      <c r="K2557" t="n">
        <v>3</v>
      </c>
      <c r="L2557" t="n">
        <v>2.748</v>
      </c>
      <c r="M2557" t="n">
        <v>0</v>
      </c>
      <c r="N2557" t="inlineStr">
        <is>
          <t>train</t>
        </is>
      </c>
      <c r="O2557">
        <f>HYPERLINK("3\0\marker_630_384391.png", "Ver Imagen")</f>
        <v/>
      </c>
      <c r="P2557">
        <f>HYPERLINK("NE\A-495_1\A-495_1__138.png", "Ver Imagen")</f>
        <v/>
      </c>
    </row>
    <row r="2558">
      <c r="A2558" t="n">
        <v>2026</v>
      </c>
      <c r="B2558" t="inlineStr">
        <is>
          <t>A-495_1__111</t>
        </is>
      </c>
      <c r="C2558" t="n">
        <v>37.4695471942</v>
      </c>
      <c r="D2558" t="n">
        <v>-7.12431666691</v>
      </c>
      <c r="E2558" t="n">
        <v>3</v>
      </c>
      <c r="F2558" t="n">
        <v>3</v>
      </c>
      <c r="G2558" t="n">
        <v>3</v>
      </c>
      <c r="J2558" t="inlineStr">
        <is>
          <t>Moda</t>
        </is>
      </c>
      <c r="K2558" t="n">
        <v>3</v>
      </c>
      <c r="L2558" t="n">
        <v>3.051</v>
      </c>
      <c r="M2558" t="n">
        <v>0</v>
      </c>
      <c r="N2558" t="inlineStr">
        <is>
          <t>train</t>
        </is>
      </c>
      <c r="O2558">
        <f>HYPERLINK("3\0\marker_519_384711.png", "Ver Imagen")</f>
        <v/>
      </c>
      <c r="P2558">
        <f>HYPERLINK("NE\A-495_1\A-495_1__111.png", "Ver Imagen")</f>
        <v/>
      </c>
    </row>
    <row r="2559">
      <c r="A2559" t="n">
        <v>2029</v>
      </c>
      <c r="B2559" t="inlineStr">
        <is>
          <t>A-495_1__14</t>
        </is>
      </c>
      <c r="C2559" t="n">
        <v>37.450783152</v>
      </c>
      <c r="D2559" t="n">
        <v>-7.12739237137</v>
      </c>
      <c r="E2559" t="n">
        <v>3</v>
      </c>
      <c r="F2559" t="n">
        <v>3</v>
      </c>
      <c r="G2559" t="n">
        <v>3</v>
      </c>
      <c r="J2559" t="inlineStr">
        <is>
          <t>Moda</t>
        </is>
      </c>
      <c r="K2559" t="n">
        <v>3</v>
      </c>
      <c r="L2559" t="n">
        <v>3.241</v>
      </c>
      <c r="M2559" t="n">
        <v>0</v>
      </c>
      <c r="N2559" t="inlineStr">
        <is>
          <t>train</t>
        </is>
      </c>
      <c r="O2559">
        <f>HYPERLINK("3\0\marker_526_386187.png", "Ver Imagen")</f>
        <v/>
      </c>
      <c r="P2559">
        <f>HYPERLINK("NE\A-495_1\A-495_1__14.png", "Ver Imagen")</f>
        <v/>
      </c>
    </row>
    <row r="2560">
      <c r="A2560" t="n">
        <v>2030</v>
      </c>
      <c r="B2560" t="inlineStr">
        <is>
          <t>A-495_1__6</t>
        </is>
      </c>
      <c r="C2560" t="n">
        <v>37.4492069021</v>
      </c>
      <c r="D2560" t="n">
        <v>-7.12700018059</v>
      </c>
      <c r="E2560" t="n">
        <v>3</v>
      </c>
      <c r="F2560" t="n">
        <v>3</v>
      </c>
      <c r="G2560" t="n">
        <v>3</v>
      </c>
      <c r="J2560" t="inlineStr">
        <is>
          <t>Moda</t>
        </is>
      </c>
      <c r="K2560" t="n">
        <v>3</v>
      </c>
      <c r="L2560" t="n">
        <v>2.87</v>
      </c>
      <c r="M2560" t="n">
        <v>0</v>
      </c>
      <c r="N2560" t="inlineStr">
        <is>
          <t>train</t>
        </is>
      </c>
      <c r="O2560">
        <f>HYPERLINK("3\0\marker_498_386264.png", "Ver Imagen")</f>
        <v/>
      </c>
      <c r="P2560">
        <f>HYPERLINK("NE\A-495_1\A-495_1__6.png", "Ver Imagen")</f>
        <v/>
      </c>
    </row>
    <row r="2561">
      <c r="A2561" t="n">
        <v>2031</v>
      </c>
      <c r="B2561" t="inlineStr">
        <is>
          <t>A-499__65</t>
        </is>
      </c>
      <c r="C2561" t="n">
        <v>37.4953413697</v>
      </c>
      <c r="D2561" t="n">
        <v>-7.27153364629</v>
      </c>
      <c r="E2561" t="n">
        <v>3</v>
      </c>
      <c r="F2561" t="n">
        <v>3</v>
      </c>
      <c r="G2561" t="n">
        <v>3</v>
      </c>
      <c r="J2561" t="inlineStr">
        <is>
          <t>Moda</t>
        </is>
      </c>
      <c r="K2561" t="n">
        <v>3</v>
      </c>
      <c r="L2561" t="n">
        <v>2.937</v>
      </c>
      <c r="M2561" t="n">
        <v>0</v>
      </c>
      <c r="N2561" t="inlineStr">
        <is>
          <t>train</t>
        </is>
      </c>
      <c r="O2561">
        <f>HYPERLINK("3\0\marker_842_535124.png", "Ver Imagen")</f>
        <v/>
      </c>
      <c r="P2561">
        <f>HYPERLINK("NO\A-499\A-499__65.png", "Ver Imagen")</f>
        <v/>
      </c>
    </row>
    <row r="2562">
      <c r="A2562" t="n">
        <v>2032</v>
      </c>
      <c r="B2562" t="inlineStr">
        <is>
          <t>A-499__91</t>
        </is>
      </c>
      <c r="C2562" t="n">
        <v>37.4970376448</v>
      </c>
      <c r="D2562" t="n">
        <v>-7.26810956874</v>
      </c>
      <c r="E2562" t="n">
        <v>3</v>
      </c>
      <c r="F2562" t="n">
        <v>3</v>
      </c>
      <c r="G2562" t="n">
        <v>3</v>
      </c>
      <c r="J2562" t="inlineStr">
        <is>
          <t>Moda</t>
        </is>
      </c>
      <c r="K2562" t="n">
        <v>3</v>
      </c>
      <c r="L2562" t="n">
        <v>2.925</v>
      </c>
      <c r="M2562" t="n">
        <v>0</v>
      </c>
      <c r="N2562" t="inlineStr">
        <is>
          <t>train</t>
        </is>
      </c>
      <c r="O2562">
        <f>HYPERLINK("3\0\marker_122_790026.png", "Ver Imagen")</f>
        <v/>
      </c>
      <c r="P2562">
        <f>HYPERLINK("NO\A-499\A-499__91.png", "Ver Imagen")</f>
        <v/>
      </c>
    </row>
    <row r="2563">
      <c r="A2563" t="n">
        <v>2033</v>
      </c>
      <c r="B2563" t="inlineStr">
        <is>
          <t>A-497__835</t>
        </is>
      </c>
      <c r="C2563" t="n">
        <v>37.198884875</v>
      </c>
      <c r="D2563" t="n">
        <v>-6.98254120082</v>
      </c>
      <c r="E2563" t="n">
        <v>3</v>
      </c>
      <c r="F2563" t="n">
        <v>3</v>
      </c>
      <c r="G2563" t="n">
        <v>3</v>
      </c>
      <c r="J2563" t="inlineStr">
        <is>
          <t>Moda</t>
        </is>
      </c>
      <c r="K2563" t="n">
        <v>3</v>
      </c>
      <c r="L2563" t="n">
        <v>3.16</v>
      </c>
      <c r="M2563" t="n">
        <v>0</v>
      </c>
      <c r="N2563" t="inlineStr">
        <is>
          <t>train</t>
        </is>
      </c>
      <c r="O2563">
        <f>HYPERLINK("3\0\marker_245_367597.png", "Ver Imagen")</f>
        <v/>
      </c>
      <c r="P2563">
        <f>HYPERLINK("SE\A-497\A-497__835.png", "Ver Imagen")</f>
        <v/>
      </c>
    </row>
    <row r="2564">
      <c r="A2564" t="n">
        <v>2034</v>
      </c>
      <c r="B2564" t="inlineStr">
        <is>
          <t>A-497__833</t>
        </is>
      </c>
      <c r="C2564" t="n">
        <v>37.1987167527</v>
      </c>
      <c r="D2564" t="n">
        <v>-6.98212084601</v>
      </c>
      <c r="E2564" t="n">
        <v>3</v>
      </c>
      <c r="F2564" t="n">
        <v>3</v>
      </c>
      <c r="G2564" t="n">
        <v>3</v>
      </c>
      <c r="J2564" t="inlineStr">
        <is>
          <t>Moda</t>
        </is>
      </c>
      <c r="K2564" t="n">
        <v>3</v>
      </c>
      <c r="L2564" t="n">
        <v>2.941</v>
      </c>
      <c r="M2564" t="n">
        <v>0</v>
      </c>
      <c r="N2564" t="inlineStr">
        <is>
          <t>train</t>
        </is>
      </c>
      <c r="O2564">
        <f>HYPERLINK("3\0\marker_226_367617.png", "Ver Imagen")</f>
        <v/>
      </c>
      <c r="P2564">
        <f>HYPERLINK("SE\A-497\A-497__833.png", "Ver Imagen")</f>
        <v/>
      </c>
    </row>
    <row r="2565">
      <c r="A2565" t="n">
        <v>2036</v>
      </c>
      <c r="B2565" t="inlineStr">
        <is>
          <t>A-497__829</t>
        </is>
      </c>
      <c r="C2565" t="n">
        <v>37.1982927728</v>
      </c>
      <c r="D2565" t="n">
        <v>-6.98122158081</v>
      </c>
      <c r="E2565" t="n">
        <v>3</v>
      </c>
      <c r="F2565" t="n">
        <v>3</v>
      </c>
      <c r="G2565" t="n">
        <v>3</v>
      </c>
      <c r="J2565" t="inlineStr">
        <is>
          <t>Moda</t>
        </is>
      </c>
      <c r="K2565" t="n">
        <v>3</v>
      </c>
      <c r="L2565" t="n">
        <v>3.405</v>
      </c>
      <c r="M2565" t="n">
        <v>0</v>
      </c>
      <c r="N2565" t="inlineStr">
        <is>
          <t>train</t>
        </is>
      </c>
      <c r="O2565">
        <f>HYPERLINK("3\0\marker_715_367657.png", "Ver Imagen")</f>
        <v/>
      </c>
      <c r="P2565">
        <f>HYPERLINK("SE\A-497\A-497__829.png", "Ver Imagen")</f>
        <v/>
      </c>
    </row>
    <row r="2566">
      <c r="A2566" t="n">
        <v>2037</v>
      </c>
      <c r="B2566" t="inlineStr">
        <is>
          <t>A-497__827</t>
        </is>
      </c>
      <c r="C2566" t="n">
        <v>37.1980713338</v>
      </c>
      <c r="D2566" t="n">
        <v>-6.98083140253</v>
      </c>
      <c r="E2566" t="n">
        <v>3</v>
      </c>
      <c r="F2566" t="n">
        <v>3</v>
      </c>
      <c r="G2566" t="n">
        <v>3</v>
      </c>
      <c r="J2566" t="inlineStr">
        <is>
          <t>Moda</t>
        </is>
      </c>
      <c r="K2566" t="n">
        <v>3</v>
      </c>
      <c r="L2566" t="n">
        <v>2.899</v>
      </c>
      <c r="M2566" t="n">
        <v>0</v>
      </c>
      <c r="N2566" t="inlineStr">
        <is>
          <t>test</t>
        </is>
      </c>
      <c r="O2566">
        <f>HYPERLINK("3\0\marker_557_367675.png", "Ver Imagen")</f>
        <v/>
      </c>
      <c r="P2566">
        <f>HYPERLINK("SE\A-497\A-497__827.png", "Ver Imagen")</f>
        <v/>
      </c>
    </row>
    <row r="2567">
      <c r="A2567" t="n">
        <v>2039</v>
      </c>
      <c r="B2567" t="inlineStr">
        <is>
          <t>A-497__821</t>
        </is>
      </c>
      <c r="C2567" t="n">
        <v>37.1972246418</v>
      </c>
      <c r="D2567" t="n">
        <v>-6.97969609031</v>
      </c>
      <c r="E2567" t="n">
        <v>3</v>
      </c>
      <c r="F2567" t="n">
        <v>3</v>
      </c>
      <c r="G2567" t="n">
        <v>3</v>
      </c>
      <c r="J2567" t="inlineStr">
        <is>
          <t>Moda</t>
        </is>
      </c>
      <c r="K2567" t="n">
        <v>3</v>
      </c>
      <c r="L2567" t="n">
        <v>2.909</v>
      </c>
      <c r="M2567" t="n">
        <v>0</v>
      </c>
      <c r="N2567" t="inlineStr">
        <is>
          <t>train</t>
        </is>
      </c>
      <c r="O2567">
        <f>HYPERLINK("3\0\marker_140_367744.png", "Ver Imagen")</f>
        <v/>
      </c>
      <c r="P2567">
        <f>HYPERLINK("SE\A-497\A-497__821.png", "Ver Imagen")</f>
        <v/>
      </c>
    </row>
    <row r="2568">
      <c r="A2568" t="n">
        <v>2040</v>
      </c>
      <c r="B2568" t="inlineStr">
        <is>
          <t>A-497__820</t>
        </is>
      </c>
      <c r="C2568" t="n">
        <v>37.197089691</v>
      </c>
      <c r="D2568" t="n">
        <v>-6.97955070259</v>
      </c>
      <c r="E2568" t="n">
        <v>3</v>
      </c>
      <c r="F2568" t="n">
        <v>3</v>
      </c>
      <c r="G2568" t="n">
        <v>3</v>
      </c>
      <c r="J2568" t="inlineStr">
        <is>
          <t>Moda</t>
        </is>
      </c>
      <c r="K2568" t="n">
        <v>3</v>
      </c>
      <c r="L2568" t="n">
        <v>3.063</v>
      </c>
      <c r="M2568" t="n">
        <v>0</v>
      </c>
      <c r="N2568" t="inlineStr">
        <is>
          <t>train</t>
        </is>
      </c>
      <c r="O2568">
        <f>HYPERLINK("3\0\marker_171_367754.png", "Ver Imagen")</f>
        <v/>
      </c>
      <c r="P2568">
        <f>HYPERLINK("SE\A-497\A-497__820.png", "Ver Imagen")</f>
        <v/>
      </c>
    </row>
    <row r="2569">
      <c r="A2569" t="n">
        <v>2041</v>
      </c>
      <c r="B2569" t="inlineStr">
        <is>
          <t>A-497__819</t>
        </is>
      </c>
      <c r="C2569" t="n">
        <v>37.1969419879</v>
      </c>
      <c r="D2569" t="n">
        <v>-6.97940026167</v>
      </c>
      <c r="E2569" t="n">
        <v>3</v>
      </c>
      <c r="F2569" t="n">
        <v>3</v>
      </c>
      <c r="G2569" t="n">
        <v>3</v>
      </c>
      <c r="J2569" t="inlineStr">
        <is>
          <t>Moda</t>
        </is>
      </c>
      <c r="K2569" t="n">
        <v>3</v>
      </c>
      <c r="L2569" t="n">
        <v>2.923</v>
      </c>
      <c r="M2569" t="n">
        <v>0</v>
      </c>
      <c r="N2569" t="inlineStr">
        <is>
          <t>val</t>
        </is>
      </c>
      <c r="O2569">
        <f>HYPERLINK("3\0\marker_477_367765.png", "Ver Imagen")</f>
        <v/>
      </c>
      <c r="P2569">
        <f>HYPERLINK("SE\A-497\A-497__819.png", "Ver Imagen")</f>
        <v/>
      </c>
    </row>
    <row r="2570">
      <c r="A2570" t="n">
        <v>2042</v>
      </c>
      <c r="B2570" t="inlineStr">
        <is>
          <t>A-497__817</t>
        </is>
      </c>
      <c r="C2570" t="n">
        <v>37.1966257718</v>
      </c>
      <c r="D2570" t="n">
        <v>-6.97910574362</v>
      </c>
      <c r="E2570" t="n">
        <v>3</v>
      </c>
      <c r="F2570" t="n">
        <v>3</v>
      </c>
      <c r="G2570" t="n">
        <v>3</v>
      </c>
      <c r="J2570" t="inlineStr">
        <is>
          <t>Moda</t>
        </is>
      </c>
      <c r="K2570" t="n">
        <v>3</v>
      </c>
      <c r="L2570" t="n">
        <v>3.043</v>
      </c>
      <c r="M2570" t="n">
        <v>0</v>
      </c>
      <c r="N2570" t="inlineStr">
        <is>
          <t>train</t>
        </is>
      </c>
      <c r="O2570">
        <f>HYPERLINK("3\0\marker_363_367783.png", "Ver Imagen")</f>
        <v/>
      </c>
      <c r="P2570">
        <f>HYPERLINK("SE\A-497\A-497__817.png", "Ver Imagen")</f>
        <v/>
      </c>
    </row>
    <row r="2571">
      <c r="A2571" t="n">
        <v>2043</v>
      </c>
      <c r="B2571" t="inlineStr">
        <is>
          <t>A-497__806</t>
        </is>
      </c>
      <c r="C2571" t="n">
        <v>37.1946221322</v>
      </c>
      <c r="D2571" t="n">
        <v>-6.97792953091</v>
      </c>
      <c r="E2571" t="n">
        <v>3</v>
      </c>
      <c r="F2571" t="n">
        <v>3</v>
      </c>
      <c r="G2571" t="n">
        <v>3</v>
      </c>
      <c r="J2571" t="inlineStr">
        <is>
          <t>Moda</t>
        </is>
      </c>
      <c r="K2571" t="n">
        <v>3</v>
      </c>
      <c r="L2571" t="n">
        <v>3.008</v>
      </c>
      <c r="M2571" t="n">
        <v>0</v>
      </c>
      <c r="N2571" t="inlineStr">
        <is>
          <t>train</t>
        </is>
      </c>
      <c r="O2571">
        <f>HYPERLINK("3\0\marker_285_367891.png", "Ver Imagen")</f>
        <v/>
      </c>
      <c r="P2571">
        <f>HYPERLINK("SE\A-497\A-497__806.png", "Ver Imagen")</f>
        <v/>
      </c>
    </row>
    <row r="2572">
      <c r="A2572" t="n">
        <v>2044</v>
      </c>
      <c r="B2572" t="inlineStr">
        <is>
          <t>A-497__782</t>
        </is>
      </c>
      <c r="C2572" t="n">
        <v>37.1897737407</v>
      </c>
      <c r="D2572" t="n">
        <v>-6.9782003068</v>
      </c>
      <c r="E2572" t="n">
        <v>3</v>
      </c>
      <c r="F2572" t="n">
        <v>3</v>
      </c>
      <c r="G2572" t="n">
        <v>3</v>
      </c>
      <c r="J2572" t="inlineStr">
        <is>
          <t>Moda</t>
        </is>
      </c>
      <c r="K2572" t="n">
        <v>3</v>
      </c>
      <c r="L2572" t="n">
        <v>3.066</v>
      </c>
      <c r="M2572" t="n">
        <v>0</v>
      </c>
      <c r="N2572" t="inlineStr">
        <is>
          <t>train</t>
        </is>
      </c>
      <c r="O2572">
        <f>HYPERLINK("3\0\marker_229_368142.png", "Ver Imagen")</f>
        <v/>
      </c>
      <c r="P2572">
        <f>HYPERLINK("SE\A-497\A-497__782.png", "Ver Imagen")</f>
        <v/>
      </c>
    </row>
    <row r="2573">
      <c r="A2573" t="n">
        <v>2045</v>
      </c>
      <c r="B2573" t="inlineStr">
        <is>
          <t>A-497__780</t>
        </is>
      </c>
      <c r="C2573" t="n">
        <v>37.1894141205</v>
      </c>
      <c r="D2573" t="n">
        <v>-6.97830530522</v>
      </c>
      <c r="E2573" t="n">
        <v>3</v>
      </c>
      <c r="F2573" t="n">
        <v>3</v>
      </c>
      <c r="G2573" t="n">
        <v>3</v>
      </c>
      <c r="J2573" t="inlineStr">
        <is>
          <t>Moda</t>
        </is>
      </c>
      <c r="K2573" t="n">
        <v>3</v>
      </c>
      <c r="L2573" t="n">
        <v>2.975</v>
      </c>
      <c r="M2573" t="n">
        <v>0</v>
      </c>
      <c r="N2573" t="inlineStr">
        <is>
          <t>train</t>
        </is>
      </c>
      <c r="O2573">
        <f>HYPERLINK("3\0\marker_688_368161.png", "Ver Imagen")</f>
        <v/>
      </c>
      <c r="P2573">
        <f>HYPERLINK("SE\A-497\A-497__780.png", "Ver Imagen")</f>
        <v/>
      </c>
    </row>
    <row r="2574">
      <c r="A2574" t="n">
        <v>2046</v>
      </c>
      <c r="B2574" t="inlineStr">
        <is>
          <t>A-497__776</t>
        </is>
      </c>
      <c r="C2574" t="n">
        <v>37.1886501432</v>
      </c>
      <c r="D2574" t="n">
        <v>-6.97852674202</v>
      </c>
      <c r="E2574" t="n">
        <v>3</v>
      </c>
      <c r="F2574" t="n">
        <v>3</v>
      </c>
      <c r="G2574" t="n">
        <v>3</v>
      </c>
      <c r="J2574" t="inlineStr">
        <is>
          <t>Moda</t>
        </is>
      </c>
      <c r="K2574" t="n">
        <v>3</v>
      </c>
      <c r="L2574" t="n">
        <v>2.762</v>
      </c>
      <c r="M2574" t="n">
        <v>0</v>
      </c>
      <c r="N2574" t="inlineStr">
        <is>
          <t>train</t>
        </is>
      </c>
      <c r="O2574">
        <f>HYPERLINK("3\0\marker_930_368220.png", "Ver Imagen")</f>
        <v/>
      </c>
      <c r="P2574">
        <f>HYPERLINK("SE\A-497\A-497__776.png", "Ver Imagen")</f>
        <v/>
      </c>
    </row>
    <row r="2575">
      <c r="A2575" t="n">
        <v>2047</v>
      </c>
      <c r="B2575" t="inlineStr">
        <is>
          <t>A-497__775</t>
        </is>
      </c>
      <c r="C2575" t="n">
        <v>37.1884547248</v>
      </c>
      <c r="D2575" t="n">
        <v>-6.9786052223</v>
      </c>
      <c r="E2575" t="n">
        <v>3</v>
      </c>
      <c r="F2575" t="n">
        <v>3</v>
      </c>
      <c r="G2575" t="n">
        <v>3</v>
      </c>
      <c r="J2575" t="inlineStr">
        <is>
          <t>Moda</t>
        </is>
      </c>
      <c r="K2575" t="n">
        <v>3</v>
      </c>
      <c r="L2575" t="n">
        <v>3.209</v>
      </c>
      <c r="M2575" t="n">
        <v>0</v>
      </c>
      <c r="N2575" t="inlineStr">
        <is>
          <t>test</t>
        </is>
      </c>
      <c r="O2575">
        <f>HYPERLINK("3\0\marker_973_368232.png", "Ver Imagen")</f>
        <v/>
      </c>
      <c r="P2575">
        <f>HYPERLINK("SE\A-497\A-497__775.png", "Ver Imagen")</f>
        <v/>
      </c>
    </row>
    <row r="2576">
      <c r="A2576" t="n">
        <v>2048</v>
      </c>
      <c r="B2576" t="inlineStr">
        <is>
          <t>A-497__771</t>
        </is>
      </c>
      <c r="C2576" t="n">
        <v>37.1877733671</v>
      </c>
      <c r="D2576" t="n">
        <v>-6.9790872116</v>
      </c>
      <c r="E2576" t="n">
        <v>3</v>
      </c>
      <c r="F2576" t="n">
        <v>3</v>
      </c>
      <c r="G2576" t="n">
        <v>3</v>
      </c>
      <c r="J2576" t="inlineStr">
        <is>
          <t>Moda</t>
        </is>
      </c>
      <c r="K2576" t="n">
        <v>3</v>
      </c>
      <c r="L2576" t="n">
        <v>2.72</v>
      </c>
      <c r="M2576" t="n">
        <v>0</v>
      </c>
      <c r="N2576" t="inlineStr">
        <is>
          <t>val</t>
        </is>
      </c>
      <c r="O2576">
        <f>HYPERLINK("3\0\marker_747_368290.png", "Ver Imagen")</f>
        <v/>
      </c>
      <c r="P2576">
        <f>HYPERLINK("SE\A-497\A-497__771.png", "Ver Imagen")</f>
        <v/>
      </c>
    </row>
    <row r="2577">
      <c r="A2577" t="n">
        <v>2049</v>
      </c>
      <c r="B2577" t="inlineStr">
        <is>
          <t>A-497_2C__2</t>
        </is>
      </c>
      <c r="C2577" t="n">
        <v>37.2675150747</v>
      </c>
      <c r="D2577" t="n">
        <v>-6.95750897502</v>
      </c>
      <c r="E2577" t="n">
        <v>3</v>
      </c>
      <c r="F2577" t="n">
        <v>3</v>
      </c>
      <c r="G2577" t="n">
        <v>3</v>
      </c>
      <c r="J2577" t="inlineStr">
        <is>
          <t>Moda</t>
        </is>
      </c>
      <c r="K2577" t="n">
        <v>3</v>
      </c>
      <c r="L2577" t="n">
        <v>2.688</v>
      </c>
      <c r="M2577" t="n">
        <v>0</v>
      </c>
      <c r="N2577" t="inlineStr">
        <is>
          <t>train</t>
        </is>
      </c>
      <c r="O2577">
        <f>HYPERLINK("3\0\marker_869_653737.png", "Ver Imagen")</f>
        <v/>
      </c>
      <c r="P2577">
        <f>HYPERLINK("SE\A-497_2C\A-497_2C__2.png", "Ver Imagen")</f>
        <v/>
      </c>
    </row>
    <row r="2578">
      <c r="A2578" t="n">
        <v>2050</v>
      </c>
      <c r="B2578" t="inlineStr">
        <is>
          <t>A-497_2C__3</t>
        </is>
      </c>
      <c r="C2578" t="n">
        <v>37.2674411553</v>
      </c>
      <c r="D2578" t="n">
        <v>-6.95773083719</v>
      </c>
      <c r="E2578" t="n">
        <v>3</v>
      </c>
      <c r="F2578" t="n">
        <v>3</v>
      </c>
      <c r="G2578" t="n">
        <v>3</v>
      </c>
      <c r="J2578" t="inlineStr">
        <is>
          <t>Moda</t>
        </is>
      </c>
      <c r="K2578" t="n">
        <v>3</v>
      </c>
      <c r="L2578" t="n">
        <v>2.999</v>
      </c>
      <c r="M2578" t="n">
        <v>0</v>
      </c>
      <c r="N2578" t="inlineStr">
        <is>
          <t>train</t>
        </is>
      </c>
      <c r="O2578">
        <f>HYPERLINK("3\0\marker_310_653748.png", "Ver Imagen")</f>
        <v/>
      </c>
      <c r="P2578">
        <f>HYPERLINK("SE\A-497_2C\A-497_2C__3.png", "Ver Imagen")</f>
        <v/>
      </c>
    </row>
    <row r="2579">
      <c r="A2579" t="n">
        <v>2051</v>
      </c>
      <c r="B2579" t="inlineStr">
        <is>
          <t>A-497_2C__23</t>
        </is>
      </c>
      <c r="C2579" t="n">
        <v>37.2676135257</v>
      </c>
      <c r="D2579" t="n">
        <v>-6.96278192243</v>
      </c>
      <c r="E2579" t="n">
        <v>3</v>
      </c>
      <c r="F2579" t="n">
        <v>3</v>
      </c>
      <c r="G2579" t="n">
        <v>3</v>
      </c>
      <c r="J2579" t="inlineStr">
        <is>
          <t>Moda</t>
        </is>
      </c>
      <c r="K2579" t="n">
        <v>3</v>
      </c>
      <c r="L2579" t="n">
        <v>2.948</v>
      </c>
      <c r="M2579" t="n">
        <v>0</v>
      </c>
      <c r="N2579" t="inlineStr">
        <is>
          <t>train</t>
        </is>
      </c>
      <c r="O2579">
        <f>HYPERLINK("3\0\marker_148_654416.png", "Ver Imagen")</f>
        <v/>
      </c>
      <c r="P2579">
        <f>HYPERLINK("SE\A-497_2C\A-497_2C__23.png", "Ver Imagen")</f>
        <v/>
      </c>
    </row>
    <row r="2580">
      <c r="A2580" t="n">
        <v>2052</v>
      </c>
      <c r="B2580" t="inlineStr">
        <is>
          <t>A-497_2C__26</t>
        </is>
      </c>
      <c r="C2580" t="n">
        <v>37.2676371767</v>
      </c>
      <c r="D2580" t="n">
        <v>-6.9635710691</v>
      </c>
      <c r="E2580" t="n">
        <v>3</v>
      </c>
      <c r="F2580" t="n">
        <v>3</v>
      </c>
      <c r="G2580" t="n">
        <v>3</v>
      </c>
      <c r="J2580" t="inlineStr">
        <is>
          <t>Moda</t>
        </is>
      </c>
      <c r="K2580" t="n">
        <v>3</v>
      </c>
      <c r="L2580" t="n">
        <v>2.893</v>
      </c>
      <c r="M2580" t="n">
        <v>0</v>
      </c>
      <c r="N2580" t="inlineStr">
        <is>
          <t>test</t>
        </is>
      </c>
      <c r="O2580">
        <f>HYPERLINK("3\0\marker_861_654443.png", "Ver Imagen")</f>
        <v/>
      </c>
      <c r="P2580">
        <f>HYPERLINK("SE\A-497_2C\A-497_2C__26.png", "Ver Imagen")</f>
        <v/>
      </c>
    </row>
    <row r="2581">
      <c r="A2581" t="n">
        <v>2053</v>
      </c>
      <c r="B2581" t="inlineStr">
        <is>
          <t>A-497_2C__57</t>
        </is>
      </c>
      <c r="C2581" t="n">
        <v>37.26821075</v>
      </c>
      <c r="D2581" t="n">
        <v>-6.9713893163</v>
      </c>
      <c r="E2581" t="n">
        <v>3</v>
      </c>
      <c r="F2581" t="n">
        <v>3</v>
      </c>
      <c r="G2581" t="n">
        <v>3</v>
      </c>
      <c r="J2581" t="inlineStr">
        <is>
          <t>Moda</t>
        </is>
      </c>
      <c r="K2581" t="n">
        <v>3</v>
      </c>
      <c r="L2581" t="n">
        <v>3.127</v>
      </c>
      <c r="M2581" t="n">
        <v>0</v>
      </c>
      <c r="N2581" t="inlineStr">
        <is>
          <t>train</t>
        </is>
      </c>
      <c r="O2581">
        <f>HYPERLINK("3\0\marker_835_654821.png", "Ver Imagen")</f>
        <v/>
      </c>
      <c r="P2581">
        <f>HYPERLINK("SE\A-497_2C\A-497_2C__57.png", "Ver Imagen")</f>
        <v/>
      </c>
    </row>
    <row r="2582">
      <c r="A2582" t="n">
        <v>2054</v>
      </c>
      <c r="B2582" t="inlineStr">
        <is>
          <t>A-497_2C__68</t>
        </is>
      </c>
      <c r="C2582" t="n">
        <v>37.2687087952</v>
      </c>
      <c r="D2582" t="n">
        <v>-6.9741246955</v>
      </c>
      <c r="E2582" t="n">
        <v>3</v>
      </c>
      <c r="F2582" t="n">
        <v>3</v>
      </c>
      <c r="G2582" t="n">
        <v>3</v>
      </c>
      <c r="J2582" t="inlineStr">
        <is>
          <t>Moda</t>
        </is>
      </c>
      <c r="K2582" t="n">
        <v>3</v>
      </c>
      <c r="L2582" t="n">
        <v>3.099</v>
      </c>
      <c r="M2582" t="n">
        <v>0</v>
      </c>
      <c r="N2582" t="inlineStr">
        <is>
          <t>train</t>
        </is>
      </c>
      <c r="O2582">
        <f>HYPERLINK("3\0\marker_980_654946.png", "Ver Imagen")</f>
        <v/>
      </c>
      <c r="P2582">
        <f>HYPERLINK("SE\A-497_2C\A-497_2C__68.png", "Ver Imagen")</f>
        <v/>
      </c>
    </row>
    <row r="2583">
      <c r="A2583" t="n">
        <v>2055</v>
      </c>
      <c r="B2583" t="inlineStr">
        <is>
          <t>A-497_2C__70</t>
        </is>
      </c>
      <c r="C2583" t="n">
        <v>37.2688068586</v>
      </c>
      <c r="D2583" t="n">
        <v>-6.97457713405</v>
      </c>
      <c r="E2583" t="n">
        <v>3</v>
      </c>
      <c r="F2583" t="n">
        <v>3</v>
      </c>
      <c r="G2583" t="n">
        <v>3</v>
      </c>
      <c r="J2583" t="inlineStr">
        <is>
          <t>Moda</t>
        </is>
      </c>
      <c r="K2583" t="n">
        <v>3</v>
      </c>
      <c r="L2583" t="n">
        <v>3.156</v>
      </c>
      <c r="M2583" t="n">
        <v>0</v>
      </c>
      <c r="N2583" t="inlineStr">
        <is>
          <t>train</t>
        </is>
      </c>
      <c r="O2583">
        <f>HYPERLINK("3\0\marker_251_655038.png", "Ver Imagen")</f>
        <v/>
      </c>
      <c r="P2583">
        <f>HYPERLINK("SE\A-497_2C\A-497_2C__70.png", "Ver Imagen")</f>
        <v/>
      </c>
    </row>
    <row r="2584">
      <c r="A2584" t="n">
        <v>2056</v>
      </c>
      <c r="B2584" t="inlineStr">
        <is>
          <t>A-497_2C__72</t>
        </is>
      </c>
      <c r="C2584" t="n">
        <v>37.2689175348</v>
      </c>
      <c r="D2584" t="n">
        <v>-6.97506493596</v>
      </c>
      <c r="E2584" t="n">
        <v>3</v>
      </c>
      <c r="F2584" t="n">
        <v>3</v>
      </c>
      <c r="G2584" t="n">
        <v>3</v>
      </c>
      <c r="J2584" t="inlineStr">
        <is>
          <t>Moda</t>
        </is>
      </c>
      <c r="K2584" t="n">
        <v>3</v>
      </c>
      <c r="L2584" t="n">
        <v>2.927</v>
      </c>
      <c r="M2584" t="n">
        <v>0</v>
      </c>
      <c r="N2584" t="inlineStr">
        <is>
          <t>train</t>
        </is>
      </c>
      <c r="O2584">
        <f>HYPERLINK("3\0\marker_876_655056.png", "Ver Imagen")</f>
        <v/>
      </c>
      <c r="P2584">
        <f>HYPERLINK("SE\A-497_2C\A-497_2C__72.png", "Ver Imagen")</f>
        <v/>
      </c>
    </row>
    <row r="2585">
      <c r="A2585" t="n">
        <v>2057</v>
      </c>
      <c r="B2585" t="inlineStr">
        <is>
          <t>A-497_2C__74</t>
        </is>
      </c>
      <c r="C2585" t="n">
        <v>37.2690365319</v>
      </c>
      <c r="D2585" t="n">
        <v>-6.97556614135</v>
      </c>
      <c r="E2585" t="n">
        <v>3</v>
      </c>
      <c r="F2585" t="n">
        <v>3</v>
      </c>
      <c r="G2585" t="n">
        <v>3</v>
      </c>
      <c r="J2585" t="inlineStr">
        <is>
          <t>Moda</t>
        </is>
      </c>
      <c r="K2585" t="n">
        <v>3</v>
      </c>
      <c r="L2585" t="n">
        <v>3.131</v>
      </c>
      <c r="M2585" t="n">
        <v>0</v>
      </c>
      <c r="N2585" t="inlineStr">
        <is>
          <t>train</t>
        </is>
      </c>
      <c r="O2585">
        <f>HYPERLINK("3\0\marker_530_655073.png", "Ver Imagen")</f>
        <v/>
      </c>
      <c r="P2585">
        <f>HYPERLINK("SE\A-497_2C\A-497_2C__74.png", "Ver Imagen")</f>
        <v/>
      </c>
    </row>
    <row r="2586">
      <c r="A2586" t="n">
        <v>2058</v>
      </c>
      <c r="B2586" t="inlineStr">
        <is>
          <t>A-497_2C__82</t>
        </is>
      </c>
      <c r="C2586" t="n">
        <v>37.2695469619</v>
      </c>
      <c r="D2586" t="n">
        <v>-6.97745753068</v>
      </c>
      <c r="E2586" t="n">
        <v>3</v>
      </c>
      <c r="F2586" t="n">
        <v>3</v>
      </c>
      <c r="G2586" t="n">
        <v>3</v>
      </c>
      <c r="J2586" t="inlineStr">
        <is>
          <t>Moda</t>
        </is>
      </c>
      <c r="K2586" t="n">
        <v>3</v>
      </c>
      <c r="L2586" t="n">
        <v>2.986</v>
      </c>
      <c r="M2586" t="n">
        <v>0</v>
      </c>
      <c r="N2586" t="inlineStr">
        <is>
          <t>train</t>
        </is>
      </c>
      <c r="O2586">
        <f>HYPERLINK("3\0\marker_383_655169.png", "Ver Imagen")</f>
        <v/>
      </c>
      <c r="P2586">
        <f>HYPERLINK("SE\A-497_2C\A-497_2C__82.png", "Ver Imagen")</f>
        <v/>
      </c>
    </row>
    <row r="2587">
      <c r="A2587" t="n">
        <v>2059</v>
      </c>
      <c r="B2587" t="inlineStr">
        <is>
          <t>A-497_2C__83</t>
        </is>
      </c>
      <c r="C2587" t="n">
        <v>37.2696147817</v>
      </c>
      <c r="D2587" t="n">
        <v>-6.97769417252</v>
      </c>
      <c r="E2587" t="n">
        <v>3</v>
      </c>
      <c r="F2587" t="n">
        <v>3</v>
      </c>
      <c r="G2587" t="n">
        <v>3</v>
      </c>
      <c r="J2587" t="inlineStr">
        <is>
          <t>Moda</t>
        </is>
      </c>
      <c r="K2587" t="n">
        <v>3</v>
      </c>
      <c r="L2587" t="n">
        <v>2.884</v>
      </c>
      <c r="M2587" t="n">
        <v>0</v>
      </c>
      <c r="N2587" t="inlineStr">
        <is>
          <t>train</t>
        </is>
      </c>
      <c r="O2587">
        <f>HYPERLINK("3\0\marker_917_655178.png", "Ver Imagen")</f>
        <v/>
      </c>
      <c r="P2587">
        <f>HYPERLINK("SE\A-497_2C\A-497_2C__83.png", "Ver Imagen")</f>
        <v/>
      </c>
    </row>
    <row r="2588">
      <c r="A2588" t="n">
        <v>2060</v>
      </c>
      <c r="B2588" t="inlineStr">
        <is>
          <t>A-497_2C__85</t>
        </is>
      </c>
      <c r="C2588" t="n">
        <v>37.2697620334</v>
      </c>
      <c r="D2588" t="n">
        <v>-6.97820844074</v>
      </c>
      <c r="E2588" t="n">
        <v>3</v>
      </c>
      <c r="F2588" t="n">
        <v>3</v>
      </c>
      <c r="G2588" t="n">
        <v>3</v>
      </c>
      <c r="J2588" t="inlineStr">
        <is>
          <t>Moda</t>
        </is>
      </c>
      <c r="K2588" t="n">
        <v>3</v>
      </c>
      <c r="L2588" t="n">
        <v>3.306</v>
      </c>
      <c r="M2588" t="n">
        <v>0</v>
      </c>
      <c r="N2588" t="inlineStr">
        <is>
          <t>train</t>
        </is>
      </c>
      <c r="O2588">
        <f>HYPERLINK("3\0\marker_104_655212.png", "Ver Imagen")</f>
        <v/>
      </c>
      <c r="P2588">
        <f>HYPERLINK("SE\A-497_2C\A-497_2C__85.png", "Ver Imagen")</f>
        <v/>
      </c>
    </row>
    <row r="2589">
      <c r="A2589" t="n">
        <v>2061</v>
      </c>
      <c r="B2589" t="inlineStr">
        <is>
          <t>A-497_2C__86</t>
        </is>
      </c>
      <c r="C2589" t="n">
        <v>37.2698247928</v>
      </c>
      <c r="D2589" t="n">
        <v>-6.9784308106</v>
      </c>
      <c r="E2589" t="n">
        <v>3</v>
      </c>
      <c r="F2589" t="n">
        <v>3</v>
      </c>
      <c r="G2589" t="n">
        <v>3</v>
      </c>
      <c r="J2589" t="inlineStr">
        <is>
          <t>Moda</t>
        </is>
      </c>
      <c r="K2589" t="n">
        <v>3</v>
      </c>
      <c r="L2589" t="n">
        <v>2.837</v>
      </c>
      <c r="M2589" t="n">
        <v>0</v>
      </c>
      <c r="N2589" t="inlineStr">
        <is>
          <t>train</t>
        </is>
      </c>
      <c r="O2589">
        <f>HYPERLINK("3\0\marker_160_655224.png", "Ver Imagen")</f>
        <v/>
      </c>
      <c r="P2589">
        <f>HYPERLINK("SE\A-497_2C\A-497_2C__86.png", "Ver Imagen")</f>
        <v/>
      </c>
    </row>
    <row r="2590">
      <c r="A2590" t="n">
        <v>2062</v>
      </c>
      <c r="B2590" t="inlineStr">
        <is>
          <t>A-497_2C__96</t>
        </is>
      </c>
      <c r="C2590" t="n">
        <v>37.2705144515</v>
      </c>
      <c r="D2590" t="n">
        <v>-6.98082747034</v>
      </c>
      <c r="E2590" t="n">
        <v>3</v>
      </c>
      <c r="F2590" t="n">
        <v>3</v>
      </c>
      <c r="G2590" t="n">
        <v>3</v>
      </c>
      <c r="J2590" t="inlineStr">
        <is>
          <t>Moda</t>
        </is>
      </c>
      <c r="K2590" t="n">
        <v>3</v>
      </c>
      <c r="L2590" t="n">
        <v>3.182</v>
      </c>
      <c r="M2590" t="n">
        <v>0</v>
      </c>
      <c r="N2590" t="inlineStr">
        <is>
          <t>train</t>
        </is>
      </c>
      <c r="O2590">
        <f>HYPERLINK("3\0\marker_953_655367.png", "Ver Imagen")</f>
        <v/>
      </c>
      <c r="P2590">
        <f>HYPERLINK("SE\A-497_2C\A-497_2C__96.png", "Ver Imagen")</f>
        <v/>
      </c>
    </row>
    <row r="2591">
      <c r="A2591" t="n">
        <v>2063</v>
      </c>
      <c r="B2591" t="inlineStr">
        <is>
          <t>A-497_2C__97</t>
        </is>
      </c>
      <c r="C2591" t="n">
        <v>37.2705767682</v>
      </c>
      <c r="D2591" t="n">
        <v>-6.98104567536</v>
      </c>
      <c r="E2591" t="n">
        <v>3</v>
      </c>
      <c r="F2591" t="n">
        <v>3</v>
      </c>
      <c r="G2591" t="n">
        <v>3</v>
      </c>
      <c r="J2591" t="inlineStr">
        <is>
          <t>Moda</t>
        </is>
      </c>
      <c r="K2591" t="n">
        <v>3</v>
      </c>
      <c r="L2591" t="n">
        <v>2.964</v>
      </c>
      <c r="M2591" t="n">
        <v>0</v>
      </c>
      <c r="N2591" t="inlineStr">
        <is>
          <t>train</t>
        </is>
      </c>
      <c r="O2591">
        <f>HYPERLINK("3\0\marker_294_655376.png", "Ver Imagen")</f>
        <v/>
      </c>
      <c r="P2591">
        <f>HYPERLINK("SE\A-497_2C\A-497_2C__97.png", "Ver Imagen")</f>
        <v/>
      </c>
    </row>
    <row r="2592">
      <c r="A2592" t="n">
        <v>2064</v>
      </c>
      <c r="B2592" t="inlineStr">
        <is>
          <t>A-497_2C__100</t>
        </is>
      </c>
      <c r="C2592" t="n">
        <v>37.2707839879</v>
      </c>
      <c r="D2592" t="n">
        <v>-6.98177093734</v>
      </c>
      <c r="E2592" t="n">
        <v>3</v>
      </c>
      <c r="F2592" t="n">
        <v>3</v>
      </c>
      <c r="G2592" t="n">
        <v>3</v>
      </c>
      <c r="J2592" t="inlineStr">
        <is>
          <t>Moda</t>
        </is>
      </c>
      <c r="K2592" t="n">
        <v>3</v>
      </c>
      <c r="L2592" t="n">
        <v>2.77</v>
      </c>
      <c r="M2592" t="n">
        <v>0</v>
      </c>
      <c r="N2592" t="inlineStr">
        <is>
          <t>train</t>
        </is>
      </c>
      <c r="O2592">
        <f>HYPERLINK("3\0\marker_258_655441.png", "Ver Imagen")</f>
        <v/>
      </c>
      <c r="P2592">
        <f>HYPERLINK("SE\A-497_2C\A-497_2C__100.png", "Ver Imagen")</f>
        <v/>
      </c>
    </row>
    <row r="2593">
      <c r="A2593" t="n">
        <v>2065</v>
      </c>
      <c r="B2593" t="inlineStr">
        <is>
          <t>A-497_2C__103</t>
        </is>
      </c>
      <c r="C2593" t="n">
        <v>37.2709907866</v>
      </c>
      <c r="D2593" t="n">
        <v>-6.98248374004</v>
      </c>
      <c r="E2593" t="n">
        <v>3</v>
      </c>
      <c r="F2593" t="n">
        <v>3</v>
      </c>
      <c r="G2593" t="n">
        <v>3</v>
      </c>
      <c r="J2593" t="inlineStr">
        <is>
          <t>Moda</t>
        </is>
      </c>
      <c r="K2593" t="n">
        <v>3</v>
      </c>
      <c r="L2593" t="n">
        <v>2.906</v>
      </c>
      <c r="M2593" t="n">
        <v>0</v>
      </c>
      <c r="N2593" t="inlineStr">
        <is>
          <t>train</t>
        </is>
      </c>
      <c r="O2593">
        <f>HYPERLINK("3\0\marker_440_655469.png", "Ver Imagen")</f>
        <v/>
      </c>
      <c r="P2593">
        <f>HYPERLINK("SE\A-497_2C\A-497_2C__103.png", "Ver Imagen")</f>
        <v/>
      </c>
    </row>
    <row r="2594">
      <c r="A2594" t="n">
        <v>2066</v>
      </c>
      <c r="B2594" t="inlineStr">
        <is>
          <t>A-497_2C__106</t>
        </is>
      </c>
      <c r="C2594" t="n">
        <v>37.2711995245</v>
      </c>
      <c r="D2594" t="n">
        <v>-6.98320594897</v>
      </c>
      <c r="E2594" t="n">
        <v>3</v>
      </c>
      <c r="F2594" t="n">
        <v>3</v>
      </c>
      <c r="G2594" t="n">
        <v>3</v>
      </c>
      <c r="J2594" t="inlineStr">
        <is>
          <t>Moda</t>
        </is>
      </c>
      <c r="K2594" t="n">
        <v>3</v>
      </c>
      <c r="L2594" t="n">
        <v>3.115</v>
      </c>
      <c r="M2594" t="n">
        <v>0</v>
      </c>
      <c r="N2594" t="inlineStr">
        <is>
          <t>train</t>
        </is>
      </c>
      <c r="O2594">
        <f>HYPERLINK("3\0\marker_945_655497.png", "Ver Imagen")</f>
        <v/>
      </c>
      <c r="P2594">
        <f>HYPERLINK("SE\A-497_2C\A-497_2C__106.png", "Ver Imagen")</f>
        <v/>
      </c>
    </row>
    <row r="2595">
      <c r="A2595" t="n">
        <v>2067</v>
      </c>
      <c r="B2595" t="inlineStr">
        <is>
          <t>A-497_2C__121</t>
        </is>
      </c>
      <c r="C2595" t="n">
        <v>37.2718291605</v>
      </c>
      <c r="D2595" t="n">
        <v>-6.98689299441</v>
      </c>
      <c r="E2595" t="n">
        <v>3</v>
      </c>
      <c r="F2595" t="n">
        <v>3</v>
      </c>
      <c r="G2595" t="n">
        <v>3</v>
      </c>
      <c r="J2595" t="inlineStr">
        <is>
          <t>Moda</t>
        </is>
      </c>
      <c r="K2595" t="n">
        <v>3</v>
      </c>
      <c r="L2595" t="n">
        <v>3.1</v>
      </c>
      <c r="M2595" t="n">
        <v>0</v>
      </c>
      <c r="N2595" t="inlineStr">
        <is>
          <t>train</t>
        </is>
      </c>
      <c r="O2595">
        <f>HYPERLINK("3\0\marker_388_655690.png", "Ver Imagen")</f>
        <v/>
      </c>
      <c r="P2595">
        <f>HYPERLINK("SE\A-497_2C\A-497_2C__121.png", "Ver Imagen")</f>
        <v/>
      </c>
    </row>
    <row r="2596">
      <c r="A2596" t="n">
        <v>2068</v>
      </c>
      <c r="B2596" t="inlineStr">
        <is>
          <t>A-497_2C__122</t>
        </is>
      </c>
      <c r="C2596" t="n">
        <v>37.2717985276</v>
      </c>
      <c r="D2596" t="n">
        <v>-6.9871236614</v>
      </c>
      <c r="E2596" t="n">
        <v>3</v>
      </c>
      <c r="F2596" t="n">
        <v>3</v>
      </c>
      <c r="G2596" t="n">
        <v>3</v>
      </c>
      <c r="J2596" t="inlineStr">
        <is>
          <t>Moda</t>
        </is>
      </c>
      <c r="K2596" t="n">
        <v>3</v>
      </c>
      <c r="L2596" t="n">
        <v>2.873</v>
      </c>
      <c r="M2596" t="n">
        <v>0</v>
      </c>
      <c r="N2596" t="inlineStr">
        <is>
          <t>train</t>
        </is>
      </c>
      <c r="O2596">
        <f>HYPERLINK("3\0\marker_377_655698.png", "Ver Imagen")</f>
        <v/>
      </c>
      <c r="P2596">
        <f>HYPERLINK("SE\A-497_2C\A-497_2C__122.png", "Ver Imagen")</f>
        <v/>
      </c>
    </row>
    <row r="2597">
      <c r="A2597" t="n">
        <v>2069</v>
      </c>
      <c r="B2597" t="inlineStr">
        <is>
          <t>A-497_2C__138</t>
        </is>
      </c>
      <c r="C2597" t="n">
        <v>37.2695927899</v>
      </c>
      <c r="D2597" t="n">
        <v>-6.98993070034</v>
      </c>
      <c r="E2597" t="n">
        <v>3</v>
      </c>
      <c r="F2597" t="n">
        <v>3</v>
      </c>
      <c r="G2597" t="n">
        <v>3</v>
      </c>
      <c r="J2597" t="inlineStr">
        <is>
          <t>Moda</t>
        </is>
      </c>
      <c r="K2597" t="n">
        <v>3</v>
      </c>
      <c r="L2597" t="n">
        <v>2.988</v>
      </c>
      <c r="M2597" t="n">
        <v>0</v>
      </c>
      <c r="N2597" t="inlineStr">
        <is>
          <t>train</t>
        </is>
      </c>
      <c r="O2597">
        <f>HYPERLINK("3\0\marker_787_655856.png", "Ver Imagen")</f>
        <v/>
      </c>
      <c r="P2597">
        <f>HYPERLINK("SE\A-497_2C\A-497_2C__138.png", "Ver Imagen")</f>
        <v/>
      </c>
    </row>
    <row r="2598">
      <c r="A2598" t="n">
        <v>2070</v>
      </c>
      <c r="B2598" t="inlineStr">
        <is>
          <t>A-497_2C__140</t>
        </is>
      </c>
      <c r="C2598" t="n">
        <v>37.2692392531</v>
      </c>
      <c r="D2598" t="n">
        <v>-6.99018201865</v>
      </c>
      <c r="E2598" t="n">
        <v>3</v>
      </c>
      <c r="F2598" t="n">
        <v>3</v>
      </c>
      <c r="G2598" t="n">
        <v>3</v>
      </c>
      <c r="J2598" t="inlineStr">
        <is>
          <t>Moda</t>
        </is>
      </c>
      <c r="K2598" t="n">
        <v>3</v>
      </c>
      <c r="L2598" t="n">
        <v>2.801</v>
      </c>
      <c r="M2598" t="n">
        <v>0</v>
      </c>
      <c r="N2598" t="inlineStr">
        <is>
          <t>train</t>
        </is>
      </c>
      <c r="O2598">
        <f>HYPERLINK("3\0\marker_232_655872.png", "Ver Imagen")</f>
        <v/>
      </c>
      <c r="P2598">
        <f>HYPERLINK("SE\A-497_2C\A-497_2C__140.png", "Ver Imagen")</f>
        <v/>
      </c>
    </row>
    <row r="2599">
      <c r="A2599" t="n">
        <v>2071</v>
      </c>
      <c r="B2599" t="inlineStr">
        <is>
          <t>A-497_2C__142</t>
        </is>
      </c>
      <c r="C2599" t="n">
        <v>37.2688838522</v>
      </c>
      <c r="D2599" t="n">
        <v>-6.99043410478</v>
      </c>
      <c r="E2599" t="n">
        <v>3</v>
      </c>
      <c r="F2599" t="n">
        <v>3</v>
      </c>
      <c r="G2599" t="n">
        <v>3</v>
      </c>
      <c r="J2599" t="inlineStr">
        <is>
          <t>Moda</t>
        </is>
      </c>
      <c r="K2599" t="n">
        <v>3</v>
      </c>
      <c r="L2599" t="n">
        <v>3.084</v>
      </c>
      <c r="M2599" t="n">
        <v>0</v>
      </c>
      <c r="N2599" t="inlineStr">
        <is>
          <t>train</t>
        </is>
      </c>
      <c r="O2599">
        <f>HYPERLINK("3\0\marker_251_655889.png", "Ver Imagen")</f>
        <v/>
      </c>
      <c r="P2599">
        <f>HYPERLINK("SE\A-497_2C\A-497_2C__142.png", "Ver Imagen")</f>
        <v/>
      </c>
    </row>
    <row r="2600">
      <c r="A2600" t="n">
        <v>2072</v>
      </c>
      <c r="B2600" t="inlineStr">
        <is>
          <t>A-497_2C__149</t>
        </is>
      </c>
      <c r="C2600" t="n">
        <v>37.2676661306</v>
      </c>
      <c r="D2600" t="n">
        <v>-6.99129874655</v>
      </c>
      <c r="E2600" t="n">
        <v>3</v>
      </c>
      <c r="F2600" t="n">
        <v>3</v>
      </c>
      <c r="G2600" t="n">
        <v>3</v>
      </c>
      <c r="J2600" t="inlineStr">
        <is>
          <t>Moda</t>
        </is>
      </c>
      <c r="K2600" t="n">
        <v>3</v>
      </c>
      <c r="L2600" t="n">
        <v>3.234</v>
      </c>
      <c r="M2600" t="n">
        <v>0</v>
      </c>
      <c r="N2600" t="inlineStr">
        <is>
          <t>train</t>
        </is>
      </c>
      <c r="O2600">
        <f>HYPERLINK("3\0\marker_158_655968.png", "Ver Imagen")</f>
        <v/>
      </c>
      <c r="P2600">
        <f>HYPERLINK("SE\A-497_2C\A-497_2C__149.png", "Ver Imagen")</f>
        <v/>
      </c>
    </row>
    <row r="2601">
      <c r="A2601" t="n">
        <v>2073</v>
      </c>
      <c r="B2601" t="inlineStr">
        <is>
          <t>A-497__747</t>
        </is>
      </c>
      <c r="C2601" t="n">
        <v>37.187621752</v>
      </c>
      <c r="D2601" t="n">
        <v>-6.97845144652</v>
      </c>
      <c r="E2601" t="n">
        <v>3</v>
      </c>
      <c r="F2601" t="n">
        <v>3</v>
      </c>
      <c r="G2601" t="n">
        <v>3</v>
      </c>
      <c r="J2601" t="inlineStr">
        <is>
          <t>Moda</t>
        </is>
      </c>
      <c r="K2601" t="n">
        <v>3</v>
      </c>
      <c r="L2601" t="n">
        <v>3.165</v>
      </c>
      <c r="M2601" t="n">
        <v>0</v>
      </c>
      <c r="N2601" t="inlineStr">
        <is>
          <t>train</t>
        </is>
      </c>
      <c r="O2601">
        <f>HYPERLINK("3\0\marker_865_368735.png", "Ver Imagen")</f>
        <v/>
      </c>
      <c r="P2601">
        <f>HYPERLINK("SE\A-497\A-497__747.png", "Ver Imagen")</f>
        <v/>
      </c>
    </row>
    <row r="2602">
      <c r="A2602" t="n">
        <v>2074</v>
      </c>
      <c r="B2602" t="inlineStr">
        <is>
          <t>A-497__746</t>
        </is>
      </c>
      <c r="C2602" t="n">
        <v>37.1877820043</v>
      </c>
      <c r="D2602" t="n">
        <v>-6.97829810559</v>
      </c>
      <c r="E2602" t="n">
        <v>3</v>
      </c>
      <c r="F2602" t="n">
        <v>3</v>
      </c>
      <c r="G2602" t="n">
        <v>3</v>
      </c>
      <c r="J2602" t="inlineStr">
        <is>
          <t>Moda</t>
        </is>
      </c>
      <c r="K2602" t="n">
        <v>3</v>
      </c>
      <c r="L2602" t="n">
        <v>3.02</v>
      </c>
      <c r="M2602" t="n">
        <v>0</v>
      </c>
      <c r="N2602" t="inlineStr">
        <is>
          <t>train</t>
        </is>
      </c>
      <c r="O2602">
        <f>HYPERLINK("3\0\marker_504_368746.png", "Ver Imagen")</f>
        <v/>
      </c>
      <c r="P2602">
        <f>HYPERLINK("SE\A-497\A-497__746.png", "Ver Imagen")</f>
        <v/>
      </c>
    </row>
    <row r="2603">
      <c r="A2603" t="n">
        <v>2075</v>
      </c>
      <c r="B2603" t="inlineStr">
        <is>
          <t>A-497_2C__153</t>
        </is>
      </c>
      <c r="C2603" t="n">
        <v>37.2670045908</v>
      </c>
      <c r="D2603" t="n">
        <v>-6.99191101847</v>
      </c>
      <c r="E2603" t="n">
        <v>3</v>
      </c>
      <c r="F2603" t="n">
        <v>3</v>
      </c>
      <c r="G2603" t="n">
        <v>3</v>
      </c>
      <c r="J2603" t="inlineStr">
        <is>
          <t>Moda</t>
        </is>
      </c>
      <c r="K2603" t="n">
        <v>3</v>
      </c>
      <c r="L2603" t="n">
        <v>3.231</v>
      </c>
      <c r="M2603" t="n">
        <v>0</v>
      </c>
      <c r="N2603" t="inlineStr">
        <is>
          <t>train</t>
        </is>
      </c>
      <c r="O2603">
        <f>HYPERLINK("3\0\marker_609_656033.png", "Ver Imagen")</f>
        <v/>
      </c>
      <c r="P2603">
        <f>HYPERLINK("SE\A-497_2C\A-497_2C__153.png", "Ver Imagen")</f>
        <v/>
      </c>
    </row>
    <row r="2604">
      <c r="A2604" t="n">
        <v>2076</v>
      </c>
      <c r="B2604" t="inlineStr">
        <is>
          <t>A-497_2C__164</t>
        </is>
      </c>
      <c r="C2604" t="n">
        <v>37.2658470487</v>
      </c>
      <c r="D2604" t="n">
        <v>-6.99423890489</v>
      </c>
      <c r="E2604" t="n">
        <v>3</v>
      </c>
      <c r="F2604" t="n">
        <v>3</v>
      </c>
      <c r="G2604" t="n">
        <v>3</v>
      </c>
      <c r="J2604" t="inlineStr">
        <is>
          <t>Moda</t>
        </is>
      </c>
      <c r="K2604" t="n">
        <v>3</v>
      </c>
      <c r="L2604" t="n">
        <v>2.684</v>
      </c>
      <c r="M2604" t="n">
        <v>0</v>
      </c>
      <c r="N2604" t="inlineStr">
        <is>
          <t>test</t>
        </is>
      </c>
      <c r="O2604">
        <f>HYPERLINK("3\0\marker_379_656138.png", "Ver Imagen")</f>
        <v/>
      </c>
      <c r="P2604">
        <f>HYPERLINK("SE\A-497_2C\A-497_2C__164.png", "Ver Imagen")</f>
        <v/>
      </c>
    </row>
    <row r="2605">
      <c r="A2605" t="n">
        <v>2077</v>
      </c>
      <c r="B2605" t="inlineStr">
        <is>
          <t>A-497__725</t>
        </is>
      </c>
      <c r="C2605" t="n">
        <v>37.1919481231</v>
      </c>
      <c r="D2605" t="n">
        <v>-6.97753764997</v>
      </c>
      <c r="E2605" t="n">
        <v>3</v>
      </c>
      <c r="F2605" t="n">
        <v>3</v>
      </c>
      <c r="G2605" t="n">
        <v>3</v>
      </c>
      <c r="J2605" t="inlineStr">
        <is>
          <t>Moda</t>
        </is>
      </c>
      <c r="K2605" t="n">
        <v>3</v>
      </c>
      <c r="L2605" t="n">
        <v>2.878</v>
      </c>
      <c r="M2605" t="n">
        <v>0</v>
      </c>
      <c r="N2605" t="inlineStr">
        <is>
          <t>train</t>
        </is>
      </c>
      <c r="O2605">
        <f>HYPERLINK("3\0\marker_138_369012.png", "Ver Imagen")</f>
        <v/>
      </c>
      <c r="P2605">
        <f>HYPERLINK("SE\A-497\A-497__725.png", "Ver Imagen")</f>
        <v/>
      </c>
    </row>
    <row r="2606">
      <c r="A2606" t="n">
        <v>2078</v>
      </c>
      <c r="B2606" t="inlineStr">
        <is>
          <t>A-497__724</t>
        </is>
      </c>
      <c r="C2606" t="n">
        <v>37.1922232195</v>
      </c>
      <c r="D2606" t="n">
        <v>-6.97750685788</v>
      </c>
      <c r="E2606" t="n">
        <v>3</v>
      </c>
      <c r="F2606" t="n">
        <v>3</v>
      </c>
      <c r="G2606" t="n">
        <v>3</v>
      </c>
      <c r="J2606" t="inlineStr">
        <is>
          <t>Moda</t>
        </is>
      </c>
      <c r="K2606" t="n">
        <v>3</v>
      </c>
      <c r="L2606" t="n">
        <v>3.026</v>
      </c>
      <c r="M2606" t="n">
        <v>0</v>
      </c>
      <c r="N2606" t="inlineStr">
        <is>
          <t>train</t>
        </is>
      </c>
      <c r="O2606">
        <f>HYPERLINK("3\0\marker_788_369022.png", "Ver Imagen")</f>
        <v/>
      </c>
      <c r="P2606">
        <f>HYPERLINK("SE\A-497\A-497__724.png", "Ver Imagen")</f>
        <v/>
      </c>
    </row>
    <row r="2607">
      <c r="A2607" t="n">
        <v>2079</v>
      </c>
      <c r="B2607" t="inlineStr">
        <is>
          <t>A-497_2C__165</t>
        </is>
      </c>
      <c r="C2607" t="n">
        <v>37.2657951132</v>
      </c>
      <c r="D2607" t="n">
        <v>-6.99446539733</v>
      </c>
      <c r="E2607" t="n">
        <v>3</v>
      </c>
      <c r="F2607" t="n">
        <v>3</v>
      </c>
      <c r="G2607" t="n">
        <v>3</v>
      </c>
      <c r="J2607" t="inlineStr">
        <is>
          <t>Moda</t>
        </is>
      </c>
      <c r="K2607" t="n">
        <v>3</v>
      </c>
      <c r="L2607" t="n">
        <v>2.813</v>
      </c>
      <c r="M2607" t="n">
        <v>0</v>
      </c>
      <c r="N2607" t="inlineStr">
        <is>
          <t>train</t>
        </is>
      </c>
      <c r="O2607">
        <f>HYPERLINK("3\0\marker_269_656147.png", "Ver Imagen")</f>
        <v/>
      </c>
      <c r="P2607">
        <f>HYPERLINK("SE\A-497_2C\A-497_2C__165.png", "Ver Imagen")</f>
        <v/>
      </c>
    </row>
    <row r="2608">
      <c r="A2608" t="n">
        <v>2080</v>
      </c>
      <c r="B2608" t="inlineStr">
        <is>
          <t>A-497__718</t>
        </is>
      </c>
      <c r="C2608" t="n">
        <v>37.1933922047</v>
      </c>
      <c r="D2608" t="n">
        <v>-6.97749305445</v>
      </c>
      <c r="E2608" t="n">
        <v>3</v>
      </c>
      <c r="F2608" t="n">
        <v>3</v>
      </c>
      <c r="G2608" t="n">
        <v>3</v>
      </c>
      <c r="J2608" t="inlineStr">
        <is>
          <t>Moda</t>
        </is>
      </c>
      <c r="K2608" t="n">
        <v>3</v>
      </c>
      <c r="L2608" t="n">
        <v>3.081</v>
      </c>
      <c r="M2608" t="n">
        <v>0</v>
      </c>
      <c r="N2608" t="inlineStr">
        <is>
          <t>train</t>
        </is>
      </c>
      <c r="O2608">
        <f>HYPERLINK("3\0\marker_818_369080.png", "Ver Imagen")</f>
        <v/>
      </c>
      <c r="P2608">
        <f>HYPERLINK("SE\A-497\A-497__718.png", "Ver Imagen")</f>
        <v/>
      </c>
    </row>
    <row r="2609">
      <c r="A2609" t="n">
        <v>2081</v>
      </c>
      <c r="B2609" t="inlineStr">
        <is>
          <t>A-497__717</t>
        </is>
      </c>
      <c r="C2609" t="n">
        <v>37.1935591083</v>
      </c>
      <c r="D2609" t="n">
        <v>-6.97750904114</v>
      </c>
      <c r="E2609" t="n">
        <v>3</v>
      </c>
      <c r="F2609" t="n">
        <v>3</v>
      </c>
      <c r="G2609" t="n">
        <v>3</v>
      </c>
      <c r="J2609" t="inlineStr">
        <is>
          <t>Moda</t>
        </is>
      </c>
      <c r="K2609" t="n">
        <v>3</v>
      </c>
      <c r="L2609" t="n">
        <v>2.887</v>
      </c>
      <c r="M2609" t="n">
        <v>0</v>
      </c>
      <c r="N2609" t="inlineStr">
        <is>
          <t>train</t>
        </is>
      </c>
      <c r="O2609">
        <f>HYPERLINK("3\0\marker_552_369090.png", "Ver Imagen")</f>
        <v/>
      </c>
      <c r="P2609">
        <f>HYPERLINK("SE\A-497\A-497__717.png", "Ver Imagen")</f>
        <v/>
      </c>
    </row>
    <row r="2610">
      <c r="A2610" t="n">
        <v>2082</v>
      </c>
      <c r="B2610" t="inlineStr">
        <is>
          <t>A-497__716</t>
        </is>
      </c>
      <c r="C2610" t="n">
        <v>37.1937632492</v>
      </c>
      <c r="D2610" t="n">
        <v>-6.97753684914</v>
      </c>
      <c r="E2610" t="n">
        <v>3</v>
      </c>
      <c r="F2610" t="n">
        <v>3</v>
      </c>
      <c r="G2610" t="n">
        <v>3</v>
      </c>
      <c r="J2610" t="inlineStr">
        <is>
          <t>Moda</t>
        </is>
      </c>
      <c r="K2610" t="n">
        <v>3</v>
      </c>
      <c r="L2610" t="n">
        <v>2.51</v>
      </c>
      <c r="M2610" t="n">
        <v>0</v>
      </c>
      <c r="N2610" t="inlineStr">
        <is>
          <t>test</t>
        </is>
      </c>
      <c r="O2610">
        <f>HYPERLINK("3\0\marker_840_369100.png", "Ver Imagen")</f>
        <v/>
      </c>
      <c r="P2610">
        <f>HYPERLINK("SE\A-497\A-497__716.png", "Ver Imagen")</f>
        <v/>
      </c>
    </row>
    <row r="2611">
      <c r="A2611" t="n">
        <v>2083</v>
      </c>
      <c r="B2611" t="inlineStr">
        <is>
          <t>A-497_2C__176</t>
        </is>
      </c>
      <c r="C2611" t="n">
        <v>37.2652812344</v>
      </c>
      <c r="D2611" t="n">
        <v>-6.99718658291</v>
      </c>
      <c r="E2611" t="n">
        <v>3</v>
      </c>
      <c r="F2611" t="n">
        <v>3</v>
      </c>
      <c r="G2611" t="n">
        <v>3</v>
      </c>
      <c r="J2611" t="inlineStr">
        <is>
          <t>Moda</t>
        </is>
      </c>
      <c r="K2611" t="n">
        <v>3</v>
      </c>
      <c r="L2611" t="n">
        <v>2.723</v>
      </c>
      <c r="M2611" t="n">
        <v>0</v>
      </c>
      <c r="N2611" t="inlineStr">
        <is>
          <t>train</t>
        </is>
      </c>
      <c r="O2611">
        <f>HYPERLINK("3\0\marker_909_656258.png", "Ver Imagen")</f>
        <v/>
      </c>
      <c r="P2611">
        <f>HYPERLINK("SE\A-497_2C\A-497_2C__176.png", "Ver Imagen")</f>
        <v/>
      </c>
    </row>
    <row r="2612">
      <c r="A2612" t="n">
        <v>2084</v>
      </c>
      <c r="B2612" t="inlineStr">
        <is>
          <t>A-497_2C__177</t>
        </is>
      </c>
      <c r="C2612" t="n">
        <v>37.265236129</v>
      </c>
      <c r="D2612" t="n">
        <v>-6.99742985932</v>
      </c>
      <c r="E2612" t="n">
        <v>3</v>
      </c>
      <c r="F2612" t="n">
        <v>3</v>
      </c>
      <c r="G2612" t="n">
        <v>3</v>
      </c>
      <c r="J2612" t="inlineStr">
        <is>
          <t>Moda</t>
        </is>
      </c>
      <c r="K2612" t="n">
        <v>3</v>
      </c>
      <c r="L2612" t="n">
        <v>2.808</v>
      </c>
      <c r="M2612" t="n">
        <v>0</v>
      </c>
      <c r="N2612" t="inlineStr">
        <is>
          <t>train</t>
        </is>
      </c>
      <c r="O2612">
        <f>HYPERLINK("3\0\marker_881_656267.png", "Ver Imagen")</f>
        <v/>
      </c>
      <c r="P2612">
        <f>HYPERLINK("SE\A-497_2C\A-497_2C__177.png", "Ver Imagen")</f>
        <v/>
      </c>
    </row>
    <row r="2613">
      <c r="A2613" t="n">
        <v>2086</v>
      </c>
      <c r="B2613" t="inlineStr">
        <is>
          <t>A-497_2C__180</t>
        </is>
      </c>
      <c r="C2613" t="n">
        <v>37.2651004487</v>
      </c>
      <c r="D2613" t="n">
        <v>-6.9981916489</v>
      </c>
      <c r="E2613" t="n">
        <v>3</v>
      </c>
      <c r="F2613" t="n">
        <v>3</v>
      </c>
      <c r="G2613" t="n">
        <v>3</v>
      </c>
      <c r="J2613" t="inlineStr">
        <is>
          <t>Moda</t>
        </is>
      </c>
      <c r="K2613" t="n">
        <v>3</v>
      </c>
      <c r="L2613" t="n">
        <v>3.07</v>
      </c>
      <c r="M2613" t="n">
        <v>0</v>
      </c>
      <c r="N2613" t="inlineStr">
        <is>
          <t>train</t>
        </is>
      </c>
      <c r="O2613">
        <f>HYPERLINK("3\0\marker_742_656329.png", "Ver Imagen")</f>
        <v/>
      </c>
      <c r="P2613">
        <f>HYPERLINK("SE\A-497_2C\A-497_2C__180.png", "Ver Imagen")</f>
        <v/>
      </c>
    </row>
    <row r="2614">
      <c r="A2614" t="n">
        <v>2087</v>
      </c>
      <c r="B2614" t="inlineStr">
        <is>
          <t>A-497__713</t>
        </is>
      </c>
      <c r="C2614" t="n">
        <v>37.1943933433</v>
      </c>
      <c r="D2614" t="n">
        <v>-6.97768289498</v>
      </c>
      <c r="E2614" t="n">
        <v>3</v>
      </c>
      <c r="F2614" t="n">
        <v>3</v>
      </c>
      <c r="G2614" t="n">
        <v>3</v>
      </c>
      <c r="J2614" t="inlineStr">
        <is>
          <t>Moda</t>
        </is>
      </c>
      <c r="K2614" t="n">
        <v>3</v>
      </c>
      <c r="L2614" t="n">
        <v>3.415</v>
      </c>
      <c r="M2614" t="n">
        <v>0</v>
      </c>
      <c r="N2614" t="inlineStr">
        <is>
          <t>val</t>
        </is>
      </c>
      <c r="O2614">
        <f>HYPERLINK("3\0\marker_198_369141.png", "Ver Imagen")</f>
        <v/>
      </c>
      <c r="P2614">
        <f>HYPERLINK("SE\A-497\A-497__713.png", "Ver Imagen")</f>
        <v/>
      </c>
    </row>
    <row r="2615">
      <c r="A2615" t="n">
        <v>2088</v>
      </c>
      <c r="B2615" t="inlineStr">
        <is>
          <t>A-497_2C__181</t>
        </is>
      </c>
      <c r="C2615" t="n">
        <v>37.2650652518</v>
      </c>
      <c r="D2615" t="n">
        <v>-6.99841155546</v>
      </c>
      <c r="E2615" t="n">
        <v>3</v>
      </c>
      <c r="F2615" t="n">
        <v>3</v>
      </c>
      <c r="G2615" t="n">
        <v>3</v>
      </c>
      <c r="J2615" t="inlineStr">
        <is>
          <t>Moda</t>
        </is>
      </c>
      <c r="K2615" t="n">
        <v>3</v>
      </c>
      <c r="L2615" t="n">
        <v>2.934</v>
      </c>
      <c r="M2615" t="n">
        <v>0</v>
      </c>
      <c r="N2615" t="inlineStr">
        <is>
          <t>train</t>
        </is>
      </c>
      <c r="O2615">
        <f>HYPERLINK("3\0\marker_792_656338.png", "Ver Imagen")</f>
        <v/>
      </c>
      <c r="P2615">
        <f>HYPERLINK("SE\A-497_2C\A-497_2C__181.png", "Ver Imagen")</f>
        <v/>
      </c>
    </row>
    <row r="2616">
      <c r="A2616" t="n">
        <v>2089</v>
      </c>
      <c r="B2616" t="inlineStr">
        <is>
          <t>A-497_2C__182</t>
        </is>
      </c>
      <c r="C2616" t="n">
        <v>37.2650266463</v>
      </c>
      <c r="D2616" t="n">
        <v>-6.99866937159</v>
      </c>
      <c r="E2616" t="n">
        <v>3</v>
      </c>
      <c r="F2616" t="n">
        <v>3</v>
      </c>
      <c r="G2616" t="n">
        <v>3</v>
      </c>
      <c r="J2616" t="inlineStr">
        <is>
          <t>Moda</t>
        </is>
      </c>
      <c r="K2616" t="n">
        <v>3</v>
      </c>
      <c r="L2616" t="n">
        <v>3.208</v>
      </c>
      <c r="M2616" t="n">
        <v>0</v>
      </c>
      <c r="N2616" t="inlineStr">
        <is>
          <t>test</t>
        </is>
      </c>
      <c r="O2616">
        <f>HYPERLINK("3\0\marker_392_656346.png", "Ver Imagen")</f>
        <v/>
      </c>
      <c r="P2616">
        <f>HYPERLINK("SE\A-497_2C\A-497_2C__182.png", "Ver Imagen")</f>
        <v/>
      </c>
    </row>
    <row r="2617">
      <c r="A2617" t="n">
        <v>2090</v>
      </c>
      <c r="B2617" t="inlineStr">
        <is>
          <t>A-497__711</t>
        </is>
      </c>
      <c r="C2617" t="n">
        <v>37.1947926969</v>
      </c>
      <c r="D2617" t="n">
        <v>-6.97781280427</v>
      </c>
      <c r="E2617" t="n">
        <v>3</v>
      </c>
      <c r="F2617" t="n">
        <v>3</v>
      </c>
      <c r="G2617" t="n">
        <v>3</v>
      </c>
      <c r="J2617" t="inlineStr">
        <is>
          <t>Moda</t>
        </is>
      </c>
      <c r="K2617" t="n">
        <v>3</v>
      </c>
      <c r="L2617" t="n">
        <v>2.888</v>
      </c>
      <c r="M2617" t="n">
        <v>0</v>
      </c>
      <c r="N2617" t="inlineStr">
        <is>
          <t>train</t>
        </is>
      </c>
      <c r="O2617">
        <f>HYPERLINK("3\0\marker_159_369166.png", "Ver Imagen")</f>
        <v/>
      </c>
      <c r="P2617">
        <f>HYPERLINK("SE\A-497\A-497__711.png", "Ver Imagen")</f>
        <v/>
      </c>
    </row>
    <row r="2618">
      <c r="A2618" t="n">
        <v>2091</v>
      </c>
      <c r="B2618" t="inlineStr">
        <is>
          <t>A-497_2C__183</t>
        </is>
      </c>
      <c r="C2618" t="n">
        <v>37.2649918805</v>
      </c>
      <c r="D2618" t="n">
        <v>-6.99890330126</v>
      </c>
      <c r="E2618" t="n">
        <v>3</v>
      </c>
      <c r="F2618" t="n">
        <v>3</v>
      </c>
      <c r="G2618" t="n">
        <v>3</v>
      </c>
      <c r="J2618" t="inlineStr">
        <is>
          <t>Moda</t>
        </is>
      </c>
      <c r="K2618" t="n">
        <v>3</v>
      </c>
      <c r="L2618" t="n">
        <v>2.933</v>
      </c>
      <c r="M2618" t="n">
        <v>0</v>
      </c>
      <c r="N2618" t="inlineStr">
        <is>
          <t>train</t>
        </is>
      </c>
      <c r="O2618">
        <f>HYPERLINK("3\0\marker_119_656355.png", "Ver Imagen")</f>
        <v/>
      </c>
      <c r="P2618">
        <f>HYPERLINK("SE\A-497_2C\A-497_2C__183.png", "Ver Imagen")</f>
        <v/>
      </c>
    </row>
    <row r="2619">
      <c r="A2619" t="n">
        <v>2092</v>
      </c>
      <c r="B2619" t="inlineStr">
        <is>
          <t>A-497__707</t>
        </is>
      </c>
      <c r="C2619" t="n">
        <v>37.1955534739</v>
      </c>
      <c r="D2619" t="n">
        <v>-6.9781516463</v>
      </c>
      <c r="E2619" t="n">
        <v>3</v>
      </c>
      <c r="F2619" t="n">
        <v>3</v>
      </c>
      <c r="G2619" t="n">
        <v>3</v>
      </c>
      <c r="J2619" t="inlineStr">
        <is>
          <t>Moda</t>
        </is>
      </c>
      <c r="K2619" t="n">
        <v>3</v>
      </c>
      <c r="L2619" t="n">
        <v>3.187</v>
      </c>
      <c r="M2619" t="n">
        <v>0</v>
      </c>
      <c r="N2619" t="inlineStr">
        <is>
          <t>train</t>
        </is>
      </c>
      <c r="O2619">
        <f>HYPERLINK("3\0\marker_862_370307.png", "Ver Imagen")</f>
        <v/>
      </c>
      <c r="P2619">
        <f>HYPERLINK("SE\A-497\A-497__707.png", "Ver Imagen")</f>
        <v/>
      </c>
    </row>
    <row r="2620">
      <c r="A2620" t="n">
        <v>2093</v>
      </c>
      <c r="B2620" t="inlineStr">
        <is>
          <t>A-497_2C__188</t>
        </is>
      </c>
      <c r="C2620" t="n">
        <v>37.2647739648</v>
      </c>
      <c r="D2620" t="n">
        <v>-7.00018402379</v>
      </c>
      <c r="E2620" t="n">
        <v>3</v>
      </c>
      <c r="F2620" t="n">
        <v>3</v>
      </c>
      <c r="G2620" t="n">
        <v>3</v>
      </c>
      <c r="J2620" t="inlineStr">
        <is>
          <t>Moda</t>
        </is>
      </c>
      <c r="K2620" t="n">
        <v>3</v>
      </c>
      <c r="L2620" t="n">
        <v>2.94</v>
      </c>
      <c r="M2620" t="n">
        <v>0</v>
      </c>
      <c r="N2620" t="inlineStr">
        <is>
          <t>train</t>
        </is>
      </c>
      <c r="O2620">
        <f>HYPERLINK("3\0\marker_949_656401.png", "Ver Imagen")</f>
        <v/>
      </c>
      <c r="P2620">
        <f>HYPERLINK("SE\A-497_2C\A-497_2C__188.png", "Ver Imagen")</f>
        <v/>
      </c>
    </row>
    <row r="2621">
      <c r="A2621" t="n">
        <v>2094</v>
      </c>
      <c r="B2621" t="inlineStr">
        <is>
          <t>A-497_2C__190</t>
        </is>
      </c>
      <c r="C2621" t="n">
        <v>37.2646874809</v>
      </c>
      <c r="D2621" t="n">
        <v>-7.00067744524</v>
      </c>
      <c r="E2621" t="n">
        <v>3</v>
      </c>
      <c r="F2621" t="n">
        <v>3</v>
      </c>
      <c r="G2621" t="n">
        <v>3</v>
      </c>
      <c r="J2621" t="inlineStr">
        <is>
          <t>Moda</t>
        </is>
      </c>
      <c r="K2621" t="n">
        <v>3</v>
      </c>
      <c r="L2621" t="n">
        <v>3.044</v>
      </c>
      <c r="M2621" t="n">
        <v>0</v>
      </c>
      <c r="N2621" t="inlineStr">
        <is>
          <t>train</t>
        </is>
      </c>
      <c r="O2621">
        <f>HYPERLINK("3\0\marker_338_656422.png", "Ver Imagen")</f>
        <v/>
      </c>
      <c r="P2621">
        <f>HYPERLINK("SE\A-497_2C\A-497_2C__190.png", "Ver Imagen")</f>
        <v/>
      </c>
    </row>
    <row r="2622">
      <c r="A2622" t="n">
        <v>2096</v>
      </c>
      <c r="B2622" t="inlineStr">
        <is>
          <t>A-497__700</t>
        </is>
      </c>
      <c r="C2622" t="n">
        <v>37.1967830993</v>
      </c>
      <c r="D2622" t="n">
        <v>-6.97902316693</v>
      </c>
      <c r="E2622" t="n">
        <v>3</v>
      </c>
      <c r="F2622" t="n">
        <v>3</v>
      </c>
      <c r="G2622" t="n">
        <v>3</v>
      </c>
      <c r="J2622" t="inlineStr">
        <is>
          <t>Moda</t>
        </is>
      </c>
      <c r="K2622" t="n">
        <v>3</v>
      </c>
      <c r="L2622" t="n">
        <v>3.474</v>
      </c>
      <c r="M2622" t="n">
        <v>0</v>
      </c>
      <c r="N2622" t="inlineStr">
        <is>
          <t>val</t>
        </is>
      </c>
      <c r="O2622">
        <f>HYPERLINK("3\0\marker_671_370377.png", "Ver Imagen")</f>
        <v/>
      </c>
      <c r="P2622">
        <f>HYPERLINK("SE\A-497\A-497__700.png", "Ver Imagen")</f>
        <v/>
      </c>
    </row>
    <row r="2623">
      <c r="A2623" t="n">
        <v>2097</v>
      </c>
      <c r="B2623" t="inlineStr">
        <is>
          <t>A-497_2C__215</t>
        </is>
      </c>
      <c r="C2623" t="n">
        <v>37.2635846605</v>
      </c>
      <c r="D2623" t="n">
        <v>-7.00685136431</v>
      </c>
      <c r="E2623" t="n">
        <v>3</v>
      </c>
      <c r="F2623" t="n">
        <v>3</v>
      </c>
      <c r="G2623" t="n">
        <v>3</v>
      </c>
      <c r="J2623" t="inlineStr">
        <is>
          <t>Moda</t>
        </is>
      </c>
      <c r="K2623" t="n">
        <v>3</v>
      </c>
      <c r="L2623" t="n">
        <v>2.571</v>
      </c>
      <c r="M2623" t="n">
        <v>0</v>
      </c>
      <c r="N2623" t="inlineStr">
        <is>
          <t>val</t>
        </is>
      </c>
      <c r="O2623">
        <f>HYPERLINK("3\0\marker_319_656702.png", "Ver Imagen")</f>
        <v/>
      </c>
      <c r="P2623">
        <f>HYPERLINK("SE\A-497_2C\A-497_2C__215.png", "Ver Imagen")</f>
        <v/>
      </c>
    </row>
    <row r="2624">
      <c r="A2624" t="n">
        <v>2098</v>
      </c>
      <c r="B2624" t="inlineStr">
        <is>
          <t>A-497_2C__216</t>
        </is>
      </c>
      <c r="C2624" t="n">
        <v>37.2635449071</v>
      </c>
      <c r="D2624" t="n">
        <v>-7.0070555932</v>
      </c>
      <c r="E2624" t="n">
        <v>3</v>
      </c>
      <c r="F2624" t="n">
        <v>3</v>
      </c>
      <c r="G2624" t="n">
        <v>3</v>
      </c>
      <c r="J2624" t="inlineStr">
        <is>
          <t>Moda</t>
        </is>
      </c>
      <c r="K2624" t="n">
        <v>3</v>
      </c>
      <c r="L2624" t="n">
        <v>2.916</v>
      </c>
      <c r="M2624" t="n">
        <v>0</v>
      </c>
      <c r="N2624" t="inlineStr">
        <is>
          <t>train</t>
        </is>
      </c>
      <c r="O2624">
        <f>HYPERLINK("3\0\marker_658_656711.png", "Ver Imagen")</f>
        <v/>
      </c>
      <c r="P2624">
        <f>HYPERLINK("SE\A-497_2C\A-497_2C__216.png", "Ver Imagen")</f>
        <v/>
      </c>
    </row>
    <row r="2625">
      <c r="A2625" t="n">
        <v>2099</v>
      </c>
      <c r="B2625" t="inlineStr">
        <is>
          <t>A-497__688</t>
        </is>
      </c>
      <c r="C2625" t="n">
        <v>37.198461441</v>
      </c>
      <c r="D2625" t="n">
        <v>-6.98120353518</v>
      </c>
      <c r="E2625" t="n">
        <v>3</v>
      </c>
      <c r="F2625" t="n">
        <v>3</v>
      </c>
      <c r="G2625" t="n">
        <v>3</v>
      </c>
      <c r="J2625" t="inlineStr">
        <is>
          <t>Moda</t>
        </is>
      </c>
      <c r="K2625" t="n">
        <v>3</v>
      </c>
      <c r="L2625" t="n">
        <v>2.816</v>
      </c>
      <c r="M2625" t="n">
        <v>0</v>
      </c>
      <c r="N2625" t="inlineStr">
        <is>
          <t>train</t>
        </is>
      </c>
      <c r="O2625">
        <f>HYPERLINK("3\0\marker_125_370494.png", "Ver Imagen")</f>
        <v/>
      </c>
      <c r="P2625">
        <f>HYPERLINK("SE\A-497\A-497__688.png", "Ver Imagen")</f>
        <v/>
      </c>
    </row>
    <row r="2626">
      <c r="A2626" t="n">
        <v>2100</v>
      </c>
      <c r="B2626" t="inlineStr">
        <is>
          <t>A-497__686</t>
        </is>
      </c>
      <c r="C2626" t="n">
        <v>37.1986589315</v>
      </c>
      <c r="D2626" t="n">
        <v>-6.98159391376</v>
      </c>
      <c r="E2626" t="n">
        <v>3</v>
      </c>
      <c r="F2626" t="n">
        <v>3</v>
      </c>
      <c r="G2626" t="n">
        <v>3</v>
      </c>
      <c r="J2626" t="inlineStr">
        <is>
          <t>Moda</t>
        </is>
      </c>
      <c r="K2626" t="n">
        <v>3</v>
      </c>
      <c r="L2626" t="n">
        <v>2.757</v>
      </c>
      <c r="M2626" t="n">
        <v>0</v>
      </c>
      <c r="N2626" t="inlineStr">
        <is>
          <t>train</t>
        </is>
      </c>
      <c r="O2626">
        <f>HYPERLINK("3\0\marker_969_370512.png", "Ver Imagen")</f>
        <v/>
      </c>
      <c r="P2626">
        <f>HYPERLINK("SE\A-497\A-497__686.png", "Ver Imagen")</f>
        <v/>
      </c>
    </row>
    <row r="2627">
      <c r="A2627" t="n">
        <v>2101</v>
      </c>
      <c r="B2627" t="inlineStr">
        <is>
          <t>A-497_2C__226</t>
        </is>
      </c>
      <c r="C2627" t="n">
        <v>37.2626867981</v>
      </c>
      <c r="D2627" t="n">
        <v>-7.00938273948</v>
      </c>
      <c r="E2627" t="n">
        <v>3</v>
      </c>
      <c r="F2627" t="n">
        <v>3</v>
      </c>
      <c r="G2627" t="n">
        <v>3</v>
      </c>
      <c r="J2627" t="inlineStr">
        <is>
          <t>Moda</t>
        </is>
      </c>
      <c r="K2627" t="n">
        <v>3</v>
      </c>
      <c r="L2627" t="n">
        <v>2.87</v>
      </c>
      <c r="M2627" t="n">
        <v>0</v>
      </c>
      <c r="N2627" t="inlineStr">
        <is>
          <t>train</t>
        </is>
      </c>
      <c r="O2627">
        <f>HYPERLINK("3\0\marker_668_656848.png", "Ver Imagen")</f>
        <v/>
      </c>
      <c r="P2627">
        <f>HYPERLINK("SE\A-497_2C\A-497_2C__226.png", "Ver Imagen")</f>
        <v/>
      </c>
    </row>
    <row r="2628">
      <c r="A2628" t="n">
        <v>2102</v>
      </c>
      <c r="B2628" t="inlineStr">
        <is>
          <t>A-497_2C__228</t>
        </is>
      </c>
      <c r="C2628" t="n">
        <v>37.2624388729</v>
      </c>
      <c r="D2628" t="n">
        <v>-7.00975177935</v>
      </c>
      <c r="E2628" t="n">
        <v>3</v>
      </c>
      <c r="F2628" t="n">
        <v>3</v>
      </c>
      <c r="G2628" t="n">
        <v>3</v>
      </c>
      <c r="J2628" t="inlineStr">
        <is>
          <t>Moda</t>
        </is>
      </c>
      <c r="K2628" t="n">
        <v>3</v>
      </c>
      <c r="L2628" t="n">
        <v>2.793</v>
      </c>
      <c r="M2628" t="n">
        <v>0</v>
      </c>
      <c r="N2628" t="inlineStr">
        <is>
          <t>train</t>
        </is>
      </c>
      <c r="O2628">
        <f>HYPERLINK("3\0\marker_619_656865.png", "Ver Imagen")</f>
        <v/>
      </c>
      <c r="P2628">
        <f>HYPERLINK("SE\A-497_2C\A-497_2C__228.png", "Ver Imagen")</f>
        <v/>
      </c>
    </row>
    <row r="2629">
      <c r="A2629" t="n">
        <v>2103</v>
      </c>
      <c r="B2629" t="inlineStr">
        <is>
          <t>A-497_2C__229</t>
        </is>
      </c>
      <c r="C2629" t="n">
        <v>37.2623189653</v>
      </c>
      <c r="D2629" t="n">
        <v>-7.00990754317</v>
      </c>
      <c r="E2629" t="n">
        <v>3</v>
      </c>
      <c r="F2629" t="n">
        <v>3</v>
      </c>
      <c r="G2629" t="n">
        <v>3</v>
      </c>
      <c r="J2629" t="inlineStr">
        <is>
          <t>Moda</t>
        </is>
      </c>
      <c r="K2629" t="n">
        <v>3</v>
      </c>
      <c r="L2629" t="n">
        <v>2.768</v>
      </c>
      <c r="M2629" t="n">
        <v>0</v>
      </c>
      <c r="N2629" t="inlineStr">
        <is>
          <t>train</t>
        </is>
      </c>
      <c r="O2629">
        <f>HYPERLINK("3\0\marker_198_656873.png", "Ver Imagen")</f>
        <v/>
      </c>
      <c r="P2629">
        <f>HYPERLINK("SE\A-497_2C\A-497_2C__229.png", "Ver Imagen")</f>
        <v/>
      </c>
    </row>
    <row r="2630">
      <c r="A2630" t="n">
        <v>2104</v>
      </c>
      <c r="B2630" t="inlineStr">
        <is>
          <t>A-497_2C__230</t>
        </is>
      </c>
      <c r="C2630" t="n">
        <v>37.2621676809</v>
      </c>
      <c r="D2630" t="n">
        <v>-7.01008665817</v>
      </c>
      <c r="E2630" t="n">
        <v>3</v>
      </c>
      <c r="F2630" t="n">
        <v>3</v>
      </c>
      <c r="G2630" t="n">
        <v>3</v>
      </c>
      <c r="J2630" t="inlineStr">
        <is>
          <t>Moda</t>
        </is>
      </c>
      <c r="K2630" t="n">
        <v>3</v>
      </c>
      <c r="L2630" t="n">
        <v>2.913</v>
      </c>
      <c r="M2630" t="n">
        <v>0</v>
      </c>
      <c r="N2630" t="inlineStr">
        <is>
          <t>train</t>
        </is>
      </c>
      <c r="O2630">
        <f>HYPERLINK("3\0\marker_967_656882.png", "Ver Imagen")</f>
        <v/>
      </c>
      <c r="P2630">
        <f>HYPERLINK("SE\A-497_2C\A-497_2C__230.png", "Ver Imagen")</f>
        <v/>
      </c>
    </row>
    <row r="2631">
      <c r="A2631" t="n">
        <v>2105</v>
      </c>
      <c r="B2631" t="inlineStr">
        <is>
          <t>A-497_2C__250</t>
        </is>
      </c>
      <c r="C2631" t="n">
        <v>37.2586186974</v>
      </c>
      <c r="D2631" t="n">
        <v>-7.01258665994</v>
      </c>
      <c r="E2631" t="n">
        <v>3</v>
      </c>
      <c r="F2631" t="n">
        <v>3</v>
      </c>
      <c r="G2631" t="n">
        <v>3</v>
      </c>
      <c r="J2631" t="inlineStr">
        <is>
          <t>Moda</t>
        </is>
      </c>
      <c r="K2631" t="n">
        <v>3</v>
      </c>
      <c r="L2631" t="n">
        <v>3.206</v>
      </c>
      <c r="M2631" t="n">
        <v>0</v>
      </c>
      <c r="N2631" t="inlineStr">
        <is>
          <t>train</t>
        </is>
      </c>
      <c r="O2631">
        <f>HYPERLINK("3\0\marker_381_319401.png", "Ver Imagen")</f>
        <v/>
      </c>
      <c r="P2631">
        <f>HYPERLINK("SE\A-497_2C\A-497_2C__250.png", "Ver Imagen")</f>
        <v/>
      </c>
    </row>
    <row r="2632">
      <c r="A2632" t="n">
        <v>2106</v>
      </c>
      <c r="B2632" t="inlineStr">
        <is>
          <t>A-497_2C__254</t>
        </is>
      </c>
      <c r="C2632" t="n">
        <v>37.2578530221</v>
      </c>
      <c r="D2632" t="n">
        <v>-7.01307257568</v>
      </c>
      <c r="E2632" t="n">
        <v>3</v>
      </c>
      <c r="F2632" t="n">
        <v>3</v>
      </c>
      <c r="G2632" t="n">
        <v>3</v>
      </c>
      <c r="J2632" t="inlineStr">
        <is>
          <t>Moda</t>
        </is>
      </c>
      <c r="K2632" t="n">
        <v>3</v>
      </c>
      <c r="L2632" t="n">
        <v>2.758</v>
      </c>
      <c r="M2632" t="n">
        <v>0</v>
      </c>
      <c r="N2632" t="inlineStr">
        <is>
          <t>train</t>
        </is>
      </c>
      <c r="O2632">
        <f>HYPERLINK("3\0\marker_530_319441.png", "Ver Imagen")</f>
        <v/>
      </c>
      <c r="P2632">
        <f>HYPERLINK("SE\A-497_2C\A-497_2C__254.png", "Ver Imagen")</f>
        <v/>
      </c>
    </row>
    <row r="2633">
      <c r="A2633" t="n">
        <v>2107</v>
      </c>
      <c r="B2633" t="inlineStr">
        <is>
          <t>A-497_2C__255</t>
        </is>
      </c>
      <c r="C2633" t="n">
        <v>37.2577039346</v>
      </c>
      <c r="D2633" t="n">
        <v>-7.01316534777</v>
      </c>
      <c r="E2633" t="n">
        <v>3</v>
      </c>
      <c r="F2633" t="n">
        <v>3</v>
      </c>
      <c r="G2633" t="n">
        <v>3</v>
      </c>
      <c r="J2633" t="inlineStr">
        <is>
          <t>Moda</t>
        </is>
      </c>
      <c r="K2633" t="n">
        <v>3</v>
      </c>
      <c r="L2633" t="n">
        <v>2.809</v>
      </c>
      <c r="M2633" t="n">
        <v>0</v>
      </c>
      <c r="N2633" t="inlineStr">
        <is>
          <t>train</t>
        </is>
      </c>
      <c r="O2633">
        <f>HYPERLINK("3\0\marker_961_319523.png", "Ver Imagen")</f>
        <v/>
      </c>
      <c r="P2633">
        <f>HYPERLINK("SE\A-497_2C\A-497_2C__255.png", "Ver Imagen")</f>
        <v/>
      </c>
    </row>
    <row r="2634">
      <c r="A2634" t="n">
        <v>2108</v>
      </c>
      <c r="B2634" t="inlineStr">
        <is>
          <t>A-497_2C__260</t>
        </is>
      </c>
      <c r="C2634" t="n">
        <v>37.2567909589</v>
      </c>
      <c r="D2634" t="n">
        <v>-7.01374641338</v>
      </c>
      <c r="E2634" t="n">
        <v>3</v>
      </c>
      <c r="F2634" t="n">
        <v>3</v>
      </c>
      <c r="G2634" t="n">
        <v>3</v>
      </c>
      <c r="J2634" t="inlineStr">
        <is>
          <t>Moda</t>
        </is>
      </c>
      <c r="K2634" t="n">
        <v>3</v>
      </c>
      <c r="L2634" t="n">
        <v>2.877</v>
      </c>
      <c r="M2634" t="n">
        <v>0</v>
      </c>
      <c r="N2634" t="inlineStr">
        <is>
          <t>train</t>
        </is>
      </c>
      <c r="O2634">
        <f>HYPERLINK("3\0\marker_797_319590.png", "Ver Imagen")</f>
        <v/>
      </c>
      <c r="P2634">
        <f>HYPERLINK("SE\A-497_2C\A-497_2C__260.png", "Ver Imagen")</f>
        <v/>
      </c>
    </row>
    <row r="2635">
      <c r="A2635" t="n">
        <v>2109</v>
      </c>
      <c r="B2635" t="inlineStr">
        <is>
          <t>A-497_2C__261</t>
        </is>
      </c>
      <c r="C2635" t="n">
        <v>37.2566279478</v>
      </c>
      <c r="D2635" t="n">
        <v>-7.01385026298</v>
      </c>
      <c r="E2635" t="n">
        <v>3</v>
      </c>
      <c r="F2635" t="n">
        <v>3</v>
      </c>
      <c r="G2635" t="n">
        <v>3</v>
      </c>
      <c r="J2635" t="inlineStr">
        <is>
          <t>Moda</t>
        </is>
      </c>
      <c r="K2635" t="n">
        <v>3</v>
      </c>
      <c r="L2635" t="n">
        <v>2.585</v>
      </c>
      <c r="M2635" t="n">
        <v>0</v>
      </c>
      <c r="N2635" t="inlineStr">
        <is>
          <t>train</t>
        </is>
      </c>
      <c r="O2635">
        <f>HYPERLINK("3\0\marker_954_319599.png", "Ver Imagen")</f>
        <v/>
      </c>
      <c r="P2635">
        <f>HYPERLINK("SE\A-497_2C\A-497_2C__261.png", "Ver Imagen")</f>
        <v/>
      </c>
    </row>
    <row r="2636">
      <c r="A2636" t="n">
        <v>2110</v>
      </c>
      <c r="B2636" t="inlineStr">
        <is>
          <t>A-497__637</t>
        </is>
      </c>
      <c r="C2636" t="n">
        <v>37.2016319056</v>
      </c>
      <c r="D2636" t="n">
        <v>-6.99341978684</v>
      </c>
      <c r="E2636" t="n">
        <v>3</v>
      </c>
      <c r="F2636" t="n">
        <v>3</v>
      </c>
      <c r="G2636" t="n">
        <v>3</v>
      </c>
      <c r="J2636" t="inlineStr">
        <is>
          <t>Moda</t>
        </is>
      </c>
      <c r="K2636" t="n">
        <v>3</v>
      </c>
      <c r="L2636" t="n">
        <v>2.951</v>
      </c>
      <c r="M2636" t="n">
        <v>0</v>
      </c>
      <c r="N2636" t="inlineStr">
        <is>
          <t>train</t>
        </is>
      </c>
      <c r="O2636">
        <f>HYPERLINK("3\0\marker_454_371362.png", "Ver Imagen")</f>
        <v/>
      </c>
      <c r="P2636">
        <f>HYPERLINK("SE\A-497\A-497__637.png", "Ver Imagen")</f>
        <v/>
      </c>
    </row>
    <row r="2637">
      <c r="A2637" t="n">
        <v>2111</v>
      </c>
      <c r="B2637" t="inlineStr">
        <is>
          <t>A-497__625</t>
        </is>
      </c>
      <c r="C2637" t="n">
        <v>37.2021484175</v>
      </c>
      <c r="D2637" t="n">
        <v>-6.99641509279</v>
      </c>
      <c r="E2637" t="n">
        <v>3</v>
      </c>
      <c r="F2637" t="n">
        <v>3</v>
      </c>
      <c r="G2637" t="n">
        <v>3</v>
      </c>
      <c r="J2637" t="inlineStr">
        <is>
          <t>Moda</t>
        </is>
      </c>
      <c r="K2637" t="n">
        <v>3</v>
      </c>
      <c r="L2637" t="n">
        <v>3.015</v>
      </c>
      <c r="M2637" t="n">
        <v>0</v>
      </c>
      <c r="N2637" t="inlineStr">
        <is>
          <t>train</t>
        </is>
      </c>
      <c r="O2637">
        <f>HYPERLINK("3\0\marker_115_371475.png", "Ver Imagen")</f>
        <v/>
      </c>
      <c r="P2637">
        <f>HYPERLINK("SE\A-497\A-497__625.png", "Ver Imagen")</f>
        <v/>
      </c>
    </row>
    <row r="2638">
      <c r="A2638" t="n">
        <v>2112</v>
      </c>
      <c r="B2638" t="inlineStr">
        <is>
          <t>A-497__624</t>
        </is>
      </c>
      <c r="C2638" t="n">
        <v>37.2021851349</v>
      </c>
      <c r="D2638" t="n">
        <v>-6.99664807068</v>
      </c>
      <c r="E2638" t="n">
        <v>3</v>
      </c>
      <c r="F2638" t="n">
        <v>3</v>
      </c>
      <c r="G2638" t="n">
        <v>3</v>
      </c>
      <c r="J2638" t="inlineStr">
        <is>
          <t>Moda</t>
        </is>
      </c>
      <c r="K2638" t="n">
        <v>3</v>
      </c>
      <c r="L2638" t="n">
        <v>2.664</v>
      </c>
      <c r="M2638" t="n">
        <v>0</v>
      </c>
      <c r="N2638" t="inlineStr">
        <is>
          <t>test</t>
        </is>
      </c>
      <c r="O2638">
        <f>HYPERLINK("3\0\marker_527_371484.png", "Ver Imagen")</f>
        <v/>
      </c>
      <c r="P2638">
        <f>HYPERLINK("SE\A-497\A-497__624.png", "Ver Imagen")</f>
        <v/>
      </c>
    </row>
    <row r="2639">
      <c r="A2639" t="n">
        <v>2113</v>
      </c>
      <c r="B2639" t="inlineStr">
        <is>
          <t>A-497__623</t>
        </is>
      </c>
      <c r="C2639" t="n">
        <v>37.2022186353</v>
      </c>
      <c r="D2639" t="n">
        <v>-6.99686113261</v>
      </c>
      <c r="E2639" t="n">
        <v>3</v>
      </c>
      <c r="F2639" t="n">
        <v>3</v>
      </c>
      <c r="G2639" t="n">
        <v>3</v>
      </c>
      <c r="J2639" t="inlineStr">
        <is>
          <t>Moda</t>
        </is>
      </c>
      <c r="K2639" t="n">
        <v>3</v>
      </c>
      <c r="L2639" t="n">
        <v>2.574</v>
      </c>
      <c r="M2639" t="n">
        <v>0</v>
      </c>
      <c r="N2639" t="inlineStr">
        <is>
          <t>train</t>
        </is>
      </c>
      <c r="O2639">
        <f>HYPERLINK("3\0\marker_183_371499.png", "Ver Imagen")</f>
        <v/>
      </c>
      <c r="P2639">
        <f>HYPERLINK("SE\A-497\A-497__623.png", "Ver Imagen")</f>
        <v/>
      </c>
    </row>
    <row r="2640">
      <c r="A2640" t="n">
        <v>2114</v>
      </c>
      <c r="B2640" t="inlineStr">
        <is>
          <t>A-497__600</t>
        </is>
      </c>
      <c r="C2640" t="n">
        <v>37.2029664737</v>
      </c>
      <c r="D2640" t="n">
        <v>-7.00263083585</v>
      </c>
      <c r="E2640" t="n">
        <v>3</v>
      </c>
      <c r="F2640" t="n">
        <v>3</v>
      </c>
      <c r="G2640" t="n">
        <v>3</v>
      </c>
      <c r="J2640" t="inlineStr">
        <is>
          <t>Moda</t>
        </is>
      </c>
      <c r="K2640" t="n">
        <v>3</v>
      </c>
      <c r="L2640" t="n">
        <v>3.355</v>
      </c>
      <c r="M2640" t="n">
        <v>0</v>
      </c>
      <c r="N2640" t="inlineStr">
        <is>
          <t>val</t>
        </is>
      </c>
      <c r="O2640">
        <f>HYPERLINK("3\0\marker_398_371712.png", "Ver Imagen")</f>
        <v/>
      </c>
      <c r="P2640">
        <f>HYPERLINK("SE\A-497\A-497__600.png", "Ver Imagen")</f>
        <v/>
      </c>
    </row>
    <row r="2641">
      <c r="A2641" t="n">
        <v>2115</v>
      </c>
      <c r="B2641" t="inlineStr">
        <is>
          <t>A-497__598</t>
        </is>
      </c>
      <c r="C2641" t="n">
        <v>37.2030182486</v>
      </c>
      <c r="D2641" t="n">
        <v>-7.00312828862</v>
      </c>
      <c r="E2641" t="n">
        <v>3</v>
      </c>
      <c r="F2641" t="n">
        <v>3</v>
      </c>
      <c r="G2641" t="n">
        <v>3</v>
      </c>
      <c r="J2641" t="inlineStr">
        <is>
          <t>Moda</t>
        </is>
      </c>
      <c r="K2641" t="n">
        <v>3</v>
      </c>
      <c r="L2641" t="n">
        <v>2.958</v>
      </c>
      <c r="M2641" t="n">
        <v>0</v>
      </c>
      <c r="N2641" t="inlineStr">
        <is>
          <t>train</t>
        </is>
      </c>
      <c r="O2641">
        <f>HYPERLINK("3\0\marker_935_371731.png", "Ver Imagen")</f>
        <v/>
      </c>
      <c r="P2641">
        <f>HYPERLINK("SE\A-497\A-497__598.png", "Ver Imagen")</f>
        <v/>
      </c>
    </row>
    <row r="2642">
      <c r="A2642" t="n">
        <v>2117</v>
      </c>
      <c r="B2642" t="inlineStr">
        <is>
          <t>A-497_2C__270</t>
        </is>
      </c>
      <c r="C2642" t="n">
        <v>37.2549941065</v>
      </c>
      <c r="D2642" t="n">
        <v>-7.01489660509</v>
      </c>
      <c r="E2642" t="n">
        <v>3</v>
      </c>
      <c r="F2642" t="n">
        <v>3</v>
      </c>
      <c r="G2642" t="n">
        <v>3</v>
      </c>
      <c r="J2642" t="inlineStr">
        <is>
          <t>Moda</t>
        </is>
      </c>
      <c r="K2642" t="n">
        <v>3</v>
      </c>
      <c r="L2642" t="n">
        <v>3.409</v>
      </c>
      <c r="M2642" t="n">
        <v>0</v>
      </c>
      <c r="N2642" t="inlineStr">
        <is>
          <t>train</t>
        </is>
      </c>
      <c r="O2642">
        <f>HYPERLINK("3\0\marker_647_319744.png", "Ver Imagen")</f>
        <v/>
      </c>
      <c r="P2642">
        <f>HYPERLINK("SE\A-497_2C\A-497_2C__270.png", "Ver Imagen")</f>
        <v/>
      </c>
    </row>
    <row r="2643">
      <c r="A2643" t="n">
        <v>2118</v>
      </c>
      <c r="B2643" t="inlineStr">
        <is>
          <t>A-497_2C__277</t>
        </is>
      </c>
      <c r="C2643" t="n">
        <v>37.2537359688</v>
      </c>
      <c r="D2643" t="n">
        <v>-7.01570387148</v>
      </c>
      <c r="E2643" t="n">
        <v>3</v>
      </c>
      <c r="F2643" t="n">
        <v>3</v>
      </c>
      <c r="G2643" t="n">
        <v>3</v>
      </c>
      <c r="J2643" t="inlineStr">
        <is>
          <t>Moda</t>
        </is>
      </c>
      <c r="K2643" t="n">
        <v>3</v>
      </c>
      <c r="L2643" t="n">
        <v>2.652</v>
      </c>
      <c r="M2643" t="n">
        <v>0</v>
      </c>
      <c r="N2643" t="inlineStr">
        <is>
          <t>train</t>
        </is>
      </c>
      <c r="O2643">
        <f>HYPERLINK("3\0\marker_525_319836.png", "Ver Imagen")</f>
        <v/>
      </c>
      <c r="P2643">
        <f>HYPERLINK("SE\A-497_2C\A-497_2C__277.png", "Ver Imagen")</f>
        <v/>
      </c>
    </row>
    <row r="2644">
      <c r="A2644" t="n">
        <v>2119</v>
      </c>
      <c r="B2644" t="inlineStr">
        <is>
          <t>A-497_2C__278</t>
        </is>
      </c>
      <c r="C2644" t="n">
        <v>37.2535720875</v>
      </c>
      <c r="D2644" t="n">
        <v>-7.01580975956</v>
      </c>
      <c r="E2644" t="n">
        <v>3</v>
      </c>
      <c r="F2644" t="n">
        <v>3</v>
      </c>
      <c r="G2644" t="n">
        <v>3</v>
      </c>
      <c r="J2644" t="inlineStr">
        <is>
          <t>Moda</t>
        </is>
      </c>
      <c r="K2644" t="n">
        <v>3</v>
      </c>
      <c r="L2644" t="n">
        <v>3.161</v>
      </c>
      <c r="M2644" t="n">
        <v>0</v>
      </c>
      <c r="N2644" t="inlineStr">
        <is>
          <t>train</t>
        </is>
      </c>
      <c r="O2644">
        <f>HYPERLINK("3\0\marker_381_319861.png", "Ver Imagen")</f>
        <v/>
      </c>
      <c r="P2644">
        <f>HYPERLINK("SE\A-497_2C\A-497_2C__278.png", "Ver Imagen")</f>
        <v/>
      </c>
    </row>
    <row r="2645">
      <c r="A2645" t="n">
        <v>2120</v>
      </c>
      <c r="B2645" t="inlineStr">
        <is>
          <t>A-497_2C__279</t>
        </is>
      </c>
      <c r="C2645" t="n">
        <v>37.2533846294</v>
      </c>
      <c r="D2645" t="n">
        <v>-7.0159301549</v>
      </c>
      <c r="E2645" t="n">
        <v>3</v>
      </c>
      <c r="F2645" t="n">
        <v>3</v>
      </c>
      <c r="G2645" t="n">
        <v>3</v>
      </c>
      <c r="J2645" t="inlineStr">
        <is>
          <t>Moda</t>
        </is>
      </c>
      <c r="K2645" t="n">
        <v>3</v>
      </c>
      <c r="L2645" t="n">
        <v>3.369</v>
      </c>
      <c r="M2645" t="n">
        <v>0</v>
      </c>
      <c r="N2645" t="inlineStr">
        <is>
          <t>test</t>
        </is>
      </c>
      <c r="O2645">
        <f>HYPERLINK("3\0\marker_417_319872.png", "Ver Imagen")</f>
        <v/>
      </c>
      <c r="P2645">
        <f>HYPERLINK("SE\A-497_2C\A-497_2C__279.png", "Ver Imagen")</f>
        <v/>
      </c>
    </row>
    <row r="2646">
      <c r="A2646" t="n">
        <v>2121</v>
      </c>
      <c r="B2646" t="inlineStr">
        <is>
          <t>A-497_2C__280</t>
        </is>
      </c>
      <c r="C2646" t="n">
        <v>37.2531830331</v>
      </c>
      <c r="D2646" t="n">
        <v>-7.0160589597</v>
      </c>
      <c r="E2646" t="n">
        <v>3</v>
      </c>
      <c r="F2646" t="n">
        <v>3</v>
      </c>
      <c r="G2646" t="n">
        <v>3</v>
      </c>
      <c r="J2646" t="inlineStr">
        <is>
          <t>Moda</t>
        </is>
      </c>
      <c r="K2646" t="n">
        <v>3</v>
      </c>
      <c r="L2646" t="n">
        <v>3.198</v>
      </c>
      <c r="M2646" t="n">
        <v>0</v>
      </c>
      <c r="N2646" t="inlineStr">
        <is>
          <t>train</t>
        </is>
      </c>
      <c r="O2646">
        <f>HYPERLINK("3\0\marker_878_319891.png", "Ver Imagen")</f>
        <v/>
      </c>
      <c r="P2646">
        <f>HYPERLINK("SE\A-497_2C\A-497_2C__280.png", "Ver Imagen")</f>
        <v/>
      </c>
    </row>
    <row r="2647">
      <c r="A2647" t="n">
        <v>2122</v>
      </c>
      <c r="B2647" t="inlineStr">
        <is>
          <t>A-497_2C__281</t>
        </is>
      </c>
      <c r="C2647" t="n">
        <v>37.2530235093</v>
      </c>
      <c r="D2647" t="n">
        <v>-7.01616075705</v>
      </c>
      <c r="E2647" t="n">
        <v>3</v>
      </c>
      <c r="F2647" t="n">
        <v>3</v>
      </c>
      <c r="G2647" t="n">
        <v>3</v>
      </c>
      <c r="J2647" t="inlineStr">
        <is>
          <t>Moda</t>
        </is>
      </c>
      <c r="K2647" t="n">
        <v>3</v>
      </c>
      <c r="L2647" t="n">
        <v>3.107</v>
      </c>
      <c r="M2647" t="n">
        <v>0</v>
      </c>
      <c r="N2647" t="inlineStr">
        <is>
          <t>train</t>
        </is>
      </c>
      <c r="O2647">
        <f>HYPERLINK("3\0\marker_449_319900.png", "Ver Imagen")</f>
        <v/>
      </c>
      <c r="P2647">
        <f>HYPERLINK("SE\A-497_2C\A-497_2C__281.png", "Ver Imagen")</f>
        <v/>
      </c>
    </row>
    <row r="2648">
      <c r="A2648" t="n">
        <v>2123</v>
      </c>
      <c r="B2648" t="inlineStr">
        <is>
          <t>A-497_2C__285</t>
        </is>
      </c>
      <c r="C2648" t="n">
        <v>37.252284152</v>
      </c>
      <c r="D2648" t="n">
        <v>-7.01663409133</v>
      </c>
      <c r="E2648" t="n">
        <v>3</v>
      </c>
      <c r="F2648" t="n">
        <v>3</v>
      </c>
      <c r="G2648" t="n">
        <v>3</v>
      </c>
      <c r="J2648" t="inlineStr">
        <is>
          <t>Moda</t>
        </is>
      </c>
      <c r="K2648" t="n">
        <v>3</v>
      </c>
      <c r="L2648" t="n">
        <v>3.034</v>
      </c>
      <c r="M2648" t="n">
        <v>0</v>
      </c>
      <c r="N2648" t="inlineStr">
        <is>
          <t>train</t>
        </is>
      </c>
      <c r="O2648">
        <f>HYPERLINK("3\0\marker_840_319957.png", "Ver Imagen")</f>
        <v/>
      </c>
      <c r="P2648">
        <f>HYPERLINK("SE\A-497_2C\A-497_2C__285.png", "Ver Imagen")</f>
        <v/>
      </c>
    </row>
    <row r="2649">
      <c r="A2649" t="n">
        <v>2124</v>
      </c>
      <c r="B2649" t="inlineStr">
        <is>
          <t>A-497_2C__287</t>
        </is>
      </c>
      <c r="C2649" t="n">
        <v>37.2519190133</v>
      </c>
      <c r="D2649" t="n">
        <v>-7.01686644028</v>
      </c>
      <c r="E2649" t="n">
        <v>3</v>
      </c>
      <c r="F2649" t="n">
        <v>3</v>
      </c>
      <c r="G2649" t="n">
        <v>3</v>
      </c>
      <c r="J2649" t="inlineStr">
        <is>
          <t>Moda</t>
        </is>
      </c>
      <c r="K2649" t="n">
        <v>3</v>
      </c>
      <c r="L2649" t="n">
        <v>2.85</v>
      </c>
      <c r="M2649" t="n">
        <v>0</v>
      </c>
      <c r="N2649" t="inlineStr">
        <is>
          <t>train</t>
        </is>
      </c>
      <c r="O2649">
        <f>HYPERLINK("3\0\marker_454_320040.png", "Ver Imagen")</f>
        <v/>
      </c>
      <c r="P2649">
        <f>HYPERLINK("SE\A-497_2C\A-497_2C__287.png", "Ver Imagen")</f>
        <v/>
      </c>
    </row>
    <row r="2650">
      <c r="A2650" t="n">
        <v>2125</v>
      </c>
      <c r="B2650" t="inlineStr">
        <is>
          <t>A-497_2C__288</t>
        </is>
      </c>
      <c r="C2650" t="n">
        <v>37.2517556662</v>
      </c>
      <c r="D2650" t="n">
        <v>-7.01697146084</v>
      </c>
      <c r="E2650" t="n">
        <v>3</v>
      </c>
      <c r="F2650" t="n">
        <v>3</v>
      </c>
      <c r="G2650" t="n">
        <v>3</v>
      </c>
      <c r="J2650" t="inlineStr">
        <is>
          <t>Moda</t>
        </is>
      </c>
      <c r="K2650" t="n">
        <v>3</v>
      </c>
      <c r="L2650" t="n">
        <v>3.172</v>
      </c>
      <c r="M2650" t="n">
        <v>0</v>
      </c>
      <c r="N2650" t="inlineStr">
        <is>
          <t>train</t>
        </is>
      </c>
      <c r="O2650">
        <f>HYPERLINK("3\0\marker_466_320050.png", "Ver Imagen")</f>
        <v/>
      </c>
      <c r="P2650">
        <f>HYPERLINK("SE\A-497_2C\A-497_2C__288.png", "Ver Imagen")</f>
        <v/>
      </c>
    </row>
    <row r="2651">
      <c r="A2651" t="n">
        <v>2126</v>
      </c>
      <c r="B2651" t="inlineStr">
        <is>
          <t>A-497__573</t>
        </is>
      </c>
      <c r="C2651" t="n">
        <v>37.2038573717</v>
      </c>
      <c r="D2651" t="n">
        <v>-7.00936353346</v>
      </c>
      <c r="E2651" t="n">
        <v>3</v>
      </c>
      <c r="F2651" t="n">
        <v>3</v>
      </c>
      <c r="G2651" t="n">
        <v>3</v>
      </c>
      <c r="J2651" t="inlineStr">
        <is>
          <t>Moda</t>
        </is>
      </c>
      <c r="K2651" t="n">
        <v>3</v>
      </c>
      <c r="L2651" t="n">
        <v>2.908</v>
      </c>
      <c r="M2651" t="n">
        <v>0</v>
      </c>
      <c r="N2651" t="inlineStr">
        <is>
          <t>train</t>
        </is>
      </c>
      <c r="O2651">
        <f>HYPERLINK("3\0\marker_502_371992.png", "Ver Imagen")</f>
        <v/>
      </c>
      <c r="P2651">
        <f>HYPERLINK("SE\A-497\A-497__573.png", "Ver Imagen")</f>
        <v/>
      </c>
    </row>
    <row r="2652">
      <c r="A2652" t="n">
        <v>2128</v>
      </c>
      <c r="B2652" t="inlineStr">
        <is>
          <t>A-497__560</t>
        </is>
      </c>
      <c r="C2652" t="n">
        <v>37.2044107514</v>
      </c>
      <c r="D2652" t="n">
        <v>-7.01261416481</v>
      </c>
      <c r="E2652" t="n">
        <v>3</v>
      </c>
      <c r="F2652" t="n">
        <v>3</v>
      </c>
      <c r="G2652" t="n">
        <v>3</v>
      </c>
      <c r="J2652" t="inlineStr">
        <is>
          <t>Moda</t>
        </is>
      </c>
      <c r="K2652" t="n">
        <v>3</v>
      </c>
      <c r="L2652" t="n">
        <v>2.959</v>
      </c>
      <c r="M2652" t="n">
        <v>0</v>
      </c>
      <c r="N2652" t="inlineStr">
        <is>
          <t>train</t>
        </is>
      </c>
      <c r="O2652">
        <f>HYPERLINK("3\0\marker_642_372144.png", "Ver Imagen")</f>
        <v/>
      </c>
      <c r="P2652">
        <f>HYPERLINK("SE\A-497\A-497__560.png", "Ver Imagen")</f>
        <v/>
      </c>
    </row>
    <row r="2653">
      <c r="A2653" t="n">
        <v>2129</v>
      </c>
      <c r="B2653" t="inlineStr">
        <is>
          <t>A-497_2C__315</t>
        </is>
      </c>
      <c r="C2653" t="n">
        <v>37.2465247613</v>
      </c>
      <c r="D2653" t="n">
        <v>-7.01843274459</v>
      </c>
      <c r="E2653" t="n">
        <v>3</v>
      </c>
      <c r="F2653" t="n">
        <v>3</v>
      </c>
      <c r="G2653" t="n">
        <v>3</v>
      </c>
      <c r="J2653" t="inlineStr">
        <is>
          <t>Moda</t>
        </is>
      </c>
      <c r="K2653" t="n">
        <v>3</v>
      </c>
      <c r="L2653" t="n">
        <v>3.274</v>
      </c>
      <c r="M2653" t="n">
        <v>0</v>
      </c>
      <c r="N2653" t="inlineStr">
        <is>
          <t>train</t>
        </is>
      </c>
      <c r="O2653">
        <f>HYPERLINK("3\0\marker_676_361879.png", "Ver Imagen")</f>
        <v/>
      </c>
      <c r="P2653">
        <f>HYPERLINK("SE\A-497_2C\A-497_2C__315.png", "Ver Imagen")</f>
        <v/>
      </c>
    </row>
    <row r="2654">
      <c r="A2654" t="n">
        <v>2130</v>
      </c>
      <c r="B2654" t="inlineStr">
        <is>
          <t>A-497_2C__318</t>
        </is>
      </c>
      <c r="C2654" t="n">
        <v>37.2459033575</v>
      </c>
      <c r="D2654" t="n">
        <v>-7.01845487784</v>
      </c>
      <c r="E2654" t="n">
        <v>3</v>
      </c>
      <c r="F2654" t="n">
        <v>3</v>
      </c>
      <c r="G2654" t="n">
        <v>3</v>
      </c>
      <c r="J2654" t="inlineStr">
        <is>
          <t>Moda</t>
        </is>
      </c>
      <c r="K2654" t="n">
        <v>3</v>
      </c>
      <c r="L2654" t="n">
        <v>3.106</v>
      </c>
      <c r="M2654" t="n">
        <v>0</v>
      </c>
      <c r="N2654" t="inlineStr">
        <is>
          <t>train</t>
        </is>
      </c>
      <c r="O2654">
        <f>HYPERLINK("3\0\marker_566_361910.png", "Ver Imagen")</f>
        <v/>
      </c>
      <c r="P2654">
        <f>HYPERLINK("SE\A-497_2C\A-497_2C__318.png", "Ver Imagen")</f>
        <v/>
      </c>
    </row>
    <row r="2655">
      <c r="A2655" t="n">
        <v>2131</v>
      </c>
      <c r="B2655" t="inlineStr">
        <is>
          <t>A-497_2C__320</t>
        </is>
      </c>
      <c r="C2655" t="n">
        <v>37.2455029269</v>
      </c>
      <c r="D2655" t="n">
        <v>-7.01846818935</v>
      </c>
      <c r="E2655" t="n">
        <v>3</v>
      </c>
      <c r="F2655" t="n">
        <v>3</v>
      </c>
      <c r="G2655" t="n">
        <v>3</v>
      </c>
      <c r="J2655" t="inlineStr">
        <is>
          <t>Moda</t>
        </is>
      </c>
      <c r="K2655" t="n">
        <v>3</v>
      </c>
      <c r="L2655" t="n">
        <v>2.862</v>
      </c>
      <c r="M2655" t="n">
        <v>0</v>
      </c>
      <c r="N2655" t="inlineStr">
        <is>
          <t>train</t>
        </is>
      </c>
      <c r="O2655">
        <f>HYPERLINK("3\0\marker_245_361930.png", "Ver Imagen")</f>
        <v/>
      </c>
      <c r="P2655">
        <f>HYPERLINK("SE\A-497_2C\A-497_2C__320.png", "Ver Imagen")</f>
        <v/>
      </c>
    </row>
    <row r="2656">
      <c r="A2656" t="n">
        <v>2132</v>
      </c>
      <c r="B2656" t="inlineStr">
        <is>
          <t>A-497_2C__323</t>
        </is>
      </c>
      <c r="C2656" t="n">
        <v>37.2448653635</v>
      </c>
      <c r="D2656" t="n">
        <v>-7.01848939551</v>
      </c>
      <c r="E2656" t="n">
        <v>3</v>
      </c>
      <c r="F2656" t="n">
        <v>3</v>
      </c>
      <c r="G2656" t="n">
        <v>3</v>
      </c>
      <c r="J2656" t="inlineStr">
        <is>
          <t>Moda</t>
        </is>
      </c>
      <c r="K2656" t="n">
        <v>3</v>
      </c>
      <c r="L2656" t="n">
        <v>3.405</v>
      </c>
      <c r="M2656" t="n">
        <v>0</v>
      </c>
      <c r="N2656" t="inlineStr">
        <is>
          <t>train</t>
        </is>
      </c>
      <c r="O2656">
        <f>HYPERLINK("3\0\marker_525_361957.png", "Ver Imagen")</f>
        <v/>
      </c>
      <c r="P2656">
        <f>HYPERLINK("SE\A-497_2C\A-497_2C__323.png", "Ver Imagen")</f>
        <v/>
      </c>
    </row>
    <row r="2657">
      <c r="A2657" t="n">
        <v>2133</v>
      </c>
      <c r="B2657" t="inlineStr">
        <is>
          <t>A-497_2C__328</t>
        </is>
      </c>
      <c r="C2657" t="n">
        <v>37.243877327</v>
      </c>
      <c r="D2657" t="n">
        <v>-7.0185307432</v>
      </c>
      <c r="E2657" t="n">
        <v>3</v>
      </c>
      <c r="F2657" t="n">
        <v>3</v>
      </c>
      <c r="G2657" t="n">
        <v>3</v>
      </c>
      <c r="J2657" t="inlineStr">
        <is>
          <t>Moda</t>
        </is>
      </c>
      <c r="K2657" t="n">
        <v>3</v>
      </c>
      <c r="L2657" t="n">
        <v>3.465</v>
      </c>
      <c r="M2657" t="n">
        <v>0</v>
      </c>
      <c r="N2657" t="inlineStr">
        <is>
          <t>test</t>
        </is>
      </c>
      <c r="O2657">
        <f>HYPERLINK("3\0\marker_262_361999.png", "Ver Imagen")</f>
        <v/>
      </c>
      <c r="P2657">
        <f>HYPERLINK("SE\A-497_2C\A-497_2C__328.png", "Ver Imagen")</f>
        <v/>
      </c>
    </row>
    <row r="2658">
      <c r="A2658" t="n">
        <v>2134</v>
      </c>
      <c r="B2658" t="inlineStr">
        <is>
          <t>A-497_2C__334</t>
        </is>
      </c>
      <c r="C2658" t="n">
        <v>37.2426185895</v>
      </c>
      <c r="D2658" t="n">
        <v>-7.01857767976</v>
      </c>
      <c r="E2658" t="n">
        <v>3</v>
      </c>
      <c r="F2658" t="n">
        <v>3</v>
      </c>
      <c r="G2658" t="n">
        <v>3</v>
      </c>
      <c r="J2658" t="inlineStr">
        <is>
          <t>Moda</t>
        </is>
      </c>
      <c r="K2658" t="n">
        <v>3</v>
      </c>
      <c r="L2658" t="n">
        <v>3.295</v>
      </c>
      <c r="M2658" t="n">
        <v>0</v>
      </c>
      <c r="N2658" t="inlineStr">
        <is>
          <t>val</t>
        </is>
      </c>
      <c r="O2658">
        <f>HYPERLINK("3\0\marker_319_362055.png", "Ver Imagen")</f>
        <v/>
      </c>
      <c r="P2658">
        <f>HYPERLINK("SE\A-497_2C\A-497_2C__334.png", "Ver Imagen")</f>
        <v/>
      </c>
    </row>
    <row r="2659">
      <c r="A2659" t="n">
        <v>2135</v>
      </c>
      <c r="B2659" t="inlineStr">
        <is>
          <t>A-497_2C__339</t>
        </is>
      </c>
      <c r="C2659" t="n">
        <v>37.2416203115</v>
      </c>
      <c r="D2659" t="n">
        <v>-7.01861064506</v>
      </c>
      <c r="E2659" t="n">
        <v>3</v>
      </c>
      <c r="F2659" t="n">
        <v>3</v>
      </c>
      <c r="G2659" t="n">
        <v>3</v>
      </c>
      <c r="J2659" t="inlineStr">
        <is>
          <t>Moda</t>
        </is>
      </c>
      <c r="K2659" t="n">
        <v>3</v>
      </c>
      <c r="L2659" t="n">
        <v>3.143</v>
      </c>
      <c r="M2659" t="n">
        <v>0</v>
      </c>
      <c r="N2659" t="inlineStr">
        <is>
          <t>train</t>
        </is>
      </c>
      <c r="O2659">
        <f>HYPERLINK("3\0\marker_713_362118.png", "Ver Imagen")</f>
        <v/>
      </c>
      <c r="P2659">
        <f>HYPERLINK("SE\A-497_2C\A-497_2C__339.png", "Ver Imagen")</f>
        <v/>
      </c>
    </row>
    <row r="2660">
      <c r="A2660" t="n">
        <v>2136</v>
      </c>
      <c r="B2660" t="inlineStr">
        <is>
          <t>A-497_2C__341</t>
        </is>
      </c>
      <c r="C2660" t="n">
        <v>37.2412254145</v>
      </c>
      <c r="D2660" t="n">
        <v>-7.01862819229</v>
      </c>
      <c r="E2660" t="n">
        <v>3</v>
      </c>
      <c r="F2660" t="n">
        <v>3</v>
      </c>
      <c r="G2660" t="n">
        <v>3</v>
      </c>
      <c r="J2660" t="inlineStr">
        <is>
          <t>Moda</t>
        </is>
      </c>
      <c r="K2660" t="n">
        <v>3</v>
      </c>
      <c r="L2660" t="n">
        <v>2.816</v>
      </c>
      <c r="M2660" t="n">
        <v>0</v>
      </c>
      <c r="N2660" t="inlineStr">
        <is>
          <t>val</t>
        </is>
      </c>
      <c r="O2660">
        <f>HYPERLINK("3\0\marker_461_362137.png", "Ver Imagen")</f>
        <v/>
      </c>
      <c r="P2660">
        <f>HYPERLINK("SE\A-497_2C\A-497_2C__341.png", "Ver Imagen")</f>
        <v/>
      </c>
    </row>
    <row r="2661">
      <c r="A2661" t="n">
        <v>2137</v>
      </c>
      <c r="B2661" t="inlineStr">
        <is>
          <t>A-497_2C__342</t>
        </is>
      </c>
      <c r="C2661" t="n">
        <v>37.2410268112</v>
      </c>
      <c r="D2661" t="n">
        <v>-7.01863650903</v>
      </c>
      <c r="E2661" t="n">
        <v>3</v>
      </c>
      <c r="F2661" t="n">
        <v>3</v>
      </c>
      <c r="G2661" t="n">
        <v>3</v>
      </c>
      <c r="J2661" t="inlineStr">
        <is>
          <t>Moda</t>
        </is>
      </c>
      <c r="K2661" t="n">
        <v>3</v>
      </c>
      <c r="L2661" t="n">
        <v>2.881</v>
      </c>
      <c r="M2661" t="n">
        <v>0</v>
      </c>
      <c r="N2661" t="inlineStr">
        <is>
          <t>val</t>
        </is>
      </c>
      <c r="O2661">
        <f>HYPERLINK("3\0\marker_753_362147.png", "Ver Imagen")</f>
        <v/>
      </c>
      <c r="P2661">
        <f>HYPERLINK("SE\A-497_2C\A-497_2C__342.png", "Ver Imagen")</f>
        <v/>
      </c>
    </row>
    <row r="2662">
      <c r="A2662" t="n">
        <v>2138</v>
      </c>
      <c r="B2662" t="inlineStr">
        <is>
          <t>A-497_2C__346</t>
        </is>
      </c>
      <c r="C2662" t="n">
        <v>37.2402348585</v>
      </c>
      <c r="D2662" t="n">
        <v>-7.01866733323</v>
      </c>
      <c r="E2662" t="n">
        <v>3</v>
      </c>
      <c r="F2662" t="n">
        <v>3</v>
      </c>
      <c r="G2662" t="n">
        <v>3</v>
      </c>
      <c r="J2662" t="inlineStr">
        <is>
          <t>Moda</t>
        </is>
      </c>
      <c r="K2662" t="n">
        <v>3</v>
      </c>
      <c r="L2662" t="n">
        <v>3.006</v>
      </c>
      <c r="M2662" t="n">
        <v>0</v>
      </c>
      <c r="N2662" t="inlineStr">
        <is>
          <t>train</t>
        </is>
      </c>
      <c r="O2662">
        <f>HYPERLINK("3\0\marker_182_362184.png", "Ver Imagen")</f>
        <v/>
      </c>
      <c r="P2662">
        <f>HYPERLINK("SE\A-497_2C\A-497_2C__346.png", "Ver Imagen")</f>
        <v/>
      </c>
    </row>
    <row r="2663">
      <c r="A2663" t="n">
        <v>2139</v>
      </c>
      <c r="B2663" t="inlineStr">
        <is>
          <t>A-497__531</t>
        </is>
      </c>
      <c r="C2663" t="n">
        <v>37.2061524427</v>
      </c>
      <c r="D2663" t="n">
        <v>-7.01961515686</v>
      </c>
      <c r="E2663" t="n">
        <v>3</v>
      </c>
      <c r="F2663" t="n">
        <v>3</v>
      </c>
      <c r="G2663" t="n">
        <v>3</v>
      </c>
      <c r="J2663" t="inlineStr">
        <is>
          <t>Moda</t>
        </is>
      </c>
      <c r="K2663" t="n">
        <v>3</v>
      </c>
      <c r="L2663" t="n">
        <v>3.171</v>
      </c>
      <c r="M2663" t="n">
        <v>0</v>
      </c>
      <c r="N2663" t="inlineStr">
        <is>
          <t>train</t>
        </is>
      </c>
      <c r="O2663">
        <f>HYPERLINK("3\0\marker_895_372493.png", "Ver Imagen")</f>
        <v/>
      </c>
      <c r="P2663">
        <f>HYPERLINK("SE\A-497\A-497__531.png", "Ver Imagen")</f>
        <v/>
      </c>
    </row>
    <row r="2664">
      <c r="A2664" t="n">
        <v>2140</v>
      </c>
      <c r="B2664" t="inlineStr">
        <is>
          <t>A-497_2C__351</t>
        </is>
      </c>
      <c r="C2664" t="n">
        <v>37.2391960543</v>
      </c>
      <c r="D2664" t="n">
        <v>-7.01871036556</v>
      </c>
      <c r="E2664" t="n">
        <v>3</v>
      </c>
      <c r="F2664" t="n">
        <v>3</v>
      </c>
      <c r="G2664" t="n">
        <v>3</v>
      </c>
      <c r="J2664" t="inlineStr">
        <is>
          <t>Moda</t>
        </is>
      </c>
      <c r="K2664" t="n">
        <v>3</v>
      </c>
      <c r="L2664" t="n">
        <v>3.03</v>
      </c>
      <c r="M2664" t="n">
        <v>0</v>
      </c>
      <c r="N2664" t="inlineStr">
        <is>
          <t>train</t>
        </is>
      </c>
      <c r="O2664">
        <f>HYPERLINK("3\0\marker_881_362240.png", "Ver Imagen")</f>
        <v/>
      </c>
      <c r="P2664">
        <f>HYPERLINK("SE\A-497_2C\A-497_2C__351.png", "Ver Imagen")</f>
        <v/>
      </c>
    </row>
    <row r="2665">
      <c r="A2665" t="n">
        <v>2141</v>
      </c>
      <c r="B2665" t="inlineStr">
        <is>
          <t>A-497_2C__353</t>
        </is>
      </c>
      <c r="C2665" t="n">
        <v>37.2388258973</v>
      </c>
      <c r="D2665" t="n">
        <v>-7.01872665349</v>
      </c>
      <c r="E2665" t="n">
        <v>3</v>
      </c>
      <c r="F2665" t="n">
        <v>3</v>
      </c>
      <c r="G2665" t="n">
        <v>3</v>
      </c>
      <c r="J2665" t="inlineStr">
        <is>
          <t>Moda</t>
        </is>
      </c>
      <c r="K2665" t="n">
        <v>3</v>
      </c>
      <c r="L2665" t="n">
        <v>3.302</v>
      </c>
      <c r="M2665" t="n">
        <v>0</v>
      </c>
      <c r="N2665" t="inlineStr">
        <is>
          <t>train</t>
        </is>
      </c>
      <c r="O2665">
        <f>HYPERLINK("3\0\marker_559_362258.png", "Ver Imagen")</f>
        <v/>
      </c>
      <c r="P2665">
        <f>HYPERLINK("SE\A-497_2C\A-497_2C__353.png", "Ver Imagen")</f>
        <v/>
      </c>
    </row>
    <row r="2666">
      <c r="A2666" t="n">
        <v>2145</v>
      </c>
      <c r="B2666" t="inlineStr">
        <is>
          <t>A-497_2C__358</t>
        </is>
      </c>
      <c r="C2666" t="n">
        <v>37.237784983</v>
      </c>
      <c r="D2666" t="n">
        <v>-7.01875773174</v>
      </c>
      <c r="E2666" t="n">
        <v>3</v>
      </c>
      <c r="F2666" t="n">
        <v>3</v>
      </c>
      <c r="G2666" t="n">
        <v>3</v>
      </c>
      <c r="J2666" t="inlineStr">
        <is>
          <t>Moda</t>
        </is>
      </c>
      <c r="K2666" t="n">
        <v>3</v>
      </c>
      <c r="L2666" t="n">
        <v>3.14</v>
      </c>
      <c r="M2666" t="n">
        <v>0</v>
      </c>
      <c r="N2666" t="inlineStr">
        <is>
          <t>train</t>
        </is>
      </c>
      <c r="O2666">
        <f>HYPERLINK("3\0\marker_885_362310.png", "Ver Imagen")</f>
        <v/>
      </c>
      <c r="P2666">
        <f>HYPERLINK("SE\A-497_2C\A-497_2C__358.png", "Ver Imagen")</f>
        <v/>
      </c>
    </row>
    <row r="2667">
      <c r="A2667" t="n">
        <v>2146</v>
      </c>
      <c r="B2667" t="inlineStr">
        <is>
          <t>A-497__522</t>
        </is>
      </c>
      <c r="C2667" t="n">
        <v>37.2072101788</v>
      </c>
      <c r="D2667" t="n">
        <v>-7.02140549</v>
      </c>
      <c r="E2667" t="n">
        <v>3</v>
      </c>
      <c r="F2667" t="n">
        <v>3</v>
      </c>
      <c r="G2667" t="n">
        <v>3</v>
      </c>
      <c r="J2667" t="inlineStr">
        <is>
          <t>Moda</t>
        </is>
      </c>
      <c r="K2667" t="n">
        <v>3</v>
      </c>
      <c r="L2667" t="n">
        <v>2.969</v>
      </c>
      <c r="M2667" t="n">
        <v>0</v>
      </c>
      <c r="N2667" t="inlineStr">
        <is>
          <t>train</t>
        </is>
      </c>
      <c r="O2667">
        <f>HYPERLINK("3\0\marker_716_372576.png", "Ver Imagen")</f>
        <v/>
      </c>
      <c r="P2667">
        <f>HYPERLINK("SE\A-497\A-497__522.png", "Ver Imagen")</f>
        <v/>
      </c>
    </row>
    <row r="2668">
      <c r="A2668" t="n">
        <v>2147</v>
      </c>
      <c r="B2668" t="inlineStr">
        <is>
          <t>A-497__516</t>
        </is>
      </c>
      <c r="C2668" t="n">
        <v>37.2081552741</v>
      </c>
      <c r="D2668" t="n">
        <v>-7.02239954798</v>
      </c>
      <c r="E2668" t="n">
        <v>3</v>
      </c>
      <c r="F2668" t="n">
        <v>3</v>
      </c>
      <c r="G2668" t="n">
        <v>3</v>
      </c>
      <c r="J2668" t="inlineStr">
        <is>
          <t>Moda</t>
        </is>
      </c>
      <c r="K2668" t="n">
        <v>3</v>
      </c>
      <c r="L2668" t="n">
        <v>3.028</v>
      </c>
      <c r="M2668" t="n">
        <v>0</v>
      </c>
      <c r="N2668" t="inlineStr">
        <is>
          <t>train</t>
        </is>
      </c>
      <c r="O2668">
        <f>HYPERLINK("3\0\marker_841_372634.png", "Ver Imagen")</f>
        <v/>
      </c>
      <c r="P2668">
        <f>HYPERLINK("SE\A-497\A-497__516.png", "Ver Imagen")</f>
        <v/>
      </c>
    </row>
    <row r="2669">
      <c r="A2669" t="n">
        <v>2148</v>
      </c>
      <c r="B2669" t="inlineStr">
        <is>
          <t>A-497_2C__383</t>
        </is>
      </c>
      <c r="C2669" t="n">
        <v>37.2327808988</v>
      </c>
      <c r="D2669" t="n">
        <v>-7.01846884163</v>
      </c>
      <c r="E2669" t="n">
        <v>3</v>
      </c>
      <c r="F2669" t="n">
        <v>3</v>
      </c>
      <c r="G2669" t="n">
        <v>3</v>
      </c>
      <c r="J2669" t="inlineStr">
        <is>
          <t>Moda</t>
        </is>
      </c>
      <c r="K2669" t="n">
        <v>3</v>
      </c>
      <c r="L2669" t="n">
        <v>3.083</v>
      </c>
      <c r="M2669" t="n">
        <v>0</v>
      </c>
      <c r="N2669" t="inlineStr">
        <is>
          <t>train</t>
        </is>
      </c>
      <c r="O2669">
        <f>HYPERLINK("3\0\marker_980_362730.png", "Ver Imagen")</f>
        <v/>
      </c>
      <c r="P2669">
        <f>HYPERLINK("SE\A-497_2C\A-497_2C__383.png", "Ver Imagen")</f>
        <v/>
      </c>
    </row>
    <row r="2670">
      <c r="A2670" t="n">
        <v>2150</v>
      </c>
      <c r="B2670" t="inlineStr">
        <is>
          <t>A-497_2C__385</t>
        </is>
      </c>
      <c r="C2670" t="n">
        <v>37.2324166847</v>
      </c>
      <c r="D2670" t="n">
        <v>-7.01866664925</v>
      </c>
      <c r="E2670" t="n">
        <v>3</v>
      </c>
      <c r="F2670" t="n">
        <v>3</v>
      </c>
      <c r="G2670" t="n">
        <v>3</v>
      </c>
      <c r="J2670" t="inlineStr">
        <is>
          <t>Moda</t>
        </is>
      </c>
      <c r="K2670" t="n">
        <v>3</v>
      </c>
      <c r="L2670" t="n">
        <v>3.1</v>
      </c>
      <c r="M2670" t="n">
        <v>0</v>
      </c>
      <c r="N2670" t="inlineStr">
        <is>
          <t>train</t>
        </is>
      </c>
      <c r="O2670">
        <f>HYPERLINK("3\0\marker_619_362749.png", "Ver Imagen")</f>
        <v/>
      </c>
      <c r="P2670">
        <f>HYPERLINK("SE\A-497_2C\A-497_2C__385.png", "Ver Imagen")</f>
        <v/>
      </c>
    </row>
    <row r="2671">
      <c r="A2671" t="n">
        <v>2151</v>
      </c>
      <c r="B2671" t="inlineStr">
        <is>
          <t>A-497_2C__386</t>
        </is>
      </c>
      <c r="C2671" t="n">
        <v>37.2322433297</v>
      </c>
      <c r="D2671" t="n">
        <v>-7.01877784959</v>
      </c>
      <c r="E2671" t="n">
        <v>3</v>
      </c>
      <c r="F2671" t="n">
        <v>3</v>
      </c>
      <c r="G2671" t="n">
        <v>3</v>
      </c>
      <c r="J2671" t="inlineStr">
        <is>
          <t>Moda</t>
        </is>
      </c>
      <c r="K2671" t="n">
        <v>3</v>
      </c>
      <c r="L2671" t="n">
        <v>3.104</v>
      </c>
      <c r="M2671" t="n">
        <v>0</v>
      </c>
      <c r="N2671" t="inlineStr">
        <is>
          <t>train</t>
        </is>
      </c>
      <c r="O2671">
        <f>HYPERLINK("3\0\marker_934_362758.png", "Ver Imagen")</f>
        <v/>
      </c>
      <c r="P2671">
        <f>HYPERLINK("SE\A-497_2C\A-497_2C__386.png", "Ver Imagen")</f>
        <v/>
      </c>
    </row>
    <row r="2672">
      <c r="A2672" t="n">
        <v>2152</v>
      </c>
      <c r="B2672" t="inlineStr">
        <is>
          <t>A-497_2C__387</t>
        </is>
      </c>
      <c r="C2672" t="n">
        <v>37.2320818839</v>
      </c>
      <c r="D2672" t="n">
        <v>-7.01888916311</v>
      </c>
      <c r="E2672" t="n">
        <v>3</v>
      </c>
      <c r="F2672" t="n">
        <v>3</v>
      </c>
      <c r="G2672" t="n">
        <v>3</v>
      </c>
      <c r="J2672" t="inlineStr">
        <is>
          <t>Moda</t>
        </is>
      </c>
      <c r="K2672" t="n">
        <v>3</v>
      </c>
      <c r="L2672" t="n">
        <v>2.834</v>
      </c>
      <c r="M2672" t="n">
        <v>0</v>
      </c>
      <c r="N2672" t="inlineStr">
        <is>
          <t>test</t>
        </is>
      </c>
      <c r="O2672">
        <f>HYPERLINK("3\0\marker_528_362770.png", "Ver Imagen")</f>
        <v/>
      </c>
      <c r="P2672">
        <f>HYPERLINK("SE\A-497_2C\A-497_2C__387.png", "Ver Imagen")</f>
        <v/>
      </c>
    </row>
    <row r="2673">
      <c r="A2673" t="n">
        <v>2153</v>
      </c>
      <c r="B2673" t="inlineStr">
        <is>
          <t>A-497_2C__388</t>
        </is>
      </c>
      <c r="C2673" t="n">
        <v>37.2319120008</v>
      </c>
      <c r="D2673" t="n">
        <v>-7.01901149071</v>
      </c>
      <c r="E2673" t="n">
        <v>3</v>
      </c>
      <c r="F2673" t="n">
        <v>3</v>
      </c>
      <c r="G2673" t="n">
        <v>3</v>
      </c>
      <c r="J2673" t="inlineStr">
        <is>
          <t>Moda</t>
        </is>
      </c>
      <c r="K2673" t="n">
        <v>3</v>
      </c>
      <c r="L2673" t="n">
        <v>3.177</v>
      </c>
      <c r="M2673" t="n">
        <v>0</v>
      </c>
      <c r="N2673" t="inlineStr">
        <is>
          <t>train</t>
        </is>
      </c>
      <c r="O2673">
        <f>HYPERLINK("3\0\marker_708_362781.png", "Ver Imagen")</f>
        <v/>
      </c>
      <c r="P2673">
        <f>HYPERLINK("SE\A-497_2C\A-497_2C__388.png", "Ver Imagen")</f>
        <v/>
      </c>
    </row>
    <row r="2674">
      <c r="A2674" t="n">
        <v>2154</v>
      </c>
      <c r="B2674" t="inlineStr">
        <is>
          <t>A-497_2C__390</t>
        </is>
      </c>
      <c r="C2674" t="n">
        <v>37.2315215258</v>
      </c>
      <c r="D2674" t="n">
        <v>-7.01930177268</v>
      </c>
      <c r="E2674" t="n">
        <v>3</v>
      </c>
      <c r="F2674" t="n">
        <v>3</v>
      </c>
      <c r="G2674" t="n">
        <v>3</v>
      </c>
      <c r="J2674" t="inlineStr">
        <is>
          <t>Moda</t>
        </is>
      </c>
      <c r="K2674" t="n">
        <v>3</v>
      </c>
      <c r="L2674" t="n">
        <v>2.801</v>
      </c>
      <c r="M2674" t="n">
        <v>0</v>
      </c>
      <c r="N2674" t="inlineStr">
        <is>
          <t>train</t>
        </is>
      </c>
      <c r="O2674">
        <f>HYPERLINK("3\0\marker_987_362808.png", "Ver Imagen")</f>
        <v/>
      </c>
      <c r="P2674">
        <f>HYPERLINK("SE\A-497_2C\A-497_2C__390.png", "Ver Imagen")</f>
        <v/>
      </c>
    </row>
    <row r="2675">
      <c r="A2675" t="n">
        <v>2155</v>
      </c>
      <c r="B2675" t="inlineStr">
        <is>
          <t>A-497_2C__391</t>
        </is>
      </c>
      <c r="C2675" t="n">
        <v>37.2313635376</v>
      </c>
      <c r="D2675" t="n">
        <v>-7.01942212627</v>
      </c>
      <c r="E2675" t="n">
        <v>3</v>
      </c>
      <c r="F2675" t="n">
        <v>3</v>
      </c>
      <c r="G2675" t="n">
        <v>3</v>
      </c>
      <c r="J2675" t="inlineStr">
        <is>
          <t>Moda</t>
        </is>
      </c>
      <c r="K2675" t="n">
        <v>3</v>
      </c>
      <c r="L2675" t="n">
        <v>3.237</v>
      </c>
      <c r="M2675" t="n">
        <v>0</v>
      </c>
      <c r="N2675" t="inlineStr">
        <is>
          <t>train</t>
        </is>
      </c>
      <c r="O2675">
        <f>HYPERLINK("3\0\marker_959_362817.png", "Ver Imagen")</f>
        <v/>
      </c>
      <c r="P2675">
        <f>HYPERLINK("SE\A-497_2C\A-497_2C__391.png", "Ver Imagen")</f>
        <v/>
      </c>
    </row>
    <row r="2676">
      <c r="A2676" t="n">
        <v>2156</v>
      </c>
      <c r="B2676" t="inlineStr">
        <is>
          <t>A-497__508</t>
        </is>
      </c>
      <c r="C2676" t="n">
        <v>37.2095548302</v>
      </c>
      <c r="D2676" t="n">
        <v>-7.02332078712</v>
      </c>
      <c r="E2676" t="n">
        <v>3</v>
      </c>
      <c r="F2676" t="n">
        <v>3</v>
      </c>
      <c r="G2676" t="n">
        <v>3</v>
      </c>
      <c r="J2676" t="inlineStr">
        <is>
          <t>Moda</t>
        </is>
      </c>
      <c r="K2676" t="n">
        <v>3</v>
      </c>
      <c r="L2676" t="n">
        <v>2.992</v>
      </c>
      <c r="M2676" t="n">
        <v>0</v>
      </c>
      <c r="N2676" t="inlineStr">
        <is>
          <t>train</t>
        </is>
      </c>
      <c r="O2676">
        <f>HYPERLINK("3\0\marker_802_372712.png", "Ver Imagen")</f>
        <v/>
      </c>
      <c r="P2676">
        <f>HYPERLINK("SE\A-497\A-497__508.png", "Ver Imagen")</f>
        <v/>
      </c>
    </row>
    <row r="2677">
      <c r="A2677" t="n">
        <v>2157</v>
      </c>
      <c r="B2677" t="inlineStr">
        <is>
          <t>A-497__504</t>
        </is>
      </c>
      <c r="C2677" t="n">
        <v>37.2103478051</v>
      </c>
      <c r="D2677" t="n">
        <v>-7.02362901709</v>
      </c>
      <c r="E2677" t="n">
        <v>3</v>
      </c>
      <c r="F2677" t="n">
        <v>3</v>
      </c>
      <c r="G2677" t="n">
        <v>3</v>
      </c>
      <c r="J2677" t="inlineStr">
        <is>
          <t>Moda</t>
        </is>
      </c>
      <c r="K2677" t="n">
        <v>3</v>
      </c>
      <c r="L2677" t="n">
        <v>2.794</v>
      </c>
      <c r="M2677" t="n">
        <v>0</v>
      </c>
      <c r="N2677" t="inlineStr">
        <is>
          <t>test</t>
        </is>
      </c>
      <c r="O2677">
        <f>HYPERLINK("3\0\marker_399_375962.png", "Ver Imagen")</f>
        <v/>
      </c>
      <c r="P2677">
        <f>HYPERLINK("SE\A-497\A-497__504.png", "Ver Imagen")</f>
        <v/>
      </c>
    </row>
    <row r="2678">
      <c r="A2678" t="n">
        <v>2158</v>
      </c>
      <c r="B2678" t="inlineStr">
        <is>
          <t>A-497__501</t>
        </is>
      </c>
      <c r="C2678" t="n">
        <v>37.2109089812</v>
      </c>
      <c r="D2678" t="n">
        <v>-7.0237678485</v>
      </c>
      <c r="E2678" t="n">
        <v>3</v>
      </c>
      <c r="F2678" t="n">
        <v>3</v>
      </c>
      <c r="G2678" t="n">
        <v>3</v>
      </c>
      <c r="J2678" t="inlineStr">
        <is>
          <t>Moda</t>
        </is>
      </c>
      <c r="K2678" t="n">
        <v>3</v>
      </c>
      <c r="L2678" t="n">
        <v>2.932</v>
      </c>
      <c r="M2678" t="n">
        <v>0</v>
      </c>
      <c r="N2678" t="inlineStr">
        <is>
          <t>train</t>
        </is>
      </c>
      <c r="O2678">
        <f>HYPERLINK("3\0\marker_518_376075.png", "Ver Imagen")</f>
        <v/>
      </c>
      <c r="P2678">
        <f>HYPERLINK("SE\A-497\A-497__501.png", "Ver Imagen")</f>
        <v/>
      </c>
    </row>
    <row r="2679">
      <c r="A2679" t="n">
        <v>2159</v>
      </c>
      <c r="B2679" t="inlineStr">
        <is>
          <t>A-497__499</t>
        </is>
      </c>
      <c r="C2679" t="n">
        <v>37.2113609575</v>
      </c>
      <c r="D2679" t="n">
        <v>-7.02383423709</v>
      </c>
      <c r="E2679" t="n">
        <v>3</v>
      </c>
      <c r="F2679" t="n">
        <v>3</v>
      </c>
      <c r="G2679" t="n">
        <v>3</v>
      </c>
      <c r="J2679" t="inlineStr">
        <is>
          <t>Moda</t>
        </is>
      </c>
      <c r="K2679" t="n">
        <v>3</v>
      </c>
      <c r="L2679" t="n">
        <v>2.726</v>
      </c>
      <c r="M2679" t="n">
        <v>0</v>
      </c>
      <c r="N2679" t="inlineStr">
        <is>
          <t>train</t>
        </is>
      </c>
      <c r="O2679">
        <f>HYPERLINK("3\0\marker_863_376107.png", "Ver Imagen")</f>
        <v/>
      </c>
      <c r="P2679">
        <f>HYPERLINK("SE\A-497\A-497__499.png", "Ver Imagen")</f>
        <v/>
      </c>
    </row>
    <row r="2680">
      <c r="A2680" t="n">
        <v>2160</v>
      </c>
      <c r="B2680" t="inlineStr">
        <is>
          <t>A-497__497</t>
        </is>
      </c>
      <c r="C2680" t="n">
        <v>37.211763181</v>
      </c>
      <c r="D2680" t="n">
        <v>-7.0238577453</v>
      </c>
      <c r="E2680" t="n">
        <v>3</v>
      </c>
      <c r="F2680" t="n">
        <v>3</v>
      </c>
      <c r="G2680" t="n">
        <v>3</v>
      </c>
      <c r="J2680" t="inlineStr">
        <is>
          <t>Moda</t>
        </is>
      </c>
      <c r="K2680" t="n">
        <v>3</v>
      </c>
      <c r="L2680" t="n">
        <v>3.051</v>
      </c>
      <c r="M2680" t="n">
        <v>0</v>
      </c>
      <c r="N2680" t="inlineStr">
        <is>
          <t>train</t>
        </is>
      </c>
      <c r="O2680">
        <f>HYPERLINK("3\0\marker_976_376132.png", "Ver Imagen")</f>
        <v/>
      </c>
      <c r="P2680">
        <f>HYPERLINK("SE\A-497\A-497__497.png", "Ver Imagen")</f>
        <v/>
      </c>
    </row>
    <row r="2681">
      <c r="A2681" t="n">
        <v>2161</v>
      </c>
      <c r="B2681" t="inlineStr">
        <is>
          <t>A-497_2C__454</t>
        </is>
      </c>
      <c r="C2681" t="n">
        <v>37.2193913484</v>
      </c>
      <c r="D2681" t="n">
        <v>-7.02294975694</v>
      </c>
      <c r="E2681" t="n">
        <v>3</v>
      </c>
      <c r="F2681" t="n">
        <v>3</v>
      </c>
      <c r="G2681" t="n">
        <v>3</v>
      </c>
      <c r="J2681" t="inlineStr">
        <is>
          <t>Moda</t>
        </is>
      </c>
      <c r="K2681" t="n">
        <v>3</v>
      </c>
      <c r="L2681" t="n">
        <v>3.105</v>
      </c>
      <c r="M2681" t="n">
        <v>0</v>
      </c>
      <c r="N2681" t="inlineStr">
        <is>
          <t>train</t>
        </is>
      </c>
      <c r="O2681">
        <f>HYPERLINK("3\0\marker_616_363456.png", "Ver Imagen")</f>
        <v/>
      </c>
      <c r="P2681">
        <f>HYPERLINK("SE\A-497_2C\A-497_2C__454.png", "Ver Imagen")</f>
        <v/>
      </c>
    </row>
    <row r="2682">
      <c r="A2682" t="n">
        <v>2163</v>
      </c>
      <c r="B2682" t="inlineStr">
        <is>
          <t>A-497_2C__456</t>
        </is>
      </c>
      <c r="C2682" t="n">
        <v>37.21902095</v>
      </c>
      <c r="D2682" t="n">
        <v>-7.02296330148</v>
      </c>
      <c r="E2682" t="n">
        <v>3</v>
      </c>
      <c r="F2682" t="n">
        <v>3</v>
      </c>
      <c r="G2682" t="n">
        <v>3</v>
      </c>
      <c r="J2682" t="inlineStr">
        <is>
          <t>Moda</t>
        </is>
      </c>
      <c r="K2682" t="n">
        <v>3</v>
      </c>
      <c r="L2682" t="n">
        <v>3.113</v>
      </c>
      <c r="M2682" t="n">
        <v>0</v>
      </c>
      <c r="N2682" t="inlineStr">
        <is>
          <t>train</t>
        </is>
      </c>
      <c r="O2682">
        <f>HYPERLINK("3\0\marker_847_363475.png", "Ver Imagen")</f>
        <v/>
      </c>
      <c r="P2682">
        <f>HYPERLINK("SE\A-497_2C\A-497_2C__456.png", "Ver Imagen")</f>
        <v/>
      </c>
    </row>
    <row r="2683">
      <c r="A2683" t="n">
        <v>2164</v>
      </c>
      <c r="B2683" t="inlineStr">
        <is>
          <t>A-497_2C__462</t>
        </is>
      </c>
      <c r="C2683" t="n">
        <v>37.2178271662</v>
      </c>
      <c r="D2683" t="n">
        <v>-7.02309512224</v>
      </c>
      <c r="E2683" t="n">
        <v>3</v>
      </c>
      <c r="F2683" t="n">
        <v>3</v>
      </c>
      <c r="G2683" t="n">
        <v>3</v>
      </c>
      <c r="J2683" t="inlineStr">
        <is>
          <t>Moda</t>
        </is>
      </c>
      <c r="K2683" t="n">
        <v>3</v>
      </c>
      <c r="L2683" t="n">
        <v>2.744</v>
      </c>
      <c r="M2683" t="n">
        <v>0</v>
      </c>
      <c r="N2683" t="inlineStr">
        <is>
          <t>train</t>
        </is>
      </c>
      <c r="O2683">
        <f>HYPERLINK("3\0\marker_461_363555.png", "Ver Imagen")</f>
        <v/>
      </c>
      <c r="P2683">
        <f>HYPERLINK("SE\A-497_2C\A-497_2C__462.png", "Ver Imagen")</f>
        <v/>
      </c>
    </row>
    <row r="2684">
      <c r="A2684" t="n">
        <v>2165</v>
      </c>
      <c r="B2684" t="inlineStr">
        <is>
          <t>A-497_2C__466</t>
        </is>
      </c>
      <c r="C2684" t="n">
        <v>37.2170025912</v>
      </c>
      <c r="D2684" t="n">
        <v>-7.02323765715</v>
      </c>
      <c r="E2684" t="n">
        <v>3</v>
      </c>
      <c r="F2684" t="n">
        <v>3</v>
      </c>
      <c r="G2684" t="n">
        <v>3</v>
      </c>
      <c r="J2684" t="inlineStr">
        <is>
          <t>Moda</t>
        </is>
      </c>
      <c r="K2684" t="n">
        <v>3</v>
      </c>
      <c r="L2684" t="n">
        <v>3.051</v>
      </c>
      <c r="M2684" t="n">
        <v>0</v>
      </c>
      <c r="N2684" t="inlineStr">
        <is>
          <t>train</t>
        </is>
      </c>
      <c r="O2684">
        <f>HYPERLINK("3\0\marker_122_363600.png", "Ver Imagen")</f>
        <v/>
      </c>
      <c r="P2684">
        <f>HYPERLINK("SE\A-497_2C\A-497_2C__466.png", "Ver Imagen")</f>
        <v/>
      </c>
    </row>
    <row r="2685">
      <c r="A2685" t="n">
        <v>2166</v>
      </c>
      <c r="B2685" t="inlineStr">
        <is>
          <t>A-497_2C__469</t>
        </is>
      </c>
      <c r="C2685" t="n">
        <v>37.216412132</v>
      </c>
      <c r="D2685" t="n">
        <v>-7.02334367589</v>
      </c>
      <c r="E2685" t="n">
        <v>3</v>
      </c>
      <c r="F2685" t="n">
        <v>3</v>
      </c>
      <c r="G2685" t="n">
        <v>3</v>
      </c>
      <c r="J2685" t="inlineStr">
        <is>
          <t>Moda</t>
        </is>
      </c>
      <c r="K2685" t="n">
        <v>3</v>
      </c>
      <c r="L2685" t="n">
        <v>2.846</v>
      </c>
      <c r="M2685" t="n">
        <v>0</v>
      </c>
      <c r="N2685" t="inlineStr">
        <is>
          <t>train</t>
        </is>
      </c>
      <c r="O2685">
        <f>HYPERLINK("3\0\marker_338_363628.png", "Ver Imagen")</f>
        <v/>
      </c>
      <c r="P2685">
        <f>HYPERLINK("SE\A-497_2C\A-497_2C__469.png", "Ver Imagen")</f>
        <v/>
      </c>
    </row>
    <row r="2686">
      <c r="A2686" t="n">
        <v>2167</v>
      </c>
      <c r="B2686" t="inlineStr">
        <is>
          <t>A-497_2C__473</t>
        </is>
      </c>
      <c r="C2686" t="n">
        <v>37.2155825703</v>
      </c>
      <c r="D2686" t="n">
        <v>-7.02348590198</v>
      </c>
      <c r="E2686" t="n">
        <v>3</v>
      </c>
      <c r="F2686" t="n">
        <v>3</v>
      </c>
      <c r="G2686" t="n">
        <v>3</v>
      </c>
      <c r="J2686" t="inlineStr">
        <is>
          <t>Moda</t>
        </is>
      </c>
      <c r="K2686" t="n">
        <v>3</v>
      </c>
      <c r="L2686" t="n">
        <v>2.71</v>
      </c>
      <c r="M2686" t="n">
        <v>0</v>
      </c>
      <c r="N2686" t="inlineStr">
        <is>
          <t>train</t>
        </is>
      </c>
      <c r="O2686">
        <f>HYPERLINK("3\0\marker_847_363678.png", "Ver Imagen")</f>
        <v/>
      </c>
      <c r="P2686">
        <f>HYPERLINK("SE\A-497_2C\A-497_2C__473.png", "Ver Imagen")</f>
        <v/>
      </c>
    </row>
    <row r="2687">
      <c r="A2687" t="n">
        <v>2168</v>
      </c>
      <c r="B2687" t="inlineStr">
        <is>
          <t>A-497_2C__476</t>
        </is>
      </c>
      <c r="C2687" t="n">
        <v>37.215010542</v>
      </c>
      <c r="D2687" t="n">
        <v>-7.02358287034</v>
      </c>
      <c r="E2687" t="n">
        <v>3</v>
      </c>
      <c r="F2687" t="n">
        <v>3</v>
      </c>
      <c r="G2687" t="n">
        <v>3</v>
      </c>
      <c r="J2687" t="inlineStr">
        <is>
          <t>Moda</t>
        </is>
      </c>
      <c r="K2687" t="n">
        <v>3</v>
      </c>
      <c r="L2687" t="n">
        <v>3.437</v>
      </c>
      <c r="M2687" t="n">
        <v>0</v>
      </c>
      <c r="N2687" t="inlineStr">
        <is>
          <t>train</t>
        </is>
      </c>
      <c r="O2687">
        <f>HYPERLINK("3\0\marker_179_363716.png", "Ver Imagen")</f>
        <v/>
      </c>
      <c r="P2687">
        <f>HYPERLINK("SE\A-497_2C\A-497_2C__476.png", "Ver Imagen")</f>
        <v/>
      </c>
    </row>
    <row r="2688">
      <c r="A2688" t="n">
        <v>2169</v>
      </c>
      <c r="B2688" t="inlineStr">
        <is>
          <t>A-497_2C__481</t>
        </is>
      </c>
      <c r="C2688" t="n">
        <v>37.2139700775</v>
      </c>
      <c r="D2688" t="n">
        <v>-7.02377724664</v>
      </c>
      <c r="E2688" t="n">
        <v>3</v>
      </c>
      <c r="F2688" t="n">
        <v>3</v>
      </c>
      <c r="G2688" t="n">
        <v>3</v>
      </c>
      <c r="J2688" t="inlineStr">
        <is>
          <t>Moda</t>
        </is>
      </c>
      <c r="K2688" t="n">
        <v>3</v>
      </c>
      <c r="L2688" t="n">
        <v>2.816</v>
      </c>
      <c r="M2688" t="n">
        <v>0</v>
      </c>
      <c r="N2688" t="inlineStr">
        <is>
          <t>train</t>
        </is>
      </c>
      <c r="O2688">
        <f>HYPERLINK("3\0\marker_823_363781.png", "Ver Imagen")</f>
        <v/>
      </c>
      <c r="P2688">
        <f>HYPERLINK("SE\A-497_2C\A-497_2C__481.png", "Ver Imagen")</f>
        <v/>
      </c>
    </row>
    <row r="2689">
      <c r="A2689" t="n">
        <v>2170</v>
      </c>
      <c r="B2689" t="inlineStr">
        <is>
          <t>A-497_2C__482</t>
        </is>
      </c>
      <c r="C2689" t="n">
        <v>37.2137994182</v>
      </c>
      <c r="D2689" t="n">
        <v>-7.02380793459</v>
      </c>
      <c r="E2689" t="n">
        <v>3</v>
      </c>
      <c r="F2689" t="n">
        <v>3</v>
      </c>
      <c r="G2689" t="n">
        <v>3</v>
      </c>
      <c r="J2689" t="inlineStr">
        <is>
          <t>Moda</t>
        </is>
      </c>
      <c r="K2689" t="n">
        <v>3</v>
      </c>
      <c r="L2689" t="n">
        <v>2.625</v>
      </c>
      <c r="M2689" t="n">
        <v>0</v>
      </c>
      <c r="N2689" t="inlineStr">
        <is>
          <t>train</t>
        </is>
      </c>
      <c r="O2689">
        <f>HYPERLINK("3\0\marker_598_363792.png", "Ver Imagen")</f>
        <v/>
      </c>
      <c r="P2689">
        <f>HYPERLINK("SE\A-497_2C\A-497_2C__482.png", "Ver Imagen")</f>
        <v/>
      </c>
    </row>
    <row r="2690">
      <c r="A2690" t="n">
        <v>2171</v>
      </c>
      <c r="B2690" t="inlineStr">
        <is>
          <t>A-497_2C__483</t>
        </is>
      </c>
      <c r="C2690" t="n">
        <v>37.2136046659</v>
      </c>
      <c r="D2690" t="n">
        <v>-7.02384210421</v>
      </c>
      <c r="E2690" t="n">
        <v>3</v>
      </c>
      <c r="F2690" t="n">
        <v>3</v>
      </c>
      <c r="G2690" t="n">
        <v>3</v>
      </c>
      <c r="J2690" t="inlineStr">
        <is>
          <t>Moda</t>
        </is>
      </c>
      <c r="K2690" t="n">
        <v>3</v>
      </c>
      <c r="L2690" t="n">
        <v>2.814</v>
      </c>
      <c r="M2690" t="n">
        <v>0</v>
      </c>
      <c r="N2690" t="inlineStr">
        <is>
          <t>val</t>
        </is>
      </c>
      <c r="O2690">
        <f>HYPERLINK("3\0\marker_416_363804.png", "Ver Imagen")</f>
        <v/>
      </c>
      <c r="P2690">
        <f>HYPERLINK("SE\A-497_2C\A-497_2C__483.png", "Ver Imagen")</f>
        <v/>
      </c>
    </row>
    <row r="2691">
      <c r="A2691" t="n">
        <v>2172</v>
      </c>
      <c r="B2691" t="inlineStr">
        <is>
          <t>A-497_2C__486</t>
        </is>
      </c>
      <c r="C2691" t="n">
        <v>37.212971575</v>
      </c>
      <c r="D2691" t="n">
        <v>-7.02394623118</v>
      </c>
      <c r="E2691" t="n">
        <v>3</v>
      </c>
      <c r="F2691" t="n">
        <v>3</v>
      </c>
      <c r="G2691" t="n">
        <v>3</v>
      </c>
      <c r="J2691" t="inlineStr">
        <is>
          <t>Moda</t>
        </is>
      </c>
      <c r="K2691" t="n">
        <v>3</v>
      </c>
      <c r="L2691" t="n">
        <v>2.894</v>
      </c>
      <c r="M2691" t="n">
        <v>0</v>
      </c>
      <c r="N2691" t="inlineStr">
        <is>
          <t>train</t>
        </is>
      </c>
      <c r="O2691">
        <f>HYPERLINK("3\0\marker_694_363832.png", "Ver Imagen")</f>
        <v/>
      </c>
      <c r="P2691">
        <f>HYPERLINK("SE\A-497_2C\A-497_2C__486.png", "Ver Imagen")</f>
        <v/>
      </c>
    </row>
    <row r="2692">
      <c r="A2692" t="n">
        <v>2173</v>
      </c>
      <c r="B2692" t="inlineStr">
        <is>
          <t>A-497_2C__540</t>
        </is>
      </c>
      <c r="C2692" t="n">
        <v>37.2050546797</v>
      </c>
      <c r="D2692" t="n">
        <v>-7.01659412004</v>
      </c>
      <c r="E2692" t="n">
        <v>3</v>
      </c>
      <c r="F2692" t="n">
        <v>3</v>
      </c>
      <c r="G2692" t="n">
        <v>3</v>
      </c>
      <c r="J2692" t="inlineStr">
        <is>
          <t>Moda</t>
        </is>
      </c>
      <c r="K2692" t="n">
        <v>3</v>
      </c>
      <c r="L2692" t="n">
        <v>3.193</v>
      </c>
      <c r="M2692" t="n">
        <v>0</v>
      </c>
      <c r="N2692" t="inlineStr">
        <is>
          <t>test</t>
        </is>
      </c>
      <c r="O2692">
        <f>HYPERLINK("3\0\marker_848_364541.png", "Ver Imagen")</f>
        <v/>
      </c>
      <c r="P2692">
        <f>HYPERLINK("SE\A-497_2C\A-497_2C__540.png", "Ver Imagen")</f>
        <v/>
      </c>
    </row>
    <row r="2693">
      <c r="A2693" t="n">
        <v>2174</v>
      </c>
      <c r="B2693" t="inlineStr">
        <is>
          <t>A-497_2C__542</t>
        </is>
      </c>
      <c r="C2693" t="n">
        <v>37.2049496774</v>
      </c>
      <c r="D2693" t="n">
        <v>-7.01610991344</v>
      </c>
      <c r="E2693" t="n">
        <v>3</v>
      </c>
      <c r="F2693" t="n">
        <v>3</v>
      </c>
      <c r="G2693" t="n">
        <v>3</v>
      </c>
      <c r="J2693" t="inlineStr">
        <is>
          <t>Moda</t>
        </is>
      </c>
      <c r="K2693" t="n">
        <v>3</v>
      </c>
      <c r="L2693" t="n">
        <v>3.006</v>
      </c>
      <c r="M2693" t="n">
        <v>0</v>
      </c>
      <c r="N2693" t="inlineStr">
        <is>
          <t>train</t>
        </is>
      </c>
      <c r="O2693">
        <f>HYPERLINK("3\0\marker_245_364607.png", "Ver Imagen")</f>
        <v/>
      </c>
      <c r="P2693">
        <f>HYPERLINK("SE\A-497_2C\A-497_2C__542.png", "Ver Imagen")</f>
        <v/>
      </c>
    </row>
    <row r="2694">
      <c r="A2694" t="n">
        <v>2175</v>
      </c>
      <c r="B2694" t="inlineStr">
        <is>
          <t>A-497_2C__545</t>
        </is>
      </c>
      <c r="C2694" t="n">
        <v>37.2048318977</v>
      </c>
      <c r="D2694" t="n">
        <v>-7.01554726742</v>
      </c>
      <c r="E2694" t="n">
        <v>3</v>
      </c>
      <c r="F2694" t="n">
        <v>3</v>
      </c>
      <c r="G2694" t="n">
        <v>3</v>
      </c>
      <c r="J2694" t="inlineStr">
        <is>
          <t>Moda</t>
        </is>
      </c>
      <c r="K2694" t="n">
        <v>3</v>
      </c>
      <c r="L2694" t="n">
        <v>2.957</v>
      </c>
      <c r="M2694" t="n">
        <v>0</v>
      </c>
      <c r="N2694" t="inlineStr">
        <is>
          <t>train</t>
        </is>
      </c>
      <c r="O2694">
        <f>HYPERLINK("3\0\marker_945_364628.png", "Ver Imagen")</f>
        <v/>
      </c>
      <c r="P2694">
        <f>HYPERLINK("SE\A-497_2C\A-497_2C__545.png", "Ver Imagen")</f>
        <v/>
      </c>
    </row>
    <row r="2695">
      <c r="A2695" t="n">
        <v>2176</v>
      </c>
      <c r="B2695" t="inlineStr">
        <is>
          <t>A-497_2C__546</t>
        </is>
      </c>
      <c r="C2695" t="n">
        <v>37.204774362</v>
      </c>
      <c r="D2695" t="n">
        <v>-7.01526655009</v>
      </c>
      <c r="E2695" t="n">
        <v>3</v>
      </c>
      <c r="F2695" t="n">
        <v>3</v>
      </c>
      <c r="G2695" t="n">
        <v>3</v>
      </c>
      <c r="J2695" t="inlineStr">
        <is>
          <t>Moda</t>
        </is>
      </c>
      <c r="K2695" t="n">
        <v>3</v>
      </c>
      <c r="L2695" t="n">
        <v>3.055</v>
      </c>
      <c r="M2695" t="n">
        <v>0</v>
      </c>
      <c r="N2695" t="inlineStr">
        <is>
          <t>test</t>
        </is>
      </c>
      <c r="O2695">
        <f>HYPERLINK("3\0\marker_377_364644.png", "Ver Imagen")</f>
        <v/>
      </c>
      <c r="P2695">
        <f>HYPERLINK("SE\A-497_2C\A-497_2C__546.png", "Ver Imagen")</f>
        <v/>
      </c>
    </row>
    <row r="2696">
      <c r="A2696" t="n">
        <v>2177</v>
      </c>
      <c r="B2696" t="inlineStr">
        <is>
          <t>A-497_2C__547</t>
        </is>
      </c>
      <c r="C2696" t="n">
        <v>37.204724009</v>
      </c>
      <c r="D2696" t="n">
        <v>-7.01501670082</v>
      </c>
      <c r="E2696" t="n">
        <v>3</v>
      </c>
      <c r="F2696" t="n">
        <v>3</v>
      </c>
      <c r="G2696" t="n">
        <v>3</v>
      </c>
      <c r="J2696" t="inlineStr">
        <is>
          <t>Moda</t>
        </is>
      </c>
      <c r="K2696" t="n">
        <v>3</v>
      </c>
      <c r="L2696" t="n">
        <v>3.101</v>
      </c>
      <c r="M2696" t="n">
        <v>0</v>
      </c>
      <c r="N2696" t="inlineStr">
        <is>
          <t>train</t>
        </is>
      </c>
      <c r="O2696">
        <f>HYPERLINK("3\0\marker_720_364655.png", "Ver Imagen")</f>
        <v/>
      </c>
      <c r="P2696">
        <f>HYPERLINK("SE\A-497_2C\A-497_2C__547.png", "Ver Imagen")</f>
        <v/>
      </c>
    </row>
    <row r="2697">
      <c r="A2697" t="n">
        <v>2178</v>
      </c>
      <c r="B2697" t="inlineStr">
        <is>
          <t>A-497_2C__549</t>
        </is>
      </c>
      <c r="C2697" t="n">
        <v>37.204637704</v>
      </c>
      <c r="D2697" t="n">
        <v>-7.01457819893</v>
      </c>
      <c r="E2697" t="n">
        <v>3</v>
      </c>
      <c r="F2697" t="n">
        <v>3</v>
      </c>
      <c r="G2697" t="n">
        <v>3</v>
      </c>
      <c r="J2697" t="inlineStr">
        <is>
          <t>Moda</t>
        </is>
      </c>
      <c r="K2697" t="n">
        <v>3</v>
      </c>
      <c r="L2697" t="n">
        <v>3.212</v>
      </c>
      <c r="M2697" t="n">
        <v>0</v>
      </c>
      <c r="N2697" t="inlineStr">
        <is>
          <t>train</t>
        </is>
      </c>
      <c r="O2697">
        <f>HYPERLINK("3\0\marker_812_364675.png", "Ver Imagen")</f>
        <v/>
      </c>
      <c r="P2697">
        <f>HYPERLINK("SE\A-497_2C\A-497_2C__549.png", "Ver Imagen")</f>
        <v/>
      </c>
    </row>
    <row r="2698">
      <c r="A2698" t="n">
        <v>2179</v>
      </c>
      <c r="B2698" t="inlineStr">
        <is>
          <t>A-497_2C__552</t>
        </is>
      </c>
      <c r="C2698" t="n">
        <v>37.2044936084</v>
      </c>
      <c r="D2698" t="n">
        <v>-7.01384109526</v>
      </c>
      <c r="E2698" t="n">
        <v>3</v>
      </c>
      <c r="F2698" t="n">
        <v>3</v>
      </c>
      <c r="G2698" t="n">
        <v>3</v>
      </c>
      <c r="J2698" t="inlineStr">
        <is>
          <t>Moda</t>
        </is>
      </c>
      <c r="K2698" t="n">
        <v>3</v>
      </c>
      <c r="L2698" t="n">
        <v>3.11</v>
      </c>
      <c r="M2698" t="n">
        <v>0</v>
      </c>
      <c r="N2698" t="inlineStr">
        <is>
          <t>train</t>
        </is>
      </c>
      <c r="O2698">
        <f>HYPERLINK("3\0\marker_695_364702.png", "Ver Imagen")</f>
        <v/>
      </c>
      <c r="P2698">
        <f>HYPERLINK("SE\A-497_2C\A-497_2C__552.png", "Ver Imagen")</f>
        <v/>
      </c>
    </row>
    <row r="2699">
      <c r="A2699" t="n">
        <v>2180</v>
      </c>
      <c r="B2699" t="inlineStr">
        <is>
          <t>A-497_2C__558</t>
        </is>
      </c>
      <c r="C2699" t="n">
        <v>37.2042027709</v>
      </c>
      <c r="D2699" t="n">
        <v>-7.01227062516</v>
      </c>
      <c r="E2699" t="n">
        <v>3</v>
      </c>
      <c r="F2699" t="n">
        <v>3</v>
      </c>
      <c r="G2699" t="n">
        <v>3</v>
      </c>
      <c r="J2699" t="inlineStr">
        <is>
          <t>Moda</t>
        </is>
      </c>
      <c r="K2699" t="n">
        <v>3</v>
      </c>
      <c r="L2699" t="n">
        <v>3.117</v>
      </c>
      <c r="M2699" t="n">
        <v>0</v>
      </c>
      <c r="N2699" t="inlineStr">
        <is>
          <t>train</t>
        </is>
      </c>
      <c r="O2699">
        <f>HYPERLINK("3\0\marker_349_366355.png", "Ver Imagen")</f>
        <v/>
      </c>
      <c r="P2699">
        <f>HYPERLINK("SE\A-497_2C\A-497_2C__558.png", "Ver Imagen")</f>
        <v/>
      </c>
    </row>
    <row r="2700">
      <c r="A2700" t="n">
        <v>2181</v>
      </c>
      <c r="B2700" t="inlineStr">
        <is>
          <t>A-497_2C__563</t>
        </is>
      </c>
      <c r="C2700" t="n">
        <v>37.2040022761</v>
      </c>
      <c r="D2700" t="n">
        <v>-7.01112585687</v>
      </c>
      <c r="E2700" t="n">
        <v>3</v>
      </c>
      <c r="F2700" t="n">
        <v>3</v>
      </c>
      <c r="G2700" t="n">
        <v>3</v>
      </c>
      <c r="J2700" t="inlineStr">
        <is>
          <t>Moda</t>
        </is>
      </c>
      <c r="K2700" t="n">
        <v>3</v>
      </c>
      <c r="L2700" t="n">
        <v>3.353</v>
      </c>
      <c r="M2700" t="n">
        <v>0</v>
      </c>
      <c r="N2700" t="inlineStr">
        <is>
          <t>train</t>
        </is>
      </c>
      <c r="O2700">
        <f>HYPERLINK("3\0\marker_381_366416.png", "Ver Imagen")</f>
        <v/>
      </c>
      <c r="P2700">
        <f>HYPERLINK("SE\A-497_2C\A-497_2C__563.png", "Ver Imagen")</f>
        <v/>
      </c>
    </row>
    <row r="2701">
      <c r="A2701" t="n">
        <v>2182</v>
      </c>
      <c r="B2701" t="inlineStr">
        <is>
          <t>A-497_2C__566</t>
        </is>
      </c>
      <c r="C2701" t="n">
        <v>37.2038628211</v>
      </c>
      <c r="D2701" t="n">
        <v>-7.0102980619</v>
      </c>
      <c r="E2701" t="n">
        <v>3</v>
      </c>
      <c r="F2701" t="n">
        <v>3</v>
      </c>
      <c r="G2701" t="n">
        <v>3</v>
      </c>
      <c r="J2701" t="inlineStr">
        <is>
          <t>Moda</t>
        </is>
      </c>
      <c r="K2701" t="n">
        <v>3</v>
      </c>
      <c r="L2701" t="n">
        <v>3.016</v>
      </c>
      <c r="M2701" t="n">
        <v>0</v>
      </c>
      <c r="N2701" t="inlineStr">
        <is>
          <t>train</t>
        </is>
      </c>
      <c r="O2701">
        <f>HYPERLINK("3\0\marker_352_366449.png", "Ver Imagen")</f>
        <v/>
      </c>
      <c r="P2701">
        <f>HYPERLINK("SE\A-497_2C\A-497_2C__566.png", "Ver Imagen")</f>
        <v/>
      </c>
    </row>
    <row r="2702">
      <c r="A2702" t="n">
        <v>2183</v>
      </c>
      <c r="B2702" t="inlineStr">
        <is>
          <t>A-497_2C__567</t>
        </is>
      </c>
      <c r="C2702" t="n">
        <v>37.2038203865</v>
      </c>
      <c r="D2702" t="n">
        <v>-7.01004588951</v>
      </c>
      <c r="E2702" t="n">
        <v>3</v>
      </c>
      <c r="F2702" t="n">
        <v>3</v>
      </c>
      <c r="G2702" t="n">
        <v>3</v>
      </c>
      <c r="J2702" t="inlineStr">
        <is>
          <t>Moda</t>
        </is>
      </c>
      <c r="K2702" t="n">
        <v>3</v>
      </c>
      <c r="L2702" t="n">
        <v>3.388</v>
      </c>
      <c r="M2702" t="n">
        <v>0</v>
      </c>
      <c r="N2702" t="inlineStr">
        <is>
          <t>train</t>
        </is>
      </c>
      <c r="O2702">
        <f>HYPERLINK("3\0\marker_628_366459.png", "Ver Imagen")</f>
        <v/>
      </c>
      <c r="P2702">
        <f>HYPERLINK("SE\A-497_2C\A-497_2C__567.png", "Ver Imagen")</f>
        <v/>
      </c>
    </row>
    <row r="2703">
      <c r="A2703" t="n">
        <v>2184</v>
      </c>
      <c r="B2703" t="inlineStr">
        <is>
          <t>A-497_2C__568</t>
        </is>
      </c>
      <c r="C2703" t="n">
        <v>37.203784823</v>
      </c>
      <c r="D2703" t="n">
        <v>-7.00983161473</v>
      </c>
      <c r="E2703" t="n">
        <v>3</v>
      </c>
      <c r="F2703" t="n">
        <v>3</v>
      </c>
      <c r="G2703" t="n">
        <v>3</v>
      </c>
      <c r="J2703" t="inlineStr">
        <is>
          <t>Moda</t>
        </is>
      </c>
      <c r="K2703" t="n">
        <v>3</v>
      </c>
      <c r="L2703" t="n">
        <v>3.346</v>
      </c>
      <c r="M2703" t="n">
        <v>0</v>
      </c>
      <c r="N2703" t="inlineStr">
        <is>
          <t>train</t>
        </is>
      </c>
      <c r="O2703">
        <f>HYPERLINK("3\0\marker_919_366467.png", "Ver Imagen")</f>
        <v/>
      </c>
      <c r="P2703">
        <f>HYPERLINK("SE\A-497_2C\A-497_2C__568.png", "Ver Imagen")</f>
        <v/>
      </c>
    </row>
    <row r="2704">
      <c r="A2704" t="n">
        <v>2185</v>
      </c>
      <c r="B2704" t="inlineStr">
        <is>
          <t>A-497_2C__570</t>
        </is>
      </c>
      <c r="C2704" t="n">
        <v>37.2037064983</v>
      </c>
      <c r="D2704" t="n">
        <v>-7.0093476665</v>
      </c>
      <c r="E2704" t="n">
        <v>3</v>
      </c>
      <c r="F2704" t="n">
        <v>3</v>
      </c>
      <c r="G2704" t="n">
        <v>3</v>
      </c>
      <c r="J2704" t="inlineStr">
        <is>
          <t>Moda</t>
        </is>
      </c>
      <c r="K2704" t="n">
        <v>3</v>
      </c>
      <c r="L2704" t="n">
        <v>3.002</v>
      </c>
      <c r="M2704" t="n">
        <v>0</v>
      </c>
      <c r="N2704" t="inlineStr">
        <is>
          <t>train</t>
        </is>
      </c>
      <c r="O2704">
        <f>HYPERLINK("3\0\marker_522_366485.png", "Ver Imagen")</f>
        <v/>
      </c>
      <c r="P2704">
        <f>HYPERLINK("SE\A-497_2C\A-497_2C__570.png", "Ver Imagen")</f>
        <v/>
      </c>
    </row>
    <row r="2705">
      <c r="A2705" t="n">
        <v>2186</v>
      </c>
      <c r="B2705" t="inlineStr">
        <is>
          <t>A-497_2C__571</t>
        </is>
      </c>
      <c r="C2705" t="n">
        <v>37.203661897</v>
      </c>
      <c r="D2705" t="n">
        <v>-7.00906164563</v>
      </c>
      <c r="E2705" t="n">
        <v>3</v>
      </c>
      <c r="F2705" t="n">
        <v>3</v>
      </c>
      <c r="G2705" t="n">
        <v>3</v>
      </c>
      <c r="J2705" t="inlineStr">
        <is>
          <t>Moda</t>
        </is>
      </c>
      <c r="K2705" t="n">
        <v>3</v>
      </c>
      <c r="L2705" t="n">
        <v>3.011</v>
      </c>
      <c r="M2705" t="n">
        <v>0</v>
      </c>
      <c r="N2705" t="inlineStr">
        <is>
          <t>test</t>
        </is>
      </c>
      <c r="O2705">
        <f>HYPERLINK("3\0\marker_629_366495.png", "Ver Imagen")</f>
        <v/>
      </c>
      <c r="P2705">
        <f>HYPERLINK("SE\A-497_2C\A-497_2C__571.png", "Ver Imagen")</f>
        <v/>
      </c>
    </row>
    <row r="2706">
      <c r="A2706" t="n">
        <v>2187</v>
      </c>
      <c r="B2706" t="inlineStr">
        <is>
          <t>A-497_2C__578</t>
        </is>
      </c>
      <c r="C2706" t="n">
        <v>37.2034084951</v>
      </c>
      <c r="D2706" t="n">
        <v>-7.00735313578</v>
      </c>
      <c r="E2706" t="n">
        <v>3</v>
      </c>
      <c r="F2706" t="n">
        <v>3</v>
      </c>
      <c r="G2706" t="n">
        <v>3</v>
      </c>
      <c r="J2706" t="inlineStr">
        <is>
          <t>Moda</t>
        </is>
      </c>
      <c r="K2706" t="n">
        <v>3</v>
      </c>
      <c r="L2706" t="n">
        <v>2.976</v>
      </c>
      <c r="M2706" t="n">
        <v>0</v>
      </c>
      <c r="N2706" t="inlineStr">
        <is>
          <t>train</t>
        </is>
      </c>
      <c r="O2706">
        <f>HYPERLINK("3\0\marker_956_366555.png", "Ver Imagen")</f>
        <v/>
      </c>
      <c r="P2706">
        <f>HYPERLINK("SE\A-497_2C\A-497_2C__578.png", "Ver Imagen")</f>
        <v/>
      </c>
    </row>
    <row r="2707">
      <c r="A2707" t="n">
        <v>2188</v>
      </c>
      <c r="B2707" t="inlineStr">
        <is>
          <t>A-497_2C__580</t>
        </is>
      </c>
      <c r="C2707" t="n">
        <v>37.2033348099</v>
      </c>
      <c r="D2707" t="n">
        <v>-7.00682151736</v>
      </c>
      <c r="E2707" t="n">
        <v>3</v>
      </c>
      <c r="F2707" t="n">
        <v>3</v>
      </c>
      <c r="G2707" t="n">
        <v>3</v>
      </c>
      <c r="J2707" t="inlineStr">
        <is>
          <t>Moda</t>
        </is>
      </c>
      <c r="K2707" t="n">
        <v>3</v>
      </c>
      <c r="L2707" t="n">
        <v>3.237</v>
      </c>
      <c r="M2707" t="n">
        <v>0</v>
      </c>
      <c r="N2707" t="inlineStr">
        <is>
          <t>val</t>
        </is>
      </c>
      <c r="O2707">
        <f>HYPERLINK("3\0\marker_373_366571.png", "Ver Imagen")</f>
        <v/>
      </c>
      <c r="P2707">
        <f>HYPERLINK("SE\A-497_2C\A-497_2C__580.png", "Ver Imagen")</f>
        <v/>
      </c>
    </row>
    <row r="2708">
      <c r="A2708" t="n">
        <v>2189</v>
      </c>
      <c r="B2708" t="inlineStr">
        <is>
          <t>A-497_2C__581</t>
        </is>
      </c>
      <c r="C2708" t="n">
        <v>37.2033049651</v>
      </c>
      <c r="D2708" t="n">
        <v>-7.00659598062</v>
      </c>
      <c r="E2708" t="n">
        <v>3</v>
      </c>
      <c r="F2708" t="n">
        <v>3</v>
      </c>
      <c r="G2708" t="n">
        <v>3</v>
      </c>
      <c r="J2708" t="inlineStr">
        <is>
          <t>Moda</t>
        </is>
      </c>
      <c r="K2708" t="n">
        <v>3</v>
      </c>
      <c r="L2708" t="n">
        <v>2.857</v>
      </c>
      <c r="M2708" t="n">
        <v>0</v>
      </c>
      <c r="N2708" t="inlineStr">
        <is>
          <t>train</t>
        </is>
      </c>
      <c r="O2708">
        <f>HYPERLINK("3\0\marker_919_366579.png", "Ver Imagen")</f>
        <v/>
      </c>
      <c r="P2708">
        <f>HYPERLINK("SE\A-497_2C\A-497_2C__581.png", "Ver Imagen")</f>
        <v/>
      </c>
    </row>
    <row r="2709">
      <c r="A2709" t="n">
        <v>2190</v>
      </c>
      <c r="B2709" t="inlineStr">
        <is>
          <t>A-497_2C__582</t>
        </is>
      </c>
      <c r="C2709" t="n">
        <v>37.2032682672</v>
      </c>
      <c r="D2709" t="n">
        <v>-7.00631864321</v>
      </c>
      <c r="E2709" t="n">
        <v>3</v>
      </c>
      <c r="F2709" t="n">
        <v>3</v>
      </c>
      <c r="G2709" t="n">
        <v>3</v>
      </c>
      <c r="J2709" t="inlineStr">
        <is>
          <t>Moda</t>
        </is>
      </c>
      <c r="K2709" t="n">
        <v>3</v>
      </c>
      <c r="L2709" t="n">
        <v>2.718</v>
      </c>
      <c r="M2709" t="n">
        <v>0</v>
      </c>
      <c r="N2709" t="inlineStr">
        <is>
          <t>val</t>
        </is>
      </c>
      <c r="O2709">
        <f>HYPERLINK("3\0\marker_708_366592.png", "Ver Imagen")</f>
        <v/>
      </c>
      <c r="P2709">
        <f>HYPERLINK("SE\A-497_2C\A-497_2C__582.png", "Ver Imagen")</f>
        <v/>
      </c>
    </row>
    <row r="2710">
      <c r="A2710" t="n">
        <v>2191</v>
      </c>
      <c r="B2710" t="inlineStr">
        <is>
          <t>A-497_2C__583</t>
        </is>
      </c>
      <c r="C2710" t="n">
        <v>37.2032420913</v>
      </c>
      <c r="D2710" t="n">
        <v>-7.0061255267</v>
      </c>
      <c r="E2710" t="n">
        <v>3</v>
      </c>
      <c r="F2710" t="n">
        <v>3</v>
      </c>
      <c r="G2710" t="n">
        <v>3</v>
      </c>
      <c r="J2710" t="inlineStr">
        <is>
          <t>Moda</t>
        </is>
      </c>
      <c r="K2710" t="n">
        <v>3</v>
      </c>
      <c r="L2710" t="n">
        <v>3.382</v>
      </c>
      <c r="M2710" t="n">
        <v>0</v>
      </c>
      <c r="N2710" t="inlineStr">
        <is>
          <t>train</t>
        </is>
      </c>
      <c r="O2710">
        <f>HYPERLINK("3\0\marker_284_366601.png", "Ver Imagen")</f>
        <v/>
      </c>
      <c r="P2710">
        <f>HYPERLINK("SE\A-497_2C\A-497_2C__583.png", "Ver Imagen")</f>
        <v/>
      </c>
    </row>
    <row r="2711">
      <c r="A2711" t="n">
        <v>2192</v>
      </c>
      <c r="B2711" t="inlineStr">
        <is>
          <t>A-497_2C__586</t>
        </is>
      </c>
      <c r="C2711" t="n">
        <v>37.2031353716</v>
      </c>
      <c r="D2711" t="n">
        <v>-7.00534292839</v>
      </c>
      <c r="E2711" t="n">
        <v>3</v>
      </c>
      <c r="F2711" t="n">
        <v>3</v>
      </c>
      <c r="G2711" t="n">
        <v>3</v>
      </c>
      <c r="J2711" t="inlineStr">
        <is>
          <t>Moda</t>
        </is>
      </c>
      <c r="K2711" t="n">
        <v>3</v>
      </c>
      <c r="L2711" t="n">
        <v>3.238</v>
      </c>
      <c r="M2711" t="n">
        <v>0</v>
      </c>
      <c r="N2711" t="inlineStr">
        <is>
          <t>val</t>
        </is>
      </c>
      <c r="O2711">
        <f>HYPERLINK("3\0\marker_481_366624.png", "Ver Imagen")</f>
        <v/>
      </c>
      <c r="P2711">
        <f>HYPERLINK("SE\A-497_2C\A-497_2C__586.png", "Ver Imagen")</f>
        <v/>
      </c>
    </row>
    <row r="2712">
      <c r="A2712" t="n">
        <v>2193</v>
      </c>
      <c r="B2712" t="inlineStr">
        <is>
          <t>A-497_2C__587</t>
        </is>
      </c>
      <c r="C2712" t="n">
        <v>37.2031073067</v>
      </c>
      <c r="D2712" t="n">
        <v>-7.00513072363</v>
      </c>
      <c r="E2712" t="n">
        <v>3</v>
      </c>
      <c r="F2712" t="n">
        <v>3</v>
      </c>
      <c r="G2712" t="n">
        <v>3</v>
      </c>
      <c r="J2712" t="inlineStr">
        <is>
          <t>Moda</t>
        </is>
      </c>
      <c r="K2712" t="n">
        <v>3</v>
      </c>
      <c r="L2712" t="n">
        <v>3.192</v>
      </c>
      <c r="M2712" t="n">
        <v>0</v>
      </c>
      <c r="N2712" t="inlineStr">
        <is>
          <t>test</t>
        </is>
      </c>
      <c r="O2712">
        <f>HYPERLINK("3\0\marker_891_366639.png", "Ver Imagen")</f>
        <v/>
      </c>
      <c r="P2712">
        <f>HYPERLINK("SE\A-497_2C\A-497_2C__587.png", "Ver Imagen")</f>
        <v/>
      </c>
    </row>
    <row r="2713">
      <c r="A2713" t="n">
        <v>2194</v>
      </c>
      <c r="B2713" t="inlineStr">
        <is>
          <t>A-497_2C__589</t>
        </is>
      </c>
      <c r="C2713" t="n">
        <v>37.2030437772</v>
      </c>
      <c r="D2713" t="n">
        <v>-7.00462654901</v>
      </c>
      <c r="E2713" t="n">
        <v>3</v>
      </c>
      <c r="F2713" t="n">
        <v>3</v>
      </c>
      <c r="G2713" t="n">
        <v>3</v>
      </c>
      <c r="J2713" t="inlineStr">
        <is>
          <t>Moda</t>
        </is>
      </c>
      <c r="K2713" t="n">
        <v>3</v>
      </c>
      <c r="L2713" t="n">
        <v>2.754</v>
      </c>
      <c r="M2713" t="n">
        <v>0</v>
      </c>
      <c r="N2713" t="inlineStr">
        <is>
          <t>test</t>
        </is>
      </c>
      <c r="O2713">
        <f>HYPERLINK("3\0\marker_450_366662.png", "Ver Imagen")</f>
        <v/>
      </c>
      <c r="P2713">
        <f>HYPERLINK("SE\A-497_2C\A-497_2C__589.png", "Ver Imagen")</f>
        <v/>
      </c>
    </row>
    <row r="2714">
      <c r="A2714" t="n">
        <v>2195</v>
      </c>
      <c r="B2714" t="inlineStr">
        <is>
          <t>A-497_2C__590</t>
        </is>
      </c>
      <c r="C2714" t="n">
        <v>37.20300981</v>
      </c>
      <c r="D2714" t="n">
        <v>-7.00434591667</v>
      </c>
      <c r="E2714" t="n">
        <v>3</v>
      </c>
      <c r="F2714" t="n">
        <v>3</v>
      </c>
      <c r="G2714" t="n">
        <v>3</v>
      </c>
      <c r="J2714" t="inlineStr">
        <is>
          <t>Moda</t>
        </is>
      </c>
      <c r="K2714" t="n">
        <v>3</v>
      </c>
      <c r="L2714" t="n">
        <v>2.716</v>
      </c>
      <c r="M2714" t="n">
        <v>0</v>
      </c>
      <c r="N2714" t="inlineStr">
        <is>
          <t>train</t>
        </is>
      </c>
      <c r="O2714">
        <f>HYPERLINK("3\0\marker_283_366671.png", "Ver Imagen")</f>
        <v/>
      </c>
      <c r="P2714">
        <f>HYPERLINK("SE\A-497_2C\A-497_2C__590.png", "Ver Imagen")</f>
        <v/>
      </c>
    </row>
    <row r="2715">
      <c r="A2715" t="n">
        <v>2196</v>
      </c>
      <c r="B2715" t="inlineStr">
        <is>
          <t>A-497_2C__593</t>
        </is>
      </c>
      <c r="C2715" t="n">
        <v>37.2029290949</v>
      </c>
      <c r="D2715" t="n">
        <v>-7.00362793221</v>
      </c>
      <c r="E2715" t="n">
        <v>3</v>
      </c>
      <c r="F2715" t="n">
        <v>3</v>
      </c>
      <c r="G2715" t="n">
        <v>3</v>
      </c>
      <c r="J2715" t="inlineStr">
        <is>
          <t>Moda</t>
        </is>
      </c>
      <c r="K2715" t="n">
        <v>3</v>
      </c>
      <c r="L2715" t="n">
        <v>3.291</v>
      </c>
      <c r="M2715" t="n">
        <v>0</v>
      </c>
      <c r="N2715" t="inlineStr">
        <is>
          <t>test</t>
        </is>
      </c>
      <c r="O2715">
        <f>HYPERLINK("3\0\marker_782_366699.png", "Ver Imagen")</f>
        <v/>
      </c>
      <c r="P2715">
        <f>HYPERLINK("SE\A-497_2C\A-497_2C__593.png", "Ver Imagen")</f>
        <v/>
      </c>
    </row>
    <row r="2716">
      <c r="A2716" t="n">
        <v>2197</v>
      </c>
      <c r="B2716" t="inlineStr">
        <is>
          <t>A-497_2C__594</t>
        </is>
      </c>
      <c r="C2716" t="n">
        <v>37.2029009678</v>
      </c>
      <c r="D2716" t="n">
        <v>-7.00336968226</v>
      </c>
      <c r="E2716" t="n">
        <v>3</v>
      </c>
      <c r="F2716" t="n">
        <v>3</v>
      </c>
      <c r="G2716" t="n">
        <v>3</v>
      </c>
      <c r="J2716" t="inlineStr">
        <is>
          <t>Moda</t>
        </is>
      </c>
      <c r="K2716" t="n">
        <v>3</v>
      </c>
      <c r="L2716" t="n">
        <v>3.328</v>
      </c>
      <c r="M2716" t="n">
        <v>0</v>
      </c>
      <c r="N2716" t="inlineStr">
        <is>
          <t>train</t>
        </is>
      </c>
      <c r="O2716">
        <f>HYPERLINK("3\0\marker_721_366707.png", "Ver Imagen")</f>
        <v/>
      </c>
      <c r="P2716">
        <f>HYPERLINK("SE\A-497_2C\A-497_2C__594.png", "Ver Imagen")</f>
        <v/>
      </c>
    </row>
    <row r="2717">
      <c r="A2717" t="n">
        <v>2198</v>
      </c>
      <c r="B2717" t="inlineStr">
        <is>
          <t>A-497_2C__596</t>
        </is>
      </c>
      <c r="C2717" t="n">
        <v>37.2028407069</v>
      </c>
      <c r="D2717" t="n">
        <v>-7.0028206389</v>
      </c>
      <c r="E2717" t="n">
        <v>3</v>
      </c>
      <c r="F2717" t="n">
        <v>3</v>
      </c>
      <c r="G2717" t="n">
        <v>3</v>
      </c>
      <c r="J2717" t="inlineStr">
        <is>
          <t>Moda</t>
        </is>
      </c>
      <c r="K2717" t="n">
        <v>3</v>
      </c>
      <c r="L2717" t="n">
        <v>3.251</v>
      </c>
      <c r="M2717" t="n">
        <v>0</v>
      </c>
      <c r="N2717" t="inlineStr">
        <is>
          <t>train</t>
        </is>
      </c>
      <c r="O2717">
        <f>HYPERLINK("3\0\marker_665_366726.png", "Ver Imagen")</f>
        <v/>
      </c>
      <c r="P2717">
        <f>HYPERLINK("SE\A-497_2C\A-497_2C__596.png", "Ver Imagen")</f>
        <v/>
      </c>
    </row>
    <row r="2718">
      <c r="A2718" t="n">
        <v>2199</v>
      </c>
      <c r="B2718" t="inlineStr">
        <is>
          <t>A-497_2C__598</t>
        </is>
      </c>
      <c r="C2718" t="n">
        <v>37.2027907249</v>
      </c>
      <c r="D2718" t="n">
        <v>-7.00237707801</v>
      </c>
      <c r="E2718" t="n">
        <v>3</v>
      </c>
      <c r="F2718" t="n">
        <v>3</v>
      </c>
      <c r="G2718" t="n">
        <v>3</v>
      </c>
      <c r="J2718" t="inlineStr">
        <is>
          <t>Moda</t>
        </is>
      </c>
      <c r="K2718" t="n">
        <v>3</v>
      </c>
      <c r="L2718" t="n">
        <v>3.185</v>
      </c>
      <c r="M2718" t="n">
        <v>0</v>
      </c>
      <c r="N2718" t="inlineStr">
        <is>
          <t>train</t>
        </is>
      </c>
      <c r="O2718">
        <f>HYPERLINK("3\0\marker_860_366742.png", "Ver Imagen")</f>
        <v/>
      </c>
      <c r="P2718">
        <f>HYPERLINK("SE\A-497_2C\A-497_2C__598.png", "Ver Imagen")</f>
        <v/>
      </c>
    </row>
    <row r="2719">
      <c r="A2719" t="n">
        <v>2200</v>
      </c>
      <c r="B2719" t="inlineStr">
        <is>
          <t>A-497_2C__599</t>
        </is>
      </c>
      <c r="C2719" t="n">
        <v>37.2027652622</v>
      </c>
      <c r="D2719" t="n">
        <v>-7.00215280466</v>
      </c>
      <c r="E2719" t="n">
        <v>3</v>
      </c>
      <c r="F2719" t="n">
        <v>3</v>
      </c>
      <c r="G2719" t="n">
        <v>3</v>
      </c>
      <c r="J2719" t="inlineStr">
        <is>
          <t>Moda</t>
        </is>
      </c>
      <c r="K2719" t="n">
        <v>3</v>
      </c>
      <c r="L2719" t="n">
        <v>2.974</v>
      </c>
      <c r="M2719" t="n">
        <v>0</v>
      </c>
      <c r="N2719" t="inlineStr">
        <is>
          <t>train</t>
        </is>
      </c>
      <c r="O2719">
        <f>HYPERLINK("3\0\marker_124_366754.png", "Ver Imagen")</f>
        <v/>
      </c>
      <c r="P2719">
        <f>HYPERLINK("SE\A-497_2C\A-497_2C__599.png", "Ver Imagen")</f>
        <v/>
      </c>
    </row>
    <row r="2720">
      <c r="A2720" t="n">
        <v>2201</v>
      </c>
      <c r="B2720" t="inlineStr">
        <is>
          <t>A-497_2C__603</t>
        </is>
      </c>
      <c r="C2720" t="n">
        <v>37.2026410006</v>
      </c>
      <c r="D2720" t="n">
        <v>-7.00107136345</v>
      </c>
      <c r="E2720" t="n">
        <v>3</v>
      </c>
      <c r="F2720" t="n">
        <v>3</v>
      </c>
      <c r="G2720" t="n">
        <v>3</v>
      </c>
      <c r="J2720" t="inlineStr">
        <is>
          <t>Moda</t>
        </is>
      </c>
      <c r="K2720" t="n">
        <v>3</v>
      </c>
      <c r="L2720" t="n">
        <v>3.149</v>
      </c>
      <c r="M2720" t="n">
        <v>0</v>
      </c>
      <c r="N2720" t="inlineStr">
        <is>
          <t>train</t>
        </is>
      </c>
      <c r="O2720">
        <f>HYPERLINK("3\0\marker_226_366794.png", "Ver Imagen")</f>
        <v/>
      </c>
      <c r="P2720">
        <f>HYPERLINK("SE\A-497_2C\A-497_2C__603.png", "Ver Imagen")</f>
        <v/>
      </c>
    </row>
    <row r="2721">
      <c r="A2721" t="n">
        <v>2202</v>
      </c>
      <c r="B2721" t="inlineStr">
        <is>
          <t>A-497_2C__604</t>
        </is>
      </c>
      <c r="C2721" t="n">
        <v>37.2026121515</v>
      </c>
      <c r="D2721" t="n">
        <v>-7.00083697481</v>
      </c>
      <c r="E2721" t="n">
        <v>3</v>
      </c>
      <c r="F2721" t="n">
        <v>3</v>
      </c>
      <c r="G2721" t="n">
        <v>3</v>
      </c>
      <c r="J2721" t="inlineStr">
        <is>
          <t>Moda</t>
        </is>
      </c>
      <c r="K2721" t="n">
        <v>3</v>
      </c>
      <c r="L2721" t="n">
        <v>3.103</v>
      </c>
      <c r="M2721" t="n">
        <v>0</v>
      </c>
      <c r="N2721" t="inlineStr">
        <is>
          <t>test</t>
        </is>
      </c>
      <c r="O2721">
        <f>HYPERLINK("3\0\marker_305_366802.png", "Ver Imagen")</f>
        <v/>
      </c>
      <c r="P2721">
        <f>HYPERLINK("SE\A-497_2C\A-497_2C__604.png", "Ver Imagen")</f>
        <v/>
      </c>
    </row>
    <row r="2722">
      <c r="A2722" t="n">
        <v>2203</v>
      </c>
      <c r="B2722" t="inlineStr">
        <is>
          <t>A-497_2C__605</t>
        </is>
      </c>
      <c r="C2722" t="n">
        <v>37.2025820566</v>
      </c>
      <c r="D2722" t="n">
        <v>-7.00059873224</v>
      </c>
      <c r="E2722" t="n">
        <v>3</v>
      </c>
      <c r="F2722" t="n">
        <v>3</v>
      </c>
      <c r="G2722" t="n">
        <v>3</v>
      </c>
      <c r="J2722" t="inlineStr">
        <is>
          <t>Moda</t>
        </is>
      </c>
      <c r="K2722" t="n">
        <v>3</v>
      </c>
      <c r="L2722" t="n">
        <v>3.212</v>
      </c>
      <c r="M2722" t="n">
        <v>0</v>
      </c>
      <c r="N2722" t="inlineStr">
        <is>
          <t>train</t>
        </is>
      </c>
      <c r="O2722">
        <f>HYPERLINK("3\0\marker_118_366811.png", "Ver Imagen")</f>
        <v/>
      </c>
      <c r="P2722">
        <f>HYPERLINK("SE\A-497_2C\A-497_2C__605.png", "Ver Imagen")</f>
        <v/>
      </c>
    </row>
    <row r="2723">
      <c r="A2723" t="n">
        <v>2204</v>
      </c>
      <c r="B2723" t="inlineStr">
        <is>
          <t>A-497_2C__607</t>
        </is>
      </c>
      <c r="C2723" t="n">
        <v>37.202513973</v>
      </c>
      <c r="D2723" t="n">
        <v>-7.00007019417</v>
      </c>
      <c r="E2723" t="n">
        <v>3</v>
      </c>
      <c r="F2723" t="n">
        <v>3</v>
      </c>
      <c r="G2723" t="n">
        <v>3</v>
      </c>
      <c r="J2723" t="inlineStr">
        <is>
          <t>Moda</t>
        </is>
      </c>
      <c r="K2723" t="n">
        <v>3</v>
      </c>
      <c r="L2723" t="n">
        <v>3.222</v>
      </c>
      <c r="M2723" t="n">
        <v>0</v>
      </c>
      <c r="N2723" t="inlineStr">
        <is>
          <t>train</t>
        </is>
      </c>
      <c r="O2723">
        <f>HYPERLINK("3\0\marker_754_366843.png", "Ver Imagen")</f>
        <v/>
      </c>
      <c r="P2723">
        <f>HYPERLINK("SE\A-497_2C\A-497_2C__607.png", "Ver Imagen")</f>
        <v/>
      </c>
    </row>
    <row r="2724">
      <c r="A2724" t="n">
        <v>2205</v>
      </c>
      <c r="B2724" t="inlineStr">
        <is>
          <t>A-497_2C__610</t>
        </is>
      </c>
      <c r="C2724" t="n">
        <v>37.2024149848</v>
      </c>
      <c r="D2724" t="n">
        <v>-6.99929846308</v>
      </c>
      <c r="E2724" t="n">
        <v>3</v>
      </c>
      <c r="F2724" t="n">
        <v>3</v>
      </c>
      <c r="G2724" t="n">
        <v>3</v>
      </c>
      <c r="J2724" t="inlineStr">
        <is>
          <t>Moda</t>
        </is>
      </c>
      <c r="K2724" t="n">
        <v>3</v>
      </c>
      <c r="L2724" t="n">
        <v>3.228</v>
      </c>
      <c r="M2724" t="n">
        <v>0</v>
      </c>
      <c r="N2724" t="inlineStr">
        <is>
          <t>train</t>
        </is>
      </c>
      <c r="O2724">
        <f>HYPERLINK("3\0\marker_533_366871.png", "Ver Imagen")</f>
        <v/>
      </c>
      <c r="P2724">
        <f>HYPERLINK("SE\A-497_2C\A-497_2C__610.png", "Ver Imagen")</f>
        <v/>
      </c>
    </row>
    <row r="2725">
      <c r="A2725" t="n">
        <v>2206</v>
      </c>
      <c r="B2725" t="inlineStr">
        <is>
          <t>A-497_2C__611</t>
        </is>
      </c>
      <c r="C2725" t="n">
        <v>37.2023828258</v>
      </c>
      <c r="D2725" t="n">
        <v>-6.99905198147</v>
      </c>
      <c r="E2725" t="n">
        <v>3</v>
      </c>
      <c r="F2725" t="n">
        <v>3</v>
      </c>
      <c r="G2725" t="n">
        <v>3</v>
      </c>
      <c r="J2725" t="inlineStr">
        <is>
          <t>Moda</t>
        </is>
      </c>
      <c r="K2725" t="n">
        <v>3</v>
      </c>
      <c r="L2725" t="n">
        <v>3.201</v>
      </c>
      <c r="M2725" t="n">
        <v>0</v>
      </c>
      <c r="N2725" t="inlineStr">
        <is>
          <t>train</t>
        </is>
      </c>
      <c r="O2725">
        <f>HYPERLINK("3\0\marker_872_366881.png", "Ver Imagen")</f>
        <v/>
      </c>
      <c r="P2725">
        <f>HYPERLINK("SE\A-497_2C\A-497_2C__611.png", "Ver Imagen")</f>
        <v/>
      </c>
    </row>
    <row r="2726">
      <c r="A2726" t="n">
        <v>2207</v>
      </c>
      <c r="B2726" t="inlineStr">
        <is>
          <t>A-497_2C__612</t>
        </is>
      </c>
      <c r="C2726" t="n">
        <v>37.2023507854</v>
      </c>
      <c r="D2726" t="n">
        <v>-6.99881985364</v>
      </c>
      <c r="E2726" t="n">
        <v>3</v>
      </c>
      <c r="F2726" t="n">
        <v>3</v>
      </c>
      <c r="G2726" t="n">
        <v>3</v>
      </c>
      <c r="J2726" t="inlineStr">
        <is>
          <t>Moda</t>
        </is>
      </c>
      <c r="K2726" t="n">
        <v>3</v>
      </c>
      <c r="L2726" t="n">
        <v>2.979</v>
      </c>
      <c r="M2726" t="n">
        <v>0</v>
      </c>
      <c r="N2726" t="inlineStr">
        <is>
          <t>train</t>
        </is>
      </c>
      <c r="O2726">
        <f>HYPERLINK("3\0\marker_713_366890.png", "Ver Imagen")</f>
        <v/>
      </c>
      <c r="P2726">
        <f>HYPERLINK("SE\A-497_2C\A-497_2C__612.png", "Ver Imagen")</f>
        <v/>
      </c>
    </row>
    <row r="2727">
      <c r="A2727" t="n">
        <v>2208</v>
      </c>
      <c r="B2727" t="inlineStr">
        <is>
          <t>A-497_2C__613</t>
        </is>
      </c>
      <c r="C2727" t="n">
        <v>37.2023103105</v>
      </c>
      <c r="D2727" t="n">
        <v>-6.99853790284</v>
      </c>
      <c r="E2727" t="n">
        <v>3</v>
      </c>
      <c r="F2727" t="n">
        <v>3</v>
      </c>
      <c r="G2727" t="n">
        <v>3</v>
      </c>
      <c r="J2727" t="inlineStr">
        <is>
          <t>Moda</t>
        </is>
      </c>
      <c r="K2727" t="n">
        <v>3</v>
      </c>
      <c r="L2727" t="n">
        <v>3.13</v>
      </c>
      <c r="M2727" t="n">
        <v>0</v>
      </c>
      <c r="N2727" t="inlineStr">
        <is>
          <t>train</t>
        </is>
      </c>
      <c r="O2727">
        <f>HYPERLINK("3\0\marker_365_366901.png", "Ver Imagen")</f>
        <v/>
      </c>
      <c r="P2727">
        <f>HYPERLINK("SE\A-497_2C\A-497_2C__613.png", "Ver Imagen")</f>
        <v/>
      </c>
    </row>
    <row r="2728">
      <c r="A2728" t="n">
        <v>2209</v>
      </c>
      <c r="B2728" t="inlineStr">
        <is>
          <t>A-497_2C__614</t>
        </is>
      </c>
      <c r="C2728" t="n">
        <v>37.2022774236</v>
      </c>
      <c r="D2728" t="n">
        <v>-6.99831225982</v>
      </c>
      <c r="E2728" t="n">
        <v>3</v>
      </c>
      <c r="F2728" t="n">
        <v>3</v>
      </c>
      <c r="G2728" t="n">
        <v>3</v>
      </c>
      <c r="J2728" t="inlineStr">
        <is>
          <t>Moda</t>
        </is>
      </c>
      <c r="K2728" t="n">
        <v>3</v>
      </c>
      <c r="L2728" t="n">
        <v>3.013</v>
      </c>
      <c r="M2728" t="n">
        <v>0</v>
      </c>
      <c r="N2728" t="inlineStr">
        <is>
          <t>train</t>
        </is>
      </c>
      <c r="O2728">
        <f>HYPERLINK("3\0\marker_937_366909.png", "Ver Imagen")</f>
        <v/>
      </c>
      <c r="P2728">
        <f>HYPERLINK("SE\A-497_2C\A-497_2C__614.png", "Ver Imagen")</f>
        <v/>
      </c>
    </row>
    <row r="2729">
      <c r="A2729" t="n">
        <v>2210</v>
      </c>
      <c r="B2729" t="inlineStr">
        <is>
          <t>A-497_2C__616</t>
        </is>
      </c>
      <c r="C2729" t="n">
        <v>37.2022065182</v>
      </c>
      <c r="D2729" t="n">
        <v>-6.99782728029</v>
      </c>
      <c r="E2729" t="n">
        <v>3</v>
      </c>
      <c r="F2729" t="n">
        <v>3</v>
      </c>
      <c r="G2729" t="n">
        <v>3</v>
      </c>
      <c r="J2729" t="inlineStr">
        <is>
          <t>Moda</t>
        </is>
      </c>
      <c r="K2729" t="n">
        <v>3</v>
      </c>
      <c r="L2729" t="n">
        <v>3.072</v>
      </c>
      <c r="M2729" t="n">
        <v>0</v>
      </c>
      <c r="N2729" t="inlineStr">
        <is>
          <t>val</t>
        </is>
      </c>
      <c r="O2729">
        <f>HYPERLINK("3\0\marker_722_366928.png", "Ver Imagen")</f>
        <v/>
      </c>
      <c r="P2729">
        <f>HYPERLINK("SE\A-497_2C\A-497_2C__616.png", "Ver Imagen")</f>
        <v/>
      </c>
    </row>
    <row r="2730">
      <c r="A2730" t="n">
        <v>2211</v>
      </c>
      <c r="B2730" t="inlineStr">
        <is>
          <t>A-497_2C__618</t>
        </is>
      </c>
      <c r="C2730" t="n">
        <v>37.2021335525</v>
      </c>
      <c r="D2730" t="n">
        <v>-6.99733061067</v>
      </c>
      <c r="E2730" t="n">
        <v>3</v>
      </c>
      <c r="F2730" t="n">
        <v>3</v>
      </c>
      <c r="G2730" t="n">
        <v>3</v>
      </c>
      <c r="J2730" t="inlineStr">
        <is>
          <t>Moda</t>
        </is>
      </c>
      <c r="K2730" t="n">
        <v>3</v>
      </c>
      <c r="L2730" t="n">
        <v>3.137</v>
      </c>
      <c r="M2730" t="n">
        <v>0</v>
      </c>
      <c r="N2730" t="inlineStr">
        <is>
          <t>train</t>
        </is>
      </c>
      <c r="O2730">
        <f>HYPERLINK("3\0\marker_285_366962.png", "Ver Imagen")</f>
        <v/>
      </c>
      <c r="P2730">
        <f>HYPERLINK("SE\A-497_2C\A-497_2C__618.png", "Ver Imagen")</f>
        <v/>
      </c>
    </row>
    <row r="2731">
      <c r="A2731" t="n">
        <v>2212</v>
      </c>
      <c r="B2731" t="inlineStr">
        <is>
          <t>A-497_2C__619</t>
        </is>
      </c>
      <c r="C2731" t="n">
        <v>37.2020930768</v>
      </c>
      <c r="D2731" t="n">
        <v>-6.99705840632</v>
      </c>
      <c r="E2731" t="n">
        <v>3</v>
      </c>
      <c r="F2731" t="n">
        <v>3</v>
      </c>
      <c r="G2731" t="n">
        <v>3</v>
      </c>
      <c r="J2731" t="inlineStr">
        <is>
          <t>Moda</t>
        </is>
      </c>
      <c r="K2731" t="n">
        <v>3</v>
      </c>
      <c r="L2731" t="n">
        <v>2.706</v>
      </c>
      <c r="M2731" t="n">
        <v>0</v>
      </c>
      <c r="N2731" t="inlineStr">
        <is>
          <t>train</t>
        </is>
      </c>
      <c r="O2731">
        <f>HYPERLINK("3\0\marker_911_366970.png", "Ver Imagen")</f>
        <v/>
      </c>
      <c r="P2731">
        <f>HYPERLINK("SE\A-497_2C\A-497_2C__619.png", "Ver Imagen")</f>
        <v/>
      </c>
    </row>
    <row r="2732">
      <c r="A2732" t="n">
        <v>2213</v>
      </c>
      <c r="B2732" t="inlineStr">
        <is>
          <t>A-497_2C__621</t>
        </is>
      </c>
      <c r="C2732" t="n">
        <v>37.2020181877</v>
      </c>
      <c r="D2732" t="n">
        <v>-6.99656702684</v>
      </c>
      <c r="E2732" t="n">
        <v>3</v>
      </c>
      <c r="F2732" t="n">
        <v>3</v>
      </c>
      <c r="G2732" t="n">
        <v>3</v>
      </c>
      <c r="J2732" t="inlineStr">
        <is>
          <t>Moda</t>
        </is>
      </c>
      <c r="K2732" t="n">
        <v>3</v>
      </c>
      <c r="L2732" t="n">
        <v>3.139</v>
      </c>
      <c r="M2732" t="n">
        <v>0</v>
      </c>
      <c r="N2732" t="inlineStr">
        <is>
          <t>train</t>
        </is>
      </c>
      <c r="O2732">
        <f>HYPERLINK("3\0\marker_223_366995.png", "Ver Imagen")</f>
        <v/>
      </c>
      <c r="P2732">
        <f>HYPERLINK("SE\A-497_2C\A-497_2C__621.png", "Ver Imagen")</f>
        <v/>
      </c>
    </row>
    <row r="2733">
      <c r="A2733" t="n">
        <v>2214</v>
      </c>
      <c r="B2733" t="inlineStr">
        <is>
          <t>A-497_2C__622</t>
        </is>
      </c>
      <c r="C2733" t="n">
        <v>37.2019797443</v>
      </c>
      <c r="D2733" t="n">
        <v>-6.9963245274</v>
      </c>
      <c r="E2733" t="n">
        <v>3</v>
      </c>
      <c r="F2733" t="n">
        <v>3</v>
      </c>
      <c r="G2733" t="n">
        <v>3</v>
      </c>
      <c r="J2733" t="inlineStr">
        <is>
          <t>Moda</t>
        </is>
      </c>
      <c r="K2733" t="n">
        <v>3</v>
      </c>
      <c r="L2733" t="n">
        <v>3.153</v>
      </c>
      <c r="M2733" t="n">
        <v>0</v>
      </c>
      <c r="N2733" t="inlineStr">
        <is>
          <t>val</t>
        </is>
      </c>
      <c r="O2733">
        <f>HYPERLINK("3\0\marker_958_367004.png", "Ver Imagen")</f>
        <v/>
      </c>
      <c r="P2733">
        <f>HYPERLINK("SE\A-497_2C\A-497_2C__622.png", "Ver Imagen")</f>
        <v/>
      </c>
    </row>
    <row r="2734">
      <c r="A2734" t="n">
        <v>2215</v>
      </c>
      <c r="B2734" t="inlineStr">
        <is>
          <t>A-497__406</t>
        </is>
      </c>
      <c r="C2734" t="n">
        <v>37.2295335465</v>
      </c>
      <c r="D2734" t="n">
        <v>-7.02061303766</v>
      </c>
      <c r="E2734" t="n">
        <v>3</v>
      </c>
      <c r="F2734" t="n">
        <v>3</v>
      </c>
      <c r="G2734" t="n">
        <v>3</v>
      </c>
      <c r="J2734" t="inlineStr">
        <is>
          <t>Moda</t>
        </is>
      </c>
      <c r="K2734" t="n">
        <v>3</v>
      </c>
      <c r="L2734" t="n">
        <v>3.146</v>
      </c>
      <c r="M2734" t="n">
        <v>0</v>
      </c>
      <c r="N2734" t="inlineStr">
        <is>
          <t>train</t>
        </is>
      </c>
      <c r="O2734">
        <f>HYPERLINK("3\0\marker_987_377135.png", "Ver Imagen")</f>
        <v/>
      </c>
      <c r="P2734">
        <f>HYPERLINK("SE\A-497\A-497__406.png", "Ver Imagen")</f>
        <v/>
      </c>
    </row>
    <row r="2735">
      <c r="A2735" t="n">
        <v>2216</v>
      </c>
      <c r="B2735" t="inlineStr">
        <is>
          <t>A-497__395</t>
        </is>
      </c>
      <c r="C2735" t="n">
        <v>37.2314269458</v>
      </c>
      <c r="D2735" t="n">
        <v>-7.01916311077</v>
      </c>
      <c r="E2735" t="n">
        <v>3</v>
      </c>
      <c r="F2735" t="n">
        <v>3</v>
      </c>
      <c r="G2735" t="n">
        <v>3</v>
      </c>
      <c r="J2735" t="inlineStr">
        <is>
          <t>Moda</t>
        </is>
      </c>
      <c r="K2735" t="n">
        <v>3</v>
      </c>
      <c r="L2735" t="n">
        <v>3.038</v>
      </c>
      <c r="M2735" t="n">
        <v>0</v>
      </c>
      <c r="N2735" t="inlineStr">
        <is>
          <t>train</t>
        </is>
      </c>
      <c r="O2735">
        <f>HYPERLINK("3\0\marker_912_377237.png", "Ver Imagen")</f>
        <v/>
      </c>
      <c r="P2735">
        <f>HYPERLINK("SE\A-497\A-497__395.png", "Ver Imagen")</f>
        <v/>
      </c>
    </row>
    <row r="2736">
      <c r="A2736" t="n">
        <v>2217</v>
      </c>
      <c r="B2736" t="inlineStr">
        <is>
          <t>A-497__392</t>
        </is>
      </c>
      <c r="C2736" t="n">
        <v>37.2319902449</v>
      </c>
      <c r="D2736" t="n">
        <v>-7.0187449968</v>
      </c>
      <c r="E2736" t="n">
        <v>3</v>
      </c>
      <c r="F2736" t="n">
        <v>3</v>
      </c>
      <c r="G2736" t="n">
        <v>3</v>
      </c>
      <c r="J2736" t="inlineStr">
        <is>
          <t>Moda</t>
        </is>
      </c>
      <c r="K2736" t="n">
        <v>3</v>
      </c>
      <c r="L2736" t="n">
        <v>3.132</v>
      </c>
      <c r="M2736" t="n">
        <v>0</v>
      </c>
      <c r="N2736" t="inlineStr">
        <is>
          <t>train</t>
        </is>
      </c>
      <c r="O2736">
        <f>HYPERLINK("3\0\marker_459_377265.png", "Ver Imagen")</f>
        <v/>
      </c>
      <c r="P2736">
        <f>HYPERLINK("SE\A-497\A-497__392.png", "Ver Imagen")</f>
        <v/>
      </c>
    </row>
    <row r="2737">
      <c r="A2737" t="n">
        <v>2219</v>
      </c>
      <c r="B2737" t="inlineStr">
        <is>
          <t>A-497__386</t>
        </is>
      </c>
      <c r="C2737" t="n">
        <v>37.233096108</v>
      </c>
      <c r="D2737" t="n">
        <v>-7.01816101182</v>
      </c>
      <c r="E2737" t="n">
        <v>3</v>
      </c>
      <c r="F2737" t="n">
        <v>3</v>
      </c>
      <c r="G2737" t="n">
        <v>3</v>
      </c>
      <c r="J2737" t="inlineStr">
        <is>
          <t>Moda</t>
        </is>
      </c>
      <c r="K2737" t="n">
        <v>3</v>
      </c>
      <c r="L2737" t="n">
        <v>3.29</v>
      </c>
      <c r="M2737" t="n">
        <v>0</v>
      </c>
      <c r="N2737" t="inlineStr">
        <is>
          <t>train</t>
        </is>
      </c>
      <c r="O2737">
        <f>HYPERLINK("3\0\marker_339_377318.png", "Ver Imagen")</f>
        <v/>
      </c>
      <c r="P2737">
        <f>HYPERLINK("SE\A-497\A-497__386.png", "Ver Imagen")</f>
        <v/>
      </c>
    </row>
    <row r="2738">
      <c r="A2738" t="n">
        <v>2220</v>
      </c>
      <c r="B2738" t="inlineStr">
        <is>
          <t>A-497__363</t>
        </is>
      </c>
      <c r="C2738" t="n">
        <v>37.2377127411</v>
      </c>
      <c r="D2738" t="n">
        <v>-7.01857174204</v>
      </c>
      <c r="E2738" t="n">
        <v>3</v>
      </c>
      <c r="F2738" t="n">
        <v>3</v>
      </c>
      <c r="G2738" t="n">
        <v>3</v>
      </c>
      <c r="J2738" t="inlineStr">
        <is>
          <t>Moda</t>
        </is>
      </c>
      <c r="K2738" t="n">
        <v>3</v>
      </c>
      <c r="L2738" t="n">
        <v>2.829</v>
      </c>
      <c r="M2738" t="n">
        <v>0</v>
      </c>
      <c r="N2738" t="inlineStr">
        <is>
          <t>train</t>
        </is>
      </c>
      <c r="O2738">
        <f>HYPERLINK("3\0\marker_758_377522.png", "Ver Imagen")</f>
        <v/>
      </c>
      <c r="P2738">
        <f>HYPERLINK("SE\A-497\A-497__363.png", "Ver Imagen")</f>
        <v/>
      </c>
    </row>
    <row r="2739">
      <c r="A2739" t="n">
        <v>2221</v>
      </c>
      <c r="B2739" t="inlineStr">
        <is>
          <t>A-497__338</t>
        </is>
      </c>
      <c r="C2739" t="n">
        <v>37.2427466307</v>
      </c>
      <c r="D2739" t="n">
        <v>-7.018380944</v>
      </c>
      <c r="E2739" t="n">
        <v>3</v>
      </c>
      <c r="F2739" t="n">
        <v>3</v>
      </c>
      <c r="G2739" t="n">
        <v>3</v>
      </c>
      <c r="J2739" t="inlineStr">
        <is>
          <t>Moda</t>
        </is>
      </c>
      <c r="K2739" t="n">
        <v>3</v>
      </c>
      <c r="L2739" t="n">
        <v>3.45</v>
      </c>
      <c r="M2739" t="n">
        <v>0</v>
      </c>
      <c r="N2739" t="inlineStr">
        <is>
          <t>train</t>
        </is>
      </c>
      <c r="O2739">
        <f>HYPERLINK("3\0\marker_723_377790.png", "Ver Imagen")</f>
        <v/>
      </c>
      <c r="P2739">
        <f>HYPERLINK("SE\A-497\A-497__338.png", "Ver Imagen")</f>
        <v/>
      </c>
    </row>
    <row r="2740">
      <c r="A2740" t="n">
        <v>2222</v>
      </c>
      <c r="B2740" t="inlineStr">
        <is>
          <t>A-497__334</t>
        </is>
      </c>
      <c r="C2740" t="n">
        <v>37.2436100563</v>
      </c>
      <c r="D2740" t="n">
        <v>-7.01834390554</v>
      </c>
      <c r="E2740" t="n">
        <v>3</v>
      </c>
      <c r="F2740" t="n">
        <v>3</v>
      </c>
      <c r="G2740" t="n">
        <v>3</v>
      </c>
      <c r="J2740" t="inlineStr">
        <is>
          <t>Moda</t>
        </is>
      </c>
      <c r="K2740" t="n">
        <v>3</v>
      </c>
      <c r="L2740" t="n">
        <v>2.859</v>
      </c>
      <c r="M2740" t="n">
        <v>0</v>
      </c>
      <c r="N2740" t="inlineStr">
        <is>
          <t>train</t>
        </is>
      </c>
      <c r="O2740">
        <f>HYPERLINK("3\0\marker_331_377835.png", "Ver Imagen")</f>
        <v/>
      </c>
      <c r="P2740">
        <f>HYPERLINK("SE\A-497\A-497__334.png", "Ver Imagen")</f>
        <v/>
      </c>
    </row>
    <row r="2741">
      <c r="A2741" t="n">
        <v>2223</v>
      </c>
      <c r="B2741" t="inlineStr">
        <is>
          <t>A-497__323</t>
        </is>
      </c>
      <c r="C2741" t="n">
        <v>37.2458013189</v>
      </c>
      <c r="D2741" t="n">
        <v>-7.01826647518</v>
      </c>
      <c r="E2741" t="n">
        <v>3</v>
      </c>
      <c r="F2741" t="n">
        <v>3</v>
      </c>
      <c r="G2741" t="n">
        <v>3</v>
      </c>
      <c r="J2741" t="inlineStr">
        <is>
          <t>Moda</t>
        </is>
      </c>
      <c r="K2741" t="n">
        <v>3</v>
      </c>
      <c r="L2741" t="n">
        <v>2.978</v>
      </c>
      <c r="M2741" t="n">
        <v>0</v>
      </c>
      <c r="N2741" t="inlineStr">
        <is>
          <t>train</t>
        </is>
      </c>
      <c r="O2741">
        <f>HYPERLINK("3\0\marker_211_377934.png", "Ver Imagen")</f>
        <v/>
      </c>
      <c r="P2741">
        <f>HYPERLINK("SE\A-497\A-497__323.png", "Ver Imagen")</f>
        <v/>
      </c>
    </row>
    <row r="2742">
      <c r="A2742" t="n">
        <v>2224</v>
      </c>
      <c r="B2742" t="inlineStr">
        <is>
          <t>A-497__320</t>
        </is>
      </c>
      <c r="C2742" t="n">
        <v>37.2464171615</v>
      </c>
      <c r="D2742" t="n">
        <v>-7.01824727435</v>
      </c>
      <c r="E2742" t="n">
        <v>3</v>
      </c>
      <c r="F2742" t="n">
        <v>3</v>
      </c>
      <c r="G2742" t="n">
        <v>3</v>
      </c>
      <c r="J2742" t="inlineStr">
        <is>
          <t>Moda</t>
        </is>
      </c>
      <c r="K2742" t="n">
        <v>3</v>
      </c>
      <c r="L2742" t="n">
        <v>3</v>
      </c>
      <c r="M2742" t="n">
        <v>0</v>
      </c>
      <c r="N2742" t="inlineStr">
        <is>
          <t>train</t>
        </is>
      </c>
      <c r="O2742">
        <f>HYPERLINK("3\0\marker_982_377963.png", "Ver Imagen")</f>
        <v/>
      </c>
      <c r="P2742">
        <f>HYPERLINK("SE\A-497\A-497__320.png", "Ver Imagen")</f>
        <v/>
      </c>
    </row>
    <row r="2743">
      <c r="A2743" t="n">
        <v>2225</v>
      </c>
      <c r="B2743" t="inlineStr">
        <is>
          <t>A-497__318</t>
        </is>
      </c>
      <c r="C2743" t="n">
        <v>37.2468035705</v>
      </c>
      <c r="D2743" t="n">
        <v>-7.01823318612</v>
      </c>
      <c r="E2743" t="n">
        <v>3</v>
      </c>
      <c r="F2743" t="n">
        <v>3</v>
      </c>
      <c r="G2743" t="n">
        <v>3</v>
      </c>
      <c r="J2743" t="inlineStr">
        <is>
          <t>Moda</t>
        </is>
      </c>
      <c r="K2743" t="n">
        <v>3</v>
      </c>
      <c r="L2743" t="n">
        <v>2.684</v>
      </c>
      <c r="M2743" t="n">
        <v>0</v>
      </c>
      <c r="N2743" t="inlineStr">
        <is>
          <t>train</t>
        </is>
      </c>
      <c r="O2743">
        <f>HYPERLINK("3\0\marker_874_377988.png", "Ver Imagen")</f>
        <v/>
      </c>
      <c r="P2743">
        <f>HYPERLINK("SE\A-497\A-497__318.png", "Ver Imagen")</f>
        <v/>
      </c>
    </row>
    <row r="2744">
      <c r="A2744" t="n">
        <v>2226</v>
      </c>
      <c r="B2744" t="inlineStr">
        <is>
          <t>A-497__316</t>
        </is>
      </c>
      <c r="C2744" t="n">
        <v>37.2471950929</v>
      </c>
      <c r="D2744" t="n">
        <v>-7.01821862608</v>
      </c>
      <c r="E2744" t="n">
        <v>3</v>
      </c>
      <c r="F2744" t="n">
        <v>3</v>
      </c>
      <c r="G2744" t="n">
        <v>3</v>
      </c>
      <c r="J2744" t="inlineStr">
        <is>
          <t>Moda</t>
        </is>
      </c>
      <c r="K2744" t="n">
        <v>3</v>
      </c>
      <c r="L2744" t="n">
        <v>3.314</v>
      </c>
      <c r="M2744" t="n">
        <v>0</v>
      </c>
      <c r="N2744" t="inlineStr">
        <is>
          <t>train</t>
        </is>
      </c>
      <c r="O2744">
        <f>HYPERLINK("3\0\marker_251_378006.png", "Ver Imagen")</f>
        <v/>
      </c>
      <c r="P2744">
        <f>HYPERLINK("SE\A-497\A-497__316.png", "Ver Imagen")</f>
        <v/>
      </c>
    </row>
    <row r="2745">
      <c r="A2745" t="n">
        <v>2227</v>
      </c>
      <c r="B2745" t="inlineStr">
        <is>
          <t>A-497__308</t>
        </is>
      </c>
      <c r="C2745" t="n">
        <v>37.2488444321</v>
      </c>
      <c r="D2745" t="n">
        <v>-7.01812761363</v>
      </c>
      <c r="E2745" t="n">
        <v>3</v>
      </c>
      <c r="F2745" t="n">
        <v>3</v>
      </c>
      <c r="G2745" t="n">
        <v>3</v>
      </c>
      <c r="J2745" t="inlineStr">
        <is>
          <t>Moda</t>
        </is>
      </c>
      <c r="K2745" t="n">
        <v>3</v>
      </c>
      <c r="L2745" t="n">
        <v>2.87</v>
      </c>
      <c r="M2745" t="n">
        <v>0</v>
      </c>
      <c r="N2745" t="inlineStr">
        <is>
          <t>train</t>
        </is>
      </c>
      <c r="O2745">
        <f>HYPERLINK("3\0\marker_451_378120.png", "Ver Imagen")</f>
        <v/>
      </c>
      <c r="P2745">
        <f>HYPERLINK("SE\A-497\A-497__308.png", "Ver Imagen")</f>
        <v/>
      </c>
    </row>
    <row r="2746">
      <c r="A2746" t="n">
        <v>2228</v>
      </c>
      <c r="B2746" t="inlineStr">
        <is>
          <t>A-497__305</t>
        </is>
      </c>
      <c r="C2746" t="n">
        <v>37.2494289779</v>
      </c>
      <c r="D2746" t="n">
        <v>-7.01802110482</v>
      </c>
      <c r="E2746" t="n">
        <v>3</v>
      </c>
      <c r="F2746" t="n">
        <v>3</v>
      </c>
      <c r="G2746" t="n">
        <v>3</v>
      </c>
      <c r="J2746" t="inlineStr">
        <is>
          <t>Moda</t>
        </is>
      </c>
      <c r="K2746" t="n">
        <v>3</v>
      </c>
      <c r="L2746" t="n">
        <v>3.169</v>
      </c>
      <c r="M2746" t="n">
        <v>0</v>
      </c>
      <c r="N2746" t="inlineStr">
        <is>
          <t>val</t>
        </is>
      </c>
      <c r="O2746">
        <f>HYPERLINK("3\0\marker_425_378148.png", "Ver Imagen")</f>
        <v/>
      </c>
      <c r="P2746">
        <f>HYPERLINK("SE\A-497\A-497__305.png", "Ver Imagen")</f>
        <v/>
      </c>
    </row>
    <row r="2747">
      <c r="A2747" t="n">
        <v>2229</v>
      </c>
      <c r="B2747" t="inlineStr">
        <is>
          <t>A-497__294</t>
        </is>
      </c>
      <c r="C2747" t="n">
        <v>37.2514638831</v>
      </c>
      <c r="D2747" t="n">
        <v>-7.01694297164</v>
      </c>
      <c r="E2747" t="n">
        <v>3</v>
      </c>
      <c r="F2747" t="n">
        <v>3</v>
      </c>
      <c r="G2747" t="n">
        <v>3</v>
      </c>
      <c r="J2747" t="inlineStr">
        <is>
          <t>Moda</t>
        </is>
      </c>
      <c r="K2747" t="n">
        <v>3</v>
      </c>
      <c r="L2747" t="n">
        <v>2.878</v>
      </c>
      <c r="M2747" t="n">
        <v>0</v>
      </c>
      <c r="N2747" t="inlineStr">
        <is>
          <t>train</t>
        </is>
      </c>
      <c r="O2747">
        <f>HYPERLINK("3\0\marker_888_378301.png", "Ver Imagen")</f>
        <v/>
      </c>
      <c r="P2747">
        <f>HYPERLINK("SE\A-497\A-497__294.png", "Ver Imagen")</f>
        <v/>
      </c>
    </row>
    <row r="2748">
      <c r="A2748" t="n">
        <v>2230</v>
      </c>
      <c r="B2748" t="inlineStr">
        <is>
          <t>A-497__278</t>
        </is>
      </c>
      <c r="C2748" t="n">
        <v>37.2543921461</v>
      </c>
      <c r="D2748" t="n">
        <v>-7.01508019661</v>
      </c>
      <c r="E2748" t="n">
        <v>3</v>
      </c>
      <c r="F2748" t="n">
        <v>3</v>
      </c>
      <c r="G2748" t="n">
        <v>3</v>
      </c>
      <c r="J2748" t="inlineStr">
        <is>
          <t>Moda</t>
        </is>
      </c>
      <c r="K2748" t="n">
        <v>3</v>
      </c>
      <c r="L2748" t="n">
        <v>2.775</v>
      </c>
      <c r="M2748" t="n">
        <v>0</v>
      </c>
      <c r="N2748" t="inlineStr">
        <is>
          <t>train</t>
        </is>
      </c>
      <c r="O2748">
        <f>HYPERLINK("3\0\marker_187_378496.png", "Ver Imagen")</f>
        <v/>
      </c>
      <c r="P2748">
        <f>HYPERLINK("SE\A-497\A-497__278.png", "Ver Imagen")</f>
        <v/>
      </c>
    </row>
    <row r="2749">
      <c r="A2749" t="n">
        <v>2231</v>
      </c>
      <c r="B2749" t="inlineStr">
        <is>
          <t>A-497__269</t>
        </is>
      </c>
      <c r="C2749" t="n">
        <v>37.2560169963</v>
      </c>
      <c r="D2749" t="n">
        <v>-7.01404925881</v>
      </c>
      <c r="E2749" t="n">
        <v>3</v>
      </c>
      <c r="F2749" t="n">
        <v>3</v>
      </c>
      <c r="G2749" t="n">
        <v>3</v>
      </c>
      <c r="J2749" t="inlineStr">
        <is>
          <t>Moda</t>
        </is>
      </c>
      <c r="K2749" t="n">
        <v>3</v>
      </c>
      <c r="L2749" t="n">
        <v>2.632</v>
      </c>
      <c r="M2749" t="n">
        <v>0</v>
      </c>
      <c r="N2749" t="inlineStr">
        <is>
          <t>train</t>
        </is>
      </c>
      <c r="O2749">
        <f>HYPERLINK("3\0\marker_422_378593.png", "Ver Imagen")</f>
        <v/>
      </c>
      <c r="P2749">
        <f>HYPERLINK("SE\A-497\A-497__269.png", "Ver Imagen")</f>
        <v/>
      </c>
    </row>
    <row r="2750">
      <c r="A2750" t="n">
        <v>2232</v>
      </c>
      <c r="B2750" t="inlineStr">
        <is>
          <t>A-497__268</t>
        </is>
      </c>
      <c r="C2750" t="n">
        <v>37.256161617</v>
      </c>
      <c r="D2750" t="n">
        <v>-7.01395629753</v>
      </c>
      <c r="E2750" t="n">
        <v>3</v>
      </c>
      <c r="F2750" t="n">
        <v>3</v>
      </c>
      <c r="G2750" t="n">
        <v>3</v>
      </c>
      <c r="J2750" t="inlineStr">
        <is>
          <t>Moda</t>
        </is>
      </c>
      <c r="K2750" t="n">
        <v>3</v>
      </c>
      <c r="L2750" t="n">
        <v>2.936</v>
      </c>
      <c r="M2750" t="n">
        <v>0</v>
      </c>
      <c r="N2750" t="inlineStr">
        <is>
          <t>train</t>
        </is>
      </c>
      <c r="O2750">
        <f>HYPERLINK("3\0\marker_646_378601.png", "Ver Imagen")</f>
        <v/>
      </c>
      <c r="P2750">
        <f>HYPERLINK("SE\A-497\A-497__268.png", "Ver Imagen")</f>
        <v/>
      </c>
    </row>
    <row r="2751">
      <c r="A2751" t="n">
        <v>2233</v>
      </c>
      <c r="B2751" t="inlineStr">
        <is>
          <t>A-497__263</t>
        </is>
      </c>
      <c r="C2751" t="n">
        <v>37.2570545326</v>
      </c>
      <c r="D2751" t="n">
        <v>-7.0133849848</v>
      </c>
      <c r="E2751" t="n">
        <v>3</v>
      </c>
      <c r="F2751" t="n">
        <v>3</v>
      </c>
      <c r="G2751" t="n">
        <v>3</v>
      </c>
      <c r="J2751" t="inlineStr">
        <is>
          <t>Moda</t>
        </is>
      </c>
      <c r="K2751" t="n">
        <v>3</v>
      </c>
      <c r="L2751" t="n">
        <v>3.008</v>
      </c>
      <c r="M2751" t="n">
        <v>0</v>
      </c>
      <c r="N2751" t="inlineStr">
        <is>
          <t>train</t>
        </is>
      </c>
      <c r="O2751">
        <f>HYPERLINK("3\0\marker_445_378649.png", "Ver Imagen")</f>
        <v/>
      </c>
      <c r="P2751">
        <f>HYPERLINK("SE\A-497\A-497__263.png", "Ver Imagen")</f>
        <v/>
      </c>
    </row>
    <row r="2752">
      <c r="A2752" t="n">
        <v>2234</v>
      </c>
      <c r="B2752" t="inlineStr">
        <is>
          <t>A-497__245</t>
        </is>
      </c>
      <c r="C2752" t="n">
        <v>37.2603056048</v>
      </c>
      <c r="D2752" t="n">
        <v>-7.0113135765</v>
      </c>
      <c r="E2752" t="n">
        <v>3</v>
      </c>
      <c r="F2752" t="n">
        <v>3</v>
      </c>
      <c r="G2752" t="n">
        <v>3</v>
      </c>
      <c r="J2752" t="inlineStr">
        <is>
          <t>Moda</t>
        </is>
      </c>
      <c r="K2752" t="n">
        <v>3</v>
      </c>
      <c r="L2752" t="n">
        <v>3.074</v>
      </c>
      <c r="M2752" t="n">
        <v>0</v>
      </c>
      <c r="N2752" t="inlineStr">
        <is>
          <t>train</t>
        </is>
      </c>
      <c r="O2752">
        <f>HYPERLINK("3\0\marker_835_378834.png", "Ver Imagen")</f>
        <v/>
      </c>
      <c r="P2752">
        <f>HYPERLINK("SE\A-497\A-497__245.png", "Ver Imagen")</f>
        <v/>
      </c>
    </row>
    <row r="2753">
      <c r="A2753" t="n">
        <v>2235</v>
      </c>
      <c r="B2753" t="inlineStr">
        <is>
          <t>A-497__244</t>
        </is>
      </c>
      <c r="C2753" t="n">
        <v>37.2604760039</v>
      </c>
      <c r="D2753" t="n">
        <v>-7.01120553572</v>
      </c>
      <c r="E2753" t="n">
        <v>3</v>
      </c>
      <c r="F2753" t="n">
        <v>3</v>
      </c>
      <c r="G2753" t="n">
        <v>3</v>
      </c>
      <c r="J2753" t="inlineStr">
        <is>
          <t>Moda</t>
        </is>
      </c>
      <c r="K2753" t="n">
        <v>3</v>
      </c>
      <c r="L2753" t="n">
        <v>3.019</v>
      </c>
      <c r="M2753" t="n">
        <v>0</v>
      </c>
      <c r="N2753" t="inlineStr">
        <is>
          <t>train</t>
        </is>
      </c>
      <c r="O2753">
        <f>HYPERLINK("3\0\marker_423_378844.png", "Ver Imagen")</f>
        <v/>
      </c>
      <c r="P2753">
        <f>HYPERLINK("SE\A-497\A-497__244.png", "Ver Imagen")</f>
        <v/>
      </c>
    </row>
    <row r="2754">
      <c r="A2754" t="n">
        <v>2236</v>
      </c>
      <c r="B2754" t="inlineStr">
        <is>
          <t>A-497__242</t>
        </is>
      </c>
      <c r="C2754" t="n">
        <v>37.2608661335</v>
      </c>
      <c r="D2754" t="n">
        <v>-7.01095592328</v>
      </c>
      <c r="E2754" t="n">
        <v>3</v>
      </c>
      <c r="F2754" t="n">
        <v>3</v>
      </c>
      <c r="G2754" t="n">
        <v>3</v>
      </c>
      <c r="J2754" t="inlineStr">
        <is>
          <t>Moda</t>
        </is>
      </c>
      <c r="K2754" t="n">
        <v>3</v>
      </c>
      <c r="L2754" t="n">
        <v>2.854</v>
      </c>
      <c r="M2754" t="n">
        <v>0</v>
      </c>
      <c r="N2754" t="inlineStr">
        <is>
          <t>train</t>
        </is>
      </c>
      <c r="O2754">
        <f>HYPERLINK("3\0\marker_192_378861.png", "Ver Imagen")</f>
        <v/>
      </c>
      <c r="P2754">
        <f>HYPERLINK("SE\A-497\A-497__242.png", "Ver Imagen")</f>
        <v/>
      </c>
    </row>
    <row r="2755">
      <c r="A2755" t="n">
        <v>2237</v>
      </c>
      <c r="B2755" t="inlineStr">
        <is>
          <t>A-497__241</t>
        </is>
      </c>
      <c r="C2755" t="n">
        <v>37.2610338659</v>
      </c>
      <c r="D2755" t="n">
        <v>-7.01084580568</v>
      </c>
      <c r="E2755" t="n">
        <v>3</v>
      </c>
      <c r="F2755" t="n">
        <v>3</v>
      </c>
      <c r="G2755" t="n">
        <v>3</v>
      </c>
      <c r="J2755" t="inlineStr">
        <is>
          <t>Moda</t>
        </is>
      </c>
      <c r="K2755" t="n">
        <v>3</v>
      </c>
      <c r="L2755" t="n">
        <v>3.08</v>
      </c>
      <c r="M2755" t="n">
        <v>0</v>
      </c>
      <c r="N2755" t="inlineStr">
        <is>
          <t>train</t>
        </is>
      </c>
      <c r="O2755">
        <f>HYPERLINK("3\0\marker_259_378871.png", "Ver Imagen")</f>
        <v/>
      </c>
      <c r="P2755">
        <f>HYPERLINK("SE\A-497\A-497__241.png", "Ver Imagen")</f>
        <v/>
      </c>
    </row>
    <row r="2756">
      <c r="A2756" t="n">
        <v>2239</v>
      </c>
      <c r="B2756" t="inlineStr">
        <is>
          <t>A-497__233</t>
        </is>
      </c>
      <c r="C2756" t="n">
        <v>37.2623017167</v>
      </c>
      <c r="D2756" t="n">
        <v>-7.00967085307</v>
      </c>
      <c r="E2756" t="n">
        <v>3</v>
      </c>
      <c r="F2756" t="n">
        <v>3</v>
      </c>
      <c r="G2756" t="n">
        <v>3</v>
      </c>
      <c r="J2756" t="inlineStr">
        <is>
          <t>Moda</t>
        </is>
      </c>
      <c r="K2756" t="n">
        <v>3</v>
      </c>
      <c r="L2756" t="n">
        <v>3.006</v>
      </c>
      <c r="M2756" t="n">
        <v>0</v>
      </c>
      <c r="N2756" t="inlineStr">
        <is>
          <t>train</t>
        </is>
      </c>
      <c r="O2756">
        <f>HYPERLINK("3\0\marker_504_379002.png", "Ver Imagen")</f>
        <v/>
      </c>
      <c r="P2756">
        <f>HYPERLINK("SE\A-497\A-497__233.png", "Ver Imagen")</f>
        <v/>
      </c>
    </row>
    <row r="2757">
      <c r="A2757" t="n">
        <v>2241</v>
      </c>
      <c r="B2757" t="inlineStr">
        <is>
          <t>A-497__225</t>
        </is>
      </c>
      <c r="C2757" t="n">
        <v>37.2631963544</v>
      </c>
      <c r="D2757" t="n">
        <v>-7.00796173095</v>
      </c>
      <c r="E2757" t="n">
        <v>3</v>
      </c>
      <c r="F2757" t="n">
        <v>3</v>
      </c>
      <c r="G2757" t="n">
        <v>3</v>
      </c>
      <c r="J2757" t="inlineStr">
        <is>
          <t>Moda</t>
        </is>
      </c>
      <c r="K2757" t="n">
        <v>3</v>
      </c>
      <c r="L2757" t="n">
        <v>3.034</v>
      </c>
      <c r="M2757" t="n">
        <v>0</v>
      </c>
      <c r="N2757" t="inlineStr">
        <is>
          <t>train</t>
        </is>
      </c>
      <c r="O2757">
        <f>HYPERLINK("3\0\marker_806_379089.png", "Ver Imagen")</f>
        <v/>
      </c>
      <c r="P2757">
        <f>HYPERLINK("SE\A-497\A-497__225.png", "Ver Imagen")</f>
        <v/>
      </c>
    </row>
    <row r="2758">
      <c r="A2758" t="n">
        <v>2242</v>
      </c>
      <c r="B2758" t="inlineStr">
        <is>
          <t>A-497__224</t>
        </is>
      </c>
      <c r="C2758" t="n">
        <v>37.2632681721</v>
      </c>
      <c r="D2758" t="n">
        <v>-7.00773046043</v>
      </c>
      <c r="E2758" t="n">
        <v>3</v>
      </c>
      <c r="F2758" t="n">
        <v>3</v>
      </c>
      <c r="G2758" t="n">
        <v>3</v>
      </c>
      <c r="J2758" t="inlineStr">
        <is>
          <t>Moda</t>
        </is>
      </c>
      <c r="K2758" t="n">
        <v>3</v>
      </c>
      <c r="L2758" t="n">
        <v>2.883</v>
      </c>
      <c r="M2758" t="n">
        <v>0</v>
      </c>
      <c r="N2758" t="inlineStr">
        <is>
          <t>train</t>
        </is>
      </c>
      <c r="O2758">
        <f>HYPERLINK("3\0\marker_459_379102.png", "Ver Imagen")</f>
        <v/>
      </c>
      <c r="P2758">
        <f>HYPERLINK("SE\A-497\A-497__224.png", "Ver Imagen")</f>
        <v/>
      </c>
    </row>
    <row r="2759">
      <c r="A2759" t="n">
        <v>2243</v>
      </c>
      <c r="B2759" t="inlineStr">
        <is>
          <t>A-497__218</t>
        </is>
      </c>
      <c r="C2759" t="n">
        <v>37.2635693985</v>
      </c>
      <c r="D2759" t="n">
        <v>-7.00628860723</v>
      </c>
      <c r="E2759" t="n">
        <v>3</v>
      </c>
      <c r="F2759" t="n">
        <v>3</v>
      </c>
      <c r="G2759" t="n">
        <v>3</v>
      </c>
      <c r="J2759" t="inlineStr">
        <is>
          <t>Moda</t>
        </is>
      </c>
      <c r="K2759" t="n">
        <v>3</v>
      </c>
      <c r="L2759" t="n">
        <v>2.804</v>
      </c>
      <c r="M2759" t="n">
        <v>0</v>
      </c>
      <c r="N2759" t="inlineStr">
        <is>
          <t>train</t>
        </is>
      </c>
      <c r="O2759">
        <f>HYPERLINK("3\0\marker_916_379165.png", "Ver Imagen")</f>
        <v/>
      </c>
      <c r="P2759">
        <f>HYPERLINK("SE\A-497\A-497__218.png", "Ver Imagen")</f>
        <v/>
      </c>
    </row>
    <row r="2760">
      <c r="A2760" t="n">
        <v>2244</v>
      </c>
      <c r="B2760" t="inlineStr">
        <is>
          <t>A-497__217</t>
        </is>
      </c>
      <c r="C2760" t="n">
        <v>37.2636238515</v>
      </c>
      <c r="D2760" t="n">
        <v>-7.00598046583</v>
      </c>
      <c r="E2760" t="n">
        <v>3</v>
      </c>
      <c r="F2760" t="n">
        <v>3</v>
      </c>
      <c r="G2760" t="n">
        <v>3</v>
      </c>
      <c r="J2760" t="inlineStr">
        <is>
          <t>Moda</t>
        </is>
      </c>
      <c r="K2760" t="n">
        <v>3</v>
      </c>
      <c r="L2760" t="n">
        <v>2.698</v>
      </c>
      <c r="M2760" t="n">
        <v>0</v>
      </c>
      <c r="N2760" t="inlineStr">
        <is>
          <t>train</t>
        </is>
      </c>
      <c r="O2760">
        <f>HYPERLINK("3\0\marker_660_379183.png", "Ver Imagen")</f>
        <v/>
      </c>
      <c r="P2760">
        <f>HYPERLINK("SE\A-497\A-497__217.png", "Ver Imagen")</f>
        <v/>
      </c>
    </row>
    <row r="2761">
      <c r="A2761" t="n">
        <v>2245</v>
      </c>
      <c r="B2761" t="inlineStr">
        <is>
          <t>A-497__210</t>
        </is>
      </c>
      <c r="C2761" t="n">
        <v>37.2639258348</v>
      </c>
      <c r="D2761" t="n">
        <v>-7.00428745963</v>
      </c>
      <c r="E2761" t="n">
        <v>3</v>
      </c>
      <c r="F2761" t="n">
        <v>3</v>
      </c>
      <c r="G2761" t="n">
        <v>3</v>
      </c>
      <c r="J2761" t="inlineStr">
        <is>
          <t>Moda</t>
        </is>
      </c>
      <c r="K2761" t="n">
        <v>3</v>
      </c>
      <c r="L2761" t="n">
        <v>2.827</v>
      </c>
      <c r="M2761" t="n">
        <v>0</v>
      </c>
      <c r="N2761" t="inlineStr">
        <is>
          <t>train</t>
        </is>
      </c>
      <c r="O2761">
        <f>HYPERLINK("3\0\marker_618_379259.png", "Ver Imagen")</f>
        <v/>
      </c>
      <c r="P2761">
        <f>HYPERLINK("SE\A-497\A-497__210.png", "Ver Imagen")</f>
        <v/>
      </c>
    </row>
    <row r="2762">
      <c r="A2762" t="n">
        <v>2246</v>
      </c>
      <c r="B2762" t="inlineStr">
        <is>
          <t>A-497__209</t>
        </is>
      </c>
      <c r="C2762" t="n">
        <v>37.2639652886</v>
      </c>
      <c r="D2762" t="n">
        <v>-7.00406151432</v>
      </c>
      <c r="E2762" t="n">
        <v>3</v>
      </c>
      <c r="F2762" t="n">
        <v>3</v>
      </c>
      <c r="G2762" t="n">
        <v>3</v>
      </c>
      <c r="J2762" t="inlineStr">
        <is>
          <t>Moda</t>
        </is>
      </c>
      <c r="K2762" t="n">
        <v>3</v>
      </c>
      <c r="L2762" t="n">
        <v>3.076</v>
      </c>
      <c r="M2762" t="n">
        <v>0</v>
      </c>
      <c r="N2762" t="inlineStr">
        <is>
          <t>train</t>
        </is>
      </c>
      <c r="O2762">
        <f>HYPERLINK("3\0\marker_957_379268.png", "Ver Imagen")</f>
        <v/>
      </c>
      <c r="P2762">
        <f>HYPERLINK("SE\A-497\A-497__209.png", "Ver Imagen")</f>
        <v/>
      </c>
    </row>
    <row r="2763">
      <c r="A2763" t="n">
        <v>2247</v>
      </c>
      <c r="B2763" t="inlineStr">
        <is>
          <t>A-497__202</t>
        </is>
      </c>
      <c r="C2763" t="n">
        <v>37.2642747482</v>
      </c>
      <c r="D2763" t="n">
        <v>-7.00230504074</v>
      </c>
      <c r="E2763" t="n">
        <v>3</v>
      </c>
      <c r="F2763" t="n">
        <v>3</v>
      </c>
      <c r="G2763" t="n">
        <v>3</v>
      </c>
      <c r="J2763" t="inlineStr">
        <is>
          <t>Moda</t>
        </is>
      </c>
      <c r="K2763" t="n">
        <v>3</v>
      </c>
      <c r="L2763" t="n">
        <v>2.867</v>
      </c>
      <c r="M2763" t="n">
        <v>0</v>
      </c>
      <c r="N2763" t="inlineStr">
        <is>
          <t>train</t>
        </is>
      </c>
      <c r="O2763">
        <f>HYPERLINK("3\0\marker_846_379392.png", "Ver Imagen")</f>
        <v/>
      </c>
      <c r="P2763">
        <f>HYPERLINK("SE\A-497\A-497__202.png", "Ver Imagen")</f>
        <v/>
      </c>
    </row>
    <row r="2764">
      <c r="A2764" t="n">
        <v>2248</v>
      </c>
      <c r="B2764" t="inlineStr">
        <is>
          <t>A-497__201</t>
        </is>
      </c>
      <c r="C2764" t="n">
        <v>37.2643161946</v>
      </c>
      <c r="D2764" t="n">
        <v>-7.00207402187</v>
      </c>
      <c r="E2764" t="n">
        <v>3</v>
      </c>
      <c r="F2764" t="n">
        <v>3</v>
      </c>
      <c r="G2764" t="n">
        <v>3</v>
      </c>
      <c r="J2764" t="inlineStr">
        <is>
          <t>Moda</t>
        </is>
      </c>
      <c r="K2764" t="n">
        <v>3</v>
      </c>
      <c r="L2764" t="n">
        <v>2.86</v>
      </c>
      <c r="M2764" t="n">
        <v>0</v>
      </c>
      <c r="N2764" t="inlineStr">
        <is>
          <t>train</t>
        </is>
      </c>
      <c r="O2764">
        <f>HYPERLINK("3\0\marker_629_379401.png", "Ver Imagen")</f>
        <v/>
      </c>
      <c r="P2764">
        <f>HYPERLINK("SE\A-497\A-497__201.png", "Ver Imagen")</f>
        <v/>
      </c>
    </row>
    <row r="2765">
      <c r="A2765" t="n">
        <v>2249</v>
      </c>
      <c r="B2765" t="inlineStr">
        <is>
          <t>A-497__200</t>
        </is>
      </c>
      <c r="C2765" t="n">
        <v>37.2643603125</v>
      </c>
      <c r="D2765" t="n">
        <v>-7.00182877621</v>
      </c>
      <c r="E2765" t="n">
        <v>3</v>
      </c>
      <c r="F2765" t="n">
        <v>3</v>
      </c>
      <c r="G2765" t="n">
        <v>3</v>
      </c>
      <c r="J2765" t="inlineStr">
        <is>
          <t>Moda</t>
        </is>
      </c>
      <c r="K2765" t="n">
        <v>3</v>
      </c>
      <c r="L2765" t="n">
        <v>2.913</v>
      </c>
      <c r="M2765" t="n">
        <v>0</v>
      </c>
      <c r="N2765" t="inlineStr">
        <is>
          <t>train</t>
        </is>
      </c>
      <c r="O2765">
        <f>HYPERLINK("3\0\marker_623_379410.png", "Ver Imagen")</f>
        <v/>
      </c>
      <c r="P2765">
        <f>HYPERLINK("SE\A-497\A-497__200.png", "Ver Imagen")</f>
        <v/>
      </c>
    </row>
    <row r="2766">
      <c r="A2766" t="n">
        <v>2250</v>
      </c>
      <c r="B2766" t="inlineStr">
        <is>
          <t>A-497__199</t>
        </is>
      </c>
      <c r="C2766" t="n">
        <v>37.2644016621</v>
      </c>
      <c r="D2766" t="n">
        <v>-7.00159806839</v>
      </c>
      <c r="E2766" t="n">
        <v>3</v>
      </c>
      <c r="F2766" t="n">
        <v>3</v>
      </c>
      <c r="G2766" t="n">
        <v>3</v>
      </c>
      <c r="J2766" t="inlineStr">
        <is>
          <t>Moda</t>
        </is>
      </c>
      <c r="K2766" t="n">
        <v>3</v>
      </c>
      <c r="L2766" t="n">
        <v>2.924</v>
      </c>
      <c r="M2766" t="n">
        <v>0</v>
      </c>
      <c r="N2766" t="inlineStr">
        <is>
          <t>val</t>
        </is>
      </c>
      <c r="O2766">
        <f>HYPERLINK("3\0\marker_323_379419.png", "Ver Imagen")</f>
        <v/>
      </c>
      <c r="P2766">
        <f>HYPERLINK("SE\A-497\A-497__199.png", "Ver Imagen")</f>
        <v/>
      </c>
    </row>
    <row r="2767">
      <c r="A2767" t="n">
        <v>2251</v>
      </c>
      <c r="B2767" t="inlineStr">
        <is>
          <t>A-497__194</t>
        </is>
      </c>
      <c r="C2767" t="n">
        <v>37.264623636</v>
      </c>
      <c r="D2767" t="n">
        <v>-7.0003678151</v>
      </c>
      <c r="E2767" t="n">
        <v>3</v>
      </c>
      <c r="F2767" t="n">
        <v>3</v>
      </c>
      <c r="G2767" t="n">
        <v>3</v>
      </c>
      <c r="J2767" t="inlineStr">
        <is>
          <t>Moda</t>
        </is>
      </c>
      <c r="K2767" t="n">
        <v>3</v>
      </c>
      <c r="L2767" t="n">
        <v>3.026</v>
      </c>
      <c r="M2767" t="n">
        <v>0</v>
      </c>
      <c r="N2767" t="inlineStr">
        <is>
          <t>train</t>
        </is>
      </c>
      <c r="O2767">
        <f>HYPERLINK("3\0\marker_957_379470.png", "Ver Imagen")</f>
        <v/>
      </c>
      <c r="P2767">
        <f>HYPERLINK("SE\A-497\A-497__194.png", "Ver Imagen")</f>
        <v/>
      </c>
    </row>
    <row r="2768">
      <c r="A2768" t="n">
        <v>2252</v>
      </c>
      <c r="B2768" t="inlineStr">
        <is>
          <t>A-497__191</t>
        </is>
      </c>
      <c r="C2768" t="n">
        <v>37.2647608845</v>
      </c>
      <c r="D2768" t="n">
        <v>-6.99959840409</v>
      </c>
      <c r="E2768" t="n">
        <v>3</v>
      </c>
      <c r="F2768" t="n">
        <v>3</v>
      </c>
      <c r="G2768" t="n">
        <v>3</v>
      </c>
      <c r="J2768" t="inlineStr">
        <is>
          <t>Moda</t>
        </is>
      </c>
      <c r="K2768" t="n">
        <v>3</v>
      </c>
      <c r="L2768" t="n">
        <v>3.109</v>
      </c>
      <c r="M2768" t="n">
        <v>0</v>
      </c>
      <c r="N2768" t="inlineStr">
        <is>
          <t>test</t>
        </is>
      </c>
      <c r="O2768">
        <f>HYPERLINK("3\0\marker_412_379501.png", "Ver Imagen")</f>
        <v/>
      </c>
      <c r="P2768">
        <f>HYPERLINK("SE\A-497\A-497__191.png", "Ver Imagen")</f>
        <v/>
      </c>
    </row>
    <row r="2769">
      <c r="A2769" t="n">
        <v>2253</v>
      </c>
      <c r="B2769" t="inlineStr">
        <is>
          <t>A-497__190</t>
        </is>
      </c>
      <c r="C2769" t="n">
        <v>37.2648136586</v>
      </c>
      <c r="D2769" t="n">
        <v>-6.99929539101</v>
      </c>
      <c r="E2769" t="n">
        <v>3</v>
      </c>
      <c r="F2769" t="n">
        <v>3</v>
      </c>
      <c r="G2769" t="n">
        <v>3</v>
      </c>
      <c r="J2769" t="inlineStr">
        <is>
          <t>Moda</t>
        </is>
      </c>
      <c r="K2769" t="n">
        <v>3</v>
      </c>
      <c r="L2769" t="n">
        <v>2.899</v>
      </c>
      <c r="M2769" t="n">
        <v>0</v>
      </c>
      <c r="N2769" t="inlineStr">
        <is>
          <t>train</t>
        </is>
      </c>
      <c r="O2769">
        <f>HYPERLINK("3\0\marker_913_379511.png", "Ver Imagen")</f>
        <v/>
      </c>
      <c r="P2769">
        <f>HYPERLINK("SE\A-497\A-497__190.png", "Ver Imagen")</f>
        <v/>
      </c>
    </row>
    <row r="2770">
      <c r="A2770" t="n">
        <v>2254</v>
      </c>
      <c r="B2770" t="inlineStr">
        <is>
          <t>A-497__189</t>
        </is>
      </c>
      <c r="C2770" t="n">
        <v>37.2648486601</v>
      </c>
      <c r="D2770" t="n">
        <v>-6.99909421334</v>
      </c>
      <c r="E2770" t="n">
        <v>3</v>
      </c>
      <c r="F2770" t="n">
        <v>3</v>
      </c>
      <c r="G2770" t="n">
        <v>3</v>
      </c>
      <c r="J2770" t="inlineStr">
        <is>
          <t>Moda</t>
        </is>
      </c>
      <c r="K2770" t="n">
        <v>3</v>
      </c>
      <c r="L2770" t="n">
        <v>3.059</v>
      </c>
      <c r="M2770" t="n">
        <v>0</v>
      </c>
      <c r="N2770" t="inlineStr">
        <is>
          <t>train</t>
        </is>
      </c>
      <c r="O2770">
        <f>HYPERLINK("3\0\marker_917_379530.png", "Ver Imagen")</f>
        <v/>
      </c>
      <c r="P2770">
        <f>HYPERLINK("SE\A-497\A-497__189.png", "Ver Imagen")</f>
        <v/>
      </c>
    </row>
    <row r="2771">
      <c r="A2771" t="n">
        <v>2256</v>
      </c>
      <c r="B2771" t="inlineStr">
        <is>
          <t>A-497__173</t>
        </is>
      </c>
      <c r="C2771" t="n">
        <v>37.2655448092</v>
      </c>
      <c r="D2771" t="n">
        <v>-6.9951668424</v>
      </c>
      <c r="E2771" t="n">
        <v>3</v>
      </c>
      <c r="F2771" t="n">
        <v>3</v>
      </c>
      <c r="G2771" t="n">
        <v>3</v>
      </c>
      <c r="J2771" t="inlineStr">
        <is>
          <t>Moda</t>
        </is>
      </c>
      <c r="K2771" t="n">
        <v>3</v>
      </c>
      <c r="L2771" t="n">
        <v>3.056</v>
      </c>
      <c r="M2771" t="n">
        <v>0</v>
      </c>
      <c r="N2771" t="inlineStr">
        <is>
          <t>train</t>
        </is>
      </c>
      <c r="O2771">
        <f>HYPERLINK("3\0\marker_849_379724.png", "Ver Imagen")</f>
        <v/>
      </c>
      <c r="P2771">
        <f>HYPERLINK("SE\A-497\A-497__173.png", "Ver Imagen")</f>
        <v/>
      </c>
    </row>
    <row r="2772">
      <c r="A2772" t="n">
        <v>2257</v>
      </c>
      <c r="B2772" t="inlineStr">
        <is>
          <t>A-497__172</t>
        </is>
      </c>
      <c r="C2772" t="n">
        <v>37.2655839279</v>
      </c>
      <c r="D2772" t="n">
        <v>-6.99494598196</v>
      </c>
      <c r="E2772" t="n">
        <v>3</v>
      </c>
      <c r="F2772" t="n">
        <v>3</v>
      </c>
      <c r="G2772" t="n">
        <v>3</v>
      </c>
      <c r="J2772" t="inlineStr">
        <is>
          <t>Moda</t>
        </is>
      </c>
      <c r="K2772" t="n">
        <v>3</v>
      </c>
      <c r="L2772" t="n">
        <v>3.044</v>
      </c>
      <c r="M2772" t="n">
        <v>0</v>
      </c>
      <c r="N2772" t="inlineStr">
        <is>
          <t>train</t>
        </is>
      </c>
      <c r="O2772">
        <f>HYPERLINK("3\0\marker_875_379736.png", "Ver Imagen")</f>
        <v/>
      </c>
      <c r="P2772">
        <f>HYPERLINK("SE\A-497\A-497__172.png", "Ver Imagen")</f>
        <v/>
      </c>
    </row>
    <row r="2773">
      <c r="A2773" t="n">
        <v>2258</v>
      </c>
      <c r="B2773" t="inlineStr">
        <is>
          <t>A-497__171</t>
        </is>
      </c>
      <c r="C2773" t="n">
        <v>37.265644721</v>
      </c>
      <c r="D2773" t="n">
        <v>-6.9946178927</v>
      </c>
      <c r="E2773" t="n">
        <v>3</v>
      </c>
      <c r="F2773" t="n">
        <v>3</v>
      </c>
      <c r="G2773" t="n">
        <v>3</v>
      </c>
      <c r="J2773" t="inlineStr">
        <is>
          <t>Moda</t>
        </is>
      </c>
      <c r="K2773" t="n">
        <v>3</v>
      </c>
      <c r="L2773" t="n">
        <v>3.04</v>
      </c>
      <c r="M2773" t="n">
        <v>0</v>
      </c>
      <c r="N2773" t="inlineStr">
        <is>
          <t>train</t>
        </is>
      </c>
      <c r="O2773">
        <f>HYPERLINK("3\0\marker_189_379754.png", "Ver Imagen")</f>
        <v/>
      </c>
      <c r="P2773">
        <f>HYPERLINK("SE\A-497\A-497__171.png", "Ver Imagen")</f>
        <v/>
      </c>
    </row>
    <row r="2774">
      <c r="A2774" t="n">
        <v>2259</v>
      </c>
      <c r="B2774" t="inlineStr">
        <is>
          <t>A-497__169</t>
        </is>
      </c>
      <c r="C2774" t="n">
        <v>37.2657522204</v>
      </c>
      <c r="D2774" t="n">
        <v>-6.994133589</v>
      </c>
      <c r="E2774" t="n">
        <v>3</v>
      </c>
      <c r="F2774" t="n">
        <v>3</v>
      </c>
      <c r="G2774" t="n">
        <v>3</v>
      </c>
      <c r="J2774" t="inlineStr">
        <is>
          <t>Moda</t>
        </is>
      </c>
      <c r="K2774" t="n">
        <v>3</v>
      </c>
      <c r="L2774" t="n">
        <v>2.856</v>
      </c>
      <c r="M2774" t="n">
        <v>0</v>
      </c>
      <c r="N2774" t="inlineStr">
        <is>
          <t>val</t>
        </is>
      </c>
      <c r="O2774">
        <f>HYPERLINK("3\0\marker_703_380161.png", "Ver Imagen")</f>
        <v/>
      </c>
      <c r="P2774">
        <f>HYPERLINK("SE\A-497\A-497__169.png", "Ver Imagen")</f>
        <v/>
      </c>
    </row>
    <row r="2775">
      <c r="A2775" t="n">
        <v>2260</v>
      </c>
      <c r="B2775" t="inlineStr">
        <is>
          <t>A-497__167</t>
        </is>
      </c>
      <c r="C2775" t="n">
        <v>37.2658789244</v>
      </c>
      <c r="D2775" t="n">
        <v>-6.99369593126</v>
      </c>
      <c r="E2775" t="n">
        <v>3</v>
      </c>
      <c r="F2775" t="n">
        <v>3</v>
      </c>
      <c r="G2775" t="n">
        <v>3</v>
      </c>
      <c r="J2775" t="inlineStr">
        <is>
          <t>Moda</t>
        </is>
      </c>
      <c r="K2775" t="n">
        <v>3</v>
      </c>
      <c r="L2775" t="n">
        <v>3.074</v>
      </c>
      <c r="M2775" t="n">
        <v>0</v>
      </c>
      <c r="N2775" t="inlineStr">
        <is>
          <t>train</t>
        </is>
      </c>
      <c r="O2775">
        <f>HYPERLINK("3\0\marker_704_380183.png", "Ver Imagen")</f>
        <v/>
      </c>
      <c r="P2775">
        <f>HYPERLINK("SE\A-497\A-497__167.png", "Ver Imagen")</f>
        <v/>
      </c>
    </row>
    <row r="2776">
      <c r="A2776" t="n">
        <v>2261</v>
      </c>
      <c r="B2776" t="inlineStr">
        <is>
          <t>A-497__162</t>
        </is>
      </c>
      <c r="C2776" t="n">
        <v>37.2663678345</v>
      </c>
      <c r="D2776" t="n">
        <v>-6.99257970201</v>
      </c>
      <c r="E2776" t="n">
        <v>3</v>
      </c>
      <c r="F2776" t="n">
        <v>3</v>
      </c>
      <c r="G2776" t="n">
        <v>3</v>
      </c>
      <c r="J2776" t="inlineStr">
        <is>
          <t>Moda</t>
        </is>
      </c>
      <c r="K2776" t="n">
        <v>3</v>
      </c>
      <c r="L2776" t="n">
        <v>2.946</v>
      </c>
      <c r="M2776" t="n">
        <v>0</v>
      </c>
      <c r="N2776" t="inlineStr">
        <is>
          <t>train</t>
        </is>
      </c>
      <c r="O2776">
        <f>HYPERLINK("3\0\marker_968_380232.png", "Ver Imagen")</f>
        <v/>
      </c>
      <c r="P2776">
        <f>HYPERLINK("SE\A-497\A-497__162.png", "Ver Imagen")</f>
        <v/>
      </c>
    </row>
    <row r="2777">
      <c r="A2777" t="n">
        <v>2262</v>
      </c>
      <c r="B2777" t="inlineStr">
        <is>
          <t>A-497__159</t>
        </is>
      </c>
      <c r="C2777" t="n">
        <v>37.2667620654</v>
      </c>
      <c r="D2777" t="n">
        <v>-6.99199450768</v>
      </c>
      <c r="E2777" t="n">
        <v>3</v>
      </c>
      <c r="F2777" t="n">
        <v>3</v>
      </c>
      <c r="G2777" t="n">
        <v>3</v>
      </c>
      <c r="J2777" t="inlineStr">
        <is>
          <t>Moda</t>
        </is>
      </c>
      <c r="K2777" t="n">
        <v>3</v>
      </c>
      <c r="L2777" t="n">
        <v>3.021</v>
      </c>
      <c r="M2777" t="n">
        <v>0</v>
      </c>
      <c r="N2777" t="inlineStr">
        <is>
          <t>train</t>
        </is>
      </c>
      <c r="O2777">
        <f>HYPERLINK("3\0\marker_863_380260.png", "Ver Imagen")</f>
        <v/>
      </c>
      <c r="P2777">
        <f>HYPERLINK("SE\A-497\A-497__159.png", "Ver Imagen")</f>
        <v/>
      </c>
    </row>
    <row r="2778">
      <c r="A2778" t="n">
        <v>2263</v>
      </c>
      <c r="B2778" t="inlineStr">
        <is>
          <t>A-497__158</t>
        </is>
      </c>
      <c r="C2778" t="n">
        <v>37.2668989628</v>
      </c>
      <c r="D2778" t="n">
        <v>-6.99182867811</v>
      </c>
      <c r="E2778" t="n">
        <v>3</v>
      </c>
      <c r="F2778" t="n">
        <v>3</v>
      </c>
      <c r="G2778" t="n">
        <v>3</v>
      </c>
      <c r="J2778" t="inlineStr">
        <is>
          <t>Moda</t>
        </is>
      </c>
      <c r="K2778" t="n">
        <v>3</v>
      </c>
      <c r="L2778" t="n">
        <v>2.634</v>
      </c>
      <c r="M2778" t="n">
        <v>0</v>
      </c>
      <c r="N2778" t="inlineStr">
        <is>
          <t>train</t>
        </is>
      </c>
      <c r="O2778">
        <f>HYPERLINK("3\0\marker_856_380270.png", "Ver Imagen")</f>
        <v/>
      </c>
      <c r="P2778">
        <f>HYPERLINK("SE\A-497\A-497__158.png", "Ver Imagen")</f>
        <v/>
      </c>
    </row>
    <row r="2779">
      <c r="A2779" t="n">
        <v>2264</v>
      </c>
      <c r="B2779" t="inlineStr">
        <is>
          <t>A-497__156</t>
        </is>
      </c>
      <c r="C2779" t="n">
        <v>37.2672054619</v>
      </c>
      <c r="D2779" t="n">
        <v>-6.99150697588</v>
      </c>
      <c r="E2779" t="n">
        <v>3</v>
      </c>
      <c r="F2779" t="n">
        <v>3</v>
      </c>
      <c r="G2779" t="n">
        <v>3</v>
      </c>
      <c r="J2779" t="inlineStr">
        <is>
          <t>Moda</t>
        </is>
      </c>
      <c r="K2779" t="n">
        <v>3</v>
      </c>
      <c r="L2779" t="n">
        <v>2.939</v>
      </c>
      <c r="M2779" t="n">
        <v>0</v>
      </c>
      <c r="N2779" t="inlineStr">
        <is>
          <t>train</t>
        </is>
      </c>
      <c r="O2779">
        <f>HYPERLINK("3\0\marker_369_380288.png", "Ver Imagen")</f>
        <v/>
      </c>
      <c r="P2779">
        <f>HYPERLINK("SE\A-497\A-497__156.png", "Ver Imagen")</f>
        <v/>
      </c>
    </row>
    <row r="2780">
      <c r="A2780" t="n">
        <v>2265</v>
      </c>
      <c r="B2780" t="inlineStr">
        <is>
          <t>A-497__151</t>
        </is>
      </c>
      <c r="C2780" t="n">
        <v>37.2680793065</v>
      </c>
      <c r="D2780" t="n">
        <v>-6.99082254166</v>
      </c>
      <c r="E2780" t="n">
        <v>3</v>
      </c>
      <c r="F2780" t="n">
        <v>3</v>
      </c>
      <c r="G2780" t="n">
        <v>3</v>
      </c>
      <c r="J2780" t="inlineStr">
        <is>
          <t>Moda</t>
        </is>
      </c>
      <c r="K2780" t="n">
        <v>3</v>
      </c>
      <c r="L2780" t="n">
        <v>2.856</v>
      </c>
      <c r="M2780" t="n">
        <v>0</v>
      </c>
      <c r="N2780" t="inlineStr">
        <is>
          <t>train</t>
        </is>
      </c>
      <c r="O2780">
        <f>HYPERLINK("3\0\marker_915_380340.png", "Ver Imagen")</f>
        <v/>
      </c>
      <c r="P2780">
        <f>HYPERLINK("SE\A-497\A-497__151.png", "Ver Imagen")</f>
        <v/>
      </c>
    </row>
    <row r="2781">
      <c r="A2781" t="n">
        <v>2266</v>
      </c>
      <c r="B2781" t="inlineStr">
        <is>
          <t>A-497__150</t>
        </is>
      </c>
      <c r="C2781" t="n">
        <v>37.268258453</v>
      </c>
      <c r="D2781" t="n">
        <v>-6.99069505013</v>
      </c>
      <c r="E2781" t="n">
        <v>3</v>
      </c>
      <c r="F2781" t="n">
        <v>3</v>
      </c>
      <c r="G2781" t="n">
        <v>3</v>
      </c>
      <c r="J2781" t="inlineStr">
        <is>
          <t>Moda</t>
        </is>
      </c>
      <c r="K2781" t="n">
        <v>3</v>
      </c>
      <c r="L2781" t="n">
        <v>2.804</v>
      </c>
      <c r="M2781" t="n">
        <v>0</v>
      </c>
      <c r="N2781" t="inlineStr">
        <is>
          <t>train</t>
        </is>
      </c>
      <c r="O2781">
        <f>HYPERLINK("3\0\marker_753_380349.png", "Ver Imagen")</f>
        <v/>
      </c>
      <c r="P2781">
        <f>HYPERLINK("SE\A-497\A-497__150.png", "Ver Imagen")</f>
        <v/>
      </c>
    </row>
    <row r="2782">
      <c r="A2782" t="n">
        <v>2267</v>
      </c>
      <c r="B2782" t="inlineStr">
        <is>
          <t>A-497__149</t>
        </is>
      </c>
      <c r="C2782" t="n">
        <v>37.2684255652</v>
      </c>
      <c r="D2782" t="n">
        <v>-6.9905764248</v>
      </c>
      <c r="E2782" t="n">
        <v>3</v>
      </c>
      <c r="F2782" t="n">
        <v>3</v>
      </c>
      <c r="G2782" t="n">
        <v>3</v>
      </c>
      <c r="J2782" t="inlineStr">
        <is>
          <t>Moda</t>
        </is>
      </c>
      <c r="K2782" t="n">
        <v>3</v>
      </c>
      <c r="L2782" t="n">
        <v>2.772</v>
      </c>
      <c r="M2782" t="n">
        <v>0</v>
      </c>
      <c r="N2782" t="inlineStr">
        <is>
          <t>train</t>
        </is>
      </c>
      <c r="O2782">
        <f>HYPERLINK("3\0\marker_684_380358.png", "Ver Imagen")</f>
        <v/>
      </c>
      <c r="P2782">
        <f>HYPERLINK("SE\A-497\A-497__149.png", "Ver Imagen")</f>
        <v/>
      </c>
    </row>
    <row r="2783">
      <c r="A2783" t="n">
        <v>2269</v>
      </c>
      <c r="B2783" t="inlineStr">
        <is>
          <t>A-497__127</t>
        </is>
      </c>
      <c r="C2783" t="n">
        <v>37.2716843679</v>
      </c>
      <c r="D2783" t="n">
        <v>-6.98710144536</v>
      </c>
      <c r="E2783" t="n">
        <v>3</v>
      </c>
      <c r="F2783" t="n">
        <v>3</v>
      </c>
      <c r="G2783" t="n">
        <v>3</v>
      </c>
      <c r="J2783" t="inlineStr">
        <is>
          <t>Moda</t>
        </is>
      </c>
      <c r="K2783" t="n">
        <v>3</v>
      </c>
      <c r="L2783" t="n">
        <v>3.036</v>
      </c>
      <c r="M2783" t="n">
        <v>0</v>
      </c>
      <c r="N2783" t="inlineStr">
        <is>
          <t>train</t>
        </is>
      </c>
      <c r="O2783">
        <f>HYPERLINK("3\0\marker_251_380559.png", "Ver Imagen")</f>
        <v/>
      </c>
      <c r="P2783">
        <f>HYPERLINK("SE\A-497\A-497__127.png", "Ver Imagen")</f>
        <v/>
      </c>
    </row>
    <row r="2784">
      <c r="A2784" t="n">
        <v>2270</v>
      </c>
      <c r="B2784" t="inlineStr">
        <is>
          <t>A-497__126</t>
        </is>
      </c>
      <c r="C2784" t="n">
        <v>37.2717147319</v>
      </c>
      <c r="D2784" t="n">
        <v>-6.98686790044</v>
      </c>
      <c r="E2784" t="n">
        <v>3</v>
      </c>
      <c r="F2784" t="n">
        <v>3</v>
      </c>
      <c r="G2784" t="n">
        <v>3</v>
      </c>
      <c r="J2784" t="inlineStr">
        <is>
          <t>Moda</t>
        </is>
      </c>
      <c r="K2784" t="n">
        <v>3</v>
      </c>
      <c r="L2784" t="n">
        <v>2.969</v>
      </c>
      <c r="M2784" t="n">
        <v>0</v>
      </c>
      <c r="N2784" t="inlineStr">
        <is>
          <t>train</t>
        </is>
      </c>
      <c r="O2784">
        <f>HYPERLINK("3\0\marker_323_380571.png", "Ver Imagen")</f>
        <v/>
      </c>
      <c r="P2784">
        <f>HYPERLINK("SE\A-497\A-497__126.png", "Ver Imagen")</f>
        <v/>
      </c>
    </row>
    <row r="2785">
      <c r="A2785" t="n">
        <v>2271</v>
      </c>
      <c r="B2785" t="inlineStr">
        <is>
          <t>A-497__121</t>
        </is>
      </c>
      <c r="C2785" t="n">
        <v>37.2716711909</v>
      </c>
      <c r="D2785" t="n">
        <v>-6.98558920878</v>
      </c>
      <c r="E2785" t="n">
        <v>3</v>
      </c>
      <c r="F2785" t="n">
        <v>3</v>
      </c>
      <c r="G2785" t="n">
        <v>3</v>
      </c>
      <c r="J2785" t="inlineStr">
        <is>
          <t>Moda</t>
        </is>
      </c>
      <c r="K2785" t="n">
        <v>3</v>
      </c>
      <c r="L2785" t="n">
        <v>2.911</v>
      </c>
      <c r="M2785" t="n">
        <v>0</v>
      </c>
      <c r="N2785" t="inlineStr">
        <is>
          <t>train</t>
        </is>
      </c>
      <c r="O2785">
        <f>HYPERLINK("3\0\marker_880_380617.png", "Ver Imagen")</f>
        <v/>
      </c>
      <c r="P2785">
        <f>HYPERLINK("SE\A-497\A-497__121.png", "Ver Imagen")</f>
        <v/>
      </c>
    </row>
    <row r="2786">
      <c r="A2786" t="n">
        <v>2272</v>
      </c>
      <c r="B2786" t="inlineStr">
        <is>
          <t>A-497__120</t>
        </is>
      </c>
      <c r="C2786" t="n">
        <v>37.2716375195</v>
      </c>
      <c r="D2786" t="n">
        <v>-6.98538240998</v>
      </c>
      <c r="E2786" t="n">
        <v>3</v>
      </c>
      <c r="F2786" t="n">
        <v>3</v>
      </c>
      <c r="G2786" t="n">
        <v>3</v>
      </c>
      <c r="J2786" t="inlineStr">
        <is>
          <t>Moda</t>
        </is>
      </c>
      <c r="K2786" t="n">
        <v>3</v>
      </c>
      <c r="L2786" t="n">
        <v>3.002</v>
      </c>
      <c r="M2786" t="n">
        <v>0</v>
      </c>
      <c r="N2786" t="inlineStr">
        <is>
          <t>train</t>
        </is>
      </c>
      <c r="O2786">
        <f>HYPERLINK("3\0\marker_246_380625.png", "Ver Imagen")</f>
        <v/>
      </c>
      <c r="P2786">
        <f>HYPERLINK("SE\A-497\A-497__120.png", "Ver Imagen")</f>
        <v/>
      </c>
    </row>
    <row r="2787">
      <c r="A2787" t="n">
        <v>2273</v>
      </c>
      <c r="B2787" t="inlineStr">
        <is>
          <t>A-497__117</t>
        </is>
      </c>
      <c r="C2787" t="n">
        <v>37.2714759957</v>
      </c>
      <c r="D2787" t="n">
        <v>-6.98464937861</v>
      </c>
      <c r="E2787" t="n">
        <v>3</v>
      </c>
      <c r="F2787" t="n">
        <v>3</v>
      </c>
      <c r="G2787" t="n">
        <v>3</v>
      </c>
      <c r="J2787" t="inlineStr">
        <is>
          <t>Moda</t>
        </is>
      </c>
      <c r="K2787" t="n">
        <v>3</v>
      </c>
      <c r="L2787" t="n">
        <v>2.745</v>
      </c>
      <c r="M2787" t="n">
        <v>0</v>
      </c>
      <c r="N2787" t="inlineStr">
        <is>
          <t>train</t>
        </is>
      </c>
      <c r="O2787">
        <f>HYPERLINK("3\0\marker_721_380650.png", "Ver Imagen")</f>
        <v/>
      </c>
      <c r="P2787">
        <f>HYPERLINK("SE\A-497\A-497__117.png", "Ver Imagen")</f>
        <v/>
      </c>
    </row>
    <row r="2788">
      <c r="A2788" t="n">
        <v>2274</v>
      </c>
      <c r="B2788" t="inlineStr">
        <is>
          <t>A-497__103</t>
        </is>
      </c>
      <c r="C2788" t="n">
        <v>37.2705211414</v>
      </c>
      <c r="D2788" t="n">
        <v>-6.98127862677</v>
      </c>
      <c r="E2788" t="n">
        <v>3</v>
      </c>
      <c r="F2788" t="n">
        <v>3</v>
      </c>
      <c r="G2788" t="n">
        <v>3</v>
      </c>
      <c r="J2788" t="inlineStr">
        <is>
          <t>Moda</t>
        </is>
      </c>
      <c r="K2788" t="n">
        <v>3</v>
      </c>
      <c r="L2788" t="n">
        <v>3.109</v>
      </c>
      <c r="M2788" t="n">
        <v>0</v>
      </c>
      <c r="N2788" t="inlineStr">
        <is>
          <t>train</t>
        </is>
      </c>
      <c r="O2788">
        <f>HYPERLINK("3\0\marker_304_380809.png", "Ver Imagen")</f>
        <v/>
      </c>
      <c r="P2788">
        <f>HYPERLINK("SE\A-497\A-497__103.png", "Ver Imagen")</f>
        <v/>
      </c>
    </row>
    <row r="2789">
      <c r="A2789" t="n">
        <v>2275</v>
      </c>
      <c r="B2789" t="inlineStr">
        <is>
          <t>A-497__102</t>
        </is>
      </c>
      <c r="C2789" t="n">
        <v>37.2704612002</v>
      </c>
      <c r="D2789" t="n">
        <v>-6.98107499853</v>
      </c>
      <c r="E2789" t="n">
        <v>3</v>
      </c>
      <c r="F2789" t="n">
        <v>3</v>
      </c>
      <c r="G2789" t="n">
        <v>3</v>
      </c>
      <c r="J2789" t="inlineStr">
        <is>
          <t>Moda</t>
        </is>
      </c>
      <c r="K2789" t="n">
        <v>3</v>
      </c>
      <c r="L2789" t="n">
        <v>3.068</v>
      </c>
      <c r="M2789" t="n">
        <v>0</v>
      </c>
      <c r="N2789" t="inlineStr">
        <is>
          <t>test</t>
        </is>
      </c>
      <c r="O2789">
        <f>HYPERLINK("3\0\marker_559_380818.png", "Ver Imagen")</f>
        <v/>
      </c>
      <c r="P2789">
        <f>HYPERLINK("SE\A-497\A-497__102.png", "Ver Imagen")</f>
        <v/>
      </c>
    </row>
    <row r="2790">
      <c r="A2790" t="n">
        <v>2276</v>
      </c>
      <c r="B2790" t="inlineStr">
        <is>
          <t>A-497__101</t>
        </is>
      </c>
      <c r="C2790" t="n">
        <v>37.2703862922</v>
      </c>
      <c r="D2790" t="n">
        <v>-6.98081869084</v>
      </c>
      <c r="E2790" t="n">
        <v>3</v>
      </c>
      <c r="F2790" t="n">
        <v>3</v>
      </c>
      <c r="G2790" t="n">
        <v>3</v>
      </c>
      <c r="J2790" t="inlineStr">
        <is>
          <t>Moda</t>
        </is>
      </c>
      <c r="K2790" t="n">
        <v>3</v>
      </c>
      <c r="L2790" t="n">
        <v>2.99</v>
      </c>
      <c r="M2790" t="n">
        <v>0</v>
      </c>
      <c r="N2790" t="inlineStr">
        <is>
          <t>train</t>
        </is>
      </c>
      <c r="O2790">
        <f>HYPERLINK("3\0\marker_407_380828.png", "Ver Imagen")</f>
        <v/>
      </c>
      <c r="P2790">
        <f>HYPERLINK("SE\A-497\A-497__101.png", "Ver Imagen")</f>
        <v/>
      </c>
    </row>
    <row r="2791">
      <c r="A2791" t="n">
        <v>2277</v>
      </c>
      <c r="B2791" t="inlineStr">
        <is>
          <t>A-497__99</t>
        </is>
      </c>
      <c r="C2791" t="n">
        <v>37.2702553549</v>
      </c>
      <c r="D2791" t="n">
        <v>-6.98036209522</v>
      </c>
      <c r="E2791" t="n">
        <v>3</v>
      </c>
      <c r="F2791" t="n">
        <v>3</v>
      </c>
      <c r="G2791" t="n">
        <v>3</v>
      </c>
      <c r="J2791" t="inlineStr">
        <is>
          <t>Moda</t>
        </is>
      </c>
      <c r="K2791" t="n">
        <v>3</v>
      </c>
      <c r="L2791" t="n">
        <v>3.001</v>
      </c>
      <c r="M2791" t="n">
        <v>0</v>
      </c>
      <c r="N2791" t="inlineStr">
        <is>
          <t>train</t>
        </is>
      </c>
      <c r="O2791">
        <f>HYPERLINK("3\0\marker_237_380847.png", "Ver Imagen")</f>
        <v/>
      </c>
      <c r="P2791">
        <f>HYPERLINK("SE\A-497\A-497__99.png", "Ver Imagen")</f>
        <v/>
      </c>
    </row>
    <row r="2792">
      <c r="A2792" t="n">
        <v>2278</v>
      </c>
      <c r="B2792" t="inlineStr">
        <is>
          <t>A-497__98</t>
        </is>
      </c>
      <c r="C2792" t="n">
        <v>37.2701824321</v>
      </c>
      <c r="D2792" t="n">
        <v>-6.98010484653</v>
      </c>
      <c r="E2792" t="n">
        <v>3</v>
      </c>
      <c r="F2792" t="n">
        <v>3</v>
      </c>
      <c r="G2792" t="n">
        <v>3</v>
      </c>
      <c r="J2792" t="inlineStr">
        <is>
          <t>Moda</t>
        </is>
      </c>
      <c r="K2792" t="n">
        <v>3</v>
      </c>
      <c r="L2792" t="n">
        <v>2.807</v>
      </c>
      <c r="M2792" t="n">
        <v>0</v>
      </c>
      <c r="N2792" t="inlineStr">
        <is>
          <t>train</t>
        </is>
      </c>
      <c r="O2792">
        <f>HYPERLINK("3\0\marker_800_380857.png", "Ver Imagen")</f>
        <v/>
      </c>
      <c r="P2792">
        <f>HYPERLINK("SE\A-497\A-497__98.png", "Ver Imagen")</f>
        <v/>
      </c>
    </row>
    <row r="2793">
      <c r="A2793" t="n">
        <v>2279</v>
      </c>
      <c r="B2793" t="inlineStr">
        <is>
          <t>A-497__95</t>
        </is>
      </c>
      <c r="C2793" t="n">
        <v>37.2699788906</v>
      </c>
      <c r="D2793" t="n">
        <v>-6.97939018743</v>
      </c>
      <c r="E2793" t="n">
        <v>3</v>
      </c>
      <c r="F2793" t="n">
        <v>3</v>
      </c>
      <c r="G2793" t="n">
        <v>3</v>
      </c>
      <c r="J2793" t="inlineStr">
        <is>
          <t>Moda</t>
        </is>
      </c>
      <c r="K2793" t="n">
        <v>3</v>
      </c>
      <c r="L2793" t="n">
        <v>3.354</v>
      </c>
      <c r="M2793" t="n">
        <v>0</v>
      </c>
      <c r="N2793" t="inlineStr">
        <is>
          <t>test</t>
        </is>
      </c>
      <c r="O2793">
        <f>HYPERLINK("3\0\marker_831_380887.png", "Ver Imagen")</f>
        <v/>
      </c>
      <c r="P2793">
        <f>HYPERLINK("SE\A-497\A-497__95.png", "Ver Imagen")</f>
        <v/>
      </c>
    </row>
    <row r="2794">
      <c r="A2794" t="n">
        <v>2280</v>
      </c>
      <c r="B2794" t="inlineStr">
        <is>
          <t>A-490__49</t>
        </is>
      </c>
      <c r="C2794" t="n">
        <v>37.4467172004</v>
      </c>
      <c r="D2794" t="n">
        <v>-7.13836221893</v>
      </c>
      <c r="E2794" t="n">
        <v>2</v>
      </c>
      <c r="F2794" t="n">
        <v>3</v>
      </c>
      <c r="G2794" t="n">
        <v>3</v>
      </c>
      <c r="J2794" t="inlineStr">
        <is>
          <t>Moda</t>
        </is>
      </c>
      <c r="K2794" t="n">
        <v>3</v>
      </c>
      <c r="L2794" t="n">
        <v>2.731</v>
      </c>
      <c r="M2794" t="n">
        <v>0</v>
      </c>
      <c r="N2794" t="inlineStr">
        <is>
          <t>train</t>
        </is>
      </c>
      <c r="O2794">
        <f>HYPERLINK("3\1\marker_100_732269.png", "Ver Imagen")</f>
        <v/>
      </c>
      <c r="P2794">
        <f>HYPERLINK("NE\A-490\A-490__49.png", "Ver Imagen")</f>
        <v/>
      </c>
    </row>
    <row r="2795">
      <c r="A2795" t="n">
        <v>2281</v>
      </c>
      <c r="B2795" t="inlineStr">
        <is>
          <t>A-490__84</t>
        </is>
      </c>
      <c r="C2795" t="n">
        <v>37.4486622089</v>
      </c>
      <c r="D2795" t="n">
        <v>-7.14671197218</v>
      </c>
      <c r="E2795" t="n">
        <v>2</v>
      </c>
      <c r="F2795" t="n">
        <v>3</v>
      </c>
      <c r="G2795" t="n">
        <v>3</v>
      </c>
      <c r="J2795" t="inlineStr">
        <is>
          <t>Moda</t>
        </is>
      </c>
      <c r="K2795" t="n">
        <v>3</v>
      </c>
      <c r="L2795" t="n">
        <v>3.018</v>
      </c>
      <c r="M2795" t="n">
        <v>0</v>
      </c>
      <c r="N2795" t="inlineStr">
        <is>
          <t>train</t>
        </is>
      </c>
      <c r="O2795">
        <f>HYPERLINK("3\1\marker_380_738767.png", "Ver Imagen")</f>
        <v/>
      </c>
      <c r="P2795">
        <f>HYPERLINK("NE\A-490\A-490__84.png", "Ver Imagen")</f>
        <v/>
      </c>
    </row>
    <row r="2796">
      <c r="A2796" t="n">
        <v>2282</v>
      </c>
      <c r="B2796" t="inlineStr">
        <is>
          <t>A-490__70</t>
        </is>
      </c>
      <c r="C2796" t="n">
        <v>37.4484821529</v>
      </c>
      <c r="D2796" t="n">
        <v>-7.14316029588</v>
      </c>
      <c r="E2796" t="n">
        <v>2</v>
      </c>
      <c r="F2796" t="n">
        <v>3</v>
      </c>
      <c r="G2796" t="n">
        <v>3</v>
      </c>
      <c r="J2796" t="inlineStr">
        <is>
          <t>Moda</t>
        </is>
      </c>
      <c r="K2796" t="n">
        <v>3</v>
      </c>
      <c r="L2796" t="n">
        <v>2.973</v>
      </c>
      <c r="M2796" t="n">
        <v>0</v>
      </c>
      <c r="N2796" t="inlineStr">
        <is>
          <t>val</t>
        </is>
      </c>
      <c r="O2796">
        <f>HYPERLINK("3\1\marker_536_738154.png", "Ver Imagen")</f>
        <v/>
      </c>
      <c r="P2796">
        <f>HYPERLINK("NE\A-490\A-490__70.png", "Ver Imagen")</f>
        <v/>
      </c>
    </row>
    <row r="2797">
      <c r="A2797" t="n">
        <v>2283</v>
      </c>
      <c r="B2797" t="inlineStr">
        <is>
          <t>A-490__90</t>
        </is>
      </c>
      <c r="C2797" t="n">
        <v>37.4487368901</v>
      </c>
      <c r="D2797" t="n">
        <v>-7.14823640721</v>
      </c>
      <c r="E2797" t="n">
        <v>2</v>
      </c>
      <c r="F2797" t="n">
        <v>3</v>
      </c>
      <c r="G2797" t="n">
        <v>3</v>
      </c>
      <c r="J2797" t="inlineStr">
        <is>
          <t>Moda</t>
        </is>
      </c>
      <c r="K2797" t="n">
        <v>3</v>
      </c>
      <c r="L2797" t="n">
        <v>3.192</v>
      </c>
      <c r="M2797" t="n">
        <v>0</v>
      </c>
      <c r="N2797" t="inlineStr">
        <is>
          <t>train</t>
        </is>
      </c>
      <c r="O2797">
        <f>HYPERLINK("3\1\marker_205_738971.png", "Ver Imagen")</f>
        <v/>
      </c>
      <c r="P2797">
        <f>HYPERLINK("NE\A-490\A-490__90.png", "Ver Imagen")</f>
        <v/>
      </c>
    </row>
    <row r="2798">
      <c r="A2798" t="n">
        <v>2284</v>
      </c>
      <c r="B2798" t="inlineStr">
        <is>
          <t>A-490__142</t>
        </is>
      </c>
      <c r="C2798" t="n">
        <v>37.4524372751</v>
      </c>
      <c r="D2798" t="n">
        <v>-7.16034665848</v>
      </c>
      <c r="E2798" t="n">
        <v>2</v>
      </c>
      <c r="F2798" t="n">
        <v>3</v>
      </c>
      <c r="G2798" t="n">
        <v>3</v>
      </c>
      <c r="J2798" t="inlineStr">
        <is>
          <t>Moda</t>
        </is>
      </c>
      <c r="K2798" t="n">
        <v>3</v>
      </c>
      <c r="L2798" t="n">
        <v>3.375</v>
      </c>
      <c r="M2798" t="n">
        <v>0</v>
      </c>
      <c r="N2798" t="inlineStr">
        <is>
          <t>train</t>
        </is>
      </c>
      <c r="O2798">
        <f>HYPERLINK("3\1\marker_692_740577.png", "Ver Imagen")</f>
        <v/>
      </c>
      <c r="P2798">
        <f>HYPERLINK("NE\A-490\A-490__142.png", "Ver Imagen")</f>
        <v/>
      </c>
    </row>
    <row r="2799">
      <c r="A2799" t="n">
        <v>2285</v>
      </c>
      <c r="B2799" t="inlineStr">
        <is>
          <t>A-492__92</t>
        </is>
      </c>
      <c r="C2799" t="n">
        <v>37.2802295353</v>
      </c>
      <c r="D2799" t="n">
        <v>-7.00542197189</v>
      </c>
      <c r="E2799" t="n">
        <v>2</v>
      </c>
      <c r="F2799" t="n">
        <v>3</v>
      </c>
      <c r="G2799" t="n">
        <v>3</v>
      </c>
      <c r="J2799" t="inlineStr">
        <is>
          <t>Moda</t>
        </is>
      </c>
      <c r="K2799" t="n">
        <v>3</v>
      </c>
      <c r="L2799" t="n">
        <v>2.887</v>
      </c>
      <c r="M2799" t="n">
        <v>0</v>
      </c>
      <c r="N2799" t="inlineStr">
        <is>
          <t>train</t>
        </is>
      </c>
      <c r="O2799">
        <f>HYPERLINK("3\1\marker_598_823673.png", "Ver Imagen")</f>
        <v/>
      </c>
      <c r="P2799">
        <f>HYPERLINK("SE\A-492\A-492__92.png", "Ver Imagen")</f>
        <v/>
      </c>
    </row>
    <row r="2800">
      <c r="A2800" t="n">
        <v>2287</v>
      </c>
      <c r="B2800" t="inlineStr">
        <is>
          <t>A-492__106</t>
        </is>
      </c>
      <c r="C2800" t="n">
        <v>37.2789763605</v>
      </c>
      <c r="D2800" t="n">
        <v>-7.00861939682</v>
      </c>
      <c r="E2800" t="n">
        <v>2</v>
      </c>
      <c r="F2800" t="n">
        <v>3</v>
      </c>
      <c r="G2800" t="n">
        <v>3</v>
      </c>
      <c r="J2800" t="inlineStr">
        <is>
          <t>Moda</t>
        </is>
      </c>
      <c r="K2800" t="n">
        <v>3</v>
      </c>
      <c r="L2800" t="n">
        <v>2.59</v>
      </c>
      <c r="M2800" t="n">
        <v>0</v>
      </c>
      <c r="N2800" t="inlineStr">
        <is>
          <t>train</t>
        </is>
      </c>
      <c r="O2800">
        <f>HYPERLINK("3\1\marker_780_824225.png", "Ver Imagen")</f>
        <v/>
      </c>
      <c r="P2800">
        <f>HYPERLINK("SE\A-492\A-492__106.png", "Ver Imagen")</f>
        <v/>
      </c>
    </row>
    <row r="2801">
      <c r="A2801" t="n">
        <v>2288</v>
      </c>
      <c r="B2801" t="inlineStr">
        <is>
          <t>A-492__134</t>
        </is>
      </c>
      <c r="C2801" t="n">
        <v>37.2760103529</v>
      </c>
      <c r="D2801" t="n">
        <v>-7.01461648129</v>
      </c>
      <c r="E2801" t="n">
        <v>3</v>
      </c>
      <c r="F2801" t="n">
        <v>3</v>
      </c>
      <c r="G2801" t="n">
        <v>2</v>
      </c>
      <c r="J2801" t="inlineStr">
        <is>
          <t>Moda</t>
        </is>
      </c>
      <c r="K2801" t="n">
        <v>3</v>
      </c>
      <c r="L2801" t="n">
        <v>3.062</v>
      </c>
      <c r="M2801" t="n">
        <v>0</v>
      </c>
      <c r="N2801" t="inlineStr">
        <is>
          <t>train</t>
        </is>
      </c>
      <c r="O2801">
        <f>HYPERLINK("3\1\marker_482_824590.png", "Ver Imagen")</f>
        <v/>
      </c>
      <c r="P2801">
        <f>HYPERLINK("SE\A-492\A-492__134.png", "Ver Imagen")</f>
        <v/>
      </c>
    </row>
    <row r="2802">
      <c r="A2802" t="n">
        <v>2289</v>
      </c>
      <c r="B2802" t="inlineStr">
        <is>
          <t>A-492__135</t>
        </is>
      </c>
      <c r="C2802" t="n">
        <v>37.2759366051</v>
      </c>
      <c r="D2802" t="n">
        <v>-7.01485054905</v>
      </c>
      <c r="E2802" t="n">
        <v>2</v>
      </c>
      <c r="F2802" t="n">
        <v>3</v>
      </c>
      <c r="G2802" t="n">
        <v>3</v>
      </c>
      <c r="J2802" t="inlineStr">
        <is>
          <t>Moda</t>
        </is>
      </c>
      <c r="K2802" t="n">
        <v>3</v>
      </c>
      <c r="L2802" t="n">
        <v>2.715</v>
      </c>
      <c r="M2802" t="n">
        <v>0</v>
      </c>
      <c r="N2802" t="inlineStr">
        <is>
          <t>val</t>
        </is>
      </c>
      <c r="O2802">
        <f>HYPERLINK("3\1\marker_362_824601.png", "Ver Imagen")</f>
        <v/>
      </c>
      <c r="P2802">
        <f>HYPERLINK("SE\A-492\A-492__135.png", "Ver Imagen")</f>
        <v/>
      </c>
    </row>
    <row r="2803">
      <c r="A2803" t="n">
        <v>2292</v>
      </c>
      <c r="B2803" t="inlineStr">
        <is>
          <t>A-492__308</t>
        </is>
      </c>
      <c r="C2803" t="n">
        <v>37.2936890052</v>
      </c>
      <c r="D2803" t="n">
        <v>-7.04685258913</v>
      </c>
      <c r="E2803" t="n">
        <v>2</v>
      </c>
      <c r="F2803" t="n">
        <v>3</v>
      </c>
      <c r="G2803" t="n">
        <v>3</v>
      </c>
      <c r="J2803" t="inlineStr">
        <is>
          <t>Moda</t>
        </is>
      </c>
      <c r="K2803" t="n">
        <v>3</v>
      </c>
      <c r="L2803" t="n">
        <v>2.927</v>
      </c>
      <c r="M2803" t="n">
        <v>0</v>
      </c>
      <c r="N2803" t="inlineStr">
        <is>
          <t>train</t>
        </is>
      </c>
      <c r="O2803">
        <f>HYPERLINK("3\1\marker_216_837646.png", "Ver Imagen")</f>
        <v/>
      </c>
      <c r="P2803">
        <f>HYPERLINK("SE\A-492\A-492__308.png", "Ver Imagen")</f>
        <v/>
      </c>
    </row>
    <row r="2804">
      <c r="A2804" t="n">
        <v>2293</v>
      </c>
      <c r="B2804" t="inlineStr">
        <is>
          <t>A-492__310</t>
        </is>
      </c>
      <c r="C2804" t="n">
        <v>37.2939692693</v>
      </c>
      <c r="D2804" t="n">
        <v>-7.0472386257</v>
      </c>
      <c r="E2804" t="n">
        <v>2</v>
      </c>
      <c r="F2804" t="n">
        <v>3</v>
      </c>
      <c r="G2804" t="n">
        <v>3</v>
      </c>
      <c r="J2804" t="inlineStr">
        <is>
          <t>Moda</t>
        </is>
      </c>
      <c r="K2804" t="n">
        <v>3</v>
      </c>
      <c r="L2804" t="n">
        <v>2.862</v>
      </c>
      <c r="M2804" t="n">
        <v>0</v>
      </c>
      <c r="N2804" t="inlineStr">
        <is>
          <t>train</t>
        </is>
      </c>
      <c r="O2804">
        <f>HYPERLINK("3\1\marker_791_837670.png", "Ver Imagen")</f>
        <v/>
      </c>
      <c r="P2804">
        <f>HYPERLINK("SE\A-492\A-492__310.png", "Ver Imagen")</f>
        <v/>
      </c>
    </row>
    <row r="2805">
      <c r="A2805" t="n">
        <v>2294</v>
      </c>
      <c r="B2805" t="inlineStr">
        <is>
          <t>A-492__351</t>
        </is>
      </c>
      <c r="C2805" t="n">
        <v>37.2994965168</v>
      </c>
      <c r="D2805" t="n">
        <v>-7.05466300126</v>
      </c>
      <c r="E2805" t="n">
        <v>2</v>
      </c>
      <c r="F2805" t="n">
        <v>3</v>
      </c>
      <c r="G2805" t="n">
        <v>3</v>
      </c>
      <c r="J2805" t="inlineStr">
        <is>
          <t>Moda</t>
        </is>
      </c>
      <c r="K2805" t="n">
        <v>3</v>
      </c>
      <c r="L2805" t="n">
        <v>3.011</v>
      </c>
      <c r="M2805" t="n">
        <v>0</v>
      </c>
      <c r="N2805" t="inlineStr">
        <is>
          <t>train</t>
        </is>
      </c>
      <c r="O2805">
        <f>HYPERLINK("3\1\marker_113_838376.png", "Ver Imagen")</f>
        <v/>
      </c>
      <c r="P2805">
        <f>HYPERLINK("SE\A-492\A-492__351.png", "Ver Imagen")</f>
        <v/>
      </c>
    </row>
    <row r="2806">
      <c r="A2806" t="n">
        <v>2295</v>
      </c>
      <c r="B2806" t="inlineStr">
        <is>
          <t>A-492__400</t>
        </is>
      </c>
      <c r="C2806" t="n">
        <v>37.308884899</v>
      </c>
      <c r="D2806" t="n">
        <v>-7.05745627429</v>
      </c>
      <c r="E2806" t="n">
        <v>2</v>
      </c>
      <c r="F2806" t="n">
        <v>3</v>
      </c>
      <c r="G2806" t="n">
        <v>3</v>
      </c>
      <c r="J2806" t="inlineStr">
        <is>
          <t>Moda</t>
        </is>
      </c>
      <c r="K2806" t="n">
        <v>3</v>
      </c>
      <c r="L2806" t="n">
        <v>3.001</v>
      </c>
      <c r="M2806" t="n">
        <v>0</v>
      </c>
      <c r="N2806" t="inlineStr">
        <is>
          <t>train</t>
        </is>
      </c>
      <c r="O2806">
        <f>HYPERLINK("3\1\marker_317_839162.png", "Ver Imagen")</f>
        <v/>
      </c>
      <c r="P2806">
        <f>HYPERLINK("SE\A-492\A-492__400.png", "Ver Imagen")</f>
        <v/>
      </c>
    </row>
    <row r="2807">
      <c r="A2807" t="n">
        <v>2296</v>
      </c>
      <c r="B2807" t="inlineStr">
        <is>
          <t>A-495R__20</t>
        </is>
      </c>
      <c r="C2807" t="n">
        <v>37.4487309185</v>
      </c>
      <c r="D2807" t="n">
        <v>-7.10972771567</v>
      </c>
      <c r="E2807" t="n">
        <v>2</v>
      </c>
      <c r="F2807" t="n">
        <v>3</v>
      </c>
      <c r="G2807" t="n">
        <v>3</v>
      </c>
      <c r="J2807" t="inlineStr">
        <is>
          <t>Moda</t>
        </is>
      </c>
      <c r="K2807" t="n">
        <v>3</v>
      </c>
      <c r="L2807" t="n">
        <v>2.849</v>
      </c>
      <c r="M2807" t="n">
        <v>0</v>
      </c>
      <c r="N2807" t="inlineStr">
        <is>
          <t>train</t>
        </is>
      </c>
      <c r="O2807">
        <f>HYPERLINK("3\1\marker_801_936731.png", "Ver Imagen")</f>
        <v/>
      </c>
      <c r="P2807">
        <f>HYPERLINK("NE\A-495R\A-495R__20.png", "Ver Imagen")</f>
        <v/>
      </c>
    </row>
    <row r="2808">
      <c r="A2808" t="n">
        <v>2298</v>
      </c>
      <c r="B2808" t="inlineStr">
        <is>
          <t>A-5050__150</t>
        </is>
      </c>
      <c r="C2808" t="n">
        <v>37.1931153875</v>
      </c>
      <c r="D2808" t="n">
        <v>-6.99559868534</v>
      </c>
      <c r="E2808" t="n">
        <v>2</v>
      </c>
      <c r="F2808" t="n">
        <v>3</v>
      </c>
      <c r="G2808" t="n">
        <v>3</v>
      </c>
      <c r="J2808" t="inlineStr">
        <is>
          <t>Moda</t>
        </is>
      </c>
      <c r="K2808" t="n">
        <v>3</v>
      </c>
      <c r="L2808" t="n">
        <v>2.808</v>
      </c>
      <c r="M2808" t="n">
        <v>0</v>
      </c>
      <c r="N2808" t="inlineStr">
        <is>
          <t>train</t>
        </is>
      </c>
      <c r="O2808">
        <f>HYPERLINK("3\1\marker_671_945387.png", "Ver Imagen")</f>
        <v/>
      </c>
      <c r="P2808">
        <f>HYPERLINK("SE\A-5050\A-5050__150.png", "Ver Imagen")</f>
        <v/>
      </c>
    </row>
    <row r="2809">
      <c r="A2809" t="n">
        <v>2299</v>
      </c>
      <c r="B2809" t="inlineStr">
        <is>
          <t>A-5050__146</t>
        </is>
      </c>
      <c r="C2809" t="n">
        <v>37.1934855682</v>
      </c>
      <c r="D2809" t="n">
        <v>-6.99647459489</v>
      </c>
      <c r="E2809" t="n">
        <v>2</v>
      </c>
      <c r="F2809" t="n">
        <v>3</v>
      </c>
      <c r="G2809" t="n">
        <v>3</v>
      </c>
      <c r="J2809" t="inlineStr">
        <is>
          <t>Moda</t>
        </is>
      </c>
      <c r="K2809" t="n">
        <v>3</v>
      </c>
      <c r="L2809" t="n">
        <v>2.702</v>
      </c>
      <c r="M2809" t="n">
        <v>0</v>
      </c>
      <c r="N2809" t="inlineStr">
        <is>
          <t>train</t>
        </is>
      </c>
      <c r="O2809">
        <f>HYPERLINK("3\1\marker_432_945443.png", "Ver Imagen")</f>
        <v/>
      </c>
      <c r="P2809">
        <f>HYPERLINK("SE\A-5050\A-5050__146.png", "Ver Imagen")</f>
        <v/>
      </c>
    </row>
    <row r="2810">
      <c r="A2810" t="n">
        <v>2300</v>
      </c>
      <c r="B2810" t="inlineStr">
        <is>
          <t>A-5050__143</t>
        </is>
      </c>
      <c r="C2810" t="n">
        <v>37.1937711857</v>
      </c>
      <c r="D2810" t="n">
        <v>-6.99715671953</v>
      </c>
      <c r="E2810" t="n">
        <v>2</v>
      </c>
      <c r="F2810" t="n">
        <v>3</v>
      </c>
      <c r="G2810" t="n">
        <v>3</v>
      </c>
      <c r="J2810" t="inlineStr">
        <is>
          <t>Moda</t>
        </is>
      </c>
      <c r="K2810" t="n">
        <v>3</v>
      </c>
      <c r="L2810" t="n">
        <v>3.025</v>
      </c>
      <c r="M2810" t="n">
        <v>0</v>
      </c>
      <c r="N2810" t="inlineStr">
        <is>
          <t>train</t>
        </is>
      </c>
      <c r="O2810">
        <f>HYPERLINK("3\1\marker_874_945809.png", "Ver Imagen")</f>
        <v/>
      </c>
      <c r="P2810">
        <f>HYPERLINK("SE\A-5050\A-5050__143.png", "Ver Imagen")</f>
        <v/>
      </c>
    </row>
    <row r="2811">
      <c r="A2811" t="n">
        <v>2301</v>
      </c>
      <c r="B2811" t="inlineStr">
        <is>
          <t>A-5050__127</t>
        </is>
      </c>
      <c r="C2811" t="n">
        <v>37.1952416517</v>
      </c>
      <c r="D2811" t="n">
        <v>-7.00073364896</v>
      </c>
      <c r="E2811" t="n">
        <v>2</v>
      </c>
      <c r="F2811" t="n">
        <v>3</v>
      </c>
      <c r="G2811" t="n">
        <v>3</v>
      </c>
      <c r="J2811" t="inlineStr">
        <is>
          <t>Moda</t>
        </is>
      </c>
      <c r="K2811" t="n">
        <v>3</v>
      </c>
      <c r="L2811" t="n">
        <v>2.769</v>
      </c>
      <c r="M2811" t="n">
        <v>0</v>
      </c>
      <c r="N2811" t="inlineStr">
        <is>
          <t>test</t>
        </is>
      </c>
      <c r="O2811">
        <f>HYPERLINK("3\1\marker_931_946343.png", "Ver Imagen")</f>
        <v/>
      </c>
      <c r="P2811">
        <f>HYPERLINK("SE\A-5050\A-5050__127.png", "Ver Imagen")</f>
        <v/>
      </c>
    </row>
    <row r="2812">
      <c r="A2812" t="n">
        <v>2302</v>
      </c>
      <c r="B2812" t="inlineStr">
        <is>
          <t>A-5050__124</t>
        </is>
      </c>
      <c r="C2812" t="n">
        <v>37.195527312</v>
      </c>
      <c r="D2812" t="n">
        <v>-7.00142841513</v>
      </c>
      <c r="E2812" t="n">
        <v>2</v>
      </c>
      <c r="F2812" t="n">
        <v>3</v>
      </c>
      <c r="G2812" t="n">
        <v>3</v>
      </c>
      <c r="J2812" t="inlineStr">
        <is>
          <t>Moda</t>
        </is>
      </c>
      <c r="K2812" t="n">
        <v>3</v>
      </c>
      <c r="L2812" t="n">
        <v>2.8</v>
      </c>
      <c r="M2812" t="n">
        <v>0</v>
      </c>
      <c r="N2812" t="inlineStr">
        <is>
          <t>train</t>
        </is>
      </c>
      <c r="O2812">
        <f>HYPERLINK("3\1\marker_726_946375.png", "Ver Imagen")</f>
        <v/>
      </c>
      <c r="P2812">
        <f>HYPERLINK("SE\A-5050\A-5050__124.png", "Ver Imagen")</f>
        <v/>
      </c>
    </row>
    <row r="2813">
      <c r="A2813" t="n">
        <v>2303</v>
      </c>
      <c r="B2813" t="inlineStr">
        <is>
          <t>A-5050__123</t>
        </is>
      </c>
      <c r="C2813" t="n">
        <v>37.195626871</v>
      </c>
      <c r="D2813" t="n">
        <v>-7.00166955124</v>
      </c>
      <c r="E2813" t="n">
        <v>2</v>
      </c>
      <c r="F2813" t="n">
        <v>3</v>
      </c>
      <c r="G2813" t="n">
        <v>3</v>
      </c>
      <c r="J2813" t="inlineStr">
        <is>
          <t>Moda</t>
        </is>
      </c>
      <c r="K2813" t="n">
        <v>3</v>
      </c>
      <c r="L2813" t="n">
        <v>2.982</v>
      </c>
      <c r="M2813" t="n">
        <v>0</v>
      </c>
      <c r="N2813" t="inlineStr">
        <is>
          <t>train</t>
        </is>
      </c>
      <c r="O2813">
        <f>HYPERLINK("3\1\marker_284_946471.png", "Ver Imagen")</f>
        <v/>
      </c>
      <c r="P2813">
        <f>HYPERLINK("SE\A-5050\A-5050__123.png", "Ver Imagen")</f>
        <v/>
      </c>
    </row>
    <row r="2814">
      <c r="A2814" t="n">
        <v>2304</v>
      </c>
      <c r="B2814" t="inlineStr">
        <is>
          <t>A-5050__122</t>
        </is>
      </c>
      <c r="C2814" t="n">
        <v>37.1957044858</v>
      </c>
      <c r="D2814" t="n">
        <v>-7.0018564437</v>
      </c>
      <c r="E2814" t="n">
        <v>2</v>
      </c>
      <c r="F2814" t="n">
        <v>3</v>
      </c>
      <c r="G2814" t="n">
        <v>3</v>
      </c>
      <c r="J2814" t="inlineStr">
        <is>
          <t>Moda</t>
        </is>
      </c>
      <c r="K2814" t="n">
        <v>3</v>
      </c>
      <c r="L2814" t="n">
        <v>2.851</v>
      </c>
      <c r="M2814" t="n">
        <v>0</v>
      </c>
      <c r="N2814" t="inlineStr">
        <is>
          <t>train</t>
        </is>
      </c>
      <c r="O2814">
        <f>HYPERLINK("3\1\marker_158_946481.png", "Ver Imagen")</f>
        <v/>
      </c>
      <c r="P2814">
        <f>HYPERLINK("SE\A-5050\A-5050__122.png", "Ver Imagen")</f>
        <v/>
      </c>
    </row>
    <row r="2815">
      <c r="A2815" t="n">
        <v>2305</v>
      </c>
      <c r="B2815" t="inlineStr">
        <is>
          <t>A-5050__121</t>
        </is>
      </c>
      <c r="C2815" t="n">
        <v>37.1957960224</v>
      </c>
      <c r="D2815" t="n">
        <v>-7.00207591417</v>
      </c>
      <c r="E2815" t="n">
        <v>2</v>
      </c>
      <c r="F2815" t="n">
        <v>3</v>
      </c>
      <c r="G2815" t="n">
        <v>3</v>
      </c>
      <c r="J2815" t="inlineStr">
        <is>
          <t>Moda</t>
        </is>
      </c>
      <c r="K2815" t="n">
        <v>3</v>
      </c>
      <c r="L2815" t="n">
        <v>3.023</v>
      </c>
      <c r="M2815" t="n">
        <v>0</v>
      </c>
      <c r="N2815" t="inlineStr">
        <is>
          <t>train</t>
        </is>
      </c>
      <c r="O2815">
        <f>HYPERLINK("3\1\marker_390_946495.png", "Ver Imagen")</f>
        <v/>
      </c>
      <c r="P2815">
        <f>HYPERLINK("SE\A-5050\A-5050__121.png", "Ver Imagen")</f>
        <v/>
      </c>
    </row>
    <row r="2816">
      <c r="A2816" t="n">
        <v>2306</v>
      </c>
      <c r="B2816" t="inlineStr">
        <is>
          <t>A-5050__119</t>
        </is>
      </c>
      <c r="C2816" t="n">
        <v>37.1960129267</v>
      </c>
      <c r="D2816" t="n">
        <v>-7.00257752242</v>
      </c>
      <c r="E2816" t="n">
        <v>2</v>
      </c>
      <c r="F2816" t="n">
        <v>3</v>
      </c>
      <c r="G2816" t="n">
        <v>3</v>
      </c>
      <c r="J2816" t="inlineStr">
        <is>
          <t>Moda</t>
        </is>
      </c>
      <c r="K2816" t="n">
        <v>3</v>
      </c>
      <c r="L2816" t="n">
        <v>3.009</v>
      </c>
      <c r="M2816" t="n">
        <v>0</v>
      </c>
      <c r="N2816" t="inlineStr">
        <is>
          <t>train</t>
        </is>
      </c>
      <c r="O2816">
        <f>HYPERLINK("3\1\marker_414_946518.png", "Ver Imagen")</f>
        <v/>
      </c>
      <c r="P2816">
        <f>HYPERLINK("SE\A-5050\A-5050__119.png", "Ver Imagen")</f>
        <v/>
      </c>
    </row>
    <row r="2817">
      <c r="A2817" t="n">
        <v>2311</v>
      </c>
      <c r="B2817" t="inlineStr">
        <is>
          <t>A-5050__112</t>
        </is>
      </c>
      <c r="C2817" t="n">
        <v>37.1966722549</v>
      </c>
      <c r="D2817" t="n">
        <v>-7.00411501787</v>
      </c>
      <c r="E2817" t="n">
        <v>2</v>
      </c>
      <c r="F2817" t="n">
        <v>3</v>
      </c>
      <c r="G2817" t="n">
        <v>3</v>
      </c>
      <c r="J2817" t="inlineStr">
        <is>
          <t>Moda</t>
        </is>
      </c>
      <c r="K2817" t="n">
        <v>3</v>
      </c>
      <c r="L2817" t="n">
        <v>2.845</v>
      </c>
      <c r="M2817" t="n">
        <v>0</v>
      </c>
      <c r="N2817" t="inlineStr">
        <is>
          <t>train</t>
        </is>
      </c>
      <c r="O2817">
        <f>HYPERLINK("3\1\marker_992_946639.png", "Ver Imagen")</f>
        <v/>
      </c>
      <c r="P2817">
        <f>HYPERLINK("SE\A-5050\A-5050__112.png", "Ver Imagen")</f>
        <v/>
      </c>
    </row>
    <row r="2818">
      <c r="A2818" t="n">
        <v>2314</v>
      </c>
      <c r="B2818" t="inlineStr">
        <is>
          <t>A-5050__108</t>
        </is>
      </c>
      <c r="C2818" t="n">
        <v>37.1970136683</v>
      </c>
      <c r="D2818" t="n">
        <v>-7.00497789219</v>
      </c>
      <c r="E2818" t="n">
        <v>2</v>
      </c>
      <c r="F2818" t="n">
        <v>3</v>
      </c>
      <c r="G2818" t="n">
        <v>3</v>
      </c>
      <c r="J2818" t="inlineStr">
        <is>
          <t>Moda</t>
        </is>
      </c>
      <c r="K2818" t="n">
        <v>3</v>
      </c>
      <c r="L2818" t="n">
        <v>2.956</v>
      </c>
      <c r="M2818" t="n">
        <v>0</v>
      </c>
      <c r="N2818" t="inlineStr">
        <is>
          <t>train</t>
        </is>
      </c>
      <c r="O2818">
        <f>HYPERLINK("3\1\marker_869_946686.png", "Ver Imagen")</f>
        <v/>
      </c>
      <c r="P2818">
        <f>HYPERLINK("SE\A-5050\A-5050__108.png", "Ver Imagen")</f>
        <v/>
      </c>
    </row>
    <row r="2819">
      <c r="A2819" t="n">
        <v>2315</v>
      </c>
      <c r="B2819" t="inlineStr">
        <is>
          <t>A-5050__103</t>
        </is>
      </c>
      <c r="C2819" t="n">
        <v>37.1975099884</v>
      </c>
      <c r="D2819" t="n">
        <v>-7.00614001309</v>
      </c>
      <c r="E2819" t="n">
        <v>2</v>
      </c>
      <c r="F2819" t="n">
        <v>3</v>
      </c>
      <c r="G2819" t="n">
        <v>3</v>
      </c>
      <c r="J2819" t="inlineStr">
        <is>
          <t>Moda</t>
        </is>
      </c>
      <c r="K2819" t="n">
        <v>3</v>
      </c>
      <c r="L2819" t="n">
        <v>3.163</v>
      </c>
      <c r="M2819" t="n">
        <v>0</v>
      </c>
      <c r="N2819" t="inlineStr">
        <is>
          <t>train</t>
        </is>
      </c>
      <c r="O2819">
        <f>HYPERLINK("3\1\marker_643_946755.png", "Ver Imagen")</f>
        <v/>
      </c>
      <c r="P2819">
        <f>HYPERLINK("SE\A-5050\A-5050__103.png", "Ver Imagen")</f>
        <v/>
      </c>
    </row>
    <row r="2820">
      <c r="A2820" t="n">
        <v>2316</v>
      </c>
      <c r="B2820" t="inlineStr">
        <is>
          <t>A-5050__100</t>
        </is>
      </c>
      <c r="C2820" t="n">
        <v>37.1978038922</v>
      </c>
      <c r="D2820" t="n">
        <v>-7.0067726129</v>
      </c>
      <c r="E2820" t="n">
        <v>2</v>
      </c>
      <c r="F2820" t="n">
        <v>3</v>
      </c>
      <c r="G2820" t="n">
        <v>3</v>
      </c>
      <c r="J2820" t="inlineStr">
        <is>
          <t>Moda</t>
        </is>
      </c>
      <c r="K2820" t="n">
        <v>3</v>
      </c>
      <c r="L2820" t="n">
        <v>2.895</v>
      </c>
      <c r="M2820" t="n">
        <v>0</v>
      </c>
      <c r="N2820" t="inlineStr">
        <is>
          <t>train</t>
        </is>
      </c>
      <c r="O2820">
        <f>HYPERLINK("3\1\marker_596_946804.png", "Ver Imagen")</f>
        <v/>
      </c>
      <c r="P2820">
        <f>HYPERLINK("SE\A-5050\A-5050__100.png", "Ver Imagen")</f>
        <v/>
      </c>
    </row>
    <row r="2821">
      <c r="A2821" t="n">
        <v>2317</v>
      </c>
      <c r="B2821" t="inlineStr">
        <is>
          <t>A-5050__99</t>
        </is>
      </c>
      <c r="C2821" t="n">
        <v>37.1979094064</v>
      </c>
      <c r="D2821" t="n">
        <v>-7.0069904976</v>
      </c>
      <c r="E2821" t="n">
        <v>2</v>
      </c>
      <c r="F2821" t="n">
        <v>3</v>
      </c>
      <c r="G2821" t="n">
        <v>3</v>
      </c>
      <c r="J2821" t="inlineStr">
        <is>
          <t>Moda</t>
        </is>
      </c>
      <c r="K2821" t="n">
        <v>3</v>
      </c>
      <c r="L2821" t="n">
        <v>2.899</v>
      </c>
      <c r="M2821" t="n">
        <v>0</v>
      </c>
      <c r="N2821" t="inlineStr">
        <is>
          <t>train</t>
        </is>
      </c>
      <c r="O2821">
        <f>HYPERLINK("3\1\marker_945_946813.png", "Ver Imagen")</f>
        <v/>
      </c>
      <c r="P2821">
        <f>HYPERLINK("SE\A-5050\A-5050__99.png", "Ver Imagen")</f>
        <v/>
      </c>
    </row>
    <row r="2822">
      <c r="A2822" t="n">
        <v>2318</v>
      </c>
      <c r="B2822" t="inlineStr">
        <is>
          <t>A-5050__98</t>
        </is>
      </c>
      <c r="C2822" t="n">
        <v>37.1980110497</v>
      </c>
      <c r="D2822" t="n">
        <v>-7.00719728324</v>
      </c>
      <c r="E2822" t="n">
        <v>2</v>
      </c>
      <c r="F2822" t="n">
        <v>3</v>
      </c>
      <c r="G2822" t="n">
        <v>3</v>
      </c>
      <c r="J2822" t="inlineStr">
        <is>
          <t>Moda</t>
        </is>
      </c>
      <c r="K2822" t="n">
        <v>3</v>
      </c>
      <c r="L2822" t="n">
        <v>3.164</v>
      </c>
      <c r="M2822" t="n">
        <v>0</v>
      </c>
      <c r="N2822" t="inlineStr">
        <is>
          <t>train</t>
        </is>
      </c>
      <c r="O2822">
        <f>HYPERLINK("3\1\marker_379_946827.png", "Ver Imagen")</f>
        <v/>
      </c>
      <c r="P2822">
        <f>HYPERLINK("SE\A-5050\A-5050__98.png", "Ver Imagen")</f>
        <v/>
      </c>
    </row>
    <row r="2823">
      <c r="A2823" t="n">
        <v>2319</v>
      </c>
      <c r="B2823" t="inlineStr">
        <is>
          <t>A-5050__97</t>
        </is>
      </c>
      <c r="C2823" t="n">
        <v>37.1981345243</v>
      </c>
      <c r="D2823" t="n">
        <v>-7.00744562056</v>
      </c>
      <c r="E2823" t="n">
        <v>2</v>
      </c>
      <c r="F2823" t="n">
        <v>3</v>
      </c>
      <c r="G2823" t="n">
        <v>3</v>
      </c>
      <c r="J2823" t="inlineStr">
        <is>
          <t>Moda</t>
        </is>
      </c>
      <c r="K2823" t="n">
        <v>3</v>
      </c>
      <c r="L2823" t="n">
        <v>3.003</v>
      </c>
      <c r="M2823" t="n">
        <v>0</v>
      </c>
      <c r="N2823" t="inlineStr">
        <is>
          <t>train</t>
        </is>
      </c>
      <c r="O2823">
        <f>HYPERLINK("3\1\marker_356_946843.png", "Ver Imagen")</f>
        <v/>
      </c>
      <c r="P2823">
        <f>HYPERLINK("SE\A-5050\A-5050__97.png", "Ver Imagen")</f>
        <v/>
      </c>
    </row>
    <row r="2824">
      <c r="A2824" t="n">
        <v>2320</v>
      </c>
      <c r="B2824" t="inlineStr">
        <is>
          <t>A-5050__96</t>
        </is>
      </c>
      <c r="C2824" t="n">
        <v>37.1982260444</v>
      </c>
      <c r="D2824" t="n">
        <v>-7.00762892903</v>
      </c>
      <c r="E2824" t="n">
        <v>2</v>
      </c>
      <c r="F2824" t="n">
        <v>3</v>
      </c>
      <c r="G2824" t="n">
        <v>3</v>
      </c>
      <c r="J2824" t="inlineStr">
        <is>
          <t>Moda</t>
        </is>
      </c>
      <c r="K2824" t="n">
        <v>3</v>
      </c>
      <c r="L2824" t="n">
        <v>3.078</v>
      </c>
      <c r="M2824" t="n">
        <v>0</v>
      </c>
      <c r="N2824" t="inlineStr">
        <is>
          <t>train</t>
        </is>
      </c>
      <c r="O2824">
        <f>HYPERLINK("3\1\marker_655_946870.png", "Ver Imagen")</f>
        <v/>
      </c>
      <c r="P2824">
        <f>HYPERLINK("SE\A-5050\A-5050__96.png", "Ver Imagen")</f>
        <v/>
      </c>
    </row>
    <row r="2825">
      <c r="A2825" t="n">
        <v>2321</v>
      </c>
      <c r="B2825" t="inlineStr">
        <is>
          <t>A-5050__94</t>
        </is>
      </c>
      <c r="C2825" t="n">
        <v>37.1984328079</v>
      </c>
      <c r="D2825" t="n">
        <v>-7.00803650922</v>
      </c>
      <c r="E2825" t="n">
        <v>2</v>
      </c>
      <c r="F2825" t="n">
        <v>3</v>
      </c>
      <c r="G2825" t="n">
        <v>3</v>
      </c>
      <c r="J2825" t="inlineStr">
        <is>
          <t>Moda</t>
        </is>
      </c>
      <c r="K2825" t="n">
        <v>3</v>
      </c>
      <c r="L2825" t="n">
        <v>2.589</v>
      </c>
      <c r="M2825" t="n">
        <v>0</v>
      </c>
      <c r="N2825" t="inlineStr">
        <is>
          <t>val</t>
        </is>
      </c>
      <c r="O2825">
        <f>HYPERLINK("3\1\marker_686_947013.png", "Ver Imagen")</f>
        <v/>
      </c>
      <c r="P2825">
        <f>HYPERLINK("SE\A-5050\A-5050__94.png", "Ver Imagen")</f>
        <v/>
      </c>
    </row>
    <row r="2826">
      <c r="A2826" t="n">
        <v>2322</v>
      </c>
      <c r="B2826" t="inlineStr">
        <is>
          <t>A-5050__93</t>
        </is>
      </c>
      <c r="C2826" t="n">
        <v>37.1985640479</v>
      </c>
      <c r="D2826" t="n">
        <v>-7.00829131292</v>
      </c>
      <c r="E2826" t="n">
        <v>2</v>
      </c>
      <c r="F2826" t="n">
        <v>3</v>
      </c>
      <c r="G2826" t="n">
        <v>3</v>
      </c>
      <c r="J2826" t="inlineStr">
        <is>
          <t>Moda</t>
        </is>
      </c>
      <c r="K2826" t="n">
        <v>3</v>
      </c>
      <c r="L2826" t="n">
        <v>3.3</v>
      </c>
      <c r="M2826" t="n">
        <v>0</v>
      </c>
      <c r="N2826" t="inlineStr">
        <is>
          <t>train</t>
        </is>
      </c>
      <c r="O2826">
        <f>HYPERLINK("3\1\marker_626_947377.png", "Ver Imagen")</f>
        <v/>
      </c>
      <c r="P2826">
        <f>HYPERLINK("SE\A-5050\A-5050__93.png", "Ver Imagen")</f>
        <v/>
      </c>
    </row>
    <row r="2827">
      <c r="A2827" t="n">
        <v>2323</v>
      </c>
      <c r="B2827" t="inlineStr">
        <is>
          <t>A-5050__92</t>
        </is>
      </c>
      <c r="C2827" t="n">
        <v>37.1986688678</v>
      </c>
      <c r="D2827" t="n">
        <v>-7.00849234783</v>
      </c>
      <c r="E2827" t="n">
        <v>2</v>
      </c>
      <c r="F2827" t="n">
        <v>3</v>
      </c>
      <c r="G2827" t="n">
        <v>3</v>
      </c>
      <c r="J2827" t="inlineStr">
        <is>
          <t>Moda</t>
        </is>
      </c>
      <c r="K2827" t="n">
        <v>3</v>
      </c>
      <c r="L2827" t="n">
        <v>2.891</v>
      </c>
      <c r="M2827" t="n">
        <v>0</v>
      </c>
      <c r="N2827" t="inlineStr">
        <is>
          <t>train</t>
        </is>
      </c>
      <c r="O2827">
        <f>HYPERLINK("3\1\marker_899_947391.png", "Ver Imagen")</f>
        <v/>
      </c>
      <c r="P2827">
        <f>HYPERLINK("SE\A-5050\A-5050__92.png", "Ver Imagen")</f>
        <v/>
      </c>
    </row>
    <row r="2828">
      <c r="A2828" t="n">
        <v>2324</v>
      </c>
      <c r="B2828" t="inlineStr">
        <is>
          <t>A-5050__91</t>
        </is>
      </c>
      <c r="C2828" t="n">
        <v>37.1987758426</v>
      </c>
      <c r="D2828" t="n">
        <v>-7.00869203289</v>
      </c>
      <c r="E2828" t="n">
        <v>2</v>
      </c>
      <c r="F2828" t="n">
        <v>3</v>
      </c>
      <c r="G2828" t="n">
        <v>3</v>
      </c>
      <c r="J2828" t="inlineStr">
        <is>
          <t>Moda</t>
        </is>
      </c>
      <c r="K2828" t="n">
        <v>3</v>
      </c>
      <c r="L2828" t="n">
        <v>3.079</v>
      </c>
      <c r="M2828" t="n">
        <v>0</v>
      </c>
      <c r="N2828" t="inlineStr">
        <is>
          <t>train</t>
        </is>
      </c>
      <c r="O2828">
        <f>HYPERLINK("3\1\marker_699_947401.png", "Ver Imagen")</f>
        <v/>
      </c>
      <c r="P2828">
        <f>HYPERLINK("SE\A-5050\A-5050__91.png", "Ver Imagen")</f>
        <v/>
      </c>
    </row>
    <row r="2829">
      <c r="A2829" t="n">
        <v>2325</v>
      </c>
      <c r="B2829" t="inlineStr">
        <is>
          <t>A-5050__90</t>
        </is>
      </c>
      <c r="C2829" t="n">
        <v>37.1988869688</v>
      </c>
      <c r="D2829" t="n">
        <v>-7.00889329532</v>
      </c>
      <c r="E2829" t="n">
        <v>2</v>
      </c>
      <c r="F2829" t="n">
        <v>3</v>
      </c>
      <c r="G2829" t="n">
        <v>3</v>
      </c>
      <c r="J2829" t="inlineStr">
        <is>
          <t>Moda</t>
        </is>
      </c>
      <c r="K2829" t="n">
        <v>3</v>
      </c>
      <c r="L2829" t="n">
        <v>2.941</v>
      </c>
      <c r="M2829" t="n">
        <v>0</v>
      </c>
      <c r="N2829" t="inlineStr">
        <is>
          <t>test</t>
        </is>
      </c>
      <c r="O2829">
        <f>HYPERLINK("3\1\marker_128_947412.png", "Ver Imagen")</f>
        <v/>
      </c>
      <c r="P2829">
        <f>HYPERLINK("SE\A-5050\A-5050__90.png", "Ver Imagen")</f>
        <v/>
      </c>
    </row>
    <row r="2830">
      <c r="A2830" t="n">
        <v>2326</v>
      </c>
      <c r="B2830" t="inlineStr">
        <is>
          <t>A-5050__89</t>
        </is>
      </c>
      <c r="C2830" t="n">
        <v>37.1990201249</v>
      </c>
      <c r="D2830" t="n">
        <v>-7.00912787418</v>
      </c>
      <c r="E2830" t="n">
        <v>2</v>
      </c>
      <c r="F2830" t="n">
        <v>3</v>
      </c>
      <c r="G2830" t="n">
        <v>3</v>
      </c>
      <c r="J2830" t="inlineStr">
        <is>
          <t>Moda</t>
        </is>
      </c>
      <c r="K2830" t="n">
        <v>3</v>
      </c>
      <c r="L2830" t="n">
        <v>2.683</v>
      </c>
      <c r="M2830" t="n">
        <v>0</v>
      </c>
      <c r="N2830" t="inlineStr">
        <is>
          <t>test</t>
        </is>
      </c>
      <c r="O2830">
        <f>HYPERLINK("3\1\marker_730_947424.png", "Ver Imagen")</f>
        <v/>
      </c>
      <c r="P2830">
        <f>HYPERLINK("SE\A-5050\A-5050__89.png", "Ver Imagen")</f>
        <v/>
      </c>
    </row>
    <row r="2831">
      <c r="A2831" t="n">
        <v>2327</v>
      </c>
      <c r="B2831" t="inlineStr">
        <is>
          <t>A-5050__86</t>
        </is>
      </c>
      <c r="C2831" t="n">
        <v>37.1993685349</v>
      </c>
      <c r="D2831" t="n">
        <v>-7.00972052921</v>
      </c>
      <c r="E2831" t="n">
        <v>2</v>
      </c>
      <c r="F2831" t="n">
        <v>3</v>
      </c>
      <c r="G2831" t="n">
        <v>3</v>
      </c>
      <c r="J2831" t="inlineStr">
        <is>
          <t>Moda</t>
        </is>
      </c>
      <c r="K2831" t="n">
        <v>3</v>
      </c>
      <c r="L2831" t="n">
        <v>2.985</v>
      </c>
      <c r="M2831" t="n">
        <v>0</v>
      </c>
      <c r="N2831" t="inlineStr">
        <is>
          <t>train</t>
        </is>
      </c>
      <c r="O2831">
        <f>HYPERLINK("3\1\marker_462_947457.png", "Ver Imagen")</f>
        <v/>
      </c>
      <c r="P2831">
        <f>HYPERLINK("SE\A-5050\A-5050__86.png", "Ver Imagen")</f>
        <v/>
      </c>
    </row>
    <row r="2832">
      <c r="A2832" t="n">
        <v>2328</v>
      </c>
      <c r="B2832" t="inlineStr">
        <is>
          <t>A-5050__84</t>
        </is>
      </c>
      <c r="C2832" t="n">
        <v>37.1996057853</v>
      </c>
      <c r="D2832" t="n">
        <v>-7.01011704823</v>
      </c>
      <c r="E2832" t="n">
        <v>2</v>
      </c>
      <c r="F2832" t="n">
        <v>3</v>
      </c>
      <c r="G2832" t="n">
        <v>3</v>
      </c>
      <c r="J2832" t="inlineStr">
        <is>
          <t>Moda</t>
        </is>
      </c>
      <c r="K2832" t="n">
        <v>3</v>
      </c>
      <c r="L2832" t="n">
        <v>3.203</v>
      </c>
      <c r="M2832" t="n">
        <v>0</v>
      </c>
      <c r="N2832" t="inlineStr">
        <is>
          <t>train</t>
        </is>
      </c>
      <c r="O2832">
        <f>HYPERLINK("3\1\marker_803_948654.png", "Ver Imagen")</f>
        <v/>
      </c>
      <c r="P2832">
        <f>HYPERLINK("SE\A-5050\A-5050__84.png", "Ver Imagen")</f>
        <v/>
      </c>
    </row>
    <row r="2833">
      <c r="A2833" t="n">
        <v>2329</v>
      </c>
      <c r="B2833" t="inlineStr">
        <is>
          <t>A-5050__83</t>
        </is>
      </c>
      <c r="C2833" t="n">
        <v>37.1997641181</v>
      </c>
      <c r="D2833" t="n">
        <v>-7.01037683559</v>
      </c>
      <c r="E2833" t="n">
        <v>2</v>
      </c>
      <c r="F2833" t="n">
        <v>3</v>
      </c>
      <c r="G2833" t="n">
        <v>3</v>
      </c>
      <c r="J2833" t="inlineStr">
        <is>
          <t>Moda</t>
        </is>
      </c>
      <c r="K2833" t="n">
        <v>3</v>
      </c>
      <c r="L2833" t="n">
        <v>3.034</v>
      </c>
      <c r="M2833" t="n">
        <v>0</v>
      </c>
      <c r="N2833" t="inlineStr">
        <is>
          <t>test</t>
        </is>
      </c>
      <c r="O2833">
        <f>HYPERLINK("3\1\marker_460_948734.png", "Ver Imagen")</f>
        <v/>
      </c>
      <c r="P2833">
        <f>HYPERLINK("SE\A-5050\A-5050__83.png", "Ver Imagen")</f>
        <v/>
      </c>
    </row>
    <row r="2834">
      <c r="A2834" t="n">
        <v>2330</v>
      </c>
      <c r="B2834" t="inlineStr">
        <is>
          <t>A-5050__78</t>
        </is>
      </c>
      <c r="C2834" t="n">
        <v>37.2003750289</v>
      </c>
      <c r="D2834" t="n">
        <v>-7.0113339004</v>
      </c>
      <c r="E2834" t="n">
        <v>2</v>
      </c>
      <c r="F2834" t="n">
        <v>3</v>
      </c>
      <c r="G2834" t="n">
        <v>3</v>
      </c>
      <c r="J2834" t="inlineStr">
        <is>
          <t>Moda</t>
        </is>
      </c>
      <c r="K2834" t="n">
        <v>3</v>
      </c>
      <c r="L2834" t="n">
        <v>3.069</v>
      </c>
      <c r="M2834" t="n">
        <v>0</v>
      </c>
      <c r="N2834" t="inlineStr">
        <is>
          <t>train</t>
        </is>
      </c>
      <c r="O2834">
        <f>HYPERLINK("3\1\marker_167_948792.png", "Ver Imagen")</f>
        <v/>
      </c>
      <c r="P2834">
        <f>HYPERLINK("SE\A-5050\A-5050__78.png", "Ver Imagen")</f>
        <v/>
      </c>
    </row>
    <row r="2835">
      <c r="A2835" t="n">
        <v>2331</v>
      </c>
      <c r="B2835" t="inlineStr">
        <is>
          <t>A-5050__77</t>
        </is>
      </c>
      <c r="C2835" t="n">
        <v>37.2005060192</v>
      </c>
      <c r="D2835" t="n">
        <v>-7.01153418079</v>
      </c>
      <c r="E2835" t="n">
        <v>2</v>
      </c>
      <c r="F2835" t="n">
        <v>3</v>
      </c>
      <c r="G2835" t="n">
        <v>3</v>
      </c>
      <c r="J2835" t="inlineStr">
        <is>
          <t>Moda</t>
        </is>
      </c>
      <c r="K2835" t="n">
        <v>3</v>
      </c>
      <c r="L2835" t="n">
        <v>2.867</v>
      </c>
      <c r="M2835" t="n">
        <v>0</v>
      </c>
      <c r="N2835" t="inlineStr">
        <is>
          <t>train</t>
        </is>
      </c>
      <c r="O2835">
        <f>HYPERLINK("3\1\marker_588_948803.png", "Ver Imagen")</f>
        <v/>
      </c>
      <c r="P2835">
        <f>HYPERLINK("SE\A-5050\A-5050__77.png", "Ver Imagen")</f>
        <v/>
      </c>
    </row>
    <row r="2836">
      <c r="A2836" t="n">
        <v>2332</v>
      </c>
      <c r="B2836" t="inlineStr">
        <is>
          <t>A-5050__74</t>
        </is>
      </c>
      <c r="C2836" t="n">
        <v>37.2008896217</v>
      </c>
      <c r="D2836" t="n">
        <v>-7.01211760492</v>
      </c>
      <c r="E2836" t="n">
        <v>2</v>
      </c>
      <c r="F2836" t="n">
        <v>3</v>
      </c>
      <c r="G2836" t="n">
        <v>3</v>
      </c>
      <c r="J2836" t="inlineStr">
        <is>
          <t>Moda</t>
        </is>
      </c>
      <c r="K2836" t="n">
        <v>3</v>
      </c>
      <c r="L2836" t="n">
        <v>3.012</v>
      </c>
      <c r="M2836" t="n">
        <v>0</v>
      </c>
      <c r="N2836" t="inlineStr">
        <is>
          <t>val</t>
        </is>
      </c>
      <c r="O2836">
        <f>HYPERLINK("3\1\marker_289_948836.png", "Ver Imagen")</f>
        <v/>
      </c>
      <c r="P2836">
        <f>HYPERLINK("SE\A-5050\A-5050__74.png", "Ver Imagen")</f>
        <v/>
      </c>
    </row>
    <row r="2837">
      <c r="A2837" t="n">
        <v>2333</v>
      </c>
      <c r="B2837" t="inlineStr">
        <is>
          <t>A-5050__73</t>
        </is>
      </c>
      <c r="C2837" t="n">
        <v>37.2010028433</v>
      </c>
      <c r="D2837" t="n">
        <v>-7.01229034505</v>
      </c>
      <c r="E2837" t="n">
        <v>2</v>
      </c>
      <c r="F2837" t="n">
        <v>3</v>
      </c>
      <c r="G2837" t="n">
        <v>3</v>
      </c>
      <c r="J2837" t="inlineStr">
        <is>
          <t>Moda</t>
        </is>
      </c>
      <c r="K2837" t="n">
        <v>3</v>
      </c>
      <c r="L2837" t="n">
        <v>2.915</v>
      </c>
      <c r="M2837" t="n">
        <v>0</v>
      </c>
      <c r="N2837" t="inlineStr">
        <is>
          <t>train</t>
        </is>
      </c>
      <c r="O2837">
        <f>HYPERLINK("3\1\marker_256_948844.png", "Ver Imagen")</f>
        <v/>
      </c>
      <c r="P2837">
        <f>HYPERLINK("SE\A-5050\A-5050__73.png", "Ver Imagen")</f>
        <v/>
      </c>
    </row>
    <row r="2838">
      <c r="A2838" t="n">
        <v>2334</v>
      </c>
      <c r="B2838" t="inlineStr">
        <is>
          <t>A-5050__72</t>
        </is>
      </c>
      <c r="C2838" t="n">
        <v>37.2011460046</v>
      </c>
      <c r="D2838" t="n">
        <v>-7.0125094781</v>
      </c>
      <c r="E2838" t="n">
        <v>2</v>
      </c>
      <c r="F2838" t="n">
        <v>3</v>
      </c>
      <c r="G2838" t="n">
        <v>3</v>
      </c>
      <c r="J2838" t="inlineStr">
        <is>
          <t>Moda</t>
        </is>
      </c>
      <c r="K2838" t="n">
        <v>3</v>
      </c>
      <c r="L2838" t="n">
        <v>3.115</v>
      </c>
      <c r="M2838" t="n">
        <v>0</v>
      </c>
      <c r="N2838" t="inlineStr">
        <is>
          <t>train</t>
        </is>
      </c>
      <c r="O2838">
        <f>HYPERLINK("3\1\marker_401_948853.png", "Ver Imagen")</f>
        <v/>
      </c>
      <c r="P2838">
        <f>HYPERLINK("SE\A-5050\A-5050__72.png", "Ver Imagen")</f>
        <v/>
      </c>
    </row>
    <row r="2839">
      <c r="A2839" t="n">
        <v>2335</v>
      </c>
      <c r="B2839" t="inlineStr">
        <is>
          <t>A-5050__71</t>
        </is>
      </c>
      <c r="C2839" t="n">
        <v>37.2013013402</v>
      </c>
      <c r="D2839" t="n">
        <v>-7.01274757318</v>
      </c>
      <c r="E2839" t="n">
        <v>2</v>
      </c>
      <c r="F2839" t="n">
        <v>3</v>
      </c>
      <c r="G2839" t="n">
        <v>3</v>
      </c>
      <c r="J2839" t="inlineStr">
        <is>
          <t>Moda</t>
        </is>
      </c>
      <c r="K2839" t="n">
        <v>3</v>
      </c>
      <c r="L2839" t="n">
        <v>2.678</v>
      </c>
      <c r="M2839" t="n">
        <v>0</v>
      </c>
      <c r="N2839" t="inlineStr">
        <is>
          <t>test</t>
        </is>
      </c>
      <c r="O2839">
        <f>HYPERLINK("3\1\marker_875_948864.png", "Ver Imagen")</f>
        <v/>
      </c>
      <c r="P2839">
        <f>HYPERLINK("SE\A-5050\A-5050__71.png", "Ver Imagen")</f>
        <v/>
      </c>
    </row>
    <row r="2840">
      <c r="A2840" t="n">
        <v>2336</v>
      </c>
      <c r="B2840" t="inlineStr">
        <is>
          <t>A-5050__70</t>
        </is>
      </c>
      <c r="C2840" t="n">
        <v>37.2013992469</v>
      </c>
      <c r="D2840" t="n">
        <v>-7.0128977314</v>
      </c>
      <c r="E2840" t="n">
        <v>2</v>
      </c>
      <c r="F2840" t="n">
        <v>3</v>
      </c>
      <c r="G2840" t="n">
        <v>3</v>
      </c>
      <c r="J2840" t="inlineStr">
        <is>
          <t>Moda</t>
        </is>
      </c>
      <c r="K2840" t="n">
        <v>3</v>
      </c>
      <c r="L2840" t="n">
        <v>3.088</v>
      </c>
      <c r="M2840" t="n">
        <v>0</v>
      </c>
      <c r="N2840" t="inlineStr">
        <is>
          <t>train</t>
        </is>
      </c>
      <c r="O2840">
        <f>HYPERLINK("3\1\marker_707_948873.png", "Ver Imagen")</f>
        <v/>
      </c>
      <c r="P2840">
        <f>HYPERLINK("SE\A-5050\A-5050__70.png", "Ver Imagen")</f>
        <v/>
      </c>
    </row>
    <row r="2841">
      <c r="A2841" t="n">
        <v>2337</v>
      </c>
      <c r="B2841" t="inlineStr">
        <is>
          <t>A-5050__69</t>
        </is>
      </c>
      <c r="C2841" t="n">
        <v>37.2015245288</v>
      </c>
      <c r="D2841" t="n">
        <v>-7.01309003656</v>
      </c>
      <c r="E2841" t="n">
        <v>2</v>
      </c>
      <c r="F2841" t="n">
        <v>3</v>
      </c>
      <c r="G2841" t="n">
        <v>3</v>
      </c>
      <c r="J2841" t="inlineStr">
        <is>
          <t>Moda</t>
        </is>
      </c>
      <c r="K2841" t="n">
        <v>3</v>
      </c>
      <c r="L2841" t="n">
        <v>3.021</v>
      </c>
      <c r="M2841" t="n">
        <v>0</v>
      </c>
      <c r="N2841" t="inlineStr">
        <is>
          <t>train</t>
        </is>
      </c>
      <c r="O2841">
        <f>HYPERLINK("3\1\marker_355_948882.png", "Ver Imagen")</f>
        <v/>
      </c>
      <c r="P2841">
        <f>HYPERLINK("SE\A-5050\A-5050__69.png", "Ver Imagen")</f>
        <v/>
      </c>
    </row>
    <row r="2842">
      <c r="A2842" t="n">
        <v>2338</v>
      </c>
      <c r="B2842" t="inlineStr">
        <is>
          <t>A-5050__68</t>
        </is>
      </c>
      <c r="C2842" t="n">
        <v>37.2016508267</v>
      </c>
      <c r="D2842" t="n">
        <v>-7.0132835876</v>
      </c>
      <c r="E2842" t="n">
        <v>2</v>
      </c>
      <c r="F2842" t="n">
        <v>3</v>
      </c>
      <c r="G2842" t="n">
        <v>3</v>
      </c>
      <c r="J2842" t="inlineStr">
        <is>
          <t>Moda</t>
        </is>
      </c>
      <c r="K2842" t="n">
        <v>3</v>
      </c>
      <c r="L2842" t="n">
        <v>2.962</v>
      </c>
      <c r="M2842" t="n">
        <v>0</v>
      </c>
      <c r="N2842" t="inlineStr">
        <is>
          <t>train</t>
        </is>
      </c>
      <c r="O2842">
        <f>HYPERLINK("3\1\marker_519_948891.png", "Ver Imagen")</f>
        <v/>
      </c>
      <c r="P2842">
        <f>HYPERLINK("SE\A-5050\A-5050__68.png", "Ver Imagen")</f>
        <v/>
      </c>
    </row>
    <row r="2843">
      <c r="A2843" t="n">
        <v>2339</v>
      </c>
      <c r="B2843" t="inlineStr">
        <is>
          <t>A-5050__67</t>
        </is>
      </c>
      <c r="C2843" t="n">
        <v>37.2017646625</v>
      </c>
      <c r="D2843" t="n">
        <v>-7.01345793591</v>
      </c>
      <c r="E2843" t="n">
        <v>2</v>
      </c>
      <c r="F2843" t="n">
        <v>3</v>
      </c>
      <c r="G2843" t="n">
        <v>3</v>
      </c>
      <c r="J2843" t="inlineStr">
        <is>
          <t>Moda</t>
        </is>
      </c>
      <c r="K2843" t="n">
        <v>3</v>
      </c>
      <c r="L2843" t="n">
        <v>2.534</v>
      </c>
      <c r="M2843" t="n">
        <v>0</v>
      </c>
      <c r="N2843" t="inlineStr">
        <is>
          <t>train</t>
        </is>
      </c>
      <c r="O2843">
        <f>HYPERLINK("3\1\marker_560_948900.png", "Ver Imagen")</f>
        <v/>
      </c>
      <c r="P2843">
        <f>HYPERLINK("SE\A-5050\A-5050__67.png", "Ver Imagen")</f>
        <v/>
      </c>
    </row>
    <row r="2844">
      <c r="A2844" t="n">
        <v>2340</v>
      </c>
      <c r="B2844" t="inlineStr">
        <is>
          <t>A-5050__66</t>
        </is>
      </c>
      <c r="C2844" t="n">
        <v>37.2019082247</v>
      </c>
      <c r="D2844" t="n">
        <v>-7.01367838578</v>
      </c>
      <c r="E2844" t="n">
        <v>2</v>
      </c>
      <c r="F2844" t="n">
        <v>3</v>
      </c>
      <c r="G2844" t="n">
        <v>3</v>
      </c>
      <c r="J2844" t="inlineStr">
        <is>
          <t>Moda</t>
        </is>
      </c>
      <c r="K2844" t="n">
        <v>3</v>
      </c>
      <c r="L2844" t="n">
        <v>2.818</v>
      </c>
      <c r="M2844" t="n">
        <v>0</v>
      </c>
      <c r="N2844" t="inlineStr">
        <is>
          <t>train</t>
        </is>
      </c>
      <c r="O2844">
        <f>HYPERLINK("3\1\marker_152_948909.png", "Ver Imagen")</f>
        <v/>
      </c>
      <c r="P2844">
        <f>HYPERLINK("SE\A-5050\A-5050__66.png", "Ver Imagen")</f>
        <v/>
      </c>
    </row>
    <row r="2845">
      <c r="A2845" t="n">
        <v>2341</v>
      </c>
      <c r="B2845" t="inlineStr">
        <is>
          <t>A-5050__64</t>
        </is>
      </c>
      <c r="C2845" t="n">
        <v>37.2021600391</v>
      </c>
      <c r="D2845" t="n">
        <v>-7.0140656715</v>
      </c>
      <c r="E2845" t="n">
        <v>2</v>
      </c>
      <c r="F2845" t="n">
        <v>3</v>
      </c>
      <c r="G2845" t="n">
        <v>3</v>
      </c>
      <c r="J2845" t="inlineStr">
        <is>
          <t>Moda</t>
        </is>
      </c>
      <c r="K2845" t="n">
        <v>3</v>
      </c>
      <c r="L2845" t="n">
        <v>3.198</v>
      </c>
      <c r="M2845" t="n">
        <v>0</v>
      </c>
      <c r="N2845" t="inlineStr">
        <is>
          <t>train</t>
        </is>
      </c>
      <c r="O2845">
        <f>HYPERLINK("3\1\marker_488_948988.png", "Ver Imagen")</f>
        <v/>
      </c>
      <c r="P2845">
        <f>HYPERLINK("SE\A-5050\A-5050__64.png", "Ver Imagen")</f>
        <v/>
      </c>
    </row>
    <row r="2846">
      <c r="A2846" t="n">
        <v>2342</v>
      </c>
      <c r="B2846" t="inlineStr">
        <is>
          <t>A-5050__63</t>
        </is>
      </c>
      <c r="C2846" t="n">
        <v>37.2023003168</v>
      </c>
      <c r="D2846" t="n">
        <v>-7.0142816285</v>
      </c>
      <c r="E2846" t="n">
        <v>2</v>
      </c>
      <c r="F2846" t="n">
        <v>3</v>
      </c>
      <c r="G2846" t="n">
        <v>3</v>
      </c>
      <c r="J2846" t="inlineStr">
        <is>
          <t>Moda</t>
        </is>
      </c>
      <c r="K2846" t="n">
        <v>3</v>
      </c>
      <c r="L2846" t="n">
        <v>3.166</v>
      </c>
      <c r="M2846" t="n">
        <v>0</v>
      </c>
      <c r="N2846" t="inlineStr">
        <is>
          <t>train</t>
        </is>
      </c>
      <c r="O2846">
        <f>HYPERLINK("3\1\marker_192_948997.png", "Ver Imagen")</f>
        <v/>
      </c>
      <c r="P2846">
        <f>HYPERLINK("SE\A-5050\A-5050__63.png", "Ver Imagen")</f>
        <v/>
      </c>
    </row>
    <row r="2847">
      <c r="A2847" t="n">
        <v>2343</v>
      </c>
      <c r="B2847" t="inlineStr">
        <is>
          <t>A-5050__61</t>
        </is>
      </c>
      <c r="C2847" t="n">
        <v>37.2025574819</v>
      </c>
      <c r="D2847" t="n">
        <v>-7.01467639311</v>
      </c>
      <c r="E2847" t="n">
        <v>2</v>
      </c>
      <c r="F2847" t="n">
        <v>3</v>
      </c>
      <c r="G2847" t="n">
        <v>3</v>
      </c>
      <c r="J2847" t="inlineStr">
        <is>
          <t>Moda</t>
        </is>
      </c>
      <c r="K2847" t="n">
        <v>3</v>
      </c>
      <c r="L2847" t="n">
        <v>2.977</v>
      </c>
      <c r="M2847" t="n">
        <v>0</v>
      </c>
      <c r="N2847" t="inlineStr">
        <is>
          <t>train</t>
        </is>
      </c>
      <c r="O2847">
        <f>HYPERLINK("3\1\marker_928_949032.png", "Ver Imagen")</f>
        <v/>
      </c>
      <c r="P2847">
        <f>HYPERLINK("SE\A-5050\A-5050__61.png", "Ver Imagen")</f>
        <v/>
      </c>
    </row>
    <row r="2848">
      <c r="A2848" t="n">
        <v>2344</v>
      </c>
      <c r="B2848" t="inlineStr">
        <is>
          <t>A-5050__55</t>
        </is>
      </c>
      <c r="C2848" t="n">
        <v>37.2033053605</v>
      </c>
      <c r="D2848" t="n">
        <v>-7.01581661627</v>
      </c>
      <c r="E2848" t="n">
        <v>2</v>
      </c>
      <c r="F2848" t="n">
        <v>3</v>
      </c>
      <c r="G2848" t="n">
        <v>3</v>
      </c>
      <c r="J2848" t="inlineStr">
        <is>
          <t>Moda</t>
        </is>
      </c>
      <c r="K2848" t="n">
        <v>3</v>
      </c>
      <c r="L2848" t="n">
        <v>2.877</v>
      </c>
      <c r="M2848" t="n">
        <v>0</v>
      </c>
      <c r="N2848" t="inlineStr">
        <is>
          <t>train</t>
        </is>
      </c>
      <c r="O2848">
        <f>HYPERLINK("3\1\marker_738_949109.png", "Ver Imagen")</f>
        <v/>
      </c>
      <c r="P2848">
        <f>HYPERLINK("SE\A-5050\A-5050__55.png", "Ver Imagen")</f>
        <v/>
      </c>
    </row>
    <row r="2849">
      <c r="A2849" t="n">
        <v>2346</v>
      </c>
      <c r="B2849" t="inlineStr">
        <is>
          <t>A-5050__50</t>
        </is>
      </c>
      <c r="C2849" t="n">
        <v>37.2039636799</v>
      </c>
      <c r="D2849" t="n">
        <v>-7.0168350353</v>
      </c>
      <c r="E2849" t="n">
        <v>2</v>
      </c>
      <c r="F2849" t="n">
        <v>3</v>
      </c>
      <c r="G2849" t="n">
        <v>3</v>
      </c>
      <c r="J2849" t="inlineStr">
        <is>
          <t>Moda</t>
        </is>
      </c>
      <c r="K2849" t="n">
        <v>3</v>
      </c>
      <c r="L2849" t="n">
        <v>3.4</v>
      </c>
      <c r="M2849" t="n">
        <v>0</v>
      </c>
      <c r="N2849" t="inlineStr">
        <is>
          <t>train</t>
        </is>
      </c>
      <c r="O2849">
        <f>HYPERLINK("3\1\marker_440_949154.png", "Ver Imagen")</f>
        <v/>
      </c>
      <c r="P2849">
        <f>HYPERLINK("SE\A-5050\A-5050__50.png", "Ver Imagen")</f>
        <v/>
      </c>
    </row>
    <row r="2850">
      <c r="A2850" t="n">
        <v>2347</v>
      </c>
      <c r="B2850" t="inlineStr">
        <is>
          <t>A-5050__44</t>
        </is>
      </c>
      <c r="C2850" t="n">
        <v>37.2047178791</v>
      </c>
      <c r="D2850" t="n">
        <v>-7.01800064329</v>
      </c>
      <c r="E2850" t="n">
        <v>2</v>
      </c>
      <c r="F2850" t="n">
        <v>3</v>
      </c>
      <c r="G2850" t="n">
        <v>3</v>
      </c>
      <c r="J2850" t="inlineStr">
        <is>
          <t>Moda</t>
        </is>
      </c>
      <c r="K2850" t="n">
        <v>3</v>
      </c>
      <c r="L2850" t="n">
        <v>2.754</v>
      </c>
      <c r="M2850" t="n">
        <v>0</v>
      </c>
      <c r="N2850" t="inlineStr">
        <is>
          <t>train</t>
        </is>
      </c>
      <c r="O2850">
        <f>HYPERLINK("3\1\marker_354_949211.png", "Ver Imagen")</f>
        <v/>
      </c>
      <c r="P2850">
        <f>HYPERLINK("SE\A-5050\A-5050__44.png", "Ver Imagen")</f>
        <v/>
      </c>
    </row>
    <row r="2851">
      <c r="A2851" t="n">
        <v>2348</v>
      </c>
      <c r="B2851" t="inlineStr">
        <is>
          <t>A-5050__30</t>
        </is>
      </c>
      <c r="C2851" t="n">
        <v>37.2064426525</v>
      </c>
      <c r="D2851" t="n">
        <v>-7.0208177672</v>
      </c>
      <c r="E2851" t="n">
        <v>2</v>
      </c>
      <c r="F2851" t="n">
        <v>3</v>
      </c>
      <c r="G2851" t="n">
        <v>3</v>
      </c>
      <c r="J2851" t="inlineStr">
        <is>
          <t>Moda</t>
        </is>
      </c>
      <c r="K2851" t="n">
        <v>3</v>
      </c>
      <c r="L2851" t="n">
        <v>3.406</v>
      </c>
      <c r="M2851" t="n">
        <v>0</v>
      </c>
      <c r="N2851" t="inlineStr">
        <is>
          <t>train</t>
        </is>
      </c>
      <c r="O2851">
        <f>HYPERLINK("3\1\marker_340_949358.png", "Ver Imagen")</f>
        <v/>
      </c>
      <c r="P2851">
        <f>HYPERLINK("SE\A-5050\A-5050__30.png", "Ver Imagen")</f>
        <v/>
      </c>
    </row>
    <row r="2852">
      <c r="A2852" t="n">
        <v>2349</v>
      </c>
      <c r="B2852" t="inlineStr">
        <is>
          <t>A-5050__28</t>
        </is>
      </c>
      <c r="C2852" t="n">
        <v>37.2067159968</v>
      </c>
      <c r="D2852" t="n">
        <v>-7.02122977277</v>
      </c>
      <c r="E2852" t="n">
        <v>2</v>
      </c>
      <c r="F2852" t="n">
        <v>3</v>
      </c>
      <c r="G2852" t="n">
        <v>3</v>
      </c>
      <c r="J2852" t="inlineStr">
        <is>
          <t>Moda</t>
        </is>
      </c>
      <c r="K2852" t="n">
        <v>3</v>
      </c>
      <c r="L2852" t="n">
        <v>3.137</v>
      </c>
      <c r="M2852" t="n">
        <v>0</v>
      </c>
      <c r="N2852" t="inlineStr">
        <is>
          <t>train</t>
        </is>
      </c>
      <c r="O2852">
        <f>HYPERLINK("3\1\marker_474_949379.png", "Ver Imagen")</f>
        <v/>
      </c>
      <c r="P2852">
        <f>HYPERLINK("SE\A-5050\A-5050__28.png", "Ver Imagen")</f>
        <v/>
      </c>
    </row>
    <row r="2853">
      <c r="A2853" t="n">
        <v>2350</v>
      </c>
      <c r="B2853" t="inlineStr">
        <is>
          <t>A-5050__27</t>
        </is>
      </c>
      <c r="C2853" t="n">
        <v>37.2068253717</v>
      </c>
      <c r="D2853" t="n">
        <v>-7.02138080225</v>
      </c>
      <c r="E2853" t="n">
        <v>2</v>
      </c>
      <c r="F2853" t="n">
        <v>3</v>
      </c>
      <c r="G2853" t="n">
        <v>3</v>
      </c>
      <c r="J2853" t="inlineStr">
        <is>
          <t>Moda</t>
        </is>
      </c>
      <c r="K2853" t="n">
        <v>3</v>
      </c>
      <c r="L2853" t="n">
        <v>3.023</v>
      </c>
      <c r="M2853" t="n">
        <v>0</v>
      </c>
      <c r="N2853" t="inlineStr">
        <is>
          <t>train</t>
        </is>
      </c>
      <c r="O2853">
        <f>HYPERLINK("3\1\marker_309_949389.png", "Ver Imagen")</f>
        <v/>
      </c>
      <c r="P2853">
        <f>HYPERLINK("SE\A-5050\A-5050__27.png", "Ver Imagen")</f>
        <v/>
      </c>
    </row>
    <row r="2854">
      <c r="A2854" t="n">
        <v>2351</v>
      </c>
      <c r="B2854" t="inlineStr">
        <is>
          <t>A-5050__16</t>
        </is>
      </c>
      <c r="C2854" t="n">
        <v>37.2082410355</v>
      </c>
      <c r="D2854" t="n">
        <v>-7.02345407451</v>
      </c>
      <c r="E2854" t="n">
        <v>2</v>
      </c>
      <c r="F2854" t="n">
        <v>3</v>
      </c>
      <c r="G2854" t="n">
        <v>3</v>
      </c>
      <c r="J2854" t="inlineStr">
        <is>
          <t>Moda</t>
        </is>
      </c>
      <c r="K2854" t="n">
        <v>3</v>
      </c>
      <c r="L2854" t="n">
        <v>3.095</v>
      </c>
      <c r="M2854" t="n">
        <v>0</v>
      </c>
      <c r="N2854" t="inlineStr">
        <is>
          <t>train</t>
        </is>
      </c>
      <c r="O2854">
        <f>HYPERLINK("3\1\marker_793_949535.png", "Ver Imagen")</f>
        <v/>
      </c>
      <c r="P2854">
        <f>HYPERLINK("SE\A-5050\A-5050__16.png", "Ver Imagen")</f>
        <v/>
      </c>
    </row>
    <row r="2855">
      <c r="A2855" t="n">
        <v>2352</v>
      </c>
      <c r="B2855" t="inlineStr">
        <is>
          <t>A-5050__15</t>
        </is>
      </c>
      <c r="C2855" t="n">
        <v>37.2082601909</v>
      </c>
      <c r="D2855" t="n">
        <v>-7.02371897971</v>
      </c>
      <c r="E2855" t="n">
        <v>2</v>
      </c>
      <c r="F2855" t="n">
        <v>3</v>
      </c>
      <c r="G2855" t="n">
        <v>3</v>
      </c>
      <c r="J2855" t="inlineStr">
        <is>
          <t>Moda</t>
        </is>
      </c>
      <c r="K2855" t="n">
        <v>3</v>
      </c>
      <c r="L2855" t="n">
        <v>2.89</v>
      </c>
      <c r="M2855" t="n">
        <v>0</v>
      </c>
      <c r="N2855" t="inlineStr">
        <is>
          <t>train</t>
        </is>
      </c>
      <c r="O2855">
        <f>HYPERLINK("3\1\marker_368_949545.png", "Ver Imagen")</f>
        <v/>
      </c>
      <c r="P2855">
        <f>HYPERLINK("SE\A-5050\A-5050__15.png", "Ver Imagen")</f>
        <v/>
      </c>
    </row>
    <row r="2856">
      <c r="A2856" t="n">
        <v>2353</v>
      </c>
      <c r="B2856" t="inlineStr">
        <is>
          <t>A-5050__12</t>
        </is>
      </c>
      <c r="C2856" t="n">
        <v>37.2082971083</v>
      </c>
      <c r="D2856" t="n">
        <v>-7.02445251309</v>
      </c>
      <c r="E2856" t="n">
        <v>2</v>
      </c>
      <c r="F2856" t="n">
        <v>3</v>
      </c>
      <c r="G2856" t="n">
        <v>3</v>
      </c>
      <c r="J2856" t="inlineStr">
        <is>
          <t>Moda</t>
        </is>
      </c>
      <c r="K2856" t="n">
        <v>3</v>
      </c>
      <c r="L2856" t="n">
        <v>2.767</v>
      </c>
      <c r="M2856" t="n">
        <v>0</v>
      </c>
      <c r="N2856" t="inlineStr">
        <is>
          <t>train</t>
        </is>
      </c>
      <c r="O2856">
        <f>HYPERLINK("3\1\marker_441_949576.png", "Ver Imagen")</f>
        <v/>
      </c>
      <c r="P2856">
        <f>HYPERLINK("SE\A-5050\A-5050__12.png", "Ver Imagen")</f>
        <v/>
      </c>
    </row>
    <row r="2857">
      <c r="A2857" t="n">
        <v>2354</v>
      </c>
      <c r="B2857" t="inlineStr">
        <is>
          <t>A-5050__9</t>
        </is>
      </c>
      <c r="C2857" t="n">
        <v>37.208479237</v>
      </c>
      <c r="D2857" t="n">
        <v>-7.02516786244</v>
      </c>
      <c r="E2857" t="n">
        <v>2</v>
      </c>
      <c r="F2857" t="n">
        <v>3</v>
      </c>
      <c r="G2857" t="n">
        <v>3</v>
      </c>
      <c r="J2857" t="inlineStr">
        <is>
          <t>Moda</t>
        </is>
      </c>
      <c r="K2857" t="n">
        <v>3</v>
      </c>
      <c r="L2857" t="n">
        <v>3.089</v>
      </c>
      <c r="M2857" t="n">
        <v>0</v>
      </c>
      <c r="N2857" t="inlineStr">
        <is>
          <t>train</t>
        </is>
      </c>
      <c r="O2857">
        <f>HYPERLINK("3\1\marker_739_949618.png", "Ver Imagen")</f>
        <v/>
      </c>
      <c r="P2857">
        <f>HYPERLINK("SE\A-5050\A-5050__9.png", "Ver Imagen")</f>
        <v/>
      </c>
    </row>
    <row r="2858">
      <c r="A2858" t="n">
        <v>2356</v>
      </c>
      <c r="B2858" t="inlineStr">
        <is>
          <t>A-5050__4</t>
        </is>
      </c>
      <c r="C2858" t="n">
        <v>37.2087918211</v>
      </c>
      <c r="D2858" t="n">
        <v>-7.02636763376</v>
      </c>
      <c r="E2858" t="n">
        <v>2</v>
      </c>
      <c r="F2858" t="n">
        <v>3</v>
      </c>
      <c r="G2858" t="n">
        <v>3</v>
      </c>
      <c r="J2858" t="inlineStr">
        <is>
          <t>Moda</t>
        </is>
      </c>
      <c r="K2858" t="n">
        <v>3</v>
      </c>
      <c r="L2858" t="n">
        <v>3.236</v>
      </c>
      <c r="M2858" t="n">
        <v>0</v>
      </c>
      <c r="N2858" t="inlineStr">
        <is>
          <t>train</t>
        </is>
      </c>
      <c r="O2858">
        <f>HYPERLINK("3\1\marker_168_949670.png", "Ver Imagen")</f>
        <v/>
      </c>
      <c r="P2858">
        <f>HYPERLINK("SE\A-5050\A-5050__4.png", "Ver Imagen")</f>
        <v/>
      </c>
    </row>
    <row r="2859">
      <c r="A2859" t="n">
        <v>2357</v>
      </c>
      <c r="B2859" t="inlineStr">
        <is>
          <t>A-5050__1</t>
        </is>
      </c>
      <c r="C2859" t="n">
        <v>37.2089324287</v>
      </c>
      <c r="D2859" t="n">
        <v>-7.02709551172</v>
      </c>
      <c r="E2859" t="n">
        <v>2</v>
      </c>
      <c r="F2859" t="n">
        <v>3</v>
      </c>
      <c r="G2859" t="n">
        <v>3</v>
      </c>
      <c r="J2859" t="inlineStr">
        <is>
          <t>Moda</t>
        </is>
      </c>
      <c r="K2859" t="n">
        <v>3</v>
      </c>
      <c r="L2859" t="n">
        <v>2.741</v>
      </c>
      <c r="M2859" t="n">
        <v>0</v>
      </c>
      <c r="N2859" t="inlineStr">
        <is>
          <t>train</t>
        </is>
      </c>
      <c r="O2859">
        <f>HYPERLINK("3\1\marker_983_949732.png", "Ver Imagen")</f>
        <v/>
      </c>
      <c r="P2859">
        <f>HYPERLINK("SE\A-5050\A-5050__1.png", "Ver Imagen")</f>
        <v/>
      </c>
    </row>
    <row r="2860">
      <c r="A2860" t="n">
        <v>2358</v>
      </c>
      <c r="B2860" t="inlineStr">
        <is>
          <t>A-5052__16</t>
        </is>
      </c>
      <c r="C2860" t="n">
        <v>37.2179130303</v>
      </c>
      <c r="D2860" t="n">
        <v>-7.12201098481</v>
      </c>
      <c r="E2860" t="n">
        <v>2</v>
      </c>
      <c r="F2860" t="n">
        <v>3</v>
      </c>
      <c r="G2860" t="n">
        <v>3</v>
      </c>
      <c r="J2860" t="inlineStr">
        <is>
          <t>Moda</t>
        </is>
      </c>
      <c r="K2860" t="n">
        <v>3</v>
      </c>
      <c r="L2860" t="n">
        <v>2.662</v>
      </c>
      <c r="M2860" t="n">
        <v>0</v>
      </c>
      <c r="N2860" t="inlineStr">
        <is>
          <t>train</t>
        </is>
      </c>
      <c r="O2860">
        <f>HYPERLINK("3\1\marker_146_950171.png", "Ver Imagen")</f>
        <v/>
      </c>
      <c r="P2860">
        <f>HYPERLINK("SO\A-5052\A-5052__16.png", "Ver Imagen")</f>
        <v/>
      </c>
    </row>
    <row r="2861">
      <c r="A2861" t="n">
        <v>2359</v>
      </c>
      <c r="B2861" t="inlineStr">
        <is>
          <t>A-5052__23</t>
        </is>
      </c>
      <c r="C2861" t="n">
        <v>37.2180491529</v>
      </c>
      <c r="D2861" t="n">
        <v>-7.12028894305</v>
      </c>
      <c r="E2861" t="n">
        <v>2</v>
      </c>
      <c r="F2861" t="n">
        <v>3</v>
      </c>
      <c r="G2861" t="n">
        <v>3</v>
      </c>
      <c r="J2861" t="inlineStr">
        <is>
          <t>Moda</t>
        </is>
      </c>
      <c r="K2861" t="n">
        <v>3</v>
      </c>
      <c r="L2861" t="n">
        <v>3.083</v>
      </c>
      <c r="M2861" t="n">
        <v>0</v>
      </c>
      <c r="N2861" t="inlineStr">
        <is>
          <t>train</t>
        </is>
      </c>
      <c r="O2861">
        <f>HYPERLINK("3\1\marker_944_951506.png", "Ver Imagen")</f>
        <v/>
      </c>
      <c r="P2861">
        <f>HYPERLINK("SO\A-5052\A-5052__23.png", "Ver Imagen")</f>
        <v/>
      </c>
    </row>
    <row r="2862">
      <c r="A2862" t="n">
        <v>2360</v>
      </c>
      <c r="B2862" t="inlineStr">
        <is>
          <t>A-5052__24</t>
        </is>
      </c>
      <c r="C2862" t="n">
        <v>37.2180684279</v>
      </c>
      <c r="D2862" t="n">
        <v>-7.12002398249</v>
      </c>
      <c r="E2862" t="n">
        <v>2</v>
      </c>
      <c r="F2862" t="n">
        <v>3</v>
      </c>
      <c r="G2862" t="n">
        <v>3</v>
      </c>
      <c r="J2862" t="inlineStr">
        <is>
          <t>Moda</t>
        </is>
      </c>
      <c r="K2862" t="n">
        <v>3</v>
      </c>
      <c r="L2862" t="n">
        <v>2.941</v>
      </c>
      <c r="M2862" t="n">
        <v>0</v>
      </c>
      <c r="N2862" t="inlineStr">
        <is>
          <t>train</t>
        </is>
      </c>
      <c r="O2862">
        <f>HYPERLINK("3\1\marker_273_951519.png", "Ver Imagen")</f>
        <v/>
      </c>
      <c r="P2862">
        <f>HYPERLINK("SO\A-5052\A-5052__24.png", "Ver Imagen")</f>
        <v/>
      </c>
    </row>
    <row r="2863">
      <c r="A2863" t="n">
        <v>2361</v>
      </c>
      <c r="B2863" t="inlineStr">
        <is>
          <t>A-5052__25</t>
        </is>
      </c>
      <c r="C2863" t="n">
        <v>37.2180896226</v>
      </c>
      <c r="D2863" t="n">
        <v>-7.11976228703</v>
      </c>
      <c r="E2863" t="n">
        <v>3</v>
      </c>
      <c r="F2863" t="n">
        <v>3</v>
      </c>
      <c r="G2863" t="n">
        <v>2</v>
      </c>
      <c r="J2863" t="inlineStr">
        <is>
          <t>Moda</t>
        </is>
      </c>
      <c r="K2863" t="n">
        <v>3</v>
      </c>
      <c r="L2863" t="n">
        <v>3.267</v>
      </c>
      <c r="M2863" t="n">
        <v>0</v>
      </c>
      <c r="N2863" t="inlineStr">
        <is>
          <t>train</t>
        </is>
      </c>
      <c r="O2863">
        <f>HYPERLINK("3\1\marker_177_951529.png", "Ver Imagen")</f>
        <v/>
      </c>
      <c r="P2863">
        <f>HYPERLINK("SO\A-5052\A-5052__25.png", "Ver Imagen")</f>
        <v/>
      </c>
    </row>
    <row r="2864">
      <c r="A2864" t="n">
        <v>2362</v>
      </c>
      <c r="B2864" t="inlineStr">
        <is>
          <t>A-5052__104</t>
        </is>
      </c>
      <c r="C2864" t="n">
        <v>37.217045483</v>
      </c>
      <c r="D2864" t="n">
        <v>-7.0999430146</v>
      </c>
      <c r="E2864" t="n">
        <v>2</v>
      </c>
      <c r="F2864" t="n">
        <v>3</v>
      </c>
      <c r="G2864" t="n">
        <v>3</v>
      </c>
      <c r="J2864" t="inlineStr">
        <is>
          <t>Moda</t>
        </is>
      </c>
      <c r="K2864" t="n">
        <v>3</v>
      </c>
      <c r="L2864" t="n">
        <v>2.84</v>
      </c>
      <c r="M2864" t="n">
        <v>0</v>
      </c>
      <c r="N2864" t="inlineStr">
        <is>
          <t>train</t>
        </is>
      </c>
      <c r="O2864">
        <f>HYPERLINK("3\1\marker_819_957721.png", "Ver Imagen")</f>
        <v/>
      </c>
      <c r="P2864">
        <f>HYPERLINK("SE\A-5052\A-5052__104.png", "Ver Imagen")</f>
        <v/>
      </c>
    </row>
    <row r="2865">
      <c r="A2865" t="n">
        <v>2362</v>
      </c>
      <c r="B2865" t="inlineStr">
        <is>
          <t>A-5052__104</t>
        </is>
      </c>
      <c r="C2865" t="n">
        <v>37.217045483</v>
      </c>
      <c r="D2865" t="n">
        <v>-7.0999430146</v>
      </c>
      <c r="E2865" t="n">
        <v>2</v>
      </c>
      <c r="F2865" t="n">
        <v>3</v>
      </c>
      <c r="G2865" t="n">
        <v>3</v>
      </c>
      <c r="J2865" t="inlineStr">
        <is>
          <t>Moda</t>
        </is>
      </c>
      <c r="K2865" t="n">
        <v>3</v>
      </c>
      <c r="L2865" t="n">
        <v>2.765</v>
      </c>
      <c r="M2865" t="n">
        <v>0</v>
      </c>
      <c r="N2865" t="inlineStr">
        <is>
          <t>train</t>
        </is>
      </c>
      <c r="O2865">
        <f>HYPERLINK("3\1\marker_819_957721.png", "Ver Imagen")</f>
        <v/>
      </c>
      <c r="P2865">
        <f>HYPERLINK("SO\A-5052\A-5052__104.png", "Ver Imagen")</f>
        <v/>
      </c>
    </row>
    <row r="2866">
      <c r="A2866" t="n">
        <v>2363</v>
      </c>
      <c r="B2866" t="inlineStr">
        <is>
          <t>A-5052__145</t>
        </is>
      </c>
      <c r="C2866" t="n">
        <v>37.216085142</v>
      </c>
      <c r="D2866" t="n">
        <v>-7.08967702611</v>
      </c>
      <c r="E2866" t="n">
        <v>2</v>
      </c>
      <c r="F2866" t="n">
        <v>3</v>
      </c>
      <c r="G2866" t="n">
        <v>3</v>
      </c>
      <c r="J2866" t="inlineStr">
        <is>
          <t>Moda</t>
        </is>
      </c>
      <c r="K2866" t="n">
        <v>3</v>
      </c>
      <c r="L2866" t="n">
        <v>2.747</v>
      </c>
      <c r="M2866" t="n">
        <v>0</v>
      </c>
      <c r="N2866" t="inlineStr">
        <is>
          <t>train</t>
        </is>
      </c>
      <c r="O2866">
        <f>HYPERLINK("3\1\marker_412_958420.png", "Ver Imagen")</f>
        <v/>
      </c>
      <c r="P2866">
        <f>HYPERLINK("SE\A-5052\A-5052__145.png", "Ver Imagen")</f>
        <v/>
      </c>
    </row>
    <row r="2867">
      <c r="A2867" t="n">
        <v>2363</v>
      </c>
      <c r="B2867" t="inlineStr">
        <is>
          <t>A-5052__145</t>
        </is>
      </c>
      <c r="C2867" t="n">
        <v>37.216085142</v>
      </c>
      <c r="D2867" t="n">
        <v>-7.08967702611</v>
      </c>
      <c r="E2867" t="n">
        <v>2</v>
      </c>
      <c r="F2867" t="n">
        <v>3</v>
      </c>
      <c r="G2867" t="n">
        <v>3</v>
      </c>
      <c r="J2867" t="inlineStr">
        <is>
          <t>Moda</t>
        </is>
      </c>
      <c r="K2867" t="n">
        <v>3</v>
      </c>
      <c r="L2867" t="n">
        <v>2.556</v>
      </c>
      <c r="M2867" t="n">
        <v>0</v>
      </c>
      <c r="N2867" t="inlineStr">
        <is>
          <t>train</t>
        </is>
      </c>
      <c r="O2867">
        <f>HYPERLINK("3\1\marker_412_958420.png", "Ver Imagen")</f>
        <v/>
      </c>
      <c r="P2867">
        <f>HYPERLINK("SO\A-5052\A-5052__145.png", "Ver Imagen")</f>
        <v/>
      </c>
    </row>
    <row r="2868">
      <c r="A2868" t="n">
        <v>2364</v>
      </c>
      <c r="B2868" t="inlineStr">
        <is>
          <t>A-5052__172</t>
        </is>
      </c>
      <c r="C2868" t="n">
        <v>37.2159110677</v>
      </c>
      <c r="D2868" t="n">
        <v>-7.08291512721</v>
      </c>
      <c r="E2868" t="n">
        <v>2</v>
      </c>
      <c r="F2868" t="n">
        <v>3</v>
      </c>
      <c r="G2868" t="n">
        <v>3</v>
      </c>
      <c r="J2868" t="inlineStr">
        <is>
          <t>Moda</t>
        </is>
      </c>
      <c r="K2868" t="n">
        <v>3</v>
      </c>
      <c r="L2868" t="n">
        <v>3.232</v>
      </c>
      <c r="M2868" t="n">
        <v>0</v>
      </c>
      <c r="N2868" t="inlineStr">
        <is>
          <t>train</t>
        </is>
      </c>
      <c r="O2868">
        <f>HYPERLINK("3\1\marker_769_958978.png", "Ver Imagen")</f>
        <v/>
      </c>
      <c r="P2868">
        <f>HYPERLINK("SE\A-5052\A-5052__172.png", "Ver Imagen")</f>
        <v/>
      </c>
    </row>
    <row r="2869">
      <c r="A2869" t="n">
        <v>2364</v>
      </c>
      <c r="B2869" t="inlineStr">
        <is>
          <t>A-5052__172</t>
        </is>
      </c>
      <c r="C2869" t="n">
        <v>37.2159110677</v>
      </c>
      <c r="D2869" t="n">
        <v>-7.08291512721</v>
      </c>
      <c r="E2869" t="n">
        <v>2</v>
      </c>
      <c r="F2869" t="n">
        <v>3</v>
      </c>
      <c r="G2869" t="n">
        <v>3</v>
      </c>
      <c r="J2869" t="inlineStr">
        <is>
          <t>Moda</t>
        </is>
      </c>
      <c r="K2869" t="n">
        <v>3</v>
      </c>
      <c r="L2869" t="n">
        <v>3.014</v>
      </c>
      <c r="M2869" t="n">
        <v>0</v>
      </c>
      <c r="N2869" t="inlineStr">
        <is>
          <t>train</t>
        </is>
      </c>
      <c r="O2869">
        <f>HYPERLINK("3\1\marker_769_958978.png", "Ver Imagen")</f>
        <v/>
      </c>
      <c r="P2869">
        <f>HYPERLINK("SO\A-5052\A-5052__172.png", "Ver Imagen")</f>
        <v/>
      </c>
    </row>
    <row r="2870">
      <c r="A2870" t="n">
        <v>2365</v>
      </c>
      <c r="B2870" t="inlineStr">
        <is>
          <t>A-5052__173</t>
        </is>
      </c>
      <c r="C2870" t="n">
        <v>37.2158356936</v>
      </c>
      <c r="D2870" t="n">
        <v>-7.0826640414</v>
      </c>
      <c r="E2870" t="n">
        <v>2</v>
      </c>
      <c r="F2870" t="n">
        <v>3</v>
      </c>
      <c r="G2870" t="n">
        <v>3</v>
      </c>
      <c r="J2870" t="inlineStr">
        <is>
          <t>Moda</t>
        </is>
      </c>
      <c r="K2870" t="n">
        <v>3</v>
      </c>
      <c r="L2870" t="n">
        <v>2.952</v>
      </c>
      <c r="M2870" t="n">
        <v>0</v>
      </c>
      <c r="N2870" t="inlineStr">
        <is>
          <t>train</t>
        </is>
      </c>
      <c r="O2870">
        <f>HYPERLINK("3\1\marker_551_958989.png", "Ver Imagen")</f>
        <v/>
      </c>
      <c r="P2870">
        <f>HYPERLINK("SE\A-5052\A-5052__173.png", "Ver Imagen")</f>
        <v/>
      </c>
    </row>
    <row r="2871">
      <c r="A2871" t="n">
        <v>2365</v>
      </c>
      <c r="B2871" t="inlineStr">
        <is>
          <t>A-5052__173</t>
        </is>
      </c>
      <c r="C2871" t="n">
        <v>37.2158356936</v>
      </c>
      <c r="D2871" t="n">
        <v>-7.0826640414</v>
      </c>
      <c r="E2871" t="n">
        <v>2</v>
      </c>
      <c r="F2871" t="n">
        <v>3</v>
      </c>
      <c r="G2871" t="n">
        <v>3</v>
      </c>
      <c r="J2871" t="inlineStr">
        <is>
          <t>Moda</t>
        </is>
      </c>
      <c r="K2871" t="n">
        <v>3</v>
      </c>
      <c r="L2871" t="n">
        <v>2.874</v>
      </c>
      <c r="M2871" t="n">
        <v>0</v>
      </c>
      <c r="N2871" t="inlineStr">
        <is>
          <t>train</t>
        </is>
      </c>
      <c r="O2871">
        <f>HYPERLINK("3\1\marker_551_958989.png", "Ver Imagen")</f>
        <v/>
      </c>
      <c r="P2871">
        <f>HYPERLINK("SO\A-5052\A-5052__173.png", "Ver Imagen")</f>
        <v/>
      </c>
    </row>
    <row r="2872">
      <c r="A2872" t="n">
        <v>2366</v>
      </c>
      <c r="B2872" t="inlineStr">
        <is>
          <t>A-5052__217</t>
        </is>
      </c>
      <c r="C2872" t="n">
        <v>37.2136954614</v>
      </c>
      <c r="D2872" t="n">
        <v>-7.07187224805</v>
      </c>
      <c r="E2872" t="n">
        <v>2</v>
      </c>
      <c r="F2872" t="n">
        <v>3</v>
      </c>
      <c r="G2872" t="n">
        <v>3</v>
      </c>
      <c r="J2872" t="inlineStr">
        <is>
          <t>Moda</t>
        </is>
      </c>
      <c r="K2872" t="n">
        <v>3</v>
      </c>
      <c r="L2872" t="n">
        <v>3.288</v>
      </c>
      <c r="M2872" t="n">
        <v>0</v>
      </c>
      <c r="N2872" t="inlineStr">
        <is>
          <t>train</t>
        </is>
      </c>
      <c r="O2872">
        <f>HYPERLINK("3\1\marker_556_959690.png", "Ver Imagen")</f>
        <v/>
      </c>
      <c r="P2872">
        <f>HYPERLINK("SE\A-5052\A-5052__217.png", "Ver Imagen")</f>
        <v/>
      </c>
    </row>
    <row r="2873">
      <c r="A2873" t="n">
        <v>2367</v>
      </c>
      <c r="B2873" t="inlineStr">
        <is>
          <t>A-5052__256</t>
        </is>
      </c>
      <c r="C2873" t="n">
        <v>37.2130884274</v>
      </c>
      <c r="D2873" t="n">
        <v>-7.0621746789</v>
      </c>
      <c r="E2873" t="n">
        <v>2</v>
      </c>
      <c r="F2873" t="n">
        <v>3</v>
      </c>
      <c r="G2873" t="n">
        <v>3</v>
      </c>
      <c r="J2873" t="inlineStr">
        <is>
          <t>Moda</t>
        </is>
      </c>
      <c r="K2873" t="n">
        <v>3</v>
      </c>
      <c r="L2873" t="n">
        <v>3.232</v>
      </c>
      <c r="M2873" t="n">
        <v>0</v>
      </c>
      <c r="N2873" t="inlineStr">
        <is>
          <t>train</t>
        </is>
      </c>
      <c r="O2873">
        <f>HYPERLINK("3\1\marker_473_960155.png", "Ver Imagen")</f>
        <v/>
      </c>
      <c r="P2873">
        <f>HYPERLINK("SE\A-5052\A-5052__256.png", "Ver Imagen")</f>
        <v/>
      </c>
    </row>
    <row r="2874">
      <c r="A2874" t="n">
        <v>2368</v>
      </c>
      <c r="B2874" t="inlineStr">
        <is>
          <t>A-5052__271</t>
        </is>
      </c>
      <c r="C2874" t="n">
        <v>37.2118710196</v>
      </c>
      <c r="D2874" t="n">
        <v>-7.05870195929</v>
      </c>
      <c r="E2874" t="n">
        <v>2</v>
      </c>
      <c r="F2874" t="n">
        <v>3</v>
      </c>
      <c r="G2874" t="n">
        <v>3</v>
      </c>
      <c r="J2874" t="inlineStr">
        <is>
          <t>Moda</t>
        </is>
      </c>
      <c r="K2874" t="n">
        <v>3</v>
      </c>
      <c r="L2874" t="n">
        <v>2.969</v>
      </c>
      <c r="M2874" t="n">
        <v>0</v>
      </c>
      <c r="N2874" t="inlineStr">
        <is>
          <t>train</t>
        </is>
      </c>
      <c r="O2874">
        <f>HYPERLINK("3\1\marker_375_960331.png", "Ver Imagen")</f>
        <v/>
      </c>
      <c r="P2874">
        <f>HYPERLINK("SE\A-5052\A-5052__271.png", "Ver Imagen")</f>
        <v/>
      </c>
    </row>
    <row r="2875">
      <c r="A2875" t="n">
        <v>2369</v>
      </c>
      <c r="B2875" t="inlineStr">
        <is>
          <t>A-5052__274</t>
        </is>
      </c>
      <c r="C2875" t="n">
        <v>37.2116088106</v>
      </c>
      <c r="D2875" t="n">
        <v>-7.05797516305</v>
      </c>
      <c r="E2875" t="n">
        <v>2</v>
      </c>
      <c r="F2875" t="n">
        <v>3</v>
      </c>
      <c r="G2875" t="n">
        <v>3</v>
      </c>
      <c r="J2875" t="inlineStr">
        <is>
          <t>Moda</t>
        </is>
      </c>
      <c r="K2875" t="n">
        <v>3</v>
      </c>
      <c r="L2875" t="n">
        <v>2.676</v>
      </c>
      <c r="M2875" t="n">
        <v>0</v>
      </c>
      <c r="N2875" t="inlineStr">
        <is>
          <t>train</t>
        </is>
      </c>
      <c r="O2875">
        <f>HYPERLINK("3\1\marker_797_960369.png", "Ver Imagen")</f>
        <v/>
      </c>
      <c r="P2875">
        <f>HYPERLINK("SE\A-5052\A-5052__274.png", "Ver Imagen")</f>
        <v/>
      </c>
    </row>
    <row r="2876">
      <c r="A2876" t="n">
        <v>2371</v>
      </c>
      <c r="B2876" t="inlineStr">
        <is>
          <t>A-5052__278</t>
        </is>
      </c>
      <c r="C2876" t="n">
        <v>37.2113618355</v>
      </c>
      <c r="D2876" t="n">
        <v>-7.05703346811</v>
      </c>
      <c r="E2876" t="n">
        <v>2</v>
      </c>
      <c r="F2876" t="n">
        <v>3</v>
      </c>
      <c r="G2876" t="n">
        <v>3</v>
      </c>
      <c r="J2876" t="inlineStr">
        <is>
          <t>Moda</t>
        </is>
      </c>
      <c r="K2876" t="n">
        <v>3</v>
      </c>
      <c r="L2876" t="n">
        <v>2.841</v>
      </c>
      <c r="M2876" t="n">
        <v>0</v>
      </c>
      <c r="N2876" t="inlineStr">
        <is>
          <t>val</t>
        </is>
      </c>
      <c r="O2876">
        <f>HYPERLINK("3\1\marker_841_960495.png", "Ver Imagen")</f>
        <v/>
      </c>
      <c r="P2876">
        <f>HYPERLINK("SE\A-5052\A-5052__278.png", "Ver Imagen")</f>
        <v/>
      </c>
    </row>
    <row r="2877">
      <c r="A2877" t="n">
        <v>2372</v>
      </c>
      <c r="B2877" t="inlineStr">
        <is>
          <t>A-5052__286</t>
        </is>
      </c>
      <c r="C2877" t="n">
        <v>37.211099234</v>
      </c>
      <c r="D2877" t="n">
        <v>-7.05500949752</v>
      </c>
      <c r="E2877" t="n">
        <v>2</v>
      </c>
      <c r="F2877" t="n">
        <v>3</v>
      </c>
      <c r="G2877" t="n">
        <v>3</v>
      </c>
      <c r="J2877" t="inlineStr">
        <is>
          <t>Moda</t>
        </is>
      </c>
      <c r="K2877" t="n">
        <v>3</v>
      </c>
      <c r="L2877" t="n">
        <v>2.543</v>
      </c>
      <c r="M2877" t="n">
        <v>0</v>
      </c>
      <c r="N2877" t="inlineStr">
        <is>
          <t>train</t>
        </is>
      </c>
      <c r="O2877">
        <f>HYPERLINK("3\1\marker_896_960594.png", "Ver Imagen")</f>
        <v/>
      </c>
      <c r="P2877">
        <f>HYPERLINK("SE\A-5052\A-5052__286.png", "Ver Imagen")</f>
        <v/>
      </c>
    </row>
    <row r="2878">
      <c r="A2878" t="n">
        <v>2373</v>
      </c>
      <c r="B2878" t="inlineStr">
        <is>
          <t>A-5052__288</t>
        </is>
      </c>
      <c r="C2878" t="n">
        <v>37.2110398753</v>
      </c>
      <c r="D2878" t="n">
        <v>-7.05454787037</v>
      </c>
      <c r="E2878" t="n">
        <v>2</v>
      </c>
      <c r="F2878" t="n">
        <v>3</v>
      </c>
      <c r="G2878" t="n">
        <v>3</v>
      </c>
      <c r="J2878" t="inlineStr">
        <is>
          <t>Moda</t>
        </is>
      </c>
      <c r="K2878" t="n">
        <v>3</v>
      </c>
      <c r="L2878" t="n">
        <v>3.433</v>
      </c>
      <c r="M2878" t="n">
        <v>0</v>
      </c>
      <c r="N2878" t="inlineStr">
        <is>
          <t>train</t>
        </is>
      </c>
      <c r="O2878">
        <f>HYPERLINK("3\1\marker_165_960619.png", "Ver Imagen")</f>
        <v/>
      </c>
      <c r="P2878">
        <f>HYPERLINK("SE\A-5052\A-5052__288.png", "Ver Imagen")</f>
        <v/>
      </c>
    </row>
    <row r="2879">
      <c r="A2879" t="n">
        <v>2374</v>
      </c>
      <c r="B2879" t="inlineStr">
        <is>
          <t>A-5052__295</t>
        </is>
      </c>
      <c r="C2879" t="n">
        <v>37.210787921</v>
      </c>
      <c r="D2879" t="n">
        <v>-7.05279675463</v>
      </c>
      <c r="E2879" t="n">
        <v>2</v>
      </c>
      <c r="F2879" t="n">
        <v>3</v>
      </c>
      <c r="G2879" t="n">
        <v>3</v>
      </c>
      <c r="J2879" t="inlineStr">
        <is>
          <t>Moda</t>
        </is>
      </c>
      <c r="K2879" t="n">
        <v>3</v>
      </c>
      <c r="L2879" t="n">
        <v>2.799</v>
      </c>
      <c r="M2879" t="n">
        <v>0</v>
      </c>
      <c r="N2879" t="inlineStr">
        <is>
          <t>train</t>
        </is>
      </c>
      <c r="O2879">
        <f>HYPERLINK("3\1\marker_583_960765.png", "Ver Imagen")</f>
        <v/>
      </c>
      <c r="P2879">
        <f>HYPERLINK("SE\A-5052\A-5052__295.png", "Ver Imagen")</f>
        <v/>
      </c>
    </row>
    <row r="2880">
      <c r="A2880" t="n">
        <v>2376</v>
      </c>
      <c r="B2880" t="inlineStr">
        <is>
          <t>A-5052__315</t>
        </is>
      </c>
      <c r="C2880" t="n">
        <v>37.2117602319</v>
      </c>
      <c r="D2880" t="n">
        <v>-7.04798181643</v>
      </c>
      <c r="E2880" t="n">
        <v>2</v>
      </c>
      <c r="F2880" t="n">
        <v>3</v>
      </c>
      <c r="G2880" t="n">
        <v>3</v>
      </c>
      <c r="J2880" t="inlineStr">
        <is>
          <t>Moda</t>
        </is>
      </c>
      <c r="K2880" t="n">
        <v>3</v>
      </c>
      <c r="L2880" t="n">
        <v>2.728</v>
      </c>
      <c r="M2880" t="n">
        <v>0</v>
      </c>
      <c r="N2880" t="inlineStr">
        <is>
          <t>train</t>
        </is>
      </c>
      <c r="O2880">
        <f>HYPERLINK("3\1\marker_390_961183.png", "Ver Imagen")</f>
        <v/>
      </c>
      <c r="P2880">
        <f>HYPERLINK("SE\A-5052\A-5052__315.png", "Ver Imagen")</f>
        <v/>
      </c>
    </row>
    <row r="2881">
      <c r="A2881" t="n">
        <v>2378</v>
      </c>
      <c r="B2881" t="inlineStr">
        <is>
          <t>A-5052__320</t>
        </is>
      </c>
      <c r="C2881" t="n">
        <v>37.211559398</v>
      </c>
      <c r="D2881" t="n">
        <v>-7.04671453949</v>
      </c>
      <c r="E2881" t="n">
        <v>2</v>
      </c>
      <c r="F2881" t="n">
        <v>3</v>
      </c>
      <c r="G2881" t="n">
        <v>3</v>
      </c>
      <c r="J2881" t="inlineStr">
        <is>
          <t>Moda</t>
        </is>
      </c>
      <c r="K2881" t="n">
        <v>3</v>
      </c>
      <c r="L2881" t="n">
        <v>2.856</v>
      </c>
      <c r="M2881" t="n">
        <v>0</v>
      </c>
      <c r="N2881" t="inlineStr">
        <is>
          <t>train</t>
        </is>
      </c>
      <c r="O2881">
        <f>HYPERLINK("3\1\marker_565_961270.png", "Ver Imagen")</f>
        <v/>
      </c>
      <c r="P2881">
        <f>HYPERLINK("SE\A-5052\A-5052__320.png", "Ver Imagen")</f>
        <v/>
      </c>
    </row>
    <row r="2882">
      <c r="A2882" t="n">
        <v>2379</v>
      </c>
      <c r="B2882" t="inlineStr">
        <is>
          <t>A-5052__329</t>
        </is>
      </c>
      <c r="C2882" t="n">
        <v>37.2110275597</v>
      </c>
      <c r="D2882" t="n">
        <v>-7.04450629617</v>
      </c>
      <c r="E2882" t="n">
        <v>2</v>
      </c>
      <c r="F2882" t="n">
        <v>3</v>
      </c>
      <c r="G2882" t="n">
        <v>3</v>
      </c>
      <c r="J2882" t="inlineStr">
        <is>
          <t>Moda</t>
        </is>
      </c>
      <c r="K2882" t="n">
        <v>3</v>
      </c>
      <c r="L2882" t="n">
        <v>3.004</v>
      </c>
      <c r="M2882" t="n">
        <v>0</v>
      </c>
      <c r="N2882" t="inlineStr">
        <is>
          <t>train</t>
        </is>
      </c>
      <c r="O2882">
        <f>HYPERLINK("3\1\marker_805_961491.png", "Ver Imagen")</f>
        <v/>
      </c>
      <c r="P2882">
        <f>HYPERLINK("SE\A-5052\A-5052__329.png", "Ver Imagen")</f>
        <v/>
      </c>
    </row>
    <row r="2883">
      <c r="A2883" t="n">
        <v>2380</v>
      </c>
      <c r="B2883" t="inlineStr">
        <is>
          <t>A-5052__336</t>
        </is>
      </c>
      <c r="C2883" t="n">
        <v>37.210461176</v>
      </c>
      <c r="D2883" t="n">
        <v>-7.04298017171</v>
      </c>
      <c r="E2883" t="n">
        <v>2</v>
      </c>
      <c r="F2883" t="n">
        <v>3</v>
      </c>
      <c r="G2883" t="n">
        <v>3</v>
      </c>
      <c r="J2883" t="inlineStr">
        <is>
          <t>Moda</t>
        </is>
      </c>
      <c r="K2883" t="n">
        <v>3</v>
      </c>
      <c r="L2883" t="n">
        <v>2.517</v>
      </c>
      <c r="M2883" t="n">
        <v>0</v>
      </c>
      <c r="N2883" t="inlineStr">
        <is>
          <t>test</t>
        </is>
      </c>
      <c r="O2883">
        <f>HYPERLINK("3\1\marker_567_961569.png", "Ver Imagen")</f>
        <v/>
      </c>
      <c r="P2883">
        <f>HYPERLINK("SE\A-5052\A-5052__336.png", "Ver Imagen")</f>
        <v/>
      </c>
    </row>
    <row r="2884">
      <c r="A2884" t="n">
        <v>2381</v>
      </c>
      <c r="B2884" t="inlineStr">
        <is>
          <t>A-5052__349</t>
        </is>
      </c>
      <c r="C2884" t="n">
        <v>37.2093350088</v>
      </c>
      <c r="D2884" t="n">
        <v>-7.03996691709</v>
      </c>
      <c r="E2884" t="n">
        <v>2</v>
      </c>
      <c r="F2884" t="n">
        <v>3</v>
      </c>
      <c r="G2884" t="n">
        <v>3</v>
      </c>
      <c r="J2884" t="inlineStr">
        <is>
          <t>Moda</t>
        </is>
      </c>
      <c r="K2884" t="n">
        <v>3</v>
      </c>
      <c r="L2884" t="n">
        <v>3.146</v>
      </c>
      <c r="M2884" t="n">
        <v>0</v>
      </c>
      <c r="N2884" t="inlineStr">
        <is>
          <t>train</t>
        </is>
      </c>
      <c r="O2884">
        <f>HYPERLINK("3\1\marker_580_961734.png", "Ver Imagen")</f>
        <v/>
      </c>
      <c r="P2884">
        <f>HYPERLINK("SE\A-5052\A-5052__349.png", "Ver Imagen")</f>
        <v/>
      </c>
    </row>
    <row r="2885">
      <c r="A2885" t="n">
        <v>2382</v>
      </c>
      <c r="B2885" t="inlineStr">
        <is>
          <t>A-5052__350</t>
        </is>
      </c>
      <c r="C2885" t="n">
        <v>37.2092366804</v>
      </c>
      <c r="D2885" t="n">
        <v>-7.03971079319</v>
      </c>
      <c r="E2885" t="n">
        <v>2</v>
      </c>
      <c r="F2885" t="n">
        <v>3</v>
      </c>
      <c r="G2885" t="n">
        <v>3</v>
      </c>
      <c r="J2885" t="inlineStr">
        <is>
          <t>Moda</t>
        </is>
      </c>
      <c r="K2885" t="n">
        <v>3</v>
      </c>
      <c r="L2885" t="n">
        <v>2.518</v>
      </c>
      <c r="M2885" t="n">
        <v>0</v>
      </c>
      <c r="N2885" t="inlineStr">
        <is>
          <t>test</t>
        </is>
      </c>
      <c r="O2885">
        <f>HYPERLINK("3\1\marker_501_961745.png", "Ver Imagen")</f>
        <v/>
      </c>
      <c r="P2885">
        <f>HYPERLINK("SE\A-5052\A-5052__350.png", "Ver Imagen")</f>
        <v/>
      </c>
    </row>
    <row r="2886">
      <c r="A2886" t="n">
        <v>2383</v>
      </c>
      <c r="B2886" t="inlineStr">
        <is>
          <t>A-5052__351</t>
        </is>
      </c>
      <c r="C2886" t="n">
        <v>37.2091543307</v>
      </c>
      <c r="D2886" t="n">
        <v>-7.03950167563</v>
      </c>
      <c r="E2886" t="n">
        <v>2</v>
      </c>
      <c r="F2886" t="n">
        <v>3</v>
      </c>
      <c r="G2886" t="n">
        <v>3</v>
      </c>
      <c r="J2886" t="inlineStr">
        <is>
          <t>Moda</t>
        </is>
      </c>
      <c r="K2886" t="n">
        <v>3</v>
      </c>
      <c r="L2886" t="n">
        <v>2.636</v>
      </c>
      <c r="M2886" t="n">
        <v>0</v>
      </c>
      <c r="N2886" t="inlineStr">
        <is>
          <t>train</t>
        </is>
      </c>
      <c r="O2886">
        <f>HYPERLINK("3\1\marker_699_961757.png", "Ver Imagen")</f>
        <v/>
      </c>
      <c r="P2886">
        <f>HYPERLINK("SE\A-5052\A-5052__351.png", "Ver Imagen")</f>
        <v/>
      </c>
    </row>
    <row r="2887">
      <c r="A2887" t="n">
        <v>2384</v>
      </c>
      <c r="B2887" t="inlineStr">
        <is>
          <t>A-5052__362</t>
        </is>
      </c>
      <c r="C2887" t="n">
        <v>37.208188092</v>
      </c>
      <c r="D2887" t="n">
        <v>-7.03701349798</v>
      </c>
      <c r="E2887" t="n">
        <v>2</v>
      </c>
      <c r="F2887" t="n">
        <v>3</v>
      </c>
      <c r="G2887" t="n">
        <v>3</v>
      </c>
      <c r="J2887" t="inlineStr">
        <is>
          <t>Moda</t>
        </is>
      </c>
      <c r="K2887" t="n">
        <v>3</v>
      </c>
      <c r="L2887" t="n">
        <v>2.97</v>
      </c>
      <c r="M2887" t="n">
        <v>0</v>
      </c>
      <c r="N2887" t="inlineStr">
        <is>
          <t>train</t>
        </is>
      </c>
      <c r="O2887">
        <f>HYPERLINK("3\1\marker_998_961879.png", "Ver Imagen")</f>
        <v/>
      </c>
      <c r="P2887">
        <f>HYPERLINK("SE\A-5052\A-5052__362.png", "Ver Imagen")</f>
        <v/>
      </c>
    </row>
    <row r="2888">
      <c r="A2888" t="n">
        <v>2385</v>
      </c>
      <c r="B2888" t="inlineStr">
        <is>
          <t>A-5052__365</t>
        </is>
      </c>
      <c r="C2888" t="n">
        <v>37.2079282104</v>
      </c>
      <c r="D2888" t="n">
        <v>-7.03634349705</v>
      </c>
      <c r="E2888" t="n">
        <v>3</v>
      </c>
      <c r="F2888" t="n">
        <v>3</v>
      </c>
      <c r="G2888" t="n">
        <v>2</v>
      </c>
      <c r="J2888" t="inlineStr">
        <is>
          <t>Moda</t>
        </is>
      </c>
      <c r="K2888" t="n">
        <v>3</v>
      </c>
      <c r="L2888" t="n">
        <v>2.734</v>
      </c>
      <c r="M2888" t="n">
        <v>0</v>
      </c>
      <c r="N2888" t="inlineStr">
        <is>
          <t>test</t>
        </is>
      </c>
      <c r="O2888">
        <f>HYPERLINK("3\1\marker_466_961931.png", "Ver Imagen")</f>
        <v/>
      </c>
      <c r="P2888">
        <f>HYPERLINK("SE\A-5052\A-5052__365.png", "Ver Imagen")</f>
        <v/>
      </c>
    </row>
    <row r="2889">
      <c r="A2889" t="n">
        <v>2386</v>
      </c>
      <c r="B2889" t="inlineStr">
        <is>
          <t>A-5052__368</t>
        </is>
      </c>
      <c r="C2889" t="n">
        <v>37.2076529518</v>
      </c>
      <c r="D2889" t="n">
        <v>-7.03562388248</v>
      </c>
      <c r="E2889" t="n">
        <v>3</v>
      </c>
      <c r="F2889" t="n">
        <v>3</v>
      </c>
      <c r="G2889" t="n">
        <v>2</v>
      </c>
      <c r="J2889" t="inlineStr">
        <is>
          <t>Moda</t>
        </is>
      </c>
      <c r="K2889" t="n">
        <v>3</v>
      </c>
      <c r="L2889" t="n">
        <v>2.977</v>
      </c>
      <c r="M2889" t="n">
        <v>0</v>
      </c>
      <c r="N2889" t="inlineStr">
        <is>
          <t>train</t>
        </is>
      </c>
      <c r="O2889">
        <f>HYPERLINK("3\1\marker_962_962273.png", "Ver Imagen")</f>
        <v/>
      </c>
      <c r="P2889">
        <f>HYPERLINK("SE\A-5052\A-5052__368.png", "Ver Imagen")</f>
        <v/>
      </c>
    </row>
    <row r="2890">
      <c r="A2890" t="n">
        <v>2387</v>
      </c>
      <c r="B2890" t="inlineStr">
        <is>
          <t>A-5052__371</t>
        </is>
      </c>
      <c r="C2890" t="n">
        <v>37.2073928383</v>
      </c>
      <c r="D2890" t="n">
        <v>-7.03495819947</v>
      </c>
      <c r="E2890" t="n">
        <v>2</v>
      </c>
      <c r="F2890" t="n">
        <v>3</v>
      </c>
      <c r="G2890" t="n">
        <v>3</v>
      </c>
      <c r="J2890" t="inlineStr">
        <is>
          <t>Moda</t>
        </is>
      </c>
      <c r="K2890" t="n">
        <v>3</v>
      </c>
      <c r="L2890" t="n">
        <v>3.064</v>
      </c>
      <c r="M2890" t="n">
        <v>0</v>
      </c>
      <c r="N2890" t="inlineStr">
        <is>
          <t>train</t>
        </is>
      </c>
      <c r="O2890">
        <f>HYPERLINK("3\1\marker_399_962304.png", "Ver Imagen")</f>
        <v/>
      </c>
      <c r="P2890">
        <f>HYPERLINK("SE\A-5052\A-5052__371.png", "Ver Imagen")</f>
        <v/>
      </c>
    </row>
    <row r="2891">
      <c r="A2891" t="n">
        <v>2388</v>
      </c>
      <c r="B2891" t="inlineStr">
        <is>
          <t>A-5052__382</t>
        </is>
      </c>
      <c r="C2891" t="n">
        <v>37.2064297427</v>
      </c>
      <c r="D2891" t="n">
        <v>-7.03245678462</v>
      </c>
      <c r="E2891" t="n">
        <v>2</v>
      </c>
      <c r="F2891" t="n">
        <v>3</v>
      </c>
      <c r="G2891" t="n">
        <v>3</v>
      </c>
      <c r="J2891" t="inlineStr">
        <is>
          <t>Moda</t>
        </is>
      </c>
      <c r="K2891" t="n">
        <v>3</v>
      </c>
      <c r="L2891" t="n">
        <v>3.209</v>
      </c>
      <c r="M2891" t="n">
        <v>0</v>
      </c>
      <c r="N2891" t="inlineStr">
        <is>
          <t>train</t>
        </is>
      </c>
      <c r="O2891">
        <f>HYPERLINK("3\1\marker_725_962502.png", "Ver Imagen")</f>
        <v/>
      </c>
      <c r="P2891">
        <f>HYPERLINK("SE\A-5052\A-5052__382.png", "Ver Imagen")</f>
        <v/>
      </c>
    </row>
    <row r="2892">
      <c r="A2892" t="n">
        <v>2389</v>
      </c>
      <c r="B2892" t="inlineStr">
        <is>
          <t>A-5052__387</t>
        </is>
      </c>
      <c r="C2892" t="n">
        <v>37.2059820411</v>
      </c>
      <c r="D2892" t="n">
        <v>-7.03130256625</v>
      </c>
      <c r="E2892" t="n">
        <v>2</v>
      </c>
      <c r="F2892" t="n">
        <v>3</v>
      </c>
      <c r="G2892" t="n">
        <v>3</v>
      </c>
      <c r="J2892" t="inlineStr">
        <is>
          <t>Moda</t>
        </is>
      </c>
      <c r="K2892" t="n">
        <v>3</v>
      </c>
      <c r="L2892" t="n">
        <v>3.014</v>
      </c>
      <c r="M2892" t="n">
        <v>0</v>
      </c>
      <c r="N2892" t="inlineStr">
        <is>
          <t>train</t>
        </is>
      </c>
      <c r="O2892">
        <f>HYPERLINK("3\1\marker_716_962548.png", "Ver Imagen")</f>
        <v/>
      </c>
      <c r="P2892">
        <f>HYPERLINK("SE\A-5052\A-5052__387.png", "Ver Imagen")</f>
        <v/>
      </c>
    </row>
    <row r="2893">
      <c r="A2893" t="n">
        <v>2390</v>
      </c>
      <c r="B2893" t="inlineStr">
        <is>
          <t>A-5052__388</t>
        </is>
      </c>
      <c r="C2893" t="n">
        <v>37.2058899382</v>
      </c>
      <c r="D2893" t="n">
        <v>-7.03105830871</v>
      </c>
      <c r="E2893" t="n">
        <v>2</v>
      </c>
      <c r="F2893" t="n">
        <v>3</v>
      </c>
      <c r="G2893" t="n">
        <v>3</v>
      </c>
      <c r="J2893" t="inlineStr">
        <is>
          <t>Moda</t>
        </is>
      </c>
      <c r="K2893" t="n">
        <v>3</v>
      </c>
      <c r="L2893" t="n">
        <v>3.015</v>
      </c>
      <c r="M2893" t="n">
        <v>0</v>
      </c>
      <c r="N2893" t="inlineStr">
        <is>
          <t>train</t>
        </is>
      </c>
      <c r="O2893">
        <f>HYPERLINK("3\1\marker_590_962558.png", "Ver Imagen")</f>
        <v/>
      </c>
      <c r="P2893">
        <f>HYPERLINK("SE\A-5052\A-5052__388.png", "Ver Imagen")</f>
        <v/>
      </c>
    </row>
    <row r="2894">
      <c r="A2894" t="n">
        <v>2391</v>
      </c>
      <c r="B2894" t="inlineStr">
        <is>
          <t>A-5052__393</t>
        </is>
      </c>
      <c r="C2894" t="n">
        <v>37.2054619562</v>
      </c>
      <c r="D2894" t="n">
        <v>-7.02994350743</v>
      </c>
      <c r="E2894" t="n">
        <v>2</v>
      </c>
      <c r="F2894" t="n">
        <v>3</v>
      </c>
      <c r="G2894" t="n">
        <v>3</v>
      </c>
      <c r="J2894" t="inlineStr">
        <is>
          <t>Moda</t>
        </is>
      </c>
      <c r="K2894" t="n">
        <v>3</v>
      </c>
      <c r="L2894" t="n">
        <v>2.953</v>
      </c>
      <c r="M2894" t="n">
        <v>0</v>
      </c>
      <c r="N2894" t="inlineStr">
        <is>
          <t>val</t>
        </is>
      </c>
      <c r="O2894">
        <f>HYPERLINK("3\1\marker_509_962604.png", "Ver Imagen")</f>
        <v/>
      </c>
      <c r="P2894">
        <f>HYPERLINK("SE\A-5052\A-5052__393.png", "Ver Imagen")</f>
        <v/>
      </c>
    </row>
    <row r="2895">
      <c r="A2895" t="n">
        <v>2392</v>
      </c>
      <c r="B2895" t="inlineStr">
        <is>
          <t>A-5052__396</t>
        </is>
      </c>
      <c r="C2895" t="n">
        <v>37.2052033213</v>
      </c>
      <c r="D2895" t="n">
        <v>-7.02925464204</v>
      </c>
      <c r="E2895" t="n">
        <v>2</v>
      </c>
      <c r="F2895" t="n">
        <v>3</v>
      </c>
      <c r="G2895" t="n">
        <v>3</v>
      </c>
      <c r="J2895" t="inlineStr">
        <is>
          <t>Moda</t>
        </is>
      </c>
      <c r="K2895" t="n">
        <v>3</v>
      </c>
      <c r="L2895" t="n">
        <v>2.862</v>
      </c>
      <c r="M2895" t="n">
        <v>0</v>
      </c>
      <c r="N2895" t="inlineStr">
        <is>
          <t>train</t>
        </is>
      </c>
      <c r="O2895">
        <f>HYPERLINK("3\1\marker_457_962629.png", "Ver Imagen")</f>
        <v/>
      </c>
      <c r="P2895">
        <f>HYPERLINK("SE\A-5052\A-5052__396.png", "Ver Imagen")</f>
        <v/>
      </c>
    </row>
    <row r="2896">
      <c r="A2896" t="n">
        <v>2393</v>
      </c>
      <c r="B2896" t="inlineStr">
        <is>
          <t>A-5052__397</t>
        </is>
      </c>
      <c r="C2896" t="n">
        <v>37.2051190447</v>
      </c>
      <c r="D2896" t="n">
        <v>-7.02903749599</v>
      </c>
      <c r="E2896" t="n">
        <v>2</v>
      </c>
      <c r="F2896" t="n">
        <v>3</v>
      </c>
      <c r="G2896" t="n">
        <v>3</v>
      </c>
      <c r="J2896" t="inlineStr">
        <is>
          <t>Moda</t>
        </is>
      </c>
      <c r="K2896" t="n">
        <v>3</v>
      </c>
      <c r="L2896" t="n">
        <v>3.042</v>
      </c>
      <c r="M2896" t="n">
        <v>0</v>
      </c>
      <c r="N2896" t="inlineStr">
        <is>
          <t>train</t>
        </is>
      </c>
      <c r="O2896">
        <f>HYPERLINK("3\1\marker_511_962638.png", "Ver Imagen")</f>
        <v/>
      </c>
      <c r="P2896">
        <f>HYPERLINK("SE\A-5052\A-5052__397.png", "Ver Imagen")</f>
        <v/>
      </c>
    </row>
    <row r="2897">
      <c r="A2897" t="n">
        <v>2394</v>
      </c>
      <c r="B2897" t="inlineStr">
        <is>
          <t>A-5052__400</t>
        </is>
      </c>
      <c r="C2897" t="n">
        <v>37.2048138974</v>
      </c>
      <c r="D2897" t="n">
        <v>-7.02837795408</v>
      </c>
      <c r="E2897" t="n">
        <v>2</v>
      </c>
      <c r="F2897" t="n">
        <v>3</v>
      </c>
      <c r="G2897" t="n">
        <v>3</v>
      </c>
      <c r="J2897" t="inlineStr">
        <is>
          <t>Moda</t>
        </is>
      </c>
      <c r="K2897" t="n">
        <v>3</v>
      </c>
      <c r="L2897" t="n">
        <v>3.152</v>
      </c>
      <c r="M2897" t="n">
        <v>0</v>
      </c>
      <c r="N2897" t="inlineStr">
        <is>
          <t>train</t>
        </is>
      </c>
      <c r="O2897">
        <f>HYPERLINK("3\1\marker_893_962665.png", "Ver Imagen")</f>
        <v/>
      </c>
      <c r="P2897">
        <f>HYPERLINK("SE\A-5052\A-5052__400.png", "Ver Imagen")</f>
        <v/>
      </c>
    </row>
    <row r="2898">
      <c r="A2898" t="n">
        <v>2396</v>
      </c>
      <c r="B2898" t="inlineStr">
        <is>
          <t>A-5052__446</t>
        </is>
      </c>
      <c r="C2898" t="n">
        <v>37.2008313791</v>
      </c>
      <c r="D2898" t="n">
        <v>-7.01786043893</v>
      </c>
      <c r="E2898" t="n">
        <v>2</v>
      </c>
      <c r="F2898" t="n">
        <v>3</v>
      </c>
      <c r="G2898" t="n">
        <v>3</v>
      </c>
      <c r="J2898" t="inlineStr">
        <is>
          <t>Moda</t>
        </is>
      </c>
      <c r="K2898" t="n">
        <v>3</v>
      </c>
      <c r="L2898" t="n">
        <v>2.683</v>
      </c>
      <c r="M2898" t="n">
        <v>0</v>
      </c>
      <c r="N2898" t="inlineStr">
        <is>
          <t>train</t>
        </is>
      </c>
      <c r="O2898">
        <f>HYPERLINK("3\1\marker_237_963137.png", "Ver Imagen")</f>
        <v/>
      </c>
      <c r="P2898">
        <f>HYPERLINK("SE\A-5052\A-5052__446.png", "Ver Imagen")</f>
        <v/>
      </c>
    </row>
    <row r="2899">
      <c r="A2899" t="n">
        <v>2397</v>
      </c>
      <c r="B2899" t="inlineStr">
        <is>
          <t>A-5052__474</t>
        </is>
      </c>
      <c r="C2899" t="n">
        <v>37.1983804407</v>
      </c>
      <c r="D2899" t="n">
        <v>-7.01148758469</v>
      </c>
      <c r="E2899" t="n">
        <v>2</v>
      </c>
      <c r="F2899" t="n">
        <v>3</v>
      </c>
      <c r="G2899" t="n">
        <v>3</v>
      </c>
      <c r="J2899" t="inlineStr">
        <is>
          <t>Moda</t>
        </is>
      </c>
      <c r="K2899" t="n">
        <v>3</v>
      </c>
      <c r="L2899" t="n">
        <v>3.155</v>
      </c>
      <c r="M2899" t="n">
        <v>0</v>
      </c>
      <c r="N2899" t="inlineStr">
        <is>
          <t>train</t>
        </is>
      </c>
      <c r="O2899">
        <f>HYPERLINK("3\1\marker_551_963432.png", "Ver Imagen")</f>
        <v/>
      </c>
      <c r="P2899">
        <f>HYPERLINK("SE\A-5052\A-5052__474.png", "Ver Imagen")</f>
        <v/>
      </c>
    </row>
    <row r="2900">
      <c r="A2900" t="n">
        <v>2398</v>
      </c>
      <c r="B2900" t="inlineStr">
        <is>
          <t>A-5052__479</t>
        </is>
      </c>
      <c r="C2900" t="n">
        <v>37.19794075</v>
      </c>
      <c r="D2900" t="n">
        <v>-7.01035414138</v>
      </c>
      <c r="E2900" t="n">
        <v>2</v>
      </c>
      <c r="F2900" t="n">
        <v>3</v>
      </c>
      <c r="G2900" t="n">
        <v>3</v>
      </c>
      <c r="J2900" t="inlineStr">
        <is>
          <t>Moda</t>
        </is>
      </c>
      <c r="K2900" t="n">
        <v>3</v>
      </c>
      <c r="L2900" t="n">
        <v>3.425</v>
      </c>
      <c r="M2900" t="n">
        <v>0</v>
      </c>
      <c r="N2900" t="inlineStr">
        <is>
          <t>train</t>
        </is>
      </c>
      <c r="O2900">
        <f>HYPERLINK("3\1\marker_427_963482.png", "Ver Imagen")</f>
        <v/>
      </c>
      <c r="P2900">
        <f>HYPERLINK("SE\A-5052\A-5052__479.png", "Ver Imagen")</f>
        <v/>
      </c>
    </row>
    <row r="2901">
      <c r="A2901" t="n">
        <v>2400</v>
      </c>
      <c r="B2901" t="inlineStr">
        <is>
          <t>A-5053__378</t>
        </is>
      </c>
      <c r="C2901" t="n">
        <v>37.2879503244</v>
      </c>
      <c r="D2901" t="n">
        <v>-7.14158401364</v>
      </c>
      <c r="E2901" t="n">
        <v>2</v>
      </c>
      <c r="F2901" t="n">
        <v>3</v>
      </c>
      <c r="G2901" t="n">
        <v>3</v>
      </c>
      <c r="J2901" t="inlineStr">
        <is>
          <t>Moda</t>
        </is>
      </c>
      <c r="K2901" t="n">
        <v>3</v>
      </c>
      <c r="L2901" t="n">
        <v>3.032</v>
      </c>
      <c r="M2901" t="n">
        <v>0</v>
      </c>
      <c r="N2901" t="inlineStr">
        <is>
          <t>train</t>
        </is>
      </c>
      <c r="O2901">
        <f>HYPERLINK("3\1\marker_696_963876.png", "Ver Imagen")</f>
        <v/>
      </c>
      <c r="P2901">
        <f>HYPERLINK("SO\A-5053\A-5053__378.png", "Ver Imagen")</f>
        <v/>
      </c>
    </row>
    <row r="2902">
      <c r="A2902" t="n">
        <v>2401</v>
      </c>
      <c r="B2902" t="inlineStr">
        <is>
          <t>A-5053__363</t>
        </is>
      </c>
      <c r="C2902" t="n">
        <v>37.2853153244</v>
      </c>
      <c r="D2902" t="n">
        <v>-7.14249523696</v>
      </c>
      <c r="E2902" t="n">
        <v>2</v>
      </c>
      <c r="F2902" t="n">
        <v>3</v>
      </c>
      <c r="G2902" t="n">
        <v>3</v>
      </c>
      <c r="J2902" t="inlineStr">
        <is>
          <t>Moda</t>
        </is>
      </c>
      <c r="K2902" t="n">
        <v>3</v>
      </c>
      <c r="L2902" t="n">
        <v>3.051</v>
      </c>
      <c r="M2902" t="n">
        <v>0</v>
      </c>
      <c r="N2902" t="inlineStr">
        <is>
          <t>train</t>
        </is>
      </c>
      <c r="O2902">
        <f>HYPERLINK("3\1\marker_388_964027.png", "Ver Imagen")</f>
        <v/>
      </c>
      <c r="P2902">
        <f>HYPERLINK("SO\A-5053\A-5053__363.png", "Ver Imagen")</f>
        <v/>
      </c>
    </row>
    <row r="2903">
      <c r="A2903" t="n">
        <v>2402</v>
      </c>
      <c r="B2903" t="inlineStr">
        <is>
          <t>A-5053__362</t>
        </is>
      </c>
      <c r="C2903" t="n">
        <v>37.2852013007</v>
      </c>
      <c r="D2903" t="n">
        <v>-7.14268288546</v>
      </c>
      <c r="E2903" t="n">
        <v>2</v>
      </c>
      <c r="F2903" t="n">
        <v>3</v>
      </c>
      <c r="G2903" t="n">
        <v>3</v>
      </c>
      <c r="J2903" t="inlineStr">
        <is>
          <t>Moda</t>
        </is>
      </c>
      <c r="K2903" t="n">
        <v>3</v>
      </c>
      <c r="L2903" t="n">
        <v>2.785</v>
      </c>
      <c r="M2903" t="n">
        <v>0</v>
      </c>
      <c r="N2903" t="inlineStr">
        <is>
          <t>train</t>
        </is>
      </c>
      <c r="O2903">
        <f>HYPERLINK("3\1\marker_433_964040.png", "Ver Imagen")</f>
        <v/>
      </c>
      <c r="P2903">
        <f>HYPERLINK("SO\A-5053\A-5053__362.png", "Ver Imagen")</f>
        <v/>
      </c>
    </row>
    <row r="2904">
      <c r="A2904" t="n">
        <v>2403</v>
      </c>
      <c r="B2904" t="inlineStr">
        <is>
          <t>A-5053__360</t>
        </is>
      </c>
      <c r="C2904" t="n">
        <v>37.2849856347</v>
      </c>
      <c r="D2904" t="n">
        <v>-7.14307963396</v>
      </c>
      <c r="E2904" t="n">
        <v>2</v>
      </c>
      <c r="F2904" t="n">
        <v>3</v>
      </c>
      <c r="G2904" t="n">
        <v>3</v>
      </c>
      <c r="J2904" t="inlineStr">
        <is>
          <t>Moda</t>
        </is>
      </c>
      <c r="K2904" t="n">
        <v>3</v>
      </c>
      <c r="L2904" t="n">
        <v>2.55</v>
      </c>
      <c r="M2904" t="n">
        <v>0</v>
      </c>
      <c r="N2904" t="inlineStr">
        <is>
          <t>test</t>
        </is>
      </c>
      <c r="O2904">
        <f>HYPERLINK("3\1\marker_864_964065.png", "Ver Imagen")</f>
        <v/>
      </c>
      <c r="P2904">
        <f>HYPERLINK("SO\A-5053\A-5053__360.png", "Ver Imagen")</f>
        <v/>
      </c>
    </row>
    <row r="2905">
      <c r="A2905" t="n">
        <v>2404</v>
      </c>
      <c r="B2905" t="inlineStr">
        <is>
          <t>A-5053__330</t>
        </is>
      </c>
      <c r="C2905" t="n">
        <v>37.2797351984</v>
      </c>
      <c r="D2905" t="n">
        <v>-7.14537795778</v>
      </c>
      <c r="E2905" t="n">
        <v>2</v>
      </c>
      <c r="F2905" t="n">
        <v>3</v>
      </c>
      <c r="G2905" t="n">
        <v>3</v>
      </c>
      <c r="J2905" t="inlineStr">
        <is>
          <t>Moda</t>
        </is>
      </c>
      <c r="K2905" t="n">
        <v>3</v>
      </c>
      <c r="L2905" t="n">
        <v>2.908</v>
      </c>
      <c r="M2905" t="n">
        <v>0</v>
      </c>
      <c r="N2905" t="inlineStr">
        <is>
          <t>train</t>
        </is>
      </c>
      <c r="O2905">
        <f>HYPERLINK("3\1\marker_297_964467.png", "Ver Imagen")</f>
        <v/>
      </c>
      <c r="P2905">
        <f>HYPERLINK("SO\A-5053\A-5053__330.png", "Ver Imagen")</f>
        <v/>
      </c>
    </row>
    <row r="2906">
      <c r="A2906" t="n">
        <v>2405</v>
      </c>
      <c r="B2906" t="inlineStr">
        <is>
          <t>A-5053__318</t>
        </is>
      </c>
      <c r="C2906" t="n">
        <v>37.277737791</v>
      </c>
      <c r="D2906" t="n">
        <v>-7.14365305917</v>
      </c>
      <c r="E2906" t="n">
        <v>2</v>
      </c>
      <c r="F2906" t="n">
        <v>3</v>
      </c>
      <c r="G2906" t="n">
        <v>3</v>
      </c>
      <c r="J2906" t="inlineStr">
        <is>
          <t>Moda</t>
        </is>
      </c>
      <c r="K2906" t="n">
        <v>3</v>
      </c>
      <c r="L2906" t="n">
        <v>2.751</v>
      </c>
      <c r="M2906" t="n">
        <v>0</v>
      </c>
      <c r="N2906" t="inlineStr">
        <is>
          <t>train</t>
        </is>
      </c>
      <c r="O2906">
        <f>HYPERLINK("3\1\marker_422_964592.png", "Ver Imagen")</f>
        <v/>
      </c>
      <c r="P2906">
        <f>HYPERLINK("SO\A-5053\A-5053__318.png", "Ver Imagen")</f>
        <v/>
      </c>
    </row>
    <row r="2907">
      <c r="A2907" t="n">
        <v>2406</v>
      </c>
      <c r="B2907" t="inlineStr">
        <is>
          <t>A-5053__315</t>
        </is>
      </c>
      <c r="C2907" t="n">
        <v>37.2771817578</v>
      </c>
      <c r="D2907" t="n">
        <v>-7.1433315832</v>
      </c>
      <c r="E2907" t="n">
        <v>3</v>
      </c>
      <c r="F2907" t="n">
        <v>3</v>
      </c>
      <c r="G2907" t="n">
        <v>2</v>
      </c>
      <c r="J2907" t="inlineStr">
        <is>
          <t>Moda</t>
        </is>
      </c>
      <c r="K2907" t="n">
        <v>3</v>
      </c>
      <c r="L2907" t="n">
        <v>2.955</v>
      </c>
      <c r="M2907" t="n">
        <v>0</v>
      </c>
      <c r="N2907" t="inlineStr">
        <is>
          <t>train</t>
        </is>
      </c>
      <c r="O2907">
        <f>HYPERLINK("3\1\marker_425_964626.png", "Ver Imagen")</f>
        <v/>
      </c>
      <c r="P2907">
        <f>HYPERLINK("SO\A-5053\A-5053__315.png", "Ver Imagen")</f>
        <v/>
      </c>
    </row>
    <row r="2908">
      <c r="A2908" t="n">
        <v>2407</v>
      </c>
      <c r="B2908" t="inlineStr">
        <is>
          <t>A-5053__301</t>
        </is>
      </c>
      <c r="C2908" t="n">
        <v>37.2744656533</v>
      </c>
      <c r="D2908" t="n">
        <v>-7.14242885521</v>
      </c>
      <c r="E2908" t="n">
        <v>2</v>
      </c>
      <c r="F2908" t="n">
        <v>3</v>
      </c>
      <c r="G2908" t="n">
        <v>3</v>
      </c>
      <c r="J2908" t="inlineStr">
        <is>
          <t>Moda</t>
        </is>
      </c>
      <c r="K2908" t="n">
        <v>3</v>
      </c>
      <c r="L2908" t="n">
        <v>2.87</v>
      </c>
      <c r="M2908" t="n">
        <v>0</v>
      </c>
      <c r="N2908" t="inlineStr">
        <is>
          <t>train</t>
        </is>
      </c>
      <c r="O2908">
        <f>HYPERLINK("3\1\marker_588_964762.png", "Ver Imagen")</f>
        <v/>
      </c>
      <c r="P2908">
        <f>HYPERLINK("SO\A-5053\A-5053__301.png", "Ver Imagen")</f>
        <v/>
      </c>
    </row>
    <row r="2909">
      <c r="A2909" t="n">
        <v>2408</v>
      </c>
      <c r="B2909" t="inlineStr">
        <is>
          <t>A-5053__300</t>
        </is>
      </c>
      <c r="C2909" t="n">
        <v>37.2742937681</v>
      </c>
      <c r="D2909" t="n">
        <v>-7.14235185373</v>
      </c>
      <c r="E2909" t="n">
        <v>3</v>
      </c>
      <c r="F2909" t="n">
        <v>3</v>
      </c>
      <c r="G2909" t="n">
        <v>2</v>
      </c>
      <c r="J2909" t="inlineStr">
        <is>
          <t>Moda</t>
        </is>
      </c>
      <c r="K2909" t="n">
        <v>3</v>
      </c>
      <c r="L2909" t="n">
        <v>3.237</v>
      </c>
      <c r="M2909" t="n">
        <v>0</v>
      </c>
      <c r="N2909" t="inlineStr">
        <is>
          <t>train</t>
        </is>
      </c>
      <c r="O2909">
        <f>HYPERLINK("3\1\marker_654_964845.png", "Ver Imagen")</f>
        <v/>
      </c>
      <c r="P2909">
        <f>HYPERLINK("SO\A-5053\A-5053__300.png", "Ver Imagen")</f>
        <v/>
      </c>
    </row>
    <row r="2910">
      <c r="A2910" t="n">
        <v>2409</v>
      </c>
      <c r="B2910" t="inlineStr">
        <is>
          <t>A-5053__240</t>
        </is>
      </c>
      <c r="C2910" t="n">
        <v>37.2657364915</v>
      </c>
      <c r="D2910" t="n">
        <v>-7.13268324511</v>
      </c>
      <c r="E2910" t="n">
        <v>2</v>
      </c>
      <c r="F2910" t="n">
        <v>3</v>
      </c>
      <c r="G2910" t="n">
        <v>3</v>
      </c>
      <c r="J2910" t="inlineStr">
        <is>
          <t>Moda</t>
        </is>
      </c>
      <c r="K2910" t="n">
        <v>3</v>
      </c>
      <c r="L2910" t="n">
        <v>2.888</v>
      </c>
      <c r="M2910" t="n">
        <v>0</v>
      </c>
      <c r="N2910" t="inlineStr">
        <is>
          <t>train</t>
        </is>
      </c>
      <c r="O2910">
        <f>HYPERLINK("3\1\marker_443_965499.png", "Ver Imagen")</f>
        <v/>
      </c>
      <c r="P2910">
        <f>HYPERLINK("SO\A-5053\A-5053__240.png", "Ver Imagen")</f>
        <v/>
      </c>
    </row>
    <row r="2911">
      <c r="A2911" t="n">
        <v>2410</v>
      </c>
      <c r="B2911" t="inlineStr">
        <is>
          <t>A-5053__229</t>
        </is>
      </c>
      <c r="C2911" t="n">
        <v>37.2637864768</v>
      </c>
      <c r="D2911" t="n">
        <v>-7.13146407684</v>
      </c>
      <c r="E2911" t="n">
        <v>2</v>
      </c>
      <c r="F2911" t="n">
        <v>3</v>
      </c>
      <c r="G2911" t="n">
        <v>3</v>
      </c>
      <c r="J2911" t="inlineStr">
        <is>
          <t>Moda</t>
        </is>
      </c>
      <c r="K2911" t="n">
        <v>3</v>
      </c>
      <c r="L2911" t="n">
        <v>3.057</v>
      </c>
      <c r="M2911" t="n">
        <v>0</v>
      </c>
      <c r="N2911" t="inlineStr">
        <is>
          <t>train</t>
        </is>
      </c>
      <c r="O2911">
        <f>HYPERLINK("3\1\marker_881_965603.png", "Ver Imagen")</f>
        <v/>
      </c>
      <c r="P2911">
        <f>HYPERLINK("SO\A-5053\A-5053__229.png", "Ver Imagen")</f>
        <v/>
      </c>
    </row>
    <row r="2912">
      <c r="A2912" t="n">
        <v>2411</v>
      </c>
      <c r="B2912" t="inlineStr">
        <is>
          <t>A-5053__227</t>
        </is>
      </c>
      <c r="C2912" t="n">
        <v>37.2633940611</v>
      </c>
      <c r="D2912" t="n">
        <v>-7.13121149045</v>
      </c>
      <c r="E2912" t="n">
        <v>3</v>
      </c>
      <c r="F2912" t="n">
        <v>3</v>
      </c>
      <c r="G2912" t="n">
        <v>2</v>
      </c>
      <c r="J2912" t="inlineStr">
        <is>
          <t>Moda</t>
        </is>
      </c>
      <c r="K2912" t="n">
        <v>3</v>
      </c>
      <c r="L2912" t="n">
        <v>3.163</v>
      </c>
      <c r="M2912" t="n">
        <v>0</v>
      </c>
      <c r="N2912" t="inlineStr">
        <is>
          <t>train</t>
        </is>
      </c>
      <c r="O2912">
        <f>HYPERLINK("3\1\marker_138_965623.png", "Ver Imagen")</f>
        <v/>
      </c>
      <c r="P2912">
        <f>HYPERLINK("SO\A-5053\A-5053__227.png", "Ver Imagen")</f>
        <v/>
      </c>
    </row>
    <row r="2913">
      <c r="A2913" t="n">
        <v>2413</v>
      </c>
      <c r="B2913" t="inlineStr">
        <is>
          <t>A-5053__152</t>
        </is>
      </c>
      <c r="C2913" t="n">
        <v>37.2491046567</v>
      </c>
      <c r="D2913" t="n">
        <v>-7.12741653044</v>
      </c>
      <c r="E2913" t="n">
        <v>2</v>
      </c>
      <c r="F2913" t="n">
        <v>3</v>
      </c>
      <c r="G2913" t="n">
        <v>3</v>
      </c>
      <c r="J2913" t="inlineStr">
        <is>
          <t>Moda</t>
        </is>
      </c>
      <c r="K2913" t="n">
        <v>3</v>
      </c>
      <c r="L2913" t="n">
        <v>2.948</v>
      </c>
      <c r="M2913" t="n">
        <v>0</v>
      </c>
      <c r="N2913" t="inlineStr">
        <is>
          <t>val</t>
        </is>
      </c>
      <c r="O2913">
        <f>HYPERLINK("3\1\marker_806_966370.png", "Ver Imagen")</f>
        <v/>
      </c>
      <c r="P2913">
        <f>HYPERLINK("SO\A-5053\A-5053__152.png", "Ver Imagen")</f>
        <v/>
      </c>
    </row>
    <row r="2914">
      <c r="A2914" t="n">
        <v>2414</v>
      </c>
      <c r="B2914" t="inlineStr">
        <is>
          <t>A-5053__143</t>
        </is>
      </c>
      <c r="C2914" t="n">
        <v>37.2472974035</v>
      </c>
      <c r="D2914" t="n">
        <v>-7.12768321445</v>
      </c>
      <c r="E2914" t="n">
        <v>2</v>
      </c>
      <c r="F2914" t="n">
        <v>3</v>
      </c>
      <c r="G2914" t="n">
        <v>3</v>
      </c>
      <c r="J2914" t="inlineStr">
        <is>
          <t>Moda</t>
        </is>
      </c>
      <c r="K2914" t="n">
        <v>3</v>
      </c>
      <c r="L2914" t="n">
        <v>2.846</v>
      </c>
      <c r="M2914" t="n">
        <v>0</v>
      </c>
      <c r="N2914" t="inlineStr">
        <is>
          <t>train</t>
        </is>
      </c>
      <c r="O2914">
        <f>HYPERLINK("3\1\marker_750_966456.png", "Ver Imagen")</f>
        <v/>
      </c>
      <c r="P2914">
        <f>HYPERLINK("SO\A-5053\A-5053__143.png", "Ver Imagen")</f>
        <v/>
      </c>
    </row>
    <row r="2915">
      <c r="A2915" t="n">
        <v>2415</v>
      </c>
      <c r="B2915" t="inlineStr">
        <is>
          <t>A-5053__100</t>
        </is>
      </c>
      <c r="C2915" t="n">
        <v>37.2386494443</v>
      </c>
      <c r="D2915" t="n">
        <v>-7.12843881172</v>
      </c>
      <c r="E2915" t="n">
        <v>2</v>
      </c>
      <c r="F2915" t="n">
        <v>3</v>
      </c>
      <c r="G2915" t="n">
        <v>3</v>
      </c>
      <c r="J2915" t="inlineStr">
        <is>
          <t>Moda</t>
        </is>
      </c>
      <c r="K2915" t="n">
        <v>3</v>
      </c>
      <c r="L2915" t="n">
        <v>3.174</v>
      </c>
      <c r="M2915" t="n">
        <v>0</v>
      </c>
      <c r="N2915" t="inlineStr">
        <is>
          <t>train</t>
        </is>
      </c>
      <c r="O2915">
        <f>HYPERLINK("3\1\marker_606_019813.png", "Ver Imagen")</f>
        <v/>
      </c>
      <c r="P2915">
        <f>HYPERLINK("SO\A-5053\A-5053__100.png", "Ver Imagen")</f>
        <v/>
      </c>
    </row>
    <row r="2916">
      <c r="A2916" t="n">
        <v>2416</v>
      </c>
      <c r="B2916" t="inlineStr">
        <is>
          <t>A-5053__95</t>
        </is>
      </c>
      <c r="C2916" t="n">
        <v>37.2376337621</v>
      </c>
      <c r="D2916" t="n">
        <v>-7.1283394487</v>
      </c>
      <c r="E2916" t="n">
        <v>2</v>
      </c>
      <c r="F2916" t="n">
        <v>3</v>
      </c>
      <c r="G2916" t="n">
        <v>3</v>
      </c>
      <c r="J2916" t="inlineStr">
        <is>
          <t>Moda</t>
        </is>
      </c>
      <c r="K2916" t="n">
        <v>3</v>
      </c>
      <c r="L2916" t="n">
        <v>3.034</v>
      </c>
      <c r="M2916" t="n">
        <v>0</v>
      </c>
      <c r="N2916" t="inlineStr">
        <is>
          <t>train</t>
        </is>
      </c>
      <c r="O2916">
        <f>HYPERLINK("3\1\marker_583_019860.png", "Ver Imagen")</f>
        <v/>
      </c>
      <c r="P2916">
        <f>HYPERLINK("SO\A-5053\A-5053__95.png", "Ver Imagen")</f>
        <v/>
      </c>
    </row>
    <row r="2917">
      <c r="A2917" t="n">
        <v>2417</v>
      </c>
      <c r="B2917" t="inlineStr">
        <is>
          <t>A-5053__38</t>
        </is>
      </c>
      <c r="C2917" t="n">
        <v>37.2262654505</v>
      </c>
      <c r="D2917" t="n">
        <v>-7.12616031857</v>
      </c>
      <c r="E2917" t="n">
        <v>2</v>
      </c>
      <c r="F2917" t="n">
        <v>3</v>
      </c>
      <c r="G2917" t="n">
        <v>3</v>
      </c>
      <c r="J2917" t="inlineStr">
        <is>
          <t>Moda</t>
        </is>
      </c>
      <c r="K2917" t="n">
        <v>3</v>
      </c>
      <c r="L2917" t="n">
        <v>2.945</v>
      </c>
      <c r="M2917" t="n">
        <v>0</v>
      </c>
      <c r="N2917" t="inlineStr">
        <is>
          <t>train</t>
        </is>
      </c>
      <c r="O2917">
        <f>HYPERLINK("3\1\marker_711_021734.png", "Ver Imagen")</f>
        <v/>
      </c>
      <c r="P2917">
        <f>HYPERLINK("SO\A-5053\A-5053__38.png", "Ver Imagen")</f>
        <v/>
      </c>
    </row>
    <row r="2918">
      <c r="A2918" t="n">
        <v>2418</v>
      </c>
      <c r="B2918" t="inlineStr">
        <is>
          <t>A-5053__36</t>
        </is>
      </c>
      <c r="C2918" t="n">
        <v>37.2259132335</v>
      </c>
      <c r="D2918" t="n">
        <v>-7.12605436326</v>
      </c>
      <c r="E2918" t="n">
        <v>2</v>
      </c>
      <c r="F2918" t="n">
        <v>3</v>
      </c>
      <c r="G2918" t="n">
        <v>3</v>
      </c>
      <c r="J2918" t="inlineStr">
        <is>
          <t>Moda</t>
        </is>
      </c>
      <c r="K2918" t="n">
        <v>3</v>
      </c>
      <c r="L2918" t="n">
        <v>2.971</v>
      </c>
      <c r="M2918" t="n">
        <v>0</v>
      </c>
      <c r="N2918" t="inlineStr">
        <is>
          <t>train</t>
        </is>
      </c>
      <c r="O2918">
        <f>HYPERLINK("3\1\marker_253_021753.png", "Ver Imagen")</f>
        <v/>
      </c>
      <c r="P2918">
        <f>HYPERLINK("SO\A-5053\A-5053__36.png", "Ver Imagen")</f>
        <v/>
      </c>
    </row>
    <row r="2919">
      <c r="A2919" t="n">
        <v>2419</v>
      </c>
      <c r="B2919" t="inlineStr">
        <is>
          <t>A-5053__35</t>
        </is>
      </c>
      <c r="C2919" t="n">
        <v>37.2257050986</v>
      </c>
      <c r="D2919" t="n">
        <v>-7.12599292047</v>
      </c>
      <c r="E2919" t="n">
        <v>3</v>
      </c>
      <c r="F2919" t="n">
        <v>3</v>
      </c>
      <c r="G2919" t="n">
        <v>2</v>
      </c>
      <c r="J2919" t="inlineStr">
        <is>
          <t>Moda</t>
        </is>
      </c>
      <c r="K2919" t="n">
        <v>3</v>
      </c>
      <c r="L2919" t="n">
        <v>3.024</v>
      </c>
      <c r="M2919" t="n">
        <v>0</v>
      </c>
      <c r="N2919" t="inlineStr">
        <is>
          <t>train</t>
        </is>
      </c>
      <c r="O2919">
        <f>HYPERLINK("3\1\marker_944_021762.png", "Ver Imagen")</f>
        <v/>
      </c>
      <c r="P2919">
        <f>HYPERLINK("SO\A-5053\A-5053__35.png", "Ver Imagen")</f>
        <v/>
      </c>
    </row>
    <row r="2920">
      <c r="A2920" t="n">
        <v>2420</v>
      </c>
      <c r="B2920" t="inlineStr">
        <is>
          <t>A-5053__28</t>
        </is>
      </c>
      <c r="C2920" t="n">
        <v>37.2243778047</v>
      </c>
      <c r="D2920" t="n">
        <v>-7.12546294091</v>
      </c>
      <c r="E2920" t="n">
        <v>3</v>
      </c>
      <c r="F2920" t="n">
        <v>3</v>
      </c>
      <c r="G2920" t="n">
        <v>2</v>
      </c>
      <c r="J2920" t="inlineStr">
        <is>
          <t>Moda</t>
        </is>
      </c>
      <c r="K2920" t="n">
        <v>3</v>
      </c>
      <c r="L2920" t="n">
        <v>2.852</v>
      </c>
      <c r="M2920" t="n">
        <v>0</v>
      </c>
      <c r="N2920" t="inlineStr">
        <is>
          <t>train</t>
        </is>
      </c>
      <c r="O2920">
        <f>HYPERLINK("3\1\marker_171_021831.png", "Ver Imagen")</f>
        <v/>
      </c>
      <c r="P2920">
        <f>HYPERLINK("SO\A-5053\A-5053__28.png", "Ver Imagen")</f>
        <v/>
      </c>
    </row>
    <row r="2921">
      <c r="A2921" t="n">
        <v>2421</v>
      </c>
      <c r="B2921" t="inlineStr">
        <is>
          <t>A-495__26</t>
        </is>
      </c>
      <c r="C2921" t="n">
        <v>37.4428846834</v>
      </c>
      <c r="D2921" t="n">
        <v>-7.09415449049</v>
      </c>
      <c r="E2921" t="n">
        <v>3</v>
      </c>
      <c r="F2921" t="n">
        <v>3</v>
      </c>
      <c r="G2921" t="n">
        <v>2</v>
      </c>
      <c r="J2921" t="inlineStr">
        <is>
          <t>Moda</t>
        </is>
      </c>
      <c r="K2921" t="n">
        <v>3</v>
      </c>
      <c r="L2921" t="n">
        <v>2.702</v>
      </c>
      <c r="M2921" t="n">
        <v>0</v>
      </c>
      <c r="N2921" t="inlineStr">
        <is>
          <t>val</t>
        </is>
      </c>
      <c r="O2921">
        <f>HYPERLINK("3\1\marker_210_381361.png", "Ver Imagen")</f>
        <v/>
      </c>
      <c r="P2921">
        <f>HYPERLINK("NE\A-495\A-495__26.png", "Ver Imagen")</f>
        <v/>
      </c>
    </row>
    <row r="2922">
      <c r="A2922" t="n">
        <v>2422</v>
      </c>
      <c r="B2922" t="inlineStr">
        <is>
          <t>A-495__49</t>
        </is>
      </c>
      <c r="C2922" t="n">
        <v>37.4406572789</v>
      </c>
      <c r="D2922" t="n">
        <v>-7.08902053777</v>
      </c>
      <c r="E2922" t="n">
        <v>3</v>
      </c>
      <c r="F2922" t="n">
        <v>3</v>
      </c>
      <c r="G2922" t="n">
        <v>2</v>
      </c>
      <c r="J2922" t="inlineStr">
        <is>
          <t>Moda</t>
        </is>
      </c>
      <c r="K2922" t="n">
        <v>3</v>
      </c>
      <c r="L2922" t="n">
        <v>3.115</v>
      </c>
      <c r="M2922" t="n">
        <v>0</v>
      </c>
      <c r="N2922" t="inlineStr">
        <is>
          <t>train</t>
        </is>
      </c>
      <c r="O2922">
        <f>HYPERLINK("3\1\marker_358_381600.png", "Ver Imagen")</f>
        <v/>
      </c>
      <c r="P2922">
        <f>HYPERLINK("NE\A-495\A-495__49.png", "Ver Imagen")</f>
        <v/>
      </c>
    </row>
    <row r="2923">
      <c r="A2923" t="n">
        <v>2423</v>
      </c>
      <c r="B2923" t="inlineStr">
        <is>
          <t>A-495__52</t>
        </is>
      </c>
      <c r="C2923" t="n">
        <v>37.4403515042</v>
      </c>
      <c r="D2923" t="n">
        <v>-7.08837993316</v>
      </c>
      <c r="E2923" t="n">
        <v>3</v>
      </c>
      <c r="F2923" t="n">
        <v>3</v>
      </c>
      <c r="G2923" t="n">
        <v>2</v>
      </c>
      <c r="J2923" t="inlineStr">
        <is>
          <t>Moda</t>
        </is>
      </c>
      <c r="K2923" t="n">
        <v>3</v>
      </c>
      <c r="L2923" t="n">
        <v>3.121</v>
      </c>
      <c r="M2923" t="n">
        <v>0</v>
      </c>
      <c r="N2923" t="inlineStr">
        <is>
          <t>train</t>
        </is>
      </c>
      <c r="O2923">
        <f>HYPERLINK("3\1\marker_934_381634.png", "Ver Imagen")</f>
        <v/>
      </c>
      <c r="P2923">
        <f>HYPERLINK("NE\A-495\A-495__52.png", "Ver Imagen")</f>
        <v/>
      </c>
    </row>
    <row r="2924">
      <c r="A2924" t="n">
        <v>2424</v>
      </c>
      <c r="B2924" t="inlineStr">
        <is>
          <t>A-495__63</t>
        </is>
      </c>
      <c r="C2924" t="n">
        <v>37.4391988964</v>
      </c>
      <c r="D2924" t="n">
        <v>-7.08595650408</v>
      </c>
      <c r="E2924" t="n">
        <v>3</v>
      </c>
      <c r="F2924" t="n">
        <v>3</v>
      </c>
      <c r="G2924" t="n">
        <v>2</v>
      </c>
      <c r="J2924" t="inlineStr">
        <is>
          <t>Moda</t>
        </is>
      </c>
      <c r="K2924" t="n">
        <v>3</v>
      </c>
      <c r="L2924" t="n">
        <v>3.01</v>
      </c>
      <c r="M2924" t="n">
        <v>0</v>
      </c>
      <c r="N2924" t="inlineStr">
        <is>
          <t>train</t>
        </is>
      </c>
      <c r="O2924">
        <f>HYPERLINK("3\1\marker_485_381742.png", "Ver Imagen")</f>
        <v/>
      </c>
      <c r="P2924">
        <f>HYPERLINK("NE\A-495\A-495__63.png", "Ver Imagen")</f>
        <v/>
      </c>
    </row>
    <row r="2925">
      <c r="A2925" t="n">
        <v>2426</v>
      </c>
      <c r="B2925" t="inlineStr">
        <is>
          <t>A-495__94</t>
        </is>
      </c>
      <c r="C2925" t="n">
        <v>37.43668925</v>
      </c>
      <c r="D2925" t="n">
        <v>-7.07896671234</v>
      </c>
      <c r="E2925" t="n">
        <v>3</v>
      </c>
      <c r="F2925" t="n">
        <v>3</v>
      </c>
      <c r="G2925" t="n">
        <v>2</v>
      </c>
      <c r="J2925" t="inlineStr">
        <is>
          <t>Moda</t>
        </is>
      </c>
      <c r="K2925" t="n">
        <v>3</v>
      </c>
      <c r="L2925" t="n">
        <v>2.674</v>
      </c>
      <c r="M2925" t="n">
        <v>0</v>
      </c>
      <c r="N2925" t="inlineStr">
        <is>
          <t>train</t>
        </is>
      </c>
      <c r="O2925">
        <f>HYPERLINK("3\1\marker_102_382099.png", "Ver Imagen")</f>
        <v/>
      </c>
      <c r="P2925">
        <f>HYPERLINK("NE\A-495\A-495__94.png", "Ver Imagen")</f>
        <v/>
      </c>
    </row>
    <row r="2926">
      <c r="A2926" t="n">
        <v>2427</v>
      </c>
      <c r="B2926" t="inlineStr">
        <is>
          <t>A-495__96</t>
        </is>
      </c>
      <c r="C2926" t="n">
        <v>37.4365210365</v>
      </c>
      <c r="D2926" t="n">
        <v>-7.07848101272</v>
      </c>
      <c r="E2926" t="n">
        <v>3</v>
      </c>
      <c r="F2926" t="n">
        <v>3</v>
      </c>
      <c r="G2926" t="n">
        <v>2</v>
      </c>
      <c r="J2926" t="inlineStr">
        <is>
          <t>Moda</t>
        </is>
      </c>
      <c r="K2926" t="n">
        <v>3</v>
      </c>
      <c r="L2926" t="n">
        <v>3.007</v>
      </c>
      <c r="M2926" t="n">
        <v>0</v>
      </c>
      <c r="N2926" t="inlineStr">
        <is>
          <t>train</t>
        </is>
      </c>
      <c r="O2926">
        <f>HYPERLINK("3\1\marker_928_382116.png", "Ver Imagen")</f>
        <v/>
      </c>
      <c r="P2926">
        <f>HYPERLINK("NE\A-495\A-495__96.png", "Ver Imagen")</f>
        <v/>
      </c>
    </row>
    <row r="2927">
      <c r="A2927" t="n">
        <v>2428</v>
      </c>
      <c r="B2927" t="inlineStr">
        <is>
          <t>A-495__101</t>
        </is>
      </c>
      <c r="C2927" t="n">
        <v>37.4361237626</v>
      </c>
      <c r="D2927" t="n">
        <v>-7.0773463025</v>
      </c>
      <c r="E2927" t="n">
        <v>3</v>
      </c>
      <c r="F2927" t="n">
        <v>3</v>
      </c>
      <c r="G2927" t="n">
        <v>2</v>
      </c>
      <c r="J2927" t="inlineStr">
        <is>
          <t>Moda</t>
        </is>
      </c>
      <c r="K2927" t="n">
        <v>3</v>
      </c>
      <c r="L2927" t="n">
        <v>2.869</v>
      </c>
      <c r="M2927" t="n">
        <v>0</v>
      </c>
      <c r="N2927" t="inlineStr">
        <is>
          <t>train</t>
        </is>
      </c>
      <c r="O2927">
        <f>HYPERLINK("3\1\marker_677_382164.png", "Ver Imagen")</f>
        <v/>
      </c>
      <c r="P2927">
        <f>HYPERLINK("NE\A-495\A-495__101.png", "Ver Imagen")</f>
        <v/>
      </c>
    </row>
    <row r="2928">
      <c r="A2928" t="n">
        <v>2429</v>
      </c>
      <c r="B2928" t="inlineStr">
        <is>
          <t>A-5059__72</t>
        </is>
      </c>
      <c r="C2928" t="n">
        <v>37.2226452324</v>
      </c>
      <c r="D2928" t="n">
        <v>-7.05564120345</v>
      </c>
      <c r="E2928" t="n">
        <v>3</v>
      </c>
      <c r="F2928" t="n">
        <v>3</v>
      </c>
      <c r="G2928" t="n">
        <v>2</v>
      </c>
      <c r="J2928" t="inlineStr">
        <is>
          <t>Moda</t>
        </is>
      </c>
      <c r="K2928" t="n">
        <v>3</v>
      </c>
      <c r="L2928" t="n">
        <v>3.039</v>
      </c>
      <c r="M2928" t="n">
        <v>0</v>
      </c>
      <c r="N2928" t="inlineStr">
        <is>
          <t>train</t>
        </is>
      </c>
      <c r="O2928">
        <f>HYPERLINK("3\1\marker_687_378830.png", "Ver Imagen")</f>
        <v/>
      </c>
      <c r="P2928">
        <f>HYPERLINK("SE\A-5059\A-5059__72.png", "Ver Imagen")</f>
        <v/>
      </c>
    </row>
    <row r="2929">
      <c r="A2929" t="n">
        <v>2430</v>
      </c>
      <c r="B2929" t="inlineStr">
        <is>
          <t>A-5059__57</t>
        </is>
      </c>
      <c r="C2929" t="n">
        <v>37.2250196129</v>
      </c>
      <c r="D2929" t="n">
        <v>-7.05773935442</v>
      </c>
      <c r="E2929" t="n">
        <v>3</v>
      </c>
      <c r="F2929" t="n">
        <v>3</v>
      </c>
      <c r="G2929" t="n">
        <v>2</v>
      </c>
      <c r="J2929" t="inlineStr">
        <is>
          <t>Moda</t>
        </is>
      </c>
      <c r="K2929" t="n">
        <v>3</v>
      </c>
      <c r="L2929" t="n">
        <v>2.857</v>
      </c>
      <c r="M2929" t="n">
        <v>0</v>
      </c>
      <c r="N2929" t="inlineStr">
        <is>
          <t>train</t>
        </is>
      </c>
      <c r="O2929">
        <f>HYPERLINK("3\1\marker_868_378975.png", "Ver Imagen")</f>
        <v/>
      </c>
      <c r="P2929">
        <f>HYPERLINK("SE\A-5059\A-5059__57.png", "Ver Imagen")</f>
        <v/>
      </c>
    </row>
    <row r="2930">
      <c r="A2930" t="n">
        <v>2431</v>
      </c>
      <c r="B2930" t="inlineStr">
        <is>
          <t>A-5059__56</t>
        </is>
      </c>
      <c r="C2930" t="n">
        <v>37.2251596513</v>
      </c>
      <c r="D2930" t="n">
        <v>-7.05797577778</v>
      </c>
      <c r="E2930" t="n">
        <v>3</v>
      </c>
      <c r="F2930" t="n">
        <v>3</v>
      </c>
      <c r="G2930" t="n">
        <v>2</v>
      </c>
      <c r="J2930" t="inlineStr">
        <is>
          <t>Moda</t>
        </is>
      </c>
      <c r="K2930" t="n">
        <v>3</v>
      </c>
      <c r="L2930" t="n">
        <v>3.037</v>
      </c>
      <c r="M2930" t="n">
        <v>0</v>
      </c>
      <c r="N2930" t="inlineStr">
        <is>
          <t>train</t>
        </is>
      </c>
      <c r="O2930">
        <f>HYPERLINK("3\1\marker_973_378985.png", "Ver Imagen")</f>
        <v/>
      </c>
      <c r="P2930">
        <f>HYPERLINK("SE\A-5059\A-5059__56.png", "Ver Imagen")</f>
        <v/>
      </c>
    </row>
    <row r="2931">
      <c r="A2931" t="n">
        <v>2432</v>
      </c>
      <c r="B2931" t="inlineStr">
        <is>
          <t>A-495__131</t>
        </is>
      </c>
      <c r="C2931" t="n">
        <v>37.4350898186</v>
      </c>
      <c r="D2931" t="n">
        <v>-7.0702987203</v>
      </c>
      <c r="E2931" t="n">
        <v>3</v>
      </c>
      <c r="F2931" t="n">
        <v>3</v>
      </c>
      <c r="G2931" t="n">
        <v>2</v>
      </c>
      <c r="J2931" t="inlineStr">
        <is>
          <t>Moda</t>
        </is>
      </c>
      <c r="K2931" t="n">
        <v>3</v>
      </c>
      <c r="L2931" t="n">
        <v>2.774</v>
      </c>
      <c r="M2931" t="n">
        <v>0</v>
      </c>
      <c r="N2931" t="inlineStr">
        <is>
          <t>train</t>
        </is>
      </c>
      <c r="O2931">
        <f>HYPERLINK("3\1\marker_591_382485.png", "Ver Imagen")</f>
        <v/>
      </c>
      <c r="P2931">
        <f>HYPERLINK("NE\A-495\A-495__131.png", "Ver Imagen")</f>
        <v/>
      </c>
    </row>
    <row r="2932">
      <c r="A2932" t="n">
        <v>2433</v>
      </c>
      <c r="B2932" t="inlineStr">
        <is>
          <t>A-495__136</t>
        </is>
      </c>
      <c r="C2932" t="n">
        <v>37.4347372038</v>
      </c>
      <c r="D2932" t="n">
        <v>-7.06897196515</v>
      </c>
      <c r="E2932" t="n">
        <v>3</v>
      </c>
      <c r="F2932" t="n">
        <v>3</v>
      </c>
      <c r="G2932" t="n">
        <v>2</v>
      </c>
      <c r="J2932" t="inlineStr">
        <is>
          <t>Moda</t>
        </is>
      </c>
      <c r="K2932" t="n">
        <v>3</v>
      </c>
      <c r="L2932" t="n">
        <v>2.813</v>
      </c>
      <c r="M2932" t="n">
        <v>0</v>
      </c>
      <c r="N2932" t="inlineStr">
        <is>
          <t>train</t>
        </is>
      </c>
      <c r="O2932">
        <f>HYPERLINK("3\1\marker_916_382543.png", "Ver Imagen")</f>
        <v/>
      </c>
      <c r="P2932">
        <f>HYPERLINK("NE\A-495\A-495__136.png", "Ver Imagen")</f>
        <v/>
      </c>
    </row>
    <row r="2933">
      <c r="A2933" t="n">
        <v>2434</v>
      </c>
      <c r="B2933" t="inlineStr">
        <is>
          <t>A-495__140</t>
        </is>
      </c>
      <c r="C2933" t="n">
        <v>37.4344145462</v>
      </c>
      <c r="D2933" t="n">
        <v>-7.06812950658</v>
      </c>
      <c r="E2933" t="n">
        <v>2</v>
      </c>
      <c r="F2933" t="n">
        <v>3</v>
      </c>
      <c r="G2933" t="n">
        <v>3</v>
      </c>
      <c r="J2933" t="inlineStr">
        <is>
          <t>Moda</t>
        </is>
      </c>
      <c r="K2933" t="n">
        <v>3</v>
      </c>
      <c r="L2933" t="n">
        <v>2.85</v>
      </c>
      <c r="M2933" t="n">
        <v>0</v>
      </c>
      <c r="N2933" t="inlineStr">
        <is>
          <t>train</t>
        </is>
      </c>
      <c r="O2933">
        <f>HYPERLINK("3\1\marker_432_382578.png", "Ver Imagen")</f>
        <v/>
      </c>
      <c r="P2933">
        <f>HYPERLINK("NE\A-495\A-495__140.png", "Ver Imagen")</f>
        <v/>
      </c>
    </row>
    <row r="2934">
      <c r="A2934" t="n">
        <v>2437</v>
      </c>
      <c r="B2934" t="inlineStr">
        <is>
          <t>A-495__143</t>
        </is>
      </c>
      <c r="C2934" t="n">
        <v>37.4341246466</v>
      </c>
      <c r="D2934" t="n">
        <v>-7.06747448557</v>
      </c>
      <c r="E2934" t="n">
        <v>2</v>
      </c>
      <c r="F2934" t="n">
        <v>3</v>
      </c>
      <c r="G2934" t="n">
        <v>3</v>
      </c>
      <c r="J2934" t="inlineStr">
        <is>
          <t>Moda</t>
        </is>
      </c>
      <c r="K2934" t="n">
        <v>3</v>
      </c>
      <c r="L2934" t="n">
        <v>2.756</v>
      </c>
      <c r="M2934" t="n">
        <v>0</v>
      </c>
      <c r="N2934" t="inlineStr">
        <is>
          <t>train</t>
        </is>
      </c>
      <c r="O2934">
        <f>HYPERLINK("3\1\marker_874_382606.png", "Ver Imagen")</f>
        <v/>
      </c>
      <c r="P2934">
        <f>HYPERLINK("NE\A-495\A-495__143.png", "Ver Imagen")</f>
        <v/>
      </c>
    </row>
    <row r="2935">
      <c r="A2935" t="n">
        <v>2439</v>
      </c>
      <c r="B2935" t="inlineStr">
        <is>
          <t>A-495__149</t>
        </is>
      </c>
      <c r="C2935" t="n">
        <v>37.4335063025</v>
      </c>
      <c r="D2935" t="n">
        <v>-7.06612447275</v>
      </c>
      <c r="E2935" t="n">
        <v>3</v>
      </c>
      <c r="F2935" t="n">
        <v>3</v>
      </c>
      <c r="G2935" t="n">
        <v>2</v>
      </c>
      <c r="J2935" t="inlineStr">
        <is>
          <t>Moda</t>
        </is>
      </c>
      <c r="K2935" t="n">
        <v>3</v>
      </c>
      <c r="L2935" t="n">
        <v>3.362</v>
      </c>
      <c r="M2935" t="n">
        <v>0</v>
      </c>
      <c r="N2935" t="inlineStr">
        <is>
          <t>train</t>
        </is>
      </c>
      <c r="O2935">
        <f>HYPERLINK("3\1\marker_867_382675.png", "Ver Imagen")</f>
        <v/>
      </c>
      <c r="P2935">
        <f>HYPERLINK("NE\A-495\A-495__149.png", "Ver Imagen")</f>
        <v/>
      </c>
    </row>
    <row r="2936">
      <c r="A2936" t="n">
        <v>2442</v>
      </c>
      <c r="B2936" t="inlineStr">
        <is>
          <t>A-5059__11</t>
        </is>
      </c>
      <c r="C2936" t="n">
        <v>37.2322860366</v>
      </c>
      <c r="D2936" t="n">
        <v>-7.06444914527</v>
      </c>
      <c r="E2936" t="n">
        <v>3</v>
      </c>
      <c r="F2936" t="n">
        <v>3</v>
      </c>
      <c r="G2936" t="n">
        <v>2</v>
      </c>
      <c r="J2936" t="inlineStr">
        <is>
          <t>Moda</t>
        </is>
      </c>
      <c r="K2936" t="n">
        <v>3</v>
      </c>
      <c r="L2936" t="n">
        <v>2.536</v>
      </c>
      <c r="M2936" t="n">
        <v>0</v>
      </c>
      <c r="N2936" t="inlineStr">
        <is>
          <t>test</t>
        </is>
      </c>
      <c r="O2936">
        <f>HYPERLINK("3\1\marker_977_379572.png", "Ver Imagen")</f>
        <v/>
      </c>
      <c r="P2936">
        <f>HYPERLINK("SE\A-5059\A-5059__11.png", "Ver Imagen")</f>
        <v/>
      </c>
    </row>
    <row r="2937">
      <c r="A2937" t="n">
        <v>2443</v>
      </c>
      <c r="B2937" t="inlineStr">
        <is>
          <t>A-495__154</t>
        </is>
      </c>
      <c r="C2937" t="n">
        <v>37.433015175</v>
      </c>
      <c r="D2937" t="n">
        <v>-7.06505474277</v>
      </c>
      <c r="E2937" t="n">
        <v>3</v>
      </c>
      <c r="F2937" t="n">
        <v>3</v>
      </c>
      <c r="G2937" t="n">
        <v>2</v>
      </c>
      <c r="J2937" t="inlineStr">
        <is>
          <t>Moda</t>
        </is>
      </c>
      <c r="K2937" t="n">
        <v>3</v>
      </c>
      <c r="L2937" t="n">
        <v>3.049</v>
      </c>
      <c r="M2937" t="n">
        <v>0</v>
      </c>
      <c r="N2937" t="inlineStr">
        <is>
          <t>train</t>
        </is>
      </c>
      <c r="O2937">
        <f>HYPERLINK("3\1\marker_270_382724.png", "Ver Imagen")</f>
        <v/>
      </c>
      <c r="P2937">
        <f>HYPERLINK("NE\A-495\A-495__154.png", "Ver Imagen")</f>
        <v/>
      </c>
    </row>
    <row r="2938">
      <c r="A2938" t="n">
        <v>2445</v>
      </c>
      <c r="B2938" t="inlineStr">
        <is>
          <t>A-495__158</t>
        </is>
      </c>
      <c r="C2938" t="n">
        <v>37.432607992</v>
      </c>
      <c r="D2938" t="n">
        <v>-7.06417163816</v>
      </c>
      <c r="E2938" t="n">
        <v>2</v>
      </c>
      <c r="F2938" t="n">
        <v>3</v>
      </c>
      <c r="G2938" t="n">
        <v>3</v>
      </c>
      <c r="J2938" t="inlineStr">
        <is>
          <t>Moda</t>
        </is>
      </c>
      <c r="K2938" t="n">
        <v>3</v>
      </c>
      <c r="L2938" t="n">
        <v>2.615</v>
      </c>
      <c r="M2938" t="n">
        <v>0</v>
      </c>
      <c r="N2938" t="inlineStr">
        <is>
          <t>train</t>
        </is>
      </c>
      <c r="O2938">
        <f>HYPERLINK("3\1\marker_252_382782.png", "Ver Imagen")</f>
        <v/>
      </c>
      <c r="P2938">
        <f>HYPERLINK("NE\A-495\A-495__158.png", "Ver Imagen")</f>
        <v/>
      </c>
    </row>
    <row r="2939">
      <c r="A2939" t="n">
        <v>2447</v>
      </c>
      <c r="B2939" t="inlineStr">
        <is>
          <t>A-5058__17</t>
        </is>
      </c>
      <c r="C2939" t="n">
        <v>37.2252572059</v>
      </c>
      <c r="D2939" t="n">
        <v>-7.03156625049</v>
      </c>
      <c r="E2939" t="n">
        <v>2</v>
      </c>
      <c r="F2939" t="n">
        <v>3</v>
      </c>
      <c r="G2939" t="n">
        <v>3</v>
      </c>
      <c r="J2939" t="inlineStr">
        <is>
          <t>Moda</t>
        </is>
      </c>
      <c r="K2939" t="n">
        <v>3</v>
      </c>
      <c r="L2939" t="n">
        <v>2.855</v>
      </c>
      <c r="M2939" t="n">
        <v>0</v>
      </c>
      <c r="N2939" t="inlineStr">
        <is>
          <t>train</t>
        </is>
      </c>
      <c r="O2939">
        <f>HYPERLINK("3\1\marker_399_380010.png", "Ver Imagen")</f>
        <v/>
      </c>
      <c r="P2939">
        <f>HYPERLINK("SE\A-5058\A-5058__17.png", "Ver Imagen")</f>
        <v/>
      </c>
    </row>
    <row r="2940">
      <c r="A2940" t="n">
        <v>2448</v>
      </c>
      <c r="B2940" t="inlineStr">
        <is>
          <t>A-5058__18</t>
        </is>
      </c>
      <c r="C2940" t="n">
        <v>37.2252362215</v>
      </c>
      <c r="D2940" t="n">
        <v>-7.03181332875</v>
      </c>
      <c r="E2940" t="n">
        <v>2</v>
      </c>
      <c r="F2940" t="n">
        <v>3</v>
      </c>
      <c r="G2940" t="n">
        <v>3</v>
      </c>
      <c r="J2940" t="inlineStr">
        <is>
          <t>Moda</t>
        </is>
      </c>
      <c r="K2940" t="n">
        <v>3</v>
      </c>
      <c r="L2940" t="n">
        <v>2.978</v>
      </c>
      <c r="M2940" t="n">
        <v>0</v>
      </c>
      <c r="N2940" t="inlineStr">
        <is>
          <t>train</t>
        </is>
      </c>
      <c r="O2940">
        <f>HYPERLINK("3\1\marker_713_380040.png", "Ver Imagen")</f>
        <v/>
      </c>
      <c r="P2940">
        <f>HYPERLINK("SE\A-5058\A-5058__18.png", "Ver Imagen")</f>
        <v/>
      </c>
    </row>
    <row r="2941">
      <c r="A2941" t="n">
        <v>2449</v>
      </c>
      <c r="B2941" t="inlineStr">
        <is>
          <t>A-5058__27</t>
        </is>
      </c>
      <c r="C2941" t="n">
        <v>37.2247451567</v>
      </c>
      <c r="D2941" t="n">
        <v>-7.03400002932</v>
      </c>
      <c r="E2941" t="n">
        <v>2</v>
      </c>
      <c r="F2941" t="n">
        <v>3</v>
      </c>
      <c r="G2941" t="n">
        <v>3</v>
      </c>
      <c r="J2941" t="inlineStr">
        <is>
          <t>Moda</t>
        </is>
      </c>
      <c r="K2941" t="n">
        <v>3</v>
      </c>
      <c r="L2941" t="n">
        <v>2.909</v>
      </c>
      <c r="M2941" t="n">
        <v>0</v>
      </c>
      <c r="N2941" t="inlineStr">
        <is>
          <t>train</t>
        </is>
      </c>
      <c r="O2941">
        <f>HYPERLINK("3\1\marker_297_380157.png", "Ver Imagen")</f>
        <v/>
      </c>
      <c r="P2941">
        <f>HYPERLINK("SE\A-5058\A-5058__27.png", "Ver Imagen")</f>
        <v/>
      </c>
    </row>
    <row r="2942">
      <c r="A2942" t="n">
        <v>2450</v>
      </c>
      <c r="B2942" t="inlineStr">
        <is>
          <t>A-5058__58</t>
        </is>
      </c>
      <c r="C2942" t="n">
        <v>37.225395262</v>
      </c>
      <c r="D2942" t="n">
        <v>-7.04142528818</v>
      </c>
      <c r="E2942" t="n">
        <v>2</v>
      </c>
      <c r="F2942" t="n">
        <v>3</v>
      </c>
      <c r="G2942" t="n">
        <v>3</v>
      </c>
      <c r="J2942" t="inlineStr">
        <is>
          <t>Moda</t>
        </is>
      </c>
      <c r="K2942" t="n">
        <v>3</v>
      </c>
      <c r="L2942" t="n">
        <v>2.819</v>
      </c>
      <c r="M2942" t="n">
        <v>0</v>
      </c>
      <c r="N2942" t="inlineStr">
        <is>
          <t>train</t>
        </is>
      </c>
      <c r="O2942">
        <f>HYPERLINK("3\1\marker_872_380619.png", "Ver Imagen")</f>
        <v/>
      </c>
      <c r="P2942">
        <f>HYPERLINK("SE\A-5058\A-5058__58.png", "Ver Imagen")</f>
        <v/>
      </c>
    </row>
    <row r="2943">
      <c r="A2943" t="n">
        <v>2451</v>
      </c>
      <c r="B2943" t="inlineStr">
        <is>
          <t>A-5058__63</t>
        </is>
      </c>
      <c r="C2943" t="n">
        <v>37.2258725283</v>
      </c>
      <c r="D2943" t="n">
        <v>-7.04252208492</v>
      </c>
      <c r="E2943" t="n">
        <v>2</v>
      </c>
      <c r="F2943" t="n">
        <v>3</v>
      </c>
      <c r="G2943" t="n">
        <v>3</v>
      </c>
      <c r="J2943" t="inlineStr">
        <is>
          <t>Moda</t>
        </is>
      </c>
      <c r="K2943" t="n">
        <v>3</v>
      </c>
      <c r="L2943" t="n">
        <v>3.01</v>
      </c>
      <c r="M2943" t="n">
        <v>0</v>
      </c>
      <c r="N2943" t="inlineStr">
        <is>
          <t>train</t>
        </is>
      </c>
      <c r="O2943">
        <f>HYPERLINK("3\1\marker_967_380672.png", "Ver Imagen")</f>
        <v/>
      </c>
      <c r="P2943">
        <f>HYPERLINK("SE\A-5058\A-5058__63.png", "Ver Imagen")</f>
        <v/>
      </c>
    </row>
    <row r="2944">
      <c r="A2944" t="n">
        <v>2452</v>
      </c>
      <c r="B2944" t="inlineStr">
        <is>
          <t>A-5058__64</t>
        </is>
      </c>
      <c r="C2944" t="n">
        <v>37.2259705371</v>
      </c>
      <c r="D2944" t="n">
        <v>-7.04273616847</v>
      </c>
      <c r="E2944" t="n">
        <v>2</v>
      </c>
      <c r="F2944" t="n">
        <v>3</v>
      </c>
      <c r="G2944" t="n">
        <v>3</v>
      </c>
      <c r="J2944" t="inlineStr">
        <is>
          <t>Moda</t>
        </is>
      </c>
      <c r="K2944" t="n">
        <v>3</v>
      </c>
      <c r="L2944" t="n">
        <v>3.004</v>
      </c>
      <c r="M2944" t="n">
        <v>0</v>
      </c>
      <c r="N2944" t="inlineStr">
        <is>
          <t>train</t>
        </is>
      </c>
      <c r="O2944">
        <f>HYPERLINK("3\1\marker_192_380681.png", "Ver Imagen")</f>
        <v/>
      </c>
      <c r="P2944">
        <f>HYPERLINK("SE\A-5058\A-5058__64.png", "Ver Imagen")</f>
        <v/>
      </c>
    </row>
    <row r="2945">
      <c r="A2945" t="n">
        <v>2454</v>
      </c>
      <c r="B2945" t="inlineStr">
        <is>
          <t>A-5058__115</t>
        </is>
      </c>
      <c r="C2945" t="n">
        <v>37.232294405</v>
      </c>
      <c r="D2945" t="n">
        <v>-7.05284237333</v>
      </c>
      <c r="E2945" t="n">
        <v>2</v>
      </c>
      <c r="F2945" t="n">
        <v>3</v>
      </c>
      <c r="G2945" t="n">
        <v>3</v>
      </c>
      <c r="J2945" t="inlineStr">
        <is>
          <t>Moda</t>
        </is>
      </c>
      <c r="K2945" t="n">
        <v>3</v>
      </c>
      <c r="L2945" t="n">
        <v>2.853</v>
      </c>
      <c r="M2945" t="n">
        <v>0</v>
      </c>
      <c r="N2945" t="inlineStr">
        <is>
          <t>val</t>
        </is>
      </c>
      <c r="O2945">
        <f>HYPERLINK("3\1\marker_833_381293.png", "Ver Imagen")</f>
        <v/>
      </c>
      <c r="P2945">
        <f>HYPERLINK("SE\A-5058\A-5058__115.png", "Ver Imagen")</f>
        <v/>
      </c>
    </row>
    <row r="2946">
      <c r="A2946" t="n">
        <v>2455</v>
      </c>
      <c r="B2946" t="inlineStr">
        <is>
          <t>A-495_1__144</t>
        </is>
      </c>
      <c r="C2946" t="n">
        <v>37.4757832306</v>
      </c>
      <c r="D2946" t="n">
        <v>-7.12583624761</v>
      </c>
      <c r="E2946" t="n">
        <v>3</v>
      </c>
      <c r="F2946" t="n">
        <v>3</v>
      </c>
      <c r="G2946" t="n">
        <v>2</v>
      </c>
      <c r="J2946" t="inlineStr">
        <is>
          <t>Moda</t>
        </is>
      </c>
      <c r="K2946" t="n">
        <v>3</v>
      </c>
      <c r="L2946" t="n">
        <v>2.889</v>
      </c>
      <c r="M2946" t="n">
        <v>0</v>
      </c>
      <c r="N2946" t="inlineStr">
        <is>
          <t>train</t>
        </is>
      </c>
      <c r="O2946">
        <f>HYPERLINK("3\1\marker_718_384313.png", "Ver Imagen")</f>
        <v/>
      </c>
      <c r="P2946">
        <f>HYPERLINK("NE\A-495_1\A-495_1__144.png", "Ver Imagen")</f>
        <v/>
      </c>
    </row>
    <row r="2947">
      <c r="A2947" t="n">
        <v>2456</v>
      </c>
      <c r="B2947" t="inlineStr">
        <is>
          <t>A-495_1__141</t>
        </is>
      </c>
      <c r="C2947" t="n">
        <v>37.4751430197</v>
      </c>
      <c r="D2947" t="n">
        <v>-7.12597410278</v>
      </c>
      <c r="E2947" t="n">
        <v>3</v>
      </c>
      <c r="F2947" t="n">
        <v>3</v>
      </c>
      <c r="G2947" t="n">
        <v>2</v>
      </c>
      <c r="J2947" t="inlineStr">
        <is>
          <t>Moda</t>
        </is>
      </c>
      <c r="K2947" t="n">
        <v>3</v>
      </c>
      <c r="L2947" t="n">
        <v>3.035</v>
      </c>
      <c r="M2947" t="n">
        <v>0</v>
      </c>
      <c r="N2947" t="inlineStr">
        <is>
          <t>train</t>
        </is>
      </c>
      <c r="O2947">
        <f>HYPERLINK("3\1\marker_837_384352.png", "Ver Imagen")</f>
        <v/>
      </c>
      <c r="P2947">
        <f>HYPERLINK("NE\A-495_1\A-495_1__141.png", "Ver Imagen")</f>
        <v/>
      </c>
    </row>
    <row r="2948">
      <c r="A2948" t="n">
        <v>2457</v>
      </c>
      <c r="B2948" t="inlineStr">
        <is>
          <t>A-495_1__140</t>
        </is>
      </c>
      <c r="C2948" t="n">
        <v>37.4749570511</v>
      </c>
      <c r="D2948" t="n">
        <v>-7.12601536522</v>
      </c>
      <c r="E2948" t="n">
        <v>3</v>
      </c>
      <c r="F2948" t="n">
        <v>3</v>
      </c>
      <c r="G2948" t="n">
        <v>2</v>
      </c>
      <c r="J2948" t="inlineStr">
        <is>
          <t>Moda</t>
        </is>
      </c>
      <c r="K2948" t="n">
        <v>3</v>
      </c>
      <c r="L2948" t="n">
        <v>2.887</v>
      </c>
      <c r="M2948" t="n">
        <v>0</v>
      </c>
      <c r="N2948" t="inlineStr">
        <is>
          <t>val</t>
        </is>
      </c>
      <c r="O2948">
        <f>HYPERLINK("3\1\marker_967_384364.png", "Ver Imagen")</f>
        <v/>
      </c>
      <c r="P2948">
        <f>HYPERLINK("NE\A-495_1\A-495_1__140.png", "Ver Imagen")</f>
        <v/>
      </c>
    </row>
    <row r="2949">
      <c r="A2949" t="n">
        <v>2458</v>
      </c>
      <c r="B2949" t="inlineStr">
        <is>
          <t>A-495_1__112</t>
        </is>
      </c>
      <c r="C2949" t="n">
        <v>37.469742925</v>
      </c>
      <c r="D2949" t="n">
        <v>-7.12445207387</v>
      </c>
      <c r="E2949" t="n">
        <v>3</v>
      </c>
      <c r="F2949" t="n">
        <v>3</v>
      </c>
      <c r="G2949" t="n">
        <v>2</v>
      </c>
      <c r="J2949" t="inlineStr">
        <is>
          <t>Moda</t>
        </is>
      </c>
      <c r="K2949" t="n">
        <v>3</v>
      </c>
      <c r="L2949" t="n">
        <v>3.041</v>
      </c>
      <c r="M2949" t="n">
        <v>0</v>
      </c>
      <c r="N2949" t="inlineStr">
        <is>
          <t>train</t>
        </is>
      </c>
      <c r="O2949">
        <f>HYPERLINK("3\1\marker_104_384702.png", "Ver Imagen")</f>
        <v/>
      </c>
      <c r="P2949">
        <f>HYPERLINK("NE\A-495_1\A-495_1__112.png", "Ver Imagen")</f>
        <v/>
      </c>
    </row>
    <row r="2950">
      <c r="A2950" t="n">
        <v>2459</v>
      </c>
      <c r="B2950" t="inlineStr">
        <is>
          <t>A-495_1__100</t>
        </is>
      </c>
      <c r="C2950" t="n">
        <v>37.4675400774</v>
      </c>
      <c r="D2950" t="n">
        <v>-7.12302475366</v>
      </c>
      <c r="E2950" t="n">
        <v>3</v>
      </c>
      <c r="F2950" t="n">
        <v>3</v>
      </c>
      <c r="G2950" t="n">
        <v>2</v>
      </c>
      <c r="J2950" t="inlineStr">
        <is>
          <t>Moda</t>
        </is>
      </c>
      <c r="K2950" t="n">
        <v>3</v>
      </c>
      <c r="L2950" t="n">
        <v>2.74</v>
      </c>
      <c r="M2950" t="n">
        <v>0</v>
      </c>
      <c r="N2950" t="inlineStr">
        <is>
          <t>train</t>
        </is>
      </c>
      <c r="O2950">
        <f>HYPERLINK("3\1\marker_187_385023.png", "Ver Imagen")</f>
        <v/>
      </c>
      <c r="P2950">
        <f>HYPERLINK("NE\A-495_1\A-495_1__100.png", "Ver Imagen")</f>
        <v/>
      </c>
    </row>
    <row r="2951">
      <c r="A2951" t="n">
        <v>2460</v>
      </c>
      <c r="B2951" t="inlineStr">
        <is>
          <t>A-495_1__20</t>
        </is>
      </c>
      <c r="C2951" t="n">
        <v>37.4519899201</v>
      </c>
      <c r="D2951" t="n">
        <v>-7.1274645613</v>
      </c>
      <c r="E2951" t="n">
        <v>3</v>
      </c>
      <c r="F2951" t="n">
        <v>3</v>
      </c>
      <c r="G2951" t="n">
        <v>2</v>
      </c>
      <c r="J2951" t="inlineStr">
        <is>
          <t>Moda</t>
        </is>
      </c>
      <c r="K2951" t="n">
        <v>3</v>
      </c>
      <c r="L2951" t="n">
        <v>3.072</v>
      </c>
      <c r="M2951" t="n">
        <v>0</v>
      </c>
      <c r="N2951" t="inlineStr">
        <is>
          <t>train</t>
        </is>
      </c>
      <c r="O2951">
        <f>HYPERLINK("3\1\marker_220_386124.png", "Ver Imagen")</f>
        <v/>
      </c>
      <c r="P2951">
        <f>HYPERLINK("NE\A-495_1\A-495_1__20.png", "Ver Imagen")</f>
        <v/>
      </c>
    </row>
    <row r="2952">
      <c r="A2952" t="n">
        <v>2461</v>
      </c>
      <c r="B2952" t="inlineStr">
        <is>
          <t>A-499__46</t>
        </is>
      </c>
      <c r="C2952" t="n">
        <v>37.495415258</v>
      </c>
      <c r="D2952" t="n">
        <v>-7.27628503831</v>
      </c>
      <c r="E2952" t="n">
        <v>3</v>
      </c>
      <c r="F2952" t="n">
        <v>3</v>
      </c>
      <c r="G2952" t="n">
        <v>2</v>
      </c>
      <c r="J2952" t="inlineStr">
        <is>
          <t>Moda</t>
        </is>
      </c>
      <c r="K2952" t="n">
        <v>3</v>
      </c>
      <c r="L2952" t="n">
        <v>3.273</v>
      </c>
      <c r="M2952" t="n">
        <v>0</v>
      </c>
      <c r="N2952" t="inlineStr">
        <is>
          <t>train</t>
        </is>
      </c>
      <c r="O2952">
        <f>HYPERLINK("3\1\marker_536_534823.png", "Ver Imagen")</f>
        <v/>
      </c>
      <c r="P2952">
        <f>HYPERLINK("NO\A-499\A-499__46.png", "Ver Imagen")</f>
        <v/>
      </c>
    </row>
    <row r="2953">
      <c r="A2953" t="n">
        <v>2462</v>
      </c>
      <c r="B2953" t="inlineStr">
        <is>
          <t>A-499__56</t>
        </is>
      </c>
      <c r="C2953" t="n">
        <v>37.4956721302</v>
      </c>
      <c r="D2953" t="n">
        <v>-7.27377371648</v>
      </c>
      <c r="E2953" t="n">
        <v>3</v>
      </c>
      <c r="F2953" t="n">
        <v>3</v>
      </c>
      <c r="G2953" t="n">
        <v>2</v>
      </c>
      <c r="J2953" t="inlineStr">
        <is>
          <t>Moda</t>
        </is>
      </c>
      <c r="K2953" t="n">
        <v>3</v>
      </c>
      <c r="L2953" t="n">
        <v>2.68</v>
      </c>
      <c r="M2953" t="n">
        <v>0</v>
      </c>
      <c r="N2953" t="inlineStr">
        <is>
          <t>test</t>
        </is>
      </c>
      <c r="O2953">
        <f>HYPERLINK("3\1\marker_975_534954.png", "Ver Imagen")</f>
        <v/>
      </c>
      <c r="P2953">
        <f>HYPERLINK("NO\A-499\A-499__56.png", "Ver Imagen")</f>
        <v/>
      </c>
    </row>
    <row r="2954">
      <c r="A2954" t="n">
        <v>2463</v>
      </c>
      <c r="B2954" t="inlineStr">
        <is>
          <t>A-499__85</t>
        </is>
      </c>
      <c r="C2954" t="n">
        <v>37.4958362596</v>
      </c>
      <c r="D2954" t="n">
        <v>-7.26811558294</v>
      </c>
      <c r="E2954" t="n">
        <v>2</v>
      </c>
      <c r="F2954" t="n">
        <v>3</v>
      </c>
      <c r="G2954" t="n">
        <v>3</v>
      </c>
      <c r="J2954" t="inlineStr">
        <is>
          <t>Moda</t>
        </is>
      </c>
      <c r="K2954" t="n">
        <v>3</v>
      </c>
      <c r="L2954" t="n">
        <v>3.037</v>
      </c>
      <c r="M2954" t="n">
        <v>0</v>
      </c>
      <c r="N2954" t="inlineStr">
        <is>
          <t>train</t>
        </is>
      </c>
      <c r="O2954">
        <f>HYPERLINK("3\1\marker_323_789412.png", "Ver Imagen")</f>
        <v/>
      </c>
      <c r="P2954">
        <f>HYPERLINK("NO\A-499\A-499__85.png", "Ver Imagen")</f>
        <v/>
      </c>
    </row>
    <row r="2955">
      <c r="A2955" t="n">
        <v>2464</v>
      </c>
      <c r="B2955" t="inlineStr">
        <is>
          <t>A-499__92</t>
        </is>
      </c>
      <c r="C2955" t="n">
        <v>37.4972238318</v>
      </c>
      <c r="D2955" t="n">
        <v>-7.26805240972</v>
      </c>
      <c r="E2955" t="n">
        <v>2</v>
      </c>
      <c r="F2955" t="n">
        <v>3</v>
      </c>
      <c r="G2955" t="n">
        <v>3</v>
      </c>
      <c r="J2955" t="inlineStr">
        <is>
          <t>Moda</t>
        </is>
      </c>
      <c r="K2955" t="n">
        <v>3</v>
      </c>
      <c r="L2955" t="n">
        <v>2.893</v>
      </c>
      <c r="M2955" t="n">
        <v>0</v>
      </c>
      <c r="N2955" t="inlineStr">
        <is>
          <t>train</t>
        </is>
      </c>
      <c r="O2955">
        <f>HYPERLINK("3\1\marker_511_790086.png", "Ver Imagen")</f>
        <v/>
      </c>
      <c r="P2955">
        <f>HYPERLINK("NO\A-499\A-499__92.png", "Ver Imagen")</f>
        <v/>
      </c>
    </row>
    <row r="2956">
      <c r="A2956" t="n">
        <v>2465</v>
      </c>
      <c r="B2956" t="inlineStr">
        <is>
          <t>A-497__789</t>
        </is>
      </c>
      <c r="C2956" t="n">
        <v>37.19118799</v>
      </c>
      <c r="D2956" t="n">
        <v>-6.97784052019</v>
      </c>
      <c r="E2956" t="n">
        <v>2</v>
      </c>
      <c r="F2956" t="n">
        <v>3</v>
      </c>
      <c r="G2956" t="n">
        <v>3</v>
      </c>
      <c r="J2956" t="inlineStr">
        <is>
          <t>Moda</t>
        </is>
      </c>
      <c r="K2956" t="n">
        <v>3</v>
      </c>
      <c r="L2956" t="n">
        <v>2.898</v>
      </c>
      <c r="M2956" t="n">
        <v>0</v>
      </c>
      <c r="N2956" t="inlineStr">
        <is>
          <t>train</t>
        </is>
      </c>
      <c r="O2956">
        <f>HYPERLINK("3\1\marker_551_368072.png", "Ver Imagen")</f>
        <v/>
      </c>
      <c r="P2956">
        <f>HYPERLINK("SE\A-497\A-497__789.png", "Ver Imagen")</f>
        <v/>
      </c>
    </row>
    <row r="2957">
      <c r="A2957" t="n">
        <v>2468</v>
      </c>
      <c r="B2957" t="inlineStr">
        <is>
          <t>A-497_2C__4</t>
        </is>
      </c>
      <c r="C2957" t="n">
        <v>37.2673939844</v>
      </c>
      <c r="D2957" t="n">
        <v>-6.95796340638</v>
      </c>
      <c r="E2957" t="n">
        <v>2</v>
      </c>
      <c r="F2957" t="n">
        <v>3</v>
      </c>
      <c r="G2957" t="n">
        <v>3</v>
      </c>
      <c r="J2957" t="inlineStr">
        <is>
          <t>Moda</t>
        </is>
      </c>
      <c r="K2957" t="n">
        <v>3</v>
      </c>
      <c r="L2957" t="n">
        <v>2.958</v>
      </c>
      <c r="M2957" t="n">
        <v>0</v>
      </c>
      <c r="N2957" t="inlineStr">
        <is>
          <t>train</t>
        </is>
      </c>
      <c r="O2957">
        <f>HYPERLINK("3\1\marker_847_653758.png", "Ver Imagen")</f>
        <v/>
      </c>
      <c r="P2957">
        <f>HYPERLINK("SE\A-497_2C\A-497_2C__4.png", "Ver Imagen")</f>
        <v/>
      </c>
    </row>
    <row r="2958">
      <c r="A2958" t="n">
        <v>2469</v>
      </c>
      <c r="B2958" t="inlineStr">
        <is>
          <t>A-499__140</t>
        </is>
      </c>
      <c r="C2958" t="n">
        <v>37.5066548201</v>
      </c>
      <c r="D2958" t="n">
        <v>-7.26541905721</v>
      </c>
      <c r="E2958" t="n">
        <v>2</v>
      </c>
      <c r="F2958" t="n">
        <v>3</v>
      </c>
      <c r="G2958" t="n">
        <v>3</v>
      </c>
      <c r="J2958" t="inlineStr">
        <is>
          <t>Moda</t>
        </is>
      </c>
      <c r="K2958" t="n">
        <v>3</v>
      </c>
      <c r="L2958" t="n">
        <v>2.51</v>
      </c>
      <c r="M2958" t="n">
        <v>0</v>
      </c>
      <c r="N2958" t="inlineStr">
        <is>
          <t>train</t>
        </is>
      </c>
      <c r="O2958">
        <f>HYPERLINK("3\1\marker_471_794068.png", "Ver Imagen")</f>
        <v/>
      </c>
      <c r="P2958">
        <f>HYPERLINK("NO\A-499\A-499__140.png", "Ver Imagen")</f>
        <v/>
      </c>
    </row>
    <row r="2959">
      <c r="A2959" t="n">
        <v>2471</v>
      </c>
      <c r="B2959" t="inlineStr">
        <is>
          <t>A-499__159</t>
        </is>
      </c>
      <c r="C2959" t="n">
        <v>37.5100416303</v>
      </c>
      <c r="D2959" t="n">
        <v>-7.26759940969</v>
      </c>
      <c r="E2959" t="n">
        <v>2</v>
      </c>
      <c r="F2959" t="n">
        <v>3</v>
      </c>
      <c r="G2959" t="n">
        <v>3</v>
      </c>
      <c r="J2959" t="inlineStr">
        <is>
          <t>Moda</t>
        </is>
      </c>
      <c r="K2959" t="n">
        <v>3</v>
      </c>
      <c r="L2959" t="n">
        <v>2.996</v>
      </c>
      <c r="M2959" t="n">
        <v>0</v>
      </c>
      <c r="N2959" t="inlineStr">
        <is>
          <t>train</t>
        </is>
      </c>
      <c r="O2959">
        <f>HYPERLINK("3\1\marker_247_794565.png", "Ver Imagen")</f>
        <v/>
      </c>
      <c r="P2959">
        <f>HYPERLINK("NO\A-499\A-499__159.png", "Ver Imagen")</f>
        <v/>
      </c>
    </row>
    <row r="2960">
      <c r="A2960" t="n">
        <v>2472</v>
      </c>
      <c r="B2960" t="inlineStr">
        <is>
          <t>A-499__177</t>
        </is>
      </c>
      <c r="C2960" t="n">
        <v>37.5135420318</v>
      </c>
      <c r="D2960" t="n">
        <v>-7.26895162754</v>
      </c>
      <c r="E2960" t="n">
        <v>3</v>
      </c>
      <c r="F2960" t="n">
        <v>3</v>
      </c>
      <c r="G2960" t="n">
        <v>2</v>
      </c>
      <c r="J2960" t="inlineStr">
        <is>
          <t>Moda</t>
        </is>
      </c>
      <c r="K2960" t="n">
        <v>3</v>
      </c>
      <c r="L2960" t="n">
        <v>2.901</v>
      </c>
      <c r="M2960" t="n">
        <v>0</v>
      </c>
      <c r="N2960" t="inlineStr">
        <is>
          <t>train</t>
        </is>
      </c>
      <c r="O2960">
        <f>HYPERLINK("3\1\marker_549_795586.png", "Ver Imagen")</f>
        <v/>
      </c>
      <c r="P2960">
        <f>HYPERLINK("NO\A-499\A-499__177.png", "Ver Imagen")</f>
        <v/>
      </c>
    </row>
    <row r="2961">
      <c r="A2961" t="n">
        <v>2474</v>
      </c>
      <c r="B2961" t="inlineStr">
        <is>
          <t>A-499__256</t>
        </is>
      </c>
      <c r="C2961" t="n">
        <v>37.5253416085</v>
      </c>
      <c r="D2961" t="n">
        <v>-7.2566679682</v>
      </c>
      <c r="E2961" t="n">
        <v>2</v>
      </c>
      <c r="F2961" t="n">
        <v>3</v>
      </c>
      <c r="G2961" t="n">
        <v>3</v>
      </c>
      <c r="J2961" t="inlineStr">
        <is>
          <t>Moda</t>
        </is>
      </c>
      <c r="K2961" t="n">
        <v>3</v>
      </c>
      <c r="L2961" t="n">
        <v>2.525</v>
      </c>
      <c r="M2961" t="n">
        <v>0</v>
      </c>
      <c r="N2961" t="inlineStr">
        <is>
          <t>train</t>
        </is>
      </c>
      <c r="O2961">
        <f>HYPERLINK("3\1\marker_803_797085.png", "Ver Imagen")</f>
        <v/>
      </c>
      <c r="P2961">
        <f>HYPERLINK("NO\A-499\A-499__256.png", "Ver Imagen")</f>
        <v/>
      </c>
    </row>
    <row r="2962">
      <c r="A2962" t="n">
        <v>2475</v>
      </c>
      <c r="B2962" t="inlineStr">
        <is>
          <t>A-497__748</t>
        </is>
      </c>
      <c r="C2962" t="n">
        <v>37.1875272112</v>
      </c>
      <c r="D2962" t="n">
        <v>-6.97866115648</v>
      </c>
      <c r="E2962" t="n">
        <v>2</v>
      </c>
      <c r="F2962" t="n">
        <v>3</v>
      </c>
      <c r="G2962" t="n">
        <v>3</v>
      </c>
      <c r="J2962" t="inlineStr">
        <is>
          <t>Moda</t>
        </is>
      </c>
      <c r="K2962" t="n">
        <v>3</v>
      </c>
      <c r="L2962" t="n">
        <v>2.653</v>
      </c>
      <c r="M2962" t="n">
        <v>0</v>
      </c>
      <c r="N2962" t="inlineStr">
        <is>
          <t>train</t>
        </is>
      </c>
      <c r="O2962">
        <f>HYPERLINK("3\1\marker_297_368724.png", "Ver Imagen")</f>
        <v/>
      </c>
      <c r="P2962">
        <f>HYPERLINK("SE\A-497\A-497__748.png", "Ver Imagen")</f>
        <v/>
      </c>
    </row>
    <row r="2963">
      <c r="A2963" t="n">
        <v>2476</v>
      </c>
      <c r="B2963" t="inlineStr">
        <is>
          <t>A-497_2C__161</t>
        </is>
      </c>
      <c r="C2963" t="n">
        <v>37.2660637436</v>
      </c>
      <c r="D2963" t="n">
        <v>-6.99351170596</v>
      </c>
      <c r="E2963" t="n">
        <v>2</v>
      </c>
      <c r="F2963" t="n">
        <v>3</v>
      </c>
      <c r="G2963" t="n">
        <v>3</v>
      </c>
      <c r="J2963" t="inlineStr">
        <is>
          <t>Moda</t>
        </is>
      </c>
      <c r="K2963" t="n">
        <v>3</v>
      </c>
      <c r="L2963" t="n">
        <v>2.993</v>
      </c>
      <c r="M2963" t="n">
        <v>0</v>
      </c>
      <c r="N2963" t="inlineStr">
        <is>
          <t>train</t>
        </is>
      </c>
      <c r="O2963">
        <f>HYPERLINK("3\1\marker_174_656111.png", "Ver Imagen")</f>
        <v/>
      </c>
      <c r="P2963">
        <f>HYPERLINK("SE\A-497_2C\A-497_2C__161.png", "Ver Imagen")</f>
        <v/>
      </c>
    </row>
    <row r="2964">
      <c r="A2964" t="n">
        <v>2477</v>
      </c>
      <c r="B2964" t="inlineStr">
        <is>
          <t>A-497_2C__224</t>
        </is>
      </c>
      <c r="C2964" t="n">
        <v>37.2629208666</v>
      </c>
      <c r="D2964" t="n">
        <v>-7.0089561291</v>
      </c>
      <c r="E2964" t="n">
        <v>2</v>
      </c>
      <c r="F2964" t="n">
        <v>3</v>
      </c>
      <c r="G2964" t="n">
        <v>3</v>
      </c>
      <c r="J2964" t="inlineStr">
        <is>
          <t>Moda</t>
        </is>
      </c>
      <c r="K2964" t="n">
        <v>3</v>
      </c>
      <c r="L2964" t="n">
        <v>2.746</v>
      </c>
      <c r="M2964" t="n">
        <v>0</v>
      </c>
      <c r="N2964" t="inlineStr">
        <is>
          <t>train</t>
        </is>
      </c>
      <c r="O2964">
        <f>HYPERLINK("3\1\marker_423_656823.png", "Ver Imagen")</f>
        <v/>
      </c>
      <c r="P2964">
        <f>HYPERLINK("SE\A-497_2C\A-497_2C__224.png", "Ver Imagen")</f>
        <v/>
      </c>
    </row>
    <row r="2965">
      <c r="A2965" t="n">
        <v>2478</v>
      </c>
      <c r="B2965" t="inlineStr">
        <is>
          <t>A-497_2C__225</t>
        </is>
      </c>
      <c r="C2965" t="n">
        <v>37.2628331609</v>
      </c>
      <c r="D2965" t="n">
        <v>-7.00912662257</v>
      </c>
      <c r="E2965" t="n">
        <v>2</v>
      </c>
      <c r="F2965" t="n">
        <v>3</v>
      </c>
      <c r="G2965" t="n">
        <v>3</v>
      </c>
      <c r="J2965" t="inlineStr">
        <is>
          <t>Moda</t>
        </is>
      </c>
      <c r="K2965" t="n">
        <v>3</v>
      </c>
      <c r="L2965" t="n">
        <v>3.131</v>
      </c>
      <c r="M2965" t="n">
        <v>0</v>
      </c>
      <c r="N2965" t="inlineStr">
        <is>
          <t>train</t>
        </is>
      </c>
      <c r="O2965">
        <f>HYPERLINK("3\1\marker_427_656838.png", "Ver Imagen")</f>
        <v/>
      </c>
      <c r="P2965">
        <f>HYPERLINK("SE\A-497_2C\A-497_2C__225.png", "Ver Imagen")</f>
        <v/>
      </c>
    </row>
    <row r="2966">
      <c r="A2966" t="n">
        <v>2479</v>
      </c>
      <c r="B2966" t="inlineStr">
        <is>
          <t>A-497_2C__264</t>
        </is>
      </c>
      <c r="C2966" t="n">
        <v>37.2560664534</v>
      </c>
      <c r="D2966" t="n">
        <v>-7.01420727151</v>
      </c>
      <c r="E2966" t="n">
        <v>2</v>
      </c>
      <c r="F2966" t="n">
        <v>3</v>
      </c>
      <c r="G2966" t="n">
        <v>3</v>
      </c>
      <c r="J2966" t="inlineStr">
        <is>
          <t>Moda</t>
        </is>
      </c>
      <c r="K2966" t="n">
        <v>3</v>
      </c>
      <c r="L2966" t="n">
        <v>2.767</v>
      </c>
      <c r="M2966" t="n">
        <v>0</v>
      </c>
      <c r="N2966" t="inlineStr">
        <is>
          <t>train</t>
        </is>
      </c>
      <c r="O2966">
        <f>HYPERLINK("3\1\marker_925_319669.png", "Ver Imagen")</f>
        <v/>
      </c>
      <c r="P2966">
        <f>HYPERLINK("SE\A-497_2C\A-497_2C__264.png", "Ver Imagen")</f>
        <v/>
      </c>
    </row>
    <row r="2967">
      <c r="A2967" t="n">
        <v>2480</v>
      </c>
      <c r="B2967" t="inlineStr">
        <is>
          <t>A-497_2C__266</t>
        </is>
      </c>
      <c r="C2967" t="n">
        <v>37.2557061303</v>
      </c>
      <c r="D2967" t="n">
        <v>-7.01443919357</v>
      </c>
      <c r="E2967" t="n">
        <v>2</v>
      </c>
      <c r="F2967" t="n">
        <v>3</v>
      </c>
      <c r="G2967" t="n">
        <v>3</v>
      </c>
      <c r="J2967" t="inlineStr">
        <is>
          <t>Moda</t>
        </is>
      </c>
      <c r="K2967" t="n">
        <v>3</v>
      </c>
      <c r="L2967" t="n">
        <v>2.811</v>
      </c>
      <c r="M2967" t="n">
        <v>0</v>
      </c>
      <c r="N2967" t="inlineStr">
        <is>
          <t>train</t>
        </is>
      </c>
      <c r="O2967">
        <f>HYPERLINK("3\1\marker_255_319697.png", "Ver Imagen")</f>
        <v/>
      </c>
      <c r="P2967">
        <f>HYPERLINK("SE\A-497_2C\A-497_2C__266.png", "Ver Imagen")</f>
        <v/>
      </c>
    </row>
    <row r="2968">
      <c r="A2968" t="n">
        <v>2481</v>
      </c>
      <c r="B2968" t="inlineStr">
        <is>
          <t>A-497_2C__267</t>
        </is>
      </c>
      <c r="C2968" t="n">
        <v>37.2555280852</v>
      </c>
      <c r="D2968" t="n">
        <v>-7.01455401953</v>
      </c>
      <c r="E2968" t="n">
        <v>2</v>
      </c>
      <c r="F2968" t="n">
        <v>3</v>
      </c>
      <c r="G2968" t="n">
        <v>3</v>
      </c>
      <c r="J2968" t="inlineStr">
        <is>
          <t>Moda</t>
        </is>
      </c>
      <c r="K2968" t="n">
        <v>3</v>
      </c>
      <c r="L2968" t="n">
        <v>3.247</v>
      </c>
      <c r="M2968" t="n">
        <v>0</v>
      </c>
      <c r="N2968" t="inlineStr">
        <is>
          <t>train</t>
        </is>
      </c>
      <c r="O2968">
        <f>HYPERLINK("3\1\marker_785_319706.png", "Ver Imagen")</f>
        <v/>
      </c>
      <c r="P2968">
        <f>HYPERLINK("SE\A-497_2C\A-497_2C__267.png", "Ver Imagen")</f>
        <v/>
      </c>
    </row>
    <row r="2969">
      <c r="A2969" t="n">
        <v>2482</v>
      </c>
      <c r="B2969" t="inlineStr">
        <is>
          <t>A-497__570</t>
        </is>
      </c>
      <c r="C2969" t="n">
        <v>37.2039792141</v>
      </c>
      <c r="D2969" t="n">
        <v>-7.0101281187</v>
      </c>
      <c r="E2969" t="n">
        <v>2</v>
      </c>
      <c r="F2969" t="n">
        <v>3</v>
      </c>
      <c r="G2969" t="n">
        <v>3</v>
      </c>
      <c r="J2969" t="inlineStr">
        <is>
          <t>Moda</t>
        </is>
      </c>
      <c r="K2969" t="n">
        <v>3</v>
      </c>
      <c r="L2969" t="n">
        <v>2.957</v>
      </c>
      <c r="M2969" t="n">
        <v>0</v>
      </c>
      <c r="N2969" t="inlineStr">
        <is>
          <t>train</t>
        </is>
      </c>
      <c r="O2969">
        <f>HYPERLINK("3\1\marker_529_372035.png", "Ver Imagen")</f>
        <v/>
      </c>
      <c r="P2969">
        <f>HYPERLINK("SE\A-497\A-497__570.png", "Ver Imagen")</f>
        <v/>
      </c>
    </row>
    <row r="2970">
      <c r="A2970" t="n">
        <v>2483</v>
      </c>
      <c r="B2970" t="inlineStr">
        <is>
          <t>A-497__290</t>
        </is>
      </c>
      <c r="C2970" t="n">
        <v>37.2521763924</v>
      </c>
      <c r="D2970" t="n">
        <v>-7.01648883377</v>
      </c>
      <c r="E2970" t="n">
        <v>2</v>
      </c>
      <c r="F2970" t="n">
        <v>3</v>
      </c>
      <c r="G2970" t="n">
        <v>3</v>
      </c>
      <c r="J2970" t="inlineStr">
        <is>
          <t>Moda</t>
        </is>
      </c>
      <c r="K2970" t="n">
        <v>3</v>
      </c>
      <c r="L2970" t="n">
        <v>2.691</v>
      </c>
      <c r="M2970" t="n">
        <v>0</v>
      </c>
      <c r="N2970" t="inlineStr">
        <is>
          <t>val</t>
        </is>
      </c>
      <c r="O2970">
        <f>HYPERLINK("3\1\marker_121_378353.png", "Ver Imagen")</f>
        <v/>
      </c>
      <c r="P2970">
        <f>HYPERLINK("SE\A-497\A-497__290.png", "Ver Imagen")</f>
        <v/>
      </c>
    </row>
    <row r="2971">
      <c r="A2971" t="n">
        <v>2484</v>
      </c>
      <c r="B2971" t="inlineStr">
        <is>
          <t>A-497__275</t>
        </is>
      </c>
      <c r="C2971" t="n">
        <v>37.2549326473</v>
      </c>
      <c r="D2971" t="n">
        <v>-7.01473305697</v>
      </c>
      <c r="E2971" t="n">
        <v>2</v>
      </c>
      <c r="F2971" t="n">
        <v>3</v>
      </c>
      <c r="G2971" t="n">
        <v>3</v>
      </c>
      <c r="J2971" t="inlineStr">
        <is>
          <t>Moda</t>
        </is>
      </c>
      <c r="K2971" t="n">
        <v>3</v>
      </c>
      <c r="L2971" t="n">
        <v>2.97</v>
      </c>
      <c r="M2971" t="n">
        <v>0</v>
      </c>
      <c r="N2971" t="inlineStr">
        <is>
          <t>train</t>
        </is>
      </c>
      <c r="O2971">
        <f>HYPERLINK("3\1\marker_905_378526.png", "Ver Imagen")</f>
        <v/>
      </c>
      <c r="P2971">
        <f>HYPERLINK("SE\A-497\A-497__275.png", "Ver Imagen")</f>
        <v/>
      </c>
    </row>
    <row r="2972">
      <c r="A2972" t="n">
        <v>2485</v>
      </c>
      <c r="B2972" t="inlineStr">
        <is>
          <t>A-497__205</t>
        </is>
      </c>
      <c r="C2972" t="n">
        <v>37.2641465957</v>
      </c>
      <c r="D2972" t="n">
        <v>-7.00302719811</v>
      </c>
      <c r="E2972" t="n">
        <v>2</v>
      </c>
      <c r="F2972" t="n">
        <v>3</v>
      </c>
      <c r="G2972" t="n">
        <v>3</v>
      </c>
      <c r="J2972" t="inlineStr">
        <is>
          <t>Moda</t>
        </is>
      </c>
      <c r="K2972" t="n">
        <v>3</v>
      </c>
      <c r="L2972" t="n">
        <v>2.923</v>
      </c>
      <c r="M2972" t="n">
        <v>0</v>
      </c>
      <c r="N2972" t="inlineStr">
        <is>
          <t>test</t>
        </is>
      </c>
      <c r="O2972">
        <f>HYPERLINK("3\1\marker_909_379324.png", "Ver Imagen")</f>
        <v/>
      </c>
      <c r="P2972">
        <f>HYPERLINK("SE\A-497\A-497__205.png", "Ver Imagen")</f>
        <v/>
      </c>
    </row>
    <row r="2973">
      <c r="A2973" t="n">
        <v>2487</v>
      </c>
      <c r="B2973" t="inlineStr">
        <is>
          <t>A-497__115</t>
        </is>
      </c>
      <c r="C2973" t="n">
        <v>37.2713463201</v>
      </c>
      <c r="D2973" t="n">
        <v>-6.98416106475</v>
      </c>
      <c r="E2973" t="n">
        <v>2</v>
      </c>
      <c r="F2973" t="n">
        <v>3</v>
      </c>
      <c r="G2973" t="n">
        <v>3</v>
      </c>
      <c r="J2973" t="inlineStr">
        <is>
          <t>Moda</t>
        </is>
      </c>
      <c r="K2973" t="n">
        <v>3</v>
      </c>
      <c r="L2973" t="n">
        <v>2.65</v>
      </c>
      <c r="M2973" t="n">
        <v>0</v>
      </c>
      <c r="N2973" t="inlineStr">
        <is>
          <t>train</t>
        </is>
      </c>
      <c r="O2973">
        <f>HYPERLINK("3\1\marker_708_380667.png", "Ver Imagen")</f>
        <v/>
      </c>
      <c r="P2973">
        <f>HYPERLINK("SE\A-497\A-497__115.png", "Ver Imagen")</f>
        <v/>
      </c>
    </row>
    <row r="2974">
      <c r="A2974" t="n">
        <v>2488</v>
      </c>
      <c r="B2974" t="inlineStr">
        <is>
          <t>A-490__14</t>
        </is>
      </c>
      <c r="C2974" t="n">
        <v>37.4470985557</v>
      </c>
      <c r="D2974" t="n">
        <v>-7.12976859862</v>
      </c>
      <c r="E2974" t="n">
        <v>3</v>
      </c>
      <c r="F2974" t="n">
        <v>4</v>
      </c>
      <c r="G2974" t="n">
        <v>3</v>
      </c>
      <c r="J2974" t="inlineStr">
        <is>
          <t>Moda</t>
        </is>
      </c>
      <c r="K2974" t="n">
        <v>3</v>
      </c>
      <c r="L2974" t="n">
        <v>2.876</v>
      </c>
      <c r="M2974" t="n">
        <v>0</v>
      </c>
      <c r="N2974" t="inlineStr">
        <is>
          <t>train</t>
        </is>
      </c>
      <c r="O2974">
        <f>HYPERLINK("3\1\marker_843_728108.png", "Ver Imagen")</f>
        <v/>
      </c>
      <c r="P2974">
        <f>HYPERLINK("NE\A-490\A-490__14.png", "Ver Imagen")</f>
        <v/>
      </c>
    </row>
    <row r="2975">
      <c r="A2975" t="n">
        <v>2489</v>
      </c>
      <c r="B2975" t="inlineStr">
        <is>
          <t>A-490__31</t>
        </is>
      </c>
      <c r="C2975" t="n">
        <v>37.446314007</v>
      </c>
      <c r="D2975" t="n">
        <v>-7.13401643677</v>
      </c>
      <c r="E2975" t="n">
        <v>2</v>
      </c>
      <c r="F2975" t="n">
        <v>3</v>
      </c>
      <c r="G2975" t="n">
        <v>3</v>
      </c>
      <c r="J2975" t="inlineStr">
        <is>
          <t>Moda</t>
        </is>
      </c>
      <c r="K2975" t="n">
        <v>3</v>
      </c>
      <c r="L2975" t="n">
        <v>2.855</v>
      </c>
      <c r="M2975" t="n">
        <v>0</v>
      </c>
      <c r="N2975" t="inlineStr">
        <is>
          <t>train</t>
        </is>
      </c>
      <c r="O2975">
        <f>HYPERLINK("3\1\marker_407_730957.png", "Ver Imagen")</f>
        <v/>
      </c>
      <c r="P2975">
        <f>HYPERLINK("NE\A-490\A-490__31.png", "Ver Imagen")</f>
        <v/>
      </c>
    </row>
    <row r="2976">
      <c r="A2976" t="n">
        <v>2490</v>
      </c>
      <c r="B2976" t="inlineStr">
        <is>
          <t>A-490__10</t>
        </is>
      </c>
      <c r="C2976" t="n">
        <v>37.4471405666</v>
      </c>
      <c r="D2976" t="n">
        <v>-7.1287802785</v>
      </c>
      <c r="E2976" t="n">
        <v>2</v>
      </c>
      <c r="F2976" t="n">
        <v>3</v>
      </c>
      <c r="G2976" t="n">
        <v>3</v>
      </c>
      <c r="J2976" t="inlineStr">
        <is>
          <t>Moda</t>
        </is>
      </c>
      <c r="K2976" t="n">
        <v>3</v>
      </c>
      <c r="L2976" t="n">
        <v>2.688</v>
      </c>
      <c r="M2976" t="n">
        <v>0</v>
      </c>
      <c r="N2976" t="inlineStr">
        <is>
          <t>test</t>
        </is>
      </c>
      <c r="O2976">
        <f>HYPERLINK("3\1\marker_175_725035.png", "Ver Imagen")</f>
        <v/>
      </c>
      <c r="P2976">
        <f>HYPERLINK("NE\A-490\A-490__10.png", "Ver Imagen")</f>
        <v/>
      </c>
    </row>
    <row r="2977">
      <c r="A2977" t="n">
        <v>2491</v>
      </c>
      <c r="B2977" t="inlineStr">
        <is>
          <t>A-490__12</t>
        </is>
      </c>
      <c r="C2977" t="n">
        <v>37.4471486646</v>
      </c>
      <c r="D2977" t="n">
        <v>-7.12921895021</v>
      </c>
      <c r="E2977" t="n">
        <v>3</v>
      </c>
      <c r="F2977" t="n">
        <v>4</v>
      </c>
      <c r="G2977" t="n">
        <v>3</v>
      </c>
      <c r="J2977" t="inlineStr">
        <is>
          <t>Moda</t>
        </is>
      </c>
      <c r="K2977" t="n">
        <v>3</v>
      </c>
      <c r="L2977" t="n">
        <v>2.78</v>
      </c>
      <c r="M2977" t="n">
        <v>0</v>
      </c>
      <c r="N2977" t="inlineStr">
        <is>
          <t>test</t>
        </is>
      </c>
      <c r="O2977">
        <f>HYPERLINK("3\1\marker_831_726118.png", "Ver Imagen")</f>
        <v/>
      </c>
      <c r="P2977">
        <f>HYPERLINK("NE\A-490\A-490__12.png", "Ver Imagen")</f>
        <v/>
      </c>
    </row>
    <row r="2978">
      <c r="A2978" t="n">
        <v>2492</v>
      </c>
      <c r="B2978" t="inlineStr">
        <is>
          <t>A-490__13</t>
        </is>
      </c>
      <c r="C2978" t="n">
        <v>37.4471353383</v>
      </c>
      <c r="D2978" t="n">
        <v>-7.12951576879</v>
      </c>
      <c r="E2978" t="n">
        <v>3</v>
      </c>
      <c r="F2978" t="n">
        <v>4</v>
      </c>
      <c r="G2978" t="n">
        <v>3</v>
      </c>
      <c r="J2978" t="inlineStr">
        <is>
          <t>Moda</t>
        </is>
      </c>
      <c r="K2978" t="n">
        <v>3</v>
      </c>
      <c r="L2978" t="n">
        <v>2.888</v>
      </c>
      <c r="M2978" t="n">
        <v>0</v>
      </c>
      <c r="N2978" t="inlineStr">
        <is>
          <t>train</t>
        </is>
      </c>
      <c r="O2978">
        <f>HYPERLINK("3\1\marker_467_728073.png", "Ver Imagen")</f>
        <v/>
      </c>
      <c r="P2978">
        <f>HYPERLINK("NE\A-490\A-490__13.png", "Ver Imagen")</f>
        <v/>
      </c>
    </row>
    <row r="2979">
      <c r="A2979" t="n">
        <v>2493</v>
      </c>
      <c r="B2979" t="inlineStr">
        <is>
          <t>A-490__25</t>
        </is>
      </c>
      <c r="C2979" t="n">
        <v>37.446544814</v>
      </c>
      <c r="D2979" t="n">
        <v>-7.13244771598</v>
      </c>
      <c r="E2979" t="n">
        <v>3</v>
      </c>
      <c r="F2979" t="n">
        <v>4</v>
      </c>
      <c r="G2979" t="n">
        <v>3</v>
      </c>
      <c r="J2979" t="inlineStr">
        <is>
          <t>Moda</t>
        </is>
      </c>
      <c r="K2979" t="n">
        <v>3</v>
      </c>
      <c r="L2979" t="n">
        <v>3.123</v>
      </c>
      <c r="M2979" t="n">
        <v>0</v>
      </c>
      <c r="N2979" t="inlineStr">
        <is>
          <t>train</t>
        </is>
      </c>
      <c r="O2979">
        <f>HYPERLINK("3\1\marker_219_730793.png", "Ver Imagen")</f>
        <v/>
      </c>
      <c r="P2979">
        <f>HYPERLINK("NE\A-490\A-490__25.png", "Ver Imagen")</f>
        <v/>
      </c>
    </row>
    <row r="2980">
      <c r="A2980" t="n">
        <v>2494</v>
      </c>
      <c r="B2980" t="inlineStr">
        <is>
          <t>A-490__43</t>
        </is>
      </c>
      <c r="C2980" t="n">
        <v>37.4463036675</v>
      </c>
      <c r="D2980" t="n">
        <v>-7.13694729829</v>
      </c>
      <c r="E2980" t="n">
        <v>2</v>
      </c>
      <c r="F2980" t="n">
        <v>3</v>
      </c>
      <c r="G2980" t="n">
        <v>3</v>
      </c>
      <c r="J2980" t="inlineStr">
        <is>
          <t>Moda</t>
        </is>
      </c>
      <c r="K2980" t="n">
        <v>3</v>
      </c>
      <c r="L2980" t="n">
        <v>3.479</v>
      </c>
      <c r="M2980" t="n">
        <v>0</v>
      </c>
      <c r="N2980" t="inlineStr">
        <is>
          <t>test</t>
        </is>
      </c>
      <c r="O2980">
        <f>HYPERLINK("3\1\marker_105_731262.png", "Ver Imagen")</f>
        <v/>
      </c>
      <c r="P2980">
        <f>HYPERLINK("NE\A-490\A-490__43.png", "Ver Imagen")</f>
        <v/>
      </c>
    </row>
    <row r="2981">
      <c r="A2981" t="n">
        <v>2497</v>
      </c>
      <c r="B2981" t="inlineStr">
        <is>
          <t>A-490__46</t>
        </is>
      </c>
      <c r="C2981" t="n">
        <v>37.4465249974</v>
      </c>
      <c r="D2981" t="n">
        <v>-7.13769539763</v>
      </c>
      <c r="E2981" t="n">
        <v>2</v>
      </c>
      <c r="F2981" t="n">
        <v>3</v>
      </c>
      <c r="G2981" t="n">
        <v>3</v>
      </c>
      <c r="J2981" t="inlineStr">
        <is>
          <t>Moda</t>
        </is>
      </c>
      <c r="K2981" t="n">
        <v>3</v>
      </c>
      <c r="L2981" t="n">
        <v>3.001</v>
      </c>
      <c r="M2981" t="n">
        <v>0</v>
      </c>
      <c r="N2981" t="inlineStr">
        <is>
          <t>train</t>
        </is>
      </c>
      <c r="O2981">
        <f>HYPERLINK("3\1\marker_359_731353.png", "Ver Imagen")</f>
        <v/>
      </c>
      <c r="P2981">
        <f>HYPERLINK("NE\A-490\A-490__46.png", "Ver Imagen")</f>
        <v/>
      </c>
    </row>
    <row r="2982">
      <c r="A2982" t="n">
        <v>2498</v>
      </c>
      <c r="B2982" t="inlineStr">
        <is>
          <t>A-490__75</t>
        </is>
      </c>
      <c r="C2982" t="n">
        <v>37.4485485196</v>
      </c>
      <c r="D2982" t="n">
        <v>-7.14444604187</v>
      </c>
      <c r="E2982" t="n">
        <v>2</v>
      </c>
      <c r="F2982" t="n">
        <v>3</v>
      </c>
      <c r="G2982" t="n">
        <v>3</v>
      </c>
      <c r="J2982" t="inlineStr">
        <is>
          <t>Moda</t>
        </is>
      </c>
      <c r="K2982" t="n">
        <v>3</v>
      </c>
      <c r="L2982" t="n">
        <v>3.015</v>
      </c>
      <c r="M2982" t="n">
        <v>0</v>
      </c>
      <c r="N2982" t="inlineStr">
        <is>
          <t>train</t>
        </is>
      </c>
      <c r="O2982">
        <f>HYPERLINK("3\1\marker_838_738462.png", "Ver Imagen")</f>
        <v/>
      </c>
      <c r="P2982">
        <f>HYPERLINK("NE\A-490\A-490__75.png", "Ver Imagen")</f>
        <v/>
      </c>
    </row>
    <row r="2983">
      <c r="A2983" t="n">
        <v>2499</v>
      </c>
      <c r="B2983" t="inlineStr">
        <is>
          <t>A-490__85</t>
        </is>
      </c>
      <c r="C2983" t="n">
        <v>37.4486749891</v>
      </c>
      <c r="D2983" t="n">
        <v>-7.14698081291</v>
      </c>
      <c r="E2983" t="n">
        <v>3</v>
      </c>
      <c r="F2983" t="n">
        <v>3</v>
      </c>
      <c r="G2983" t="n">
        <v>4</v>
      </c>
      <c r="J2983" t="inlineStr">
        <is>
          <t>Moda</t>
        </is>
      </c>
      <c r="K2983" t="n">
        <v>3</v>
      </c>
      <c r="L2983" t="n">
        <v>2.868</v>
      </c>
      <c r="M2983" t="n">
        <v>0</v>
      </c>
      <c r="N2983" t="inlineStr">
        <is>
          <t>train</t>
        </is>
      </c>
      <c r="O2983">
        <f>HYPERLINK("3\1\marker_577_738784.png", "Ver Imagen")</f>
        <v/>
      </c>
      <c r="P2983">
        <f>HYPERLINK("NE\A-490\A-490__85.png", "Ver Imagen")</f>
        <v/>
      </c>
    </row>
    <row r="2984">
      <c r="A2984" t="n">
        <v>2500</v>
      </c>
      <c r="B2984" t="inlineStr">
        <is>
          <t>A-490__92</t>
        </is>
      </c>
      <c r="C2984" t="n">
        <v>37.4487690014</v>
      </c>
      <c r="D2984" t="n">
        <v>-7.14874729503</v>
      </c>
      <c r="E2984" t="n">
        <v>2</v>
      </c>
      <c r="F2984" t="n">
        <v>3</v>
      </c>
      <c r="G2984" t="n">
        <v>3</v>
      </c>
      <c r="J2984" t="inlineStr">
        <is>
          <t>Moda</t>
        </is>
      </c>
      <c r="K2984" t="n">
        <v>3</v>
      </c>
      <c r="L2984" t="n">
        <v>3.001</v>
      </c>
      <c r="M2984" t="n">
        <v>0</v>
      </c>
      <c r="N2984" t="inlineStr">
        <is>
          <t>train</t>
        </is>
      </c>
      <c r="O2984">
        <f>HYPERLINK("3\1\marker_921_739013.png", "Ver Imagen")</f>
        <v/>
      </c>
      <c r="P2984">
        <f>HYPERLINK("NE\A-490\A-490__92.png", "Ver Imagen")</f>
        <v/>
      </c>
    </row>
    <row r="2985">
      <c r="A2985" t="n">
        <v>2501</v>
      </c>
      <c r="B2985" t="inlineStr">
        <is>
          <t>A-490__107</t>
        </is>
      </c>
      <c r="C2985" t="n">
        <v>37.4499665055</v>
      </c>
      <c r="D2985" t="n">
        <v>-7.15220664195</v>
      </c>
      <c r="E2985" t="n">
        <v>2</v>
      </c>
      <c r="F2985" t="n">
        <v>3</v>
      </c>
      <c r="G2985" t="n">
        <v>3</v>
      </c>
      <c r="J2985" t="inlineStr">
        <is>
          <t>Moda</t>
        </is>
      </c>
      <c r="K2985" t="n">
        <v>3</v>
      </c>
      <c r="L2985" t="n">
        <v>3.189</v>
      </c>
      <c r="M2985" t="n">
        <v>0</v>
      </c>
      <c r="N2985" t="inlineStr">
        <is>
          <t>train</t>
        </is>
      </c>
      <c r="O2985">
        <f>HYPERLINK("3\1\marker_535_739693.png", "Ver Imagen")</f>
        <v/>
      </c>
      <c r="P2985">
        <f>HYPERLINK("NE\A-490\A-490__107.png", "Ver Imagen")</f>
        <v/>
      </c>
    </row>
    <row r="2986">
      <c r="A2986" t="n">
        <v>2502</v>
      </c>
      <c r="B2986" t="inlineStr">
        <is>
          <t>A-490__108</t>
        </is>
      </c>
      <c r="C2986" t="n">
        <v>37.4500597122</v>
      </c>
      <c r="D2986" t="n">
        <v>-7.15235843595</v>
      </c>
      <c r="E2986" t="n">
        <v>2</v>
      </c>
      <c r="F2986" t="n">
        <v>3</v>
      </c>
      <c r="G2986" t="n">
        <v>3</v>
      </c>
      <c r="J2986" t="inlineStr">
        <is>
          <t>Moda</t>
        </is>
      </c>
      <c r="K2986" t="n">
        <v>3</v>
      </c>
      <c r="L2986" t="n">
        <v>2.828</v>
      </c>
      <c r="M2986" t="n">
        <v>0</v>
      </c>
      <c r="N2986" t="inlineStr">
        <is>
          <t>train</t>
        </is>
      </c>
      <c r="O2986">
        <f>HYPERLINK("3\1\marker_248_739710.png", "Ver Imagen")</f>
        <v/>
      </c>
      <c r="P2986">
        <f>HYPERLINK("NE\A-490\A-490__108.png", "Ver Imagen")</f>
        <v/>
      </c>
    </row>
    <row r="2987">
      <c r="A2987" t="n">
        <v>2503</v>
      </c>
      <c r="B2987" t="inlineStr">
        <is>
          <t>A-490__135</t>
        </is>
      </c>
      <c r="C2987" t="n">
        <v>37.4520857267</v>
      </c>
      <c r="D2987" t="n">
        <v>-7.15869003498</v>
      </c>
      <c r="E2987" t="n">
        <v>2</v>
      </c>
      <c r="F2987" t="n">
        <v>3</v>
      </c>
      <c r="G2987" t="n">
        <v>3</v>
      </c>
      <c r="J2987" t="inlineStr">
        <is>
          <t>Moda</t>
        </is>
      </c>
      <c r="K2987" t="n">
        <v>3</v>
      </c>
      <c r="L2987" t="n">
        <v>2.852</v>
      </c>
      <c r="M2987" t="n">
        <v>0</v>
      </c>
      <c r="N2987" t="inlineStr">
        <is>
          <t>train</t>
        </is>
      </c>
      <c r="O2987">
        <f>HYPERLINK("3\1\marker_796_740338.png", "Ver Imagen")</f>
        <v/>
      </c>
      <c r="P2987">
        <f>HYPERLINK("NE\A-490\A-490__135.png", "Ver Imagen")</f>
        <v/>
      </c>
    </row>
    <row r="2988">
      <c r="A2988" t="n">
        <v>2504</v>
      </c>
      <c r="B2988" t="inlineStr">
        <is>
          <t>A-490__152</t>
        </is>
      </c>
      <c r="C2988" t="n">
        <v>37.4533853426</v>
      </c>
      <c r="D2988" t="n">
        <v>-7.16255661864</v>
      </c>
      <c r="E2988" t="n">
        <v>2</v>
      </c>
      <c r="F2988" t="n">
        <v>3</v>
      </c>
      <c r="G2988" t="n">
        <v>3</v>
      </c>
      <c r="J2988" t="inlineStr">
        <is>
          <t>Moda</t>
        </is>
      </c>
      <c r="K2988" t="n">
        <v>3</v>
      </c>
      <c r="L2988" t="n">
        <v>3.063</v>
      </c>
      <c r="M2988" t="n">
        <v>0</v>
      </c>
      <c r="N2988" t="inlineStr">
        <is>
          <t>train</t>
        </is>
      </c>
      <c r="O2988">
        <f>HYPERLINK("3\1\marker_497_740796.png", "Ver Imagen")</f>
        <v/>
      </c>
      <c r="P2988">
        <f>HYPERLINK("NE\A-490\A-490__152.png", "Ver Imagen")</f>
        <v/>
      </c>
    </row>
    <row r="2989">
      <c r="A2989" t="n">
        <v>2505</v>
      </c>
      <c r="B2989" t="inlineStr">
        <is>
          <t>A-490__154</t>
        </is>
      </c>
      <c r="C2989" t="n">
        <v>37.4536132331</v>
      </c>
      <c r="D2989" t="n">
        <v>-7.1630079387</v>
      </c>
      <c r="E2989" t="n">
        <v>2</v>
      </c>
      <c r="F2989" t="n">
        <v>3</v>
      </c>
      <c r="G2989" t="n">
        <v>3</v>
      </c>
      <c r="J2989" t="inlineStr">
        <is>
          <t>Moda</t>
        </is>
      </c>
      <c r="K2989" t="n">
        <v>3</v>
      </c>
      <c r="L2989" t="n">
        <v>3.38</v>
      </c>
      <c r="M2989" t="n">
        <v>0</v>
      </c>
      <c r="N2989" t="inlineStr">
        <is>
          <t>train</t>
        </is>
      </c>
      <c r="O2989">
        <f>HYPERLINK("3\1\marker_149_740862.png", "Ver Imagen")</f>
        <v/>
      </c>
      <c r="P2989">
        <f>HYPERLINK("NE\A-490\A-490__154.png", "Ver Imagen")</f>
        <v/>
      </c>
    </row>
    <row r="2990">
      <c r="A2990" t="n">
        <v>2506</v>
      </c>
      <c r="B2990" t="inlineStr">
        <is>
          <t>A-490__155</t>
        </is>
      </c>
      <c r="C2990" t="n">
        <v>37.453746182</v>
      </c>
      <c r="D2990" t="n">
        <v>-7.16326490995</v>
      </c>
      <c r="E2990" t="n">
        <v>2</v>
      </c>
      <c r="F2990" t="n">
        <v>3</v>
      </c>
      <c r="G2990" t="n">
        <v>3</v>
      </c>
      <c r="J2990" t="inlineStr">
        <is>
          <t>Moda</t>
        </is>
      </c>
      <c r="K2990" t="n">
        <v>3</v>
      </c>
      <c r="L2990" t="n">
        <v>3.247</v>
      </c>
      <c r="M2990" t="n">
        <v>0</v>
      </c>
      <c r="N2990" t="inlineStr">
        <is>
          <t>train</t>
        </is>
      </c>
      <c r="O2990">
        <f>HYPERLINK("3\1\marker_194_740878.png", "Ver Imagen")</f>
        <v/>
      </c>
      <c r="P2990">
        <f>HYPERLINK("NE\A-490\A-490__155.png", "Ver Imagen")</f>
        <v/>
      </c>
    </row>
    <row r="2991">
      <c r="A2991" t="n">
        <v>2507</v>
      </c>
      <c r="B2991" t="inlineStr">
        <is>
          <t>A-490__167</t>
        </is>
      </c>
      <c r="C2991" t="n">
        <v>37.4551310698</v>
      </c>
      <c r="D2991" t="n">
        <v>-7.16573617978</v>
      </c>
      <c r="E2991" t="n">
        <v>2</v>
      </c>
      <c r="F2991" t="n">
        <v>3</v>
      </c>
      <c r="G2991" t="n">
        <v>3</v>
      </c>
      <c r="J2991" t="inlineStr">
        <is>
          <t>Moda</t>
        </is>
      </c>
      <c r="K2991" t="n">
        <v>3</v>
      </c>
      <c r="L2991" t="n">
        <v>2.866</v>
      </c>
      <c r="M2991" t="n">
        <v>0</v>
      </c>
      <c r="N2991" t="inlineStr">
        <is>
          <t>train</t>
        </is>
      </c>
      <c r="O2991">
        <f>HYPERLINK("3\1\marker_371_741405.png", "Ver Imagen")</f>
        <v/>
      </c>
      <c r="P2991">
        <f>HYPERLINK("NE\A-490\A-490__167.png", "Ver Imagen")</f>
        <v/>
      </c>
    </row>
    <row r="2992">
      <c r="A2992" t="n">
        <v>2508</v>
      </c>
      <c r="B2992" t="inlineStr">
        <is>
          <t>A-490__172</t>
        </is>
      </c>
      <c r="C2992" t="n">
        <v>37.4558259587</v>
      </c>
      <c r="D2992" t="n">
        <v>-7.16658490279</v>
      </c>
      <c r="E2992" t="n">
        <v>2</v>
      </c>
      <c r="F2992" t="n">
        <v>3</v>
      </c>
      <c r="G2992" t="n">
        <v>3</v>
      </c>
      <c r="J2992" t="inlineStr">
        <is>
          <t>Moda</t>
        </is>
      </c>
      <c r="K2992" t="n">
        <v>3</v>
      </c>
      <c r="L2992" t="n">
        <v>3.149</v>
      </c>
      <c r="M2992" t="n">
        <v>0</v>
      </c>
      <c r="N2992" t="inlineStr">
        <is>
          <t>train</t>
        </is>
      </c>
      <c r="O2992">
        <f>HYPERLINK("3\1\marker_873_741529.png", "Ver Imagen")</f>
        <v/>
      </c>
      <c r="P2992">
        <f>HYPERLINK("NE\A-490\A-490__172.png", "Ver Imagen")</f>
        <v/>
      </c>
    </row>
    <row r="2993">
      <c r="A2993" t="n">
        <v>2509</v>
      </c>
      <c r="B2993" t="inlineStr">
        <is>
          <t>A-490__176</t>
        </is>
      </c>
      <c r="C2993" t="n">
        <v>37.4564175002</v>
      </c>
      <c r="D2993" t="n">
        <v>-7.16731143002</v>
      </c>
      <c r="E2993" t="n">
        <v>2</v>
      </c>
      <c r="F2993" t="n">
        <v>3</v>
      </c>
      <c r="G2993" t="n">
        <v>3</v>
      </c>
      <c r="J2993" t="inlineStr">
        <is>
          <t>Moda</t>
        </is>
      </c>
      <c r="K2993" t="n">
        <v>3</v>
      </c>
      <c r="L2993" t="n">
        <v>2.951</v>
      </c>
      <c r="M2993" t="n">
        <v>0</v>
      </c>
      <c r="N2993" t="inlineStr">
        <is>
          <t>train</t>
        </is>
      </c>
      <c r="O2993">
        <f>HYPERLINK("3\1\marker_291_741629.png", "Ver Imagen")</f>
        <v/>
      </c>
      <c r="P2993">
        <f>HYPERLINK("NE\A-490\A-490__176.png", "Ver Imagen")</f>
        <v/>
      </c>
    </row>
    <row r="2994">
      <c r="A2994" t="n">
        <v>2510</v>
      </c>
      <c r="B2994" t="inlineStr">
        <is>
          <t>A-490__177</t>
        </is>
      </c>
      <c r="C2994" t="n">
        <v>37.4566640316</v>
      </c>
      <c r="D2994" t="n">
        <v>-7.16761884108</v>
      </c>
      <c r="E2994" t="n">
        <v>2</v>
      </c>
      <c r="F2994" t="n">
        <v>3</v>
      </c>
      <c r="G2994" t="n">
        <v>3</v>
      </c>
      <c r="J2994" t="inlineStr">
        <is>
          <t>Moda</t>
        </is>
      </c>
      <c r="K2994" t="n">
        <v>3</v>
      </c>
      <c r="L2994" t="n">
        <v>2.718</v>
      </c>
      <c r="M2994" t="n">
        <v>0</v>
      </c>
      <c r="N2994" t="inlineStr">
        <is>
          <t>train</t>
        </is>
      </c>
      <c r="O2994">
        <f>HYPERLINK("3\1\marker_256_741685.png", "Ver Imagen")</f>
        <v/>
      </c>
      <c r="P2994">
        <f>HYPERLINK("NE\A-490\A-490__177.png", "Ver Imagen")</f>
        <v/>
      </c>
    </row>
    <row r="2995">
      <c r="A2995" t="n">
        <v>2511</v>
      </c>
      <c r="B2995" t="inlineStr">
        <is>
          <t>A-490__182</t>
        </is>
      </c>
      <c r="C2995" t="n">
        <v>37.4572703121</v>
      </c>
      <c r="D2995" t="n">
        <v>-7.16837137221</v>
      </c>
      <c r="E2995" t="n">
        <v>2</v>
      </c>
      <c r="F2995" t="n">
        <v>3</v>
      </c>
      <c r="G2995" t="n">
        <v>3</v>
      </c>
      <c r="J2995" t="inlineStr">
        <is>
          <t>Moda</t>
        </is>
      </c>
      <c r="K2995" t="n">
        <v>3</v>
      </c>
      <c r="L2995" t="n">
        <v>3.044</v>
      </c>
      <c r="M2995" t="n">
        <v>0</v>
      </c>
      <c r="N2995" t="inlineStr">
        <is>
          <t>train</t>
        </is>
      </c>
      <c r="O2995">
        <f>HYPERLINK("3\1\marker_798_741847.png", "Ver Imagen")</f>
        <v/>
      </c>
      <c r="P2995">
        <f>HYPERLINK("NE\A-490\A-490__182.png", "Ver Imagen")</f>
        <v/>
      </c>
    </row>
    <row r="2996">
      <c r="A2996" t="n">
        <v>2512</v>
      </c>
      <c r="B2996" t="inlineStr">
        <is>
          <t>A-490__185</t>
        </is>
      </c>
      <c r="C2996" t="n">
        <v>37.4577083208</v>
      </c>
      <c r="D2996" t="n">
        <v>-7.16890698208</v>
      </c>
      <c r="E2996" t="n">
        <v>2</v>
      </c>
      <c r="F2996" t="n">
        <v>3</v>
      </c>
      <c r="G2996" t="n">
        <v>3</v>
      </c>
      <c r="J2996" t="inlineStr">
        <is>
          <t>Moda</t>
        </is>
      </c>
      <c r="K2996" t="n">
        <v>3</v>
      </c>
      <c r="L2996" t="n">
        <v>2.663</v>
      </c>
      <c r="M2996" t="n">
        <v>0</v>
      </c>
      <c r="N2996" t="inlineStr">
        <is>
          <t>train</t>
        </is>
      </c>
      <c r="O2996">
        <f>HYPERLINK("3\1\marker_370_741932.png", "Ver Imagen")</f>
        <v/>
      </c>
      <c r="P2996">
        <f>HYPERLINK("NE\A-490\A-490__185.png", "Ver Imagen")</f>
        <v/>
      </c>
    </row>
    <row r="2997">
      <c r="A2997" t="n">
        <v>2513</v>
      </c>
      <c r="B2997" t="inlineStr">
        <is>
          <t>A-490__188</t>
        </is>
      </c>
      <c r="C2997" t="n">
        <v>37.4581458901</v>
      </c>
      <c r="D2997" t="n">
        <v>-7.16944476619</v>
      </c>
      <c r="E2997" t="n">
        <v>2</v>
      </c>
      <c r="F2997" t="n">
        <v>3</v>
      </c>
      <c r="G2997" t="n">
        <v>3</v>
      </c>
      <c r="J2997" t="inlineStr">
        <is>
          <t>Moda</t>
        </is>
      </c>
      <c r="K2997" t="n">
        <v>3</v>
      </c>
      <c r="L2997" t="n">
        <v>2.87</v>
      </c>
      <c r="M2997" t="n">
        <v>0</v>
      </c>
      <c r="N2997" t="inlineStr">
        <is>
          <t>train</t>
        </is>
      </c>
      <c r="O2997">
        <f>HYPERLINK("3\1\marker_674_742002.png", "Ver Imagen")</f>
        <v/>
      </c>
      <c r="P2997">
        <f>HYPERLINK("NE\A-490\A-490__188.png", "Ver Imagen")</f>
        <v/>
      </c>
    </row>
    <row r="2998">
      <c r="A2998" t="n">
        <v>2514</v>
      </c>
      <c r="B2998" t="inlineStr">
        <is>
          <t>A-490__197</t>
        </is>
      </c>
      <c r="C2998" t="n">
        <v>37.4594551724</v>
      </c>
      <c r="D2998" t="n">
        <v>-7.17105096792</v>
      </c>
      <c r="E2998" t="n">
        <v>2</v>
      </c>
      <c r="F2998" t="n">
        <v>3</v>
      </c>
      <c r="G2998" t="n">
        <v>3</v>
      </c>
      <c r="J2998" t="inlineStr">
        <is>
          <t>Moda</t>
        </is>
      </c>
      <c r="K2998" t="n">
        <v>3</v>
      </c>
      <c r="L2998" t="n">
        <v>3.178</v>
      </c>
      <c r="M2998" t="n">
        <v>0</v>
      </c>
      <c r="N2998" t="inlineStr">
        <is>
          <t>train</t>
        </is>
      </c>
      <c r="O2998">
        <f>HYPERLINK("3\1\marker_673_742243.png", "Ver Imagen")</f>
        <v/>
      </c>
      <c r="P2998">
        <f>HYPERLINK("NE\A-490\A-490__197.png", "Ver Imagen")</f>
        <v/>
      </c>
    </row>
    <row r="2999">
      <c r="A2999" t="n">
        <v>2515</v>
      </c>
      <c r="B2999" t="inlineStr">
        <is>
          <t>A-490__204</t>
        </is>
      </c>
      <c r="C2999" t="n">
        <v>37.4603390436</v>
      </c>
      <c r="D2999" t="n">
        <v>-7.17239397711</v>
      </c>
      <c r="E2999" t="n">
        <v>2</v>
      </c>
      <c r="F2999" t="n">
        <v>3</v>
      </c>
      <c r="G2999" t="n">
        <v>3</v>
      </c>
      <c r="J2999" t="inlineStr">
        <is>
          <t>Moda</t>
        </is>
      </c>
      <c r="K2999" t="n">
        <v>3</v>
      </c>
      <c r="L2999" t="n">
        <v>2.568</v>
      </c>
      <c r="M2999" t="n">
        <v>0</v>
      </c>
      <c r="N2999" t="inlineStr">
        <is>
          <t>train</t>
        </is>
      </c>
      <c r="O2999">
        <f>HYPERLINK("3\1\marker_193_742465.png", "Ver Imagen")</f>
        <v/>
      </c>
      <c r="P2999">
        <f>HYPERLINK("NE\A-490\A-490__204.png", "Ver Imagen")</f>
        <v/>
      </c>
    </row>
    <row r="3000">
      <c r="A3000" t="n">
        <v>2516</v>
      </c>
      <c r="B3000" t="inlineStr">
        <is>
          <t>A-490__210</t>
        </is>
      </c>
      <c r="C3000" t="n">
        <v>37.461122651</v>
      </c>
      <c r="D3000" t="n">
        <v>-7.17368406464</v>
      </c>
      <c r="E3000" t="n">
        <v>2</v>
      </c>
      <c r="F3000" t="n">
        <v>3</v>
      </c>
      <c r="G3000" t="n">
        <v>3</v>
      </c>
      <c r="J3000" t="inlineStr">
        <is>
          <t>Moda</t>
        </is>
      </c>
      <c r="K3000" t="n">
        <v>3</v>
      </c>
      <c r="L3000" t="n">
        <v>3.107</v>
      </c>
      <c r="M3000" t="n">
        <v>0</v>
      </c>
      <c r="N3000" t="inlineStr">
        <is>
          <t>train</t>
        </is>
      </c>
      <c r="O3000">
        <f>HYPERLINK("3\1\marker_877_742670.png", "Ver Imagen")</f>
        <v/>
      </c>
      <c r="P3000">
        <f>HYPERLINK("NE\A-490\A-490__210.png", "Ver Imagen")</f>
        <v/>
      </c>
    </row>
    <row r="3001">
      <c r="A3001" t="n">
        <v>2518</v>
      </c>
      <c r="B3001" t="inlineStr">
        <is>
          <t>A-490__212</t>
        </is>
      </c>
      <c r="C3001" t="n">
        <v>37.461325625</v>
      </c>
      <c r="D3001" t="n">
        <v>-7.17402091206</v>
      </c>
      <c r="E3001" t="n">
        <v>2</v>
      </c>
      <c r="F3001" t="n">
        <v>3</v>
      </c>
      <c r="G3001" t="n">
        <v>3</v>
      </c>
      <c r="J3001" t="inlineStr">
        <is>
          <t>Moda</t>
        </is>
      </c>
      <c r="K3001" t="n">
        <v>3</v>
      </c>
      <c r="L3001" t="n">
        <v>2.538</v>
      </c>
      <c r="M3001" t="n">
        <v>0</v>
      </c>
      <c r="N3001" t="inlineStr">
        <is>
          <t>val</t>
        </is>
      </c>
      <c r="O3001">
        <f>HYPERLINK("3\1\marker_584_742745.png", "Ver Imagen")</f>
        <v/>
      </c>
      <c r="P3001">
        <f>HYPERLINK("NE\A-490\A-490__212.png", "Ver Imagen")</f>
        <v/>
      </c>
    </row>
    <row r="3002">
      <c r="A3002" t="n">
        <v>2519</v>
      </c>
      <c r="B3002" t="inlineStr">
        <is>
          <t>A-490__219</t>
        </is>
      </c>
      <c r="C3002" t="n">
        <v>37.4622256926</v>
      </c>
      <c r="D3002" t="n">
        <v>-7.17550124687</v>
      </c>
      <c r="E3002" t="n">
        <v>2</v>
      </c>
      <c r="F3002" t="n">
        <v>3</v>
      </c>
      <c r="G3002" t="n">
        <v>3</v>
      </c>
      <c r="J3002" t="inlineStr">
        <is>
          <t>Moda</t>
        </is>
      </c>
      <c r="K3002" t="n">
        <v>3</v>
      </c>
      <c r="L3002" t="n">
        <v>2.952</v>
      </c>
      <c r="M3002" t="n">
        <v>0</v>
      </c>
      <c r="N3002" t="inlineStr">
        <is>
          <t>train</t>
        </is>
      </c>
      <c r="O3002">
        <f>HYPERLINK("3\1\marker_548_743338.png", "Ver Imagen")</f>
        <v/>
      </c>
      <c r="P3002">
        <f>HYPERLINK("NE\A-490\A-490__219.png", "Ver Imagen")</f>
        <v/>
      </c>
    </row>
    <row r="3003">
      <c r="A3003" t="n">
        <v>2520</v>
      </c>
      <c r="B3003" t="inlineStr">
        <is>
          <t>A-490__232</t>
        </is>
      </c>
      <c r="C3003" t="n">
        <v>37.4637597756</v>
      </c>
      <c r="D3003" t="n">
        <v>-7.17806259869</v>
      </c>
      <c r="E3003" t="n">
        <v>2</v>
      </c>
      <c r="F3003" t="n">
        <v>3</v>
      </c>
      <c r="G3003" t="n">
        <v>3</v>
      </c>
      <c r="J3003" t="inlineStr">
        <is>
          <t>Moda</t>
        </is>
      </c>
      <c r="K3003" t="n">
        <v>3</v>
      </c>
      <c r="L3003" t="n">
        <v>2.845</v>
      </c>
      <c r="M3003" t="n">
        <v>0</v>
      </c>
      <c r="N3003" t="inlineStr">
        <is>
          <t>train</t>
        </is>
      </c>
      <c r="O3003">
        <f>HYPERLINK("3\1\marker_892_743885.png", "Ver Imagen")</f>
        <v/>
      </c>
      <c r="P3003">
        <f>HYPERLINK("NE\A-490\A-490__232.png", "Ver Imagen")</f>
        <v/>
      </c>
    </row>
    <row r="3004">
      <c r="A3004" t="n">
        <v>2521</v>
      </c>
      <c r="B3004" t="inlineStr">
        <is>
          <t>A-490__234</t>
        </is>
      </c>
      <c r="C3004" t="n">
        <v>37.4640438239</v>
      </c>
      <c r="D3004" t="n">
        <v>-7.17859728438</v>
      </c>
      <c r="E3004" t="n">
        <v>2</v>
      </c>
      <c r="F3004" t="n">
        <v>3</v>
      </c>
      <c r="G3004" t="n">
        <v>3</v>
      </c>
      <c r="J3004" t="inlineStr">
        <is>
          <t>Moda</t>
        </is>
      </c>
      <c r="K3004" t="n">
        <v>3</v>
      </c>
      <c r="L3004" t="n">
        <v>2.964</v>
      </c>
      <c r="M3004" t="n">
        <v>0</v>
      </c>
      <c r="N3004" t="inlineStr">
        <is>
          <t>train</t>
        </is>
      </c>
      <c r="O3004">
        <f>HYPERLINK("3\1\marker_683_743933.png", "Ver Imagen")</f>
        <v/>
      </c>
      <c r="P3004">
        <f>HYPERLINK("NE\A-490\A-490__234.png", "Ver Imagen")</f>
        <v/>
      </c>
    </row>
    <row r="3005">
      <c r="A3005" t="n">
        <v>2522</v>
      </c>
      <c r="B3005" t="inlineStr">
        <is>
          <t>A-490__244</t>
        </is>
      </c>
      <c r="C3005" t="n">
        <v>37.4651683935</v>
      </c>
      <c r="D3005" t="n">
        <v>-7.18062079121</v>
      </c>
      <c r="E3005" t="n">
        <v>2</v>
      </c>
      <c r="F3005" t="n">
        <v>3</v>
      </c>
      <c r="G3005" t="n">
        <v>3</v>
      </c>
      <c r="J3005" t="inlineStr">
        <is>
          <t>Moda</t>
        </is>
      </c>
      <c r="K3005" t="n">
        <v>3</v>
      </c>
      <c r="L3005" t="n">
        <v>3.153</v>
      </c>
      <c r="M3005" t="n">
        <v>0</v>
      </c>
      <c r="N3005" t="inlineStr">
        <is>
          <t>train</t>
        </is>
      </c>
      <c r="O3005">
        <f>HYPERLINK("3\1\marker_474_749376.png", "Ver Imagen")</f>
        <v/>
      </c>
      <c r="P3005">
        <f>HYPERLINK("NE\A-490\A-490__244.png", "Ver Imagen")</f>
        <v/>
      </c>
    </row>
    <row r="3006">
      <c r="A3006" t="n">
        <v>2523</v>
      </c>
      <c r="B3006" t="inlineStr">
        <is>
          <t>A-490__255</t>
        </is>
      </c>
      <c r="C3006" t="n">
        <v>37.4664162064</v>
      </c>
      <c r="D3006" t="n">
        <v>-7.18294734852</v>
      </c>
      <c r="E3006" t="n">
        <v>2</v>
      </c>
      <c r="F3006" t="n">
        <v>3</v>
      </c>
      <c r="G3006" t="n">
        <v>3</v>
      </c>
      <c r="J3006" t="inlineStr">
        <is>
          <t>Moda</t>
        </is>
      </c>
      <c r="K3006" t="n">
        <v>3</v>
      </c>
      <c r="L3006" t="n">
        <v>3.039</v>
      </c>
      <c r="M3006" t="n">
        <v>0</v>
      </c>
      <c r="N3006" t="inlineStr">
        <is>
          <t>train</t>
        </is>
      </c>
      <c r="O3006">
        <f>HYPERLINK("3\1\marker_300_749612.png", "Ver Imagen")</f>
        <v/>
      </c>
      <c r="P3006">
        <f>HYPERLINK("NE\A-490\A-490__255.png", "Ver Imagen")</f>
        <v/>
      </c>
    </row>
    <row r="3007">
      <c r="A3007" t="n">
        <v>2523</v>
      </c>
      <c r="B3007" t="inlineStr">
        <is>
          <t>A-490__255</t>
        </is>
      </c>
      <c r="C3007" t="n">
        <v>37.4664162064</v>
      </c>
      <c r="D3007" t="n">
        <v>-7.18294734852</v>
      </c>
      <c r="E3007" t="n">
        <v>2</v>
      </c>
      <c r="F3007" t="n">
        <v>3</v>
      </c>
      <c r="G3007" t="n">
        <v>3</v>
      </c>
      <c r="J3007" t="inlineStr">
        <is>
          <t>Moda</t>
        </is>
      </c>
      <c r="K3007" t="n">
        <v>3</v>
      </c>
      <c r="L3007" t="n">
        <v>2.832</v>
      </c>
      <c r="M3007" t="n">
        <v>0</v>
      </c>
      <c r="N3007" t="inlineStr">
        <is>
          <t>train</t>
        </is>
      </c>
      <c r="O3007">
        <f>HYPERLINK("3\1\marker_300_749612.png", "Ver Imagen")</f>
        <v/>
      </c>
      <c r="P3007">
        <f>HYPERLINK("NO\A-490\A-490__255.png", "Ver Imagen")</f>
        <v/>
      </c>
    </row>
    <row r="3008">
      <c r="A3008" t="n">
        <v>2524</v>
      </c>
      <c r="B3008" t="inlineStr">
        <is>
          <t>A-490__95</t>
        </is>
      </c>
      <c r="C3008" t="n">
        <v>37.4488811025</v>
      </c>
      <c r="D3008" t="n">
        <v>-7.14948149502</v>
      </c>
      <c r="E3008" t="n">
        <v>4</v>
      </c>
      <c r="F3008" t="n">
        <v>3</v>
      </c>
      <c r="G3008" t="n">
        <v>3</v>
      </c>
      <c r="J3008" t="inlineStr">
        <is>
          <t>Moda</t>
        </is>
      </c>
      <c r="K3008" t="n">
        <v>3</v>
      </c>
      <c r="L3008" t="n">
        <v>2.586</v>
      </c>
      <c r="M3008" t="n">
        <v>0</v>
      </c>
      <c r="N3008" t="inlineStr">
        <is>
          <t>train</t>
        </is>
      </c>
      <c r="O3008">
        <f>HYPERLINK("3\1\marker_640_739071.png", "Ver Imagen")</f>
        <v/>
      </c>
      <c r="P3008">
        <f>HYPERLINK("NE\A-490\A-490__95.png", "Ver Imagen")</f>
        <v/>
      </c>
    </row>
    <row r="3009">
      <c r="A3009" t="n">
        <v>2525</v>
      </c>
      <c r="B3009" t="inlineStr">
        <is>
          <t>A-490__358</t>
        </is>
      </c>
      <c r="C3009" t="n">
        <v>37.4776566871</v>
      </c>
      <c r="D3009" t="n">
        <v>-7.20490560856</v>
      </c>
      <c r="E3009" t="n">
        <v>2</v>
      </c>
      <c r="F3009" t="n">
        <v>3</v>
      </c>
      <c r="G3009" t="n">
        <v>3</v>
      </c>
      <c r="J3009" t="inlineStr">
        <is>
          <t>Moda</t>
        </is>
      </c>
      <c r="K3009" t="n">
        <v>3</v>
      </c>
      <c r="L3009" t="n">
        <v>3.162</v>
      </c>
      <c r="M3009" t="n">
        <v>0</v>
      </c>
      <c r="N3009" t="inlineStr">
        <is>
          <t>train</t>
        </is>
      </c>
      <c r="O3009">
        <f>HYPERLINK("3\1\marker_947_751841.png", "Ver Imagen")</f>
        <v/>
      </c>
      <c r="P3009">
        <f>HYPERLINK("NO\A-490\A-490__358.png", "Ver Imagen")</f>
        <v/>
      </c>
    </row>
    <row r="3010">
      <c r="A3010" t="n">
        <v>2526</v>
      </c>
      <c r="B3010" t="inlineStr">
        <is>
          <t>A-490__367</t>
        </is>
      </c>
      <c r="C3010" t="n">
        <v>37.4785016935</v>
      </c>
      <c r="D3010" t="n">
        <v>-7.20687970571</v>
      </c>
      <c r="E3010" t="n">
        <v>2</v>
      </c>
      <c r="F3010" t="n">
        <v>3</v>
      </c>
      <c r="G3010" t="n">
        <v>3</v>
      </c>
      <c r="J3010" t="inlineStr">
        <is>
          <t>Moda</t>
        </is>
      </c>
      <c r="K3010" t="n">
        <v>3</v>
      </c>
      <c r="L3010" t="n">
        <v>2.566</v>
      </c>
      <c r="M3010" t="n">
        <v>0</v>
      </c>
      <c r="N3010" t="inlineStr">
        <is>
          <t>test</t>
        </is>
      </c>
      <c r="O3010">
        <f>HYPERLINK("3\1\marker_998_752032.png", "Ver Imagen")</f>
        <v/>
      </c>
      <c r="P3010">
        <f>HYPERLINK("NO\A-490\A-490__367.png", "Ver Imagen")</f>
        <v/>
      </c>
    </row>
    <row r="3011">
      <c r="A3011" t="n">
        <v>2528</v>
      </c>
      <c r="B3011" t="inlineStr">
        <is>
          <t>A-490__376</t>
        </is>
      </c>
      <c r="C3011" t="n">
        <v>37.4793789426</v>
      </c>
      <c r="D3011" t="n">
        <v>-7.20894344194</v>
      </c>
      <c r="E3011" t="n">
        <v>2</v>
      </c>
      <c r="F3011" t="n">
        <v>3</v>
      </c>
      <c r="G3011" t="n">
        <v>3</v>
      </c>
      <c r="J3011" t="inlineStr">
        <is>
          <t>Moda</t>
        </is>
      </c>
      <c r="K3011" t="n">
        <v>3</v>
      </c>
      <c r="L3011" t="n">
        <v>2.874</v>
      </c>
      <c r="M3011" t="n">
        <v>0</v>
      </c>
      <c r="N3011" t="inlineStr">
        <is>
          <t>train</t>
        </is>
      </c>
      <c r="O3011">
        <f>HYPERLINK("3\1\marker_274_752244.png", "Ver Imagen")</f>
        <v/>
      </c>
      <c r="P3011">
        <f>HYPERLINK("NO\A-490\A-490__376.png", "Ver Imagen")</f>
        <v/>
      </c>
    </row>
    <row r="3012">
      <c r="A3012" t="n">
        <v>2529</v>
      </c>
      <c r="B3012" t="inlineStr">
        <is>
          <t>A-490__377</t>
        </is>
      </c>
      <c r="C3012" t="n">
        <v>37.4794719586</v>
      </c>
      <c r="D3012" t="n">
        <v>-7.20915197823</v>
      </c>
      <c r="E3012" t="n">
        <v>2</v>
      </c>
      <c r="F3012" t="n">
        <v>3</v>
      </c>
      <c r="G3012" t="n">
        <v>3</v>
      </c>
      <c r="J3012" t="inlineStr">
        <is>
          <t>Moda</t>
        </is>
      </c>
      <c r="K3012" t="n">
        <v>3</v>
      </c>
      <c r="L3012" t="n">
        <v>3.091</v>
      </c>
      <c r="M3012" t="n">
        <v>0</v>
      </c>
      <c r="N3012" t="inlineStr">
        <is>
          <t>train</t>
        </is>
      </c>
      <c r="O3012">
        <f>HYPERLINK("3\1\marker_365_752273.png", "Ver Imagen")</f>
        <v/>
      </c>
      <c r="P3012">
        <f>HYPERLINK("NO\A-490\A-490__377.png", "Ver Imagen")</f>
        <v/>
      </c>
    </row>
    <row r="3013">
      <c r="A3013" t="n">
        <v>2530</v>
      </c>
      <c r="B3013" t="inlineStr">
        <is>
          <t>A-490__383</t>
        </is>
      </c>
      <c r="C3013" t="n">
        <v>37.480065739</v>
      </c>
      <c r="D3013" t="n">
        <v>-7.21051246176</v>
      </c>
      <c r="E3013" t="n">
        <v>2</v>
      </c>
      <c r="F3013" t="n">
        <v>3</v>
      </c>
      <c r="G3013" t="n">
        <v>3</v>
      </c>
      <c r="J3013" t="inlineStr">
        <is>
          <t>Moda</t>
        </is>
      </c>
      <c r="K3013" t="n">
        <v>3</v>
      </c>
      <c r="L3013" t="n">
        <v>3.09</v>
      </c>
      <c r="M3013" t="n">
        <v>0</v>
      </c>
      <c r="N3013" t="inlineStr">
        <is>
          <t>train</t>
        </is>
      </c>
      <c r="O3013">
        <f>HYPERLINK("3\1\marker_616_752410.png", "Ver Imagen")</f>
        <v/>
      </c>
      <c r="P3013">
        <f>HYPERLINK("NO\A-490\A-490__383.png", "Ver Imagen")</f>
        <v/>
      </c>
    </row>
    <row r="3014">
      <c r="A3014" t="n">
        <v>2532</v>
      </c>
      <c r="B3014" t="inlineStr">
        <is>
          <t>A-490__387</t>
        </is>
      </c>
      <c r="C3014" t="n">
        <v>37.4804502304</v>
      </c>
      <c r="D3014" t="n">
        <v>-7.2114030523</v>
      </c>
      <c r="E3014" t="n">
        <v>2</v>
      </c>
      <c r="F3014" t="n">
        <v>3</v>
      </c>
      <c r="G3014" t="n">
        <v>3</v>
      </c>
      <c r="J3014" t="inlineStr">
        <is>
          <t>Moda</t>
        </is>
      </c>
      <c r="K3014" t="n">
        <v>3</v>
      </c>
      <c r="L3014" t="n">
        <v>2.91</v>
      </c>
      <c r="M3014" t="n">
        <v>0</v>
      </c>
      <c r="N3014" t="inlineStr">
        <is>
          <t>train</t>
        </is>
      </c>
      <c r="O3014">
        <f>HYPERLINK("3\1\marker_884_752479.png", "Ver Imagen")</f>
        <v/>
      </c>
      <c r="P3014">
        <f>HYPERLINK("NO\A-490\A-490__387.png", "Ver Imagen")</f>
        <v/>
      </c>
    </row>
    <row r="3015">
      <c r="A3015" t="n">
        <v>2535</v>
      </c>
      <c r="B3015" t="inlineStr">
        <is>
          <t>A-490__398</t>
        </is>
      </c>
      <c r="C3015" t="n">
        <v>37.4813991181</v>
      </c>
      <c r="D3015" t="n">
        <v>-7.21393910105</v>
      </c>
      <c r="E3015" t="n">
        <v>2</v>
      </c>
      <c r="F3015" t="n">
        <v>3</v>
      </c>
      <c r="G3015" t="n">
        <v>3</v>
      </c>
      <c r="J3015" t="inlineStr">
        <is>
          <t>Moda</t>
        </is>
      </c>
      <c r="K3015" t="n">
        <v>3</v>
      </c>
      <c r="L3015" t="n">
        <v>3.025</v>
      </c>
      <c r="M3015" t="n">
        <v>0</v>
      </c>
      <c r="N3015" t="inlineStr">
        <is>
          <t>train</t>
        </is>
      </c>
      <c r="O3015">
        <f>HYPERLINK("3\1\marker_944_752982.png", "Ver Imagen")</f>
        <v/>
      </c>
      <c r="P3015">
        <f>HYPERLINK("NO\A-490\A-490__398.png", "Ver Imagen")</f>
        <v/>
      </c>
    </row>
    <row r="3016">
      <c r="A3016" t="n">
        <v>2537</v>
      </c>
      <c r="B3016" t="inlineStr">
        <is>
          <t>A-490__416</t>
        </is>
      </c>
      <c r="C3016" t="n">
        <v>37.4826313401</v>
      </c>
      <c r="D3016" t="n">
        <v>-7.21829941092</v>
      </c>
      <c r="E3016" t="n">
        <v>2</v>
      </c>
      <c r="F3016" t="n">
        <v>3</v>
      </c>
      <c r="G3016" t="n">
        <v>3</v>
      </c>
      <c r="J3016" t="inlineStr">
        <is>
          <t>Moda</t>
        </is>
      </c>
      <c r="K3016" t="n">
        <v>3</v>
      </c>
      <c r="L3016" t="n">
        <v>2.567</v>
      </c>
      <c r="M3016" t="n">
        <v>0</v>
      </c>
      <c r="N3016" t="inlineStr">
        <is>
          <t>train</t>
        </is>
      </c>
      <c r="O3016">
        <f>HYPERLINK("3\1\marker_138_754233.png", "Ver Imagen")</f>
        <v/>
      </c>
      <c r="P3016">
        <f>HYPERLINK("NO\A-490\A-490__416.png", "Ver Imagen")</f>
        <v/>
      </c>
    </row>
    <row r="3017">
      <c r="A3017" t="n">
        <v>2538</v>
      </c>
      <c r="B3017" t="inlineStr">
        <is>
          <t>A-490__430</t>
        </is>
      </c>
      <c r="C3017" t="n">
        <v>37.483299159</v>
      </c>
      <c r="D3017" t="n">
        <v>-7.22168840553</v>
      </c>
      <c r="E3017" t="n">
        <v>2</v>
      </c>
      <c r="F3017" t="n">
        <v>3</v>
      </c>
      <c r="G3017" t="n">
        <v>3</v>
      </c>
      <c r="J3017" t="inlineStr">
        <is>
          <t>Moda</t>
        </is>
      </c>
      <c r="K3017" t="n">
        <v>3</v>
      </c>
      <c r="L3017" t="n">
        <v>2.69</v>
      </c>
      <c r="M3017" t="n">
        <v>0</v>
      </c>
      <c r="N3017" t="inlineStr">
        <is>
          <t>train</t>
        </is>
      </c>
      <c r="O3017">
        <f>HYPERLINK("3\1\marker_901_754480.png", "Ver Imagen")</f>
        <v/>
      </c>
      <c r="P3017">
        <f>HYPERLINK("NO\A-490\A-490__430.png", "Ver Imagen")</f>
        <v/>
      </c>
    </row>
    <row r="3018">
      <c r="A3018" t="n">
        <v>2539</v>
      </c>
      <c r="B3018" t="inlineStr">
        <is>
          <t>A-490__436</t>
        </is>
      </c>
      <c r="C3018" t="n">
        <v>37.4835837007</v>
      </c>
      <c r="D3018" t="n">
        <v>-7.22314961542</v>
      </c>
      <c r="E3018" t="n">
        <v>2</v>
      </c>
      <c r="F3018" t="n">
        <v>3</v>
      </c>
      <c r="G3018" t="n">
        <v>3</v>
      </c>
      <c r="J3018" t="inlineStr">
        <is>
          <t>Moda</t>
        </is>
      </c>
      <c r="K3018" t="n">
        <v>3</v>
      </c>
      <c r="L3018" t="n">
        <v>2.848</v>
      </c>
      <c r="M3018" t="n">
        <v>0</v>
      </c>
      <c r="N3018" t="inlineStr">
        <is>
          <t>train</t>
        </is>
      </c>
      <c r="O3018">
        <f>HYPERLINK("3\1\marker_412_754590.png", "Ver Imagen")</f>
        <v/>
      </c>
      <c r="P3018">
        <f>HYPERLINK("NO\A-490\A-490__436.png", "Ver Imagen")</f>
        <v/>
      </c>
    </row>
    <row r="3019">
      <c r="A3019" t="n">
        <v>2540</v>
      </c>
      <c r="B3019" t="inlineStr">
        <is>
          <t>A-490__437</t>
        </is>
      </c>
      <c r="C3019" t="n">
        <v>37.4836295729</v>
      </c>
      <c r="D3019" t="n">
        <v>-7.22338453065</v>
      </c>
      <c r="E3019" t="n">
        <v>2</v>
      </c>
      <c r="F3019" t="n">
        <v>3</v>
      </c>
      <c r="G3019" t="n">
        <v>3</v>
      </c>
      <c r="J3019" t="inlineStr">
        <is>
          <t>Moda</t>
        </is>
      </c>
      <c r="K3019" t="n">
        <v>3</v>
      </c>
      <c r="L3019" t="n">
        <v>3.333</v>
      </c>
      <c r="M3019" t="n">
        <v>0</v>
      </c>
      <c r="N3019" t="inlineStr">
        <is>
          <t>train</t>
        </is>
      </c>
      <c r="O3019">
        <f>HYPERLINK("3\1\marker_608_754604.png", "Ver Imagen")</f>
        <v/>
      </c>
      <c r="P3019">
        <f>HYPERLINK("NO\A-490\A-490__437.png", "Ver Imagen")</f>
        <v/>
      </c>
    </row>
    <row r="3020">
      <c r="A3020" t="n">
        <v>2541</v>
      </c>
      <c r="B3020" t="inlineStr">
        <is>
          <t>A-490__456</t>
        </is>
      </c>
      <c r="C3020" t="n">
        <v>37.4845421331</v>
      </c>
      <c r="D3020" t="n">
        <v>-7.22809527869</v>
      </c>
      <c r="E3020" t="n">
        <v>2</v>
      </c>
      <c r="F3020" t="n">
        <v>3</v>
      </c>
      <c r="G3020" t="n">
        <v>3</v>
      </c>
      <c r="J3020" t="inlineStr">
        <is>
          <t>Moda</t>
        </is>
      </c>
      <c r="K3020" t="n">
        <v>3</v>
      </c>
      <c r="L3020" t="n">
        <v>3.013</v>
      </c>
      <c r="M3020" t="n">
        <v>0</v>
      </c>
      <c r="N3020" t="inlineStr">
        <is>
          <t>train</t>
        </is>
      </c>
      <c r="O3020">
        <f>HYPERLINK("3\1\marker_131_755145.png", "Ver Imagen")</f>
        <v/>
      </c>
      <c r="P3020">
        <f>HYPERLINK("NO\A-490\A-490__456.png", "Ver Imagen")</f>
        <v/>
      </c>
    </row>
    <row r="3021">
      <c r="A3021" t="n">
        <v>2544</v>
      </c>
      <c r="B3021" t="inlineStr">
        <is>
          <t>A-490__521</t>
        </is>
      </c>
      <c r="C3021" t="n">
        <v>37.4875036277</v>
      </c>
      <c r="D3021" t="n">
        <v>-7.24415000585</v>
      </c>
      <c r="E3021" t="n">
        <v>2</v>
      </c>
      <c r="F3021" t="n">
        <v>3</v>
      </c>
      <c r="G3021" t="n">
        <v>3</v>
      </c>
      <c r="J3021" t="inlineStr">
        <is>
          <t>Moda</t>
        </is>
      </c>
      <c r="K3021" t="n">
        <v>3</v>
      </c>
      <c r="L3021" t="n">
        <v>2.975</v>
      </c>
      <c r="M3021" t="n">
        <v>0</v>
      </c>
      <c r="N3021" t="inlineStr">
        <is>
          <t>train</t>
        </is>
      </c>
      <c r="O3021">
        <f>HYPERLINK("3\1\marker_416_818071.png", "Ver Imagen")</f>
        <v/>
      </c>
      <c r="P3021">
        <f>HYPERLINK("NO\A-490\A-490__521.png", "Ver Imagen")</f>
        <v/>
      </c>
    </row>
    <row r="3022">
      <c r="A3022" t="n">
        <v>2545</v>
      </c>
      <c r="B3022" t="inlineStr">
        <is>
          <t>A-490__525</t>
        </is>
      </c>
      <c r="C3022" t="n">
        <v>37.4878612567</v>
      </c>
      <c r="D3022" t="n">
        <v>-7.24505264186</v>
      </c>
      <c r="E3022" t="n">
        <v>2</v>
      </c>
      <c r="F3022" t="n">
        <v>3</v>
      </c>
      <c r="G3022" t="n">
        <v>3</v>
      </c>
      <c r="J3022" t="inlineStr">
        <is>
          <t>Moda</t>
        </is>
      </c>
      <c r="K3022" t="n">
        <v>3</v>
      </c>
      <c r="L3022" t="n">
        <v>2.739</v>
      </c>
      <c r="M3022" t="n">
        <v>0</v>
      </c>
      <c r="N3022" t="inlineStr">
        <is>
          <t>train</t>
        </is>
      </c>
      <c r="O3022">
        <f>HYPERLINK("3\1\marker_981_818126.png", "Ver Imagen")</f>
        <v/>
      </c>
      <c r="P3022">
        <f>HYPERLINK("NO\A-490\A-490__525.png", "Ver Imagen")</f>
        <v/>
      </c>
    </row>
    <row r="3023">
      <c r="A3023" t="n">
        <v>2546</v>
      </c>
      <c r="B3023" t="inlineStr">
        <is>
          <t>A-490__533</t>
        </is>
      </c>
      <c r="C3023" t="n">
        <v>37.4885919779</v>
      </c>
      <c r="D3023" t="n">
        <v>-7.24690490818</v>
      </c>
      <c r="E3023" t="n">
        <v>2</v>
      </c>
      <c r="F3023" t="n">
        <v>3</v>
      </c>
      <c r="G3023" t="n">
        <v>3</v>
      </c>
      <c r="J3023" t="inlineStr">
        <is>
          <t>Moda</t>
        </is>
      </c>
      <c r="K3023" t="n">
        <v>3</v>
      </c>
      <c r="L3023" t="n">
        <v>3.171</v>
      </c>
      <c r="M3023" t="n">
        <v>0</v>
      </c>
      <c r="N3023" t="inlineStr">
        <is>
          <t>train</t>
        </is>
      </c>
      <c r="O3023">
        <f>HYPERLINK("3\1\marker_780_818247.png", "Ver Imagen")</f>
        <v/>
      </c>
      <c r="P3023">
        <f>HYPERLINK("NO\A-490\A-490__533.png", "Ver Imagen")</f>
        <v/>
      </c>
    </row>
    <row r="3024">
      <c r="A3024" t="n">
        <v>2547</v>
      </c>
      <c r="B3024" t="inlineStr">
        <is>
          <t>A-490__536</t>
        </is>
      </c>
      <c r="C3024" t="n">
        <v>37.4889108343</v>
      </c>
      <c r="D3024" t="n">
        <v>-7.24750554781</v>
      </c>
      <c r="E3024" t="n">
        <v>2</v>
      </c>
      <c r="F3024" t="n">
        <v>3</v>
      </c>
      <c r="G3024" t="n">
        <v>3</v>
      </c>
      <c r="J3024" t="inlineStr">
        <is>
          <t>Moda</t>
        </is>
      </c>
      <c r="K3024" t="n">
        <v>3</v>
      </c>
      <c r="L3024" t="n">
        <v>3.29</v>
      </c>
      <c r="M3024" t="n">
        <v>0</v>
      </c>
      <c r="N3024" t="inlineStr">
        <is>
          <t>train</t>
        </is>
      </c>
      <c r="O3024">
        <f>HYPERLINK("3\1\marker_407_818290.png", "Ver Imagen")</f>
        <v/>
      </c>
      <c r="P3024">
        <f>HYPERLINK("NO\A-490\A-490__536.png", "Ver Imagen")</f>
        <v/>
      </c>
    </row>
    <row r="3025">
      <c r="A3025" t="n">
        <v>2548</v>
      </c>
      <c r="B3025" t="inlineStr">
        <is>
          <t>A-490__603</t>
        </is>
      </c>
      <c r="C3025" t="n">
        <v>37.4925434432</v>
      </c>
      <c r="D3025" t="n">
        <v>-7.26208658731</v>
      </c>
      <c r="E3025" t="n">
        <v>2</v>
      </c>
      <c r="F3025" t="n">
        <v>3</v>
      </c>
      <c r="G3025" t="n">
        <v>3</v>
      </c>
      <c r="J3025" t="inlineStr">
        <is>
          <t>Moda</t>
        </is>
      </c>
      <c r="K3025" t="n">
        <v>3</v>
      </c>
      <c r="L3025" t="n">
        <v>3.04</v>
      </c>
      <c r="M3025" t="n">
        <v>0</v>
      </c>
      <c r="N3025" t="inlineStr">
        <is>
          <t>train</t>
        </is>
      </c>
      <c r="O3025">
        <f>HYPERLINK("3\1\marker_726_820127.png", "Ver Imagen")</f>
        <v/>
      </c>
      <c r="P3025">
        <f>HYPERLINK("NO\A-490\A-490__603.png", "Ver Imagen")</f>
        <v/>
      </c>
    </row>
    <row r="3026">
      <c r="A3026" t="n">
        <v>2549</v>
      </c>
      <c r="B3026" t="inlineStr">
        <is>
          <t>A-490__605</t>
        </is>
      </c>
      <c r="C3026" t="n">
        <v>37.4928076297</v>
      </c>
      <c r="D3026" t="n">
        <v>-7.2625681552</v>
      </c>
      <c r="E3026" t="n">
        <v>2</v>
      </c>
      <c r="F3026" t="n">
        <v>3</v>
      </c>
      <c r="G3026" t="n">
        <v>3</v>
      </c>
      <c r="J3026" t="inlineStr">
        <is>
          <t>Moda</t>
        </is>
      </c>
      <c r="K3026" t="n">
        <v>3</v>
      </c>
      <c r="L3026" t="n">
        <v>2.71</v>
      </c>
      <c r="M3026" t="n">
        <v>0</v>
      </c>
      <c r="N3026" t="inlineStr">
        <is>
          <t>val</t>
        </is>
      </c>
      <c r="O3026">
        <f>HYPERLINK("3\1\marker_893_820151.png", "Ver Imagen")</f>
        <v/>
      </c>
      <c r="P3026">
        <f>HYPERLINK("NO\A-490\A-490__605.png", "Ver Imagen")</f>
        <v/>
      </c>
    </row>
    <row r="3027">
      <c r="A3027" t="n">
        <v>2550</v>
      </c>
      <c r="B3027" t="inlineStr">
        <is>
          <t>A-490__620</t>
        </is>
      </c>
      <c r="C3027" t="n">
        <v>37.4943058671</v>
      </c>
      <c r="D3027" t="n">
        <v>-7.26585388076</v>
      </c>
      <c r="E3027" t="n">
        <v>2</v>
      </c>
      <c r="F3027" t="n">
        <v>3</v>
      </c>
      <c r="G3027" t="n">
        <v>3</v>
      </c>
      <c r="J3027" t="inlineStr">
        <is>
          <t>Moda</t>
        </is>
      </c>
      <c r="K3027" t="n">
        <v>3</v>
      </c>
      <c r="L3027" t="n">
        <v>2.862</v>
      </c>
      <c r="M3027" t="n">
        <v>0</v>
      </c>
      <c r="N3027" t="inlineStr">
        <is>
          <t>train</t>
        </is>
      </c>
      <c r="O3027">
        <f>HYPERLINK("3\1\marker_534_820311.png", "Ver Imagen")</f>
        <v/>
      </c>
      <c r="P3027">
        <f>HYPERLINK("NO\A-490\A-490__620.png", "Ver Imagen")</f>
        <v/>
      </c>
    </row>
    <row r="3028">
      <c r="A3028" t="n">
        <v>2551</v>
      </c>
      <c r="B3028" t="inlineStr">
        <is>
          <t>A-490__624</t>
        </is>
      </c>
      <c r="C3028" t="n">
        <v>37.4947710611</v>
      </c>
      <c r="D3028" t="n">
        <v>-7.26664682923</v>
      </c>
      <c r="E3028" t="n">
        <v>2</v>
      </c>
      <c r="F3028" t="n">
        <v>3</v>
      </c>
      <c r="G3028" t="n">
        <v>3</v>
      </c>
      <c r="J3028" t="inlineStr">
        <is>
          <t>Moda</t>
        </is>
      </c>
      <c r="K3028" t="n">
        <v>3</v>
      </c>
      <c r="L3028" t="n">
        <v>3.146</v>
      </c>
      <c r="M3028" t="n">
        <v>0</v>
      </c>
      <c r="N3028" t="inlineStr">
        <is>
          <t>train</t>
        </is>
      </c>
      <c r="O3028">
        <f>HYPERLINK("3\1\marker_794_820353.png", "Ver Imagen")</f>
        <v/>
      </c>
      <c r="P3028">
        <f>HYPERLINK("NO\A-490\A-490__624.png", "Ver Imagen")</f>
        <v/>
      </c>
    </row>
    <row r="3029">
      <c r="A3029" t="n">
        <v>2552</v>
      </c>
      <c r="B3029" t="inlineStr">
        <is>
          <t>A-492__45</t>
        </is>
      </c>
      <c r="C3029" t="n">
        <v>37.2789670004</v>
      </c>
      <c r="D3029" t="n">
        <v>-6.99437034903</v>
      </c>
      <c r="E3029" t="n">
        <v>3</v>
      </c>
      <c r="F3029" t="n">
        <v>2</v>
      </c>
      <c r="G3029" t="n">
        <v>3</v>
      </c>
      <c r="J3029" t="inlineStr">
        <is>
          <t>Moda</t>
        </is>
      </c>
      <c r="K3029" t="n">
        <v>3</v>
      </c>
      <c r="L3029" t="n">
        <v>2.938</v>
      </c>
      <c r="M3029" t="n">
        <v>0</v>
      </c>
      <c r="N3029" t="inlineStr">
        <is>
          <t>train</t>
        </is>
      </c>
      <c r="O3029">
        <f>HYPERLINK("3\1\marker_651_822938.png", "Ver Imagen")</f>
        <v/>
      </c>
      <c r="P3029">
        <f>HYPERLINK("SE\A-492\A-492__45.png", "Ver Imagen")</f>
        <v/>
      </c>
    </row>
    <row r="3030">
      <c r="A3030" t="n">
        <v>2553</v>
      </c>
      <c r="B3030" t="inlineStr">
        <is>
          <t>A-492__47</t>
        </is>
      </c>
      <c r="C3030" t="n">
        <v>37.2791238022</v>
      </c>
      <c r="D3030" t="n">
        <v>-6.9949128761</v>
      </c>
      <c r="E3030" t="n">
        <v>3</v>
      </c>
      <c r="F3030" t="n">
        <v>2</v>
      </c>
      <c r="G3030" t="n">
        <v>3</v>
      </c>
      <c r="J3030" t="inlineStr">
        <is>
          <t>Moda</t>
        </is>
      </c>
      <c r="K3030" t="n">
        <v>3</v>
      </c>
      <c r="L3030" t="n">
        <v>2.862</v>
      </c>
      <c r="M3030" t="n">
        <v>0</v>
      </c>
      <c r="N3030" t="inlineStr">
        <is>
          <t>train</t>
        </is>
      </c>
      <c r="O3030">
        <f>HYPERLINK("3\1\marker_772_822963.png", "Ver Imagen")</f>
        <v/>
      </c>
      <c r="P3030">
        <f>HYPERLINK("SE\A-492\A-492__47.png", "Ver Imagen")</f>
        <v/>
      </c>
    </row>
    <row r="3031">
      <c r="A3031" t="n">
        <v>2554</v>
      </c>
      <c r="B3031" t="inlineStr">
        <is>
          <t>A-492__77</t>
        </is>
      </c>
      <c r="C3031" t="n">
        <v>37.2804904799</v>
      </c>
      <c r="D3031" t="n">
        <v>-7.00173115467</v>
      </c>
      <c r="E3031" t="n">
        <v>3</v>
      </c>
      <c r="F3031" t="n">
        <v>2</v>
      </c>
      <c r="G3031" t="n">
        <v>3</v>
      </c>
      <c r="J3031" t="inlineStr">
        <is>
          <t>Moda</t>
        </is>
      </c>
      <c r="K3031" t="n">
        <v>3</v>
      </c>
      <c r="L3031" t="n">
        <v>2.757</v>
      </c>
      <c r="M3031" t="n">
        <v>0</v>
      </c>
      <c r="N3031" t="inlineStr">
        <is>
          <t>train</t>
        </is>
      </c>
      <c r="O3031">
        <f>HYPERLINK("3\1\marker_749_823431.png", "Ver Imagen")</f>
        <v/>
      </c>
      <c r="P3031">
        <f>HYPERLINK("SE\A-492\A-492__77.png", "Ver Imagen")</f>
        <v/>
      </c>
    </row>
    <row r="3032">
      <c r="A3032" t="n">
        <v>2557</v>
      </c>
      <c r="B3032" t="inlineStr">
        <is>
          <t>A-492__87</t>
        </is>
      </c>
      <c r="C3032" t="n">
        <v>37.2806134547</v>
      </c>
      <c r="D3032" t="n">
        <v>-7.00426582549</v>
      </c>
      <c r="E3032" t="n">
        <v>3</v>
      </c>
      <c r="F3032" t="n">
        <v>2</v>
      </c>
      <c r="G3032" t="n">
        <v>3</v>
      </c>
      <c r="J3032" t="inlineStr">
        <is>
          <t>Moda</t>
        </is>
      </c>
      <c r="K3032" t="n">
        <v>3</v>
      </c>
      <c r="L3032" t="n">
        <v>2.682</v>
      </c>
      <c r="M3032" t="n">
        <v>0</v>
      </c>
      <c r="N3032" t="inlineStr">
        <is>
          <t>train</t>
        </is>
      </c>
      <c r="O3032">
        <f>HYPERLINK("3\1\marker_113_823579.png", "Ver Imagen")</f>
        <v/>
      </c>
      <c r="P3032">
        <f>HYPERLINK("SE\A-492\A-492__87.png", "Ver Imagen")</f>
        <v/>
      </c>
    </row>
    <row r="3033">
      <c r="A3033" t="n">
        <v>2558</v>
      </c>
      <c r="B3033" t="inlineStr">
        <is>
          <t>A-492__88</t>
        </is>
      </c>
      <c r="C3033" t="n">
        <v>37.280554469</v>
      </c>
      <c r="D3033" t="n">
        <v>-7.00450830112</v>
      </c>
      <c r="E3033" t="n">
        <v>2</v>
      </c>
      <c r="F3033" t="n">
        <v>3</v>
      </c>
      <c r="G3033" t="n">
        <v>3</v>
      </c>
      <c r="J3033" t="inlineStr">
        <is>
          <t>Moda</t>
        </is>
      </c>
      <c r="K3033" t="n">
        <v>3</v>
      </c>
      <c r="L3033" t="n">
        <v>2.737</v>
      </c>
      <c r="M3033" t="n">
        <v>0</v>
      </c>
      <c r="N3033" t="inlineStr">
        <is>
          <t>train</t>
        </is>
      </c>
      <c r="O3033">
        <f>HYPERLINK("3\1\marker_589_823593.png", "Ver Imagen")</f>
        <v/>
      </c>
      <c r="P3033">
        <f>HYPERLINK("SE\A-492\A-492__88.png", "Ver Imagen")</f>
        <v/>
      </c>
    </row>
    <row r="3034">
      <c r="A3034" t="n">
        <v>2559</v>
      </c>
      <c r="B3034" t="inlineStr">
        <is>
          <t>A-492__97</t>
        </is>
      </c>
      <c r="C3034" t="n">
        <v>37.2797772525</v>
      </c>
      <c r="D3034" t="n">
        <v>-7.00657223881</v>
      </c>
      <c r="E3034" t="n">
        <v>2</v>
      </c>
      <c r="F3034" t="n">
        <v>3</v>
      </c>
      <c r="G3034" t="n">
        <v>3</v>
      </c>
      <c r="J3034" t="inlineStr">
        <is>
          <t>Moda</t>
        </is>
      </c>
      <c r="K3034" t="n">
        <v>3</v>
      </c>
      <c r="L3034" t="n">
        <v>2.623</v>
      </c>
      <c r="M3034" t="n">
        <v>0</v>
      </c>
      <c r="N3034" t="inlineStr">
        <is>
          <t>train</t>
        </is>
      </c>
      <c r="O3034">
        <f>HYPERLINK("3\1\marker_882_823725.png", "Ver Imagen")</f>
        <v/>
      </c>
      <c r="P3034">
        <f>HYPERLINK("SE\A-492\A-492__97.png", "Ver Imagen")</f>
        <v/>
      </c>
    </row>
    <row r="3035">
      <c r="A3035" t="n">
        <v>2560</v>
      </c>
      <c r="B3035" t="inlineStr">
        <is>
          <t>A-492__108</t>
        </is>
      </c>
      <c r="C3035" t="n">
        <v>37.2787879541</v>
      </c>
      <c r="D3035" t="n">
        <v>-7.00910027879</v>
      </c>
      <c r="E3035" t="n">
        <v>2</v>
      </c>
      <c r="F3035" t="n">
        <v>3</v>
      </c>
      <c r="G3035" t="n">
        <v>3</v>
      </c>
      <c r="J3035" t="inlineStr">
        <is>
          <t>Moda</t>
        </is>
      </c>
      <c r="K3035" t="n">
        <v>3</v>
      </c>
      <c r="L3035" t="n">
        <v>3.115</v>
      </c>
      <c r="M3035" t="n">
        <v>0</v>
      </c>
      <c r="N3035" t="inlineStr">
        <is>
          <t>train</t>
        </is>
      </c>
      <c r="O3035">
        <f>HYPERLINK("3\1\marker_702_824269.png", "Ver Imagen")</f>
        <v/>
      </c>
      <c r="P3035">
        <f>HYPERLINK("SE\A-492\A-492__108.png", "Ver Imagen")</f>
        <v/>
      </c>
    </row>
    <row r="3036">
      <c r="A3036" t="n">
        <v>2561</v>
      </c>
      <c r="B3036" t="inlineStr">
        <is>
          <t>A-492__109</t>
        </is>
      </c>
      <c r="C3036" t="n">
        <v>37.2787004165</v>
      </c>
      <c r="D3036" t="n">
        <v>-7.00931463147</v>
      </c>
      <c r="E3036" t="n">
        <v>2</v>
      </c>
      <c r="F3036" t="n">
        <v>3</v>
      </c>
      <c r="G3036" t="n">
        <v>3</v>
      </c>
      <c r="J3036" t="inlineStr">
        <is>
          <t>Moda</t>
        </is>
      </c>
      <c r="K3036" t="n">
        <v>3</v>
      </c>
      <c r="L3036" t="n">
        <v>3.029</v>
      </c>
      <c r="M3036" t="n">
        <v>0</v>
      </c>
      <c r="N3036" t="inlineStr">
        <is>
          <t>test</t>
        </is>
      </c>
      <c r="O3036">
        <f>HYPERLINK("3\1\marker_849_824280.png", "Ver Imagen")</f>
        <v/>
      </c>
      <c r="P3036">
        <f>HYPERLINK("SE\A-492\A-492__109.png", "Ver Imagen")</f>
        <v/>
      </c>
    </row>
    <row r="3037">
      <c r="A3037" t="n">
        <v>2562</v>
      </c>
      <c r="B3037" t="inlineStr">
        <is>
          <t>A-492__113</t>
        </is>
      </c>
      <c r="C3037" t="n">
        <v>37.2782944377</v>
      </c>
      <c r="D3037" t="n">
        <v>-7.0101823527</v>
      </c>
      <c r="E3037" t="n">
        <v>2</v>
      </c>
      <c r="F3037" t="n">
        <v>3</v>
      </c>
      <c r="G3037" t="n">
        <v>3</v>
      </c>
      <c r="J3037" t="inlineStr">
        <is>
          <t>Moda</t>
        </is>
      </c>
      <c r="K3037" t="n">
        <v>3</v>
      </c>
      <c r="L3037" t="n">
        <v>3.025</v>
      </c>
      <c r="M3037" t="n">
        <v>0</v>
      </c>
      <c r="N3037" t="inlineStr">
        <is>
          <t>train</t>
        </is>
      </c>
      <c r="O3037">
        <f>HYPERLINK("3\1\marker_289_824324.png", "Ver Imagen")</f>
        <v/>
      </c>
      <c r="P3037">
        <f>HYPERLINK("SE\A-492\A-492__113.png", "Ver Imagen")</f>
        <v/>
      </c>
    </row>
    <row r="3038">
      <c r="A3038" t="n">
        <v>2563</v>
      </c>
      <c r="B3038" t="inlineStr">
        <is>
          <t>A-492__115</t>
        </is>
      </c>
      <c r="C3038" t="n">
        <v>37.2780607807</v>
      </c>
      <c r="D3038" t="n">
        <v>-7.01061763319</v>
      </c>
      <c r="E3038" t="n">
        <v>2</v>
      </c>
      <c r="F3038" t="n">
        <v>3</v>
      </c>
      <c r="G3038" t="n">
        <v>3</v>
      </c>
      <c r="J3038" t="inlineStr">
        <is>
          <t>Moda</t>
        </is>
      </c>
      <c r="K3038" t="n">
        <v>3</v>
      </c>
      <c r="L3038" t="n">
        <v>2.911</v>
      </c>
      <c r="M3038" t="n">
        <v>0</v>
      </c>
      <c r="N3038" t="inlineStr">
        <is>
          <t>train</t>
        </is>
      </c>
      <c r="O3038">
        <f>HYPERLINK("3\1\marker_148_824349.png", "Ver Imagen")</f>
        <v/>
      </c>
      <c r="P3038">
        <f>HYPERLINK("SE\A-492\A-492__115.png", "Ver Imagen")</f>
        <v/>
      </c>
    </row>
    <row r="3039">
      <c r="A3039" t="n">
        <v>2564</v>
      </c>
      <c r="B3039" t="inlineStr">
        <is>
          <t>A-492__117</t>
        </is>
      </c>
      <c r="C3039" t="n">
        <v>37.2778525034</v>
      </c>
      <c r="D3039" t="n">
        <v>-7.01099557156</v>
      </c>
      <c r="E3039" t="n">
        <v>2</v>
      </c>
      <c r="F3039" t="n">
        <v>3</v>
      </c>
      <c r="G3039" t="n">
        <v>3</v>
      </c>
      <c r="J3039" t="inlineStr">
        <is>
          <t>Moda</t>
        </is>
      </c>
      <c r="K3039" t="n">
        <v>3</v>
      </c>
      <c r="L3039" t="n">
        <v>2.945</v>
      </c>
      <c r="M3039" t="n">
        <v>0</v>
      </c>
      <c r="N3039" t="inlineStr">
        <is>
          <t>train</t>
        </is>
      </c>
      <c r="O3039">
        <f>HYPERLINK("3\1\marker_137_824372.png", "Ver Imagen")</f>
        <v/>
      </c>
      <c r="P3039">
        <f>HYPERLINK("SE\A-492\A-492__117.png", "Ver Imagen")</f>
        <v/>
      </c>
    </row>
    <row r="3040">
      <c r="A3040" t="n">
        <v>2565</v>
      </c>
      <c r="B3040" t="inlineStr">
        <is>
          <t>A-492__118</t>
        </is>
      </c>
      <c r="C3040" t="n">
        <v>37.2777354132</v>
      </c>
      <c r="D3040" t="n">
        <v>-7.01120779867</v>
      </c>
      <c r="E3040" t="n">
        <v>2</v>
      </c>
      <c r="F3040" t="n">
        <v>3</v>
      </c>
      <c r="G3040" t="n">
        <v>3</v>
      </c>
      <c r="J3040" t="inlineStr">
        <is>
          <t>Moda</t>
        </is>
      </c>
      <c r="K3040" t="n">
        <v>3</v>
      </c>
      <c r="L3040" t="n">
        <v>2.906</v>
      </c>
      <c r="M3040" t="n">
        <v>0</v>
      </c>
      <c r="N3040" t="inlineStr">
        <is>
          <t>train</t>
        </is>
      </c>
      <c r="O3040">
        <f>HYPERLINK("3\1\marker_937_824400.png", "Ver Imagen")</f>
        <v/>
      </c>
      <c r="P3040">
        <f>HYPERLINK("SE\A-492\A-492__118.png", "Ver Imagen")</f>
        <v/>
      </c>
    </row>
    <row r="3041">
      <c r="A3041" t="n">
        <v>2566</v>
      </c>
      <c r="B3041" t="inlineStr">
        <is>
          <t>A-492__119</t>
        </is>
      </c>
      <c r="C3041" t="n">
        <v>37.2776066531</v>
      </c>
      <c r="D3041" t="n">
        <v>-7.01144215536</v>
      </c>
      <c r="E3041" t="n">
        <v>2</v>
      </c>
      <c r="F3041" t="n">
        <v>3</v>
      </c>
      <c r="G3041" t="n">
        <v>3</v>
      </c>
      <c r="J3041" t="inlineStr">
        <is>
          <t>Moda</t>
        </is>
      </c>
      <c r="K3041" t="n">
        <v>3</v>
      </c>
      <c r="L3041" t="n">
        <v>2.878</v>
      </c>
      <c r="M3041" t="n">
        <v>0</v>
      </c>
      <c r="N3041" t="inlineStr">
        <is>
          <t>train</t>
        </is>
      </c>
      <c r="O3041">
        <f>HYPERLINK("3\1\marker_740_824413.png", "Ver Imagen")</f>
        <v/>
      </c>
      <c r="P3041">
        <f>HYPERLINK("SE\A-492\A-492__119.png", "Ver Imagen")</f>
        <v/>
      </c>
    </row>
    <row r="3042">
      <c r="A3042" t="n">
        <v>2567</v>
      </c>
      <c r="B3042" t="inlineStr">
        <is>
          <t>A-492__121</t>
        </is>
      </c>
      <c r="C3042" t="n">
        <v>37.2773826562</v>
      </c>
      <c r="D3042" t="n">
        <v>-7.01185512675</v>
      </c>
      <c r="E3042" t="n">
        <v>2</v>
      </c>
      <c r="F3042" t="n">
        <v>3</v>
      </c>
      <c r="G3042" t="n">
        <v>3</v>
      </c>
      <c r="J3042" t="inlineStr">
        <is>
          <t>Moda</t>
        </is>
      </c>
      <c r="K3042" t="n">
        <v>3</v>
      </c>
      <c r="L3042" t="n">
        <v>3.268</v>
      </c>
      <c r="M3042" t="n">
        <v>0</v>
      </c>
      <c r="N3042" t="inlineStr">
        <is>
          <t>train</t>
        </is>
      </c>
      <c r="O3042">
        <f>HYPERLINK("3\1\marker_431_824432.png", "Ver Imagen")</f>
        <v/>
      </c>
      <c r="P3042">
        <f>HYPERLINK("SE\A-492\A-492__121.png", "Ver Imagen")</f>
        <v/>
      </c>
    </row>
    <row r="3043">
      <c r="A3043" t="n">
        <v>2568</v>
      </c>
      <c r="B3043" t="inlineStr">
        <is>
          <t>A-492__123</t>
        </is>
      </c>
      <c r="C3043" t="n">
        <v>37.2771657863</v>
      </c>
      <c r="D3043" t="n">
        <v>-7.01224789913</v>
      </c>
      <c r="E3043" t="n">
        <v>3</v>
      </c>
      <c r="F3043" t="n">
        <v>3</v>
      </c>
      <c r="G3043" t="n">
        <v>4</v>
      </c>
      <c r="J3043" t="inlineStr">
        <is>
          <t>Moda</t>
        </is>
      </c>
      <c r="K3043" t="n">
        <v>3</v>
      </c>
      <c r="L3043" t="n">
        <v>2.874</v>
      </c>
      <c r="M3043" t="n">
        <v>0</v>
      </c>
      <c r="N3043" t="inlineStr">
        <is>
          <t>test</t>
        </is>
      </c>
      <c r="O3043">
        <f>HYPERLINK("3\1\marker_234_824457.png", "Ver Imagen")</f>
        <v/>
      </c>
      <c r="P3043">
        <f>HYPERLINK("SE\A-492\A-492__123.png", "Ver Imagen")</f>
        <v/>
      </c>
    </row>
    <row r="3044">
      <c r="A3044" t="n">
        <v>2569</v>
      </c>
      <c r="B3044" t="inlineStr">
        <is>
          <t>A-492__125</t>
        </is>
      </c>
      <c r="C3044" t="n">
        <v>37.2769269834</v>
      </c>
      <c r="D3044" t="n">
        <v>-7.01268334542</v>
      </c>
      <c r="E3044" t="n">
        <v>2</v>
      </c>
      <c r="F3044" t="n">
        <v>3</v>
      </c>
      <c r="G3044" t="n">
        <v>3</v>
      </c>
      <c r="J3044" t="inlineStr">
        <is>
          <t>Moda</t>
        </is>
      </c>
      <c r="K3044" t="n">
        <v>3</v>
      </c>
      <c r="L3044" t="n">
        <v>2.893</v>
      </c>
      <c r="M3044" t="n">
        <v>0</v>
      </c>
      <c r="N3044" t="inlineStr">
        <is>
          <t>train</t>
        </is>
      </c>
      <c r="O3044">
        <f>HYPERLINK("3\1\marker_106_824477.png", "Ver Imagen")</f>
        <v/>
      </c>
      <c r="P3044">
        <f>HYPERLINK("SE\A-492\A-492__125.png", "Ver Imagen")</f>
        <v/>
      </c>
    </row>
    <row r="3045">
      <c r="A3045" t="n">
        <v>2570</v>
      </c>
      <c r="B3045" t="inlineStr">
        <is>
          <t>A-492__128</t>
        </is>
      </c>
      <c r="C3045" t="n">
        <v>37.2765965569</v>
      </c>
      <c r="D3045" t="n">
        <v>-7.01330981151</v>
      </c>
      <c r="E3045" t="n">
        <v>2</v>
      </c>
      <c r="F3045" t="n">
        <v>3</v>
      </c>
      <c r="G3045" t="n">
        <v>3</v>
      </c>
      <c r="J3045" t="inlineStr">
        <is>
          <t>Moda</t>
        </is>
      </c>
      <c r="K3045" t="n">
        <v>3</v>
      </c>
      <c r="L3045" t="n">
        <v>2.815</v>
      </c>
      <c r="M3045" t="n">
        <v>0</v>
      </c>
      <c r="N3045" t="inlineStr">
        <is>
          <t>train</t>
        </is>
      </c>
      <c r="O3045">
        <f>HYPERLINK("3\1\marker_826_824513.png", "Ver Imagen")</f>
        <v/>
      </c>
      <c r="P3045">
        <f>HYPERLINK("SE\A-492\A-492__128.png", "Ver Imagen")</f>
        <v/>
      </c>
    </row>
    <row r="3046">
      <c r="A3046" t="n">
        <v>2571</v>
      </c>
      <c r="B3046" t="inlineStr">
        <is>
          <t>A-492__136</t>
        </is>
      </c>
      <c r="C3046" t="n">
        <v>37.2759296849</v>
      </c>
      <c r="D3046" t="n">
        <v>-7.01508468679</v>
      </c>
      <c r="E3046" t="n">
        <v>2</v>
      </c>
      <c r="F3046" t="n">
        <v>3</v>
      </c>
      <c r="G3046" t="n">
        <v>3</v>
      </c>
      <c r="J3046" t="inlineStr">
        <is>
          <t>Moda</t>
        </is>
      </c>
      <c r="K3046" t="n">
        <v>3</v>
      </c>
      <c r="L3046" t="n">
        <v>2.911</v>
      </c>
      <c r="M3046" t="n">
        <v>0</v>
      </c>
      <c r="N3046" t="inlineStr">
        <is>
          <t>train</t>
        </is>
      </c>
      <c r="O3046">
        <f>HYPERLINK("3\1\marker_234_824617.png", "Ver Imagen")</f>
        <v/>
      </c>
      <c r="P3046">
        <f>HYPERLINK("SE\A-492\A-492__136.png", "Ver Imagen")</f>
        <v/>
      </c>
    </row>
    <row r="3047">
      <c r="A3047" t="n">
        <v>2572</v>
      </c>
      <c r="B3047" t="inlineStr">
        <is>
          <t>A-492__140</t>
        </is>
      </c>
      <c r="C3047" t="n">
        <v>37.2755097608</v>
      </c>
      <c r="D3047" t="n">
        <v>-7.01581115119</v>
      </c>
      <c r="E3047" t="n">
        <v>2</v>
      </c>
      <c r="F3047" t="n">
        <v>3</v>
      </c>
      <c r="G3047" t="n">
        <v>3</v>
      </c>
      <c r="J3047" t="inlineStr">
        <is>
          <t>Moda</t>
        </is>
      </c>
      <c r="K3047" t="n">
        <v>3</v>
      </c>
      <c r="L3047" t="n">
        <v>2.808</v>
      </c>
      <c r="M3047" t="n">
        <v>0</v>
      </c>
      <c r="N3047" t="inlineStr">
        <is>
          <t>train</t>
        </is>
      </c>
      <c r="O3047">
        <f>HYPERLINK("3\1\marker_994_824673.png", "Ver Imagen")</f>
        <v/>
      </c>
      <c r="P3047">
        <f>HYPERLINK("SE\A-492\A-492__140.png", "Ver Imagen")</f>
        <v/>
      </c>
    </row>
    <row r="3048">
      <c r="A3048" t="n">
        <v>2576</v>
      </c>
      <c r="B3048" t="inlineStr">
        <is>
          <t>A-492__273</t>
        </is>
      </c>
      <c r="C3048" t="n">
        <v>37.2878834655</v>
      </c>
      <c r="D3048" t="n">
        <v>-7.04237649181</v>
      </c>
      <c r="E3048" t="n">
        <v>2</v>
      </c>
      <c r="F3048" t="n">
        <v>3</v>
      </c>
      <c r="G3048" t="n">
        <v>3</v>
      </c>
      <c r="J3048" t="inlineStr">
        <is>
          <t>Moda</t>
        </is>
      </c>
      <c r="K3048" t="n">
        <v>3</v>
      </c>
      <c r="L3048" t="n">
        <v>2.916</v>
      </c>
      <c r="M3048" t="n">
        <v>0</v>
      </c>
      <c r="N3048" t="inlineStr">
        <is>
          <t>train</t>
        </is>
      </c>
      <c r="O3048">
        <f>HYPERLINK("3\1\marker_142_836827.png", "Ver Imagen")</f>
        <v/>
      </c>
      <c r="P3048">
        <f>HYPERLINK("SE\A-492\A-492__273.png", "Ver Imagen")</f>
        <v/>
      </c>
    </row>
    <row r="3049">
      <c r="A3049" t="n">
        <v>2577</v>
      </c>
      <c r="B3049" t="inlineStr">
        <is>
          <t>A-492__286</t>
        </is>
      </c>
      <c r="C3049" t="n">
        <v>37.289779324</v>
      </c>
      <c r="D3049" t="n">
        <v>-7.04459986724</v>
      </c>
      <c r="E3049" t="n">
        <v>2</v>
      </c>
      <c r="F3049" t="n">
        <v>3</v>
      </c>
      <c r="G3049" t="n">
        <v>3</v>
      </c>
      <c r="J3049" t="inlineStr">
        <is>
          <t>Moda</t>
        </is>
      </c>
      <c r="K3049" t="n">
        <v>3</v>
      </c>
      <c r="L3049" t="n">
        <v>2.979</v>
      </c>
      <c r="M3049" t="n">
        <v>0</v>
      </c>
      <c r="N3049" t="inlineStr">
        <is>
          <t>train</t>
        </is>
      </c>
      <c r="O3049">
        <f>HYPERLINK("3\1\marker_606_837369.png", "Ver Imagen")</f>
        <v/>
      </c>
      <c r="P3049">
        <f>HYPERLINK("SE\A-492\A-492__286.png", "Ver Imagen")</f>
        <v/>
      </c>
    </row>
    <row r="3050">
      <c r="A3050" t="n">
        <v>2578</v>
      </c>
      <c r="B3050" t="inlineStr">
        <is>
          <t>A-492__321</t>
        </is>
      </c>
      <c r="C3050" t="n">
        <v>37.2954926517</v>
      </c>
      <c r="D3050" t="n">
        <v>-7.04921341109</v>
      </c>
      <c r="E3050" t="n">
        <v>2</v>
      </c>
      <c r="F3050" t="n">
        <v>3</v>
      </c>
      <c r="G3050" t="n">
        <v>3</v>
      </c>
      <c r="J3050" t="inlineStr">
        <is>
          <t>Moda</t>
        </is>
      </c>
      <c r="K3050" t="n">
        <v>3</v>
      </c>
      <c r="L3050" t="n">
        <v>3.082</v>
      </c>
      <c r="M3050" t="n">
        <v>0</v>
      </c>
      <c r="N3050" t="inlineStr">
        <is>
          <t>train</t>
        </is>
      </c>
      <c r="O3050">
        <f>HYPERLINK("3\1\marker_542_837961.png", "Ver Imagen")</f>
        <v/>
      </c>
      <c r="P3050">
        <f>HYPERLINK("SE\A-492\A-492__321.png", "Ver Imagen")</f>
        <v/>
      </c>
    </row>
    <row r="3051">
      <c r="A3051" t="n">
        <v>2579</v>
      </c>
      <c r="B3051" t="inlineStr">
        <is>
          <t>A-492__357</t>
        </is>
      </c>
      <c r="C3051" t="n">
        <v>37.3003968206</v>
      </c>
      <c r="D3051" t="n">
        <v>-7.05568820518</v>
      </c>
      <c r="E3051" t="n">
        <v>2</v>
      </c>
      <c r="F3051" t="n">
        <v>3</v>
      </c>
      <c r="G3051" t="n">
        <v>3</v>
      </c>
      <c r="J3051" t="inlineStr">
        <is>
          <t>Moda</t>
        </is>
      </c>
      <c r="K3051" t="n">
        <v>3</v>
      </c>
      <c r="L3051" t="n">
        <v>2.873</v>
      </c>
      <c r="M3051" t="n">
        <v>0</v>
      </c>
      <c r="N3051" t="inlineStr">
        <is>
          <t>train</t>
        </is>
      </c>
      <c r="O3051">
        <f>HYPERLINK("3\1\marker_849_838595.png", "Ver Imagen")</f>
        <v/>
      </c>
      <c r="P3051">
        <f>HYPERLINK("SE\A-492\A-492__357.png", "Ver Imagen")</f>
        <v/>
      </c>
    </row>
    <row r="3052">
      <c r="A3052" t="n">
        <v>2580</v>
      </c>
      <c r="B3052" t="inlineStr">
        <is>
          <t>A-492__358</t>
        </is>
      </c>
      <c r="C3052" t="n">
        <v>37.3005465383</v>
      </c>
      <c r="D3052" t="n">
        <v>-7.05582852906</v>
      </c>
      <c r="E3052" t="n">
        <v>2</v>
      </c>
      <c r="F3052" t="n">
        <v>3</v>
      </c>
      <c r="G3052" t="n">
        <v>3</v>
      </c>
      <c r="J3052" t="inlineStr">
        <is>
          <t>Moda</t>
        </is>
      </c>
      <c r="K3052" t="n">
        <v>3</v>
      </c>
      <c r="L3052" t="n">
        <v>3.3</v>
      </c>
      <c r="M3052" t="n">
        <v>0</v>
      </c>
      <c r="N3052" t="inlineStr">
        <is>
          <t>train</t>
        </is>
      </c>
      <c r="O3052">
        <f>HYPERLINK("3\1\marker_377_838605.png", "Ver Imagen")</f>
        <v/>
      </c>
      <c r="P3052">
        <f>HYPERLINK("SE\A-492\A-492__358.png", "Ver Imagen")</f>
        <v/>
      </c>
    </row>
    <row r="3053">
      <c r="A3053" t="n">
        <v>2582</v>
      </c>
      <c r="B3053" t="inlineStr">
        <is>
          <t>A-495R__19</t>
        </is>
      </c>
      <c r="C3053" t="n">
        <v>37.4485266077</v>
      </c>
      <c r="D3053" t="n">
        <v>-7.10961518538</v>
      </c>
      <c r="E3053" t="n">
        <v>2</v>
      </c>
      <c r="F3053" t="n">
        <v>3</v>
      </c>
      <c r="G3053" t="n">
        <v>3</v>
      </c>
      <c r="J3053" t="inlineStr">
        <is>
          <t>Moda</t>
        </is>
      </c>
      <c r="K3053" t="n">
        <v>3</v>
      </c>
      <c r="L3053" t="n">
        <v>2.542</v>
      </c>
      <c r="M3053" t="n">
        <v>0</v>
      </c>
      <c r="N3053" t="inlineStr">
        <is>
          <t>val</t>
        </is>
      </c>
      <c r="O3053">
        <f>HYPERLINK("3\1\marker_147_936741.png", "Ver Imagen")</f>
        <v/>
      </c>
      <c r="P3053">
        <f>HYPERLINK("NE\A-495R\A-495R__19.png", "Ver Imagen")</f>
        <v/>
      </c>
    </row>
    <row r="3054">
      <c r="A3054" t="n">
        <v>2583</v>
      </c>
      <c r="B3054" t="inlineStr">
        <is>
          <t>A-495R__15</t>
        </is>
      </c>
      <c r="C3054" t="n">
        <v>37.4478140853</v>
      </c>
      <c r="D3054" t="n">
        <v>-7.10918245248</v>
      </c>
      <c r="E3054" t="n">
        <v>2</v>
      </c>
      <c r="F3054" t="n">
        <v>3</v>
      </c>
      <c r="G3054" t="n">
        <v>3</v>
      </c>
      <c r="J3054" t="inlineStr">
        <is>
          <t>Moda</t>
        </is>
      </c>
      <c r="K3054" t="n">
        <v>3</v>
      </c>
      <c r="L3054" t="n">
        <v>2.965</v>
      </c>
      <c r="M3054" t="n">
        <v>0</v>
      </c>
      <c r="N3054" t="inlineStr">
        <is>
          <t>train</t>
        </is>
      </c>
      <c r="O3054">
        <f>HYPERLINK("3\1\marker_263_936851.png", "Ver Imagen")</f>
        <v/>
      </c>
      <c r="P3054">
        <f>HYPERLINK("NE\A-495R\A-495R__15.png", "Ver Imagen")</f>
        <v/>
      </c>
    </row>
    <row r="3055">
      <c r="A3055" t="n">
        <v>2584</v>
      </c>
      <c r="B3055" t="inlineStr">
        <is>
          <t>A-495R__14</t>
        </is>
      </c>
      <c r="C3055" t="n">
        <v>37.4476152561</v>
      </c>
      <c r="D3055" t="n">
        <v>-7.10903686063</v>
      </c>
      <c r="E3055" t="n">
        <v>2</v>
      </c>
      <c r="F3055" t="n">
        <v>3</v>
      </c>
      <c r="G3055" t="n">
        <v>3</v>
      </c>
      <c r="J3055" t="inlineStr">
        <is>
          <t>Moda</t>
        </is>
      </c>
      <c r="K3055" t="n">
        <v>3</v>
      </c>
      <c r="L3055" t="n">
        <v>3.361</v>
      </c>
      <c r="M3055" t="n">
        <v>0</v>
      </c>
      <c r="N3055" t="inlineStr">
        <is>
          <t>train</t>
        </is>
      </c>
      <c r="O3055">
        <f>HYPERLINK("3\1\marker_825_936865.png", "Ver Imagen")</f>
        <v/>
      </c>
      <c r="P3055">
        <f>HYPERLINK("NE\A-495R\A-495R__14.png", "Ver Imagen")</f>
        <v/>
      </c>
    </row>
    <row r="3056">
      <c r="A3056" t="n">
        <v>2585</v>
      </c>
      <c r="B3056" t="inlineStr">
        <is>
          <t>A-495R__13</t>
        </is>
      </c>
      <c r="C3056" t="n">
        <v>37.4474470561</v>
      </c>
      <c r="D3056" t="n">
        <v>-7.10891486882</v>
      </c>
      <c r="E3056" t="n">
        <v>2</v>
      </c>
      <c r="F3056" t="n">
        <v>3</v>
      </c>
      <c r="G3056" t="n">
        <v>3</v>
      </c>
      <c r="J3056" t="inlineStr">
        <is>
          <t>Moda</t>
        </is>
      </c>
      <c r="K3056" t="n">
        <v>3</v>
      </c>
      <c r="L3056" t="n">
        <v>3.003</v>
      </c>
      <c r="M3056" t="n">
        <v>0</v>
      </c>
      <c r="N3056" t="inlineStr">
        <is>
          <t>train</t>
        </is>
      </c>
      <c r="O3056">
        <f>HYPERLINK("3\1\marker_503_936874.png", "Ver Imagen")</f>
        <v/>
      </c>
      <c r="P3056">
        <f>HYPERLINK("NE\A-495R\A-495R__13.png", "Ver Imagen")</f>
        <v/>
      </c>
    </row>
    <row r="3057">
      <c r="A3057" t="n">
        <v>2586</v>
      </c>
      <c r="B3057" t="inlineStr">
        <is>
          <t>A-495R__12</t>
        </is>
      </c>
      <c r="C3057" t="n">
        <v>37.4472774363</v>
      </c>
      <c r="D3057" t="n">
        <v>-7.10878937568</v>
      </c>
      <c r="E3057" t="n">
        <v>2</v>
      </c>
      <c r="F3057" t="n">
        <v>3</v>
      </c>
      <c r="G3057" t="n">
        <v>3</v>
      </c>
      <c r="J3057" t="inlineStr">
        <is>
          <t>Moda</t>
        </is>
      </c>
      <c r="K3057" t="n">
        <v>3</v>
      </c>
      <c r="L3057" t="n">
        <v>2.746</v>
      </c>
      <c r="M3057" t="n">
        <v>0</v>
      </c>
      <c r="N3057" t="inlineStr">
        <is>
          <t>train</t>
        </is>
      </c>
      <c r="O3057">
        <f>HYPERLINK("3\1\marker_845_936898.png", "Ver Imagen")</f>
        <v/>
      </c>
      <c r="P3057">
        <f>HYPERLINK("NE\A-495R\A-495R__12.png", "Ver Imagen")</f>
        <v/>
      </c>
    </row>
    <row r="3058">
      <c r="A3058" t="n">
        <v>2587</v>
      </c>
      <c r="B3058" t="inlineStr">
        <is>
          <t>A-495R__11</t>
        </is>
      </c>
      <c r="C3058" t="n">
        <v>37.4471408008</v>
      </c>
      <c r="D3058" t="n">
        <v>-7.10865388001</v>
      </c>
      <c r="E3058" t="n">
        <v>2</v>
      </c>
      <c r="F3058" t="n">
        <v>3</v>
      </c>
      <c r="G3058" t="n">
        <v>3</v>
      </c>
      <c r="J3058" t="inlineStr">
        <is>
          <t>Moda</t>
        </is>
      </c>
      <c r="K3058" t="n">
        <v>3</v>
      </c>
      <c r="L3058" t="n">
        <v>2.787</v>
      </c>
      <c r="M3058" t="n">
        <v>0</v>
      </c>
      <c r="N3058" t="inlineStr">
        <is>
          <t>train</t>
        </is>
      </c>
      <c r="O3058">
        <f>HYPERLINK("3\1\marker_697_936909.png", "Ver Imagen")</f>
        <v/>
      </c>
      <c r="P3058">
        <f>HYPERLINK("NE\A-495R\A-495R__11.png", "Ver Imagen")</f>
        <v/>
      </c>
    </row>
    <row r="3059">
      <c r="A3059" t="n">
        <v>2588</v>
      </c>
      <c r="B3059" t="inlineStr">
        <is>
          <t>A-495R__10</t>
        </is>
      </c>
      <c r="C3059" t="n">
        <v>37.4470075412</v>
      </c>
      <c r="D3059" t="n">
        <v>-7.10843761993</v>
      </c>
      <c r="E3059" t="n">
        <v>2</v>
      </c>
      <c r="F3059" t="n">
        <v>3</v>
      </c>
      <c r="G3059" t="n">
        <v>3</v>
      </c>
      <c r="J3059" t="inlineStr">
        <is>
          <t>Moda</t>
        </is>
      </c>
      <c r="K3059" t="n">
        <v>3</v>
      </c>
      <c r="L3059" t="n">
        <v>2.809</v>
      </c>
      <c r="M3059" t="n">
        <v>0</v>
      </c>
      <c r="N3059" t="inlineStr">
        <is>
          <t>train</t>
        </is>
      </c>
      <c r="O3059">
        <f>HYPERLINK("3\1\marker_886_936926.png", "Ver Imagen")</f>
        <v/>
      </c>
      <c r="P3059">
        <f>HYPERLINK("NE\A-495R\A-495R__10.png", "Ver Imagen")</f>
        <v/>
      </c>
    </row>
    <row r="3060">
      <c r="A3060" t="n">
        <v>2589</v>
      </c>
      <c r="B3060" t="inlineStr">
        <is>
          <t>A-497__90</t>
        </is>
      </c>
      <c r="C3060" t="n">
        <v>37.2696191909</v>
      </c>
      <c r="D3060" t="n">
        <v>-6.9781350029</v>
      </c>
      <c r="E3060" t="n">
        <v>3</v>
      </c>
      <c r="F3060" t="n">
        <v>4</v>
      </c>
      <c r="G3060" t="n">
        <v>3</v>
      </c>
      <c r="J3060" t="inlineStr">
        <is>
          <t>Moda</t>
        </is>
      </c>
      <c r="K3060" t="n">
        <v>3</v>
      </c>
      <c r="L3060" t="n">
        <v>2.841</v>
      </c>
      <c r="M3060" t="n">
        <v>0</v>
      </c>
      <c r="N3060" t="inlineStr">
        <is>
          <t>train</t>
        </is>
      </c>
      <c r="O3060">
        <f>HYPERLINK("3\1\marker_558_937311.png", "Ver Imagen")</f>
        <v/>
      </c>
      <c r="P3060">
        <f>HYPERLINK("SE\A-497\A-497__90.png", "Ver Imagen")</f>
        <v/>
      </c>
    </row>
    <row r="3061">
      <c r="A3061" t="n">
        <v>2590</v>
      </c>
      <c r="B3061" t="inlineStr">
        <is>
          <t>A-497__63</t>
        </is>
      </c>
      <c r="C3061" t="n">
        <v>37.2681097233</v>
      </c>
      <c r="D3061" t="n">
        <v>-6.97152780355</v>
      </c>
      <c r="E3061" t="n">
        <v>3</v>
      </c>
      <c r="F3061" t="n">
        <v>4</v>
      </c>
      <c r="G3061" t="n">
        <v>3</v>
      </c>
      <c r="J3061" t="inlineStr">
        <is>
          <t>Moda</t>
        </is>
      </c>
      <c r="K3061" t="n">
        <v>3</v>
      </c>
      <c r="L3061" t="n">
        <v>2.913</v>
      </c>
      <c r="M3061" t="n">
        <v>0</v>
      </c>
      <c r="N3061" t="inlineStr">
        <is>
          <t>train</t>
        </is>
      </c>
      <c r="O3061">
        <f>HYPERLINK("3\1\marker_744_938226.png", "Ver Imagen")</f>
        <v/>
      </c>
      <c r="P3061">
        <f>HYPERLINK("SE\A-497\A-497__63.png", "Ver Imagen")</f>
        <v/>
      </c>
    </row>
    <row r="3062">
      <c r="A3062" t="n">
        <v>2591</v>
      </c>
      <c r="B3062" t="inlineStr">
        <is>
          <t>A-497__62</t>
        </is>
      </c>
      <c r="C3062" t="n">
        <v>37.2680820975</v>
      </c>
      <c r="D3062" t="n">
        <v>-6.97134723109</v>
      </c>
      <c r="E3062" t="n">
        <v>3</v>
      </c>
      <c r="F3062" t="n">
        <v>4</v>
      </c>
      <c r="G3062" t="n">
        <v>3</v>
      </c>
      <c r="J3062" t="inlineStr">
        <is>
          <t>Moda</t>
        </is>
      </c>
      <c r="K3062" t="n">
        <v>3</v>
      </c>
      <c r="L3062" t="n">
        <v>3.132</v>
      </c>
      <c r="M3062" t="n">
        <v>0</v>
      </c>
      <c r="N3062" t="inlineStr">
        <is>
          <t>train</t>
        </is>
      </c>
      <c r="O3062">
        <f>HYPERLINK("3\1\marker_482_938242.png", "Ver Imagen")</f>
        <v/>
      </c>
      <c r="P3062">
        <f>HYPERLINK("SE\A-497\A-497__62.png", "Ver Imagen")</f>
        <v/>
      </c>
    </row>
    <row r="3063">
      <c r="A3063" t="n">
        <v>2592</v>
      </c>
      <c r="B3063" t="inlineStr">
        <is>
          <t>A-497__61</t>
        </is>
      </c>
      <c r="C3063" t="n">
        <v>37.2680438328</v>
      </c>
      <c r="D3063" t="n">
        <v>-6.97109074537</v>
      </c>
      <c r="E3063" t="n">
        <v>3</v>
      </c>
      <c r="F3063" t="n">
        <v>4</v>
      </c>
      <c r="G3063" t="n">
        <v>3</v>
      </c>
      <c r="J3063" t="inlineStr">
        <is>
          <t>Moda</t>
        </is>
      </c>
      <c r="K3063" t="n">
        <v>3</v>
      </c>
      <c r="L3063" t="n">
        <v>3.235</v>
      </c>
      <c r="M3063" t="n">
        <v>0</v>
      </c>
      <c r="N3063" t="inlineStr">
        <is>
          <t>train</t>
        </is>
      </c>
      <c r="O3063">
        <f>HYPERLINK("3\1\marker_152_938251.png", "Ver Imagen")</f>
        <v/>
      </c>
      <c r="P3063">
        <f>HYPERLINK("SE\A-497\A-497__61.png", "Ver Imagen")</f>
        <v/>
      </c>
    </row>
    <row r="3064">
      <c r="A3064" t="n">
        <v>2593</v>
      </c>
      <c r="B3064" t="inlineStr">
        <is>
          <t>A-497__27</t>
        </is>
      </c>
      <c r="C3064" t="n">
        <v>37.2674882904</v>
      </c>
      <c r="D3064" t="n">
        <v>-6.96251427022</v>
      </c>
      <c r="E3064" t="n">
        <v>2</v>
      </c>
      <c r="F3064" t="n">
        <v>3</v>
      </c>
      <c r="G3064" t="n">
        <v>3</v>
      </c>
      <c r="J3064" t="inlineStr">
        <is>
          <t>Moda</t>
        </is>
      </c>
      <c r="K3064" t="n">
        <v>3</v>
      </c>
      <c r="L3064" t="n">
        <v>3.122</v>
      </c>
      <c r="M3064" t="n">
        <v>0</v>
      </c>
      <c r="N3064" t="inlineStr">
        <is>
          <t>train</t>
        </is>
      </c>
      <c r="O3064">
        <f>HYPERLINK("3\1\marker_709_940902.png", "Ver Imagen")</f>
        <v/>
      </c>
      <c r="P3064">
        <f>HYPERLINK("SE\A-497\A-497__27.png", "Ver Imagen")</f>
        <v/>
      </c>
    </row>
    <row r="3065">
      <c r="A3065" t="n">
        <v>2594</v>
      </c>
      <c r="B3065" t="inlineStr">
        <is>
          <t>A-497__17</t>
        </is>
      </c>
      <c r="C3065" t="n">
        <v>37.2672836332</v>
      </c>
      <c r="D3065" t="n">
        <v>-6.96000160358</v>
      </c>
      <c r="E3065" t="n">
        <v>2</v>
      </c>
      <c r="F3065" t="n">
        <v>3</v>
      </c>
      <c r="G3065" t="n">
        <v>3</v>
      </c>
      <c r="J3065" t="inlineStr">
        <is>
          <t>Moda</t>
        </is>
      </c>
      <c r="K3065" t="n">
        <v>3</v>
      </c>
      <c r="L3065" t="n">
        <v>2.894</v>
      </c>
      <c r="M3065" t="n">
        <v>0</v>
      </c>
      <c r="N3065" t="inlineStr">
        <is>
          <t>train</t>
        </is>
      </c>
      <c r="O3065">
        <f>HYPERLINK("3\1\marker_236_943812.png", "Ver Imagen")</f>
        <v/>
      </c>
      <c r="P3065">
        <f>HYPERLINK("SE\A-497\A-497__17.png", "Ver Imagen")</f>
        <v/>
      </c>
    </row>
    <row r="3066">
      <c r="A3066" t="n">
        <v>2595</v>
      </c>
      <c r="B3066" t="inlineStr">
        <is>
          <t>A-497__11</t>
        </is>
      </c>
      <c r="C3066" t="n">
        <v>37.2669917322</v>
      </c>
      <c r="D3066" t="n">
        <v>-6.9585729871</v>
      </c>
      <c r="E3066" t="n">
        <v>2</v>
      </c>
      <c r="F3066" t="n">
        <v>3</v>
      </c>
      <c r="G3066" t="n">
        <v>3</v>
      </c>
      <c r="J3066" t="inlineStr">
        <is>
          <t>Moda</t>
        </is>
      </c>
      <c r="K3066" t="n">
        <v>3</v>
      </c>
      <c r="L3066" t="n">
        <v>2.879</v>
      </c>
      <c r="M3066" t="n">
        <v>0</v>
      </c>
      <c r="N3066" t="inlineStr">
        <is>
          <t>train</t>
        </is>
      </c>
      <c r="O3066">
        <f>HYPERLINK("3\1\marker_253_943964.png", "Ver Imagen")</f>
        <v/>
      </c>
      <c r="P3066">
        <f>HYPERLINK("SE\A-497\A-497__11.png", "Ver Imagen")</f>
        <v/>
      </c>
    </row>
    <row r="3067">
      <c r="A3067" t="n">
        <v>2596</v>
      </c>
      <c r="B3067" t="inlineStr">
        <is>
          <t>A-497__10</t>
        </is>
      </c>
      <c r="C3067" t="n">
        <v>37.2668950719</v>
      </c>
      <c r="D3067" t="n">
        <v>-6.95835431409</v>
      </c>
      <c r="E3067" t="n">
        <v>3</v>
      </c>
      <c r="F3067" t="n">
        <v>4</v>
      </c>
      <c r="G3067" t="n">
        <v>3</v>
      </c>
      <c r="J3067" t="inlineStr">
        <is>
          <t>Moda</t>
        </is>
      </c>
      <c r="K3067" t="n">
        <v>3</v>
      </c>
      <c r="L3067" t="n">
        <v>2.844</v>
      </c>
      <c r="M3067" t="n">
        <v>0</v>
      </c>
      <c r="N3067" t="inlineStr">
        <is>
          <t>test</t>
        </is>
      </c>
      <c r="O3067">
        <f>HYPERLINK("3\1\marker_314_943975.png", "Ver Imagen")</f>
        <v/>
      </c>
      <c r="P3067">
        <f>HYPERLINK("SE\A-497\A-497__10.png", "Ver Imagen")</f>
        <v/>
      </c>
    </row>
    <row r="3068">
      <c r="A3068" t="n">
        <v>2597</v>
      </c>
      <c r="B3068" t="inlineStr">
        <is>
          <t>A-497__7</t>
        </is>
      </c>
      <c r="C3068" t="n">
        <v>37.2666011903</v>
      </c>
      <c r="D3068" t="n">
        <v>-6.9577077169</v>
      </c>
      <c r="E3068" t="n">
        <v>2</v>
      </c>
      <c r="F3068" t="n">
        <v>3</v>
      </c>
      <c r="G3068" t="n">
        <v>3</v>
      </c>
      <c r="J3068" t="inlineStr">
        <is>
          <t>Moda</t>
        </is>
      </c>
      <c r="K3068" t="n">
        <v>3</v>
      </c>
      <c r="L3068" t="n">
        <v>3.406</v>
      </c>
      <c r="M3068" t="n">
        <v>0</v>
      </c>
      <c r="N3068" t="inlineStr">
        <is>
          <t>val</t>
        </is>
      </c>
      <c r="O3068">
        <f>HYPERLINK("3\1\marker_825_944007.png", "Ver Imagen")</f>
        <v/>
      </c>
      <c r="P3068">
        <f>HYPERLINK("SE\A-497\A-497__7.png", "Ver Imagen")</f>
        <v/>
      </c>
    </row>
    <row r="3069">
      <c r="A3069" t="n">
        <v>2598</v>
      </c>
      <c r="B3069" t="inlineStr">
        <is>
          <t>A-5050__182</t>
        </is>
      </c>
      <c r="C3069" t="n">
        <v>37.1898788001</v>
      </c>
      <c r="D3069" t="n">
        <v>-6.98856150942</v>
      </c>
      <c r="E3069" t="n">
        <v>2</v>
      </c>
      <c r="F3069" t="n">
        <v>3</v>
      </c>
      <c r="G3069" t="n">
        <v>3</v>
      </c>
      <c r="J3069" t="inlineStr">
        <is>
          <t>Moda</t>
        </is>
      </c>
      <c r="K3069" t="n">
        <v>3</v>
      </c>
      <c r="L3069" t="n">
        <v>2.744</v>
      </c>
      <c r="M3069" t="n">
        <v>0</v>
      </c>
      <c r="N3069" t="inlineStr">
        <is>
          <t>train</t>
        </is>
      </c>
      <c r="O3069">
        <f>HYPERLINK("3\1\marker_946_944153.png", "Ver Imagen")</f>
        <v/>
      </c>
      <c r="P3069">
        <f>HYPERLINK("SE\A-5050\A-5050__182.png", "Ver Imagen")</f>
        <v/>
      </c>
    </row>
    <row r="3070">
      <c r="A3070" t="n">
        <v>2599</v>
      </c>
      <c r="B3070" t="inlineStr">
        <is>
          <t>A-5050__179</t>
        </is>
      </c>
      <c r="C3070" t="n">
        <v>37.1901824408</v>
      </c>
      <c r="D3070" t="n">
        <v>-6.98924080101</v>
      </c>
      <c r="E3070" t="n">
        <v>2</v>
      </c>
      <c r="F3070" t="n">
        <v>3</v>
      </c>
      <c r="G3070" t="n">
        <v>3</v>
      </c>
      <c r="J3070" t="inlineStr">
        <is>
          <t>Moda</t>
        </is>
      </c>
      <c r="K3070" t="n">
        <v>3</v>
      </c>
      <c r="L3070" t="n">
        <v>2.963</v>
      </c>
      <c r="M3070" t="n">
        <v>0</v>
      </c>
      <c r="N3070" t="inlineStr">
        <is>
          <t>train</t>
        </is>
      </c>
      <c r="O3070">
        <f>HYPERLINK("3\1\marker_265_944183.png", "Ver Imagen")</f>
        <v/>
      </c>
      <c r="P3070">
        <f>HYPERLINK("SE\A-5050\A-5050__179.png", "Ver Imagen")</f>
        <v/>
      </c>
    </row>
    <row r="3071">
      <c r="A3071" t="n">
        <v>2600</v>
      </c>
      <c r="B3071" t="inlineStr">
        <is>
          <t>A-5050__178</t>
        </is>
      </c>
      <c r="C3071" t="n">
        <v>37.1902881339</v>
      </c>
      <c r="D3071" t="n">
        <v>-6.98947653049</v>
      </c>
      <c r="E3071" t="n">
        <v>2</v>
      </c>
      <c r="F3071" t="n">
        <v>3</v>
      </c>
      <c r="G3071" t="n">
        <v>3</v>
      </c>
      <c r="J3071" t="inlineStr">
        <is>
          <t>Moda</t>
        </is>
      </c>
      <c r="K3071" t="n">
        <v>3</v>
      </c>
      <c r="L3071" t="n">
        <v>2.891</v>
      </c>
      <c r="M3071" t="n">
        <v>0</v>
      </c>
      <c r="N3071" t="inlineStr">
        <is>
          <t>train</t>
        </is>
      </c>
      <c r="O3071">
        <f>HYPERLINK("3\1\marker_965_944201.png", "Ver Imagen")</f>
        <v/>
      </c>
      <c r="P3071">
        <f>HYPERLINK("SE\A-5050\A-5050__178.png", "Ver Imagen")</f>
        <v/>
      </c>
    </row>
    <row r="3072">
      <c r="A3072" t="n">
        <v>2602</v>
      </c>
      <c r="B3072" t="inlineStr">
        <is>
          <t>A-5050__176</t>
        </is>
      </c>
      <c r="C3072" t="n">
        <v>37.1904736033</v>
      </c>
      <c r="D3072" t="n">
        <v>-6.9898789545</v>
      </c>
      <c r="E3072" t="n">
        <v>2</v>
      </c>
      <c r="F3072" t="n">
        <v>3</v>
      </c>
      <c r="G3072" t="n">
        <v>3</v>
      </c>
      <c r="J3072" t="inlineStr">
        <is>
          <t>Moda</t>
        </is>
      </c>
      <c r="K3072" t="n">
        <v>3</v>
      </c>
      <c r="L3072" t="n">
        <v>2.775</v>
      </c>
      <c r="M3072" t="n">
        <v>0</v>
      </c>
      <c r="N3072" t="inlineStr">
        <is>
          <t>train</t>
        </is>
      </c>
      <c r="O3072">
        <f>HYPERLINK("3\1\marker_466_944221.png", "Ver Imagen")</f>
        <v/>
      </c>
      <c r="P3072">
        <f>HYPERLINK("SE\A-5050\A-5050__176.png", "Ver Imagen")</f>
        <v/>
      </c>
    </row>
    <row r="3073">
      <c r="A3073" t="n">
        <v>2604</v>
      </c>
      <c r="B3073" t="inlineStr">
        <is>
          <t>A-5050__161</t>
        </is>
      </c>
      <c r="C3073" t="n">
        <v>37.1920400922</v>
      </c>
      <c r="D3073" t="n">
        <v>-6.99314273374</v>
      </c>
      <c r="E3073" t="n">
        <v>2</v>
      </c>
      <c r="F3073" t="n">
        <v>3</v>
      </c>
      <c r="G3073" t="n">
        <v>3</v>
      </c>
      <c r="J3073" t="inlineStr">
        <is>
          <t>Moda</t>
        </is>
      </c>
      <c r="K3073" t="n">
        <v>3</v>
      </c>
      <c r="L3073" t="n">
        <v>2.925</v>
      </c>
      <c r="M3073" t="n">
        <v>0</v>
      </c>
      <c r="N3073" t="inlineStr">
        <is>
          <t>train</t>
        </is>
      </c>
      <c r="O3073">
        <f>HYPERLINK("3\1\marker_904_944679.png", "Ver Imagen")</f>
        <v/>
      </c>
      <c r="P3073">
        <f>HYPERLINK("SE\A-5050\A-5050__161.png", "Ver Imagen")</f>
        <v/>
      </c>
    </row>
    <row r="3074">
      <c r="A3074" t="n">
        <v>2605</v>
      </c>
      <c r="B3074" t="inlineStr">
        <is>
          <t>A-5050__156</t>
        </is>
      </c>
      <c r="C3074" t="n">
        <v>37.1925500297</v>
      </c>
      <c r="D3074" t="n">
        <v>-6.99423232102</v>
      </c>
      <c r="E3074" t="n">
        <v>3</v>
      </c>
      <c r="F3074" t="n">
        <v>3</v>
      </c>
      <c r="G3074" t="n">
        <v>4</v>
      </c>
      <c r="J3074" t="inlineStr">
        <is>
          <t>Moda</t>
        </is>
      </c>
      <c r="K3074" t="n">
        <v>3</v>
      </c>
      <c r="L3074" t="n">
        <v>2.799</v>
      </c>
      <c r="M3074" t="n">
        <v>0</v>
      </c>
      <c r="N3074" t="inlineStr">
        <is>
          <t>test</t>
        </is>
      </c>
      <c r="O3074">
        <f>HYPERLINK("3\1\marker_497_945302.png", "Ver Imagen")</f>
        <v/>
      </c>
      <c r="P3074">
        <f>HYPERLINK("SE\A-5050\A-5050__156.png", "Ver Imagen")</f>
        <v/>
      </c>
    </row>
    <row r="3075">
      <c r="A3075" t="n">
        <v>2606</v>
      </c>
      <c r="B3075" t="inlineStr">
        <is>
          <t>A-5050__154</t>
        </is>
      </c>
      <c r="C3075" t="n">
        <v>37.1927436505</v>
      </c>
      <c r="D3075" t="n">
        <v>-6.99467940284</v>
      </c>
      <c r="E3075" t="n">
        <v>2</v>
      </c>
      <c r="F3075" t="n">
        <v>3</v>
      </c>
      <c r="G3075" t="n">
        <v>3</v>
      </c>
      <c r="J3075" t="inlineStr">
        <is>
          <t>Moda</t>
        </is>
      </c>
      <c r="K3075" t="n">
        <v>3</v>
      </c>
      <c r="L3075" t="n">
        <v>2.791</v>
      </c>
      <c r="M3075" t="n">
        <v>0</v>
      </c>
      <c r="N3075" t="inlineStr">
        <is>
          <t>train</t>
        </is>
      </c>
      <c r="O3075">
        <f>HYPERLINK("3\1\marker_954_945330.png", "Ver Imagen")</f>
        <v/>
      </c>
      <c r="P3075">
        <f>HYPERLINK("SE\A-5050\A-5050__154.png", "Ver Imagen")</f>
        <v/>
      </c>
    </row>
    <row r="3076">
      <c r="A3076" t="n">
        <v>2607</v>
      </c>
      <c r="B3076" t="inlineStr">
        <is>
          <t>A-5050__149</t>
        </is>
      </c>
      <c r="C3076" t="n">
        <v>37.1931991687</v>
      </c>
      <c r="D3076" t="n">
        <v>-6.99581569846</v>
      </c>
      <c r="E3076" t="n">
        <v>2</v>
      </c>
      <c r="F3076" t="n">
        <v>3</v>
      </c>
      <c r="G3076" t="n">
        <v>3</v>
      </c>
      <c r="J3076" t="inlineStr">
        <is>
          <t>Moda</t>
        </is>
      </c>
      <c r="K3076" t="n">
        <v>3</v>
      </c>
      <c r="L3076" t="n">
        <v>2.752</v>
      </c>
      <c r="M3076" t="n">
        <v>0</v>
      </c>
      <c r="N3076" t="inlineStr">
        <is>
          <t>train</t>
        </is>
      </c>
      <c r="O3076">
        <f>HYPERLINK("3\1\marker_109_945402.png", "Ver Imagen")</f>
        <v/>
      </c>
      <c r="P3076">
        <f>HYPERLINK("SE\A-5050\A-5050__149.png", "Ver Imagen")</f>
        <v/>
      </c>
    </row>
    <row r="3077">
      <c r="A3077" t="n">
        <v>2608</v>
      </c>
      <c r="B3077" t="inlineStr">
        <is>
          <t>A-5050__142</t>
        </is>
      </c>
      <c r="C3077" t="n">
        <v>37.1938583194</v>
      </c>
      <c r="D3077" t="n">
        <v>-6.99736739777</v>
      </c>
      <c r="E3077" t="n">
        <v>3</v>
      </c>
      <c r="F3077" t="n">
        <v>2</v>
      </c>
      <c r="G3077" t="n">
        <v>3</v>
      </c>
      <c r="J3077" t="inlineStr">
        <is>
          <t>Moda</t>
        </is>
      </c>
      <c r="K3077" t="n">
        <v>3</v>
      </c>
      <c r="L3077" t="n">
        <v>3.036</v>
      </c>
      <c r="M3077" t="n">
        <v>0</v>
      </c>
      <c r="N3077" t="inlineStr">
        <is>
          <t>train</t>
        </is>
      </c>
      <c r="O3077">
        <f>HYPERLINK("3\1\marker_192_945819.png", "Ver Imagen")</f>
        <v/>
      </c>
      <c r="P3077">
        <f>HYPERLINK("SE\A-5050\A-5050__142.png", "Ver Imagen")</f>
        <v/>
      </c>
    </row>
    <row r="3078">
      <c r="A3078" t="n">
        <v>2609</v>
      </c>
      <c r="B3078" t="inlineStr">
        <is>
          <t>A-5050__130</t>
        </is>
      </c>
      <c r="C3078" t="n">
        <v>37.194963737</v>
      </c>
      <c r="D3078" t="n">
        <v>-7.00005767047</v>
      </c>
      <c r="E3078" t="n">
        <v>2</v>
      </c>
      <c r="F3078" t="n">
        <v>3</v>
      </c>
      <c r="G3078" t="n">
        <v>3</v>
      </c>
      <c r="J3078" t="inlineStr">
        <is>
          <t>Moda</t>
        </is>
      </c>
      <c r="K3078" t="n">
        <v>3</v>
      </c>
      <c r="L3078" t="n">
        <v>2.898</v>
      </c>
      <c r="M3078" t="n">
        <v>0</v>
      </c>
      <c r="N3078" t="inlineStr">
        <is>
          <t>train</t>
        </is>
      </c>
      <c r="O3078">
        <f>HYPERLINK("3\1\marker_444_945945.png", "Ver Imagen")</f>
        <v/>
      </c>
      <c r="P3078">
        <f>HYPERLINK("SE\A-5050\A-5050__130.png", "Ver Imagen")</f>
        <v/>
      </c>
    </row>
    <row r="3079">
      <c r="A3079" t="n">
        <v>2610</v>
      </c>
      <c r="B3079" t="inlineStr">
        <is>
          <t>A-5050__126</t>
        </is>
      </c>
      <c r="C3079" t="n">
        <v>37.1953454552</v>
      </c>
      <c r="D3079" t="n">
        <v>-7.00098591564</v>
      </c>
      <c r="E3079" t="n">
        <v>2</v>
      </c>
      <c r="F3079" t="n">
        <v>3</v>
      </c>
      <c r="G3079" t="n">
        <v>3</v>
      </c>
      <c r="J3079" t="inlineStr">
        <is>
          <t>Moda</t>
        </is>
      </c>
      <c r="K3079" t="n">
        <v>3</v>
      </c>
      <c r="L3079" t="n">
        <v>3.041</v>
      </c>
      <c r="M3079" t="n">
        <v>0</v>
      </c>
      <c r="N3079" t="inlineStr">
        <is>
          <t>train</t>
        </is>
      </c>
      <c r="O3079">
        <f>HYPERLINK("3\1\marker_754_946353.png", "Ver Imagen")</f>
        <v/>
      </c>
      <c r="P3079">
        <f>HYPERLINK("SE\A-5050\A-5050__126.png", "Ver Imagen")</f>
        <v/>
      </c>
    </row>
    <row r="3080">
      <c r="A3080" t="n">
        <v>2611</v>
      </c>
      <c r="B3080" t="inlineStr">
        <is>
          <t>A-5050__107</t>
        </is>
      </c>
      <c r="C3080" t="n">
        <v>37.1971032126</v>
      </c>
      <c r="D3080" t="n">
        <v>-7.00519946183</v>
      </c>
      <c r="E3080" t="n">
        <v>2</v>
      </c>
      <c r="F3080" t="n">
        <v>3</v>
      </c>
      <c r="G3080" t="n">
        <v>3</v>
      </c>
      <c r="J3080" t="inlineStr">
        <is>
          <t>Moda</t>
        </is>
      </c>
      <c r="K3080" t="n">
        <v>3</v>
      </c>
      <c r="L3080" t="n">
        <v>2.806</v>
      </c>
      <c r="M3080" t="n">
        <v>0</v>
      </c>
      <c r="N3080" t="inlineStr">
        <is>
          <t>train</t>
        </is>
      </c>
      <c r="O3080">
        <f>HYPERLINK("3\1\marker_341_946696.png", "Ver Imagen")</f>
        <v/>
      </c>
      <c r="P3080">
        <f>HYPERLINK("SE\A-5050\A-5050__107.png", "Ver Imagen")</f>
        <v/>
      </c>
    </row>
    <row r="3081">
      <c r="A3081" t="n">
        <v>2613</v>
      </c>
      <c r="B3081" t="inlineStr">
        <is>
          <t>A-5050__87</t>
        </is>
      </c>
      <c r="C3081" t="n">
        <v>37.1992800205</v>
      </c>
      <c r="D3081" t="n">
        <v>-7.00957166272</v>
      </c>
      <c r="E3081" t="n">
        <v>2</v>
      </c>
      <c r="F3081" t="n">
        <v>3</v>
      </c>
      <c r="G3081" t="n">
        <v>3</v>
      </c>
      <c r="J3081" t="inlineStr">
        <is>
          <t>Moda</t>
        </is>
      </c>
      <c r="K3081" t="n">
        <v>3</v>
      </c>
      <c r="L3081" t="n">
        <v>2.791</v>
      </c>
      <c r="M3081" t="n">
        <v>0</v>
      </c>
      <c r="N3081" t="inlineStr">
        <is>
          <t>test</t>
        </is>
      </c>
      <c r="O3081">
        <f>HYPERLINK("3\1\marker_888_947448.png", "Ver Imagen")</f>
        <v/>
      </c>
      <c r="P3081">
        <f>HYPERLINK("SE\A-5050\A-5050__87.png", "Ver Imagen")</f>
        <v/>
      </c>
    </row>
    <row r="3082">
      <c r="A3082" t="n">
        <v>2614</v>
      </c>
      <c r="B3082" t="inlineStr">
        <is>
          <t>A-5050__85</t>
        </is>
      </c>
      <c r="C3082" t="n">
        <v>37.1994992632</v>
      </c>
      <c r="D3082" t="n">
        <v>-7.00993955709</v>
      </c>
      <c r="E3082" t="n">
        <v>2</v>
      </c>
      <c r="F3082" t="n">
        <v>3</v>
      </c>
      <c r="G3082" t="n">
        <v>3</v>
      </c>
      <c r="J3082" t="inlineStr">
        <is>
          <t>Moda</t>
        </is>
      </c>
      <c r="K3082" t="n">
        <v>3</v>
      </c>
      <c r="L3082" t="n">
        <v>2.848</v>
      </c>
      <c r="M3082" t="n">
        <v>0</v>
      </c>
      <c r="N3082" t="inlineStr">
        <is>
          <t>val</t>
        </is>
      </c>
      <c r="O3082">
        <f>HYPERLINK("3\1\marker_908_948399.png", "Ver Imagen")</f>
        <v/>
      </c>
      <c r="P3082">
        <f>HYPERLINK("SE\A-5050\A-5050__85.png", "Ver Imagen")</f>
        <v/>
      </c>
    </row>
    <row r="3083">
      <c r="A3083" t="n">
        <v>2615</v>
      </c>
      <c r="B3083" t="inlineStr">
        <is>
          <t>A-5050__82</t>
        </is>
      </c>
      <c r="C3083" t="n">
        <v>37.199902034</v>
      </c>
      <c r="D3083" t="n">
        <v>-7.01059766765</v>
      </c>
      <c r="E3083" t="n">
        <v>2</v>
      </c>
      <c r="F3083" t="n">
        <v>3</v>
      </c>
      <c r="G3083" t="n">
        <v>3</v>
      </c>
      <c r="J3083" t="inlineStr">
        <is>
          <t>Moda</t>
        </is>
      </c>
      <c r="K3083" t="n">
        <v>3</v>
      </c>
      <c r="L3083" t="n">
        <v>3.258</v>
      </c>
      <c r="M3083" t="n">
        <v>0</v>
      </c>
      <c r="N3083" t="inlineStr">
        <is>
          <t>val</t>
        </is>
      </c>
      <c r="O3083">
        <f>HYPERLINK("3\1\marker_325_948746.png", "Ver Imagen")</f>
        <v/>
      </c>
      <c r="P3083">
        <f>HYPERLINK("SE\A-5050\A-5050__82.png", "Ver Imagen")</f>
        <v/>
      </c>
    </row>
    <row r="3084">
      <c r="A3084" t="n">
        <v>2616</v>
      </c>
      <c r="B3084" t="inlineStr">
        <is>
          <t>A-5050__75</t>
        </is>
      </c>
      <c r="C3084" t="n">
        <v>37.2007601014</v>
      </c>
      <c r="D3084" t="n">
        <v>-7.01192082503</v>
      </c>
      <c r="E3084" t="n">
        <v>3</v>
      </c>
      <c r="F3084" t="n">
        <v>3</v>
      </c>
      <c r="G3084" t="n">
        <v>4</v>
      </c>
      <c r="J3084" t="inlineStr">
        <is>
          <t>Moda</t>
        </is>
      </c>
      <c r="K3084" t="n">
        <v>3</v>
      </c>
      <c r="L3084" t="n">
        <v>3.266</v>
      </c>
      <c r="M3084" t="n">
        <v>0</v>
      </c>
      <c r="N3084" t="inlineStr">
        <is>
          <t>test</t>
        </is>
      </c>
      <c r="O3084">
        <f>HYPERLINK("3\1\marker_205_948826.png", "Ver Imagen")</f>
        <v/>
      </c>
      <c r="P3084">
        <f>HYPERLINK("SE\A-5050\A-5050__75.png", "Ver Imagen")</f>
        <v/>
      </c>
    </row>
    <row r="3085">
      <c r="A3085" t="n">
        <v>2617</v>
      </c>
      <c r="B3085" t="inlineStr">
        <is>
          <t>A-5050__58</t>
        </is>
      </c>
      <c r="C3085" t="n">
        <v>37.2029332487</v>
      </c>
      <c r="D3085" t="n">
        <v>-7.01525303504</v>
      </c>
      <c r="E3085" t="n">
        <v>3</v>
      </c>
      <c r="F3085" t="n">
        <v>3</v>
      </c>
      <c r="G3085" t="n">
        <v>4</v>
      </c>
      <c r="J3085" t="inlineStr">
        <is>
          <t>Moda</t>
        </is>
      </c>
      <c r="K3085" t="n">
        <v>3</v>
      </c>
      <c r="L3085" t="n">
        <v>3.203</v>
      </c>
      <c r="M3085" t="n">
        <v>0</v>
      </c>
      <c r="N3085" t="inlineStr">
        <is>
          <t>train</t>
        </is>
      </c>
      <c r="O3085">
        <f>HYPERLINK("3\1\marker_762_949062.png", "Ver Imagen")</f>
        <v/>
      </c>
      <c r="P3085">
        <f>HYPERLINK("SE\A-5050\A-5050__58.png", "Ver Imagen")</f>
        <v/>
      </c>
    </row>
    <row r="3086">
      <c r="A3086" t="n">
        <v>2619</v>
      </c>
      <c r="B3086" t="inlineStr">
        <is>
          <t>A-5050__53</t>
        </is>
      </c>
      <c r="C3086" t="n">
        <v>37.2035845366</v>
      </c>
      <c r="D3086" t="n">
        <v>-7.01624741914</v>
      </c>
      <c r="E3086" t="n">
        <v>3</v>
      </c>
      <c r="F3086" t="n">
        <v>4</v>
      </c>
      <c r="G3086" t="n">
        <v>3</v>
      </c>
      <c r="J3086" t="inlineStr">
        <is>
          <t>Moda</t>
        </is>
      </c>
      <c r="K3086" t="n">
        <v>3</v>
      </c>
      <c r="L3086" t="n">
        <v>2.974</v>
      </c>
      <c r="M3086" t="n">
        <v>0</v>
      </c>
      <c r="N3086" t="inlineStr">
        <is>
          <t>train</t>
        </is>
      </c>
      <c r="O3086">
        <f>HYPERLINK("3\1\marker_920_949128.png", "Ver Imagen")</f>
        <v/>
      </c>
      <c r="P3086">
        <f>HYPERLINK("SE\A-5050\A-5050__53.png", "Ver Imagen")</f>
        <v/>
      </c>
    </row>
    <row r="3087">
      <c r="A3087" t="n">
        <v>2620</v>
      </c>
      <c r="B3087" t="inlineStr">
        <is>
          <t>A-5050__46</t>
        </is>
      </c>
      <c r="C3087" t="n">
        <v>37.204459721</v>
      </c>
      <c r="D3087" t="n">
        <v>-7.01760235432</v>
      </c>
      <c r="E3087" t="n">
        <v>3</v>
      </c>
      <c r="F3087" t="n">
        <v>4</v>
      </c>
      <c r="G3087" t="n">
        <v>3</v>
      </c>
      <c r="J3087" t="inlineStr">
        <is>
          <t>Moda</t>
        </is>
      </c>
      <c r="K3087" t="n">
        <v>3</v>
      </c>
      <c r="L3087" t="n">
        <v>2.656</v>
      </c>
      <c r="M3087" t="n">
        <v>0</v>
      </c>
      <c r="N3087" t="inlineStr">
        <is>
          <t>train</t>
        </is>
      </c>
      <c r="O3087">
        <f>HYPERLINK("3\1\marker_542_949192.png", "Ver Imagen")</f>
        <v/>
      </c>
      <c r="P3087">
        <f>HYPERLINK("SE\A-5050\A-5050__46.png", "Ver Imagen")</f>
        <v/>
      </c>
    </row>
    <row r="3088">
      <c r="A3088" t="n">
        <v>2621</v>
      </c>
      <c r="B3088" t="inlineStr">
        <is>
          <t>A-5050__40</t>
        </is>
      </c>
      <c r="C3088" t="n">
        <v>37.2052028392</v>
      </c>
      <c r="D3088" t="n">
        <v>-7.01874923988</v>
      </c>
      <c r="E3088" t="n">
        <v>3</v>
      </c>
      <c r="F3088" t="n">
        <v>4</v>
      </c>
      <c r="G3088" t="n">
        <v>3</v>
      </c>
      <c r="J3088" t="inlineStr">
        <is>
          <t>Moda</t>
        </is>
      </c>
      <c r="K3088" t="n">
        <v>3</v>
      </c>
      <c r="L3088" t="n">
        <v>2.992</v>
      </c>
      <c r="M3088" t="n">
        <v>0</v>
      </c>
      <c r="N3088" t="inlineStr">
        <is>
          <t>train</t>
        </is>
      </c>
      <c r="O3088">
        <f>HYPERLINK("3\1\marker_702_949249.png", "Ver Imagen")</f>
        <v/>
      </c>
      <c r="P3088">
        <f>HYPERLINK("SE\A-5050\A-5050__40.png", "Ver Imagen")</f>
        <v/>
      </c>
    </row>
    <row r="3089">
      <c r="A3089" t="n">
        <v>2622</v>
      </c>
      <c r="B3089" t="inlineStr">
        <is>
          <t>A-5050__35</t>
        </is>
      </c>
      <c r="C3089" t="n">
        <v>37.2058662028</v>
      </c>
      <c r="D3089" t="n">
        <v>-7.01979855994</v>
      </c>
      <c r="E3089" t="n">
        <v>2</v>
      </c>
      <c r="F3089" t="n">
        <v>3</v>
      </c>
      <c r="G3089" t="n">
        <v>3</v>
      </c>
      <c r="J3089" t="inlineStr">
        <is>
          <t>Moda</t>
        </is>
      </c>
      <c r="K3089" t="n">
        <v>3</v>
      </c>
      <c r="L3089" t="n">
        <v>3.29</v>
      </c>
      <c r="M3089" t="n">
        <v>0</v>
      </c>
      <c r="N3089" t="inlineStr">
        <is>
          <t>train</t>
        </is>
      </c>
      <c r="O3089">
        <f>HYPERLINK("3\1\marker_901_949309.png", "Ver Imagen")</f>
        <v/>
      </c>
      <c r="P3089">
        <f>HYPERLINK("SE\A-5050\A-5050__35.png", "Ver Imagen")</f>
        <v/>
      </c>
    </row>
    <row r="3090">
      <c r="A3090" t="n">
        <v>2625</v>
      </c>
      <c r="B3090" t="inlineStr">
        <is>
          <t>A-5052__11</t>
        </is>
      </c>
      <c r="C3090" t="n">
        <v>37.2182632291</v>
      </c>
      <c r="D3090" t="n">
        <v>-7.12318665622</v>
      </c>
      <c r="E3090" t="n">
        <v>3</v>
      </c>
      <c r="F3090" t="n">
        <v>3</v>
      </c>
      <c r="G3090" t="n">
        <v>4</v>
      </c>
      <c r="J3090" t="inlineStr">
        <is>
          <t>Moda</t>
        </is>
      </c>
      <c r="K3090" t="n">
        <v>3</v>
      </c>
      <c r="L3090" t="n">
        <v>3.325</v>
      </c>
      <c r="M3090" t="n">
        <v>0</v>
      </c>
      <c r="N3090" t="inlineStr">
        <is>
          <t>train</t>
        </is>
      </c>
      <c r="O3090">
        <f>HYPERLINK("3\1\marker_373_950033.png", "Ver Imagen")</f>
        <v/>
      </c>
      <c r="P3090">
        <f>HYPERLINK("SO\A-5052\A-5052__11.png", "Ver Imagen")</f>
        <v/>
      </c>
    </row>
    <row r="3091">
      <c r="A3091" t="n">
        <v>2627</v>
      </c>
      <c r="B3091" t="inlineStr">
        <is>
          <t>A-5052__57</t>
        </is>
      </c>
      <c r="C3091" t="n">
        <v>37.2175822989</v>
      </c>
      <c r="D3091" t="n">
        <v>-7.11172723158</v>
      </c>
      <c r="E3091" t="n">
        <v>2</v>
      </c>
      <c r="F3091" t="n">
        <v>3</v>
      </c>
      <c r="G3091" t="n">
        <v>3</v>
      </c>
      <c r="J3091" t="inlineStr">
        <is>
          <t>Moda</t>
        </is>
      </c>
      <c r="K3091" t="n">
        <v>3</v>
      </c>
      <c r="L3091" t="n">
        <v>2.81</v>
      </c>
      <c r="M3091" t="n">
        <v>0</v>
      </c>
      <c r="N3091" t="inlineStr">
        <is>
          <t>train</t>
        </is>
      </c>
      <c r="O3091">
        <f>HYPERLINK("3\1\marker_332_957006.png", "Ver Imagen")</f>
        <v/>
      </c>
      <c r="P3091">
        <f>HYPERLINK("SO\A-5052\A-5052__57.png", "Ver Imagen")</f>
        <v/>
      </c>
    </row>
    <row r="3092">
      <c r="A3092" t="n">
        <v>2628</v>
      </c>
      <c r="B3092" t="inlineStr">
        <is>
          <t>A-5052__128</t>
        </is>
      </c>
      <c r="C3092" t="n">
        <v>37.2166466979</v>
      </c>
      <c r="D3092" t="n">
        <v>-7.09388965045</v>
      </c>
      <c r="E3092" t="n">
        <v>2</v>
      </c>
      <c r="F3092" t="n">
        <v>3</v>
      </c>
      <c r="G3092" t="n">
        <v>3</v>
      </c>
      <c r="J3092" t="inlineStr">
        <is>
          <t>Moda</t>
        </is>
      </c>
      <c r="K3092" t="n">
        <v>3</v>
      </c>
      <c r="L3092" t="n">
        <v>3.05</v>
      </c>
      <c r="M3092" t="n">
        <v>0</v>
      </c>
      <c r="N3092" t="inlineStr">
        <is>
          <t>test</t>
        </is>
      </c>
      <c r="O3092">
        <f>HYPERLINK("3\1\marker_446_958062.png", "Ver Imagen")</f>
        <v/>
      </c>
      <c r="P3092">
        <f>HYPERLINK("SO\A-5052\A-5052__128.png", "Ver Imagen")</f>
        <v/>
      </c>
    </row>
    <row r="3093">
      <c r="A3093" t="n">
        <v>2629</v>
      </c>
      <c r="B3093" t="inlineStr">
        <is>
          <t>A-5052__138</t>
        </is>
      </c>
      <c r="C3093" t="n">
        <v>37.2163065556</v>
      </c>
      <c r="D3093" t="n">
        <v>-7.09145155326</v>
      </c>
      <c r="E3093" t="n">
        <v>2</v>
      </c>
      <c r="F3093" t="n">
        <v>3</v>
      </c>
      <c r="G3093" t="n">
        <v>3</v>
      </c>
      <c r="J3093" t="inlineStr">
        <is>
          <t>Moda</t>
        </is>
      </c>
      <c r="K3093" t="n">
        <v>3</v>
      </c>
      <c r="L3093" t="n">
        <v>2.812</v>
      </c>
      <c r="M3093" t="n">
        <v>0</v>
      </c>
      <c r="N3093" t="inlineStr">
        <is>
          <t>train</t>
        </is>
      </c>
      <c r="O3093">
        <f>HYPERLINK("3\1\marker_901_958195.png", "Ver Imagen")</f>
        <v/>
      </c>
      <c r="P3093">
        <f>HYPERLINK("SE\A-5052\A-5052__138.png", "Ver Imagen")</f>
        <v/>
      </c>
    </row>
    <row r="3094">
      <c r="A3094" t="n">
        <v>2629</v>
      </c>
      <c r="B3094" t="inlineStr">
        <is>
          <t>A-5052__138</t>
        </is>
      </c>
      <c r="C3094" t="n">
        <v>37.2163065556</v>
      </c>
      <c r="D3094" t="n">
        <v>-7.09145155326</v>
      </c>
      <c r="E3094" t="n">
        <v>2</v>
      </c>
      <c r="F3094" t="n">
        <v>3</v>
      </c>
      <c r="G3094" t="n">
        <v>3</v>
      </c>
      <c r="J3094" t="inlineStr">
        <is>
          <t>Moda</t>
        </is>
      </c>
      <c r="K3094" t="n">
        <v>3</v>
      </c>
      <c r="L3094" t="n">
        <v>2.866</v>
      </c>
      <c r="M3094" t="n">
        <v>0</v>
      </c>
      <c r="N3094" t="inlineStr">
        <is>
          <t>train</t>
        </is>
      </c>
      <c r="O3094">
        <f>HYPERLINK("3\1\marker_901_958195.png", "Ver Imagen")</f>
        <v/>
      </c>
      <c r="P3094">
        <f>HYPERLINK("SO\A-5052\A-5052__138.png", "Ver Imagen")</f>
        <v/>
      </c>
    </row>
    <row r="3095">
      <c r="A3095" t="n">
        <v>2631</v>
      </c>
      <c r="B3095" t="inlineStr">
        <is>
          <t>A-5052__284</t>
        </is>
      </c>
      <c r="C3095" t="n">
        <v>37.2111648174</v>
      </c>
      <c r="D3095" t="n">
        <v>-7.05555057216</v>
      </c>
      <c r="E3095" t="n">
        <v>2</v>
      </c>
      <c r="F3095" t="n">
        <v>3</v>
      </c>
      <c r="G3095" t="n">
        <v>3</v>
      </c>
      <c r="J3095" t="inlineStr">
        <is>
          <t>Moda</t>
        </is>
      </c>
      <c r="K3095" t="n">
        <v>3</v>
      </c>
      <c r="L3095" t="n">
        <v>2.502</v>
      </c>
      <c r="M3095" t="n">
        <v>0</v>
      </c>
      <c r="N3095" t="inlineStr">
        <is>
          <t>test</t>
        </is>
      </c>
      <c r="O3095">
        <f>HYPERLINK("3\1\marker_102_960571.png", "Ver Imagen")</f>
        <v/>
      </c>
      <c r="P3095">
        <f>HYPERLINK("SE\A-5052\A-5052__284.png", "Ver Imagen")</f>
        <v/>
      </c>
    </row>
    <row r="3096">
      <c r="A3096" t="n">
        <v>2632</v>
      </c>
      <c r="B3096" t="inlineStr">
        <is>
          <t>A-5052__294</t>
        </is>
      </c>
      <c r="C3096" t="n">
        <v>37.210791744</v>
      </c>
      <c r="D3096" t="n">
        <v>-7.05306888458</v>
      </c>
      <c r="E3096" t="n">
        <v>3</v>
      </c>
      <c r="F3096" t="n">
        <v>4</v>
      </c>
      <c r="G3096" t="n">
        <v>3</v>
      </c>
      <c r="J3096" t="inlineStr">
        <is>
          <t>Moda</t>
        </is>
      </c>
      <c r="K3096" t="n">
        <v>3</v>
      </c>
      <c r="L3096" t="n">
        <v>2.73</v>
      </c>
      <c r="M3096" t="n">
        <v>0</v>
      </c>
      <c r="N3096" t="inlineStr">
        <is>
          <t>train</t>
        </is>
      </c>
      <c r="O3096">
        <f>HYPERLINK("3\1\marker_769_960752.png", "Ver Imagen")</f>
        <v/>
      </c>
      <c r="P3096">
        <f>HYPERLINK("SE\A-5052\A-5052__294.png", "Ver Imagen")</f>
        <v/>
      </c>
    </row>
    <row r="3097">
      <c r="A3097" t="n">
        <v>2633</v>
      </c>
      <c r="B3097" t="inlineStr">
        <is>
          <t>A-5052__304</t>
        </is>
      </c>
      <c r="C3097" t="n">
        <v>37.2111125853</v>
      </c>
      <c r="D3097" t="n">
        <v>-7.0505557363</v>
      </c>
      <c r="E3097" t="n">
        <v>2</v>
      </c>
      <c r="F3097" t="n">
        <v>3</v>
      </c>
      <c r="G3097" t="n">
        <v>3</v>
      </c>
      <c r="J3097" t="inlineStr">
        <is>
          <t>Moda</t>
        </is>
      </c>
      <c r="K3097" t="n">
        <v>3</v>
      </c>
      <c r="L3097" t="n">
        <v>3.433</v>
      </c>
      <c r="M3097" t="n">
        <v>0</v>
      </c>
      <c r="N3097" t="inlineStr">
        <is>
          <t>train</t>
        </is>
      </c>
      <c r="O3097">
        <f>HYPERLINK("3\1\marker_167_960972.png", "Ver Imagen")</f>
        <v/>
      </c>
      <c r="P3097">
        <f>HYPERLINK("SE\A-5052\A-5052__304.png", "Ver Imagen")</f>
        <v/>
      </c>
    </row>
    <row r="3098">
      <c r="A3098" t="n">
        <v>2635</v>
      </c>
      <c r="B3098" t="inlineStr">
        <is>
          <t>A-5052__326</t>
        </is>
      </c>
      <c r="C3098" t="n">
        <v>37.2112644135</v>
      </c>
      <c r="D3098" t="n">
        <v>-7.04522350417</v>
      </c>
      <c r="E3098" t="n">
        <v>3</v>
      </c>
      <c r="F3098" t="n">
        <v>4</v>
      </c>
      <c r="G3098" t="n">
        <v>3</v>
      </c>
      <c r="J3098" t="inlineStr">
        <is>
          <t>Moda</t>
        </is>
      </c>
      <c r="K3098" t="n">
        <v>3</v>
      </c>
      <c r="L3098" t="n">
        <v>2.961</v>
      </c>
      <c r="M3098" t="n">
        <v>0</v>
      </c>
      <c r="N3098" t="inlineStr">
        <is>
          <t>val</t>
        </is>
      </c>
      <c r="O3098">
        <f>HYPERLINK("3\1\marker_781_961440.png", "Ver Imagen")</f>
        <v/>
      </c>
      <c r="P3098">
        <f>HYPERLINK("SE\A-5052\A-5052__326.png", "Ver Imagen")</f>
        <v/>
      </c>
    </row>
    <row r="3099">
      <c r="A3099" t="n">
        <v>2636</v>
      </c>
      <c r="B3099" t="inlineStr">
        <is>
          <t>A-5052__337</t>
        </is>
      </c>
      <c r="C3099" t="n">
        <v>37.2103655856</v>
      </c>
      <c r="D3099" t="n">
        <v>-7.04272424626</v>
      </c>
      <c r="E3099" t="n">
        <v>3</v>
      </c>
      <c r="F3099" t="n">
        <v>4</v>
      </c>
      <c r="G3099" t="n">
        <v>3</v>
      </c>
      <c r="J3099" t="inlineStr">
        <is>
          <t>Moda</t>
        </is>
      </c>
      <c r="K3099" t="n">
        <v>3</v>
      </c>
      <c r="L3099" t="n">
        <v>3.161</v>
      </c>
      <c r="M3099" t="n">
        <v>0</v>
      </c>
      <c r="N3099" t="inlineStr">
        <is>
          <t>train</t>
        </is>
      </c>
      <c r="O3099">
        <f>HYPERLINK("3\1\marker_314_961579.png", "Ver Imagen")</f>
        <v/>
      </c>
      <c r="P3099">
        <f>HYPERLINK("SE\A-5052\A-5052__337.png", "Ver Imagen")</f>
        <v/>
      </c>
    </row>
    <row r="3100">
      <c r="A3100" t="n">
        <v>2637</v>
      </c>
      <c r="B3100" t="inlineStr">
        <is>
          <t>A-5052__353</t>
        </is>
      </c>
      <c r="C3100" t="n">
        <v>37.2089730283</v>
      </c>
      <c r="D3100" t="n">
        <v>-7.03903938132</v>
      </c>
      <c r="E3100" t="n">
        <v>3</v>
      </c>
      <c r="F3100" t="n">
        <v>3</v>
      </c>
      <c r="G3100" t="n">
        <v>4</v>
      </c>
      <c r="J3100" t="inlineStr">
        <is>
          <t>Moda</t>
        </is>
      </c>
      <c r="K3100" t="n">
        <v>3</v>
      </c>
      <c r="L3100" t="n">
        <v>3.152</v>
      </c>
      <c r="M3100" t="n">
        <v>0</v>
      </c>
      <c r="N3100" t="inlineStr">
        <is>
          <t>train</t>
        </is>
      </c>
      <c r="O3100">
        <f>HYPERLINK("3\1\marker_143_961776.png", "Ver Imagen")</f>
        <v/>
      </c>
      <c r="P3100">
        <f>HYPERLINK("SE\A-5052\A-5052__353.png", "Ver Imagen")</f>
        <v/>
      </c>
    </row>
    <row r="3101">
      <c r="A3101" t="n">
        <v>2639</v>
      </c>
      <c r="B3101" t="inlineStr">
        <is>
          <t>A-5052__380</t>
        </is>
      </c>
      <c r="C3101" t="n">
        <v>37.2066046447</v>
      </c>
      <c r="D3101" t="n">
        <v>-7.03290829249</v>
      </c>
      <c r="E3101" t="n">
        <v>3</v>
      </c>
      <c r="F3101" t="n">
        <v>3</v>
      </c>
      <c r="G3101" t="n">
        <v>4</v>
      </c>
      <c r="J3101" t="inlineStr">
        <is>
          <t>Moda</t>
        </is>
      </c>
      <c r="K3101" t="n">
        <v>3</v>
      </c>
      <c r="L3101" t="n">
        <v>2.869</v>
      </c>
      <c r="M3101" t="n">
        <v>0</v>
      </c>
      <c r="N3101" t="inlineStr">
        <is>
          <t>train</t>
        </is>
      </c>
      <c r="O3101">
        <f>HYPERLINK("3\1\marker_269_962475.png", "Ver Imagen")</f>
        <v/>
      </c>
      <c r="P3101">
        <f>HYPERLINK("SE\A-5052\A-5052__380.png", "Ver Imagen")</f>
        <v/>
      </c>
    </row>
    <row r="3102">
      <c r="A3102" t="n">
        <v>2641</v>
      </c>
      <c r="B3102" t="inlineStr">
        <is>
          <t>A-5053__325</t>
        </is>
      </c>
      <c r="C3102" t="n">
        <v>37.2789727287</v>
      </c>
      <c r="D3102" t="n">
        <v>-7.144590405</v>
      </c>
      <c r="E3102" t="n">
        <v>3</v>
      </c>
      <c r="F3102" t="n">
        <v>4</v>
      </c>
      <c r="G3102" t="n">
        <v>3</v>
      </c>
      <c r="J3102" t="inlineStr">
        <is>
          <t>Moda</t>
        </is>
      </c>
      <c r="K3102" t="n">
        <v>3</v>
      </c>
      <c r="L3102" t="n">
        <v>2.644</v>
      </c>
      <c r="M3102" t="n">
        <v>0</v>
      </c>
      <c r="N3102" t="inlineStr">
        <is>
          <t>train</t>
        </is>
      </c>
      <c r="O3102">
        <f>HYPERLINK("3\1\marker_796_964518.png", "Ver Imagen")</f>
        <v/>
      </c>
      <c r="P3102">
        <f>HYPERLINK("SO\A-5053\A-5053__325.png", "Ver Imagen")</f>
        <v/>
      </c>
    </row>
    <row r="3103">
      <c r="A3103" t="n">
        <v>2642</v>
      </c>
      <c r="B3103" t="inlineStr">
        <is>
          <t>A-5053__320</t>
        </is>
      </c>
      <c r="C3103" t="n">
        <v>37.2780743164</v>
      </c>
      <c r="D3103" t="n">
        <v>-7.14390593608</v>
      </c>
      <c r="E3103" t="n">
        <v>3</v>
      </c>
      <c r="F3103" t="n">
        <v>4</v>
      </c>
      <c r="G3103" t="n">
        <v>3</v>
      </c>
      <c r="J3103" t="inlineStr">
        <is>
          <t>Moda</t>
        </is>
      </c>
      <c r="K3103" t="n">
        <v>3</v>
      </c>
      <c r="L3103" t="n">
        <v>2.713</v>
      </c>
      <c r="M3103" t="n">
        <v>0</v>
      </c>
      <c r="N3103" t="inlineStr">
        <is>
          <t>train</t>
        </is>
      </c>
      <c r="O3103">
        <f>HYPERLINK("3\1\marker_581_964573.png", "Ver Imagen")</f>
        <v/>
      </c>
      <c r="P3103">
        <f>HYPERLINK("SO\A-5053\A-5053__320.png", "Ver Imagen")</f>
        <v/>
      </c>
    </row>
    <row r="3104">
      <c r="A3104" t="n">
        <v>2643</v>
      </c>
      <c r="B3104" t="inlineStr">
        <is>
          <t>A-5053__291</t>
        </is>
      </c>
      <c r="C3104" t="n">
        <v>37.272591361</v>
      </c>
      <c r="D3104" t="n">
        <v>-7.14155874897</v>
      </c>
      <c r="E3104" t="n">
        <v>3</v>
      </c>
      <c r="F3104" t="n">
        <v>4</v>
      </c>
      <c r="G3104" t="n">
        <v>3</v>
      </c>
      <c r="J3104" t="inlineStr">
        <is>
          <t>Moda</t>
        </is>
      </c>
      <c r="K3104" t="n">
        <v>3</v>
      </c>
      <c r="L3104" t="n">
        <v>3.15</v>
      </c>
      <c r="M3104" t="n">
        <v>0</v>
      </c>
      <c r="N3104" t="inlineStr">
        <is>
          <t>train</t>
        </is>
      </c>
      <c r="O3104">
        <f>HYPERLINK("3\1\marker_437_964949.png", "Ver Imagen")</f>
        <v/>
      </c>
      <c r="P3104">
        <f>HYPERLINK("SO\A-5053\A-5053__291.png", "Ver Imagen")</f>
        <v/>
      </c>
    </row>
    <row r="3105">
      <c r="A3105" t="n">
        <v>2644</v>
      </c>
      <c r="B3105" t="inlineStr">
        <is>
          <t>A-5053__283</t>
        </is>
      </c>
      <c r="C3105" t="n">
        <v>37.2712007971</v>
      </c>
      <c r="D3105" t="n">
        <v>-7.14046595237</v>
      </c>
      <c r="E3105" t="n">
        <v>3</v>
      </c>
      <c r="F3105" t="n">
        <v>2</v>
      </c>
      <c r="G3105" t="n">
        <v>3</v>
      </c>
      <c r="J3105" t="inlineStr">
        <is>
          <t>Moda</t>
        </is>
      </c>
      <c r="K3105" t="n">
        <v>3</v>
      </c>
      <c r="L3105" t="n">
        <v>3.184</v>
      </c>
      <c r="M3105" t="n">
        <v>0</v>
      </c>
      <c r="N3105" t="inlineStr">
        <is>
          <t>train</t>
        </is>
      </c>
      <c r="O3105">
        <f>HYPERLINK("3\1\marker_370_965032.png", "Ver Imagen")</f>
        <v/>
      </c>
      <c r="P3105">
        <f>HYPERLINK("SO\A-5053\A-5053__283.png", "Ver Imagen")</f>
        <v/>
      </c>
    </row>
    <row r="3106">
      <c r="A3106" t="n">
        <v>2645</v>
      </c>
      <c r="B3106" t="inlineStr">
        <is>
          <t>A-5053__279</t>
        </is>
      </c>
      <c r="C3106" t="n">
        <v>37.2705106288</v>
      </c>
      <c r="D3106" t="n">
        <v>-7.13994081454</v>
      </c>
      <c r="E3106" t="n">
        <v>3</v>
      </c>
      <c r="F3106" t="n">
        <v>4</v>
      </c>
      <c r="G3106" t="n">
        <v>3</v>
      </c>
      <c r="J3106" t="inlineStr">
        <is>
          <t>Moda</t>
        </is>
      </c>
      <c r="K3106" t="n">
        <v>3</v>
      </c>
      <c r="L3106" t="n">
        <v>2.991</v>
      </c>
      <c r="M3106" t="n">
        <v>0</v>
      </c>
      <c r="N3106" t="inlineStr">
        <is>
          <t>train</t>
        </is>
      </c>
      <c r="O3106">
        <f>HYPERLINK("3\1\marker_588_965069.png", "Ver Imagen")</f>
        <v/>
      </c>
      <c r="P3106">
        <f>HYPERLINK("SO\A-5053\A-5053__279.png", "Ver Imagen")</f>
        <v/>
      </c>
    </row>
    <row r="3107">
      <c r="A3107" t="n">
        <v>2646</v>
      </c>
      <c r="B3107" t="inlineStr">
        <is>
          <t>A-5053__231</t>
        </is>
      </c>
      <c r="C3107" t="n">
        <v>37.2641165959</v>
      </c>
      <c r="D3107" t="n">
        <v>-7.13167178458</v>
      </c>
      <c r="E3107" t="n">
        <v>3</v>
      </c>
      <c r="F3107" t="n">
        <v>4</v>
      </c>
      <c r="G3107" t="n">
        <v>3</v>
      </c>
      <c r="J3107" t="inlineStr">
        <is>
          <t>Moda</t>
        </is>
      </c>
      <c r="K3107" t="n">
        <v>3</v>
      </c>
      <c r="L3107" t="n">
        <v>3.067</v>
      </c>
      <c r="M3107" t="n">
        <v>0</v>
      </c>
      <c r="N3107" t="inlineStr">
        <is>
          <t>train</t>
        </is>
      </c>
      <c r="O3107">
        <f>HYPERLINK("3\1\marker_208_965585.png", "Ver Imagen")</f>
        <v/>
      </c>
      <c r="P3107">
        <f>HYPERLINK("SO\A-5053\A-5053__231.png", "Ver Imagen")</f>
        <v/>
      </c>
    </row>
    <row r="3108">
      <c r="A3108" t="n">
        <v>2647</v>
      </c>
      <c r="B3108" t="inlineStr">
        <is>
          <t>A-5053__220</t>
        </is>
      </c>
      <c r="C3108" t="n">
        <v>37.2621325173</v>
      </c>
      <c r="D3108" t="n">
        <v>-7.13042481093</v>
      </c>
      <c r="E3108" t="n">
        <v>3</v>
      </c>
      <c r="F3108" t="n">
        <v>4</v>
      </c>
      <c r="G3108" t="n">
        <v>3</v>
      </c>
      <c r="J3108" t="inlineStr">
        <is>
          <t>Moda</t>
        </is>
      </c>
      <c r="K3108" t="n">
        <v>3</v>
      </c>
      <c r="L3108" t="n">
        <v>2.722</v>
      </c>
      <c r="M3108" t="n">
        <v>0</v>
      </c>
      <c r="N3108" t="inlineStr">
        <is>
          <t>train</t>
        </is>
      </c>
      <c r="O3108">
        <f>HYPERLINK("3\1\marker_343_965687.png", "Ver Imagen")</f>
        <v/>
      </c>
      <c r="P3108">
        <f>HYPERLINK("SO\A-5053\A-5053__220.png", "Ver Imagen")</f>
        <v/>
      </c>
    </row>
    <row r="3109">
      <c r="A3109" t="n">
        <v>2648</v>
      </c>
      <c r="B3109" t="inlineStr">
        <is>
          <t>A-5053__218</t>
        </is>
      </c>
      <c r="C3109" t="n">
        <v>37.2617811558</v>
      </c>
      <c r="D3109" t="n">
        <v>-7.13020306244</v>
      </c>
      <c r="E3109" t="n">
        <v>3</v>
      </c>
      <c r="F3109" t="n">
        <v>4</v>
      </c>
      <c r="G3109" t="n">
        <v>3</v>
      </c>
      <c r="J3109" t="inlineStr">
        <is>
          <t>Moda</t>
        </is>
      </c>
      <c r="K3109" t="n">
        <v>3</v>
      </c>
      <c r="L3109" t="n">
        <v>3.031</v>
      </c>
      <c r="M3109" t="n">
        <v>0</v>
      </c>
      <c r="N3109" t="inlineStr">
        <is>
          <t>train</t>
        </is>
      </c>
      <c r="O3109">
        <f>HYPERLINK("3\1\marker_611_965709.png", "Ver Imagen")</f>
        <v/>
      </c>
      <c r="P3109">
        <f>HYPERLINK("SO\A-5053\A-5053__218.png", "Ver Imagen")</f>
        <v/>
      </c>
    </row>
    <row r="3110">
      <c r="A3110" t="n">
        <v>2649</v>
      </c>
      <c r="B3110" t="inlineStr">
        <is>
          <t>A-5053__215</t>
        </is>
      </c>
      <c r="C3110" t="n">
        <v>37.2612910988</v>
      </c>
      <c r="D3110" t="n">
        <v>-7.12979515285</v>
      </c>
      <c r="E3110" t="n">
        <v>4</v>
      </c>
      <c r="F3110" t="n">
        <v>3</v>
      </c>
      <c r="G3110" t="n">
        <v>3</v>
      </c>
      <c r="J3110" t="inlineStr">
        <is>
          <t>Moda</t>
        </is>
      </c>
      <c r="K3110" t="n">
        <v>3</v>
      </c>
      <c r="L3110" t="n">
        <v>3.152</v>
      </c>
      <c r="M3110" t="n">
        <v>0</v>
      </c>
      <c r="N3110" t="inlineStr">
        <is>
          <t>train</t>
        </is>
      </c>
      <c r="O3110">
        <f>HYPERLINK("3\1\marker_649_965737.png", "Ver Imagen")</f>
        <v/>
      </c>
      <c r="P3110">
        <f>HYPERLINK("SO\A-5053\A-5053__215.png", "Ver Imagen")</f>
        <v/>
      </c>
    </row>
    <row r="3111">
      <c r="A3111" t="n">
        <v>2650</v>
      </c>
      <c r="B3111" t="inlineStr">
        <is>
          <t>A-5053__213</t>
        </is>
      </c>
      <c r="C3111" t="n">
        <v>37.2609101593</v>
      </c>
      <c r="D3111" t="n">
        <v>-7.12956931496</v>
      </c>
      <c r="E3111" t="n">
        <v>4</v>
      </c>
      <c r="F3111" t="n">
        <v>3</v>
      </c>
      <c r="G3111" t="n">
        <v>3</v>
      </c>
      <c r="J3111" t="inlineStr">
        <is>
          <t>Moda</t>
        </is>
      </c>
      <c r="K3111" t="n">
        <v>3</v>
      </c>
      <c r="L3111" t="n">
        <v>2.958</v>
      </c>
      <c r="M3111" t="n">
        <v>0</v>
      </c>
      <c r="N3111" t="inlineStr">
        <is>
          <t>train</t>
        </is>
      </c>
      <c r="O3111">
        <f>HYPERLINK("3\1\marker_959_965758.png", "Ver Imagen")</f>
        <v/>
      </c>
      <c r="P3111">
        <f>HYPERLINK("SO\A-5053\A-5053__213.png", "Ver Imagen")</f>
        <v/>
      </c>
    </row>
    <row r="3112">
      <c r="A3112" t="n">
        <v>2651</v>
      </c>
      <c r="B3112" t="inlineStr">
        <is>
          <t>A-5053__209</t>
        </is>
      </c>
      <c r="C3112" t="n">
        <v>37.2601342612</v>
      </c>
      <c r="D3112" t="n">
        <v>-7.12915431533</v>
      </c>
      <c r="E3112" t="n">
        <v>3</v>
      </c>
      <c r="F3112" t="n">
        <v>3</v>
      </c>
      <c r="G3112" t="n">
        <v>2</v>
      </c>
      <c r="J3112" t="inlineStr">
        <is>
          <t>Moda</t>
        </is>
      </c>
      <c r="K3112" t="n">
        <v>3</v>
      </c>
      <c r="L3112" t="n">
        <v>2.878</v>
      </c>
      <c r="M3112" t="n">
        <v>0</v>
      </c>
      <c r="N3112" t="inlineStr">
        <is>
          <t>train</t>
        </is>
      </c>
      <c r="O3112">
        <f>HYPERLINK("3\1\marker_102_965801.png", "Ver Imagen")</f>
        <v/>
      </c>
      <c r="P3112">
        <f>HYPERLINK("SO\A-5053\A-5053__209.png", "Ver Imagen")</f>
        <v/>
      </c>
    </row>
    <row r="3113">
      <c r="A3113" t="n">
        <v>2652</v>
      </c>
      <c r="B3113" t="inlineStr">
        <is>
          <t>A-5053__153</t>
        </is>
      </c>
      <c r="C3113" t="n">
        <v>37.2493059603</v>
      </c>
      <c r="D3113" t="n">
        <v>-7.12738581095</v>
      </c>
      <c r="E3113" t="n">
        <v>3</v>
      </c>
      <c r="F3113" t="n">
        <v>2</v>
      </c>
      <c r="G3113" t="n">
        <v>3</v>
      </c>
      <c r="J3113" t="inlineStr">
        <is>
          <t>Moda</t>
        </is>
      </c>
      <c r="K3113" t="n">
        <v>3</v>
      </c>
      <c r="L3113" t="n">
        <v>2.98</v>
      </c>
      <c r="M3113" t="n">
        <v>0</v>
      </c>
      <c r="N3113" t="inlineStr">
        <is>
          <t>train</t>
        </is>
      </c>
      <c r="O3113">
        <f>HYPERLINK("3\1\marker_783_966358.png", "Ver Imagen")</f>
        <v/>
      </c>
      <c r="P3113">
        <f>HYPERLINK("SO\A-5053\A-5053__153.png", "Ver Imagen")</f>
        <v/>
      </c>
    </row>
    <row r="3114">
      <c r="A3114" t="n">
        <v>2653</v>
      </c>
      <c r="B3114" t="inlineStr">
        <is>
          <t>A-5053__99</t>
        </is>
      </c>
      <c r="C3114" t="n">
        <v>37.2384284626</v>
      </c>
      <c r="D3114" t="n">
        <v>-7.12841739786</v>
      </c>
      <c r="E3114" t="n">
        <v>3</v>
      </c>
      <c r="F3114" t="n">
        <v>2</v>
      </c>
      <c r="G3114" t="n">
        <v>3</v>
      </c>
      <c r="J3114" t="inlineStr">
        <is>
          <t>Moda</t>
        </is>
      </c>
      <c r="K3114" t="n">
        <v>3</v>
      </c>
      <c r="L3114" t="n">
        <v>2.794</v>
      </c>
      <c r="M3114" t="n">
        <v>0</v>
      </c>
      <c r="N3114" t="inlineStr">
        <is>
          <t>train</t>
        </is>
      </c>
      <c r="O3114">
        <f>HYPERLINK("3\1\marker_686_019823.png", "Ver Imagen")</f>
        <v/>
      </c>
      <c r="P3114">
        <f>HYPERLINK("SO\A-5053\A-5053__99.png", "Ver Imagen")</f>
        <v/>
      </c>
    </row>
    <row r="3115">
      <c r="A3115" t="n">
        <v>2654</v>
      </c>
      <c r="B3115" t="inlineStr">
        <is>
          <t>A-5053__47</t>
        </is>
      </c>
      <c r="C3115" t="n">
        <v>37.2280631609</v>
      </c>
      <c r="D3115" t="n">
        <v>-7.12674873942</v>
      </c>
      <c r="E3115" t="n">
        <v>4</v>
      </c>
      <c r="F3115" t="n">
        <v>3</v>
      </c>
      <c r="G3115" t="n">
        <v>3</v>
      </c>
      <c r="J3115" t="inlineStr">
        <is>
          <t>Moda</t>
        </is>
      </c>
      <c r="K3115" t="n">
        <v>3</v>
      </c>
      <c r="L3115" t="n">
        <v>2.883</v>
      </c>
      <c r="M3115" t="n">
        <v>0</v>
      </c>
      <c r="N3115" t="inlineStr">
        <is>
          <t>train</t>
        </is>
      </c>
      <c r="O3115">
        <f>HYPERLINK("3\1\marker_271_021029.png", "Ver Imagen")</f>
        <v/>
      </c>
      <c r="P3115">
        <f>HYPERLINK("SO\A-5053\A-5053__47.png", "Ver Imagen")</f>
        <v/>
      </c>
    </row>
    <row r="3116">
      <c r="A3116" t="n">
        <v>2655</v>
      </c>
      <c r="B3116" t="inlineStr">
        <is>
          <t>A-5053__12</t>
        </is>
      </c>
      <c r="C3116" t="n">
        <v>37.2212970197</v>
      </c>
      <c r="D3116" t="n">
        <v>-7.12564208185</v>
      </c>
      <c r="E3116" t="n">
        <v>4</v>
      </c>
      <c r="F3116" t="n">
        <v>3</v>
      </c>
      <c r="G3116" t="n">
        <v>3</v>
      </c>
      <c r="J3116" t="inlineStr">
        <is>
          <t>Moda</t>
        </is>
      </c>
      <c r="K3116" t="n">
        <v>3</v>
      </c>
      <c r="L3116" t="n">
        <v>2.762</v>
      </c>
      <c r="M3116" t="n">
        <v>0</v>
      </c>
      <c r="N3116" t="inlineStr">
        <is>
          <t>train</t>
        </is>
      </c>
      <c r="O3116">
        <f>HYPERLINK("3\1\marker_802_025082.png", "Ver Imagen")</f>
        <v/>
      </c>
      <c r="P3116">
        <f>HYPERLINK("SO\A-5053\A-5053__12.png", "Ver Imagen")</f>
        <v/>
      </c>
    </row>
    <row r="3117">
      <c r="A3117" t="n">
        <v>2656</v>
      </c>
      <c r="B3117" t="inlineStr">
        <is>
          <t>A-495__20</t>
        </is>
      </c>
      <c r="C3117" t="n">
        <v>37.4434073273</v>
      </c>
      <c r="D3117" t="n">
        <v>-7.0955173474</v>
      </c>
      <c r="E3117" t="n">
        <v>3</v>
      </c>
      <c r="F3117" t="n">
        <v>2</v>
      </c>
      <c r="G3117" t="n">
        <v>3</v>
      </c>
      <c r="J3117" t="inlineStr">
        <is>
          <t>Moda</t>
        </is>
      </c>
      <c r="K3117" t="n">
        <v>3</v>
      </c>
      <c r="L3117" t="n">
        <v>2.804</v>
      </c>
      <c r="M3117" t="n">
        <v>0</v>
      </c>
      <c r="N3117" t="inlineStr">
        <is>
          <t>train</t>
        </is>
      </c>
      <c r="O3117">
        <f>HYPERLINK("3\1\marker_606_381265.png", "Ver Imagen")</f>
        <v/>
      </c>
      <c r="P3117">
        <f>HYPERLINK("NE\A-495\A-495__20.png", "Ver Imagen")</f>
        <v/>
      </c>
    </row>
    <row r="3118">
      <c r="A3118" t="n">
        <v>2657</v>
      </c>
      <c r="B3118" t="inlineStr">
        <is>
          <t>A-495__42</t>
        </is>
      </c>
      <c r="C3118" t="n">
        <v>37.4413715543</v>
      </c>
      <c r="D3118" t="n">
        <v>-7.09054309119</v>
      </c>
      <c r="E3118" t="n">
        <v>3</v>
      </c>
      <c r="F3118" t="n">
        <v>2</v>
      </c>
      <c r="G3118" t="n">
        <v>3</v>
      </c>
      <c r="J3118" t="inlineStr">
        <is>
          <t>Moda</t>
        </is>
      </c>
      <c r="K3118" t="n">
        <v>3</v>
      </c>
      <c r="L3118" t="n">
        <v>3.01</v>
      </c>
      <c r="M3118" t="n">
        <v>0</v>
      </c>
      <c r="N3118" t="inlineStr">
        <is>
          <t>train</t>
        </is>
      </c>
      <c r="O3118">
        <f>HYPERLINK("3\1\marker_206_381530.png", "Ver Imagen")</f>
        <v/>
      </c>
      <c r="P3118">
        <f>HYPERLINK("NE\A-495\A-495__42.png", "Ver Imagen")</f>
        <v/>
      </c>
    </row>
    <row r="3119">
      <c r="A3119" t="n">
        <v>2658</v>
      </c>
      <c r="B3119" t="inlineStr">
        <is>
          <t>A-495__43</t>
        </is>
      </c>
      <c r="C3119" t="n">
        <v>37.4412696562</v>
      </c>
      <c r="D3119" t="n">
        <v>-7.0903248826</v>
      </c>
      <c r="E3119" t="n">
        <v>3</v>
      </c>
      <c r="F3119" t="n">
        <v>2</v>
      </c>
      <c r="G3119" t="n">
        <v>3</v>
      </c>
      <c r="J3119" t="inlineStr">
        <is>
          <t>Moda</t>
        </is>
      </c>
      <c r="K3119" t="n">
        <v>3</v>
      </c>
      <c r="L3119" t="n">
        <v>2.797</v>
      </c>
      <c r="M3119" t="n">
        <v>0</v>
      </c>
      <c r="N3119" t="inlineStr">
        <is>
          <t>train</t>
        </is>
      </c>
      <c r="O3119">
        <f>HYPERLINK("3\1\marker_469_381543.png", "Ver Imagen")</f>
        <v/>
      </c>
      <c r="P3119">
        <f>HYPERLINK("NE\A-495\A-495__43.png", "Ver Imagen")</f>
        <v/>
      </c>
    </row>
    <row r="3120">
      <c r="A3120" t="n">
        <v>2659</v>
      </c>
      <c r="B3120" t="inlineStr">
        <is>
          <t>A-5059__41</t>
        </is>
      </c>
      <c r="C3120" t="n">
        <v>37.2271302433</v>
      </c>
      <c r="D3120" t="n">
        <v>-7.06078491716</v>
      </c>
      <c r="E3120" t="n">
        <v>3</v>
      </c>
      <c r="F3120" t="n">
        <v>2</v>
      </c>
      <c r="G3120" t="n">
        <v>3</v>
      </c>
      <c r="J3120" t="inlineStr">
        <is>
          <t>Moda</t>
        </is>
      </c>
      <c r="K3120" t="n">
        <v>3</v>
      </c>
      <c r="L3120" t="n">
        <v>3.11</v>
      </c>
      <c r="M3120" t="n">
        <v>0</v>
      </c>
      <c r="N3120" t="inlineStr">
        <is>
          <t>train</t>
        </is>
      </c>
      <c r="O3120">
        <f>HYPERLINK("3\1\marker_244_379286.png", "Ver Imagen")</f>
        <v/>
      </c>
      <c r="P3120">
        <f>HYPERLINK("SE\A-5059\A-5059__41.png", "Ver Imagen")</f>
        <v/>
      </c>
    </row>
    <row r="3121">
      <c r="A3121" t="n">
        <v>2660</v>
      </c>
      <c r="B3121" t="inlineStr">
        <is>
          <t>A-5059__39</t>
        </is>
      </c>
      <c r="C3121" t="n">
        <v>37.2275052527</v>
      </c>
      <c r="D3121" t="n">
        <v>-7.06096101495</v>
      </c>
      <c r="E3121" t="n">
        <v>3</v>
      </c>
      <c r="F3121" t="n">
        <v>2</v>
      </c>
      <c r="G3121" t="n">
        <v>3</v>
      </c>
      <c r="J3121" t="inlineStr">
        <is>
          <t>Moda</t>
        </is>
      </c>
      <c r="K3121" t="n">
        <v>3</v>
      </c>
      <c r="L3121" t="n">
        <v>2.954</v>
      </c>
      <c r="M3121" t="n">
        <v>0</v>
      </c>
      <c r="N3121" t="inlineStr">
        <is>
          <t>test</t>
        </is>
      </c>
      <c r="O3121">
        <f>HYPERLINK("3\1\marker_168_379304.png", "Ver Imagen")</f>
        <v/>
      </c>
      <c r="P3121">
        <f>HYPERLINK("SE\A-5059\A-5059__39.png", "Ver Imagen")</f>
        <v/>
      </c>
    </row>
    <row r="3122">
      <c r="A3122" t="n">
        <v>2661</v>
      </c>
      <c r="B3122" t="inlineStr">
        <is>
          <t>A-5059__29</t>
        </is>
      </c>
      <c r="C3122" t="n">
        <v>37.2291018296</v>
      </c>
      <c r="D3122" t="n">
        <v>-7.06251964924</v>
      </c>
      <c r="E3122" t="n">
        <v>3</v>
      </c>
      <c r="F3122" t="n">
        <v>2</v>
      </c>
      <c r="G3122" t="n">
        <v>3</v>
      </c>
      <c r="J3122" t="inlineStr">
        <is>
          <t>Moda</t>
        </is>
      </c>
      <c r="K3122" t="n">
        <v>3</v>
      </c>
      <c r="L3122" t="n">
        <v>2.793</v>
      </c>
      <c r="M3122" t="n">
        <v>0</v>
      </c>
      <c r="N3122" t="inlineStr">
        <is>
          <t>train</t>
        </is>
      </c>
      <c r="O3122">
        <f>HYPERLINK("3\1\marker_659_379413.png", "Ver Imagen")</f>
        <v/>
      </c>
      <c r="P3122">
        <f>HYPERLINK("SE\A-5059\A-5059__29.png", "Ver Imagen")</f>
        <v/>
      </c>
    </row>
    <row r="3123">
      <c r="A3123" t="n">
        <v>2662</v>
      </c>
      <c r="B3123" t="inlineStr">
        <is>
          <t>A-5059__28</t>
        </is>
      </c>
      <c r="C3123" t="n">
        <v>37.2292179873</v>
      </c>
      <c r="D3123" t="n">
        <v>-7.06265153806</v>
      </c>
      <c r="E3123" t="n">
        <v>3</v>
      </c>
      <c r="F3123" t="n">
        <v>2</v>
      </c>
      <c r="G3123" t="n">
        <v>3</v>
      </c>
      <c r="J3123" t="inlineStr">
        <is>
          <t>Moda</t>
        </is>
      </c>
      <c r="K3123" t="n">
        <v>3</v>
      </c>
      <c r="L3123" t="n">
        <v>2.885</v>
      </c>
      <c r="M3123" t="n">
        <v>0</v>
      </c>
      <c r="N3123" t="inlineStr">
        <is>
          <t>train</t>
        </is>
      </c>
      <c r="O3123">
        <f>HYPERLINK("3\1\marker_200_379421.png", "Ver Imagen")</f>
        <v/>
      </c>
      <c r="P3123">
        <f>HYPERLINK("SE\A-5059\A-5059__28.png", "Ver Imagen")</f>
        <v/>
      </c>
    </row>
    <row r="3124">
      <c r="A3124" t="n">
        <v>2663</v>
      </c>
      <c r="B3124" t="inlineStr">
        <is>
          <t>A-5059__26</t>
        </is>
      </c>
      <c r="C3124" t="n">
        <v>37.229564045</v>
      </c>
      <c r="D3124" t="n">
        <v>-7.06298513213</v>
      </c>
      <c r="E3124" t="n">
        <v>3</v>
      </c>
      <c r="F3124" t="n">
        <v>2</v>
      </c>
      <c r="G3124" t="n">
        <v>3</v>
      </c>
      <c r="J3124" t="inlineStr">
        <is>
          <t>Moda</t>
        </is>
      </c>
      <c r="K3124" t="n">
        <v>3</v>
      </c>
      <c r="L3124" t="n">
        <v>2.982</v>
      </c>
      <c r="M3124" t="n">
        <v>0</v>
      </c>
      <c r="N3124" t="inlineStr">
        <is>
          <t>train</t>
        </is>
      </c>
      <c r="O3124">
        <f>HYPERLINK("3\1\marker_428_379439.png", "Ver Imagen")</f>
        <v/>
      </c>
      <c r="P3124">
        <f>HYPERLINK("SE\A-5059\A-5059__26.png", "Ver Imagen")</f>
        <v/>
      </c>
    </row>
    <row r="3125">
      <c r="A3125" t="n">
        <v>2664</v>
      </c>
      <c r="B3125" t="inlineStr">
        <is>
          <t>A-5059__24</t>
        </is>
      </c>
      <c r="C3125" t="n">
        <v>37.2299189473</v>
      </c>
      <c r="D3125" t="n">
        <v>-7.06320381309</v>
      </c>
      <c r="E3125" t="n">
        <v>3</v>
      </c>
      <c r="F3125" t="n">
        <v>2</v>
      </c>
      <c r="G3125" t="n">
        <v>3</v>
      </c>
      <c r="J3125" t="inlineStr">
        <is>
          <t>Moda</t>
        </is>
      </c>
      <c r="K3125" t="n">
        <v>3</v>
      </c>
      <c r="L3125" t="n">
        <v>3.035</v>
      </c>
      <c r="M3125" t="n">
        <v>0</v>
      </c>
      <c r="N3125" t="inlineStr">
        <is>
          <t>train</t>
        </is>
      </c>
      <c r="O3125">
        <f>HYPERLINK("3\1\marker_780_379456.png", "Ver Imagen")</f>
        <v/>
      </c>
      <c r="P3125">
        <f>HYPERLINK("SE\A-5059\A-5059__24.png", "Ver Imagen")</f>
        <v/>
      </c>
    </row>
    <row r="3126">
      <c r="A3126" t="n">
        <v>2665</v>
      </c>
      <c r="B3126" t="inlineStr">
        <is>
          <t>A-5059__23</t>
        </is>
      </c>
      <c r="C3126" t="n">
        <v>37.2301140629</v>
      </c>
      <c r="D3126" t="n">
        <v>-7.06327719973</v>
      </c>
      <c r="E3126" t="n">
        <v>3</v>
      </c>
      <c r="F3126" t="n">
        <v>2</v>
      </c>
      <c r="G3126" t="n">
        <v>3</v>
      </c>
      <c r="J3126" t="inlineStr">
        <is>
          <t>Moda</t>
        </is>
      </c>
      <c r="K3126" t="n">
        <v>3</v>
      </c>
      <c r="L3126" t="n">
        <v>2.719</v>
      </c>
      <c r="M3126" t="n">
        <v>0</v>
      </c>
      <c r="N3126" t="inlineStr">
        <is>
          <t>train</t>
        </is>
      </c>
      <c r="O3126">
        <f>HYPERLINK("3\1\marker_225_379465.png", "Ver Imagen")</f>
        <v/>
      </c>
      <c r="P3126">
        <f>HYPERLINK("SE\A-5059\A-5059__23.png", "Ver Imagen")</f>
        <v/>
      </c>
    </row>
    <row r="3127">
      <c r="A3127" t="n">
        <v>2667</v>
      </c>
      <c r="B3127" t="inlineStr">
        <is>
          <t>A-5059__14</t>
        </is>
      </c>
      <c r="C3127" t="n">
        <v>37.2318343022</v>
      </c>
      <c r="D3127" t="n">
        <v>-7.06396949358</v>
      </c>
      <c r="E3127" t="n">
        <v>3</v>
      </c>
      <c r="F3127" t="n">
        <v>2</v>
      </c>
      <c r="G3127" t="n">
        <v>3</v>
      </c>
      <c r="J3127" t="inlineStr">
        <is>
          <t>Moda</t>
        </is>
      </c>
      <c r="K3127" t="n">
        <v>3</v>
      </c>
      <c r="L3127" t="n">
        <v>3.138</v>
      </c>
      <c r="M3127" t="n">
        <v>0</v>
      </c>
      <c r="N3127" t="inlineStr">
        <is>
          <t>train</t>
        </is>
      </c>
      <c r="O3127">
        <f>HYPERLINK("3\1\marker_345_379545.png", "Ver Imagen")</f>
        <v/>
      </c>
      <c r="P3127">
        <f>HYPERLINK("SE\A-5059\A-5059__14.png", "Ver Imagen")</f>
        <v/>
      </c>
    </row>
    <row r="3128">
      <c r="A3128" t="n">
        <v>2668</v>
      </c>
      <c r="B3128" t="inlineStr">
        <is>
          <t>A-5059__10</t>
        </is>
      </c>
      <c r="C3128" t="n">
        <v>37.2324244609</v>
      </c>
      <c r="D3128" t="n">
        <v>-7.06465428539</v>
      </c>
      <c r="E3128" t="n">
        <v>3</v>
      </c>
      <c r="F3128" t="n">
        <v>2</v>
      </c>
      <c r="G3128" t="n">
        <v>3</v>
      </c>
      <c r="J3128" t="inlineStr">
        <is>
          <t>Moda</t>
        </is>
      </c>
      <c r="K3128" t="n">
        <v>3</v>
      </c>
      <c r="L3128" t="n">
        <v>2.754</v>
      </c>
      <c r="M3128" t="n">
        <v>0</v>
      </c>
      <c r="N3128" t="inlineStr">
        <is>
          <t>test</t>
        </is>
      </c>
      <c r="O3128">
        <f>HYPERLINK("3\1\marker_509_379582.png", "Ver Imagen")</f>
        <v/>
      </c>
      <c r="P3128">
        <f>HYPERLINK("SE\A-5059\A-5059__10.png", "Ver Imagen")</f>
        <v/>
      </c>
    </row>
    <row r="3129">
      <c r="A3129" t="n">
        <v>2669</v>
      </c>
      <c r="B3129" t="inlineStr">
        <is>
          <t>A-495__159</t>
        </is>
      </c>
      <c r="C3129" t="n">
        <v>37.4325030642</v>
      </c>
      <c r="D3129" t="n">
        <v>-7.06394380594</v>
      </c>
      <c r="E3129" t="n">
        <v>3</v>
      </c>
      <c r="F3129" t="n">
        <v>4</v>
      </c>
      <c r="G3129" t="n">
        <v>3</v>
      </c>
      <c r="J3129" t="inlineStr">
        <is>
          <t>Moda</t>
        </is>
      </c>
      <c r="K3129" t="n">
        <v>3</v>
      </c>
      <c r="L3129" t="n">
        <v>2.785</v>
      </c>
      <c r="M3129" t="n">
        <v>0</v>
      </c>
      <c r="N3129" t="inlineStr">
        <is>
          <t>train</t>
        </is>
      </c>
      <c r="O3129">
        <f>HYPERLINK("3\1\marker_607_382792.png", "Ver Imagen")</f>
        <v/>
      </c>
      <c r="P3129">
        <f>HYPERLINK("NE\A-495\A-495__159.png", "Ver Imagen")</f>
        <v/>
      </c>
    </row>
    <row r="3130">
      <c r="A3130" t="n">
        <v>2670</v>
      </c>
      <c r="B3130" t="inlineStr">
        <is>
          <t>A-5058__7</t>
        </is>
      </c>
      <c r="C3130" t="n">
        <v>37.2253212648</v>
      </c>
      <c r="D3130" t="n">
        <v>-7.02902489117</v>
      </c>
      <c r="E3130" t="n">
        <v>3</v>
      </c>
      <c r="F3130" t="n">
        <v>2</v>
      </c>
      <c r="G3130" t="n">
        <v>3</v>
      </c>
      <c r="J3130" t="inlineStr">
        <is>
          <t>Moda</t>
        </is>
      </c>
      <c r="K3130" t="n">
        <v>3</v>
      </c>
      <c r="L3130" t="n">
        <v>2.612</v>
      </c>
      <c r="M3130" t="n">
        <v>0</v>
      </c>
      <c r="N3130" t="inlineStr">
        <is>
          <t>val</t>
        </is>
      </c>
      <c r="O3130">
        <f>HYPERLINK("3\1\marker_908_379881.png", "Ver Imagen")</f>
        <v/>
      </c>
      <c r="P3130">
        <f>HYPERLINK("SE\A-5058\A-5058__7.png", "Ver Imagen")</f>
        <v/>
      </c>
    </row>
    <row r="3131">
      <c r="A3131" t="n">
        <v>2671</v>
      </c>
      <c r="B3131" t="inlineStr">
        <is>
          <t>A-5058__15</t>
        </is>
      </c>
      <c r="C3131" t="n">
        <v>37.22529838</v>
      </c>
      <c r="D3131" t="n">
        <v>-7.03106351334</v>
      </c>
      <c r="E3131" t="n">
        <v>3</v>
      </c>
      <c r="F3131" t="n">
        <v>2</v>
      </c>
      <c r="G3131" t="n">
        <v>3</v>
      </c>
      <c r="J3131" t="inlineStr">
        <is>
          <t>Moda</t>
        </is>
      </c>
      <c r="K3131" t="n">
        <v>3</v>
      </c>
      <c r="L3131" t="n">
        <v>3.241</v>
      </c>
      <c r="M3131" t="n">
        <v>0</v>
      </c>
      <c r="N3131" t="inlineStr">
        <is>
          <t>train</t>
        </is>
      </c>
      <c r="O3131">
        <f>HYPERLINK("3\1\marker_351_379993.png", "Ver Imagen")</f>
        <v/>
      </c>
      <c r="P3131">
        <f>HYPERLINK("SE\A-5058\A-5058__15.png", "Ver Imagen")</f>
        <v/>
      </c>
    </row>
    <row r="3132">
      <c r="A3132" t="n">
        <v>2672</v>
      </c>
      <c r="B3132" t="inlineStr">
        <is>
          <t>A-5058__25</t>
        </is>
      </c>
      <c r="C3132" t="n">
        <v>37.2249014309</v>
      </c>
      <c r="D3132" t="n">
        <v>-7.03352448463</v>
      </c>
      <c r="E3132" t="n">
        <v>3</v>
      </c>
      <c r="F3132" t="n">
        <v>2</v>
      </c>
      <c r="G3132" t="n">
        <v>3</v>
      </c>
      <c r="J3132" t="inlineStr">
        <is>
          <t>Moda</t>
        </is>
      </c>
      <c r="K3132" t="n">
        <v>3</v>
      </c>
      <c r="L3132" t="n">
        <v>2.72</v>
      </c>
      <c r="M3132" t="n">
        <v>0</v>
      </c>
      <c r="N3132" t="inlineStr">
        <is>
          <t>test</t>
        </is>
      </c>
      <c r="O3132">
        <f>HYPERLINK("3\1\marker_366_380136.png", "Ver Imagen")</f>
        <v/>
      </c>
      <c r="P3132">
        <f>HYPERLINK("SE\A-5058\A-5058__25.png", "Ver Imagen")</f>
        <v/>
      </c>
    </row>
    <row r="3133">
      <c r="A3133" t="n">
        <v>2674</v>
      </c>
      <c r="B3133" t="inlineStr">
        <is>
          <t>A-5058__33</t>
        </is>
      </c>
      <c r="C3133" t="n">
        <v>37.2246419617</v>
      </c>
      <c r="D3133" t="n">
        <v>-7.03534079717</v>
      </c>
      <c r="E3133" t="n">
        <v>4</v>
      </c>
      <c r="F3133" t="n">
        <v>3</v>
      </c>
      <c r="G3133" t="n">
        <v>3</v>
      </c>
      <c r="J3133" t="inlineStr">
        <is>
          <t>Moda</t>
        </is>
      </c>
      <c r="K3133" t="n">
        <v>3</v>
      </c>
      <c r="L3133" t="n">
        <v>3.436</v>
      </c>
      <c r="M3133" t="n">
        <v>0</v>
      </c>
      <c r="N3133" t="inlineStr">
        <is>
          <t>test</t>
        </is>
      </c>
      <c r="O3133">
        <f>HYPERLINK("3\1\marker_163_380223.png", "Ver Imagen")</f>
        <v/>
      </c>
      <c r="P3133">
        <f>HYPERLINK("SE\A-5058\A-5058__33.png", "Ver Imagen")</f>
        <v/>
      </c>
    </row>
    <row r="3134">
      <c r="A3134" t="n">
        <v>2675</v>
      </c>
      <c r="B3134" t="inlineStr">
        <is>
          <t>A-5058__34</t>
        </is>
      </c>
      <c r="C3134" t="n">
        <v>37.2246513993</v>
      </c>
      <c r="D3134" t="n">
        <v>-7.03559923398</v>
      </c>
      <c r="E3134" t="n">
        <v>4</v>
      </c>
      <c r="F3134" t="n">
        <v>3</v>
      </c>
      <c r="G3134" t="n">
        <v>3</v>
      </c>
      <c r="J3134" t="inlineStr">
        <is>
          <t>Moda</t>
        </is>
      </c>
      <c r="K3134" t="n">
        <v>3</v>
      </c>
      <c r="L3134" t="n">
        <v>2.849</v>
      </c>
      <c r="M3134" t="n">
        <v>0</v>
      </c>
      <c r="N3134" t="inlineStr">
        <is>
          <t>train</t>
        </is>
      </c>
      <c r="O3134">
        <f>HYPERLINK("3\1\marker_967_380234.png", "Ver Imagen")</f>
        <v/>
      </c>
      <c r="P3134">
        <f>HYPERLINK("SE\A-5058\A-5058__34.png", "Ver Imagen")</f>
        <v/>
      </c>
    </row>
    <row r="3135">
      <c r="A3135" t="n">
        <v>2676</v>
      </c>
      <c r="B3135" t="inlineStr">
        <is>
          <t>A-5058__35</t>
        </is>
      </c>
      <c r="C3135" t="n">
        <v>37.2245859388</v>
      </c>
      <c r="D3135" t="n">
        <v>-7.03578806529</v>
      </c>
      <c r="E3135" t="n">
        <v>4</v>
      </c>
      <c r="F3135" t="n">
        <v>3</v>
      </c>
      <c r="G3135" t="n">
        <v>3</v>
      </c>
      <c r="J3135" t="inlineStr">
        <is>
          <t>Moda</t>
        </is>
      </c>
      <c r="K3135" t="n">
        <v>3</v>
      </c>
      <c r="L3135" t="n">
        <v>2.963</v>
      </c>
      <c r="M3135" t="n">
        <v>0</v>
      </c>
      <c r="N3135" t="inlineStr">
        <is>
          <t>train</t>
        </is>
      </c>
      <c r="O3135">
        <f>HYPERLINK("3\1\marker_680_380244.png", "Ver Imagen")</f>
        <v/>
      </c>
      <c r="P3135">
        <f>HYPERLINK("SE\A-5058\A-5058__35.png", "Ver Imagen")</f>
        <v/>
      </c>
    </row>
    <row r="3136">
      <c r="A3136" t="n">
        <v>2677</v>
      </c>
      <c r="B3136" t="inlineStr">
        <is>
          <t>A-5058__37</t>
        </is>
      </c>
      <c r="C3136" t="n">
        <v>37.2245641975</v>
      </c>
      <c r="D3136" t="n">
        <v>-7.03622661395</v>
      </c>
      <c r="E3136" t="n">
        <v>3</v>
      </c>
      <c r="F3136" t="n">
        <v>2</v>
      </c>
      <c r="G3136" t="n">
        <v>3</v>
      </c>
      <c r="J3136" t="inlineStr">
        <is>
          <t>Moda</t>
        </is>
      </c>
      <c r="K3136" t="n">
        <v>3</v>
      </c>
      <c r="L3136" t="n">
        <v>2.958</v>
      </c>
      <c r="M3136" t="n">
        <v>0</v>
      </c>
      <c r="N3136" t="inlineStr">
        <is>
          <t>test</t>
        </is>
      </c>
      <c r="O3136">
        <f>HYPERLINK("3\1\marker_168_380265.png", "Ver Imagen")</f>
        <v/>
      </c>
      <c r="P3136">
        <f>HYPERLINK("SE\A-5058\A-5058__37.png", "Ver Imagen")</f>
        <v/>
      </c>
    </row>
    <row r="3137">
      <c r="A3137" t="n">
        <v>2678</v>
      </c>
      <c r="B3137" t="inlineStr">
        <is>
          <t>A-5058__43</t>
        </is>
      </c>
      <c r="C3137" t="n">
        <v>37.2246361433</v>
      </c>
      <c r="D3137" t="n">
        <v>-7.03775202178</v>
      </c>
      <c r="E3137" t="n">
        <v>3</v>
      </c>
      <c r="F3137" t="n">
        <v>2</v>
      </c>
      <c r="G3137" t="n">
        <v>3</v>
      </c>
      <c r="J3137" t="inlineStr">
        <is>
          <t>Moda</t>
        </is>
      </c>
      <c r="K3137" t="n">
        <v>3</v>
      </c>
      <c r="L3137" t="n">
        <v>2.881</v>
      </c>
      <c r="M3137" t="n">
        <v>0</v>
      </c>
      <c r="N3137" t="inlineStr">
        <is>
          <t>train</t>
        </is>
      </c>
      <c r="O3137">
        <f>HYPERLINK("3\1\marker_758_380453.png", "Ver Imagen")</f>
        <v/>
      </c>
      <c r="P3137">
        <f>HYPERLINK("SE\A-5058\A-5058__43.png", "Ver Imagen")</f>
        <v/>
      </c>
    </row>
    <row r="3138">
      <c r="A3138" t="n">
        <v>2679</v>
      </c>
      <c r="B3138" t="inlineStr">
        <is>
          <t>A-5058__47</t>
        </is>
      </c>
      <c r="C3138" t="n">
        <v>37.2247203752</v>
      </c>
      <c r="D3138" t="n">
        <v>-7.03878133358</v>
      </c>
      <c r="E3138" t="n">
        <v>3</v>
      </c>
      <c r="F3138" t="n">
        <v>2</v>
      </c>
      <c r="G3138" t="n">
        <v>3</v>
      </c>
      <c r="J3138" t="inlineStr">
        <is>
          <t>Moda</t>
        </is>
      </c>
      <c r="K3138" t="n">
        <v>3</v>
      </c>
      <c r="L3138" t="n">
        <v>2.636</v>
      </c>
      <c r="M3138" t="n">
        <v>0</v>
      </c>
      <c r="N3138" t="inlineStr">
        <is>
          <t>train</t>
        </is>
      </c>
      <c r="O3138">
        <f>HYPERLINK("3\1\marker_727_380501.png", "Ver Imagen")</f>
        <v/>
      </c>
      <c r="P3138">
        <f>HYPERLINK("SE\A-5058\A-5058__47.png", "Ver Imagen")</f>
        <v/>
      </c>
    </row>
    <row r="3139">
      <c r="A3139" t="n">
        <v>2680</v>
      </c>
      <c r="B3139" t="inlineStr">
        <is>
          <t>A-5058__75</t>
        </is>
      </c>
      <c r="C3139" t="n">
        <v>37.2272443794</v>
      </c>
      <c r="D3139" t="n">
        <v>-7.04499389068</v>
      </c>
      <c r="E3139" t="n">
        <v>3</v>
      </c>
      <c r="F3139" t="n">
        <v>2</v>
      </c>
      <c r="G3139" t="n">
        <v>3</v>
      </c>
      <c r="J3139" t="inlineStr">
        <is>
          <t>Moda</t>
        </is>
      </c>
      <c r="K3139" t="n">
        <v>3</v>
      </c>
      <c r="L3139" t="n">
        <v>2.541</v>
      </c>
      <c r="M3139" t="n">
        <v>0</v>
      </c>
      <c r="N3139" t="inlineStr">
        <is>
          <t>val</t>
        </is>
      </c>
      <c r="O3139">
        <f>HYPERLINK("3\1\marker_287_380809.png", "Ver Imagen")</f>
        <v/>
      </c>
      <c r="P3139">
        <f>HYPERLINK("SE\A-5058\A-5058__75.png", "Ver Imagen")</f>
        <v/>
      </c>
    </row>
    <row r="3140">
      <c r="A3140" t="n">
        <v>2681</v>
      </c>
      <c r="B3140" t="inlineStr">
        <is>
          <t>A-5058__79</t>
        </is>
      </c>
      <c r="C3140" t="n">
        <v>37.2278936781</v>
      </c>
      <c r="D3140" t="n">
        <v>-7.04561506405</v>
      </c>
      <c r="E3140" t="n">
        <v>3</v>
      </c>
      <c r="F3140" t="n">
        <v>2</v>
      </c>
      <c r="G3140" t="n">
        <v>3</v>
      </c>
      <c r="J3140" t="inlineStr">
        <is>
          <t>Moda</t>
        </is>
      </c>
      <c r="K3140" t="n">
        <v>3</v>
      </c>
      <c r="L3140" t="n">
        <v>2.643</v>
      </c>
      <c r="M3140" t="n">
        <v>0</v>
      </c>
      <c r="N3140" t="inlineStr">
        <is>
          <t>train</t>
        </is>
      </c>
      <c r="O3140">
        <f>HYPERLINK("3\1\marker_670_380848.png", "Ver Imagen")</f>
        <v/>
      </c>
      <c r="P3140">
        <f>HYPERLINK("SE\A-5058\A-5058__79.png", "Ver Imagen")</f>
        <v/>
      </c>
    </row>
    <row r="3141">
      <c r="A3141" t="n">
        <v>2682</v>
      </c>
      <c r="B3141" t="inlineStr">
        <is>
          <t>A-5058__96</t>
        </is>
      </c>
      <c r="C3141" t="n">
        <v>37.2301085002</v>
      </c>
      <c r="D3141" t="n">
        <v>-7.04888743739</v>
      </c>
      <c r="E3141" t="n">
        <v>3</v>
      </c>
      <c r="F3141" t="n">
        <v>2</v>
      </c>
      <c r="G3141" t="n">
        <v>3</v>
      </c>
      <c r="J3141" t="inlineStr">
        <is>
          <t>Moda</t>
        </is>
      </c>
      <c r="K3141" t="n">
        <v>3</v>
      </c>
      <c r="L3141" t="n">
        <v>2.952</v>
      </c>
      <c r="M3141" t="n">
        <v>0</v>
      </c>
      <c r="N3141" t="inlineStr">
        <is>
          <t>train</t>
        </is>
      </c>
      <c r="O3141">
        <f>HYPERLINK("3\1\marker_829_381071.png", "Ver Imagen")</f>
        <v/>
      </c>
      <c r="P3141">
        <f>HYPERLINK("SE\A-5058\A-5058__96.png", "Ver Imagen")</f>
        <v/>
      </c>
    </row>
    <row r="3142">
      <c r="A3142" t="n">
        <v>2683</v>
      </c>
      <c r="B3142" t="inlineStr">
        <is>
          <t>A-5058__100</t>
        </is>
      </c>
      <c r="C3142" t="n">
        <v>37.2305920099</v>
      </c>
      <c r="D3142" t="n">
        <v>-7.04969849832</v>
      </c>
      <c r="E3142" t="n">
        <v>3</v>
      </c>
      <c r="F3142" t="n">
        <v>2</v>
      </c>
      <c r="G3142" t="n">
        <v>3</v>
      </c>
      <c r="J3142" t="inlineStr">
        <is>
          <t>Moda</t>
        </is>
      </c>
      <c r="K3142" t="n">
        <v>3</v>
      </c>
      <c r="L3142" t="n">
        <v>2.863</v>
      </c>
      <c r="M3142" t="n">
        <v>0</v>
      </c>
      <c r="N3142" t="inlineStr">
        <is>
          <t>train</t>
        </is>
      </c>
      <c r="O3142">
        <f>HYPERLINK("3\1\marker_566_381110.png", "Ver Imagen")</f>
        <v/>
      </c>
      <c r="P3142">
        <f>HYPERLINK("SE\A-5058\A-5058__100.png", "Ver Imagen")</f>
        <v/>
      </c>
    </row>
    <row r="3143">
      <c r="A3143" t="n">
        <v>2685</v>
      </c>
      <c r="B3143" t="inlineStr">
        <is>
          <t>A-5058__107</t>
        </is>
      </c>
      <c r="C3143" t="n">
        <v>37.2313915726</v>
      </c>
      <c r="D3143" t="n">
        <v>-7.05116061492</v>
      </c>
      <c r="E3143" t="n">
        <v>3</v>
      </c>
      <c r="F3143" t="n">
        <v>2</v>
      </c>
      <c r="G3143" t="n">
        <v>3</v>
      </c>
      <c r="J3143" t="inlineStr">
        <is>
          <t>Moda</t>
        </is>
      </c>
      <c r="K3143" t="n">
        <v>3</v>
      </c>
      <c r="L3143" t="n">
        <v>3.083</v>
      </c>
      <c r="M3143" t="n">
        <v>0</v>
      </c>
      <c r="N3143" t="inlineStr">
        <is>
          <t>train</t>
        </is>
      </c>
      <c r="O3143">
        <f>HYPERLINK("3\1\marker_230_381210.png", "Ver Imagen")</f>
        <v/>
      </c>
      <c r="P3143">
        <f>HYPERLINK("SE\A-5058\A-5058__107.png", "Ver Imagen")</f>
        <v/>
      </c>
    </row>
    <row r="3144">
      <c r="A3144" t="n">
        <v>2686</v>
      </c>
      <c r="B3144" t="inlineStr">
        <is>
          <t>A-5058__109</t>
        </is>
      </c>
      <c r="C3144" t="n">
        <v>37.2316183436</v>
      </c>
      <c r="D3144" t="n">
        <v>-7.05158792047</v>
      </c>
      <c r="E3144" t="n">
        <v>3</v>
      </c>
      <c r="F3144" t="n">
        <v>2</v>
      </c>
      <c r="G3144" t="n">
        <v>3</v>
      </c>
      <c r="J3144" t="inlineStr">
        <is>
          <t>Moda</t>
        </is>
      </c>
      <c r="K3144" t="n">
        <v>3</v>
      </c>
      <c r="L3144" t="n">
        <v>3.095</v>
      </c>
      <c r="M3144" t="n">
        <v>0</v>
      </c>
      <c r="N3144" t="inlineStr">
        <is>
          <t>train</t>
        </is>
      </c>
      <c r="O3144">
        <f>HYPERLINK("3\1\marker_198_381229.png", "Ver Imagen")</f>
        <v/>
      </c>
      <c r="P3144">
        <f>HYPERLINK("SE\A-5058\A-5058__109.png", "Ver Imagen")</f>
        <v/>
      </c>
    </row>
    <row r="3145">
      <c r="A3145" t="n">
        <v>2687</v>
      </c>
      <c r="B3145" t="inlineStr">
        <is>
          <t>A-5058__110</t>
        </is>
      </c>
      <c r="C3145" t="n">
        <v>37.231734164</v>
      </c>
      <c r="D3145" t="n">
        <v>-7.05179831323</v>
      </c>
      <c r="E3145" t="n">
        <v>3</v>
      </c>
      <c r="F3145" t="n">
        <v>2</v>
      </c>
      <c r="G3145" t="n">
        <v>3</v>
      </c>
      <c r="J3145" t="inlineStr">
        <is>
          <t>Moda</t>
        </is>
      </c>
      <c r="K3145" t="n">
        <v>3</v>
      </c>
      <c r="L3145" t="n">
        <v>2.922</v>
      </c>
      <c r="M3145" t="n">
        <v>0</v>
      </c>
      <c r="N3145" t="inlineStr">
        <is>
          <t>train</t>
        </is>
      </c>
      <c r="O3145">
        <f>HYPERLINK("3\1\marker_886_381240.png", "Ver Imagen")</f>
        <v/>
      </c>
      <c r="P3145">
        <f>HYPERLINK("SE\A-5058\A-5058__110.png", "Ver Imagen")</f>
        <v/>
      </c>
    </row>
    <row r="3146">
      <c r="A3146" t="n">
        <v>2688</v>
      </c>
      <c r="B3146" t="inlineStr">
        <is>
          <t>A-5058__112</t>
        </is>
      </c>
      <c r="C3146" t="n">
        <v>37.2319482292</v>
      </c>
      <c r="D3146" t="n">
        <v>-7.05220056718</v>
      </c>
      <c r="E3146" t="n">
        <v>3</v>
      </c>
      <c r="F3146" t="n">
        <v>2</v>
      </c>
      <c r="G3146" t="n">
        <v>3</v>
      </c>
      <c r="J3146" t="inlineStr">
        <is>
          <t>Moda</t>
        </is>
      </c>
      <c r="K3146" t="n">
        <v>3</v>
      </c>
      <c r="L3146" t="n">
        <v>2.755</v>
      </c>
      <c r="M3146" t="n">
        <v>0</v>
      </c>
      <c r="N3146" t="inlineStr">
        <is>
          <t>train</t>
        </is>
      </c>
      <c r="O3146">
        <f>HYPERLINK("3\1\marker_280_381261.png", "Ver Imagen")</f>
        <v/>
      </c>
      <c r="P3146">
        <f>HYPERLINK("SE\A-5058\A-5058__112.png", "Ver Imagen")</f>
        <v/>
      </c>
    </row>
    <row r="3147">
      <c r="A3147" t="n">
        <v>2689</v>
      </c>
      <c r="B3147" t="inlineStr">
        <is>
          <t>A-5058__113</t>
        </is>
      </c>
      <c r="C3147" t="n">
        <v>37.2320705796</v>
      </c>
      <c r="D3147" t="n">
        <v>-7.0524309908</v>
      </c>
      <c r="E3147" t="n">
        <v>3</v>
      </c>
      <c r="F3147" t="n">
        <v>2</v>
      </c>
      <c r="G3147" t="n">
        <v>3</v>
      </c>
      <c r="J3147" t="inlineStr">
        <is>
          <t>Moda</t>
        </is>
      </c>
      <c r="K3147" t="n">
        <v>3</v>
      </c>
      <c r="L3147" t="n">
        <v>2.848</v>
      </c>
      <c r="M3147" t="n">
        <v>0</v>
      </c>
      <c r="N3147" t="inlineStr">
        <is>
          <t>train</t>
        </is>
      </c>
      <c r="O3147">
        <f>HYPERLINK("3\1\marker_702_381271.png", "Ver Imagen")</f>
        <v/>
      </c>
      <c r="P3147">
        <f>HYPERLINK("SE\A-5058\A-5058__113.png", "Ver Imagen")</f>
        <v/>
      </c>
    </row>
    <row r="3148">
      <c r="A3148" t="n">
        <v>2690</v>
      </c>
      <c r="B3148" t="inlineStr">
        <is>
          <t>A-5058__116</t>
        </is>
      </c>
      <c r="C3148" t="n">
        <v>37.232401727</v>
      </c>
      <c r="D3148" t="n">
        <v>-7.05303989822</v>
      </c>
      <c r="E3148" t="n">
        <v>3</v>
      </c>
      <c r="F3148" t="n">
        <v>2</v>
      </c>
      <c r="G3148" t="n">
        <v>3</v>
      </c>
      <c r="J3148" t="inlineStr">
        <is>
          <t>Moda</t>
        </is>
      </c>
      <c r="K3148" t="n">
        <v>3</v>
      </c>
      <c r="L3148" t="n">
        <v>3.132</v>
      </c>
      <c r="M3148" t="n">
        <v>0</v>
      </c>
      <c r="N3148" t="inlineStr">
        <is>
          <t>train</t>
        </is>
      </c>
      <c r="O3148">
        <f>HYPERLINK("3\1\marker_698_381305.png", "Ver Imagen")</f>
        <v/>
      </c>
      <c r="P3148">
        <f>HYPERLINK("SE\A-5058\A-5058__116.png", "Ver Imagen")</f>
        <v/>
      </c>
    </row>
    <row r="3149">
      <c r="A3149" t="n">
        <v>2691</v>
      </c>
      <c r="B3149" t="inlineStr">
        <is>
          <t>A-5058__124</t>
        </is>
      </c>
      <c r="C3149" t="n">
        <v>37.2331512416</v>
      </c>
      <c r="D3149" t="n">
        <v>-7.05486215374</v>
      </c>
      <c r="E3149" t="n">
        <v>3</v>
      </c>
      <c r="F3149" t="n">
        <v>2</v>
      </c>
      <c r="G3149" t="n">
        <v>3</v>
      </c>
      <c r="J3149" t="inlineStr">
        <is>
          <t>Moda</t>
        </is>
      </c>
      <c r="K3149" t="n">
        <v>3</v>
      </c>
      <c r="L3149" t="n">
        <v>3.006</v>
      </c>
      <c r="M3149" t="n">
        <v>0</v>
      </c>
      <c r="N3149" t="inlineStr">
        <is>
          <t>train</t>
        </is>
      </c>
      <c r="O3149">
        <f>HYPERLINK("3\1\marker_245_381378.png", "Ver Imagen")</f>
        <v/>
      </c>
      <c r="P3149">
        <f>HYPERLINK("SE\A-5058\A-5058__124.png", "Ver Imagen")</f>
        <v/>
      </c>
    </row>
    <row r="3150">
      <c r="A3150" t="n">
        <v>2692</v>
      </c>
      <c r="B3150" t="inlineStr">
        <is>
          <t>A-5058__128</t>
        </is>
      </c>
      <c r="C3150" t="n">
        <v>37.2333967899</v>
      </c>
      <c r="D3150" t="n">
        <v>-7.05580807744</v>
      </c>
      <c r="E3150" t="n">
        <v>3</v>
      </c>
      <c r="F3150" t="n">
        <v>2</v>
      </c>
      <c r="G3150" t="n">
        <v>3</v>
      </c>
      <c r="J3150" t="inlineStr">
        <is>
          <t>Moda</t>
        </is>
      </c>
      <c r="K3150" t="n">
        <v>3</v>
      </c>
      <c r="L3150" t="n">
        <v>2.918</v>
      </c>
      <c r="M3150" t="n">
        <v>0</v>
      </c>
      <c r="N3150" t="inlineStr">
        <is>
          <t>train</t>
        </is>
      </c>
      <c r="O3150">
        <f>HYPERLINK("3\1\marker_407_381434.png", "Ver Imagen")</f>
        <v/>
      </c>
      <c r="P3150">
        <f>HYPERLINK("SE\A-5058\A-5058__128.png", "Ver Imagen")</f>
        <v/>
      </c>
    </row>
    <row r="3151">
      <c r="A3151" t="n">
        <v>2693</v>
      </c>
      <c r="B3151" t="inlineStr">
        <is>
          <t>A-5058__130</t>
        </is>
      </c>
      <c r="C3151" t="n">
        <v>37.2335264427</v>
      </c>
      <c r="D3151" t="n">
        <v>-7.05630407982</v>
      </c>
      <c r="E3151" t="n">
        <v>3</v>
      </c>
      <c r="F3151" t="n">
        <v>2</v>
      </c>
      <c r="G3151" t="n">
        <v>3</v>
      </c>
      <c r="J3151" t="inlineStr">
        <is>
          <t>Moda</t>
        </is>
      </c>
      <c r="K3151" t="n">
        <v>3</v>
      </c>
      <c r="L3151" t="n">
        <v>2.915</v>
      </c>
      <c r="M3151" t="n">
        <v>0</v>
      </c>
      <c r="N3151" t="inlineStr">
        <is>
          <t>train</t>
        </is>
      </c>
      <c r="O3151">
        <f>HYPERLINK("3\1\marker_907_381456.png", "Ver Imagen")</f>
        <v/>
      </c>
      <c r="P3151">
        <f>HYPERLINK("SE\A-5058\A-5058__130.png", "Ver Imagen")</f>
        <v/>
      </c>
    </row>
    <row r="3152">
      <c r="A3152" t="n">
        <v>2694</v>
      </c>
      <c r="B3152" t="inlineStr">
        <is>
          <t>A-5058__136</t>
        </is>
      </c>
      <c r="C3152" t="n">
        <v>37.2339031405</v>
      </c>
      <c r="D3152" t="n">
        <v>-7.05774442115</v>
      </c>
      <c r="E3152" t="n">
        <v>3</v>
      </c>
      <c r="F3152" t="n">
        <v>2</v>
      </c>
      <c r="G3152" t="n">
        <v>3</v>
      </c>
      <c r="J3152" t="inlineStr">
        <is>
          <t>Moda</t>
        </is>
      </c>
      <c r="K3152" t="n">
        <v>3</v>
      </c>
      <c r="L3152" t="n">
        <v>3.058</v>
      </c>
      <c r="M3152" t="n">
        <v>0</v>
      </c>
      <c r="N3152" t="inlineStr">
        <is>
          <t>train</t>
        </is>
      </c>
      <c r="O3152">
        <f>HYPERLINK("3\1\marker_826_381527.png", "Ver Imagen")</f>
        <v/>
      </c>
      <c r="P3152">
        <f>HYPERLINK("SE\A-5058\A-5058__136.png", "Ver Imagen")</f>
        <v/>
      </c>
    </row>
    <row r="3153">
      <c r="A3153" t="n">
        <v>2695</v>
      </c>
      <c r="B3153" t="inlineStr">
        <is>
          <t>A-5058__137</t>
        </is>
      </c>
      <c r="C3153" t="n">
        <v>37.2339570955</v>
      </c>
      <c r="D3153" t="n">
        <v>-7.05798208228</v>
      </c>
      <c r="E3153" t="n">
        <v>3</v>
      </c>
      <c r="F3153" t="n">
        <v>2</v>
      </c>
      <c r="G3153" t="n">
        <v>3</v>
      </c>
      <c r="J3153" t="inlineStr">
        <is>
          <t>Moda</t>
        </is>
      </c>
      <c r="K3153" t="n">
        <v>3</v>
      </c>
      <c r="L3153" t="n">
        <v>2.734</v>
      </c>
      <c r="M3153" t="n">
        <v>0</v>
      </c>
      <c r="N3153" t="inlineStr">
        <is>
          <t>train</t>
        </is>
      </c>
      <c r="O3153">
        <f>HYPERLINK("3\1\marker_624_381537.png", "Ver Imagen")</f>
        <v/>
      </c>
      <c r="P3153">
        <f>HYPERLINK("SE\A-5058\A-5058__137.png", "Ver Imagen")</f>
        <v/>
      </c>
    </row>
    <row r="3154">
      <c r="A3154" t="n">
        <v>2696</v>
      </c>
      <c r="B3154" t="inlineStr">
        <is>
          <t>A-5058__138</t>
        </is>
      </c>
      <c r="C3154" t="n">
        <v>37.2340128804</v>
      </c>
      <c r="D3154" t="n">
        <v>-7.05825284693</v>
      </c>
      <c r="E3154" t="n">
        <v>3</v>
      </c>
      <c r="F3154" t="n">
        <v>2</v>
      </c>
      <c r="G3154" t="n">
        <v>3</v>
      </c>
      <c r="J3154" t="inlineStr">
        <is>
          <t>Moda</t>
        </is>
      </c>
      <c r="K3154" t="n">
        <v>3</v>
      </c>
      <c r="L3154" t="n">
        <v>3.244</v>
      </c>
      <c r="M3154" t="n">
        <v>0</v>
      </c>
      <c r="N3154" t="inlineStr">
        <is>
          <t>train</t>
        </is>
      </c>
      <c r="O3154">
        <f>HYPERLINK("3\1\marker_262_381552.png", "Ver Imagen")</f>
        <v/>
      </c>
      <c r="P3154">
        <f>HYPERLINK("SE\A-5058\A-5058__138.png", "Ver Imagen")</f>
        <v/>
      </c>
    </row>
    <row r="3155">
      <c r="A3155" t="n">
        <v>2697</v>
      </c>
      <c r="B3155" t="inlineStr">
        <is>
          <t>A-5058__139</t>
        </is>
      </c>
      <c r="C3155" t="n">
        <v>37.2340552381</v>
      </c>
      <c r="D3155" t="n">
        <v>-7.05848485213</v>
      </c>
      <c r="E3155" t="n">
        <v>3</v>
      </c>
      <c r="F3155" t="n">
        <v>2</v>
      </c>
      <c r="G3155" t="n">
        <v>3</v>
      </c>
      <c r="J3155" t="inlineStr">
        <is>
          <t>Moda</t>
        </is>
      </c>
      <c r="K3155" t="n">
        <v>3</v>
      </c>
      <c r="L3155" t="n">
        <v>2.902</v>
      </c>
      <c r="M3155" t="n">
        <v>0</v>
      </c>
      <c r="N3155" t="inlineStr">
        <is>
          <t>train</t>
        </is>
      </c>
      <c r="O3155">
        <f>HYPERLINK("3\1\marker_494_381561.png", "Ver Imagen")</f>
        <v/>
      </c>
      <c r="P3155">
        <f>HYPERLINK("SE\A-5058\A-5058__139.png", "Ver Imagen")</f>
        <v/>
      </c>
    </row>
    <row r="3156">
      <c r="A3156" t="n">
        <v>2698</v>
      </c>
      <c r="B3156" t="inlineStr">
        <is>
          <t>A-5058__142</t>
        </is>
      </c>
      <c r="C3156" t="n">
        <v>37.2341322923</v>
      </c>
      <c r="D3156" t="n">
        <v>-7.0592410957</v>
      </c>
      <c r="E3156" t="n">
        <v>3</v>
      </c>
      <c r="F3156" t="n">
        <v>2</v>
      </c>
      <c r="G3156" t="n">
        <v>3</v>
      </c>
      <c r="J3156" t="inlineStr">
        <is>
          <t>Moda</t>
        </is>
      </c>
      <c r="K3156" t="n">
        <v>3</v>
      </c>
      <c r="L3156" t="n">
        <v>3.054</v>
      </c>
      <c r="M3156" t="n">
        <v>0</v>
      </c>
      <c r="N3156" t="inlineStr">
        <is>
          <t>train</t>
        </is>
      </c>
      <c r="O3156">
        <f>HYPERLINK("3\1\marker_718_381605.png", "Ver Imagen")</f>
        <v/>
      </c>
      <c r="P3156">
        <f>HYPERLINK("SE\A-5058\A-5058__142.png", "Ver Imagen")</f>
        <v/>
      </c>
    </row>
    <row r="3157">
      <c r="A3157" t="n">
        <v>2699</v>
      </c>
      <c r="B3157" t="inlineStr">
        <is>
          <t>A-5058__146</t>
        </is>
      </c>
      <c r="C3157" t="n">
        <v>37.2341301235</v>
      </c>
      <c r="D3157" t="n">
        <v>-7.06025955077</v>
      </c>
      <c r="E3157" t="n">
        <v>3</v>
      </c>
      <c r="F3157" t="n">
        <v>2</v>
      </c>
      <c r="G3157" t="n">
        <v>3</v>
      </c>
      <c r="J3157" t="inlineStr">
        <is>
          <t>Moda</t>
        </is>
      </c>
      <c r="K3157" t="n">
        <v>3</v>
      </c>
      <c r="L3157" t="n">
        <v>3.346</v>
      </c>
      <c r="M3157" t="n">
        <v>0</v>
      </c>
      <c r="N3157" t="inlineStr">
        <is>
          <t>train</t>
        </is>
      </c>
      <c r="O3157">
        <f>HYPERLINK("3\1\marker_152_381655.png", "Ver Imagen")</f>
        <v/>
      </c>
      <c r="P3157">
        <f>HYPERLINK("SE\A-5058\A-5058__146.png", "Ver Imagen")</f>
        <v/>
      </c>
    </row>
    <row r="3158">
      <c r="A3158" t="n">
        <v>2700</v>
      </c>
      <c r="B3158" t="inlineStr">
        <is>
          <t>A-5058__147</t>
        </is>
      </c>
      <c r="C3158" t="n">
        <v>37.2341269567</v>
      </c>
      <c r="D3158" t="n">
        <v>-7.06051110013</v>
      </c>
      <c r="E3158" t="n">
        <v>3</v>
      </c>
      <c r="F3158" t="n">
        <v>2</v>
      </c>
      <c r="G3158" t="n">
        <v>3</v>
      </c>
      <c r="J3158" t="inlineStr">
        <is>
          <t>Moda</t>
        </is>
      </c>
      <c r="K3158" t="n">
        <v>3</v>
      </c>
      <c r="L3158" t="n">
        <v>2.903</v>
      </c>
      <c r="M3158" t="n">
        <v>0</v>
      </c>
      <c r="N3158" t="inlineStr">
        <is>
          <t>train</t>
        </is>
      </c>
      <c r="O3158">
        <f>HYPERLINK("3\1\marker_498_381665.png", "Ver Imagen")</f>
        <v/>
      </c>
      <c r="P3158">
        <f>HYPERLINK("SE\A-5058\A-5058__147.png", "Ver Imagen")</f>
        <v/>
      </c>
    </row>
    <row r="3159">
      <c r="A3159" t="n">
        <v>2701</v>
      </c>
      <c r="B3159" t="inlineStr">
        <is>
          <t>A-5058__148</t>
        </is>
      </c>
      <c r="C3159" t="n">
        <v>37.2341233368</v>
      </c>
      <c r="D3159" t="n">
        <v>-7.06076711427</v>
      </c>
      <c r="E3159" t="n">
        <v>3</v>
      </c>
      <c r="F3159" t="n">
        <v>2</v>
      </c>
      <c r="G3159" t="n">
        <v>3</v>
      </c>
      <c r="J3159" t="inlineStr">
        <is>
          <t>Moda</t>
        </is>
      </c>
      <c r="K3159" t="n">
        <v>3</v>
      </c>
      <c r="L3159" t="n">
        <v>3.05</v>
      </c>
      <c r="M3159" t="n">
        <v>0</v>
      </c>
      <c r="N3159" t="inlineStr">
        <is>
          <t>test</t>
        </is>
      </c>
      <c r="O3159">
        <f>HYPERLINK("3\1\marker_636_381682.png", "Ver Imagen")</f>
        <v/>
      </c>
      <c r="P3159">
        <f>HYPERLINK("SE\A-5058\A-5058__148.png", "Ver Imagen")</f>
        <v/>
      </c>
    </row>
    <row r="3160">
      <c r="A3160" t="n">
        <v>2702</v>
      </c>
      <c r="B3160" t="inlineStr">
        <is>
          <t>A-5058__150</t>
        </is>
      </c>
      <c r="C3160" t="n">
        <v>37.2341152455</v>
      </c>
      <c r="D3160" t="n">
        <v>-7.06127767845</v>
      </c>
      <c r="E3160" t="n">
        <v>3</v>
      </c>
      <c r="F3160" t="n">
        <v>4</v>
      </c>
      <c r="G3160" t="n">
        <v>3</v>
      </c>
      <c r="J3160" t="inlineStr">
        <is>
          <t>Moda</t>
        </is>
      </c>
      <c r="K3160" t="n">
        <v>3</v>
      </c>
      <c r="L3160" t="n">
        <v>2.515</v>
      </c>
      <c r="M3160" t="n">
        <v>0</v>
      </c>
      <c r="N3160" t="inlineStr">
        <is>
          <t>test</t>
        </is>
      </c>
      <c r="O3160">
        <f>HYPERLINK("3\1\marker_417_381707.png", "Ver Imagen")</f>
        <v/>
      </c>
      <c r="P3160">
        <f>HYPERLINK("SE\A-5058\A-5058__150.png", "Ver Imagen")</f>
        <v/>
      </c>
    </row>
    <row r="3161">
      <c r="A3161" t="n">
        <v>2703</v>
      </c>
      <c r="B3161" t="inlineStr">
        <is>
          <t>A-5058__163</t>
        </is>
      </c>
      <c r="C3161" t="n">
        <v>37.2340050016</v>
      </c>
      <c r="D3161" t="n">
        <v>-7.06457878382</v>
      </c>
      <c r="E3161" t="n">
        <v>3</v>
      </c>
      <c r="F3161" t="n">
        <v>2</v>
      </c>
      <c r="G3161" t="n">
        <v>3</v>
      </c>
      <c r="J3161" t="inlineStr">
        <is>
          <t>Moda</t>
        </is>
      </c>
      <c r="K3161" t="n">
        <v>3</v>
      </c>
      <c r="L3161" t="n">
        <v>3.172</v>
      </c>
      <c r="M3161" t="n">
        <v>0</v>
      </c>
      <c r="N3161" t="inlineStr">
        <is>
          <t>train</t>
        </is>
      </c>
      <c r="O3161">
        <f>HYPERLINK("3\1\marker_401_381857.png", "Ver Imagen")</f>
        <v/>
      </c>
      <c r="P3161">
        <f>HYPERLINK("SE\A-5058\A-5058__163.png", "Ver Imagen")</f>
        <v/>
      </c>
    </row>
    <row r="3162">
      <c r="A3162" t="n">
        <v>2704</v>
      </c>
      <c r="B3162" t="inlineStr">
        <is>
          <t>A-5058__178</t>
        </is>
      </c>
      <c r="C3162" t="n">
        <v>37.2335949639</v>
      </c>
      <c r="D3162" t="n">
        <v>-7.06812048407</v>
      </c>
      <c r="E3162" t="n">
        <v>3</v>
      </c>
      <c r="F3162" t="n">
        <v>2</v>
      </c>
      <c r="G3162" t="n">
        <v>3</v>
      </c>
      <c r="J3162" t="inlineStr">
        <is>
          <t>Moda</t>
        </is>
      </c>
      <c r="K3162" t="n">
        <v>3</v>
      </c>
      <c r="L3162" t="n">
        <v>2.886</v>
      </c>
      <c r="M3162" t="n">
        <v>0</v>
      </c>
      <c r="N3162" t="inlineStr">
        <is>
          <t>train</t>
        </is>
      </c>
      <c r="O3162">
        <f>HYPERLINK("3\1\marker_484_382516.png", "Ver Imagen")</f>
        <v/>
      </c>
      <c r="P3162">
        <f>HYPERLINK("SE\A-5058\A-5058__178.png", "Ver Imagen")</f>
        <v/>
      </c>
    </row>
    <row r="3163">
      <c r="A3163" t="n">
        <v>2706</v>
      </c>
      <c r="B3163" t="inlineStr">
        <is>
          <t>A-5058__182</t>
        </is>
      </c>
      <c r="C3163" t="n">
        <v>37.2338436067</v>
      </c>
      <c r="D3163" t="n">
        <v>-7.06911803477</v>
      </c>
      <c r="E3163" t="n">
        <v>3</v>
      </c>
      <c r="F3163" t="n">
        <v>2</v>
      </c>
      <c r="G3163" t="n">
        <v>3</v>
      </c>
      <c r="J3163" t="inlineStr">
        <is>
          <t>Moda</t>
        </is>
      </c>
      <c r="K3163" t="n">
        <v>3</v>
      </c>
      <c r="L3163" t="n">
        <v>3.116</v>
      </c>
      <c r="M3163" t="n">
        <v>0</v>
      </c>
      <c r="N3163" t="inlineStr">
        <is>
          <t>test</t>
        </is>
      </c>
      <c r="O3163">
        <f>HYPERLINK("3\1\marker_303_382680.png", "Ver Imagen")</f>
        <v/>
      </c>
      <c r="P3163">
        <f>HYPERLINK("SE\A-5058\A-5058__182.png", "Ver Imagen")</f>
        <v/>
      </c>
    </row>
    <row r="3164">
      <c r="A3164" t="n">
        <v>2707</v>
      </c>
      <c r="B3164" t="inlineStr">
        <is>
          <t>A-5058__183</t>
        </is>
      </c>
      <c r="C3164" t="n">
        <v>37.2338988354</v>
      </c>
      <c r="D3164" t="n">
        <v>-7.06931600543</v>
      </c>
      <c r="E3164" t="n">
        <v>3</v>
      </c>
      <c r="F3164" t="n">
        <v>2</v>
      </c>
      <c r="G3164" t="n">
        <v>3</v>
      </c>
      <c r="J3164" t="inlineStr">
        <is>
          <t>Moda</t>
        </is>
      </c>
      <c r="K3164" t="n">
        <v>3</v>
      </c>
      <c r="L3164" t="n">
        <v>3.144</v>
      </c>
      <c r="M3164" t="n">
        <v>0</v>
      </c>
      <c r="N3164" t="inlineStr">
        <is>
          <t>train</t>
        </is>
      </c>
      <c r="O3164">
        <f>HYPERLINK("3\1\marker_459_382697.png", "Ver Imagen")</f>
        <v/>
      </c>
      <c r="P3164">
        <f>HYPERLINK("SE\A-5058\A-5058__183.png", "Ver Imagen")</f>
        <v/>
      </c>
    </row>
    <row r="3165">
      <c r="A3165" t="n">
        <v>2708</v>
      </c>
      <c r="B3165" t="inlineStr">
        <is>
          <t>A-5058__185</t>
        </is>
      </c>
      <c r="C3165" t="n">
        <v>37.234041053</v>
      </c>
      <c r="D3165" t="n">
        <v>-7.06982005252</v>
      </c>
      <c r="E3165" t="n">
        <v>3</v>
      </c>
      <c r="F3165" t="n">
        <v>2</v>
      </c>
      <c r="G3165" t="n">
        <v>3</v>
      </c>
      <c r="J3165" t="inlineStr">
        <is>
          <t>Moda</t>
        </is>
      </c>
      <c r="K3165" t="n">
        <v>3</v>
      </c>
      <c r="L3165" t="n">
        <v>3.021</v>
      </c>
      <c r="M3165" t="n">
        <v>0</v>
      </c>
      <c r="N3165" t="inlineStr">
        <is>
          <t>val</t>
        </is>
      </c>
      <c r="O3165">
        <f>HYPERLINK("3\1\marker_450_382727.png", "Ver Imagen")</f>
        <v/>
      </c>
      <c r="P3165">
        <f>HYPERLINK("SE\A-5058\A-5058__185.png", "Ver Imagen")</f>
        <v/>
      </c>
    </row>
    <row r="3166">
      <c r="A3166" t="n">
        <v>2709</v>
      </c>
      <c r="B3166" t="inlineStr">
        <is>
          <t>A-5058__186</t>
        </is>
      </c>
      <c r="C3166" t="n">
        <v>37.2341035785</v>
      </c>
      <c r="D3166" t="n">
        <v>-7.07004137059</v>
      </c>
      <c r="E3166" t="n">
        <v>3</v>
      </c>
      <c r="F3166" t="n">
        <v>2</v>
      </c>
      <c r="G3166" t="n">
        <v>3</v>
      </c>
      <c r="J3166" t="inlineStr">
        <is>
          <t>Moda</t>
        </is>
      </c>
      <c r="K3166" t="n">
        <v>3</v>
      </c>
      <c r="L3166" t="n">
        <v>2.964</v>
      </c>
      <c r="M3166" t="n">
        <v>0</v>
      </c>
      <c r="N3166" t="inlineStr">
        <is>
          <t>train</t>
        </is>
      </c>
      <c r="O3166">
        <f>HYPERLINK("3\1\marker_357_382737.png", "Ver Imagen")</f>
        <v/>
      </c>
      <c r="P3166">
        <f>HYPERLINK("SE\A-5058\A-5058__186.png", "Ver Imagen")</f>
        <v/>
      </c>
    </row>
    <row r="3167">
      <c r="A3167" t="n">
        <v>2710</v>
      </c>
      <c r="B3167" t="inlineStr">
        <is>
          <t>A-5058__190</t>
        </is>
      </c>
      <c r="C3167" t="n">
        <v>37.2343763392</v>
      </c>
      <c r="D3167" t="n">
        <v>-7.07101437228</v>
      </c>
      <c r="E3167" t="n">
        <v>3</v>
      </c>
      <c r="F3167" t="n">
        <v>2</v>
      </c>
      <c r="G3167" t="n">
        <v>3</v>
      </c>
      <c r="J3167" t="inlineStr">
        <is>
          <t>Moda</t>
        </is>
      </c>
      <c r="K3167" t="n">
        <v>3</v>
      </c>
      <c r="L3167" t="n">
        <v>3.013</v>
      </c>
      <c r="M3167" t="n">
        <v>0</v>
      </c>
      <c r="N3167" t="inlineStr">
        <is>
          <t>train</t>
        </is>
      </c>
      <c r="O3167">
        <f>HYPERLINK("3\1\marker_432_382780.png", "Ver Imagen")</f>
        <v/>
      </c>
      <c r="P3167">
        <f>HYPERLINK("SE\A-5058\A-5058__190.png", "Ver Imagen")</f>
        <v/>
      </c>
    </row>
    <row r="3168">
      <c r="A3168" t="n">
        <v>2711</v>
      </c>
      <c r="B3168" t="inlineStr">
        <is>
          <t>A-5058__191</t>
        </is>
      </c>
      <c r="C3168" t="n">
        <v>37.2344372106</v>
      </c>
      <c r="D3168" t="n">
        <v>-7.07123328254</v>
      </c>
      <c r="E3168" t="n">
        <v>3</v>
      </c>
      <c r="F3168" t="n">
        <v>2</v>
      </c>
      <c r="G3168" t="n">
        <v>3</v>
      </c>
      <c r="J3168" t="inlineStr">
        <is>
          <t>Moda</t>
        </is>
      </c>
      <c r="K3168" t="n">
        <v>3</v>
      </c>
      <c r="L3168" t="n">
        <v>3.017</v>
      </c>
      <c r="M3168" t="n">
        <v>0</v>
      </c>
      <c r="N3168" t="inlineStr">
        <is>
          <t>train</t>
        </is>
      </c>
      <c r="O3168">
        <f>HYPERLINK("3\1\marker_389_382793.png", "Ver Imagen")</f>
        <v/>
      </c>
      <c r="P3168">
        <f>HYPERLINK("SE\A-5058\A-5058__191.png", "Ver Imagen")</f>
        <v/>
      </c>
    </row>
    <row r="3169">
      <c r="A3169" t="n">
        <v>2712</v>
      </c>
      <c r="B3169" t="inlineStr">
        <is>
          <t>A-5058__196</t>
        </is>
      </c>
      <c r="C3169" t="n">
        <v>37.2347832818</v>
      </c>
      <c r="D3169" t="n">
        <v>-7.07243449552</v>
      </c>
      <c r="E3169" t="n">
        <v>3</v>
      </c>
      <c r="F3169" t="n">
        <v>2</v>
      </c>
      <c r="G3169" t="n">
        <v>3</v>
      </c>
      <c r="J3169" t="inlineStr">
        <is>
          <t>Moda</t>
        </is>
      </c>
      <c r="K3169" t="n">
        <v>3</v>
      </c>
      <c r="L3169" t="n">
        <v>2.787</v>
      </c>
      <c r="M3169" t="n">
        <v>0</v>
      </c>
      <c r="N3169" t="inlineStr">
        <is>
          <t>test</t>
        </is>
      </c>
      <c r="O3169">
        <f>HYPERLINK("3\1\marker_249_382847.png", "Ver Imagen")</f>
        <v/>
      </c>
      <c r="P3169">
        <f>HYPERLINK("SE\A-5058\A-5058__196.png", "Ver Imagen")</f>
        <v/>
      </c>
    </row>
    <row r="3170">
      <c r="A3170" t="n">
        <v>2713</v>
      </c>
      <c r="B3170" t="inlineStr">
        <is>
          <t>A-5058__218</t>
        </is>
      </c>
      <c r="C3170" t="n">
        <v>37.2372358058</v>
      </c>
      <c r="D3170" t="n">
        <v>-7.07702219823</v>
      </c>
      <c r="E3170" t="n">
        <v>3</v>
      </c>
      <c r="F3170" t="n">
        <v>3</v>
      </c>
      <c r="G3170" t="n">
        <v>4</v>
      </c>
      <c r="J3170" t="inlineStr">
        <is>
          <t>Moda</t>
        </is>
      </c>
      <c r="K3170" t="n">
        <v>3</v>
      </c>
      <c r="L3170" t="n">
        <v>2.934</v>
      </c>
      <c r="M3170" t="n">
        <v>0</v>
      </c>
      <c r="N3170" t="inlineStr">
        <is>
          <t>val</t>
        </is>
      </c>
      <c r="O3170">
        <f>HYPERLINK("3\1\marker_391_383100.png", "Ver Imagen")</f>
        <v/>
      </c>
      <c r="P3170">
        <f>HYPERLINK("SE\A-5058\A-5058__218.png", "Ver Imagen")</f>
        <v/>
      </c>
    </row>
    <row r="3171">
      <c r="A3171" t="n">
        <v>2713</v>
      </c>
      <c r="B3171" t="inlineStr">
        <is>
          <t>A-5058__218</t>
        </is>
      </c>
      <c r="C3171" t="n">
        <v>37.2372358058</v>
      </c>
      <c r="D3171" t="n">
        <v>-7.07702219823</v>
      </c>
      <c r="E3171" t="n">
        <v>3</v>
      </c>
      <c r="F3171" t="n">
        <v>3</v>
      </c>
      <c r="G3171" t="n">
        <v>4</v>
      </c>
      <c r="J3171" t="inlineStr">
        <is>
          <t>Moda</t>
        </is>
      </c>
      <c r="K3171" t="n">
        <v>3</v>
      </c>
      <c r="L3171" t="n">
        <v>3.283</v>
      </c>
      <c r="M3171" t="n">
        <v>0</v>
      </c>
      <c r="N3171" t="inlineStr">
        <is>
          <t>val</t>
        </is>
      </c>
      <c r="O3171">
        <f>HYPERLINK("3\1\marker_391_383100.png", "Ver Imagen")</f>
        <v/>
      </c>
      <c r="P3171">
        <f>HYPERLINK("SO\A-5058\A-5058__218.png", "Ver Imagen")</f>
        <v/>
      </c>
    </row>
    <row r="3172">
      <c r="A3172" t="n">
        <v>2714</v>
      </c>
      <c r="B3172" t="inlineStr">
        <is>
          <t>A-5058__229</t>
        </is>
      </c>
      <c r="C3172" t="n">
        <v>37.2385922793</v>
      </c>
      <c r="D3172" t="n">
        <v>-7.07927159943</v>
      </c>
      <c r="E3172" t="n">
        <v>3</v>
      </c>
      <c r="F3172" t="n">
        <v>2</v>
      </c>
      <c r="G3172" t="n">
        <v>3</v>
      </c>
      <c r="J3172" t="inlineStr">
        <is>
          <t>Moda</t>
        </is>
      </c>
      <c r="K3172" t="n">
        <v>3</v>
      </c>
      <c r="L3172" t="n">
        <v>3.056</v>
      </c>
      <c r="M3172" t="n">
        <v>0</v>
      </c>
      <c r="N3172" t="inlineStr">
        <is>
          <t>train</t>
        </is>
      </c>
      <c r="O3172">
        <f>HYPERLINK("3\1\marker_616_383234.png", "Ver Imagen")</f>
        <v/>
      </c>
      <c r="P3172">
        <f>HYPERLINK("SE\A-5058\A-5058__229.png", "Ver Imagen")</f>
        <v/>
      </c>
    </row>
    <row r="3173">
      <c r="A3173" t="n">
        <v>2714</v>
      </c>
      <c r="B3173" t="inlineStr">
        <is>
          <t>A-5058__229</t>
        </is>
      </c>
      <c r="C3173" t="n">
        <v>37.2385922793</v>
      </c>
      <c r="D3173" t="n">
        <v>-7.07927159943</v>
      </c>
      <c r="E3173" t="n">
        <v>3</v>
      </c>
      <c r="F3173" t="n">
        <v>2</v>
      </c>
      <c r="G3173" t="n">
        <v>3</v>
      </c>
      <c r="J3173" t="inlineStr">
        <is>
          <t>Moda</t>
        </is>
      </c>
      <c r="K3173" t="n">
        <v>3</v>
      </c>
      <c r="L3173" t="n">
        <v>3.068</v>
      </c>
      <c r="M3173" t="n">
        <v>0</v>
      </c>
      <c r="N3173" t="inlineStr">
        <is>
          <t>train</t>
        </is>
      </c>
      <c r="O3173">
        <f>HYPERLINK("3\1\marker_616_383234.png", "Ver Imagen")</f>
        <v/>
      </c>
      <c r="P3173">
        <f>HYPERLINK("SO\A-5058\A-5058__229.png", "Ver Imagen")</f>
        <v/>
      </c>
    </row>
    <row r="3174">
      <c r="A3174" t="n">
        <v>2715</v>
      </c>
      <c r="B3174" t="inlineStr">
        <is>
          <t>A-5058__231</t>
        </is>
      </c>
      <c r="C3174" t="n">
        <v>37.2388572008</v>
      </c>
      <c r="D3174" t="n">
        <v>-7.07966683025</v>
      </c>
      <c r="E3174" t="n">
        <v>3</v>
      </c>
      <c r="F3174" t="n">
        <v>2</v>
      </c>
      <c r="G3174" t="n">
        <v>3</v>
      </c>
      <c r="J3174" t="inlineStr">
        <is>
          <t>Moda</t>
        </is>
      </c>
      <c r="K3174" t="n">
        <v>3</v>
      </c>
      <c r="L3174" t="n">
        <v>3.047</v>
      </c>
      <c r="M3174" t="n">
        <v>0</v>
      </c>
      <c r="N3174" t="inlineStr">
        <is>
          <t>train</t>
        </is>
      </c>
      <c r="O3174">
        <f>HYPERLINK("3\1\marker_138_383264.png", "Ver Imagen")</f>
        <v/>
      </c>
      <c r="P3174">
        <f>HYPERLINK("SE\A-5058\A-5058__231.png", "Ver Imagen")</f>
        <v/>
      </c>
    </row>
    <row r="3175">
      <c r="A3175" t="n">
        <v>2715</v>
      </c>
      <c r="B3175" t="inlineStr">
        <is>
          <t>A-5058__231</t>
        </is>
      </c>
      <c r="C3175" t="n">
        <v>37.2388572008</v>
      </c>
      <c r="D3175" t="n">
        <v>-7.07966683025</v>
      </c>
      <c r="E3175" t="n">
        <v>3</v>
      </c>
      <c r="F3175" t="n">
        <v>2</v>
      </c>
      <c r="G3175" t="n">
        <v>3</v>
      </c>
      <c r="J3175" t="inlineStr">
        <is>
          <t>Moda</t>
        </is>
      </c>
      <c r="K3175" t="n">
        <v>3</v>
      </c>
      <c r="L3175" t="n">
        <v>3.028</v>
      </c>
      <c r="M3175" t="n">
        <v>0</v>
      </c>
      <c r="N3175" t="inlineStr">
        <is>
          <t>train</t>
        </is>
      </c>
      <c r="O3175">
        <f>HYPERLINK("3\1\marker_138_383264.png", "Ver Imagen")</f>
        <v/>
      </c>
      <c r="P3175">
        <f>HYPERLINK("SO\A-5058\A-5058__231.png", "Ver Imagen")</f>
        <v/>
      </c>
    </row>
    <row r="3176">
      <c r="A3176" t="n">
        <v>2716</v>
      </c>
      <c r="B3176" t="inlineStr">
        <is>
          <t>A-5058__232</t>
        </is>
      </c>
      <c r="C3176" t="n">
        <v>37.2389960688</v>
      </c>
      <c r="D3176" t="n">
        <v>-7.07987443331</v>
      </c>
      <c r="E3176" t="n">
        <v>3</v>
      </c>
      <c r="F3176" t="n">
        <v>2</v>
      </c>
      <c r="G3176" t="n">
        <v>3</v>
      </c>
      <c r="J3176" t="inlineStr">
        <is>
          <t>Moda</t>
        </is>
      </c>
      <c r="K3176" t="n">
        <v>3</v>
      </c>
      <c r="L3176" t="n">
        <v>2.729</v>
      </c>
      <c r="M3176" t="n">
        <v>0</v>
      </c>
      <c r="N3176" t="inlineStr">
        <is>
          <t>test</t>
        </is>
      </c>
      <c r="O3176">
        <f>HYPERLINK("3\1\marker_247_383282.png", "Ver Imagen")</f>
        <v/>
      </c>
      <c r="P3176">
        <f>HYPERLINK("SE\A-5058\A-5058__232.png", "Ver Imagen")</f>
        <v/>
      </c>
    </row>
    <row r="3177">
      <c r="A3177" t="n">
        <v>2716</v>
      </c>
      <c r="B3177" t="inlineStr">
        <is>
          <t>A-5058__232</t>
        </is>
      </c>
      <c r="C3177" t="n">
        <v>37.2389960688</v>
      </c>
      <c r="D3177" t="n">
        <v>-7.07987443331</v>
      </c>
      <c r="E3177" t="n">
        <v>3</v>
      </c>
      <c r="F3177" t="n">
        <v>2</v>
      </c>
      <c r="G3177" t="n">
        <v>3</v>
      </c>
      <c r="J3177" t="inlineStr">
        <is>
          <t>Moda</t>
        </is>
      </c>
      <c r="K3177" t="n">
        <v>3</v>
      </c>
      <c r="L3177" t="n">
        <v>2.797</v>
      </c>
      <c r="M3177" t="n">
        <v>0</v>
      </c>
      <c r="N3177" t="inlineStr">
        <is>
          <t>test</t>
        </is>
      </c>
      <c r="O3177">
        <f>HYPERLINK("3\1\marker_247_383282.png", "Ver Imagen")</f>
        <v/>
      </c>
      <c r="P3177">
        <f>HYPERLINK("SO\A-5058\A-5058__232.png", "Ver Imagen")</f>
        <v/>
      </c>
    </row>
    <row r="3178">
      <c r="A3178" t="n">
        <v>2717</v>
      </c>
      <c r="B3178" t="inlineStr">
        <is>
          <t>A-5058__237</t>
        </is>
      </c>
      <c r="C3178" t="n">
        <v>37.2396189163</v>
      </c>
      <c r="D3178" t="n">
        <v>-7.08082208888</v>
      </c>
      <c r="E3178" t="n">
        <v>3</v>
      </c>
      <c r="F3178" t="n">
        <v>2</v>
      </c>
      <c r="G3178" t="n">
        <v>3</v>
      </c>
      <c r="J3178" t="inlineStr">
        <is>
          <t>Moda</t>
        </is>
      </c>
      <c r="K3178" t="n">
        <v>3</v>
      </c>
      <c r="L3178" t="n">
        <v>2.893</v>
      </c>
      <c r="M3178" t="n">
        <v>0</v>
      </c>
      <c r="N3178" t="inlineStr">
        <is>
          <t>test</t>
        </is>
      </c>
      <c r="O3178">
        <f>HYPERLINK("3\1\marker_330_383333.png", "Ver Imagen")</f>
        <v/>
      </c>
      <c r="P3178">
        <f>HYPERLINK("SE\A-5058\A-5058__237.png", "Ver Imagen")</f>
        <v/>
      </c>
    </row>
    <row r="3179">
      <c r="A3179" t="n">
        <v>2717</v>
      </c>
      <c r="B3179" t="inlineStr">
        <is>
          <t>A-5058__237</t>
        </is>
      </c>
      <c r="C3179" t="n">
        <v>37.2396189163</v>
      </c>
      <c r="D3179" t="n">
        <v>-7.08082208888</v>
      </c>
      <c r="E3179" t="n">
        <v>3</v>
      </c>
      <c r="F3179" t="n">
        <v>2</v>
      </c>
      <c r="G3179" t="n">
        <v>3</v>
      </c>
      <c r="J3179" t="inlineStr">
        <is>
          <t>Moda</t>
        </is>
      </c>
      <c r="K3179" t="n">
        <v>3</v>
      </c>
      <c r="L3179" t="n">
        <v>2.819</v>
      </c>
      <c r="M3179" t="n">
        <v>0</v>
      </c>
      <c r="N3179" t="inlineStr">
        <is>
          <t>test</t>
        </is>
      </c>
      <c r="O3179">
        <f>HYPERLINK("3\1\marker_330_383333.png", "Ver Imagen")</f>
        <v/>
      </c>
      <c r="P3179">
        <f>HYPERLINK("SO\A-5058\A-5058__237.png", "Ver Imagen")</f>
        <v/>
      </c>
    </row>
    <row r="3180">
      <c r="A3180" t="n">
        <v>2718</v>
      </c>
      <c r="B3180" t="inlineStr">
        <is>
          <t>A-5058__240</t>
        </is>
      </c>
      <c r="C3180" t="n">
        <v>37.2400097685</v>
      </c>
      <c r="D3180" t="n">
        <v>-7.0814169843</v>
      </c>
      <c r="E3180" t="n">
        <v>3</v>
      </c>
      <c r="F3180" t="n">
        <v>2</v>
      </c>
      <c r="G3180" t="n">
        <v>3</v>
      </c>
      <c r="J3180" t="inlineStr">
        <is>
          <t>Moda</t>
        </is>
      </c>
      <c r="K3180" t="n">
        <v>3</v>
      </c>
      <c r="L3180" t="n">
        <v>3.002</v>
      </c>
      <c r="M3180" t="n">
        <v>0</v>
      </c>
      <c r="N3180" t="inlineStr">
        <is>
          <t>train</t>
        </is>
      </c>
      <c r="O3180">
        <f>HYPERLINK("3\1\marker_359_383365.png", "Ver Imagen")</f>
        <v/>
      </c>
      <c r="P3180">
        <f>HYPERLINK("SE\A-5058\A-5058__240.png", "Ver Imagen")</f>
        <v/>
      </c>
    </row>
    <row r="3181">
      <c r="A3181" t="n">
        <v>2718</v>
      </c>
      <c r="B3181" t="inlineStr">
        <is>
          <t>A-5058__240</t>
        </is>
      </c>
      <c r="C3181" t="n">
        <v>37.2400097685</v>
      </c>
      <c r="D3181" t="n">
        <v>-7.0814169843</v>
      </c>
      <c r="E3181" t="n">
        <v>3</v>
      </c>
      <c r="F3181" t="n">
        <v>2</v>
      </c>
      <c r="G3181" t="n">
        <v>3</v>
      </c>
      <c r="J3181" t="inlineStr">
        <is>
          <t>Moda</t>
        </is>
      </c>
      <c r="K3181" t="n">
        <v>3</v>
      </c>
      <c r="L3181" t="n">
        <v>2.879</v>
      </c>
      <c r="M3181" t="n">
        <v>0</v>
      </c>
      <c r="N3181" t="inlineStr">
        <is>
          <t>train</t>
        </is>
      </c>
      <c r="O3181">
        <f>HYPERLINK("3\1\marker_359_383365.png", "Ver Imagen")</f>
        <v/>
      </c>
      <c r="P3181">
        <f>HYPERLINK("SO\A-5058\A-5058__240.png", "Ver Imagen")</f>
        <v/>
      </c>
    </row>
    <row r="3182">
      <c r="A3182" t="n">
        <v>2719</v>
      </c>
      <c r="B3182" t="inlineStr">
        <is>
          <t>A-5058__249</t>
        </is>
      </c>
      <c r="C3182" t="n">
        <v>37.2411599954</v>
      </c>
      <c r="D3182" t="n">
        <v>-7.08315833127</v>
      </c>
      <c r="E3182" t="n">
        <v>3</v>
      </c>
      <c r="F3182" t="n">
        <v>2</v>
      </c>
      <c r="G3182" t="n">
        <v>3</v>
      </c>
      <c r="J3182" t="inlineStr">
        <is>
          <t>Moda</t>
        </is>
      </c>
      <c r="K3182" t="n">
        <v>3</v>
      </c>
      <c r="L3182" t="n">
        <v>2.995</v>
      </c>
      <c r="M3182" t="n">
        <v>0</v>
      </c>
      <c r="N3182" t="inlineStr">
        <is>
          <t>train</t>
        </is>
      </c>
      <c r="O3182">
        <f>HYPERLINK("3\1\marker_217_383491.png", "Ver Imagen")</f>
        <v/>
      </c>
      <c r="P3182">
        <f>HYPERLINK("SE\A-5058\A-5058__249.png", "Ver Imagen")</f>
        <v/>
      </c>
    </row>
    <row r="3183">
      <c r="A3183" t="n">
        <v>2719</v>
      </c>
      <c r="B3183" t="inlineStr">
        <is>
          <t>A-5058__249</t>
        </is>
      </c>
      <c r="C3183" t="n">
        <v>37.2411599954</v>
      </c>
      <c r="D3183" t="n">
        <v>-7.08315833127</v>
      </c>
      <c r="E3183" t="n">
        <v>3</v>
      </c>
      <c r="F3183" t="n">
        <v>2</v>
      </c>
      <c r="G3183" t="n">
        <v>3</v>
      </c>
      <c r="J3183" t="inlineStr">
        <is>
          <t>Moda</t>
        </is>
      </c>
      <c r="K3183" t="n">
        <v>3</v>
      </c>
      <c r="L3183" t="n">
        <v>2.838</v>
      </c>
      <c r="M3183" t="n">
        <v>0</v>
      </c>
      <c r="N3183" t="inlineStr">
        <is>
          <t>train</t>
        </is>
      </c>
      <c r="O3183">
        <f>HYPERLINK("3\1\marker_217_383491.png", "Ver Imagen")</f>
        <v/>
      </c>
      <c r="P3183">
        <f>HYPERLINK("SO\A-5058\A-5058__249.png", "Ver Imagen")</f>
        <v/>
      </c>
    </row>
    <row r="3184">
      <c r="A3184" t="n">
        <v>2720</v>
      </c>
      <c r="B3184" t="inlineStr">
        <is>
          <t>A-5058__250</t>
        </is>
      </c>
      <c r="C3184" t="n">
        <v>37.2412968322</v>
      </c>
      <c r="D3184" t="n">
        <v>-7.08336721274</v>
      </c>
      <c r="E3184" t="n">
        <v>3</v>
      </c>
      <c r="F3184" t="n">
        <v>2</v>
      </c>
      <c r="G3184" t="n">
        <v>3</v>
      </c>
      <c r="J3184" t="inlineStr">
        <is>
          <t>Moda</t>
        </is>
      </c>
      <c r="K3184" t="n">
        <v>3</v>
      </c>
      <c r="L3184" t="n">
        <v>3.072</v>
      </c>
      <c r="M3184" t="n">
        <v>0</v>
      </c>
      <c r="N3184" t="inlineStr">
        <is>
          <t>train</t>
        </is>
      </c>
      <c r="O3184">
        <f>HYPERLINK("3\1\marker_154_383517.png", "Ver Imagen")</f>
        <v/>
      </c>
      <c r="P3184">
        <f>HYPERLINK("SE\A-5058\A-5058__250.png", "Ver Imagen")</f>
        <v/>
      </c>
    </row>
    <row r="3185">
      <c r="A3185" t="n">
        <v>2720</v>
      </c>
      <c r="B3185" t="inlineStr">
        <is>
          <t>A-5058__250</t>
        </is>
      </c>
      <c r="C3185" t="n">
        <v>37.2412968322</v>
      </c>
      <c r="D3185" t="n">
        <v>-7.08336721274</v>
      </c>
      <c r="E3185" t="n">
        <v>3</v>
      </c>
      <c r="F3185" t="n">
        <v>2</v>
      </c>
      <c r="G3185" t="n">
        <v>3</v>
      </c>
      <c r="J3185" t="inlineStr">
        <is>
          <t>Moda</t>
        </is>
      </c>
      <c r="K3185" t="n">
        <v>3</v>
      </c>
      <c r="L3185" t="n">
        <v>3.003</v>
      </c>
      <c r="M3185" t="n">
        <v>0</v>
      </c>
      <c r="N3185" t="inlineStr">
        <is>
          <t>train</t>
        </is>
      </c>
      <c r="O3185">
        <f>HYPERLINK("3\1\marker_154_383517.png", "Ver Imagen")</f>
        <v/>
      </c>
      <c r="P3185">
        <f>HYPERLINK("SO\A-5058\A-5058__250.png", "Ver Imagen")</f>
        <v/>
      </c>
    </row>
    <row r="3186">
      <c r="A3186" t="n">
        <v>2721</v>
      </c>
      <c r="B3186" t="inlineStr">
        <is>
          <t>A-5058__259</t>
        </is>
      </c>
      <c r="C3186" t="n">
        <v>37.2422962425</v>
      </c>
      <c r="D3186" t="n">
        <v>-7.08527706782</v>
      </c>
      <c r="E3186" t="n">
        <v>3</v>
      </c>
      <c r="F3186" t="n">
        <v>2</v>
      </c>
      <c r="G3186" t="n">
        <v>3</v>
      </c>
      <c r="J3186" t="inlineStr">
        <is>
          <t>Moda</t>
        </is>
      </c>
      <c r="K3186" t="n">
        <v>3</v>
      </c>
      <c r="L3186" t="n">
        <v>3.096</v>
      </c>
      <c r="M3186" t="n">
        <v>0</v>
      </c>
      <c r="N3186" t="inlineStr">
        <is>
          <t>train</t>
        </is>
      </c>
      <c r="O3186">
        <f>HYPERLINK("3\1\marker_243_383651.png", "Ver Imagen")</f>
        <v/>
      </c>
      <c r="P3186">
        <f>HYPERLINK("SE\A-5058\A-5058__259.png", "Ver Imagen")</f>
        <v/>
      </c>
    </row>
    <row r="3187">
      <c r="A3187" t="n">
        <v>2721</v>
      </c>
      <c r="B3187" t="inlineStr">
        <is>
          <t>A-5058__259</t>
        </is>
      </c>
      <c r="C3187" t="n">
        <v>37.2422962425</v>
      </c>
      <c r="D3187" t="n">
        <v>-7.08527706782</v>
      </c>
      <c r="E3187" t="n">
        <v>3</v>
      </c>
      <c r="F3187" t="n">
        <v>2</v>
      </c>
      <c r="G3187" t="n">
        <v>3</v>
      </c>
      <c r="J3187" t="inlineStr">
        <is>
          <t>Moda</t>
        </is>
      </c>
      <c r="K3187" t="n">
        <v>3</v>
      </c>
      <c r="L3187" t="n">
        <v>3.133</v>
      </c>
      <c r="M3187" t="n">
        <v>0</v>
      </c>
      <c r="N3187" t="inlineStr">
        <is>
          <t>train</t>
        </is>
      </c>
      <c r="O3187">
        <f>HYPERLINK("3\1\marker_243_383651.png", "Ver Imagen")</f>
        <v/>
      </c>
      <c r="P3187">
        <f>HYPERLINK("SO\A-5058\A-5058__259.png", "Ver Imagen")</f>
        <v/>
      </c>
    </row>
    <row r="3188">
      <c r="A3188" t="n">
        <v>2722</v>
      </c>
      <c r="B3188" t="inlineStr">
        <is>
          <t>A-5058__260</t>
        </is>
      </c>
      <c r="C3188" t="n">
        <v>37.2423639705</v>
      </c>
      <c r="D3188" t="n">
        <v>-7.08549437869</v>
      </c>
      <c r="E3188" t="n">
        <v>3</v>
      </c>
      <c r="F3188" t="n">
        <v>2</v>
      </c>
      <c r="G3188" t="n">
        <v>3</v>
      </c>
      <c r="J3188" t="inlineStr">
        <is>
          <t>Moda</t>
        </is>
      </c>
      <c r="K3188" t="n">
        <v>3</v>
      </c>
      <c r="L3188" t="n">
        <v>3.067</v>
      </c>
      <c r="M3188" t="n">
        <v>0</v>
      </c>
      <c r="N3188" t="inlineStr">
        <is>
          <t>train</t>
        </is>
      </c>
      <c r="O3188">
        <f>HYPERLINK("3\1\marker_419_383666.png", "Ver Imagen")</f>
        <v/>
      </c>
      <c r="P3188">
        <f>HYPERLINK("SE\A-5058\A-5058__260.png", "Ver Imagen")</f>
        <v/>
      </c>
    </row>
    <row r="3189">
      <c r="A3189" t="n">
        <v>2722</v>
      </c>
      <c r="B3189" t="inlineStr">
        <is>
          <t>A-5058__260</t>
        </is>
      </c>
      <c r="C3189" t="n">
        <v>37.2423639705</v>
      </c>
      <c r="D3189" t="n">
        <v>-7.08549437869</v>
      </c>
      <c r="E3189" t="n">
        <v>3</v>
      </c>
      <c r="F3189" t="n">
        <v>2</v>
      </c>
      <c r="G3189" t="n">
        <v>3</v>
      </c>
      <c r="J3189" t="inlineStr">
        <is>
          <t>Moda</t>
        </is>
      </c>
      <c r="K3189" t="n">
        <v>3</v>
      </c>
      <c r="L3189" t="n">
        <v>3.097</v>
      </c>
      <c r="M3189" t="n">
        <v>0</v>
      </c>
      <c r="N3189" t="inlineStr">
        <is>
          <t>train</t>
        </is>
      </c>
      <c r="O3189">
        <f>HYPERLINK("3\1\marker_419_383666.png", "Ver Imagen")</f>
        <v/>
      </c>
      <c r="P3189">
        <f>HYPERLINK("SO\A-5058\A-5058__260.png", "Ver Imagen")</f>
        <v/>
      </c>
    </row>
    <row r="3190">
      <c r="A3190" t="n">
        <v>2723</v>
      </c>
      <c r="B3190" t="inlineStr">
        <is>
          <t>A-5058__261</t>
        </is>
      </c>
      <c r="C3190" t="n">
        <v>37.2424332255</v>
      </c>
      <c r="D3190" t="n">
        <v>-7.08573558445</v>
      </c>
      <c r="E3190" t="n">
        <v>3</v>
      </c>
      <c r="F3190" t="n">
        <v>2</v>
      </c>
      <c r="G3190" t="n">
        <v>3</v>
      </c>
      <c r="J3190" t="inlineStr">
        <is>
          <t>Moda</t>
        </is>
      </c>
      <c r="K3190" t="n">
        <v>3</v>
      </c>
      <c r="L3190" t="n">
        <v>3.033</v>
      </c>
      <c r="M3190" t="n">
        <v>0</v>
      </c>
      <c r="N3190" t="inlineStr">
        <is>
          <t>train</t>
        </is>
      </c>
      <c r="O3190">
        <f>HYPERLINK("3\1\marker_282_383676.png", "Ver Imagen")</f>
        <v/>
      </c>
      <c r="P3190">
        <f>HYPERLINK("SE\A-5058\A-5058__261.png", "Ver Imagen")</f>
        <v/>
      </c>
    </row>
    <row r="3191">
      <c r="A3191" t="n">
        <v>2723</v>
      </c>
      <c r="B3191" t="inlineStr">
        <is>
          <t>A-5058__261</t>
        </is>
      </c>
      <c r="C3191" t="n">
        <v>37.2424332255</v>
      </c>
      <c r="D3191" t="n">
        <v>-7.08573558445</v>
      </c>
      <c r="E3191" t="n">
        <v>3</v>
      </c>
      <c r="F3191" t="n">
        <v>2</v>
      </c>
      <c r="G3191" t="n">
        <v>3</v>
      </c>
      <c r="J3191" t="inlineStr">
        <is>
          <t>Moda</t>
        </is>
      </c>
      <c r="K3191" t="n">
        <v>3</v>
      </c>
      <c r="L3191" t="n">
        <v>3.07</v>
      </c>
      <c r="M3191" t="n">
        <v>0</v>
      </c>
      <c r="N3191" t="inlineStr">
        <is>
          <t>train</t>
        </is>
      </c>
      <c r="O3191">
        <f>HYPERLINK("3\1\marker_282_383676.png", "Ver Imagen")</f>
        <v/>
      </c>
      <c r="P3191">
        <f>HYPERLINK("SO\A-5058\A-5058__261.png", "Ver Imagen")</f>
        <v/>
      </c>
    </row>
    <row r="3192">
      <c r="A3192" t="n">
        <v>2724</v>
      </c>
      <c r="B3192" t="inlineStr">
        <is>
          <t>A-5058__262</t>
        </is>
      </c>
      <c r="C3192" t="n">
        <v>37.2424966543</v>
      </c>
      <c r="D3192" t="n">
        <v>-7.0859673194</v>
      </c>
      <c r="E3192" t="n">
        <v>3</v>
      </c>
      <c r="F3192" t="n">
        <v>2</v>
      </c>
      <c r="G3192" t="n">
        <v>3</v>
      </c>
      <c r="J3192" t="inlineStr">
        <is>
          <t>Moda</t>
        </is>
      </c>
      <c r="K3192" t="n">
        <v>3</v>
      </c>
      <c r="L3192" t="n">
        <v>2.693</v>
      </c>
      <c r="M3192" t="n">
        <v>0</v>
      </c>
      <c r="N3192" t="inlineStr">
        <is>
          <t>test</t>
        </is>
      </c>
      <c r="O3192">
        <f>HYPERLINK("3\1\marker_275_383686.png", "Ver Imagen")</f>
        <v/>
      </c>
      <c r="P3192">
        <f>HYPERLINK("SE\A-5058\A-5058__262.png", "Ver Imagen")</f>
        <v/>
      </c>
    </row>
    <row r="3193">
      <c r="A3193" t="n">
        <v>2724</v>
      </c>
      <c r="B3193" t="inlineStr">
        <is>
          <t>A-5058__262</t>
        </is>
      </c>
      <c r="C3193" t="n">
        <v>37.2424966543</v>
      </c>
      <c r="D3193" t="n">
        <v>-7.0859673194</v>
      </c>
      <c r="E3193" t="n">
        <v>3</v>
      </c>
      <c r="F3193" t="n">
        <v>2</v>
      </c>
      <c r="G3193" t="n">
        <v>3</v>
      </c>
      <c r="J3193" t="inlineStr">
        <is>
          <t>Moda</t>
        </is>
      </c>
      <c r="K3193" t="n">
        <v>3</v>
      </c>
      <c r="L3193" t="n">
        <v>2.808</v>
      </c>
      <c r="M3193" t="n">
        <v>0</v>
      </c>
      <c r="N3193" t="inlineStr">
        <is>
          <t>test</t>
        </is>
      </c>
      <c r="O3193">
        <f>HYPERLINK("3\1\marker_275_383686.png", "Ver Imagen")</f>
        <v/>
      </c>
      <c r="P3193">
        <f>HYPERLINK("SO\A-5058\A-5058__262.png", "Ver Imagen")</f>
        <v/>
      </c>
    </row>
    <row r="3194">
      <c r="A3194" t="n">
        <v>2725</v>
      </c>
      <c r="B3194" t="inlineStr">
        <is>
          <t>A-5058__264</t>
        </is>
      </c>
      <c r="C3194" t="n">
        <v>37.2426241818</v>
      </c>
      <c r="D3194" t="n">
        <v>-7.08645057421</v>
      </c>
      <c r="E3194" t="n">
        <v>4</v>
      </c>
      <c r="F3194" t="n">
        <v>3</v>
      </c>
      <c r="G3194" t="n">
        <v>3</v>
      </c>
      <c r="J3194" t="inlineStr">
        <is>
          <t>Moda</t>
        </is>
      </c>
      <c r="K3194" t="n">
        <v>3</v>
      </c>
      <c r="L3194" t="n">
        <v>2.815</v>
      </c>
      <c r="M3194" t="n">
        <v>0</v>
      </c>
      <c r="N3194" t="inlineStr">
        <is>
          <t>train</t>
        </is>
      </c>
      <c r="O3194">
        <f>HYPERLINK("3\1\marker_575_383727.png", "Ver Imagen")</f>
        <v/>
      </c>
      <c r="P3194">
        <f>HYPERLINK("SE\A-5058\A-5058__264.png", "Ver Imagen")</f>
        <v/>
      </c>
    </row>
    <row r="3195">
      <c r="A3195" t="n">
        <v>2725</v>
      </c>
      <c r="B3195" t="inlineStr">
        <is>
          <t>A-5058__264</t>
        </is>
      </c>
      <c r="C3195" t="n">
        <v>37.2426241818</v>
      </c>
      <c r="D3195" t="n">
        <v>-7.08645057421</v>
      </c>
      <c r="E3195" t="n">
        <v>4</v>
      </c>
      <c r="F3195" t="n">
        <v>3</v>
      </c>
      <c r="G3195" t="n">
        <v>3</v>
      </c>
      <c r="J3195" t="inlineStr">
        <is>
          <t>Moda</t>
        </is>
      </c>
      <c r="K3195" t="n">
        <v>3</v>
      </c>
      <c r="L3195" t="n">
        <v>2.698</v>
      </c>
      <c r="M3195" t="n">
        <v>0</v>
      </c>
      <c r="N3195" t="inlineStr">
        <is>
          <t>train</t>
        </is>
      </c>
      <c r="O3195">
        <f>HYPERLINK("3\1\marker_575_383727.png", "Ver Imagen")</f>
        <v/>
      </c>
      <c r="P3195">
        <f>HYPERLINK("SO\A-5058\A-5058__264.png", "Ver Imagen")</f>
        <v/>
      </c>
    </row>
    <row r="3196">
      <c r="A3196" t="n">
        <v>2726</v>
      </c>
      <c r="B3196" t="inlineStr">
        <is>
          <t>A-5058__265</t>
        </is>
      </c>
      <c r="C3196" t="n">
        <v>37.242693775</v>
      </c>
      <c r="D3196" t="n">
        <v>-7.0867106147</v>
      </c>
      <c r="E3196" t="n">
        <v>3</v>
      </c>
      <c r="F3196" t="n">
        <v>4</v>
      </c>
      <c r="G3196" t="n">
        <v>3</v>
      </c>
      <c r="J3196" t="inlineStr">
        <is>
          <t>Moda</t>
        </is>
      </c>
      <c r="K3196" t="n">
        <v>3</v>
      </c>
      <c r="L3196" t="n">
        <v>3.057</v>
      </c>
      <c r="M3196" t="n">
        <v>0</v>
      </c>
      <c r="N3196" t="inlineStr">
        <is>
          <t>test</t>
        </is>
      </c>
      <c r="O3196">
        <f>HYPERLINK("3\1\marker_420_383740.png", "Ver Imagen")</f>
        <v/>
      </c>
      <c r="P3196">
        <f>HYPERLINK("SE\A-5058\A-5058__265.png", "Ver Imagen")</f>
        <v/>
      </c>
    </row>
    <row r="3197">
      <c r="A3197" t="n">
        <v>2726</v>
      </c>
      <c r="B3197" t="inlineStr">
        <is>
          <t>A-5058__265</t>
        </is>
      </c>
      <c r="C3197" t="n">
        <v>37.242693775</v>
      </c>
      <c r="D3197" t="n">
        <v>-7.0867106147</v>
      </c>
      <c r="E3197" t="n">
        <v>3</v>
      </c>
      <c r="F3197" t="n">
        <v>4</v>
      </c>
      <c r="G3197" t="n">
        <v>3</v>
      </c>
      <c r="J3197" t="inlineStr">
        <is>
          <t>Moda</t>
        </is>
      </c>
      <c r="K3197" t="n">
        <v>3</v>
      </c>
      <c r="L3197" t="n">
        <v>3.003</v>
      </c>
      <c r="M3197" t="n">
        <v>0</v>
      </c>
      <c r="N3197" t="inlineStr">
        <is>
          <t>test</t>
        </is>
      </c>
      <c r="O3197">
        <f>HYPERLINK("3\1\marker_420_383740.png", "Ver Imagen")</f>
        <v/>
      </c>
      <c r="P3197">
        <f>HYPERLINK("SO\A-5058\A-5058__265.png", "Ver Imagen")</f>
        <v/>
      </c>
    </row>
    <row r="3198">
      <c r="A3198" t="n">
        <v>2727</v>
      </c>
      <c r="B3198" t="inlineStr">
        <is>
          <t>A-5058__266</t>
        </is>
      </c>
      <c r="C3198" t="n">
        <v>37.242752666</v>
      </c>
      <c r="D3198" t="n">
        <v>-7.08693055241</v>
      </c>
      <c r="E3198" t="n">
        <v>4</v>
      </c>
      <c r="F3198" t="n">
        <v>3</v>
      </c>
      <c r="G3198" t="n">
        <v>3</v>
      </c>
      <c r="J3198" t="inlineStr">
        <is>
          <t>Moda</t>
        </is>
      </c>
      <c r="K3198" t="n">
        <v>3</v>
      </c>
      <c r="L3198" t="n">
        <v>2.977</v>
      </c>
      <c r="M3198" t="n">
        <v>0</v>
      </c>
      <c r="N3198" t="inlineStr">
        <is>
          <t>train</t>
        </is>
      </c>
      <c r="O3198">
        <f>HYPERLINK("3\1\marker_131_383750.png", "Ver Imagen")</f>
        <v/>
      </c>
      <c r="P3198">
        <f>HYPERLINK("SE\A-5058\A-5058__266.png", "Ver Imagen")</f>
        <v/>
      </c>
    </row>
    <row r="3199">
      <c r="A3199" t="n">
        <v>2727</v>
      </c>
      <c r="B3199" t="inlineStr">
        <is>
          <t>A-5058__266</t>
        </is>
      </c>
      <c r="C3199" t="n">
        <v>37.242752666</v>
      </c>
      <c r="D3199" t="n">
        <v>-7.08693055241</v>
      </c>
      <c r="E3199" t="n">
        <v>4</v>
      </c>
      <c r="F3199" t="n">
        <v>3</v>
      </c>
      <c r="G3199" t="n">
        <v>3</v>
      </c>
      <c r="J3199" t="inlineStr">
        <is>
          <t>Moda</t>
        </is>
      </c>
      <c r="K3199" t="n">
        <v>3</v>
      </c>
      <c r="L3199" t="n">
        <v>3.159</v>
      </c>
      <c r="M3199" t="n">
        <v>0</v>
      </c>
      <c r="N3199" t="inlineStr">
        <is>
          <t>train</t>
        </is>
      </c>
      <c r="O3199">
        <f>HYPERLINK("3\1\marker_131_383750.png", "Ver Imagen")</f>
        <v/>
      </c>
      <c r="P3199">
        <f>HYPERLINK("SO\A-5058\A-5058__266.png", "Ver Imagen")</f>
        <v/>
      </c>
    </row>
    <row r="3200">
      <c r="A3200" t="n">
        <v>2728</v>
      </c>
      <c r="B3200" t="inlineStr">
        <is>
          <t>A-5058__267</t>
        </is>
      </c>
      <c r="C3200" t="n">
        <v>37.2428256225</v>
      </c>
      <c r="D3200" t="n">
        <v>-7.08720015935</v>
      </c>
      <c r="E3200" t="n">
        <v>3</v>
      </c>
      <c r="F3200" t="n">
        <v>2</v>
      </c>
      <c r="G3200" t="n">
        <v>3</v>
      </c>
      <c r="J3200" t="inlineStr">
        <is>
          <t>Moda</t>
        </is>
      </c>
      <c r="K3200" t="n">
        <v>3</v>
      </c>
      <c r="L3200" t="n">
        <v>3.071</v>
      </c>
      <c r="M3200" t="n">
        <v>0</v>
      </c>
      <c r="N3200" t="inlineStr">
        <is>
          <t>train</t>
        </is>
      </c>
      <c r="O3200">
        <f>HYPERLINK("3\1\marker_704_383762.png", "Ver Imagen")</f>
        <v/>
      </c>
      <c r="P3200">
        <f>HYPERLINK("SE\A-5058\A-5058__267.png", "Ver Imagen")</f>
        <v/>
      </c>
    </row>
    <row r="3201">
      <c r="A3201" t="n">
        <v>2728</v>
      </c>
      <c r="B3201" t="inlineStr">
        <is>
          <t>A-5058__267</t>
        </is>
      </c>
      <c r="C3201" t="n">
        <v>37.2428256225</v>
      </c>
      <c r="D3201" t="n">
        <v>-7.08720015935</v>
      </c>
      <c r="E3201" t="n">
        <v>3</v>
      </c>
      <c r="F3201" t="n">
        <v>2</v>
      </c>
      <c r="G3201" t="n">
        <v>3</v>
      </c>
      <c r="J3201" t="inlineStr">
        <is>
          <t>Moda</t>
        </is>
      </c>
      <c r="K3201" t="n">
        <v>3</v>
      </c>
      <c r="L3201" t="n">
        <v>3.345</v>
      </c>
      <c r="M3201" t="n">
        <v>0</v>
      </c>
      <c r="N3201" t="inlineStr">
        <is>
          <t>train</t>
        </is>
      </c>
      <c r="O3201">
        <f>HYPERLINK("3\1\marker_704_383762.png", "Ver Imagen")</f>
        <v/>
      </c>
      <c r="P3201">
        <f>HYPERLINK("SO\A-5058\A-5058__267.png", "Ver Imagen")</f>
        <v/>
      </c>
    </row>
    <row r="3202">
      <c r="A3202" t="n">
        <v>2729</v>
      </c>
      <c r="B3202" t="inlineStr">
        <is>
          <t>A-5058__276</t>
        </is>
      </c>
      <c r="C3202" t="n">
        <v>37.2436158692</v>
      </c>
      <c r="D3202" t="n">
        <v>-7.08920502075</v>
      </c>
      <c r="E3202" t="n">
        <v>3</v>
      </c>
      <c r="F3202" t="n">
        <v>2</v>
      </c>
      <c r="G3202" t="n">
        <v>3</v>
      </c>
      <c r="J3202" t="inlineStr">
        <is>
          <t>Moda</t>
        </is>
      </c>
      <c r="K3202" t="n">
        <v>3</v>
      </c>
      <c r="L3202" t="n">
        <v>2.917</v>
      </c>
      <c r="M3202" t="n">
        <v>0</v>
      </c>
      <c r="N3202" t="inlineStr">
        <is>
          <t>train</t>
        </is>
      </c>
      <c r="O3202">
        <f>HYPERLINK("3\1\marker_763_383990.png", "Ver Imagen")</f>
        <v/>
      </c>
      <c r="P3202">
        <f>HYPERLINK("SE\A-5058\A-5058__276.png", "Ver Imagen")</f>
        <v/>
      </c>
    </row>
    <row r="3203">
      <c r="A3203" t="n">
        <v>2729</v>
      </c>
      <c r="B3203" t="inlineStr">
        <is>
          <t>A-5058__276</t>
        </is>
      </c>
      <c r="C3203" t="n">
        <v>37.2436158692</v>
      </c>
      <c r="D3203" t="n">
        <v>-7.08920502075</v>
      </c>
      <c r="E3203" t="n">
        <v>3</v>
      </c>
      <c r="F3203" t="n">
        <v>2</v>
      </c>
      <c r="G3203" t="n">
        <v>3</v>
      </c>
      <c r="J3203" t="inlineStr">
        <is>
          <t>Moda</t>
        </is>
      </c>
      <c r="K3203" t="n">
        <v>3</v>
      </c>
      <c r="L3203" t="n">
        <v>2.958</v>
      </c>
      <c r="M3203" t="n">
        <v>0</v>
      </c>
      <c r="N3203" t="inlineStr">
        <is>
          <t>train</t>
        </is>
      </c>
      <c r="O3203">
        <f>HYPERLINK("3\1\marker_763_383990.png", "Ver Imagen")</f>
        <v/>
      </c>
      <c r="P3203">
        <f>HYPERLINK("SO\A-5058\A-5058__276.png", "Ver Imagen")</f>
        <v/>
      </c>
    </row>
    <row r="3204">
      <c r="A3204" t="n">
        <v>2730</v>
      </c>
      <c r="B3204" t="inlineStr">
        <is>
          <t>A-5058__288</t>
        </is>
      </c>
      <c r="C3204" t="n">
        <v>37.2449171907</v>
      </c>
      <c r="D3204" t="n">
        <v>-7.09179214255</v>
      </c>
      <c r="E3204" t="n">
        <v>3</v>
      </c>
      <c r="F3204" t="n">
        <v>2</v>
      </c>
      <c r="G3204" t="n">
        <v>3</v>
      </c>
      <c r="J3204" t="inlineStr">
        <is>
          <t>Moda</t>
        </is>
      </c>
      <c r="K3204" t="n">
        <v>3</v>
      </c>
      <c r="L3204" t="n">
        <v>2.838</v>
      </c>
      <c r="M3204" t="n">
        <v>0</v>
      </c>
      <c r="N3204" t="inlineStr">
        <is>
          <t>train</t>
        </is>
      </c>
      <c r="O3204">
        <f>HYPERLINK("3\1\marker_155_384126.png", "Ver Imagen")</f>
        <v/>
      </c>
      <c r="P3204">
        <f>HYPERLINK("SE\A-5058\A-5058__288.png", "Ver Imagen")</f>
        <v/>
      </c>
    </row>
    <row r="3205">
      <c r="A3205" t="n">
        <v>2730</v>
      </c>
      <c r="B3205" t="inlineStr">
        <is>
          <t>A-5058__288</t>
        </is>
      </c>
      <c r="C3205" t="n">
        <v>37.2449171907</v>
      </c>
      <c r="D3205" t="n">
        <v>-7.09179214255</v>
      </c>
      <c r="E3205" t="n">
        <v>3</v>
      </c>
      <c r="F3205" t="n">
        <v>2</v>
      </c>
      <c r="G3205" t="n">
        <v>3</v>
      </c>
      <c r="J3205" t="inlineStr">
        <is>
          <t>Moda</t>
        </is>
      </c>
      <c r="K3205" t="n">
        <v>3</v>
      </c>
      <c r="L3205" t="n">
        <v>2.941</v>
      </c>
      <c r="M3205" t="n">
        <v>0</v>
      </c>
      <c r="N3205" t="inlineStr">
        <is>
          <t>train</t>
        </is>
      </c>
      <c r="O3205">
        <f>HYPERLINK("3\1\marker_155_384126.png", "Ver Imagen")</f>
        <v/>
      </c>
      <c r="P3205">
        <f>HYPERLINK("SO\A-5058\A-5058__288.png", "Ver Imagen")</f>
        <v/>
      </c>
    </row>
    <row r="3206">
      <c r="A3206" t="n">
        <v>2731</v>
      </c>
      <c r="B3206" t="inlineStr">
        <is>
          <t>A-5058__300</t>
        </is>
      </c>
      <c r="C3206" t="n">
        <v>37.2454909665</v>
      </c>
      <c r="D3206" t="n">
        <v>-7.09474251474</v>
      </c>
      <c r="E3206" t="n">
        <v>3</v>
      </c>
      <c r="F3206" t="n">
        <v>3</v>
      </c>
      <c r="G3206" t="n">
        <v>4</v>
      </c>
      <c r="J3206" t="inlineStr">
        <is>
          <t>Moda</t>
        </is>
      </c>
      <c r="K3206" t="n">
        <v>3</v>
      </c>
      <c r="L3206" t="n">
        <v>2.932</v>
      </c>
      <c r="M3206" t="n">
        <v>0</v>
      </c>
      <c r="N3206" t="inlineStr">
        <is>
          <t>val</t>
        </is>
      </c>
      <c r="O3206">
        <f>HYPERLINK("3\1\marker_860_384272.png", "Ver Imagen")</f>
        <v/>
      </c>
      <c r="P3206">
        <f>HYPERLINK("SE\A-5058\A-5058__300.png", "Ver Imagen")</f>
        <v/>
      </c>
    </row>
    <row r="3207">
      <c r="A3207" t="n">
        <v>2731</v>
      </c>
      <c r="B3207" t="inlineStr">
        <is>
          <t>A-5058__300</t>
        </is>
      </c>
      <c r="C3207" t="n">
        <v>37.2454909665</v>
      </c>
      <c r="D3207" t="n">
        <v>-7.09474251474</v>
      </c>
      <c r="E3207" t="n">
        <v>3</v>
      </c>
      <c r="F3207" t="n">
        <v>3</v>
      </c>
      <c r="G3207" t="n">
        <v>4</v>
      </c>
      <c r="J3207" t="inlineStr">
        <is>
          <t>Moda</t>
        </is>
      </c>
      <c r="K3207" t="n">
        <v>3</v>
      </c>
      <c r="L3207" t="n">
        <v>2.852</v>
      </c>
      <c r="M3207" t="n">
        <v>0</v>
      </c>
      <c r="N3207" t="inlineStr">
        <is>
          <t>val</t>
        </is>
      </c>
      <c r="O3207">
        <f>HYPERLINK("3\1\marker_860_384272.png", "Ver Imagen")</f>
        <v/>
      </c>
      <c r="P3207">
        <f>HYPERLINK("SO\A-5058\A-5058__300.png", "Ver Imagen")</f>
        <v/>
      </c>
    </row>
    <row r="3208">
      <c r="A3208" t="n">
        <v>2732</v>
      </c>
      <c r="B3208" t="inlineStr">
        <is>
          <t>A-5058__301</t>
        </is>
      </c>
      <c r="C3208" t="n">
        <v>37.2455075198</v>
      </c>
      <c r="D3208" t="n">
        <v>-7.09495785035</v>
      </c>
      <c r="E3208" t="n">
        <v>3</v>
      </c>
      <c r="F3208" t="n">
        <v>2</v>
      </c>
      <c r="G3208" t="n">
        <v>3</v>
      </c>
      <c r="J3208" t="inlineStr">
        <is>
          <t>Moda</t>
        </is>
      </c>
      <c r="K3208" t="n">
        <v>3</v>
      </c>
      <c r="L3208" t="n">
        <v>2.918</v>
      </c>
      <c r="M3208" t="n">
        <v>0</v>
      </c>
      <c r="N3208" t="inlineStr">
        <is>
          <t>val</t>
        </is>
      </c>
      <c r="O3208">
        <f>HYPERLINK("3\1\marker_770_384282.png", "Ver Imagen")</f>
        <v/>
      </c>
      <c r="P3208">
        <f>HYPERLINK("SE\A-5058\A-5058__301.png", "Ver Imagen")</f>
        <v/>
      </c>
    </row>
    <row r="3209">
      <c r="A3209" t="n">
        <v>2732</v>
      </c>
      <c r="B3209" t="inlineStr">
        <is>
          <t>A-5058__301</t>
        </is>
      </c>
      <c r="C3209" t="n">
        <v>37.2455075198</v>
      </c>
      <c r="D3209" t="n">
        <v>-7.09495785035</v>
      </c>
      <c r="E3209" t="n">
        <v>3</v>
      </c>
      <c r="F3209" t="n">
        <v>2</v>
      </c>
      <c r="G3209" t="n">
        <v>3</v>
      </c>
      <c r="J3209" t="inlineStr">
        <is>
          <t>Moda</t>
        </is>
      </c>
      <c r="K3209" t="n">
        <v>3</v>
      </c>
      <c r="L3209" t="n">
        <v>3.094</v>
      </c>
      <c r="M3209" t="n">
        <v>0</v>
      </c>
      <c r="N3209" t="inlineStr">
        <is>
          <t>val</t>
        </is>
      </c>
      <c r="O3209">
        <f>HYPERLINK("3\1\marker_770_384282.png", "Ver Imagen")</f>
        <v/>
      </c>
      <c r="P3209">
        <f>HYPERLINK("SO\A-5058\A-5058__301.png", "Ver Imagen")</f>
        <v/>
      </c>
    </row>
    <row r="3210">
      <c r="A3210" t="n">
        <v>2733</v>
      </c>
      <c r="B3210" t="inlineStr">
        <is>
          <t>A-5058__302</t>
        </is>
      </c>
      <c r="C3210" t="n">
        <v>37.2455277609</v>
      </c>
      <c r="D3210" t="n">
        <v>-7.09521938381</v>
      </c>
      <c r="E3210" t="n">
        <v>3</v>
      </c>
      <c r="F3210" t="n">
        <v>2</v>
      </c>
      <c r="G3210" t="n">
        <v>3</v>
      </c>
      <c r="J3210" t="inlineStr">
        <is>
          <t>Moda</t>
        </is>
      </c>
      <c r="K3210" t="n">
        <v>3</v>
      </c>
      <c r="L3210" t="n">
        <v>3.142</v>
      </c>
      <c r="M3210" t="n">
        <v>0</v>
      </c>
      <c r="N3210" t="inlineStr">
        <is>
          <t>train</t>
        </is>
      </c>
      <c r="O3210">
        <f>HYPERLINK("3\1\marker_151_384298.png", "Ver Imagen")</f>
        <v/>
      </c>
      <c r="P3210">
        <f>HYPERLINK("SE\A-5058\A-5058__302.png", "Ver Imagen")</f>
        <v/>
      </c>
    </row>
    <row r="3211">
      <c r="A3211" t="n">
        <v>2733</v>
      </c>
      <c r="B3211" t="inlineStr">
        <is>
          <t>A-5058__302</t>
        </is>
      </c>
      <c r="C3211" t="n">
        <v>37.2455277609</v>
      </c>
      <c r="D3211" t="n">
        <v>-7.09521938381</v>
      </c>
      <c r="E3211" t="n">
        <v>3</v>
      </c>
      <c r="F3211" t="n">
        <v>2</v>
      </c>
      <c r="G3211" t="n">
        <v>3</v>
      </c>
      <c r="J3211" t="inlineStr">
        <is>
          <t>Moda</t>
        </is>
      </c>
      <c r="K3211" t="n">
        <v>3</v>
      </c>
      <c r="L3211" t="n">
        <v>2.944</v>
      </c>
      <c r="M3211" t="n">
        <v>0</v>
      </c>
      <c r="N3211" t="inlineStr">
        <is>
          <t>train</t>
        </is>
      </c>
      <c r="O3211">
        <f>HYPERLINK("3\1\marker_151_384298.png", "Ver Imagen")</f>
        <v/>
      </c>
      <c r="P3211">
        <f>HYPERLINK("SO\A-5058\A-5058__302.png", "Ver Imagen")</f>
        <v/>
      </c>
    </row>
    <row r="3212">
      <c r="A3212" t="n">
        <v>2734</v>
      </c>
      <c r="B3212" t="inlineStr">
        <is>
          <t>A-5058__306</t>
        </is>
      </c>
      <c r="C3212" t="n">
        <v>37.2456058487</v>
      </c>
      <c r="D3212" t="n">
        <v>-7.09624318157</v>
      </c>
      <c r="E3212" t="n">
        <v>3</v>
      </c>
      <c r="F3212" t="n">
        <v>2</v>
      </c>
      <c r="G3212" t="n">
        <v>3</v>
      </c>
      <c r="J3212" t="inlineStr">
        <is>
          <t>Moda</t>
        </is>
      </c>
      <c r="K3212" t="n">
        <v>3</v>
      </c>
      <c r="L3212" t="n">
        <v>2.908</v>
      </c>
      <c r="M3212" t="n">
        <v>0</v>
      </c>
      <c r="N3212" t="inlineStr">
        <is>
          <t>train</t>
        </is>
      </c>
      <c r="O3212">
        <f>HYPERLINK("3\1\marker_697_384341.png", "Ver Imagen")</f>
        <v/>
      </c>
      <c r="P3212">
        <f>HYPERLINK("SE\A-5058\A-5058__306.png", "Ver Imagen")</f>
        <v/>
      </c>
    </row>
    <row r="3213">
      <c r="A3213" t="n">
        <v>2734</v>
      </c>
      <c r="B3213" t="inlineStr">
        <is>
          <t>A-5058__306</t>
        </is>
      </c>
      <c r="C3213" t="n">
        <v>37.2456058487</v>
      </c>
      <c r="D3213" t="n">
        <v>-7.09624318157</v>
      </c>
      <c r="E3213" t="n">
        <v>3</v>
      </c>
      <c r="F3213" t="n">
        <v>2</v>
      </c>
      <c r="G3213" t="n">
        <v>3</v>
      </c>
      <c r="J3213" t="inlineStr">
        <is>
          <t>Moda</t>
        </is>
      </c>
      <c r="K3213" t="n">
        <v>3</v>
      </c>
      <c r="L3213" t="n">
        <v>2.889</v>
      </c>
      <c r="M3213" t="n">
        <v>0</v>
      </c>
      <c r="N3213" t="inlineStr">
        <is>
          <t>train</t>
        </is>
      </c>
      <c r="O3213">
        <f>HYPERLINK("3\1\marker_697_384341.png", "Ver Imagen")</f>
        <v/>
      </c>
      <c r="P3213">
        <f>HYPERLINK("SO\A-5058\A-5058__306.png", "Ver Imagen")</f>
        <v/>
      </c>
    </row>
    <row r="3214">
      <c r="A3214" t="n">
        <v>2735</v>
      </c>
      <c r="B3214" t="inlineStr">
        <is>
          <t>A-5058__307</t>
        </is>
      </c>
      <c r="C3214" t="n">
        <v>37.2456270619</v>
      </c>
      <c r="D3214" t="n">
        <v>-7.09650616921</v>
      </c>
      <c r="E3214" t="n">
        <v>3</v>
      </c>
      <c r="F3214" t="n">
        <v>2</v>
      </c>
      <c r="G3214" t="n">
        <v>3</v>
      </c>
      <c r="J3214" t="inlineStr">
        <is>
          <t>Moda</t>
        </is>
      </c>
      <c r="K3214" t="n">
        <v>3</v>
      </c>
      <c r="L3214" t="n">
        <v>3.098</v>
      </c>
      <c r="M3214" t="n">
        <v>0</v>
      </c>
      <c r="N3214" t="inlineStr">
        <is>
          <t>train</t>
        </is>
      </c>
      <c r="O3214">
        <f>HYPERLINK("3\1\marker_393_384362.png", "Ver Imagen")</f>
        <v/>
      </c>
      <c r="P3214">
        <f>HYPERLINK("SE\A-5058\A-5058__307.png", "Ver Imagen")</f>
        <v/>
      </c>
    </row>
    <row r="3215">
      <c r="A3215" t="n">
        <v>2735</v>
      </c>
      <c r="B3215" t="inlineStr">
        <is>
          <t>A-5058__307</t>
        </is>
      </c>
      <c r="C3215" t="n">
        <v>37.2456270619</v>
      </c>
      <c r="D3215" t="n">
        <v>-7.09650616921</v>
      </c>
      <c r="E3215" t="n">
        <v>3</v>
      </c>
      <c r="F3215" t="n">
        <v>2</v>
      </c>
      <c r="G3215" t="n">
        <v>3</v>
      </c>
      <c r="J3215" t="inlineStr">
        <is>
          <t>Moda</t>
        </is>
      </c>
      <c r="K3215" t="n">
        <v>3</v>
      </c>
      <c r="L3215" t="n">
        <v>3.099</v>
      </c>
      <c r="M3215" t="n">
        <v>0</v>
      </c>
      <c r="N3215" t="inlineStr">
        <is>
          <t>train</t>
        </is>
      </c>
      <c r="O3215">
        <f>HYPERLINK("3\1\marker_393_384362.png", "Ver Imagen")</f>
        <v/>
      </c>
      <c r="P3215">
        <f>HYPERLINK("SO\A-5058\A-5058__307.png", "Ver Imagen")</f>
        <v/>
      </c>
    </row>
    <row r="3216">
      <c r="A3216" t="n">
        <v>2736</v>
      </c>
      <c r="B3216" t="inlineStr">
        <is>
          <t>A-5058__310</t>
        </is>
      </c>
      <c r="C3216" t="n">
        <v>37.2457134218</v>
      </c>
      <c r="D3216" t="n">
        <v>-7.09725261859</v>
      </c>
      <c r="E3216" t="n">
        <v>3</v>
      </c>
      <c r="F3216" t="n">
        <v>3</v>
      </c>
      <c r="G3216" t="n">
        <v>4</v>
      </c>
      <c r="J3216" t="inlineStr">
        <is>
          <t>Moda</t>
        </is>
      </c>
      <c r="K3216" t="n">
        <v>3</v>
      </c>
      <c r="L3216" t="n">
        <v>2.839</v>
      </c>
      <c r="M3216" t="n">
        <v>0</v>
      </c>
      <c r="N3216" t="inlineStr">
        <is>
          <t>train</t>
        </is>
      </c>
      <c r="O3216">
        <f>HYPERLINK("3\1\marker_639_384393.png", "Ver Imagen")</f>
        <v/>
      </c>
      <c r="P3216">
        <f>HYPERLINK("SE\A-5058\A-5058__310.png", "Ver Imagen")</f>
        <v/>
      </c>
    </row>
    <row r="3217">
      <c r="A3217" t="n">
        <v>2736</v>
      </c>
      <c r="B3217" t="inlineStr">
        <is>
          <t>A-5058__310</t>
        </is>
      </c>
      <c r="C3217" t="n">
        <v>37.2457134218</v>
      </c>
      <c r="D3217" t="n">
        <v>-7.09725261859</v>
      </c>
      <c r="E3217" t="n">
        <v>3</v>
      </c>
      <c r="F3217" t="n">
        <v>3</v>
      </c>
      <c r="G3217" t="n">
        <v>4</v>
      </c>
      <c r="J3217" t="inlineStr">
        <is>
          <t>Moda</t>
        </is>
      </c>
      <c r="K3217" t="n">
        <v>3</v>
      </c>
      <c r="L3217" t="n">
        <v>2.914</v>
      </c>
      <c r="M3217" t="n">
        <v>0</v>
      </c>
      <c r="N3217" t="inlineStr">
        <is>
          <t>train</t>
        </is>
      </c>
      <c r="O3217">
        <f>HYPERLINK("3\1\marker_639_384393.png", "Ver Imagen")</f>
        <v/>
      </c>
      <c r="P3217">
        <f>HYPERLINK("SO\A-5058\A-5058__310.png", "Ver Imagen")</f>
        <v/>
      </c>
    </row>
    <row r="3218">
      <c r="A3218" t="n">
        <v>2737</v>
      </c>
      <c r="B3218" t="inlineStr">
        <is>
          <t>A-5058__312</t>
        </is>
      </c>
      <c r="C3218" t="n">
        <v>37.2458089285</v>
      </c>
      <c r="D3218" t="n">
        <v>-7.09772371272</v>
      </c>
      <c r="E3218" t="n">
        <v>3</v>
      </c>
      <c r="F3218" t="n">
        <v>2</v>
      </c>
      <c r="G3218" t="n">
        <v>3</v>
      </c>
      <c r="J3218" t="inlineStr">
        <is>
          <t>Moda</t>
        </is>
      </c>
      <c r="K3218" t="n">
        <v>3</v>
      </c>
      <c r="L3218" t="n">
        <v>2.988</v>
      </c>
      <c r="M3218" t="n">
        <v>0</v>
      </c>
      <c r="N3218" t="inlineStr">
        <is>
          <t>train</t>
        </is>
      </c>
      <c r="O3218">
        <f>HYPERLINK("3\1\marker_674_384413.png", "Ver Imagen")</f>
        <v/>
      </c>
      <c r="P3218">
        <f>HYPERLINK("SE\A-5058\A-5058__312.png", "Ver Imagen")</f>
        <v/>
      </c>
    </row>
    <row r="3219">
      <c r="A3219" t="n">
        <v>2737</v>
      </c>
      <c r="B3219" t="inlineStr">
        <is>
          <t>A-5058__312</t>
        </is>
      </c>
      <c r="C3219" t="n">
        <v>37.2458089285</v>
      </c>
      <c r="D3219" t="n">
        <v>-7.09772371272</v>
      </c>
      <c r="E3219" t="n">
        <v>3</v>
      </c>
      <c r="F3219" t="n">
        <v>2</v>
      </c>
      <c r="G3219" t="n">
        <v>3</v>
      </c>
      <c r="J3219" t="inlineStr">
        <is>
          <t>Moda</t>
        </is>
      </c>
      <c r="K3219" t="n">
        <v>3</v>
      </c>
      <c r="L3219" t="n">
        <v>2.897</v>
      </c>
      <c r="M3219" t="n">
        <v>0</v>
      </c>
      <c r="N3219" t="inlineStr">
        <is>
          <t>train</t>
        </is>
      </c>
      <c r="O3219">
        <f>HYPERLINK("3\1\marker_674_384413.png", "Ver Imagen")</f>
        <v/>
      </c>
      <c r="P3219">
        <f>HYPERLINK("SO\A-5058\A-5058__312.png", "Ver Imagen")</f>
        <v/>
      </c>
    </row>
    <row r="3220">
      <c r="A3220" t="n">
        <v>2738</v>
      </c>
      <c r="B3220" t="inlineStr">
        <is>
          <t>A-5058__314</t>
        </is>
      </c>
      <c r="C3220" t="n">
        <v>37.2459541504</v>
      </c>
      <c r="D3220" t="n">
        <v>-7.09816291632</v>
      </c>
      <c r="E3220" t="n">
        <v>3</v>
      </c>
      <c r="F3220" t="n">
        <v>2</v>
      </c>
      <c r="G3220" t="n">
        <v>3</v>
      </c>
      <c r="J3220" t="inlineStr">
        <is>
          <t>Moda</t>
        </is>
      </c>
      <c r="K3220" t="n">
        <v>3</v>
      </c>
      <c r="L3220" t="n">
        <v>3.415</v>
      </c>
      <c r="M3220" t="n">
        <v>0</v>
      </c>
      <c r="N3220" t="inlineStr">
        <is>
          <t>train</t>
        </is>
      </c>
      <c r="O3220">
        <f>HYPERLINK("3\1\marker_486_384440.png", "Ver Imagen")</f>
        <v/>
      </c>
      <c r="P3220">
        <f>HYPERLINK("SE\A-5058\A-5058__314.png", "Ver Imagen")</f>
        <v/>
      </c>
    </row>
    <row r="3221">
      <c r="A3221" t="n">
        <v>2738</v>
      </c>
      <c r="B3221" t="inlineStr">
        <is>
          <t>A-5058__314</t>
        </is>
      </c>
      <c r="C3221" t="n">
        <v>37.2459541504</v>
      </c>
      <c r="D3221" t="n">
        <v>-7.09816291632</v>
      </c>
      <c r="E3221" t="n">
        <v>3</v>
      </c>
      <c r="F3221" t="n">
        <v>2</v>
      </c>
      <c r="G3221" t="n">
        <v>3</v>
      </c>
      <c r="J3221" t="inlineStr">
        <is>
          <t>Moda</t>
        </is>
      </c>
      <c r="K3221" t="n">
        <v>3</v>
      </c>
      <c r="L3221" t="n">
        <v>3.212</v>
      </c>
      <c r="M3221" t="n">
        <v>0</v>
      </c>
      <c r="N3221" t="inlineStr">
        <is>
          <t>train</t>
        </is>
      </c>
      <c r="O3221">
        <f>HYPERLINK("3\1\marker_486_384440.png", "Ver Imagen")</f>
        <v/>
      </c>
      <c r="P3221">
        <f>HYPERLINK("SO\A-5058\A-5058__314.png", "Ver Imagen")</f>
        <v/>
      </c>
    </row>
    <row r="3222">
      <c r="A3222" t="n">
        <v>2739</v>
      </c>
      <c r="B3222" t="inlineStr">
        <is>
          <t>A-5058__318</t>
        </is>
      </c>
      <c r="C3222" t="n">
        <v>37.2464104261</v>
      </c>
      <c r="D3222" t="n">
        <v>-7.09903855891</v>
      </c>
      <c r="E3222" t="n">
        <v>3</v>
      </c>
      <c r="F3222" t="n">
        <v>2</v>
      </c>
      <c r="G3222" t="n">
        <v>3</v>
      </c>
      <c r="J3222" t="inlineStr">
        <is>
          <t>Moda</t>
        </is>
      </c>
      <c r="K3222" t="n">
        <v>3</v>
      </c>
      <c r="L3222" t="n">
        <v>3.125</v>
      </c>
      <c r="M3222" t="n">
        <v>0</v>
      </c>
      <c r="N3222" t="inlineStr">
        <is>
          <t>train</t>
        </is>
      </c>
      <c r="O3222">
        <f>HYPERLINK("3\1\marker_331_384477.png", "Ver Imagen")</f>
        <v/>
      </c>
      <c r="P3222">
        <f>HYPERLINK("SE\A-5058\A-5058__318.png", "Ver Imagen")</f>
        <v/>
      </c>
    </row>
    <row r="3223">
      <c r="A3223" t="n">
        <v>2739</v>
      </c>
      <c r="B3223" t="inlineStr">
        <is>
          <t>A-5058__318</t>
        </is>
      </c>
      <c r="C3223" t="n">
        <v>37.2464104261</v>
      </c>
      <c r="D3223" t="n">
        <v>-7.09903855891</v>
      </c>
      <c r="E3223" t="n">
        <v>3</v>
      </c>
      <c r="F3223" t="n">
        <v>2</v>
      </c>
      <c r="G3223" t="n">
        <v>3</v>
      </c>
      <c r="J3223" t="inlineStr">
        <is>
          <t>Moda</t>
        </is>
      </c>
      <c r="K3223" t="n">
        <v>3</v>
      </c>
      <c r="L3223" t="n">
        <v>3.038</v>
      </c>
      <c r="M3223" t="n">
        <v>0</v>
      </c>
      <c r="N3223" t="inlineStr">
        <is>
          <t>train</t>
        </is>
      </c>
      <c r="O3223">
        <f>HYPERLINK("3\1\marker_331_384477.png", "Ver Imagen")</f>
        <v/>
      </c>
      <c r="P3223">
        <f>HYPERLINK("SO\A-5058\A-5058__318.png", "Ver Imagen")</f>
        <v/>
      </c>
    </row>
    <row r="3224">
      <c r="A3224" t="n">
        <v>2740</v>
      </c>
      <c r="B3224" t="inlineStr">
        <is>
          <t>A-5058__319</t>
        </is>
      </c>
      <c r="C3224" t="n">
        <v>37.2465351392</v>
      </c>
      <c r="D3224" t="n">
        <v>-7.09923559967</v>
      </c>
      <c r="E3224" t="n">
        <v>3</v>
      </c>
      <c r="F3224" t="n">
        <v>2</v>
      </c>
      <c r="G3224" t="n">
        <v>3</v>
      </c>
      <c r="J3224" t="inlineStr">
        <is>
          <t>Moda</t>
        </is>
      </c>
      <c r="K3224" t="n">
        <v>3</v>
      </c>
      <c r="L3224" t="n">
        <v>3.055</v>
      </c>
      <c r="M3224" t="n">
        <v>0</v>
      </c>
      <c r="N3224" t="inlineStr">
        <is>
          <t>train</t>
        </is>
      </c>
      <c r="O3224">
        <f>HYPERLINK("3\1\marker_156_384486.png", "Ver Imagen")</f>
        <v/>
      </c>
      <c r="P3224">
        <f>HYPERLINK("SE\A-5058\A-5058__319.png", "Ver Imagen")</f>
        <v/>
      </c>
    </row>
    <row r="3225">
      <c r="A3225" t="n">
        <v>2740</v>
      </c>
      <c r="B3225" t="inlineStr">
        <is>
          <t>A-5058__319</t>
        </is>
      </c>
      <c r="C3225" t="n">
        <v>37.2465351392</v>
      </c>
      <c r="D3225" t="n">
        <v>-7.09923559967</v>
      </c>
      <c r="E3225" t="n">
        <v>3</v>
      </c>
      <c r="F3225" t="n">
        <v>2</v>
      </c>
      <c r="G3225" t="n">
        <v>3</v>
      </c>
      <c r="J3225" t="inlineStr">
        <is>
          <t>Moda</t>
        </is>
      </c>
      <c r="K3225" t="n">
        <v>3</v>
      </c>
      <c r="L3225" t="n">
        <v>3.181</v>
      </c>
      <c r="M3225" t="n">
        <v>0</v>
      </c>
      <c r="N3225" t="inlineStr">
        <is>
          <t>train</t>
        </is>
      </c>
      <c r="O3225">
        <f>HYPERLINK("3\1\marker_156_384486.png", "Ver Imagen")</f>
        <v/>
      </c>
      <c r="P3225">
        <f>HYPERLINK("SO\A-5058\A-5058__319.png", "Ver Imagen")</f>
        <v/>
      </c>
    </row>
    <row r="3226">
      <c r="A3226" t="n">
        <v>2741</v>
      </c>
      <c r="B3226" t="inlineStr">
        <is>
          <t>A-5058__322</t>
        </is>
      </c>
      <c r="C3226" t="n">
        <v>37.246916054</v>
      </c>
      <c r="D3226" t="n">
        <v>-7.09981862293</v>
      </c>
      <c r="E3226" t="n">
        <v>3</v>
      </c>
      <c r="F3226" t="n">
        <v>2</v>
      </c>
      <c r="G3226" t="n">
        <v>3</v>
      </c>
      <c r="J3226" t="inlineStr">
        <is>
          <t>Moda</t>
        </is>
      </c>
      <c r="K3226" t="n">
        <v>3</v>
      </c>
      <c r="L3226" t="n">
        <v>2.969</v>
      </c>
      <c r="M3226" t="n">
        <v>0</v>
      </c>
      <c r="N3226" t="inlineStr">
        <is>
          <t>train</t>
        </is>
      </c>
      <c r="O3226">
        <f>HYPERLINK("3\1\marker_256_384519.png", "Ver Imagen")</f>
        <v/>
      </c>
      <c r="P3226">
        <f>HYPERLINK("SE\A-5058\A-5058__322.png", "Ver Imagen")</f>
        <v/>
      </c>
    </row>
    <row r="3227">
      <c r="A3227" t="n">
        <v>2741</v>
      </c>
      <c r="B3227" t="inlineStr">
        <is>
          <t>A-5058__322</t>
        </is>
      </c>
      <c r="C3227" t="n">
        <v>37.246916054</v>
      </c>
      <c r="D3227" t="n">
        <v>-7.09981862293</v>
      </c>
      <c r="E3227" t="n">
        <v>3</v>
      </c>
      <c r="F3227" t="n">
        <v>2</v>
      </c>
      <c r="G3227" t="n">
        <v>3</v>
      </c>
      <c r="J3227" t="inlineStr">
        <is>
          <t>Moda</t>
        </is>
      </c>
      <c r="K3227" t="n">
        <v>3</v>
      </c>
      <c r="L3227" t="n">
        <v>3.053</v>
      </c>
      <c r="M3227" t="n">
        <v>0</v>
      </c>
      <c r="N3227" t="inlineStr">
        <is>
          <t>train</t>
        </is>
      </c>
      <c r="O3227">
        <f>HYPERLINK("3\1\marker_256_384519.png", "Ver Imagen")</f>
        <v/>
      </c>
      <c r="P3227">
        <f>HYPERLINK("SO\A-5058\A-5058__322.png", "Ver Imagen")</f>
        <v/>
      </c>
    </row>
    <row r="3228">
      <c r="A3228" t="n">
        <v>2742</v>
      </c>
      <c r="B3228" t="inlineStr">
        <is>
          <t>A-5058__324</t>
        </is>
      </c>
      <c r="C3228" t="n">
        <v>37.2471671299</v>
      </c>
      <c r="D3228" t="n">
        <v>-7.10019974181</v>
      </c>
      <c r="E3228" t="n">
        <v>3</v>
      </c>
      <c r="F3228" t="n">
        <v>2</v>
      </c>
      <c r="G3228" t="n">
        <v>3</v>
      </c>
      <c r="J3228" t="inlineStr">
        <is>
          <t>Moda</t>
        </is>
      </c>
      <c r="K3228" t="n">
        <v>3</v>
      </c>
      <c r="L3228" t="n">
        <v>2.931</v>
      </c>
      <c r="M3228" t="n">
        <v>0</v>
      </c>
      <c r="N3228" t="inlineStr">
        <is>
          <t>train</t>
        </is>
      </c>
      <c r="O3228">
        <f>HYPERLINK("3\1\marker_378_384551.png", "Ver Imagen")</f>
        <v/>
      </c>
      <c r="P3228">
        <f>HYPERLINK("SE\A-5058\A-5058__324.png", "Ver Imagen")</f>
        <v/>
      </c>
    </row>
    <row r="3229">
      <c r="A3229" t="n">
        <v>2742</v>
      </c>
      <c r="B3229" t="inlineStr">
        <is>
          <t>A-5058__324</t>
        </is>
      </c>
      <c r="C3229" t="n">
        <v>37.2471671299</v>
      </c>
      <c r="D3229" t="n">
        <v>-7.10019974181</v>
      </c>
      <c r="E3229" t="n">
        <v>3</v>
      </c>
      <c r="F3229" t="n">
        <v>2</v>
      </c>
      <c r="G3229" t="n">
        <v>3</v>
      </c>
      <c r="J3229" t="inlineStr">
        <is>
          <t>Moda</t>
        </is>
      </c>
      <c r="K3229" t="n">
        <v>3</v>
      </c>
      <c r="L3229" t="n">
        <v>2.832</v>
      </c>
      <c r="M3229" t="n">
        <v>0</v>
      </c>
      <c r="N3229" t="inlineStr">
        <is>
          <t>train</t>
        </is>
      </c>
      <c r="O3229">
        <f>HYPERLINK("3\1\marker_378_384551.png", "Ver Imagen")</f>
        <v/>
      </c>
      <c r="P3229">
        <f>HYPERLINK("SO\A-5058\A-5058__324.png", "Ver Imagen")</f>
        <v/>
      </c>
    </row>
    <row r="3230">
      <c r="A3230" t="n">
        <v>2743</v>
      </c>
      <c r="B3230" t="inlineStr">
        <is>
          <t>A-5058__330</t>
        </is>
      </c>
      <c r="C3230" t="n">
        <v>37.2479540647</v>
      </c>
      <c r="D3230" t="n">
        <v>-7.10137488572</v>
      </c>
      <c r="E3230" t="n">
        <v>3</v>
      </c>
      <c r="F3230" t="n">
        <v>2</v>
      </c>
      <c r="G3230" t="n">
        <v>3</v>
      </c>
      <c r="J3230" t="inlineStr">
        <is>
          <t>Moda</t>
        </is>
      </c>
      <c r="K3230" t="n">
        <v>3</v>
      </c>
      <c r="L3230" t="n">
        <v>2.972</v>
      </c>
      <c r="M3230" t="n">
        <v>0</v>
      </c>
      <c r="N3230" t="inlineStr">
        <is>
          <t>train</t>
        </is>
      </c>
      <c r="O3230">
        <f>HYPERLINK("3\1\marker_254_384633.png", "Ver Imagen")</f>
        <v/>
      </c>
      <c r="P3230">
        <f>HYPERLINK("SE\A-5058\A-5058__330.png", "Ver Imagen")</f>
        <v/>
      </c>
    </row>
    <row r="3231">
      <c r="A3231" t="n">
        <v>2743</v>
      </c>
      <c r="B3231" t="inlineStr">
        <is>
          <t>A-5058__330</t>
        </is>
      </c>
      <c r="C3231" t="n">
        <v>37.2479540647</v>
      </c>
      <c r="D3231" t="n">
        <v>-7.10137488572</v>
      </c>
      <c r="E3231" t="n">
        <v>3</v>
      </c>
      <c r="F3231" t="n">
        <v>2</v>
      </c>
      <c r="G3231" t="n">
        <v>3</v>
      </c>
      <c r="J3231" t="inlineStr">
        <is>
          <t>Moda</t>
        </is>
      </c>
      <c r="K3231" t="n">
        <v>3</v>
      </c>
      <c r="L3231" t="n">
        <v>3.205</v>
      </c>
      <c r="M3231" t="n">
        <v>0</v>
      </c>
      <c r="N3231" t="inlineStr">
        <is>
          <t>train</t>
        </is>
      </c>
      <c r="O3231">
        <f>HYPERLINK("3\1\marker_254_384633.png", "Ver Imagen")</f>
        <v/>
      </c>
      <c r="P3231">
        <f>HYPERLINK("SO\A-5058\A-5058__330.png", "Ver Imagen")</f>
        <v/>
      </c>
    </row>
    <row r="3232">
      <c r="A3232" t="n">
        <v>2744</v>
      </c>
      <c r="B3232" t="inlineStr">
        <is>
          <t>A-5058__334</t>
        </is>
      </c>
      <c r="C3232" t="n">
        <v>37.2485777469</v>
      </c>
      <c r="D3232" t="n">
        <v>-7.10199469797</v>
      </c>
      <c r="E3232" t="n">
        <v>3</v>
      </c>
      <c r="F3232" t="n">
        <v>2</v>
      </c>
      <c r="G3232" t="n">
        <v>3</v>
      </c>
      <c r="J3232" t="inlineStr">
        <is>
          <t>Moda</t>
        </is>
      </c>
      <c r="K3232" t="n">
        <v>3</v>
      </c>
      <c r="L3232" t="n">
        <v>3.323</v>
      </c>
      <c r="M3232" t="n">
        <v>0</v>
      </c>
      <c r="N3232" t="inlineStr">
        <is>
          <t>train</t>
        </is>
      </c>
      <c r="O3232">
        <f>HYPERLINK("3\1\marker_120_384693.png", "Ver Imagen")</f>
        <v/>
      </c>
      <c r="P3232">
        <f>HYPERLINK("SE\A-5058\A-5058__334.png", "Ver Imagen")</f>
        <v/>
      </c>
    </row>
    <row r="3233">
      <c r="A3233" t="n">
        <v>2744</v>
      </c>
      <c r="B3233" t="inlineStr">
        <is>
          <t>A-5058__334</t>
        </is>
      </c>
      <c r="C3233" t="n">
        <v>37.2485777469</v>
      </c>
      <c r="D3233" t="n">
        <v>-7.10199469797</v>
      </c>
      <c r="E3233" t="n">
        <v>3</v>
      </c>
      <c r="F3233" t="n">
        <v>2</v>
      </c>
      <c r="G3233" t="n">
        <v>3</v>
      </c>
      <c r="J3233" t="inlineStr">
        <is>
          <t>Moda</t>
        </is>
      </c>
      <c r="K3233" t="n">
        <v>3</v>
      </c>
      <c r="L3233" t="n">
        <v>3.203</v>
      </c>
      <c r="M3233" t="n">
        <v>0</v>
      </c>
      <c r="N3233" t="inlineStr">
        <is>
          <t>train</t>
        </is>
      </c>
      <c r="O3233">
        <f>HYPERLINK("3\1\marker_120_384693.png", "Ver Imagen")</f>
        <v/>
      </c>
      <c r="P3233">
        <f>HYPERLINK("SO\A-5058\A-5058__334.png", "Ver Imagen")</f>
        <v/>
      </c>
    </row>
    <row r="3234">
      <c r="A3234" t="n">
        <v>2745</v>
      </c>
      <c r="B3234" t="inlineStr">
        <is>
          <t>A-5058__339</t>
        </is>
      </c>
      <c r="C3234" t="n">
        <v>37.249489062</v>
      </c>
      <c r="D3234" t="n">
        <v>-7.10253659692</v>
      </c>
      <c r="E3234" t="n">
        <v>3</v>
      </c>
      <c r="F3234" t="n">
        <v>2</v>
      </c>
      <c r="G3234" t="n">
        <v>3</v>
      </c>
      <c r="J3234" t="inlineStr">
        <is>
          <t>Moda</t>
        </is>
      </c>
      <c r="K3234" t="n">
        <v>3</v>
      </c>
      <c r="L3234" t="n">
        <v>2.798</v>
      </c>
      <c r="M3234" t="n">
        <v>0</v>
      </c>
      <c r="N3234" t="inlineStr">
        <is>
          <t>test</t>
        </is>
      </c>
      <c r="O3234">
        <f>HYPERLINK("3\1\marker_641_384744.png", "Ver Imagen")</f>
        <v/>
      </c>
      <c r="P3234">
        <f>HYPERLINK("SE\A-5058\A-5058__339.png", "Ver Imagen")</f>
        <v/>
      </c>
    </row>
    <row r="3235">
      <c r="A3235" t="n">
        <v>2745</v>
      </c>
      <c r="B3235" t="inlineStr">
        <is>
          <t>A-5058__339</t>
        </is>
      </c>
      <c r="C3235" t="n">
        <v>37.249489062</v>
      </c>
      <c r="D3235" t="n">
        <v>-7.10253659692</v>
      </c>
      <c r="E3235" t="n">
        <v>3</v>
      </c>
      <c r="F3235" t="n">
        <v>2</v>
      </c>
      <c r="G3235" t="n">
        <v>3</v>
      </c>
      <c r="J3235" t="inlineStr">
        <is>
          <t>Moda</t>
        </is>
      </c>
      <c r="K3235" t="n">
        <v>3</v>
      </c>
      <c r="L3235" t="n">
        <v>3.154</v>
      </c>
      <c r="M3235" t="n">
        <v>0</v>
      </c>
      <c r="N3235" t="inlineStr">
        <is>
          <t>test</t>
        </is>
      </c>
      <c r="O3235">
        <f>HYPERLINK("3\1\marker_641_384744.png", "Ver Imagen")</f>
        <v/>
      </c>
      <c r="P3235">
        <f>HYPERLINK("SO\A-5058\A-5058__339.png", "Ver Imagen")</f>
        <v/>
      </c>
    </row>
    <row r="3236">
      <c r="A3236" t="n">
        <v>2746</v>
      </c>
      <c r="B3236" t="inlineStr">
        <is>
          <t>A-5058__340</t>
        </is>
      </c>
      <c r="C3236" t="n">
        <v>37.249688033</v>
      </c>
      <c r="D3236" t="n">
        <v>-7.10265237646</v>
      </c>
      <c r="E3236" t="n">
        <v>3</v>
      </c>
      <c r="F3236" t="n">
        <v>2</v>
      </c>
      <c r="G3236" t="n">
        <v>3</v>
      </c>
      <c r="J3236" t="inlineStr">
        <is>
          <t>Moda</t>
        </is>
      </c>
      <c r="K3236" t="n">
        <v>3</v>
      </c>
      <c r="L3236" t="n">
        <v>3.225</v>
      </c>
      <c r="M3236" t="n">
        <v>0</v>
      </c>
      <c r="N3236" t="inlineStr">
        <is>
          <t>train</t>
        </is>
      </c>
      <c r="O3236">
        <f>HYPERLINK("3\1\marker_724_384764.png", "Ver Imagen")</f>
        <v/>
      </c>
      <c r="P3236">
        <f>HYPERLINK("SE\A-5058\A-5058__340.png", "Ver Imagen")</f>
        <v/>
      </c>
    </row>
    <row r="3237">
      <c r="A3237" t="n">
        <v>2746</v>
      </c>
      <c r="B3237" t="inlineStr">
        <is>
          <t>A-5058__340</t>
        </is>
      </c>
      <c r="C3237" t="n">
        <v>37.249688033</v>
      </c>
      <c r="D3237" t="n">
        <v>-7.10265237646</v>
      </c>
      <c r="E3237" t="n">
        <v>3</v>
      </c>
      <c r="F3237" t="n">
        <v>2</v>
      </c>
      <c r="G3237" t="n">
        <v>3</v>
      </c>
      <c r="J3237" t="inlineStr">
        <is>
          <t>Moda</t>
        </is>
      </c>
      <c r="K3237" t="n">
        <v>3</v>
      </c>
      <c r="L3237" t="n">
        <v>3.261</v>
      </c>
      <c r="M3237" t="n">
        <v>0</v>
      </c>
      <c r="N3237" t="inlineStr">
        <is>
          <t>train</t>
        </is>
      </c>
      <c r="O3237">
        <f>HYPERLINK("3\1\marker_724_384764.png", "Ver Imagen")</f>
        <v/>
      </c>
      <c r="P3237">
        <f>HYPERLINK("SO\A-5058\A-5058__340.png", "Ver Imagen")</f>
        <v/>
      </c>
    </row>
    <row r="3238">
      <c r="A3238" t="n">
        <v>2747</v>
      </c>
      <c r="B3238" t="inlineStr">
        <is>
          <t>A-5058__344</t>
        </is>
      </c>
      <c r="C3238" t="n">
        <v>37.2504159725</v>
      </c>
      <c r="D3238" t="n">
        <v>-7.10307248843</v>
      </c>
      <c r="E3238" t="n">
        <v>3</v>
      </c>
      <c r="F3238" t="n">
        <v>2</v>
      </c>
      <c r="G3238" t="n">
        <v>3</v>
      </c>
      <c r="J3238" t="inlineStr">
        <is>
          <t>Moda</t>
        </is>
      </c>
      <c r="K3238" t="n">
        <v>3</v>
      </c>
      <c r="L3238" t="n">
        <v>3.13</v>
      </c>
      <c r="M3238" t="n">
        <v>0</v>
      </c>
      <c r="N3238" t="inlineStr">
        <is>
          <t>train</t>
        </is>
      </c>
      <c r="O3238">
        <f>HYPERLINK("3\1\marker_356_384805.png", "Ver Imagen")</f>
        <v/>
      </c>
      <c r="P3238">
        <f>HYPERLINK("SE\A-5058\A-5058__344.png", "Ver Imagen")</f>
        <v/>
      </c>
    </row>
    <row r="3239">
      <c r="A3239" t="n">
        <v>2747</v>
      </c>
      <c r="B3239" t="inlineStr">
        <is>
          <t>A-5058__344</t>
        </is>
      </c>
      <c r="C3239" t="n">
        <v>37.2504159725</v>
      </c>
      <c r="D3239" t="n">
        <v>-7.10307248843</v>
      </c>
      <c r="E3239" t="n">
        <v>3</v>
      </c>
      <c r="F3239" t="n">
        <v>2</v>
      </c>
      <c r="G3239" t="n">
        <v>3</v>
      </c>
      <c r="J3239" t="inlineStr">
        <is>
          <t>Moda</t>
        </is>
      </c>
      <c r="K3239" t="n">
        <v>3</v>
      </c>
      <c r="L3239" t="n">
        <v>2.964</v>
      </c>
      <c r="M3239" t="n">
        <v>0</v>
      </c>
      <c r="N3239" t="inlineStr">
        <is>
          <t>train</t>
        </is>
      </c>
      <c r="O3239">
        <f>HYPERLINK("3\1\marker_356_384805.png", "Ver Imagen")</f>
        <v/>
      </c>
      <c r="P3239">
        <f>HYPERLINK("SO\A-5058\A-5058__344.png", "Ver Imagen")</f>
        <v/>
      </c>
    </row>
    <row r="3240">
      <c r="A3240" t="n">
        <v>2748</v>
      </c>
      <c r="B3240" t="inlineStr">
        <is>
          <t>A-5058__345</t>
        </is>
      </c>
      <c r="C3240" t="n">
        <v>37.2506098829</v>
      </c>
      <c r="D3240" t="n">
        <v>-7.10318631216</v>
      </c>
      <c r="E3240" t="n">
        <v>3</v>
      </c>
      <c r="F3240" t="n">
        <v>2</v>
      </c>
      <c r="G3240" t="n">
        <v>3</v>
      </c>
      <c r="J3240" t="inlineStr">
        <is>
          <t>Moda</t>
        </is>
      </c>
      <c r="K3240" t="n">
        <v>3</v>
      </c>
      <c r="L3240" t="n">
        <v>2.937</v>
      </c>
      <c r="M3240" t="n">
        <v>0</v>
      </c>
      <c r="N3240" t="inlineStr">
        <is>
          <t>test</t>
        </is>
      </c>
      <c r="O3240">
        <f>HYPERLINK("3\1\marker_123_384817.png", "Ver Imagen")</f>
        <v/>
      </c>
      <c r="P3240">
        <f>HYPERLINK("SO\A-5058\A-5058__345.png", "Ver Imagen")</f>
        <v/>
      </c>
    </row>
    <row r="3241">
      <c r="A3241" t="n">
        <v>2749</v>
      </c>
      <c r="B3241" t="inlineStr">
        <is>
          <t>A-5058__346</t>
        </is>
      </c>
      <c r="C3241" t="n">
        <v>37.2507832359</v>
      </c>
      <c r="D3241" t="n">
        <v>-7.10328836133</v>
      </c>
      <c r="E3241" t="n">
        <v>3</v>
      </c>
      <c r="F3241" t="n">
        <v>2</v>
      </c>
      <c r="G3241" t="n">
        <v>3</v>
      </c>
      <c r="J3241" t="inlineStr">
        <is>
          <t>Moda</t>
        </is>
      </c>
      <c r="K3241" t="n">
        <v>3</v>
      </c>
      <c r="L3241" t="n">
        <v>3.056</v>
      </c>
      <c r="M3241" t="n">
        <v>0</v>
      </c>
      <c r="N3241" t="inlineStr">
        <is>
          <t>train</t>
        </is>
      </c>
      <c r="O3241">
        <f>HYPERLINK("3\1\marker_383_384827.png", "Ver Imagen")</f>
        <v/>
      </c>
      <c r="P3241">
        <f>HYPERLINK("SO\A-5058\A-5058__346.png", "Ver Imagen")</f>
        <v/>
      </c>
    </row>
    <row r="3242">
      <c r="A3242" t="n">
        <v>2750</v>
      </c>
      <c r="B3242" t="inlineStr">
        <is>
          <t>A-5058__347</t>
        </is>
      </c>
      <c r="C3242" t="n">
        <v>37.2509634732</v>
      </c>
      <c r="D3242" t="n">
        <v>-7.10339293709</v>
      </c>
      <c r="E3242" t="n">
        <v>3</v>
      </c>
      <c r="F3242" t="n">
        <v>2</v>
      </c>
      <c r="G3242" t="n">
        <v>3</v>
      </c>
      <c r="J3242" t="inlineStr">
        <is>
          <t>Moda</t>
        </is>
      </c>
      <c r="K3242" t="n">
        <v>3</v>
      </c>
      <c r="L3242" t="n">
        <v>3.211</v>
      </c>
      <c r="M3242" t="n">
        <v>0</v>
      </c>
      <c r="N3242" t="inlineStr">
        <is>
          <t>train</t>
        </is>
      </c>
      <c r="O3242">
        <f>HYPERLINK("3\1\marker_277_384837.png", "Ver Imagen")</f>
        <v/>
      </c>
      <c r="P3242">
        <f>HYPERLINK("SO\A-5058\A-5058__347.png", "Ver Imagen")</f>
        <v/>
      </c>
    </row>
    <row r="3243">
      <c r="A3243" t="n">
        <v>2751</v>
      </c>
      <c r="B3243" t="inlineStr">
        <is>
          <t>A-5058__361</t>
        </is>
      </c>
      <c r="C3243" t="n">
        <v>37.2529549055</v>
      </c>
      <c r="D3243" t="n">
        <v>-7.10575763531</v>
      </c>
      <c r="E3243" t="n">
        <v>3</v>
      </c>
      <c r="F3243" t="n">
        <v>2</v>
      </c>
      <c r="G3243" t="n">
        <v>3</v>
      </c>
      <c r="J3243" t="inlineStr">
        <is>
          <t>Moda</t>
        </is>
      </c>
      <c r="K3243" t="n">
        <v>3</v>
      </c>
      <c r="L3243" t="n">
        <v>2.823</v>
      </c>
      <c r="M3243" t="n">
        <v>0</v>
      </c>
      <c r="N3243" t="inlineStr">
        <is>
          <t>train</t>
        </is>
      </c>
      <c r="O3243">
        <f>HYPERLINK("3\1\marker_313_384983.png", "Ver Imagen")</f>
        <v/>
      </c>
      <c r="P3243">
        <f>HYPERLINK("SO\A-5058\A-5058__361.png", "Ver Imagen")</f>
        <v/>
      </c>
    </row>
    <row r="3244">
      <c r="A3244" t="n">
        <v>2752</v>
      </c>
      <c r="B3244" t="inlineStr">
        <is>
          <t>A-5058__370</t>
        </is>
      </c>
      <c r="C3244" t="n">
        <v>37.2539528708</v>
      </c>
      <c r="D3244" t="n">
        <v>-7.10763199775</v>
      </c>
      <c r="E3244" t="n">
        <v>3</v>
      </c>
      <c r="F3244" t="n">
        <v>2</v>
      </c>
      <c r="G3244" t="n">
        <v>3</v>
      </c>
      <c r="J3244" t="inlineStr">
        <is>
          <t>Moda</t>
        </is>
      </c>
      <c r="K3244" t="n">
        <v>3</v>
      </c>
      <c r="L3244" t="n">
        <v>3.154</v>
      </c>
      <c r="M3244" t="n">
        <v>0</v>
      </c>
      <c r="N3244" t="inlineStr">
        <is>
          <t>train</t>
        </is>
      </c>
      <c r="O3244">
        <f>HYPERLINK("3\1\marker_311_385073.png", "Ver Imagen")</f>
        <v/>
      </c>
      <c r="P3244">
        <f>HYPERLINK("SO\A-5058\A-5058__370.png", "Ver Imagen")</f>
        <v/>
      </c>
    </row>
    <row r="3245">
      <c r="A3245" t="n">
        <v>2753</v>
      </c>
      <c r="B3245" t="inlineStr">
        <is>
          <t>A-5058__371</t>
        </is>
      </c>
      <c r="C3245" t="n">
        <v>37.2541120901</v>
      </c>
      <c r="D3245" t="n">
        <v>-7.10783865612</v>
      </c>
      <c r="E3245" t="n">
        <v>3</v>
      </c>
      <c r="F3245" t="n">
        <v>2</v>
      </c>
      <c r="G3245" t="n">
        <v>3</v>
      </c>
      <c r="J3245" t="inlineStr">
        <is>
          <t>Moda</t>
        </is>
      </c>
      <c r="K3245" t="n">
        <v>3</v>
      </c>
      <c r="L3245" t="n">
        <v>2.836</v>
      </c>
      <c r="M3245" t="n">
        <v>0</v>
      </c>
      <c r="N3245" t="inlineStr">
        <is>
          <t>train</t>
        </is>
      </c>
      <c r="O3245">
        <f>HYPERLINK("3\1\marker_275_385085.png", "Ver Imagen")</f>
        <v/>
      </c>
      <c r="P3245">
        <f>HYPERLINK("SO\A-5058\A-5058__371.png", "Ver Imagen")</f>
        <v/>
      </c>
    </row>
    <row r="3246">
      <c r="A3246" t="n">
        <v>2754</v>
      </c>
      <c r="B3246" t="inlineStr">
        <is>
          <t>A-5058__372</t>
        </is>
      </c>
      <c r="C3246" t="n">
        <v>37.2542400301</v>
      </c>
      <c r="D3246" t="n">
        <v>-7.10800404402</v>
      </c>
      <c r="E3246" t="n">
        <v>3</v>
      </c>
      <c r="F3246" t="n">
        <v>2</v>
      </c>
      <c r="G3246" t="n">
        <v>3</v>
      </c>
      <c r="J3246" t="inlineStr">
        <is>
          <t>Moda</t>
        </is>
      </c>
      <c r="K3246" t="n">
        <v>3</v>
      </c>
      <c r="L3246" t="n">
        <v>2.803</v>
      </c>
      <c r="M3246" t="n">
        <v>0</v>
      </c>
      <c r="N3246" t="inlineStr">
        <is>
          <t>train</t>
        </is>
      </c>
      <c r="O3246">
        <f>HYPERLINK("3\1\marker_905_385095.png", "Ver Imagen")</f>
        <v/>
      </c>
      <c r="P3246">
        <f>HYPERLINK("SO\A-5058\A-5058__372.png", "Ver Imagen")</f>
        <v/>
      </c>
    </row>
    <row r="3247">
      <c r="A3247" t="n">
        <v>2755</v>
      </c>
      <c r="B3247" t="inlineStr">
        <is>
          <t>A-5058__378</t>
        </is>
      </c>
      <c r="C3247" t="n">
        <v>37.2550172303</v>
      </c>
      <c r="D3247" t="n">
        <v>-7.10900508002</v>
      </c>
      <c r="E3247" t="n">
        <v>3</v>
      </c>
      <c r="F3247" t="n">
        <v>2</v>
      </c>
      <c r="G3247" t="n">
        <v>3</v>
      </c>
      <c r="J3247" t="inlineStr">
        <is>
          <t>Moda</t>
        </is>
      </c>
      <c r="K3247" t="n">
        <v>3</v>
      </c>
      <c r="L3247" t="n">
        <v>2.766</v>
      </c>
      <c r="M3247" t="n">
        <v>0</v>
      </c>
      <c r="N3247" t="inlineStr">
        <is>
          <t>test</t>
        </is>
      </c>
      <c r="O3247">
        <f>HYPERLINK("3\1\marker_681_385174.png", "Ver Imagen")</f>
        <v/>
      </c>
      <c r="P3247">
        <f>HYPERLINK("SO\A-5058\A-5058__378.png", "Ver Imagen")</f>
        <v/>
      </c>
    </row>
    <row r="3248">
      <c r="A3248" t="n">
        <v>2756</v>
      </c>
      <c r="B3248" t="inlineStr">
        <is>
          <t>A-5058__388</t>
        </is>
      </c>
      <c r="C3248" t="n">
        <v>37.2553552575</v>
      </c>
      <c r="D3248" t="n">
        <v>-7.11142299863</v>
      </c>
      <c r="E3248" t="n">
        <v>3</v>
      </c>
      <c r="F3248" t="n">
        <v>2</v>
      </c>
      <c r="G3248" t="n">
        <v>3</v>
      </c>
      <c r="J3248" t="inlineStr">
        <is>
          <t>Moda</t>
        </is>
      </c>
      <c r="K3248" t="n">
        <v>3</v>
      </c>
      <c r="L3248" t="n">
        <v>2.744</v>
      </c>
      <c r="M3248" t="n">
        <v>0</v>
      </c>
      <c r="N3248" t="inlineStr">
        <is>
          <t>train</t>
        </is>
      </c>
      <c r="O3248">
        <f>HYPERLINK("3\1\marker_529_385286.png", "Ver Imagen")</f>
        <v/>
      </c>
      <c r="P3248">
        <f>HYPERLINK("SO\A-5058\A-5058__388.png", "Ver Imagen")</f>
        <v/>
      </c>
    </row>
    <row r="3249">
      <c r="A3249" t="n">
        <v>2757</v>
      </c>
      <c r="B3249" t="inlineStr">
        <is>
          <t>A-5058__391</t>
        </is>
      </c>
      <c r="C3249" t="n">
        <v>37.2552290609</v>
      </c>
      <c r="D3249" t="n">
        <v>-7.11217570008</v>
      </c>
      <c r="E3249" t="n">
        <v>3</v>
      </c>
      <c r="F3249" t="n">
        <v>2</v>
      </c>
      <c r="G3249" t="n">
        <v>3</v>
      </c>
      <c r="J3249" t="inlineStr">
        <is>
          <t>Moda</t>
        </is>
      </c>
      <c r="K3249" t="n">
        <v>3</v>
      </c>
      <c r="L3249" t="n">
        <v>2.898</v>
      </c>
      <c r="M3249" t="n">
        <v>0</v>
      </c>
      <c r="N3249" t="inlineStr">
        <is>
          <t>train</t>
        </is>
      </c>
      <c r="O3249">
        <f>HYPERLINK("3\1\marker_467_385314.png", "Ver Imagen")</f>
        <v/>
      </c>
      <c r="P3249">
        <f>HYPERLINK("SO\A-5058\A-5058__391.png", "Ver Imagen")</f>
        <v/>
      </c>
    </row>
    <row r="3250">
      <c r="A3250" t="n">
        <v>2758</v>
      </c>
      <c r="B3250" t="inlineStr">
        <is>
          <t>A-5058__392</t>
        </is>
      </c>
      <c r="C3250" t="n">
        <v>37.2551766446</v>
      </c>
      <c r="D3250" t="n">
        <v>-7.11241216443</v>
      </c>
      <c r="E3250" t="n">
        <v>3</v>
      </c>
      <c r="F3250" t="n">
        <v>2</v>
      </c>
      <c r="G3250" t="n">
        <v>3</v>
      </c>
      <c r="J3250" t="inlineStr">
        <is>
          <t>Moda</t>
        </is>
      </c>
      <c r="K3250" t="n">
        <v>3</v>
      </c>
      <c r="L3250" t="n">
        <v>2.929</v>
      </c>
      <c r="M3250" t="n">
        <v>0</v>
      </c>
      <c r="N3250" t="inlineStr">
        <is>
          <t>train</t>
        </is>
      </c>
      <c r="O3250">
        <f>HYPERLINK("3\1\marker_754_385322.png", "Ver Imagen")</f>
        <v/>
      </c>
      <c r="P3250">
        <f>HYPERLINK("SO\A-5058\A-5058__392.png", "Ver Imagen")</f>
        <v/>
      </c>
    </row>
    <row r="3251">
      <c r="A3251" t="n">
        <v>2759</v>
      </c>
      <c r="B3251" t="inlineStr">
        <is>
          <t>A-5058__398</t>
        </is>
      </c>
      <c r="C3251" t="n">
        <v>37.254816972</v>
      </c>
      <c r="D3251" t="n">
        <v>-7.11386953189</v>
      </c>
      <c r="E3251" t="n">
        <v>3</v>
      </c>
      <c r="F3251" t="n">
        <v>2</v>
      </c>
      <c r="G3251" t="n">
        <v>3</v>
      </c>
      <c r="J3251" t="inlineStr">
        <is>
          <t>Moda</t>
        </is>
      </c>
      <c r="K3251" t="n">
        <v>3</v>
      </c>
      <c r="L3251" t="n">
        <v>2.838</v>
      </c>
      <c r="M3251" t="n">
        <v>0</v>
      </c>
      <c r="N3251" t="inlineStr">
        <is>
          <t>train</t>
        </is>
      </c>
      <c r="O3251">
        <f>HYPERLINK("3\1\marker_357_385404.png", "Ver Imagen")</f>
        <v/>
      </c>
      <c r="P3251">
        <f>HYPERLINK("SO\A-5058\A-5058__398.png", "Ver Imagen")</f>
        <v/>
      </c>
    </row>
    <row r="3252">
      <c r="A3252" t="n">
        <v>2760</v>
      </c>
      <c r="B3252" t="inlineStr">
        <is>
          <t>A-5058__401</t>
        </is>
      </c>
      <c r="C3252" t="n">
        <v>37.254654362</v>
      </c>
      <c r="D3252" t="n">
        <v>-7.11458883469</v>
      </c>
      <c r="E3252" t="n">
        <v>3</v>
      </c>
      <c r="F3252" t="n">
        <v>2</v>
      </c>
      <c r="G3252" t="n">
        <v>3</v>
      </c>
      <c r="J3252" t="inlineStr">
        <is>
          <t>Moda</t>
        </is>
      </c>
      <c r="K3252" t="n">
        <v>3</v>
      </c>
      <c r="L3252" t="n">
        <v>3.02</v>
      </c>
      <c r="M3252" t="n">
        <v>0</v>
      </c>
      <c r="N3252" t="inlineStr">
        <is>
          <t>train</t>
        </is>
      </c>
      <c r="O3252">
        <f>HYPERLINK("3\1\marker_480_388073.png", "Ver Imagen")</f>
        <v/>
      </c>
      <c r="P3252">
        <f>HYPERLINK("SO\A-5058\A-5058__401.png", "Ver Imagen")</f>
        <v/>
      </c>
    </row>
    <row r="3253">
      <c r="A3253" t="n">
        <v>2761</v>
      </c>
      <c r="B3253" t="inlineStr">
        <is>
          <t>A-5058__403</t>
        </is>
      </c>
      <c r="C3253" t="n">
        <v>37.2545869065</v>
      </c>
      <c r="D3253" t="n">
        <v>-7.11508469334</v>
      </c>
      <c r="E3253" t="n">
        <v>3</v>
      </c>
      <c r="F3253" t="n">
        <v>2</v>
      </c>
      <c r="G3253" t="n">
        <v>3</v>
      </c>
      <c r="J3253" t="inlineStr">
        <is>
          <t>Moda</t>
        </is>
      </c>
      <c r="K3253" t="n">
        <v>3</v>
      </c>
      <c r="L3253" t="n">
        <v>2.91</v>
      </c>
      <c r="M3253" t="n">
        <v>0</v>
      </c>
      <c r="N3253" t="inlineStr">
        <is>
          <t>train</t>
        </is>
      </c>
      <c r="O3253">
        <f>HYPERLINK("3\1\marker_392_388527.png", "Ver Imagen")</f>
        <v/>
      </c>
      <c r="P3253">
        <f>HYPERLINK("SO\A-5058\A-5058__403.png", "Ver Imagen")</f>
        <v/>
      </c>
    </row>
    <row r="3254">
      <c r="A3254" t="n">
        <v>2762</v>
      </c>
      <c r="B3254" t="inlineStr">
        <is>
          <t>A-5058__406</t>
        </is>
      </c>
      <c r="C3254" t="n">
        <v>37.2545875405</v>
      </c>
      <c r="D3254" t="n">
        <v>-7.11582221974</v>
      </c>
      <c r="E3254" t="n">
        <v>3</v>
      </c>
      <c r="F3254" t="n">
        <v>2</v>
      </c>
      <c r="G3254" t="n">
        <v>3</v>
      </c>
      <c r="J3254" t="inlineStr">
        <is>
          <t>Moda</t>
        </is>
      </c>
      <c r="K3254" t="n">
        <v>3</v>
      </c>
      <c r="L3254" t="n">
        <v>2.822</v>
      </c>
      <c r="M3254" t="n">
        <v>0</v>
      </c>
      <c r="N3254" t="inlineStr">
        <is>
          <t>train</t>
        </is>
      </c>
      <c r="O3254">
        <f>HYPERLINK("3\1\marker_518_388603.png", "Ver Imagen")</f>
        <v/>
      </c>
      <c r="P3254">
        <f>HYPERLINK("SO\A-5058\A-5058__406.png", "Ver Imagen")</f>
        <v/>
      </c>
    </row>
    <row r="3255">
      <c r="A3255" t="n">
        <v>2763</v>
      </c>
      <c r="B3255" t="inlineStr">
        <is>
          <t>A-5058__409</t>
        </is>
      </c>
      <c r="C3255" t="n">
        <v>37.2547255806</v>
      </c>
      <c r="D3255" t="n">
        <v>-7.11655721791</v>
      </c>
      <c r="E3255" t="n">
        <v>3</v>
      </c>
      <c r="F3255" t="n">
        <v>2</v>
      </c>
      <c r="G3255" t="n">
        <v>3</v>
      </c>
      <c r="J3255" t="inlineStr">
        <is>
          <t>Moda</t>
        </is>
      </c>
      <c r="K3255" t="n">
        <v>3</v>
      </c>
      <c r="L3255" t="n">
        <v>2.993</v>
      </c>
      <c r="M3255" t="n">
        <v>0</v>
      </c>
      <c r="N3255" t="inlineStr">
        <is>
          <t>train</t>
        </is>
      </c>
      <c r="O3255">
        <f>HYPERLINK("3\1\marker_402_388638.png", "Ver Imagen")</f>
        <v/>
      </c>
      <c r="P3255">
        <f>HYPERLINK("SO\A-5058\A-5058__409.png", "Ver Imagen")</f>
        <v/>
      </c>
    </row>
    <row r="3256">
      <c r="A3256" t="n">
        <v>2764</v>
      </c>
      <c r="B3256" t="inlineStr">
        <is>
          <t>A-5058__410</t>
        </is>
      </c>
      <c r="C3256" t="n">
        <v>37.2547966028</v>
      </c>
      <c r="D3256" t="n">
        <v>-7.11678051747</v>
      </c>
      <c r="E3256" t="n">
        <v>3</v>
      </c>
      <c r="F3256" t="n">
        <v>2</v>
      </c>
      <c r="G3256" t="n">
        <v>3</v>
      </c>
      <c r="J3256" t="inlineStr">
        <is>
          <t>Moda</t>
        </is>
      </c>
      <c r="K3256" t="n">
        <v>3</v>
      </c>
      <c r="L3256" t="n">
        <v>2.8</v>
      </c>
      <c r="M3256" t="n">
        <v>0</v>
      </c>
      <c r="N3256" t="inlineStr">
        <is>
          <t>train</t>
        </is>
      </c>
      <c r="O3256">
        <f>HYPERLINK("3\1\marker_498_388648.png", "Ver Imagen")</f>
        <v/>
      </c>
      <c r="P3256">
        <f>HYPERLINK("SO\A-5058\A-5058__410.png", "Ver Imagen")</f>
        <v/>
      </c>
    </row>
    <row r="3257">
      <c r="A3257" t="n">
        <v>2765</v>
      </c>
      <c r="B3257" t="inlineStr">
        <is>
          <t>A-5058__411</t>
        </is>
      </c>
      <c r="C3257" t="n">
        <v>37.2548965744</v>
      </c>
      <c r="D3257" t="n">
        <v>-7.1170327352</v>
      </c>
      <c r="E3257" t="n">
        <v>3</v>
      </c>
      <c r="F3257" t="n">
        <v>2</v>
      </c>
      <c r="G3257" t="n">
        <v>3</v>
      </c>
      <c r="J3257" t="inlineStr">
        <is>
          <t>Moda</t>
        </is>
      </c>
      <c r="K3257" t="n">
        <v>3</v>
      </c>
      <c r="L3257" t="n">
        <v>2.932</v>
      </c>
      <c r="M3257" t="n">
        <v>0</v>
      </c>
      <c r="N3257" t="inlineStr">
        <is>
          <t>train</t>
        </is>
      </c>
      <c r="O3257">
        <f>HYPERLINK("3\1\marker_981_388659.png", "Ver Imagen")</f>
        <v/>
      </c>
      <c r="P3257">
        <f>HYPERLINK("SO\A-5058\A-5058__411.png", "Ver Imagen")</f>
        <v/>
      </c>
    </row>
    <row r="3258">
      <c r="A3258" t="n">
        <v>2766</v>
      </c>
      <c r="B3258" t="inlineStr">
        <is>
          <t>A-5058__417</t>
        </is>
      </c>
      <c r="C3258" t="n">
        <v>37.2556883888</v>
      </c>
      <c r="D3258" t="n">
        <v>-7.11813867274</v>
      </c>
      <c r="E3258" t="n">
        <v>3</v>
      </c>
      <c r="F3258" t="n">
        <v>2</v>
      </c>
      <c r="G3258" t="n">
        <v>3</v>
      </c>
      <c r="J3258" t="inlineStr">
        <is>
          <t>Moda</t>
        </is>
      </c>
      <c r="K3258" t="n">
        <v>3</v>
      </c>
      <c r="L3258" t="n">
        <v>2.832</v>
      </c>
      <c r="M3258" t="n">
        <v>0</v>
      </c>
      <c r="N3258" t="inlineStr">
        <is>
          <t>train</t>
        </is>
      </c>
      <c r="O3258">
        <f>HYPERLINK("3\1\marker_377_388715.png", "Ver Imagen")</f>
        <v/>
      </c>
      <c r="P3258">
        <f>HYPERLINK("SO\A-5058\A-5058__417.png", "Ver Imagen")</f>
        <v/>
      </c>
    </row>
    <row r="3259">
      <c r="A3259" t="n">
        <v>2767</v>
      </c>
      <c r="B3259" t="inlineStr">
        <is>
          <t>A-5058__423</t>
        </is>
      </c>
      <c r="C3259" t="n">
        <v>37.256728769</v>
      </c>
      <c r="D3259" t="n">
        <v>-7.11893049813</v>
      </c>
      <c r="E3259" t="n">
        <v>3</v>
      </c>
      <c r="F3259" t="n">
        <v>3</v>
      </c>
      <c r="G3259" t="n">
        <v>4</v>
      </c>
      <c r="J3259" t="inlineStr">
        <is>
          <t>Moda</t>
        </is>
      </c>
      <c r="K3259" t="n">
        <v>3</v>
      </c>
      <c r="L3259" t="n">
        <v>3.009</v>
      </c>
      <c r="M3259" t="n">
        <v>0</v>
      </c>
      <c r="N3259" t="inlineStr">
        <is>
          <t>train</t>
        </is>
      </c>
      <c r="O3259">
        <f>HYPERLINK("3\1\marker_340_388782.png", "Ver Imagen")</f>
        <v/>
      </c>
      <c r="P3259">
        <f>HYPERLINK("SO\A-5058\A-5058__423.png", "Ver Imagen")</f>
        <v/>
      </c>
    </row>
    <row r="3260">
      <c r="A3260" t="n">
        <v>2768</v>
      </c>
      <c r="B3260" t="inlineStr">
        <is>
          <t>A-5058__433</t>
        </is>
      </c>
      <c r="C3260" t="n">
        <v>37.2583792063</v>
      </c>
      <c r="D3260" t="n">
        <v>-7.12034719304</v>
      </c>
      <c r="E3260" t="n">
        <v>3</v>
      </c>
      <c r="F3260" t="n">
        <v>2</v>
      </c>
      <c r="G3260" t="n">
        <v>3</v>
      </c>
      <c r="J3260" t="inlineStr">
        <is>
          <t>Moda</t>
        </is>
      </c>
      <c r="K3260" t="n">
        <v>3</v>
      </c>
      <c r="L3260" t="n">
        <v>3.004</v>
      </c>
      <c r="M3260" t="n">
        <v>0</v>
      </c>
      <c r="N3260" t="inlineStr">
        <is>
          <t>train</t>
        </is>
      </c>
      <c r="O3260">
        <f>HYPERLINK("3\1\marker_433_388891.png", "Ver Imagen")</f>
        <v/>
      </c>
      <c r="P3260">
        <f>HYPERLINK("SO\A-5058\A-5058__433.png", "Ver Imagen")</f>
        <v/>
      </c>
    </row>
    <row r="3261">
      <c r="A3261" t="n">
        <v>2769</v>
      </c>
      <c r="B3261" t="inlineStr">
        <is>
          <t>A-5058__440</t>
        </is>
      </c>
      <c r="C3261" t="n">
        <v>37.2587711582</v>
      </c>
      <c r="D3261" t="n">
        <v>-7.12205072241</v>
      </c>
      <c r="E3261" t="n">
        <v>3</v>
      </c>
      <c r="F3261" t="n">
        <v>3</v>
      </c>
      <c r="G3261" t="n">
        <v>4</v>
      </c>
      <c r="J3261" t="inlineStr">
        <is>
          <t>Moda</t>
        </is>
      </c>
      <c r="K3261" t="n">
        <v>3</v>
      </c>
      <c r="L3261" t="n">
        <v>3.209</v>
      </c>
      <c r="M3261" t="n">
        <v>0</v>
      </c>
      <c r="N3261" t="inlineStr">
        <is>
          <t>train</t>
        </is>
      </c>
      <c r="O3261">
        <f>HYPERLINK("3\1\marker_983_388969.png", "Ver Imagen")</f>
        <v/>
      </c>
      <c r="P3261">
        <f>HYPERLINK("SO\A-5058\A-5058__440.png", "Ver Imagen")</f>
        <v/>
      </c>
    </row>
    <row r="3262">
      <c r="A3262" t="n">
        <v>2770</v>
      </c>
      <c r="B3262" t="inlineStr">
        <is>
          <t>A-5058__442</t>
        </is>
      </c>
      <c r="C3262" t="n">
        <v>37.2588148737</v>
      </c>
      <c r="D3262" t="n">
        <v>-7.12255888644</v>
      </c>
      <c r="E3262" t="n">
        <v>3</v>
      </c>
      <c r="F3262" t="n">
        <v>2</v>
      </c>
      <c r="G3262" t="n">
        <v>3</v>
      </c>
      <c r="J3262" t="inlineStr">
        <is>
          <t>Moda</t>
        </is>
      </c>
      <c r="K3262" t="n">
        <v>3</v>
      </c>
      <c r="L3262" t="n">
        <v>3.14</v>
      </c>
      <c r="M3262" t="n">
        <v>0</v>
      </c>
      <c r="N3262" t="inlineStr">
        <is>
          <t>train</t>
        </is>
      </c>
      <c r="O3262">
        <f>HYPERLINK("3\1\marker_729_389003.png", "Ver Imagen")</f>
        <v/>
      </c>
      <c r="P3262">
        <f>HYPERLINK("SO\A-5058\A-5058__442.png", "Ver Imagen")</f>
        <v/>
      </c>
    </row>
    <row r="3263">
      <c r="A3263" t="n">
        <v>2771</v>
      </c>
      <c r="B3263" t="inlineStr">
        <is>
          <t>A-5058__456</t>
        </is>
      </c>
      <c r="C3263" t="n">
        <v>37.2594516729</v>
      </c>
      <c r="D3263" t="n">
        <v>-7.12594618721</v>
      </c>
      <c r="E3263" t="n">
        <v>3</v>
      </c>
      <c r="F3263" t="n">
        <v>2</v>
      </c>
      <c r="G3263" t="n">
        <v>3</v>
      </c>
      <c r="J3263" t="inlineStr">
        <is>
          <t>Moda</t>
        </is>
      </c>
      <c r="K3263" t="n">
        <v>3</v>
      </c>
      <c r="L3263" t="n">
        <v>3.094</v>
      </c>
      <c r="M3263" t="n">
        <v>0</v>
      </c>
      <c r="N3263" t="inlineStr">
        <is>
          <t>train</t>
        </is>
      </c>
      <c r="O3263">
        <f>HYPERLINK("3\1\marker_744_389152.png", "Ver Imagen")</f>
        <v/>
      </c>
      <c r="P3263">
        <f>HYPERLINK("SO\A-5058\A-5058__456.png", "Ver Imagen")</f>
        <v/>
      </c>
    </row>
    <row r="3264">
      <c r="A3264" t="n">
        <v>2772</v>
      </c>
      <c r="B3264" t="inlineStr">
        <is>
          <t>A-5058__457</t>
        </is>
      </c>
      <c r="C3264" t="n">
        <v>37.2595882333</v>
      </c>
      <c r="D3264" t="n">
        <v>-7.12614345187</v>
      </c>
      <c r="E3264" t="n">
        <v>3</v>
      </c>
      <c r="F3264" t="n">
        <v>2</v>
      </c>
      <c r="G3264" t="n">
        <v>3</v>
      </c>
      <c r="J3264" t="inlineStr">
        <is>
          <t>Moda</t>
        </is>
      </c>
      <c r="K3264" t="n">
        <v>3</v>
      </c>
      <c r="L3264" t="n">
        <v>3.141</v>
      </c>
      <c r="M3264" t="n">
        <v>0</v>
      </c>
      <c r="N3264" t="inlineStr">
        <is>
          <t>train</t>
        </is>
      </c>
      <c r="O3264">
        <f>HYPERLINK("3\1\marker_629_389163.png", "Ver Imagen")</f>
        <v/>
      </c>
      <c r="P3264">
        <f>HYPERLINK("SO\A-5058\A-5058__457.png", "Ver Imagen")</f>
        <v/>
      </c>
    </row>
    <row r="3265">
      <c r="A3265" t="n">
        <v>2773</v>
      </c>
      <c r="B3265" t="inlineStr">
        <is>
          <t>A-5058__460</t>
        </is>
      </c>
      <c r="C3265" t="n">
        <v>37.2600381142</v>
      </c>
      <c r="D3265" t="n">
        <v>-7.12663906496</v>
      </c>
      <c r="E3265" t="n">
        <v>3</v>
      </c>
      <c r="F3265" t="n">
        <v>2</v>
      </c>
      <c r="G3265" t="n">
        <v>3</v>
      </c>
      <c r="J3265" t="inlineStr">
        <is>
          <t>Moda</t>
        </is>
      </c>
      <c r="K3265" t="n">
        <v>3</v>
      </c>
      <c r="L3265" t="n">
        <v>3.049</v>
      </c>
      <c r="M3265" t="n">
        <v>0</v>
      </c>
      <c r="N3265" t="inlineStr">
        <is>
          <t>train</t>
        </is>
      </c>
      <c r="O3265">
        <f>HYPERLINK("3\1\marker_779_389316.png", "Ver Imagen")</f>
        <v/>
      </c>
      <c r="P3265">
        <f>HYPERLINK("SO\A-5058\A-5058__460.png", "Ver Imagen")</f>
        <v/>
      </c>
    </row>
    <row r="3266">
      <c r="A3266" t="n">
        <v>2774</v>
      </c>
      <c r="B3266" t="inlineStr">
        <is>
          <t>A-5058__461</t>
        </is>
      </c>
      <c r="C3266" t="n">
        <v>37.2602147426</v>
      </c>
      <c r="D3266" t="n">
        <v>-7.12681308646</v>
      </c>
      <c r="E3266" t="n">
        <v>3</v>
      </c>
      <c r="F3266" t="n">
        <v>2</v>
      </c>
      <c r="G3266" t="n">
        <v>3</v>
      </c>
      <c r="J3266" t="inlineStr">
        <is>
          <t>Moda</t>
        </is>
      </c>
      <c r="K3266" t="n">
        <v>3</v>
      </c>
      <c r="L3266" t="n">
        <v>2.654</v>
      </c>
      <c r="M3266" t="n">
        <v>0</v>
      </c>
      <c r="N3266" t="inlineStr">
        <is>
          <t>test</t>
        </is>
      </c>
      <c r="O3266">
        <f>HYPERLINK("3\1\marker_497_389325.png", "Ver Imagen")</f>
        <v/>
      </c>
      <c r="P3266">
        <f>HYPERLINK("SO\A-5058\A-5058__461.png", "Ver Imagen")</f>
        <v/>
      </c>
    </row>
    <row r="3267">
      <c r="A3267" t="n">
        <v>2775</v>
      </c>
      <c r="B3267" t="inlineStr">
        <is>
          <t>A-5058__469</t>
        </is>
      </c>
      <c r="C3267" t="n">
        <v>37.2610885524</v>
      </c>
      <c r="D3267" t="n">
        <v>-7.12838764378</v>
      </c>
      <c r="E3267" t="n">
        <v>3</v>
      </c>
      <c r="F3267" t="n">
        <v>2</v>
      </c>
      <c r="G3267" t="n">
        <v>3</v>
      </c>
      <c r="J3267" t="inlineStr">
        <is>
          <t>Moda</t>
        </is>
      </c>
      <c r="K3267" t="n">
        <v>3</v>
      </c>
      <c r="L3267" t="n">
        <v>2.636</v>
      </c>
      <c r="M3267" t="n">
        <v>0</v>
      </c>
      <c r="N3267" t="inlineStr">
        <is>
          <t>train</t>
        </is>
      </c>
      <c r="O3267">
        <f>HYPERLINK("3\1\marker_631_389394.png", "Ver Imagen")</f>
        <v/>
      </c>
      <c r="P3267">
        <f>HYPERLINK("SO\A-5058\A-5058__469.png", "Ver Imagen")</f>
        <v/>
      </c>
    </row>
    <row r="3268">
      <c r="A3268" t="n">
        <v>2776</v>
      </c>
      <c r="B3268" t="inlineStr">
        <is>
          <t>A-495__3</t>
        </is>
      </c>
      <c r="C3268" t="n">
        <v>37.4440677273</v>
      </c>
      <c r="D3268" t="n">
        <v>-7.09974542693</v>
      </c>
      <c r="E3268" t="n">
        <v>3</v>
      </c>
      <c r="F3268" t="n">
        <v>2</v>
      </c>
      <c r="G3268" t="n">
        <v>3</v>
      </c>
      <c r="J3268" t="inlineStr">
        <is>
          <t>Moda</t>
        </is>
      </c>
      <c r="K3268" t="n">
        <v>3</v>
      </c>
      <c r="L3268" t="n">
        <v>2.918</v>
      </c>
      <c r="M3268" t="n">
        <v>0</v>
      </c>
      <c r="N3268" t="inlineStr">
        <is>
          <t>train</t>
        </is>
      </c>
      <c r="O3268">
        <f>HYPERLINK("3\1\marker_542_380997.png", "Ver Imagen")</f>
        <v/>
      </c>
      <c r="P3268">
        <f>HYPERLINK("NE\A-495\A-495__3.png", "Ver Imagen")</f>
        <v/>
      </c>
    </row>
    <row r="3269">
      <c r="A3269" t="n">
        <v>2777</v>
      </c>
      <c r="B3269" t="inlineStr">
        <is>
          <t>A-495__4</t>
        </is>
      </c>
      <c r="C3269" t="n">
        <v>37.444056272</v>
      </c>
      <c r="D3269" t="n">
        <v>-7.09942689409</v>
      </c>
      <c r="E3269" t="n">
        <v>3</v>
      </c>
      <c r="F3269" t="n">
        <v>2</v>
      </c>
      <c r="G3269" t="n">
        <v>3</v>
      </c>
      <c r="J3269" t="inlineStr">
        <is>
          <t>Moda</t>
        </is>
      </c>
      <c r="K3269" t="n">
        <v>3</v>
      </c>
      <c r="L3269" t="n">
        <v>3.04</v>
      </c>
      <c r="M3269" t="n">
        <v>0</v>
      </c>
      <c r="N3269" t="inlineStr">
        <is>
          <t>train</t>
        </is>
      </c>
      <c r="O3269">
        <f>HYPERLINK("3\1\marker_513_381018.png", "Ver Imagen")</f>
        <v/>
      </c>
      <c r="P3269">
        <f>HYPERLINK("NE\A-495\A-495__4.png", "Ver Imagen")</f>
        <v/>
      </c>
    </row>
    <row r="3270">
      <c r="A3270" t="n">
        <v>2778</v>
      </c>
      <c r="B3270" t="inlineStr">
        <is>
          <t>A-495__6</t>
        </is>
      </c>
      <c r="C3270" t="n">
        <v>37.444032081</v>
      </c>
      <c r="D3270" t="n">
        <v>-7.09896077202</v>
      </c>
      <c r="E3270" t="n">
        <v>3</v>
      </c>
      <c r="F3270" t="n">
        <v>2</v>
      </c>
      <c r="G3270" t="n">
        <v>3</v>
      </c>
      <c r="J3270" t="inlineStr">
        <is>
          <t>Moda</t>
        </is>
      </c>
      <c r="K3270" t="n">
        <v>3</v>
      </c>
      <c r="L3270" t="n">
        <v>2.738</v>
      </c>
      <c r="M3270" t="n">
        <v>0</v>
      </c>
      <c r="N3270" t="inlineStr">
        <is>
          <t>val</t>
        </is>
      </c>
      <c r="O3270">
        <f>HYPERLINK("3\1\marker_676_381039.png", "Ver Imagen")</f>
        <v/>
      </c>
      <c r="P3270">
        <f>HYPERLINK("NE\A-495\A-495__6.png", "Ver Imagen")</f>
        <v/>
      </c>
    </row>
    <row r="3271">
      <c r="A3271" t="n">
        <v>2779</v>
      </c>
      <c r="B3271" t="inlineStr">
        <is>
          <t>A-495__7</t>
        </is>
      </c>
      <c r="C3271" t="n">
        <v>37.4440136849</v>
      </c>
      <c r="D3271" t="n">
        <v>-7.09865377334</v>
      </c>
      <c r="E3271" t="n">
        <v>3</v>
      </c>
      <c r="F3271" t="n">
        <v>2</v>
      </c>
      <c r="G3271" t="n">
        <v>3</v>
      </c>
      <c r="J3271" t="inlineStr">
        <is>
          <t>Moda</t>
        </is>
      </c>
      <c r="K3271" t="n">
        <v>3</v>
      </c>
      <c r="L3271" t="n">
        <v>2.981</v>
      </c>
      <c r="M3271" t="n">
        <v>0</v>
      </c>
      <c r="N3271" t="inlineStr">
        <is>
          <t>train</t>
        </is>
      </c>
      <c r="O3271">
        <f>HYPERLINK("3\1\marker_682_381048.png", "Ver Imagen")</f>
        <v/>
      </c>
      <c r="P3271">
        <f>HYPERLINK("NE\A-495\A-495__7.png", "Ver Imagen")</f>
        <v/>
      </c>
    </row>
    <row r="3272">
      <c r="A3272" t="n">
        <v>2780</v>
      </c>
      <c r="B3272" t="inlineStr">
        <is>
          <t>A-495__11</t>
        </is>
      </c>
      <c r="C3272" t="n">
        <v>37.4439650663</v>
      </c>
      <c r="D3272" t="n">
        <v>-7.09769547895</v>
      </c>
      <c r="E3272" t="n">
        <v>3</v>
      </c>
      <c r="F3272" t="n">
        <v>2</v>
      </c>
      <c r="G3272" t="n">
        <v>3</v>
      </c>
      <c r="J3272" t="inlineStr">
        <is>
          <t>Moda</t>
        </is>
      </c>
      <c r="K3272" t="n">
        <v>3</v>
      </c>
      <c r="L3272" t="n">
        <v>2.558</v>
      </c>
      <c r="M3272" t="n">
        <v>0</v>
      </c>
      <c r="N3272" t="inlineStr">
        <is>
          <t>test</t>
        </is>
      </c>
      <c r="O3272">
        <f>HYPERLINK("3\1\marker_703_381171.png", "Ver Imagen")</f>
        <v/>
      </c>
      <c r="P3272">
        <f>HYPERLINK("NE\A-495\A-495__11.png", "Ver Imagen")</f>
        <v/>
      </c>
    </row>
    <row r="3273">
      <c r="A3273" t="n">
        <v>2782</v>
      </c>
      <c r="B3273" t="inlineStr">
        <is>
          <t>A-495_1__147</t>
        </is>
      </c>
      <c r="C3273" t="n">
        <v>37.4763602606</v>
      </c>
      <c r="D3273" t="n">
        <v>-7.12576052569</v>
      </c>
      <c r="E3273" t="n">
        <v>3</v>
      </c>
      <c r="F3273" t="n">
        <v>2</v>
      </c>
      <c r="G3273" t="n">
        <v>3</v>
      </c>
      <c r="J3273" t="inlineStr">
        <is>
          <t>Moda</t>
        </is>
      </c>
      <c r="K3273" t="n">
        <v>3</v>
      </c>
      <c r="L3273" t="n">
        <v>3.209</v>
      </c>
      <c r="M3273" t="n">
        <v>0</v>
      </c>
      <c r="N3273" t="inlineStr">
        <is>
          <t>train</t>
        </is>
      </c>
      <c r="O3273">
        <f>HYPERLINK("3\1\marker_652_384273.png", "Ver Imagen")</f>
        <v/>
      </c>
      <c r="P3273">
        <f>HYPERLINK("NE\A-495_1\A-495_1__147.png", "Ver Imagen")</f>
        <v/>
      </c>
    </row>
    <row r="3274">
      <c r="A3274" t="n">
        <v>2783</v>
      </c>
      <c r="B3274" t="inlineStr">
        <is>
          <t>A-495_1__143</t>
        </is>
      </c>
      <c r="C3274" t="n">
        <v>37.4755611316</v>
      </c>
      <c r="D3274" t="n">
        <v>-7.12588198387</v>
      </c>
      <c r="E3274" t="n">
        <v>3</v>
      </c>
      <c r="F3274" t="n">
        <v>2</v>
      </c>
      <c r="G3274" t="n">
        <v>3</v>
      </c>
      <c r="J3274" t="inlineStr">
        <is>
          <t>Moda</t>
        </is>
      </c>
      <c r="K3274" t="n">
        <v>3</v>
      </c>
      <c r="L3274" t="n">
        <v>3.199</v>
      </c>
      <c r="M3274" t="n">
        <v>0</v>
      </c>
      <c r="N3274" t="inlineStr">
        <is>
          <t>train</t>
        </is>
      </c>
      <c r="O3274">
        <f>HYPERLINK("3\1\marker_808_384323.png", "Ver Imagen")</f>
        <v/>
      </c>
      <c r="P3274">
        <f>HYPERLINK("NE\A-495_1\A-495_1__143.png", "Ver Imagen")</f>
        <v/>
      </c>
    </row>
    <row r="3275">
      <c r="A3275" t="n">
        <v>2784</v>
      </c>
      <c r="B3275" t="inlineStr">
        <is>
          <t>A-495_1__135</t>
        </is>
      </c>
      <c r="C3275" t="n">
        <v>37.4739428551</v>
      </c>
      <c r="D3275" t="n">
        <v>-7.12623591955</v>
      </c>
      <c r="E3275" t="n">
        <v>3</v>
      </c>
      <c r="F3275" t="n">
        <v>2</v>
      </c>
      <c r="G3275" t="n">
        <v>3</v>
      </c>
      <c r="J3275" t="inlineStr">
        <is>
          <t>Moda</t>
        </is>
      </c>
      <c r="K3275" t="n">
        <v>3</v>
      </c>
      <c r="L3275" t="n">
        <v>2.591</v>
      </c>
      <c r="M3275" t="n">
        <v>0</v>
      </c>
      <c r="N3275" t="inlineStr">
        <is>
          <t>train</t>
        </is>
      </c>
      <c r="O3275">
        <f>HYPERLINK("3\1\marker_779_384422.png", "Ver Imagen")</f>
        <v/>
      </c>
      <c r="P3275">
        <f>HYPERLINK("NE\A-495_1\A-495_1__135.png", "Ver Imagen")</f>
        <v/>
      </c>
    </row>
    <row r="3276">
      <c r="A3276" t="n">
        <v>2785</v>
      </c>
      <c r="B3276" t="inlineStr">
        <is>
          <t>A-495_1__126</t>
        </is>
      </c>
      <c r="C3276" t="n">
        <v>37.4721710393</v>
      </c>
      <c r="D3276" t="n">
        <v>-7.1262922658</v>
      </c>
      <c r="E3276" t="n">
        <v>3</v>
      </c>
      <c r="F3276" t="n">
        <v>2</v>
      </c>
      <c r="G3276" t="n">
        <v>3</v>
      </c>
      <c r="J3276" t="inlineStr">
        <is>
          <t>Moda</t>
        </is>
      </c>
      <c r="K3276" t="n">
        <v>3</v>
      </c>
      <c r="L3276" t="n">
        <v>2.914</v>
      </c>
      <c r="M3276" t="n">
        <v>0</v>
      </c>
      <c r="N3276" t="inlineStr">
        <is>
          <t>train</t>
        </is>
      </c>
      <c r="O3276">
        <f>HYPERLINK("3\1\marker_331_384512.png", "Ver Imagen")</f>
        <v/>
      </c>
      <c r="P3276">
        <f>HYPERLINK("NE\A-495_1\A-495_1__126.png", "Ver Imagen")</f>
        <v/>
      </c>
    </row>
    <row r="3277">
      <c r="A3277" t="n">
        <v>2786</v>
      </c>
      <c r="B3277" t="inlineStr">
        <is>
          <t>A-495_1__103</t>
        </is>
      </c>
      <c r="C3277" t="n">
        <v>37.4681331659</v>
      </c>
      <c r="D3277" t="n">
        <v>-7.12337861739</v>
      </c>
      <c r="E3277" t="n">
        <v>3</v>
      </c>
      <c r="F3277" t="n">
        <v>4</v>
      </c>
      <c r="G3277" t="n">
        <v>3</v>
      </c>
      <c r="J3277" t="inlineStr">
        <is>
          <t>Moda</t>
        </is>
      </c>
      <c r="K3277" t="n">
        <v>3</v>
      </c>
      <c r="L3277" t="n">
        <v>2.849</v>
      </c>
      <c r="M3277" t="n">
        <v>0</v>
      </c>
      <c r="N3277" t="inlineStr">
        <is>
          <t>train</t>
        </is>
      </c>
      <c r="O3277">
        <f>HYPERLINK("3\1\marker_486_384969.png", "Ver Imagen")</f>
        <v/>
      </c>
      <c r="P3277">
        <f>HYPERLINK("NE\A-495_1\A-495_1__103.png", "Ver Imagen")</f>
        <v/>
      </c>
    </row>
    <row r="3278">
      <c r="A3278" t="n">
        <v>2788</v>
      </c>
      <c r="B3278" t="inlineStr">
        <is>
          <t>A-495_1__10</t>
        </is>
      </c>
      <c r="C3278" t="n">
        <v>37.4499114969</v>
      </c>
      <c r="D3278" t="n">
        <v>-7.12721494966</v>
      </c>
      <c r="E3278" t="n">
        <v>3</v>
      </c>
      <c r="F3278" t="n">
        <v>2</v>
      </c>
      <c r="G3278" t="n">
        <v>3</v>
      </c>
      <c r="J3278" t="inlineStr">
        <is>
          <t>Moda</t>
        </is>
      </c>
      <c r="K3278" t="n">
        <v>3</v>
      </c>
      <c r="L3278" t="n">
        <v>2.836</v>
      </c>
      <c r="M3278" t="n">
        <v>0</v>
      </c>
      <c r="N3278" t="inlineStr">
        <is>
          <t>test</t>
        </is>
      </c>
      <c r="O3278">
        <f>HYPERLINK("3\1\marker_691_386227.png", "Ver Imagen")</f>
        <v/>
      </c>
      <c r="P3278">
        <f>HYPERLINK("NE\A-495_1\A-495_1__10.png", "Ver Imagen")</f>
        <v/>
      </c>
    </row>
    <row r="3279">
      <c r="A3279" t="n">
        <v>2791</v>
      </c>
      <c r="B3279" t="inlineStr">
        <is>
          <t>A-499__72</t>
        </is>
      </c>
      <c r="C3279" t="n">
        <v>37.4954891267</v>
      </c>
      <c r="D3279" t="n">
        <v>-7.26972688855</v>
      </c>
      <c r="E3279" t="n">
        <v>3</v>
      </c>
      <c r="F3279" t="n">
        <v>2</v>
      </c>
      <c r="G3279" t="n">
        <v>3</v>
      </c>
      <c r="J3279" t="inlineStr">
        <is>
          <t>Moda</t>
        </is>
      </c>
      <c r="K3279" t="n">
        <v>3</v>
      </c>
      <c r="L3279" t="n">
        <v>2.873</v>
      </c>
      <c r="M3279" t="n">
        <v>0</v>
      </c>
      <c r="N3279" t="inlineStr">
        <is>
          <t>train</t>
        </is>
      </c>
      <c r="O3279">
        <f>HYPERLINK("3\1\marker_561_535198.png", "Ver Imagen")</f>
        <v/>
      </c>
      <c r="P3279">
        <f>HYPERLINK("NO\A-499\A-499__72.png", "Ver Imagen")</f>
        <v/>
      </c>
    </row>
    <row r="3280">
      <c r="A3280" t="n">
        <v>2792</v>
      </c>
      <c r="B3280" t="inlineStr">
        <is>
          <t>A-499__73</t>
        </is>
      </c>
      <c r="C3280" t="n">
        <v>37.4954825693</v>
      </c>
      <c r="D3280" t="n">
        <v>-7.26944706682</v>
      </c>
      <c r="E3280" t="n">
        <v>3</v>
      </c>
      <c r="F3280" t="n">
        <v>3</v>
      </c>
      <c r="G3280" t="n">
        <v>4</v>
      </c>
      <c r="J3280" t="inlineStr">
        <is>
          <t>Moda</t>
        </is>
      </c>
      <c r="K3280" t="n">
        <v>3</v>
      </c>
      <c r="L3280" t="n">
        <v>2.637</v>
      </c>
      <c r="M3280" t="n">
        <v>0</v>
      </c>
      <c r="N3280" t="inlineStr">
        <is>
          <t>train</t>
        </is>
      </c>
      <c r="O3280">
        <f>HYPERLINK("3\1\marker_552_788823.png", "Ver Imagen")</f>
        <v/>
      </c>
      <c r="P3280">
        <f>HYPERLINK("NO\A-499\A-499__73.png", "Ver Imagen")</f>
        <v/>
      </c>
    </row>
    <row r="3281">
      <c r="A3281" t="n">
        <v>2793</v>
      </c>
      <c r="B3281" t="inlineStr">
        <is>
          <t>A-499__76</t>
        </is>
      </c>
      <c r="C3281" t="n">
        <v>37.4953891894</v>
      </c>
      <c r="D3281" t="n">
        <v>-7.2686925487</v>
      </c>
      <c r="E3281" t="n">
        <v>3</v>
      </c>
      <c r="F3281" t="n">
        <v>3</v>
      </c>
      <c r="G3281" t="n">
        <v>4</v>
      </c>
      <c r="J3281" t="inlineStr">
        <is>
          <t>Moda</t>
        </is>
      </c>
      <c r="K3281" t="n">
        <v>3</v>
      </c>
      <c r="L3281" t="n">
        <v>3.197</v>
      </c>
      <c r="M3281" t="n">
        <v>0</v>
      </c>
      <c r="N3281" t="inlineStr">
        <is>
          <t>train</t>
        </is>
      </c>
      <c r="O3281">
        <f>HYPERLINK("3\1\marker_943_789177.png", "Ver Imagen")</f>
        <v/>
      </c>
      <c r="P3281">
        <f>HYPERLINK("NO\A-499\A-499__76.png", "Ver Imagen")</f>
        <v/>
      </c>
    </row>
    <row r="3282">
      <c r="A3282" t="n">
        <v>2794</v>
      </c>
      <c r="B3282" t="inlineStr">
        <is>
          <t>A-499__78</t>
        </is>
      </c>
      <c r="C3282" t="n">
        <v>37.4953052914</v>
      </c>
      <c r="D3282" t="n">
        <v>-7.2682363706</v>
      </c>
      <c r="E3282" t="n">
        <v>4</v>
      </c>
      <c r="F3282" t="n">
        <v>3</v>
      </c>
      <c r="G3282" t="n">
        <v>3</v>
      </c>
      <c r="J3282" t="inlineStr">
        <is>
          <t>Moda</t>
        </is>
      </c>
      <c r="K3282" t="n">
        <v>3</v>
      </c>
      <c r="L3282" t="n">
        <v>3.376</v>
      </c>
      <c r="M3282" t="n">
        <v>0</v>
      </c>
      <c r="N3282" t="inlineStr">
        <is>
          <t>train</t>
        </is>
      </c>
      <c r="O3282">
        <f>HYPERLINK("3\1\marker_731_789221.png", "Ver Imagen")</f>
        <v/>
      </c>
      <c r="P3282">
        <f>HYPERLINK("NO\A-499\A-499__78.png", "Ver Imagen")</f>
        <v/>
      </c>
    </row>
    <row r="3283">
      <c r="A3283" t="n">
        <v>2796</v>
      </c>
      <c r="B3283" t="inlineStr">
        <is>
          <t>A-499__93</t>
        </is>
      </c>
      <c r="C3283" t="n">
        <v>37.4974278496</v>
      </c>
      <c r="D3283" t="n">
        <v>-7.26798348101</v>
      </c>
      <c r="E3283" t="n">
        <v>3</v>
      </c>
      <c r="F3283" t="n">
        <v>3</v>
      </c>
      <c r="G3283" t="n">
        <v>2</v>
      </c>
      <c r="J3283" t="inlineStr">
        <is>
          <t>Moda</t>
        </is>
      </c>
      <c r="K3283" t="n">
        <v>3</v>
      </c>
      <c r="L3283" t="n">
        <v>2.688</v>
      </c>
      <c r="M3283" t="n">
        <v>0</v>
      </c>
      <c r="N3283" t="inlineStr">
        <is>
          <t>train</t>
        </is>
      </c>
      <c r="O3283">
        <f>HYPERLINK("3\1\marker_715_793096.png", "Ver Imagen")</f>
        <v/>
      </c>
      <c r="P3283">
        <f>HYPERLINK("NO\A-499\A-499__93.png", "Ver Imagen")</f>
        <v/>
      </c>
    </row>
    <row r="3284">
      <c r="A3284" t="n">
        <v>2797</v>
      </c>
      <c r="B3284" t="inlineStr">
        <is>
          <t>A-499__95</t>
        </is>
      </c>
      <c r="C3284" t="n">
        <v>37.4978242129</v>
      </c>
      <c r="D3284" t="n">
        <v>-7.26784673867</v>
      </c>
      <c r="E3284" t="n">
        <v>3</v>
      </c>
      <c r="F3284" t="n">
        <v>3</v>
      </c>
      <c r="G3284" t="n">
        <v>2</v>
      </c>
      <c r="J3284" t="inlineStr">
        <is>
          <t>Moda</t>
        </is>
      </c>
      <c r="K3284" t="n">
        <v>3</v>
      </c>
      <c r="L3284" t="n">
        <v>3.251</v>
      </c>
      <c r="M3284" t="n">
        <v>0</v>
      </c>
      <c r="N3284" t="inlineStr">
        <is>
          <t>train</t>
        </is>
      </c>
      <c r="O3284">
        <f>HYPERLINK("3\1\marker_693_793137.png", "Ver Imagen")</f>
        <v/>
      </c>
      <c r="P3284">
        <f>HYPERLINK("NO\A-499\A-499__95.png", "Ver Imagen")</f>
        <v/>
      </c>
    </row>
    <row r="3285">
      <c r="A3285" t="n">
        <v>2798</v>
      </c>
      <c r="B3285" t="inlineStr">
        <is>
          <t>A-497__836</t>
        </is>
      </c>
      <c r="C3285" t="n">
        <v>37.1989901729</v>
      </c>
      <c r="D3285" t="n">
        <v>-6.98282649219</v>
      </c>
      <c r="E3285" t="n">
        <v>3</v>
      </c>
      <c r="F3285" t="n">
        <v>2</v>
      </c>
      <c r="G3285" t="n">
        <v>3</v>
      </c>
      <c r="J3285" t="inlineStr">
        <is>
          <t>Moda</t>
        </is>
      </c>
      <c r="K3285" t="n">
        <v>3</v>
      </c>
      <c r="L3285" t="n">
        <v>2.691</v>
      </c>
      <c r="M3285" t="n">
        <v>0</v>
      </c>
      <c r="N3285" t="inlineStr">
        <is>
          <t>val</t>
        </is>
      </c>
      <c r="O3285">
        <f>HYPERLINK("3\1\marker_529_367586.png", "Ver Imagen")</f>
        <v/>
      </c>
      <c r="P3285">
        <f>HYPERLINK("SE\A-497\A-497__836.png", "Ver Imagen")</f>
        <v/>
      </c>
    </row>
    <row r="3286">
      <c r="A3286" t="n">
        <v>2799</v>
      </c>
      <c r="B3286" t="inlineStr">
        <is>
          <t>A-497__832</t>
        </is>
      </c>
      <c r="C3286" t="n">
        <v>37.1986215984</v>
      </c>
      <c r="D3286" t="n">
        <v>-6.98189946538</v>
      </c>
      <c r="E3286" t="n">
        <v>3</v>
      </c>
      <c r="F3286" t="n">
        <v>2</v>
      </c>
      <c r="G3286" t="n">
        <v>3</v>
      </c>
      <c r="J3286" t="inlineStr">
        <is>
          <t>Moda</t>
        </is>
      </c>
      <c r="K3286" t="n">
        <v>3</v>
      </c>
      <c r="L3286" t="n">
        <v>2.966</v>
      </c>
      <c r="M3286" t="n">
        <v>0</v>
      </c>
      <c r="N3286" t="inlineStr">
        <is>
          <t>test</t>
        </is>
      </c>
      <c r="O3286">
        <f>HYPERLINK("3\1\marker_131_367629.png", "Ver Imagen")</f>
        <v/>
      </c>
      <c r="P3286">
        <f>HYPERLINK("SE\A-497\A-497__832.png", "Ver Imagen")</f>
        <v/>
      </c>
    </row>
    <row r="3287">
      <c r="A3287" t="n">
        <v>2800</v>
      </c>
      <c r="B3287" t="inlineStr">
        <is>
          <t>A-497__826</t>
        </is>
      </c>
      <c r="C3287" t="n">
        <v>37.1979519129</v>
      </c>
      <c r="D3287" t="n">
        <v>-6.98064176673</v>
      </c>
      <c r="E3287" t="n">
        <v>3</v>
      </c>
      <c r="F3287" t="n">
        <v>2</v>
      </c>
      <c r="G3287" t="n">
        <v>3</v>
      </c>
      <c r="J3287" t="inlineStr">
        <is>
          <t>Moda</t>
        </is>
      </c>
      <c r="K3287" t="n">
        <v>3</v>
      </c>
      <c r="L3287" t="n">
        <v>3.421</v>
      </c>
      <c r="M3287" t="n">
        <v>0</v>
      </c>
      <c r="N3287" t="inlineStr">
        <is>
          <t>train</t>
        </is>
      </c>
      <c r="O3287">
        <f>HYPERLINK("3\1\marker_203_367688.png", "Ver Imagen")</f>
        <v/>
      </c>
      <c r="P3287">
        <f>HYPERLINK("SE\A-497\A-497__826.png", "Ver Imagen")</f>
        <v/>
      </c>
    </row>
    <row r="3288">
      <c r="A3288" t="n">
        <v>2801</v>
      </c>
      <c r="B3288" t="inlineStr">
        <is>
          <t>A-497__822</t>
        </is>
      </c>
      <c r="C3288" t="n">
        <v>37.1974112164</v>
      </c>
      <c r="D3288" t="n">
        <v>-6.97991101437</v>
      </c>
      <c r="E3288" t="n">
        <v>3</v>
      </c>
      <c r="F3288" t="n">
        <v>2</v>
      </c>
      <c r="G3288" t="n">
        <v>3</v>
      </c>
      <c r="J3288" t="inlineStr">
        <is>
          <t>Moda</t>
        </is>
      </c>
      <c r="K3288" t="n">
        <v>3</v>
      </c>
      <c r="L3288" t="n">
        <v>3.148</v>
      </c>
      <c r="M3288" t="n">
        <v>0</v>
      </c>
      <c r="N3288" t="inlineStr">
        <is>
          <t>train</t>
        </is>
      </c>
      <c r="O3288">
        <f>HYPERLINK("3\1\marker_342_367734.png", "Ver Imagen")</f>
        <v/>
      </c>
      <c r="P3288">
        <f>HYPERLINK("SE\A-497\A-497__822.png", "Ver Imagen")</f>
        <v/>
      </c>
    </row>
    <row r="3289">
      <c r="A3289" t="n">
        <v>2802</v>
      </c>
      <c r="B3289" t="inlineStr">
        <is>
          <t>A-497__818</t>
        </is>
      </c>
      <c r="C3289" t="n">
        <v>37.1967839061</v>
      </c>
      <c r="D3289" t="n">
        <v>-6.97924844608</v>
      </c>
      <c r="E3289" t="n">
        <v>3</v>
      </c>
      <c r="F3289" t="n">
        <v>2</v>
      </c>
      <c r="G3289" t="n">
        <v>3</v>
      </c>
      <c r="J3289" t="inlineStr">
        <is>
          <t>Moda</t>
        </is>
      </c>
      <c r="K3289" t="n">
        <v>3</v>
      </c>
      <c r="L3289" t="n">
        <v>2.848</v>
      </c>
      <c r="M3289" t="n">
        <v>0</v>
      </c>
      <c r="N3289" t="inlineStr">
        <is>
          <t>train</t>
        </is>
      </c>
      <c r="O3289">
        <f>HYPERLINK("3\1\marker_352_367775.png", "Ver Imagen")</f>
        <v/>
      </c>
      <c r="P3289">
        <f>HYPERLINK("SE\A-497\A-497__818.png", "Ver Imagen")</f>
        <v/>
      </c>
    </row>
    <row r="3290">
      <c r="A3290" t="n">
        <v>2803</v>
      </c>
      <c r="B3290" t="inlineStr">
        <is>
          <t>A-497__815</t>
        </is>
      </c>
      <c r="C3290" t="n">
        <v>37.1962983187</v>
      </c>
      <c r="D3290" t="n">
        <v>-6.97883966722</v>
      </c>
      <c r="E3290" t="n">
        <v>3</v>
      </c>
      <c r="F3290" t="n">
        <v>2</v>
      </c>
      <c r="G3290" t="n">
        <v>3</v>
      </c>
      <c r="J3290" t="inlineStr">
        <is>
          <t>Moda</t>
        </is>
      </c>
      <c r="K3290" t="n">
        <v>3</v>
      </c>
      <c r="L3290" t="n">
        <v>3.23</v>
      </c>
      <c r="M3290" t="n">
        <v>0</v>
      </c>
      <c r="N3290" t="inlineStr">
        <is>
          <t>train</t>
        </is>
      </c>
      <c r="O3290">
        <f>HYPERLINK("3\1\marker_815_367801.png", "Ver Imagen")</f>
        <v/>
      </c>
      <c r="P3290">
        <f>HYPERLINK("SE\A-497\A-497__815.png", "Ver Imagen")</f>
        <v/>
      </c>
    </row>
    <row r="3291">
      <c r="A3291" t="n">
        <v>2804</v>
      </c>
      <c r="B3291" t="inlineStr">
        <is>
          <t>A-497__813</t>
        </is>
      </c>
      <c r="C3291" t="n">
        <v>37.1959225546</v>
      </c>
      <c r="D3291" t="n">
        <v>-6.97857452365</v>
      </c>
      <c r="E3291" t="n">
        <v>3</v>
      </c>
      <c r="F3291" t="n">
        <v>2</v>
      </c>
      <c r="G3291" t="n">
        <v>3</v>
      </c>
      <c r="J3291" t="inlineStr">
        <is>
          <t>Moda</t>
        </is>
      </c>
      <c r="K3291" t="n">
        <v>3</v>
      </c>
      <c r="L3291" t="n">
        <v>2.69</v>
      </c>
      <c r="M3291" t="n">
        <v>0</v>
      </c>
      <c r="N3291" t="inlineStr">
        <is>
          <t>train</t>
        </is>
      </c>
      <c r="O3291">
        <f>HYPERLINK("3\1\marker_204_367818.png", "Ver Imagen")</f>
        <v/>
      </c>
      <c r="P3291">
        <f>HYPERLINK("SE\A-497\A-497__813.png", "Ver Imagen")</f>
        <v/>
      </c>
    </row>
    <row r="3292">
      <c r="A3292" t="n">
        <v>2805</v>
      </c>
      <c r="B3292" t="inlineStr">
        <is>
          <t>A-497__811</t>
        </is>
      </c>
      <c r="C3292" t="n">
        <v>37.1955746571</v>
      </c>
      <c r="D3292" t="n">
        <v>-6.97835901767</v>
      </c>
      <c r="E3292" t="n">
        <v>3</v>
      </c>
      <c r="F3292" t="n">
        <v>2</v>
      </c>
      <c r="G3292" t="n">
        <v>3</v>
      </c>
      <c r="J3292" t="inlineStr">
        <is>
          <t>Moda</t>
        </is>
      </c>
      <c r="K3292" t="n">
        <v>3</v>
      </c>
      <c r="L3292" t="n">
        <v>2.76</v>
      </c>
      <c r="M3292" t="n">
        <v>0</v>
      </c>
      <c r="N3292" t="inlineStr">
        <is>
          <t>train</t>
        </is>
      </c>
      <c r="O3292">
        <f>HYPERLINK("3\1\marker_194_367839.png", "Ver Imagen")</f>
        <v/>
      </c>
      <c r="P3292">
        <f>HYPERLINK("SE\A-497\A-497__811.png", "Ver Imagen")</f>
        <v/>
      </c>
    </row>
    <row r="3293">
      <c r="A3293" t="n">
        <v>2806</v>
      </c>
      <c r="B3293" t="inlineStr">
        <is>
          <t>A-497__788</t>
        </is>
      </c>
      <c r="C3293" t="n">
        <v>37.1910143964</v>
      </c>
      <c r="D3293" t="n">
        <v>-6.9778787972</v>
      </c>
      <c r="E3293" t="n">
        <v>3</v>
      </c>
      <c r="F3293" t="n">
        <v>2</v>
      </c>
      <c r="G3293" t="n">
        <v>3</v>
      </c>
      <c r="J3293" t="inlineStr">
        <is>
          <t>Moda</t>
        </is>
      </c>
      <c r="K3293" t="n">
        <v>3</v>
      </c>
      <c r="L3293" t="n">
        <v>3.084</v>
      </c>
      <c r="M3293" t="n">
        <v>0</v>
      </c>
      <c r="N3293" t="inlineStr">
        <is>
          <t>train</t>
        </is>
      </c>
      <c r="O3293">
        <f>HYPERLINK("3\1\marker_478_368083.png", "Ver Imagen")</f>
        <v/>
      </c>
      <c r="P3293">
        <f>HYPERLINK("SE\A-497\A-497__788.png", "Ver Imagen")</f>
        <v/>
      </c>
    </row>
    <row r="3294">
      <c r="A3294" t="n">
        <v>2807</v>
      </c>
      <c r="B3294" t="inlineStr">
        <is>
          <t>A-497__778</t>
        </is>
      </c>
      <c r="C3294" t="n">
        <v>37.1890457602</v>
      </c>
      <c r="D3294" t="n">
        <v>-6.97841067597</v>
      </c>
      <c r="E3294" t="n">
        <v>3</v>
      </c>
      <c r="F3294" t="n">
        <v>2</v>
      </c>
      <c r="G3294" t="n">
        <v>3</v>
      </c>
      <c r="J3294" t="inlineStr">
        <is>
          <t>Moda</t>
        </is>
      </c>
      <c r="K3294" t="n">
        <v>3</v>
      </c>
      <c r="L3294" t="n">
        <v>2.722</v>
      </c>
      <c r="M3294" t="n">
        <v>0</v>
      </c>
      <c r="N3294" t="inlineStr">
        <is>
          <t>train</t>
        </is>
      </c>
      <c r="O3294">
        <f>HYPERLINK("3\1\marker_150_368185.png", "Ver Imagen")</f>
        <v/>
      </c>
      <c r="P3294">
        <f>HYPERLINK("SE\A-497\A-497__778.png", "Ver Imagen")</f>
        <v/>
      </c>
    </row>
    <row r="3295">
      <c r="A3295" t="n">
        <v>2808</v>
      </c>
      <c r="B3295" t="inlineStr">
        <is>
          <t>A-497__777</t>
        </is>
      </c>
      <c r="C3295" t="n">
        <v>37.1888333487</v>
      </c>
      <c r="D3295" t="n">
        <v>-6.97847188933</v>
      </c>
      <c r="E3295" t="n">
        <v>3</v>
      </c>
      <c r="F3295" t="n">
        <v>2</v>
      </c>
      <c r="G3295" t="n">
        <v>3</v>
      </c>
      <c r="J3295" t="inlineStr">
        <is>
          <t>Moda</t>
        </is>
      </c>
      <c r="K3295" t="n">
        <v>3</v>
      </c>
      <c r="L3295" t="n">
        <v>2.756</v>
      </c>
      <c r="M3295" t="n">
        <v>0</v>
      </c>
      <c r="N3295" t="inlineStr">
        <is>
          <t>test</t>
        </is>
      </c>
      <c r="O3295">
        <f>HYPERLINK("3\1\marker_158_368199.png", "Ver Imagen")</f>
        <v/>
      </c>
      <c r="P3295">
        <f>HYPERLINK("SE\A-497\A-497__777.png", "Ver Imagen")</f>
        <v/>
      </c>
    </row>
    <row r="3296">
      <c r="A3296" t="n">
        <v>2809</v>
      </c>
      <c r="B3296" t="inlineStr">
        <is>
          <t>A-499__112</t>
        </is>
      </c>
      <c r="C3296" t="n">
        <v>37.5011489515</v>
      </c>
      <c r="D3296" t="n">
        <v>-7.26670862702</v>
      </c>
      <c r="E3296" t="n">
        <v>3</v>
      </c>
      <c r="F3296" t="n">
        <v>2</v>
      </c>
      <c r="G3296" t="n">
        <v>3</v>
      </c>
      <c r="J3296" t="inlineStr">
        <is>
          <t>Moda</t>
        </is>
      </c>
      <c r="K3296" t="n">
        <v>3</v>
      </c>
      <c r="L3296" t="n">
        <v>3.186</v>
      </c>
      <c r="M3296" t="n">
        <v>0</v>
      </c>
      <c r="N3296" t="inlineStr">
        <is>
          <t>train</t>
        </is>
      </c>
      <c r="O3296">
        <f>HYPERLINK("3\1\marker_462_793433.png", "Ver Imagen")</f>
        <v/>
      </c>
      <c r="P3296">
        <f>HYPERLINK("NO\A-499\A-499__112.png", "Ver Imagen")</f>
        <v/>
      </c>
    </row>
    <row r="3297">
      <c r="A3297" t="n">
        <v>2811</v>
      </c>
      <c r="B3297" t="inlineStr">
        <is>
          <t>A-499__119</t>
        </is>
      </c>
      <c r="C3297" t="n">
        <v>37.5025050835</v>
      </c>
      <c r="D3297" t="n">
        <v>-7.26624342189</v>
      </c>
      <c r="E3297" t="n">
        <v>2</v>
      </c>
      <c r="F3297" t="n">
        <v>3</v>
      </c>
      <c r="G3297" t="n">
        <v>3</v>
      </c>
      <c r="J3297" t="inlineStr">
        <is>
          <t>Moda</t>
        </is>
      </c>
      <c r="K3297" t="n">
        <v>3</v>
      </c>
      <c r="L3297" t="n">
        <v>2.558</v>
      </c>
      <c r="M3297" t="n">
        <v>0</v>
      </c>
      <c r="N3297" t="inlineStr">
        <is>
          <t>train</t>
        </is>
      </c>
      <c r="O3297">
        <f>HYPERLINK("3\1\marker_711_793576.png", "Ver Imagen")</f>
        <v/>
      </c>
      <c r="P3297">
        <f>HYPERLINK("NO\A-499\A-499__119.png", "Ver Imagen")</f>
        <v/>
      </c>
    </row>
    <row r="3298">
      <c r="A3298" t="n">
        <v>2813</v>
      </c>
      <c r="B3298" t="inlineStr">
        <is>
          <t>A-499__186</t>
        </is>
      </c>
      <c r="C3298" t="n">
        <v>37.5152806519</v>
      </c>
      <c r="D3298" t="n">
        <v>-7.26853386133</v>
      </c>
      <c r="E3298" t="n">
        <v>3</v>
      </c>
      <c r="F3298" t="n">
        <v>2</v>
      </c>
      <c r="G3298" t="n">
        <v>3</v>
      </c>
      <c r="J3298" t="inlineStr">
        <is>
          <t>Moda</t>
        </is>
      </c>
      <c r="K3298" t="n">
        <v>3</v>
      </c>
      <c r="L3298" t="n">
        <v>2.969</v>
      </c>
      <c r="M3298" t="n">
        <v>0</v>
      </c>
      <c r="N3298" t="inlineStr">
        <is>
          <t>train</t>
        </is>
      </c>
      <c r="O3298">
        <f>HYPERLINK("3\1\marker_322_795747.png", "Ver Imagen")</f>
        <v/>
      </c>
      <c r="P3298">
        <f>HYPERLINK("NO\A-499\A-499__186.png", "Ver Imagen")</f>
        <v/>
      </c>
    </row>
    <row r="3299">
      <c r="A3299" t="n">
        <v>2814</v>
      </c>
      <c r="B3299" t="inlineStr">
        <is>
          <t>A-497_2C__33</t>
        </is>
      </c>
      <c r="C3299" t="n">
        <v>37.2676785531</v>
      </c>
      <c r="D3299" t="n">
        <v>-6.9653189</v>
      </c>
      <c r="E3299" t="n">
        <v>3</v>
      </c>
      <c r="F3299" t="n">
        <v>2</v>
      </c>
      <c r="G3299" t="n">
        <v>3</v>
      </c>
      <c r="J3299" t="inlineStr">
        <is>
          <t>Moda</t>
        </is>
      </c>
      <c r="K3299" t="n">
        <v>3</v>
      </c>
      <c r="L3299" t="n">
        <v>3.029</v>
      </c>
      <c r="M3299" t="n">
        <v>0</v>
      </c>
      <c r="N3299" t="inlineStr">
        <is>
          <t>test</t>
        </is>
      </c>
      <c r="O3299">
        <f>HYPERLINK("3\1\marker_563_654516.png", "Ver Imagen")</f>
        <v/>
      </c>
      <c r="P3299">
        <f>HYPERLINK("SE\A-497_2C\A-497_2C__33.png", "Ver Imagen")</f>
        <v/>
      </c>
    </row>
    <row r="3300">
      <c r="A3300" t="n">
        <v>2816</v>
      </c>
      <c r="B3300" t="inlineStr">
        <is>
          <t>A-497_2C__44</t>
        </is>
      </c>
      <c r="C3300" t="n">
        <v>37.2678358312</v>
      </c>
      <c r="D3300" t="n">
        <v>-6.96812571388</v>
      </c>
      <c r="E3300" t="n">
        <v>3</v>
      </c>
      <c r="F3300" t="n">
        <v>2</v>
      </c>
      <c r="G3300" t="n">
        <v>3</v>
      </c>
      <c r="J3300" t="inlineStr">
        <is>
          <t>Moda</t>
        </is>
      </c>
      <c r="K3300" t="n">
        <v>3</v>
      </c>
      <c r="L3300" t="n">
        <v>3.159</v>
      </c>
      <c r="M3300" t="n">
        <v>0</v>
      </c>
      <c r="N3300" t="inlineStr">
        <is>
          <t>test</t>
        </is>
      </c>
      <c r="O3300">
        <f>HYPERLINK("3\1\marker_778_654683.png", "Ver Imagen")</f>
        <v/>
      </c>
      <c r="P3300">
        <f>HYPERLINK("SE\A-497_2C\A-497_2C__44.png", "Ver Imagen")</f>
        <v/>
      </c>
    </row>
    <row r="3301">
      <c r="A3301" t="n">
        <v>2817</v>
      </c>
      <c r="B3301" t="inlineStr">
        <is>
          <t>A-497_2C__45</t>
        </is>
      </c>
      <c r="C3301" t="n">
        <v>37.2678597323</v>
      </c>
      <c r="D3301" t="n">
        <v>-6.96838096902</v>
      </c>
      <c r="E3301" t="n">
        <v>3</v>
      </c>
      <c r="F3301" t="n">
        <v>2</v>
      </c>
      <c r="G3301" t="n">
        <v>3</v>
      </c>
      <c r="J3301" t="inlineStr">
        <is>
          <t>Moda</t>
        </is>
      </c>
      <c r="K3301" t="n">
        <v>3</v>
      </c>
      <c r="L3301" t="n">
        <v>3.069</v>
      </c>
      <c r="M3301" t="n">
        <v>0</v>
      </c>
      <c r="N3301" t="inlineStr">
        <is>
          <t>val</t>
        </is>
      </c>
      <c r="O3301">
        <f>HYPERLINK("3\1\marker_738_654691.png", "Ver Imagen")</f>
        <v/>
      </c>
      <c r="P3301">
        <f>HYPERLINK("SE\A-497_2C\A-497_2C__45.png", "Ver Imagen")</f>
        <v/>
      </c>
    </row>
    <row r="3302">
      <c r="A3302" t="n">
        <v>2818</v>
      </c>
      <c r="B3302" t="inlineStr">
        <is>
          <t>A-497_2C__47</t>
        </is>
      </c>
      <c r="C3302" t="n">
        <v>37.2679053069</v>
      </c>
      <c r="D3302" t="n">
        <v>-6.96887161925</v>
      </c>
      <c r="E3302" t="n">
        <v>3</v>
      </c>
      <c r="F3302" t="n">
        <v>2</v>
      </c>
      <c r="G3302" t="n">
        <v>3</v>
      </c>
      <c r="J3302" t="inlineStr">
        <is>
          <t>Moda</t>
        </is>
      </c>
      <c r="K3302" t="n">
        <v>3</v>
      </c>
      <c r="L3302" t="n">
        <v>3.053</v>
      </c>
      <c r="M3302" t="n">
        <v>0</v>
      </c>
      <c r="N3302" t="inlineStr">
        <is>
          <t>train</t>
        </is>
      </c>
      <c r="O3302">
        <f>HYPERLINK("3\1\marker_694_654707.png", "Ver Imagen")</f>
        <v/>
      </c>
      <c r="P3302">
        <f>HYPERLINK("SE\A-497_2C\A-497_2C__47.png", "Ver Imagen")</f>
        <v/>
      </c>
    </row>
    <row r="3303">
      <c r="A3303" t="n">
        <v>2819</v>
      </c>
      <c r="B3303" t="inlineStr">
        <is>
          <t>A-497_2C__52</t>
        </is>
      </c>
      <c r="C3303" t="n">
        <v>37.2680429826</v>
      </c>
      <c r="D3303" t="n">
        <v>-6.97013913048</v>
      </c>
      <c r="E3303" t="n">
        <v>3</v>
      </c>
      <c r="F3303" t="n">
        <v>2</v>
      </c>
      <c r="G3303" t="n">
        <v>3</v>
      </c>
      <c r="J3303" t="inlineStr">
        <is>
          <t>Moda</t>
        </is>
      </c>
      <c r="K3303" t="n">
        <v>3</v>
      </c>
      <c r="L3303" t="n">
        <v>3.021</v>
      </c>
      <c r="M3303" t="n">
        <v>0</v>
      </c>
      <c r="N3303" t="inlineStr">
        <is>
          <t>test</t>
        </is>
      </c>
      <c r="O3303">
        <f>HYPERLINK("3\1\marker_137_654774.png", "Ver Imagen")</f>
        <v/>
      </c>
      <c r="P3303">
        <f>HYPERLINK("SE\A-497_2C\A-497_2C__52.png", "Ver Imagen")</f>
        <v/>
      </c>
    </row>
    <row r="3304">
      <c r="A3304" t="n">
        <v>2820</v>
      </c>
      <c r="B3304" t="inlineStr">
        <is>
          <t>A-497_2C__55</t>
        </is>
      </c>
      <c r="C3304" t="n">
        <v>37.2681376022</v>
      </c>
      <c r="D3304" t="n">
        <v>-6.97087618772</v>
      </c>
      <c r="E3304" t="n">
        <v>3</v>
      </c>
      <c r="F3304" t="n">
        <v>2</v>
      </c>
      <c r="G3304" t="n">
        <v>3</v>
      </c>
      <c r="J3304" t="inlineStr">
        <is>
          <t>Moda</t>
        </is>
      </c>
      <c r="K3304" t="n">
        <v>3</v>
      </c>
      <c r="L3304" t="n">
        <v>2.726</v>
      </c>
      <c r="M3304" t="n">
        <v>0</v>
      </c>
      <c r="N3304" t="inlineStr">
        <is>
          <t>test</t>
        </is>
      </c>
      <c r="O3304">
        <f>HYPERLINK("3\1\marker_591_654804.png", "Ver Imagen")</f>
        <v/>
      </c>
      <c r="P3304">
        <f>HYPERLINK("SE\A-497_2C\A-497_2C__55.png", "Ver Imagen")</f>
        <v/>
      </c>
    </row>
    <row r="3305">
      <c r="A3305" t="n">
        <v>2821</v>
      </c>
      <c r="B3305" t="inlineStr">
        <is>
          <t>A-497_2C__56</t>
        </is>
      </c>
      <c r="C3305" t="n">
        <v>37.2681744338</v>
      </c>
      <c r="D3305" t="n">
        <v>-6.97113955796</v>
      </c>
      <c r="E3305" t="n">
        <v>3</v>
      </c>
      <c r="F3305" t="n">
        <v>2</v>
      </c>
      <c r="G3305" t="n">
        <v>3</v>
      </c>
      <c r="J3305" t="inlineStr">
        <is>
          <t>Moda</t>
        </is>
      </c>
      <c r="K3305" t="n">
        <v>3</v>
      </c>
      <c r="L3305" t="n">
        <v>2.872</v>
      </c>
      <c r="M3305" t="n">
        <v>0</v>
      </c>
      <c r="N3305" t="inlineStr">
        <is>
          <t>train</t>
        </is>
      </c>
      <c r="O3305">
        <f>HYPERLINK("3\1\marker_260_654813.png", "Ver Imagen")</f>
        <v/>
      </c>
      <c r="P3305">
        <f>HYPERLINK("SE\A-497_2C\A-497_2C__56.png", "Ver Imagen")</f>
        <v/>
      </c>
    </row>
    <row r="3306">
      <c r="A3306" t="n">
        <v>2822</v>
      </c>
      <c r="B3306" t="inlineStr">
        <is>
          <t>A-497_2C__58</t>
        </is>
      </c>
      <c r="C3306" t="n">
        <v>37.2682497336</v>
      </c>
      <c r="D3306" t="n">
        <v>-6.97164412563</v>
      </c>
      <c r="E3306" t="n">
        <v>3</v>
      </c>
      <c r="F3306" t="n">
        <v>2</v>
      </c>
      <c r="G3306" t="n">
        <v>3</v>
      </c>
      <c r="J3306" t="inlineStr">
        <is>
          <t>Moda</t>
        </is>
      </c>
      <c r="K3306" t="n">
        <v>3</v>
      </c>
      <c r="L3306" t="n">
        <v>3.281</v>
      </c>
      <c r="M3306" t="n">
        <v>0</v>
      </c>
      <c r="N3306" t="inlineStr">
        <is>
          <t>test</t>
        </is>
      </c>
      <c r="O3306">
        <f>HYPERLINK("3\1\marker_350_654855.png", "Ver Imagen")</f>
        <v/>
      </c>
      <c r="P3306">
        <f>HYPERLINK("SE\A-497_2C\A-497_2C__58.png", "Ver Imagen")</f>
        <v/>
      </c>
    </row>
    <row r="3307">
      <c r="A3307" t="n">
        <v>2823</v>
      </c>
      <c r="B3307" t="inlineStr">
        <is>
          <t>A-497_2C__60</t>
        </is>
      </c>
      <c r="C3307" t="n">
        <v>37.2683320963</v>
      </c>
      <c r="D3307" t="n">
        <v>-6.97214706531</v>
      </c>
      <c r="E3307" t="n">
        <v>3</v>
      </c>
      <c r="F3307" t="n">
        <v>2</v>
      </c>
      <c r="G3307" t="n">
        <v>3</v>
      </c>
      <c r="J3307" t="inlineStr">
        <is>
          <t>Moda</t>
        </is>
      </c>
      <c r="K3307" t="n">
        <v>3</v>
      </c>
      <c r="L3307" t="n">
        <v>3.127</v>
      </c>
      <c r="M3307" t="n">
        <v>0</v>
      </c>
      <c r="N3307" t="inlineStr">
        <is>
          <t>train</t>
        </is>
      </c>
      <c r="O3307">
        <f>HYPERLINK("3\1\marker_476_654875.png", "Ver Imagen")</f>
        <v/>
      </c>
      <c r="P3307">
        <f>HYPERLINK("SE\A-497_2C\A-497_2C__60.png", "Ver Imagen")</f>
        <v/>
      </c>
    </row>
    <row r="3308">
      <c r="A3308" t="n">
        <v>2824</v>
      </c>
      <c r="B3308" t="inlineStr">
        <is>
          <t>A-497_2C__66</t>
        </is>
      </c>
      <c r="C3308" t="n">
        <v>37.2686058408</v>
      </c>
      <c r="D3308" t="n">
        <v>-6.97361999545</v>
      </c>
      <c r="E3308" t="n">
        <v>3</v>
      </c>
      <c r="F3308" t="n">
        <v>2</v>
      </c>
      <c r="G3308" t="n">
        <v>3</v>
      </c>
      <c r="J3308" t="inlineStr">
        <is>
          <t>Moda</t>
        </is>
      </c>
      <c r="K3308" t="n">
        <v>3</v>
      </c>
      <c r="L3308" t="n">
        <v>3.112</v>
      </c>
      <c r="M3308" t="n">
        <v>0</v>
      </c>
      <c r="N3308" t="inlineStr">
        <is>
          <t>train</t>
        </is>
      </c>
      <c r="O3308">
        <f>HYPERLINK("3\1\marker_623_654929.png", "Ver Imagen")</f>
        <v/>
      </c>
      <c r="P3308">
        <f>HYPERLINK("SE\A-497_2C\A-497_2C__66.png", "Ver Imagen")</f>
        <v/>
      </c>
    </row>
    <row r="3309">
      <c r="A3309" t="n">
        <v>2825</v>
      </c>
      <c r="B3309" t="inlineStr">
        <is>
          <t>A-497_2C__67</t>
        </is>
      </c>
      <c r="C3309" t="n">
        <v>37.2686572473</v>
      </c>
      <c r="D3309" t="n">
        <v>-6.97387554299</v>
      </c>
      <c r="E3309" t="n">
        <v>3</v>
      </c>
      <c r="F3309" t="n">
        <v>2</v>
      </c>
      <c r="G3309" t="n">
        <v>3</v>
      </c>
      <c r="J3309" t="inlineStr">
        <is>
          <t>Moda</t>
        </is>
      </c>
      <c r="K3309" t="n">
        <v>3</v>
      </c>
      <c r="L3309" t="n">
        <v>3.293</v>
      </c>
      <c r="M3309" t="n">
        <v>0</v>
      </c>
      <c r="N3309" t="inlineStr">
        <is>
          <t>train</t>
        </is>
      </c>
      <c r="O3309">
        <f>HYPERLINK("3\1\marker_612_654937.png", "Ver Imagen")</f>
        <v/>
      </c>
      <c r="P3309">
        <f>HYPERLINK("SE\A-497_2C\A-497_2C__67.png", "Ver Imagen")</f>
        <v/>
      </c>
    </row>
    <row r="3310">
      <c r="A3310" t="n">
        <v>2826</v>
      </c>
      <c r="B3310" t="inlineStr">
        <is>
          <t>A-497_2C__71</t>
        </is>
      </c>
      <c r="C3310" t="n">
        <v>37.26886315</v>
      </c>
      <c r="D3310" t="n">
        <v>-6.97482699727</v>
      </c>
      <c r="E3310" t="n">
        <v>3</v>
      </c>
      <c r="F3310" t="n">
        <v>2</v>
      </c>
      <c r="G3310" t="n">
        <v>3</v>
      </c>
      <c r="J3310" t="inlineStr">
        <is>
          <t>Moda</t>
        </is>
      </c>
      <c r="K3310" t="n">
        <v>3</v>
      </c>
      <c r="L3310" t="n">
        <v>2.918</v>
      </c>
      <c r="M3310" t="n">
        <v>0</v>
      </c>
      <c r="N3310" t="inlineStr">
        <is>
          <t>train</t>
        </is>
      </c>
      <c r="O3310">
        <f>HYPERLINK("3\1\marker_564_655048.png", "Ver Imagen")</f>
        <v/>
      </c>
      <c r="P3310">
        <f>HYPERLINK("SE\A-497_2C\A-497_2C__71.png", "Ver Imagen")</f>
        <v/>
      </c>
    </row>
    <row r="3311">
      <c r="A3311" t="n">
        <v>2827</v>
      </c>
      <c r="B3311" t="inlineStr">
        <is>
          <t>A-497_2C__73</t>
        </is>
      </c>
      <c r="C3311" t="n">
        <v>37.268976843</v>
      </c>
      <c r="D3311" t="n">
        <v>-6.97531898627</v>
      </c>
      <c r="E3311" t="n">
        <v>3</v>
      </c>
      <c r="F3311" t="n">
        <v>2</v>
      </c>
      <c r="G3311" t="n">
        <v>3</v>
      </c>
      <c r="J3311" t="inlineStr">
        <is>
          <t>Moda</t>
        </is>
      </c>
      <c r="K3311" t="n">
        <v>3</v>
      </c>
      <c r="L3311" t="n">
        <v>2.828</v>
      </c>
      <c r="M3311" t="n">
        <v>0</v>
      </c>
      <c r="N3311" t="inlineStr">
        <is>
          <t>train</t>
        </is>
      </c>
      <c r="O3311">
        <f>HYPERLINK("3\1\marker_680_655064.png", "Ver Imagen")</f>
        <v/>
      </c>
      <c r="P3311">
        <f>HYPERLINK("SE\A-497_2C\A-497_2C__73.png", "Ver Imagen")</f>
        <v/>
      </c>
    </row>
    <row r="3312">
      <c r="A3312" t="n">
        <v>2828</v>
      </c>
      <c r="B3312" t="inlineStr">
        <is>
          <t>A-497_2C__79</t>
        </is>
      </c>
      <c r="C3312" t="n">
        <v>37.2693508642</v>
      </c>
      <c r="D3312" t="n">
        <v>-6.976762233</v>
      </c>
      <c r="E3312" t="n">
        <v>4</v>
      </c>
      <c r="F3312" t="n">
        <v>3</v>
      </c>
      <c r="G3312" t="n">
        <v>3</v>
      </c>
      <c r="J3312" t="inlineStr">
        <is>
          <t>Moda</t>
        </is>
      </c>
      <c r="K3312" t="n">
        <v>3</v>
      </c>
      <c r="L3312" t="n">
        <v>2.812</v>
      </c>
      <c r="M3312" t="n">
        <v>0</v>
      </c>
      <c r="N3312" t="inlineStr">
        <is>
          <t>train</t>
        </is>
      </c>
      <c r="O3312">
        <f>HYPERLINK("3\1\marker_206_655117.png", "Ver Imagen")</f>
        <v/>
      </c>
      <c r="P3312">
        <f>HYPERLINK("SE\A-497_2C\A-497_2C__79.png", "Ver Imagen")</f>
        <v/>
      </c>
    </row>
    <row r="3313">
      <c r="A3313" t="n">
        <v>2829</v>
      </c>
      <c r="B3313" t="inlineStr">
        <is>
          <t>A-497_2C__84</t>
        </is>
      </c>
      <c r="C3313" t="n">
        <v>37.2696839356</v>
      </c>
      <c r="D3313" t="n">
        <v>-6.97793400459</v>
      </c>
      <c r="E3313" t="n">
        <v>3</v>
      </c>
      <c r="F3313" t="n">
        <v>2</v>
      </c>
      <c r="G3313" t="n">
        <v>3</v>
      </c>
      <c r="J3313" t="inlineStr">
        <is>
          <t>Moda</t>
        </is>
      </c>
      <c r="K3313" t="n">
        <v>3</v>
      </c>
      <c r="L3313" t="n">
        <v>3.001</v>
      </c>
      <c r="M3313" t="n">
        <v>0</v>
      </c>
      <c r="N3313" t="inlineStr">
        <is>
          <t>train</t>
        </is>
      </c>
      <c r="O3313">
        <f>HYPERLINK("3\1\marker_734_655201.png", "Ver Imagen")</f>
        <v/>
      </c>
      <c r="P3313">
        <f>HYPERLINK("SE\A-497_2C\A-497_2C__84.png", "Ver Imagen")</f>
        <v/>
      </c>
    </row>
    <row r="3314">
      <c r="A3314" t="n">
        <v>2830</v>
      </c>
      <c r="B3314" t="inlineStr">
        <is>
          <t>A-497_2C__88</t>
        </is>
      </c>
      <c r="C3314" t="n">
        <v>37.2699591317</v>
      </c>
      <c r="D3314" t="n">
        <v>-6.97890079704</v>
      </c>
      <c r="E3314" t="n">
        <v>3</v>
      </c>
      <c r="F3314" t="n">
        <v>4</v>
      </c>
      <c r="G3314" t="n">
        <v>3</v>
      </c>
      <c r="J3314" t="inlineStr">
        <is>
          <t>Moda</t>
        </is>
      </c>
      <c r="K3314" t="n">
        <v>3</v>
      </c>
      <c r="L3314" t="n">
        <v>3.037</v>
      </c>
      <c r="M3314" t="n">
        <v>0</v>
      </c>
      <c r="N3314" t="inlineStr">
        <is>
          <t>train</t>
        </is>
      </c>
      <c r="O3314">
        <f>HYPERLINK("3\1\marker_996_655262.png", "Ver Imagen")</f>
        <v/>
      </c>
      <c r="P3314">
        <f>HYPERLINK("SE\A-497_2C\A-497_2C__88.png", "Ver Imagen")</f>
        <v/>
      </c>
    </row>
    <row r="3315">
      <c r="A3315" t="n">
        <v>2831</v>
      </c>
      <c r="B3315" t="inlineStr">
        <is>
          <t>A-497_2C__99</t>
        </is>
      </c>
      <c r="C3315" t="n">
        <v>37.2707189969</v>
      </c>
      <c r="D3315" t="n">
        <v>-6.98154575676</v>
      </c>
      <c r="E3315" t="n">
        <v>3</v>
      </c>
      <c r="F3315" t="n">
        <v>2</v>
      </c>
      <c r="G3315" t="n">
        <v>3</v>
      </c>
      <c r="J3315" t="inlineStr">
        <is>
          <t>Moda</t>
        </is>
      </c>
      <c r="K3315" t="n">
        <v>3</v>
      </c>
      <c r="L3315" t="n">
        <v>2.736</v>
      </c>
      <c r="M3315" t="n">
        <v>0</v>
      </c>
      <c r="N3315" t="inlineStr">
        <is>
          <t>train</t>
        </is>
      </c>
      <c r="O3315">
        <f>HYPERLINK("3\1\marker_736_655433.png", "Ver Imagen")</f>
        <v/>
      </c>
      <c r="P3315">
        <f>HYPERLINK("SE\A-497_2C\A-497_2C__99.png", "Ver Imagen")</f>
        <v/>
      </c>
    </row>
    <row r="3316">
      <c r="A3316" t="n">
        <v>2832</v>
      </c>
      <c r="B3316" t="inlineStr">
        <is>
          <t>A-497_2C__101</t>
        </is>
      </c>
      <c r="C3316" t="n">
        <v>37.2708505312</v>
      </c>
      <c r="D3316" t="n">
        <v>-6.98199923994</v>
      </c>
      <c r="E3316" t="n">
        <v>3</v>
      </c>
      <c r="F3316" t="n">
        <v>2</v>
      </c>
      <c r="G3316" t="n">
        <v>3</v>
      </c>
      <c r="J3316" t="inlineStr">
        <is>
          <t>Moda</t>
        </is>
      </c>
      <c r="K3316" t="n">
        <v>3</v>
      </c>
      <c r="L3316" t="n">
        <v>2.947</v>
      </c>
      <c r="M3316" t="n">
        <v>0</v>
      </c>
      <c r="N3316" t="inlineStr">
        <is>
          <t>train</t>
        </is>
      </c>
      <c r="O3316">
        <f>HYPERLINK("3\1\marker_717_655450.png", "Ver Imagen")</f>
        <v/>
      </c>
      <c r="P3316">
        <f>HYPERLINK("SE\A-497_2C\A-497_2C__101.png", "Ver Imagen")</f>
        <v/>
      </c>
    </row>
    <row r="3317">
      <c r="A3317" t="n">
        <v>2833</v>
      </c>
      <c r="B3317" t="inlineStr">
        <is>
          <t>A-497_2C__112</t>
        </is>
      </c>
      <c r="C3317" t="n">
        <v>37.2715935646</v>
      </c>
      <c r="D3317" t="n">
        <v>-6.98462235567</v>
      </c>
      <c r="E3317" t="n">
        <v>3</v>
      </c>
      <c r="F3317" t="n">
        <v>2</v>
      </c>
      <c r="G3317" t="n">
        <v>3</v>
      </c>
      <c r="J3317" t="inlineStr">
        <is>
          <t>Moda</t>
        </is>
      </c>
      <c r="K3317" t="n">
        <v>3</v>
      </c>
      <c r="L3317" t="n">
        <v>3.106</v>
      </c>
      <c r="M3317" t="n">
        <v>0</v>
      </c>
      <c r="N3317" t="inlineStr">
        <is>
          <t>train</t>
        </is>
      </c>
      <c r="O3317">
        <f>HYPERLINK("3\1\marker_256_655556.png", "Ver Imagen")</f>
        <v/>
      </c>
      <c r="P3317">
        <f>HYPERLINK("SE\A-497_2C\A-497_2C__112.png", "Ver Imagen")</f>
        <v/>
      </c>
    </row>
    <row r="3318">
      <c r="A3318" t="n">
        <v>2834</v>
      </c>
      <c r="B3318" t="inlineStr">
        <is>
          <t>A-497_2C__113</t>
        </is>
      </c>
      <c r="C3318" t="n">
        <v>37.2716653454</v>
      </c>
      <c r="D3318" t="n">
        <v>-6.98492048824</v>
      </c>
      <c r="E3318" t="n">
        <v>3</v>
      </c>
      <c r="F3318" t="n">
        <v>2</v>
      </c>
      <c r="G3318" t="n">
        <v>3</v>
      </c>
      <c r="J3318" t="inlineStr">
        <is>
          <t>Moda</t>
        </is>
      </c>
      <c r="K3318" t="n">
        <v>3</v>
      </c>
      <c r="L3318" t="n">
        <v>2.921</v>
      </c>
      <c r="M3318" t="n">
        <v>0</v>
      </c>
      <c r="N3318" t="inlineStr">
        <is>
          <t>train</t>
        </is>
      </c>
      <c r="O3318">
        <f>HYPERLINK("3\1\marker_192_655617.png", "Ver Imagen")</f>
        <v/>
      </c>
      <c r="P3318">
        <f>HYPERLINK("SE\A-497_2C\A-497_2C__113.png", "Ver Imagen")</f>
        <v/>
      </c>
    </row>
    <row r="3319">
      <c r="A3319" t="n">
        <v>2835</v>
      </c>
      <c r="B3319" t="inlineStr">
        <is>
          <t>A-497_2C__143</t>
        </is>
      </c>
      <c r="C3319" t="n">
        <v>37.2687036069</v>
      </c>
      <c r="D3319" t="n">
        <v>-6.99055964232</v>
      </c>
      <c r="E3319" t="n">
        <v>3</v>
      </c>
      <c r="F3319" t="n">
        <v>2</v>
      </c>
      <c r="G3319" t="n">
        <v>3</v>
      </c>
      <c r="J3319" t="inlineStr">
        <is>
          <t>Moda</t>
        </is>
      </c>
      <c r="K3319" t="n">
        <v>3</v>
      </c>
      <c r="L3319" t="n">
        <v>3.151</v>
      </c>
      <c r="M3319" t="n">
        <v>0</v>
      </c>
      <c r="N3319" t="inlineStr">
        <is>
          <t>train</t>
        </is>
      </c>
      <c r="O3319">
        <f>HYPERLINK("3\1\marker_688_655897.png", "Ver Imagen")</f>
        <v/>
      </c>
      <c r="P3319">
        <f>HYPERLINK("SE\A-497_2C\A-497_2C__143.png", "Ver Imagen")</f>
        <v/>
      </c>
    </row>
    <row r="3320">
      <c r="A3320" t="n">
        <v>2836</v>
      </c>
      <c r="B3320" t="inlineStr">
        <is>
          <t>A-497__745</t>
        </is>
      </c>
      <c r="C3320" t="n">
        <v>37.1879602102</v>
      </c>
      <c r="D3320" t="n">
        <v>-6.97828082278</v>
      </c>
      <c r="E3320" t="n">
        <v>3</v>
      </c>
      <c r="F3320" t="n">
        <v>2</v>
      </c>
      <c r="G3320" t="n">
        <v>3</v>
      </c>
      <c r="J3320" t="inlineStr">
        <is>
          <t>Moda</t>
        </is>
      </c>
      <c r="K3320" t="n">
        <v>3</v>
      </c>
      <c r="L3320" t="n">
        <v>2.925</v>
      </c>
      <c r="M3320" t="n">
        <v>0</v>
      </c>
      <c r="N3320" t="inlineStr">
        <is>
          <t>train</t>
        </is>
      </c>
      <c r="O3320">
        <f>HYPERLINK("3\1\marker_542_368760.png", "Ver Imagen")</f>
        <v/>
      </c>
      <c r="P3320">
        <f>HYPERLINK("SE\A-497\A-497__745.png", "Ver Imagen")</f>
        <v/>
      </c>
    </row>
    <row r="3321">
      <c r="A3321" t="n">
        <v>2837</v>
      </c>
      <c r="B3321" t="inlineStr">
        <is>
          <t>A-497__727</t>
        </is>
      </c>
      <c r="C3321" t="n">
        <v>37.1915568388</v>
      </c>
      <c r="D3321" t="n">
        <v>-6.9775947251</v>
      </c>
      <c r="E3321" t="n">
        <v>3</v>
      </c>
      <c r="F3321" t="n">
        <v>2</v>
      </c>
      <c r="G3321" t="n">
        <v>3</v>
      </c>
      <c r="J3321" t="inlineStr">
        <is>
          <t>Moda</t>
        </is>
      </c>
      <c r="K3321" t="n">
        <v>3</v>
      </c>
      <c r="L3321" t="n">
        <v>2.834</v>
      </c>
      <c r="M3321" t="n">
        <v>0</v>
      </c>
      <c r="N3321" t="inlineStr">
        <is>
          <t>train</t>
        </is>
      </c>
      <c r="O3321">
        <f>HYPERLINK("3\1\marker_197_368993.png", "Ver Imagen")</f>
        <v/>
      </c>
      <c r="P3321">
        <f>HYPERLINK("SE\A-497\A-497__727.png", "Ver Imagen")</f>
        <v/>
      </c>
    </row>
    <row r="3322">
      <c r="A3322" t="n">
        <v>2838</v>
      </c>
      <c r="B3322" t="inlineStr">
        <is>
          <t>A-497__722</t>
        </is>
      </c>
      <c r="C3322" t="n">
        <v>37.1925786358</v>
      </c>
      <c r="D3322" t="n">
        <v>-6.97748023195</v>
      </c>
      <c r="E3322" t="n">
        <v>3</v>
      </c>
      <c r="F3322" t="n">
        <v>2</v>
      </c>
      <c r="G3322" t="n">
        <v>3</v>
      </c>
      <c r="J3322" t="inlineStr">
        <is>
          <t>Moda</t>
        </is>
      </c>
      <c r="K3322" t="n">
        <v>3</v>
      </c>
      <c r="L3322" t="n">
        <v>2.978</v>
      </c>
      <c r="M3322" t="n">
        <v>0</v>
      </c>
      <c r="N3322" t="inlineStr">
        <is>
          <t>train</t>
        </is>
      </c>
      <c r="O3322">
        <f>HYPERLINK("3\1\marker_129_369043.png", "Ver Imagen")</f>
        <v/>
      </c>
      <c r="P3322">
        <f>HYPERLINK("SE\A-497\A-497__722.png", "Ver Imagen")</f>
        <v/>
      </c>
    </row>
    <row r="3323">
      <c r="A3323" t="n">
        <v>2839</v>
      </c>
      <c r="B3323" t="inlineStr">
        <is>
          <t>A-497__720</t>
        </is>
      </c>
      <c r="C3323" t="n">
        <v>37.1930026833</v>
      </c>
      <c r="D3323" t="n">
        <v>-6.9774731311</v>
      </c>
      <c r="E3323" t="n">
        <v>3</v>
      </c>
      <c r="F3323" t="n">
        <v>2</v>
      </c>
      <c r="G3323" t="n">
        <v>3</v>
      </c>
      <c r="J3323" t="inlineStr">
        <is>
          <t>Moda</t>
        </is>
      </c>
      <c r="K3323" t="n">
        <v>3</v>
      </c>
      <c r="L3323" t="n">
        <v>2.986</v>
      </c>
      <c r="M3323" t="n">
        <v>0</v>
      </c>
      <c r="N3323" t="inlineStr">
        <is>
          <t>train</t>
        </is>
      </c>
      <c r="O3323">
        <f>HYPERLINK("3\1\marker_497_369062.png", "Ver Imagen")</f>
        <v/>
      </c>
      <c r="P3323">
        <f>HYPERLINK("SE\A-497\A-497__720.png", "Ver Imagen")</f>
        <v/>
      </c>
    </row>
    <row r="3324">
      <c r="A3324" t="n">
        <v>2840</v>
      </c>
      <c r="B3324" t="inlineStr">
        <is>
          <t>A-497__712</t>
        </is>
      </c>
      <c r="C3324" t="n">
        <v>37.1945835343</v>
      </c>
      <c r="D3324" t="n">
        <v>-6.97774073891</v>
      </c>
      <c r="E3324" t="n">
        <v>3</v>
      </c>
      <c r="F3324" t="n">
        <v>2</v>
      </c>
      <c r="G3324" t="n">
        <v>3</v>
      </c>
      <c r="J3324" t="inlineStr">
        <is>
          <t>Moda</t>
        </is>
      </c>
      <c r="K3324" t="n">
        <v>3</v>
      </c>
      <c r="L3324" t="n">
        <v>3.01</v>
      </c>
      <c r="M3324" t="n">
        <v>0</v>
      </c>
      <c r="N3324" t="inlineStr">
        <is>
          <t>train</t>
        </is>
      </c>
      <c r="O3324">
        <f>HYPERLINK("3\1\marker_812_369151.png", "Ver Imagen")</f>
        <v/>
      </c>
      <c r="P3324">
        <f>HYPERLINK("SE\A-497\A-497__712.png", "Ver Imagen")</f>
        <v/>
      </c>
    </row>
    <row r="3325">
      <c r="A3325" t="n">
        <v>2841</v>
      </c>
      <c r="B3325" t="inlineStr">
        <is>
          <t>A-497__710</t>
        </is>
      </c>
      <c r="C3325" t="n">
        <v>37.1949727983</v>
      </c>
      <c r="D3325" t="n">
        <v>-6.9778822309</v>
      </c>
      <c r="E3325" t="n">
        <v>3</v>
      </c>
      <c r="F3325" t="n">
        <v>2</v>
      </c>
      <c r="G3325" t="n">
        <v>3</v>
      </c>
      <c r="J3325" t="inlineStr">
        <is>
          <t>Moda</t>
        </is>
      </c>
      <c r="K3325" t="n">
        <v>3</v>
      </c>
      <c r="L3325" t="n">
        <v>3.14</v>
      </c>
      <c r="M3325" t="n">
        <v>0</v>
      </c>
      <c r="N3325" t="inlineStr">
        <is>
          <t>test</t>
        </is>
      </c>
      <c r="O3325">
        <f>HYPERLINK("3\1\marker_616_370268.png", "Ver Imagen")</f>
        <v/>
      </c>
      <c r="P3325">
        <f>HYPERLINK("SE\A-497\A-497__710.png", "Ver Imagen")</f>
        <v/>
      </c>
    </row>
    <row r="3326">
      <c r="A3326" t="n">
        <v>2842</v>
      </c>
      <c r="B3326" t="inlineStr">
        <is>
          <t>A-497__708</t>
        </is>
      </c>
      <c r="C3326" t="n">
        <v>37.1953358167</v>
      </c>
      <c r="D3326" t="n">
        <v>-6.97804190183</v>
      </c>
      <c r="E3326" t="n">
        <v>3</v>
      </c>
      <c r="F3326" t="n">
        <v>2</v>
      </c>
      <c r="G3326" t="n">
        <v>3</v>
      </c>
      <c r="J3326" t="inlineStr">
        <is>
          <t>Moda</t>
        </is>
      </c>
      <c r="K3326" t="n">
        <v>3</v>
      </c>
      <c r="L3326" t="n">
        <v>2.946</v>
      </c>
      <c r="M3326" t="n">
        <v>0</v>
      </c>
      <c r="N3326" t="inlineStr">
        <is>
          <t>train</t>
        </is>
      </c>
      <c r="O3326">
        <f>HYPERLINK("3\1\marker_390_370297.png", "Ver Imagen")</f>
        <v/>
      </c>
      <c r="P3326">
        <f>HYPERLINK("SE\A-497\A-497__708.png", "Ver Imagen")</f>
        <v/>
      </c>
    </row>
    <row r="3327">
      <c r="A3327" t="n">
        <v>2843</v>
      </c>
      <c r="B3327" t="inlineStr">
        <is>
          <t>A-497_2C__189</t>
        </is>
      </c>
      <c r="C3327" t="n">
        <v>37.2647333282</v>
      </c>
      <c r="D3327" t="n">
        <v>-7.00041779232</v>
      </c>
      <c r="E3327" t="n">
        <v>3</v>
      </c>
      <c r="F3327" t="n">
        <v>2</v>
      </c>
      <c r="G3327" t="n">
        <v>3</v>
      </c>
      <c r="J3327" t="inlineStr">
        <is>
          <t>Moda</t>
        </is>
      </c>
      <c r="K3327" t="n">
        <v>3</v>
      </c>
      <c r="L3327" t="n">
        <v>3.032</v>
      </c>
      <c r="M3327" t="n">
        <v>0</v>
      </c>
      <c r="N3327" t="inlineStr">
        <is>
          <t>train</t>
        </is>
      </c>
      <c r="O3327">
        <f>HYPERLINK("3\1\marker_434_656411.png", "Ver Imagen")</f>
        <v/>
      </c>
      <c r="P3327">
        <f>HYPERLINK("SE\A-497_2C\A-497_2C__189.png", "Ver Imagen")</f>
        <v/>
      </c>
    </row>
    <row r="3328">
      <c r="A3328" t="n">
        <v>2844</v>
      </c>
      <c r="B3328" t="inlineStr">
        <is>
          <t>A-497_2C__195</t>
        </is>
      </c>
      <c r="C3328" t="n">
        <v>37.2644665592</v>
      </c>
      <c r="D3328" t="n">
        <v>-7.00190722576</v>
      </c>
      <c r="E3328" t="n">
        <v>3</v>
      </c>
      <c r="F3328" t="n">
        <v>2</v>
      </c>
      <c r="G3328" t="n">
        <v>3</v>
      </c>
      <c r="J3328" t="inlineStr">
        <is>
          <t>Moda</t>
        </is>
      </c>
      <c r="K3328" t="n">
        <v>3</v>
      </c>
      <c r="L3328" t="n">
        <v>2.904</v>
      </c>
      <c r="M3328" t="n">
        <v>0</v>
      </c>
      <c r="N3328" t="inlineStr">
        <is>
          <t>train</t>
        </is>
      </c>
      <c r="O3328">
        <f>HYPERLINK("3\1\marker_262_656471.png", "Ver Imagen")</f>
        <v/>
      </c>
      <c r="P3328">
        <f>HYPERLINK("SE\A-497_2C\A-497_2C__195.png", "Ver Imagen")</f>
        <v/>
      </c>
    </row>
    <row r="3329">
      <c r="A3329" t="n">
        <v>2845</v>
      </c>
      <c r="B3329" t="inlineStr">
        <is>
          <t>A-497_2C__197</t>
        </is>
      </c>
      <c r="C3329" t="n">
        <v>37.2643751476</v>
      </c>
      <c r="D3329" t="n">
        <v>-7.002415402</v>
      </c>
      <c r="E3329" t="n">
        <v>3</v>
      </c>
      <c r="F3329" t="n">
        <v>2</v>
      </c>
      <c r="G3329" t="n">
        <v>3</v>
      </c>
      <c r="J3329" t="inlineStr">
        <is>
          <t>Moda</t>
        </is>
      </c>
      <c r="K3329" t="n">
        <v>3</v>
      </c>
      <c r="L3329" t="n">
        <v>3.178</v>
      </c>
      <c r="M3329" t="n">
        <v>0</v>
      </c>
      <c r="N3329" t="inlineStr">
        <is>
          <t>train</t>
        </is>
      </c>
      <c r="O3329">
        <f>HYPERLINK("3\1\marker_168_656490.png", "Ver Imagen")</f>
        <v/>
      </c>
      <c r="P3329">
        <f>HYPERLINK("SE\A-497_2C\A-497_2C__197.png", "Ver Imagen")</f>
        <v/>
      </c>
    </row>
    <row r="3330">
      <c r="A3330" t="n">
        <v>2846</v>
      </c>
      <c r="B3330" t="inlineStr">
        <is>
          <t>A-497_2C__198</t>
        </is>
      </c>
      <c r="C3330" t="n">
        <v>37.2643314052</v>
      </c>
      <c r="D3330" t="n">
        <v>-7.00265754285</v>
      </c>
      <c r="E3330" t="n">
        <v>3</v>
      </c>
      <c r="F3330" t="n">
        <v>2</v>
      </c>
      <c r="G3330" t="n">
        <v>3</v>
      </c>
      <c r="J3330" t="inlineStr">
        <is>
          <t>Moda</t>
        </is>
      </c>
      <c r="K3330" t="n">
        <v>3</v>
      </c>
      <c r="L3330" t="n">
        <v>2.824</v>
      </c>
      <c r="M3330" t="n">
        <v>0</v>
      </c>
      <c r="N3330" t="inlineStr">
        <is>
          <t>train</t>
        </is>
      </c>
      <c r="O3330">
        <f>HYPERLINK("3\1\marker_185_656503.png", "Ver Imagen")</f>
        <v/>
      </c>
      <c r="P3330">
        <f>HYPERLINK("SE\A-497_2C\A-497_2C__198.png", "Ver Imagen")</f>
        <v/>
      </c>
    </row>
    <row r="3331">
      <c r="A3331" t="n">
        <v>2847</v>
      </c>
      <c r="B3331" t="inlineStr">
        <is>
          <t>A-497_2C__206</t>
        </is>
      </c>
      <c r="C3331" t="n">
        <v>37.2639741826</v>
      </c>
      <c r="D3331" t="n">
        <v>-7.00467665223</v>
      </c>
      <c r="E3331" t="n">
        <v>3</v>
      </c>
      <c r="F3331" t="n">
        <v>2</v>
      </c>
      <c r="G3331" t="n">
        <v>3</v>
      </c>
      <c r="J3331" t="inlineStr">
        <is>
          <t>Moda</t>
        </is>
      </c>
      <c r="K3331" t="n">
        <v>3</v>
      </c>
      <c r="L3331" t="n">
        <v>2.842</v>
      </c>
      <c r="M3331" t="n">
        <v>0</v>
      </c>
      <c r="N3331" t="inlineStr">
        <is>
          <t>train</t>
        </is>
      </c>
      <c r="O3331">
        <f>HYPERLINK("3\1\marker_711_656611.png", "Ver Imagen")</f>
        <v/>
      </c>
      <c r="P3331">
        <f>HYPERLINK("SE\A-497_2C\A-497_2C__206.png", "Ver Imagen")</f>
        <v/>
      </c>
    </row>
    <row r="3332">
      <c r="A3332" t="n">
        <v>2848</v>
      </c>
      <c r="B3332" t="inlineStr">
        <is>
          <t>A-497__694</t>
        </is>
      </c>
      <c r="C3332" t="n">
        <v>37.1976955087</v>
      </c>
      <c r="D3332" t="n">
        <v>-6.98000108116</v>
      </c>
      <c r="E3332" t="n">
        <v>3</v>
      </c>
      <c r="F3332" t="n">
        <v>2</v>
      </c>
      <c r="G3332" t="n">
        <v>3</v>
      </c>
      <c r="J3332" t="inlineStr">
        <is>
          <t>Moda</t>
        </is>
      </c>
      <c r="K3332" t="n">
        <v>3</v>
      </c>
      <c r="L3332" t="n">
        <v>3.043</v>
      </c>
      <c r="M3332" t="n">
        <v>0</v>
      </c>
      <c r="N3332" t="inlineStr">
        <is>
          <t>train</t>
        </is>
      </c>
      <c r="O3332">
        <f>HYPERLINK("3\1\marker_422_370439.png", "Ver Imagen")</f>
        <v/>
      </c>
      <c r="P3332">
        <f>HYPERLINK("SE\A-497\A-497__694.png", "Ver Imagen")</f>
        <v/>
      </c>
    </row>
    <row r="3333">
      <c r="A3333" t="n">
        <v>2849</v>
      </c>
      <c r="B3333" t="inlineStr">
        <is>
          <t>A-497__693</t>
        </is>
      </c>
      <c r="C3333" t="n">
        <v>37.1978342991</v>
      </c>
      <c r="D3333" t="n">
        <v>-6.98018530604</v>
      </c>
      <c r="E3333" t="n">
        <v>3</v>
      </c>
      <c r="F3333" t="n">
        <v>2</v>
      </c>
      <c r="G3333" t="n">
        <v>3</v>
      </c>
      <c r="J3333" t="inlineStr">
        <is>
          <t>Moda</t>
        </is>
      </c>
      <c r="K3333" t="n">
        <v>3</v>
      </c>
      <c r="L3333" t="n">
        <v>3.152</v>
      </c>
      <c r="M3333" t="n">
        <v>0</v>
      </c>
      <c r="N3333" t="inlineStr">
        <is>
          <t>train</t>
        </is>
      </c>
      <c r="O3333">
        <f>HYPERLINK("3\1\marker_600_370447.png", "Ver Imagen")</f>
        <v/>
      </c>
      <c r="P3333">
        <f>HYPERLINK("SE\A-497\A-497__693.png", "Ver Imagen")</f>
        <v/>
      </c>
    </row>
    <row r="3334">
      <c r="A3334" t="n">
        <v>2850</v>
      </c>
      <c r="B3334" t="inlineStr">
        <is>
          <t>A-497__692</t>
        </is>
      </c>
      <c r="C3334" t="n">
        <v>37.1979611114</v>
      </c>
      <c r="D3334" t="n">
        <v>-6.98036584927</v>
      </c>
      <c r="E3334" t="n">
        <v>3</v>
      </c>
      <c r="F3334" t="n">
        <v>2</v>
      </c>
      <c r="G3334" t="n">
        <v>3</v>
      </c>
      <c r="J3334" t="inlineStr">
        <is>
          <t>Moda</t>
        </is>
      </c>
      <c r="K3334" t="n">
        <v>3</v>
      </c>
      <c r="L3334" t="n">
        <v>2.916</v>
      </c>
      <c r="M3334" t="n">
        <v>0</v>
      </c>
      <c r="N3334" t="inlineStr">
        <is>
          <t>train</t>
        </is>
      </c>
      <c r="O3334">
        <f>HYPERLINK("3\1\marker_254_370455.png", "Ver Imagen")</f>
        <v/>
      </c>
      <c r="P3334">
        <f>HYPERLINK("SE\A-497\A-497__692.png", "Ver Imagen")</f>
        <v/>
      </c>
    </row>
    <row r="3335">
      <c r="A3335" t="n">
        <v>2851</v>
      </c>
      <c r="B3335" t="inlineStr">
        <is>
          <t>A-497_2C__217</t>
        </is>
      </c>
      <c r="C3335" t="n">
        <v>37.2634773255</v>
      </c>
      <c r="D3335" t="n">
        <v>-7.00737027264</v>
      </c>
      <c r="E3335" t="n">
        <v>3</v>
      </c>
      <c r="F3335" t="n">
        <v>2</v>
      </c>
      <c r="G3335" t="n">
        <v>3</v>
      </c>
      <c r="J3335" t="inlineStr">
        <is>
          <t>Moda</t>
        </is>
      </c>
      <c r="K3335" t="n">
        <v>3</v>
      </c>
      <c r="L3335" t="n">
        <v>2.828</v>
      </c>
      <c r="M3335" t="n">
        <v>0</v>
      </c>
      <c r="N3335" t="inlineStr">
        <is>
          <t>train</t>
        </is>
      </c>
      <c r="O3335">
        <f>HYPERLINK("3\1\marker_780_656727.png", "Ver Imagen")</f>
        <v/>
      </c>
      <c r="P3335">
        <f>HYPERLINK("SE\A-497_2C\A-497_2C__217.png", "Ver Imagen")</f>
        <v/>
      </c>
    </row>
    <row r="3336">
      <c r="A3336" t="n">
        <v>2852</v>
      </c>
      <c r="B3336" t="inlineStr">
        <is>
          <t>A-497__687</t>
        </is>
      </c>
      <c r="C3336" t="n">
        <v>37.1985553699</v>
      </c>
      <c r="D3336" t="n">
        <v>-6.98138376145</v>
      </c>
      <c r="E3336" t="n">
        <v>3</v>
      </c>
      <c r="F3336" t="n">
        <v>2</v>
      </c>
      <c r="G3336" t="n">
        <v>3</v>
      </c>
      <c r="J3336" t="inlineStr">
        <is>
          <t>Moda</t>
        </is>
      </c>
      <c r="K3336" t="n">
        <v>3</v>
      </c>
      <c r="L3336" t="n">
        <v>2.505</v>
      </c>
      <c r="M3336" t="n">
        <v>0</v>
      </c>
      <c r="N3336" t="inlineStr">
        <is>
          <t>test</t>
        </is>
      </c>
      <c r="O3336">
        <f>HYPERLINK("3\1\marker_619_370504.png", "Ver Imagen")</f>
        <v/>
      </c>
      <c r="P3336">
        <f>HYPERLINK("SE\A-497\A-497__687.png", "Ver Imagen")</f>
        <v/>
      </c>
    </row>
    <row r="3337">
      <c r="A3337" t="n">
        <v>2853</v>
      </c>
      <c r="B3337" t="inlineStr">
        <is>
          <t>A-497_2C__227</t>
        </is>
      </c>
      <c r="C3337" t="n">
        <v>37.2625507383</v>
      </c>
      <c r="D3337" t="n">
        <v>-7.00959361126</v>
      </c>
      <c r="E3337" t="n">
        <v>3</v>
      </c>
      <c r="F3337" t="n">
        <v>2</v>
      </c>
      <c r="G3337" t="n">
        <v>3</v>
      </c>
      <c r="J3337" t="inlineStr">
        <is>
          <t>Moda</t>
        </is>
      </c>
      <c r="K3337" t="n">
        <v>3</v>
      </c>
      <c r="L3337" t="n">
        <v>3.274</v>
      </c>
      <c r="M3337" t="n">
        <v>0</v>
      </c>
      <c r="N3337" t="inlineStr">
        <is>
          <t>train</t>
        </is>
      </c>
      <c r="O3337">
        <f>HYPERLINK("3\1\marker_560_656856.png", "Ver Imagen")</f>
        <v/>
      </c>
      <c r="P3337">
        <f>HYPERLINK("SE\A-497_2C\A-497_2C__227.png", "Ver Imagen")</f>
        <v/>
      </c>
    </row>
    <row r="3338">
      <c r="A3338" t="n">
        <v>2854</v>
      </c>
      <c r="B3338" t="inlineStr">
        <is>
          <t>A-497_2C__239</t>
        </is>
      </c>
      <c r="C3338" t="n">
        <v>37.2606126973</v>
      </c>
      <c r="D3338" t="n">
        <v>-7.01131865043</v>
      </c>
      <c r="E3338" t="n">
        <v>3</v>
      </c>
      <c r="F3338" t="n">
        <v>2</v>
      </c>
      <c r="G3338" t="n">
        <v>3</v>
      </c>
      <c r="J3338" t="inlineStr">
        <is>
          <t>Moda</t>
        </is>
      </c>
      <c r="K3338" t="n">
        <v>3</v>
      </c>
      <c r="L3338" t="n">
        <v>2.836</v>
      </c>
      <c r="M3338" t="n">
        <v>0</v>
      </c>
      <c r="N3338" t="inlineStr">
        <is>
          <t>train</t>
        </is>
      </c>
      <c r="O3338">
        <f>HYPERLINK("3\1\marker_173_656982.png", "Ver Imagen")</f>
        <v/>
      </c>
      <c r="P3338">
        <f>HYPERLINK("SE\A-497_2C\A-497_2C__239.png", "Ver Imagen")</f>
        <v/>
      </c>
    </row>
    <row r="3339">
      <c r="A3339" t="n">
        <v>2855</v>
      </c>
      <c r="B3339" t="inlineStr">
        <is>
          <t>A-497__667</t>
        </is>
      </c>
      <c r="C3339" t="n">
        <v>37.200065761</v>
      </c>
      <c r="D3339" t="n">
        <v>-6.98610543342</v>
      </c>
      <c r="E3339" t="n">
        <v>3</v>
      </c>
      <c r="F3339" t="n">
        <v>2</v>
      </c>
      <c r="G3339" t="n">
        <v>3</v>
      </c>
      <c r="J3339" t="inlineStr">
        <is>
          <t>Moda</t>
        </is>
      </c>
      <c r="K3339" t="n">
        <v>3</v>
      </c>
      <c r="L3339" t="n">
        <v>3.064</v>
      </c>
      <c r="M3339" t="n">
        <v>0</v>
      </c>
      <c r="N3339" t="inlineStr">
        <is>
          <t>train</t>
        </is>
      </c>
      <c r="O3339">
        <f>HYPERLINK("3\1\marker_119_371051.png", "Ver Imagen")</f>
        <v/>
      </c>
      <c r="P3339">
        <f>HYPERLINK("SE\A-497\A-497__667.png", "Ver Imagen")</f>
        <v/>
      </c>
    </row>
    <row r="3340">
      <c r="A3340" t="n">
        <v>2856</v>
      </c>
      <c r="B3340" t="inlineStr">
        <is>
          <t>A-497__666</t>
        </is>
      </c>
      <c r="C3340" t="n">
        <v>37.2001359673</v>
      </c>
      <c r="D3340" t="n">
        <v>-6.98639427637</v>
      </c>
      <c r="E3340" t="n">
        <v>3</v>
      </c>
      <c r="F3340" t="n">
        <v>2</v>
      </c>
      <c r="G3340" t="n">
        <v>3</v>
      </c>
      <c r="J3340" t="inlineStr">
        <is>
          <t>Moda</t>
        </is>
      </c>
      <c r="K3340" t="n">
        <v>3</v>
      </c>
      <c r="L3340" t="n">
        <v>2.959</v>
      </c>
      <c r="M3340" t="n">
        <v>0</v>
      </c>
      <c r="N3340" t="inlineStr">
        <is>
          <t>train</t>
        </is>
      </c>
      <c r="O3340">
        <f>HYPERLINK("3\1\marker_198_371060.png", "Ver Imagen")</f>
        <v/>
      </c>
      <c r="P3340">
        <f>HYPERLINK("SE\A-497\A-497__666.png", "Ver Imagen")</f>
        <v/>
      </c>
    </row>
    <row r="3341">
      <c r="A3341" t="n">
        <v>2857</v>
      </c>
      <c r="B3341" t="inlineStr">
        <is>
          <t>A-497__657</t>
        </is>
      </c>
      <c r="C3341" t="n">
        <v>37.20062733</v>
      </c>
      <c r="D3341" t="n">
        <v>-6.98850268419</v>
      </c>
      <c r="E3341" t="n">
        <v>3</v>
      </c>
      <c r="F3341" t="n">
        <v>2</v>
      </c>
      <c r="G3341" t="n">
        <v>3</v>
      </c>
      <c r="J3341" t="inlineStr">
        <is>
          <t>Moda</t>
        </is>
      </c>
      <c r="K3341" t="n">
        <v>3</v>
      </c>
      <c r="L3341" t="n">
        <v>2.984</v>
      </c>
      <c r="M3341" t="n">
        <v>0</v>
      </c>
      <c r="N3341" t="inlineStr">
        <is>
          <t>train</t>
        </is>
      </c>
      <c r="O3341">
        <f>HYPERLINK("3\1\marker_430_371174.png", "Ver Imagen")</f>
        <v/>
      </c>
      <c r="P3341">
        <f>HYPERLINK("SE\A-497\A-497__657.png", "Ver Imagen")</f>
        <v/>
      </c>
    </row>
    <row r="3342">
      <c r="A3342" t="n">
        <v>2858</v>
      </c>
      <c r="B3342" t="inlineStr">
        <is>
          <t>A-497_2C__253</t>
        </is>
      </c>
      <c r="C3342" t="n">
        <v>37.2580709091</v>
      </c>
      <c r="D3342" t="n">
        <v>-7.01293607192</v>
      </c>
      <c r="E3342" t="n">
        <v>3</v>
      </c>
      <c r="F3342" t="n">
        <v>2</v>
      </c>
      <c r="G3342" t="n">
        <v>3</v>
      </c>
      <c r="J3342" t="inlineStr">
        <is>
          <t>Moda</t>
        </is>
      </c>
      <c r="K3342" t="n">
        <v>3</v>
      </c>
      <c r="L3342" t="n">
        <v>3.09</v>
      </c>
      <c r="M3342" t="n">
        <v>0</v>
      </c>
      <c r="N3342" t="inlineStr">
        <is>
          <t>train</t>
        </is>
      </c>
      <c r="O3342">
        <f>HYPERLINK("3\1\marker_213_319432.png", "Ver Imagen")</f>
        <v/>
      </c>
      <c r="P3342">
        <f>HYPERLINK("SE\A-497_2C\A-497_2C__253.png", "Ver Imagen")</f>
        <v/>
      </c>
    </row>
    <row r="3343">
      <c r="A3343" t="n">
        <v>2859</v>
      </c>
      <c r="B3343" t="inlineStr">
        <is>
          <t>A-497__639</t>
        </is>
      </c>
      <c r="C3343" t="n">
        <v>37.2015302816</v>
      </c>
      <c r="D3343" t="n">
        <v>-6.99287662036</v>
      </c>
      <c r="E3343" t="n">
        <v>3</v>
      </c>
      <c r="F3343" t="n">
        <v>2</v>
      </c>
      <c r="G3343" t="n">
        <v>3</v>
      </c>
      <c r="J3343" t="inlineStr">
        <is>
          <t>Moda</t>
        </is>
      </c>
      <c r="K3343" t="n">
        <v>3</v>
      </c>
      <c r="L3343" t="n">
        <v>2.692</v>
      </c>
      <c r="M3343" t="n">
        <v>0</v>
      </c>
      <c r="N3343" t="inlineStr">
        <is>
          <t>val</t>
        </is>
      </c>
      <c r="O3343">
        <f>HYPERLINK("3\1\marker_189_371338.png", "Ver Imagen")</f>
        <v/>
      </c>
      <c r="P3343">
        <f>HYPERLINK("SE\A-497\A-497__639.png", "Ver Imagen")</f>
        <v/>
      </c>
    </row>
    <row r="3344">
      <c r="A3344" t="n">
        <v>2860</v>
      </c>
      <c r="B3344" t="inlineStr">
        <is>
          <t>A-497__616</t>
        </is>
      </c>
      <c r="C3344" t="n">
        <v>37.2024821917</v>
      </c>
      <c r="D3344" t="n">
        <v>-6.99867480374</v>
      </c>
      <c r="E3344" t="n">
        <v>3</v>
      </c>
      <c r="F3344" t="n">
        <v>2</v>
      </c>
      <c r="G3344" t="n">
        <v>3</v>
      </c>
      <c r="J3344" t="inlineStr">
        <is>
          <t>Moda</t>
        </is>
      </c>
      <c r="K3344" t="n">
        <v>3</v>
      </c>
      <c r="L3344" t="n">
        <v>2.666</v>
      </c>
      <c r="M3344" t="n">
        <v>0</v>
      </c>
      <c r="N3344" t="inlineStr">
        <is>
          <t>train</t>
        </is>
      </c>
      <c r="O3344">
        <f>HYPERLINK("3\1\marker_733_371567.png", "Ver Imagen")</f>
        <v/>
      </c>
      <c r="P3344">
        <f>HYPERLINK("SE\A-497\A-497__616.png", "Ver Imagen")</f>
        <v/>
      </c>
    </row>
    <row r="3345">
      <c r="A3345" t="n">
        <v>2861</v>
      </c>
      <c r="B3345" t="inlineStr">
        <is>
          <t>A-497__609</t>
        </is>
      </c>
      <c r="C3345" t="n">
        <v>37.2027089075</v>
      </c>
      <c r="D3345" t="n">
        <v>-7.00038535797</v>
      </c>
      <c r="E3345" t="n">
        <v>3</v>
      </c>
      <c r="F3345" t="n">
        <v>2</v>
      </c>
      <c r="G3345" t="n">
        <v>3</v>
      </c>
      <c r="J3345" t="inlineStr">
        <is>
          <t>Moda</t>
        </is>
      </c>
      <c r="K3345" t="n">
        <v>3</v>
      </c>
      <c r="L3345" t="n">
        <v>2.889</v>
      </c>
      <c r="M3345" t="n">
        <v>0</v>
      </c>
      <c r="N3345" t="inlineStr">
        <is>
          <t>train</t>
        </is>
      </c>
      <c r="O3345">
        <f>HYPERLINK("3\1\marker_110_371630.png", "Ver Imagen")</f>
        <v/>
      </c>
      <c r="P3345">
        <f>HYPERLINK("SE\A-497\A-497__609.png", "Ver Imagen")</f>
        <v/>
      </c>
    </row>
    <row r="3346">
      <c r="A3346" t="n">
        <v>2862</v>
      </c>
      <c r="B3346" t="inlineStr">
        <is>
          <t>A-497__601</t>
        </is>
      </c>
      <c r="C3346" t="n">
        <v>37.2029430203</v>
      </c>
      <c r="D3346" t="n">
        <v>-7.00240852837</v>
      </c>
      <c r="E3346" t="n">
        <v>3</v>
      </c>
      <c r="F3346" t="n">
        <v>2</v>
      </c>
      <c r="G3346" t="n">
        <v>3</v>
      </c>
      <c r="J3346" t="inlineStr">
        <is>
          <t>Moda</t>
        </is>
      </c>
      <c r="K3346" t="n">
        <v>3</v>
      </c>
      <c r="L3346" t="n">
        <v>3.046</v>
      </c>
      <c r="M3346" t="n">
        <v>0</v>
      </c>
      <c r="N3346" t="inlineStr">
        <is>
          <t>test</t>
        </is>
      </c>
      <c r="O3346">
        <f>HYPERLINK("3\1\marker_504_371704.png", "Ver Imagen")</f>
        <v/>
      </c>
      <c r="P3346">
        <f>HYPERLINK("SE\A-497\A-497__601.png", "Ver Imagen")</f>
        <v/>
      </c>
    </row>
    <row r="3347">
      <c r="A3347" t="n">
        <v>2863</v>
      </c>
      <c r="B3347" t="inlineStr">
        <is>
          <t>A-497__599</t>
        </is>
      </c>
      <c r="C3347" t="n">
        <v>37.2029952352</v>
      </c>
      <c r="D3347" t="n">
        <v>-7.00291043342</v>
      </c>
      <c r="E3347" t="n">
        <v>3</v>
      </c>
      <c r="F3347" t="n">
        <v>2</v>
      </c>
      <c r="G3347" t="n">
        <v>3</v>
      </c>
      <c r="J3347" t="inlineStr">
        <is>
          <t>Moda</t>
        </is>
      </c>
      <c r="K3347" t="n">
        <v>3</v>
      </c>
      <c r="L3347" t="n">
        <v>2.783</v>
      </c>
      <c r="M3347" t="n">
        <v>0</v>
      </c>
      <c r="N3347" t="inlineStr">
        <is>
          <t>val</t>
        </is>
      </c>
      <c r="O3347">
        <f>HYPERLINK("3\1\marker_154_371722.png", "Ver Imagen")</f>
        <v/>
      </c>
      <c r="P3347">
        <f>HYPERLINK("SE\A-497\A-497__599.png", "Ver Imagen")</f>
        <v/>
      </c>
    </row>
    <row r="3348">
      <c r="A3348" t="n">
        <v>2865</v>
      </c>
      <c r="B3348" t="inlineStr">
        <is>
          <t>A-497_2C__289</t>
        </is>
      </c>
      <c r="C3348" t="n">
        <v>37.2515882186</v>
      </c>
      <c r="D3348" t="n">
        <v>-7.01708018961</v>
      </c>
      <c r="E3348" t="n">
        <v>3</v>
      </c>
      <c r="F3348" t="n">
        <v>3</v>
      </c>
      <c r="G3348" t="n">
        <v>4</v>
      </c>
      <c r="J3348" t="inlineStr">
        <is>
          <t>Moda</t>
        </is>
      </c>
      <c r="K3348" t="n">
        <v>3</v>
      </c>
      <c r="L3348" t="n">
        <v>3.033</v>
      </c>
      <c r="M3348" t="n">
        <v>0</v>
      </c>
      <c r="N3348" t="inlineStr">
        <is>
          <t>val</t>
        </is>
      </c>
      <c r="O3348">
        <f>HYPERLINK("3\1\marker_269_320063.png", "Ver Imagen")</f>
        <v/>
      </c>
      <c r="P3348">
        <f>HYPERLINK("SE\A-497_2C\A-497_2C__289.png", "Ver Imagen")</f>
        <v/>
      </c>
    </row>
    <row r="3349">
      <c r="A3349" t="n">
        <v>2866</v>
      </c>
      <c r="B3349" t="inlineStr">
        <is>
          <t>A-497_2C__292</t>
        </is>
      </c>
      <c r="C3349" t="n">
        <v>37.2510372144</v>
      </c>
      <c r="D3349" t="n">
        <v>-7.01742893132</v>
      </c>
      <c r="E3349" t="n">
        <v>3</v>
      </c>
      <c r="F3349" t="n">
        <v>4</v>
      </c>
      <c r="G3349" t="n">
        <v>3</v>
      </c>
      <c r="J3349" t="inlineStr">
        <is>
          <t>Moda</t>
        </is>
      </c>
      <c r="K3349" t="n">
        <v>3</v>
      </c>
      <c r="L3349" t="n">
        <v>3.137</v>
      </c>
      <c r="M3349" t="n">
        <v>0</v>
      </c>
      <c r="N3349" t="inlineStr">
        <is>
          <t>train</t>
        </is>
      </c>
      <c r="O3349">
        <f>HYPERLINK("3\1\marker_911_320093.png", "Ver Imagen")</f>
        <v/>
      </c>
      <c r="P3349">
        <f>HYPERLINK("SE\A-497_2C\A-497_2C__292.png", "Ver Imagen")</f>
        <v/>
      </c>
    </row>
    <row r="3350">
      <c r="A3350" t="n">
        <v>2867</v>
      </c>
      <c r="B3350" t="inlineStr">
        <is>
          <t>A-497_2C__293</t>
        </is>
      </c>
      <c r="C3350" t="n">
        <v>37.2508662848</v>
      </c>
      <c r="D3350" t="n">
        <v>-7.01753479795</v>
      </c>
      <c r="E3350" t="n">
        <v>3</v>
      </c>
      <c r="F3350" t="n">
        <v>4</v>
      </c>
      <c r="G3350" t="n">
        <v>3</v>
      </c>
      <c r="J3350" t="inlineStr">
        <is>
          <t>Moda</t>
        </is>
      </c>
      <c r="K3350" t="n">
        <v>3</v>
      </c>
      <c r="L3350" t="n">
        <v>3.113</v>
      </c>
      <c r="M3350" t="n">
        <v>0</v>
      </c>
      <c r="N3350" t="inlineStr">
        <is>
          <t>train</t>
        </is>
      </c>
      <c r="O3350">
        <f>HYPERLINK("3\1\marker_231_320101.png", "Ver Imagen")</f>
        <v/>
      </c>
      <c r="P3350">
        <f>HYPERLINK("SE\A-497_2C\A-497_2C__293.png", "Ver Imagen")</f>
        <v/>
      </c>
    </row>
    <row r="3351">
      <c r="A3351" t="n">
        <v>2868</v>
      </c>
      <c r="B3351" t="inlineStr">
        <is>
          <t>A-497_2C__296</t>
        </is>
      </c>
      <c r="C3351" t="n">
        <v>37.2502909995</v>
      </c>
      <c r="D3351" t="n">
        <v>-7.01787557661</v>
      </c>
      <c r="E3351" t="n">
        <v>3</v>
      </c>
      <c r="F3351" t="n">
        <v>2</v>
      </c>
      <c r="G3351" t="n">
        <v>3</v>
      </c>
      <c r="J3351" t="inlineStr">
        <is>
          <t>Moda</t>
        </is>
      </c>
      <c r="K3351" t="n">
        <v>3</v>
      </c>
      <c r="L3351" t="n">
        <v>3.037</v>
      </c>
      <c r="M3351" t="n">
        <v>0</v>
      </c>
      <c r="N3351" t="inlineStr">
        <is>
          <t>train</t>
        </is>
      </c>
      <c r="O3351">
        <f>HYPERLINK("3\1\marker_319_320131.png", "Ver Imagen")</f>
        <v/>
      </c>
      <c r="P3351">
        <f>HYPERLINK("SE\A-497_2C\A-497_2C__296.png", "Ver Imagen")</f>
        <v/>
      </c>
    </row>
    <row r="3352">
      <c r="A3352" t="n">
        <v>2870</v>
      </c>
      <c r="B3352" t="inlineStr">
        <is>
          <t>A-497_2C__316</t>
        </is>
      </c>
      <c r="C3352" t="n">
        <v>37.2463247256</v>
      </c>
      <c r="D3352" t="n">
        <v>-7.01844014261</v>
      </c>
      <c r="E3352" t="n">
        <v>3</v>
      </c>
      <c r="F3352" t="n">
        <v>4</v>
      </c>
      <c r="G3352" t="n">
        <v>3</v>
      </c>
      <c r="J3352" t="inlineStr">
        <is>
          <t>Moda</t>
        </is>
      </c>
      <c r="K3352" t="n">
        <v>3</v>
      </c>
      <c r="L3352" t="n">
        <v>2.934</v>
      </c>
      <c r="M3352" t="n">
        <v>0</v>
      </c>
      <c r="N3352" t="inlineStr">
        <is>
          <t>train</t>
        </is>
      </c>
      <c r="O3352">
        <f>HYPERLINK("3\1\marker_997_361888.png", "Ver Imagen")</f>
        <v/>
      </c>
      <c r="P3352">
        <f>HYPERLINK("SE\A-497_2C\A-497_2C__316.png", "Ver Imagen")</f>
        <v/>
      </c>
    </row>
    <row r="3353">
      <c r="A3353" t="n">
        <v>2871</v>
      </c>
      <c r="B3353" t="inlineStr">
        <is>
          <t>A-497_2C__327</t>
        </is>
      </c>
      <c r="C3353" t="n">
        <v>37.2440619717</v>
      </c>
      <c r="D3353" t="n">
        <v>-7.01852293688</v>
      </c>
      <c r="E3353" t="n">
        <v>3</v>
      </c>
      <c r="F3353" t="n">
        <v>4</v>
      </c>
      <c r="G3353" t="n">
        <v>3</v>
      </c>
      <c r="J3353" t="inlineStr">
        <is>
          <t>Moda</t>
        </is>
      </c>
      <c r="K3353" t="n">
        <v>3</v>
      </c>
      <c r="L3353" t="n">
        <v>3.194</v>
      </c>
      <c r="M3353" t="n">
        <v>0</v>
      </c>
      <c r="N3353" t="inlineStr">
        <is>
          <t>train</t>
        </is>
      </c>
      <c r="O3353">
        <f>HYPERLINK("3\1\marker_710_361991.png", "Ver Imagen")</f>
        <v/>
      </c>
      <c r="P3353">
        <f>HYPERLINK("SE\A-497_2C\A-497_2C__327.png", "Ver Imagen")</f>
        <v/>
      </c>
    </row>
    <row r="3354">
      <c r="A3354" t="n">
        <v>2872</v>
      </c>
      <c r="B3354" t="inlineStr">
        <is>
          <t>A-497_2C__335</t>
        </is>
      </c>
      <c r="C3354" t="n">
        <v>37.2424485434</v>
      </c>
      <c r="D3354" t="n">
        <v>-7.01858172865</v>
      </c>
      <c r="E3354" t="n">
        <v>3</v>
      </c>
      <c r="F3354" t="n">
        <v>4</v>
      </c>
      <c r="G3354" t="n">
        <v>3</v>
      </c>
      <c r="J3354" t="inlineStr">
        <is>
          <t>Moda</t>
        </is>
      </c>
      <c r="K3354" t="n">
        <v>3</v>
      </c>
      <c r="L3354" t="n">
        <v>3.157</v>
      </c>
      <c r="M3354" t="n">
        <v>0</v>
      </c>
      <c r="N3354" t="inlineStr">
        <is>
          <t>train</t>
        </is>
      </c>
      <c r="O3354">
        <f>HYPERLINK("3\1\marker_369_362070.png", "Ver Imagen")</f>
        <v/>
      </c>
      <c r="P3354">
        <f>HYPERLINK("SE\A-497_2C\A-497_2C__335.png", "Ver Imagen")</f>
        <v/>
      </c>
    </row>
    <row r="3355">
      <c r="A3355" t="n">
        <v>2873</v>
      </c>
      <c r="B3355" t="inlineStr">
        <is>
          <t>A-497__542</t>
        </is>
      </c>
      <c r="C3355" t="n">
        <v>37.2052997902</v>
      </c>
      <c r="D3355" t="n">
        <v>-7.01700032524</v>
      </c>
      <c r="E3355" t="n">
        <v>3</v>
      </c>
      <c r="F3355" t="n">
        <v>2</v>
      </c>
      <c r="G3355" t="n">
        <v>3</v>
      </c>
      <c r="J3355" t="inlineStr">
        <is>
          <t>Moda</t>
        </is>
      </c>
      <c r="K3355" t="n">
        <v>3</v>
      </c>
      <c r="L3355" t="n">
        <v>2.856</v>
      </c>
      <c r="M3355" t="n">
        <v>0</v>
      </c>
      <c r="N3355" t="inlineStr">
        <is>
          <t>train</t>
        </is>
      </c>
      <c r="O3355">
        <f>HYPERLINK("3\1\marker_323_372357.png", "Ver Imagen")</f>
        <v/>
      </c>
      <c r="P3355">
        <f>HYPERLINK("SE\A-497\A-497__542.png", "Ver Imagen")</f>
        <v/>
      </c>
    </row>
    <row r="3356">
      <c r="A3356" t="n">
        <v>2874</v>
      </c>
      <c r="B3356" t="inlineStr">
        <is>
          <t>A-497__534</t>
        </is>
      </c>
      <c r="C3356" t="n">
        <v>37.2058456733</v>
      </c>
      <c r="D3356" t="n">
        <v>-7.01885605932</v>
      </c>
      <c r="E3356" t="n">
        <v>3</v>
      </c>
      <c r="F3356" t="n">
        <v>2</v>
      </c>
      <c r="G3356" t="n">
        <v>3</v>
      </c>
      <c r="J3356" t="inlineStr">
        <is>
          <t>Moda</t>
        </is>
      </c>
      <c r="K3356" t="n">
        <v>3</v>
      </c>
      <c r="L3356" t="n">
        <v>2.921</v>
      </c>
      <c r="M3356" t="n">
        <v>0</v>
      </c>
      <c r="N3356" t="inlineStr">
        <is>
          <t>train</t>
        </is>
      </c>
      <c r="O3356">
        <f>HYPERLINK("3\1\marker_668_372456.png", "Ver Imagen")</f>
        <v/>
      </c>
      <c r="P3356">
        <f>HYPERLINK("SE\A-497\A-497__534.png", "Ver Imagen")</f>
        <v/>
      </c>
    </row>
    <row r="3357">
      <c r="A3357" t="n">
        <v>2877</v>
      </c>
      <c r="B3357" t="inlineStr">
        <is>
          <t>A-497__528</t>
        </is>
      </c>
      <c r="C3357" t="n">
        <v>37.2064594257</v>
      </c>
      <c r="D3357" t="n">
        <v>-7.02024971035</v>
      </c>
      <c r="E3357" t="n">
        <v>3</v>
      </c>
      <c r="F3357" t="n">
        <v>2</v>
      </c>
      <c r="G3357" t="n">
        <v>3</v>
      </c>
      <c r="J3357" t="inlineStr">
        <is>
          <t>Moda</t>
        </is>
      </c>
      <c r="K3357" t="n">
        <v>3</v>
      </c>
      <c r="L3357" t="n">
        <v>2.556</v>
      </c>
      <c r="M3357" t="n">
        <v>0</v>
      </c>
      <c r="N3357" t="inlineStr">
        <is>
          <t>train</t>
        </is>
      </c>
      <c r="O3357">
        <f>HYPERLINK("3\1\marker_555_372520.png", "Ver Imagen")</f>
        <v/>
      </c>
      <c r="P3357">
        <f>HYPERLINK("SE\A-497\A-497__528.png", "Ver Imagen")</f>
        <v/>
      </c>
    </row>
    <row r="3358">
      <c r="A3358" t="n">
        <v>2878</v>
      </c>
      <c r="B3358" t="inlineStr">
        <is>
          <t>A-497__526</t>
        </is>
      </c>
      <c r="C3358" t="n">
        <v>37.2066740549</v>
      </c>
      <c r="D3358" t="n">
        <v>-7.02063312148</v>
      </c>
      <c r="E3358" t="n">
        <v>3</v>
      </c>
      <c r="F3358" t="n">
        <v>2</v>
      </c>
      <c r="G3358" t="n">
        <v>3</v>
      </c>
      <c r="J3358" t="inlineStr">
        <is>
          <t>Moda</t>
        </is>
      </c>
      <c r="K3358" t="n">
        <v>3</v>
      </c>
      <c r="L3358" t="n">
        <v>2.899</v>
      </c>
      <c r="M3358" t="n">
        <v>0</v>
      </c>
      <c r="N3358" t="inlineStr">
        <is>
          <t>train</t>
        </is>
      </c>
      <c r="O3358">
        <f>HYPERLINK("3\1\marker_998_372537.png", "Ver Imagen")</f>
        <v/>
      </c>
      <c r="P3358">
        <f>HYPERLINK("SE\A-497\A-497__526.png", "Ver Imagen")</f>
        <v/>
      </c>
    </row>
    <row r="3359">
      <c r="A3359" t="n">
        <v>2879</v>
      </c>
      <c r="B3359" t="inlineStr">
        <is>
          <t>A-497_2C__361</t>
        </is>
      </c>
      <c r="C3359" t="n">
        <v>37.2371804525</v>
      </c>
      <c r="D3359" t="n">
        <v>-7.0187395445</v>
      </c>
      <c r="E3359" t="n">
        <v>3</v>
      </c>
      <c r="F3359" t="n">
        <v>2</v>
      </c>
      <c r="G3359" t="n">
        <v>3</v>
      </c>
      <c r="J3359" t="inlineStr">
        <is>
          <t>Moda</t>
        </is>
      </c>
      <c r="K3359" t="n">
        <v>3</v>
      </c>
      <c r="L3359" t="n">
        <v>3.021</v>
      </c>
      <c r="M3359" t="n">
        <v>0</v>
      </c>
      <c r="N3359" t="inlineStr">
        <is>
          <t>train</t>
        </is>
      </c>
      <c r="O3359">
        <f>HYPERLINK("3\1\marker_348_362341.png", "Ver Imagen")</f>
        <v/>
      </c>
      <c r="P3359">
        <f>HYPERLINK("SE\A-497_2C\A-497_2C__361.png", "Ver Imagen")</f>
        <v/>
      </c>
    </row>
    <row r="3360">
      <c r="A3360" t="n">
        <v>2880</v>
      </c>
      <c r="B3360" t="inlineStr">
        <is>
          <t>A-497__523</t>
        </is>
      </c>
      <c r="C3360" t="n">
        <v>37.2070684367</v>
      </c>
      <c r="D3360" t="n">
        <v>-7.02122172849</v>
      </c>
      <c r="E3360" t="n">
        <v>3</v>
      </c>
      <c r="F3360" t="n">
        <v>2</v>
      </c>
      <c r="G3360" t="n">
        <v>3</v>
      </c>
      <c r="J3360" t="inlineStr">
        <is>
          <t>Moda</t>
        </is>
      </c>
      <c r="K3360" t="n">
        <v>3</v>
      </c>
      <c r="L3360" t="n">
        <v>2.963</v>
      </c>
      <c r="M3360" t="n">
        <v>0</v>
      </c>
      <c r="N3360" t="inlineStr">
        <is>
          <t>train</t>
        </is>
      </c>
      <c r="O3360">
        <f>HYPERLINK("3\1\marker_298_372567.png", "Ver Imagen")</f>
        <v/>
      </c>
      <c r="P3360">
        <f>HYPERLINK("SE\A-497\A-497__523.png", "Ver Imagen")</f>
        <v/>
      </c>
    </row>
    <row r="3361">
      <c r="A3361" t="n">
        <v>2881</v>
      </c>
      <c r="B3361" t="inlineStr">
        <is>
          <t>A-497__520</t>
        </is>
      </c>
      <c r="C3361" t="n">
        <v>37.2075087009</v>
      </c>
      <c r="D3361" t="n">
        <v>-7.02175870099</v>
      </c>
      <c r="E3361" t="n">
        <v>3</v>
      </c>
      <c r="F3361" t="n">
        <v>2</v>
      </c>
      <c r="G3361" t="n">
        <v>3</v>
      </c>
      <c r="J3361" t="inlineStr">
        <is>
          <t>Moda</t>
        </is>
      </c>
      <c r="K3361" t="n">
        <v>3</v>
      </c>
      <c r="L3361" t="n">
        <v>3.004</v>
      </c>
      <c r="M3361" t="n">
        <v>0</v>
      </c>
      <c r="N3361" t="inlineStr">
        <is>
          <t>train</t>
        </is>
      </c>
      <c r="O3361">
        <f>HYPERLINK("3\1\marker_125_372594.png", "Ver Imagen")</f>
        <v/>
      </c>
      <c r="P3361">
        <f>HYPERLINK("SE\A-497\A-497__520.png", "Ver Imagen")</f>
        <v/>
      </c>
    </row>
    <row r="3362">
      <c r="A3362" t="n">
        <v>2882</v>
      </c>
      <c r="B3362" t="inlineStr">
        <is>
          <t>A-497_2C__375</t>
        </is>
      </c>
      <c r="C3362" t="n">
        <v>37.2343410016</v>
      </c>
      <c r="D3362" t="n">
        <v>-7.01817517674</v>
      </c>
      <c r="E3362" t="n">
        <v>3</v>
      </c>
      <c r="F3362" t="n">
        <v>2</v>
      </c>
      <c r="G3362" t="n">
        <v>3</v>
      </c>
      <c r="J3362" t="inlineStr">
        <is>
          <t>Moda</t>
        </is>
      </c>
      <c r="K3362" t="n">
        <v>3</v>
      </c>
      <c r="L3362" t="n">
        <v>3.194</v>
      </c>
      <c r="M3362" t="n">
        <v>0</v>
      </c>
      <c r="N3362" t="inlineStr">
        <is>
          <t>train</t>
        </is>
      </c>
      <c r="O3362">
        <f>HYPERLINK("3\1\marker_498_362571.png", "Ver Imagen")</f>
        <v/>
      </c>
      <c r="P3362">
        <f>HYPERLINK("SE\A-497_2C\A-497_2C__375.png", "Ver Imagen")</f>
        <v/>
      </c>
    </row>
    <row r="3363">
      <c r="A3363" t="n">
        <v>2883</v>
      </c>
      <c r="B3363" t="inlineStr">
        <is>
          <t>A-497__519</t>
        </is>
      </c>
      <c r="C3363" t="n">
        <v>37.2076581261</v>
      </c>
      <c r="D3363" t="n">
        <v>-7.02192163848</v>
      </c>
      <c r="E3363" t="n">
        <v>3</v>
      </c>
      <c r="F3363" t="n">
        <v>2</v>
      </c>
      <c r="G3363" t="n">
        <v>3</v>
      </c>
      <c r="J3363" t="inlineStr">
        <is>
          <t>Moda</t>
        </is>
      </c>
      <c r="K3363" t="n">
        <v>3</v>
      </c>
      <c r="L3363" t="n">
        <v>2.733</v>
      </c>
      <c r="M3363" t="n">
        <v>0</v>
      </c>
      <c r="N3363" t="inlineStr">
        <is>
          <t>val</t>
        </is>
      </c>
      <c r="O3363">
        <f>HYPERLINK("3\1\marker_968_372604.png", "Ver Imagen")</f>
        <v/>
      </c>
      <c r="P3363">
        <f>HYPERLINK("SE\A-497\A-497__519.png", "Ver Imagen")</f>
        <v/>
      </c>
    </row>
    <row r="3364">
      <c r="A3364" t="n">
        <v>2884</v>
      </c>
      <c r="B3364" t="inlineStr">
        <is>
          <t>A-497__518</t>
        </is>
      </c>
      <c r="C3364" t="n">
        <v>37.2078180562</v>
      </c>
      <c r="D3364" t="n">
        <v>-7.0220860639</v>
      </c>
      <c r="E3364" t="n">
        <v>3</v>
      </c>
      <c r="F3364" t="n">
        <v>2</v>
      </c>
      <c r="G3364" t="n">
        <v>3</v>
      </c>
      <c r="J3364" t="inlineStr">
        <is>
          <t>Moda</t>
        </is>
      </c>
      <c r="K3364" t="n">
        <v>3</v>
      </c>
      <c r="L3364" t="n">
        <v>2.691</v>
      </c>
      <c r="M3364" t="n">
        <v>0</v>
      </c>
      <c r="N3364" t="inlineStr">
        <is>
          <t>train</t>
        </is>
      </c>
      <c r="O3364">
        <f>HYPERLINK("3\1\marker_501_372614.png", "Ver Imagen")</f>
        <v/>
      </c>
      <c r="P3364">
        <f>HYPERLINK("SE\A-497\A-497__518.png", "Ver Imagen")</f>
        <v/>
      </c>
    </row>
    <row r="3365">
      <c r="A3365" t="n">
        <v>2886</v>
      </c>
      <c r="B3365" t="inlineStr">
        <is>
          <t>A-497_2C__377</t>
        </is>
      </c>
      <c r="C3365" t="n">
        <v>37.2339818847</v>
      </c>
      <c r="D3365" t="n">
        <v>-7.01817031416</v>
      </c>
      <c r="E3365" t="n">
        <v>3</v>
      </c>
      <c r="F3365" t="n">
        <v>2</v>
      </c>
      <c r="G3365" t="n">
        <v>3</v>
      </c>
      <c r="J3365" t="inlineStr">
        <is>
          <t>Moda</t>
        </is>
      </c>
      <c r="K3365" t="n">
        <v>3</v>
      </c>
      <c r="L3365" t="n">
        <v>2.924</v>
      </c>
      <c r="M3365" t="n">
        <v>0</v>
      </c>
      <c r="N3365" t="inlineStr">
        <is>
          <t>train</t>
        </is>
      </c>
      <c r="O3365">
        <f>HYPERLINK("3\1\marker_145_362596.png", "Ver Imagen")</f>
        <v/>
      </c>
      <c r="P3365">
        <f>HYPERLINK("SE\A-497_2C\A-497_2C__377.png", "Ver Imagen")</f>
        <v/>
      </c>
    </row>
    <row r="3366">
      <c r="A3366" t="n">
        <v>2887</v>
      </c>
      <c r="B3366" t="inlineStr">
        <is>
          <t>A-497_2C__379</t>
        </is>
      </c>
      <c r="C3366" t="n">
        <v>37.2335960527</v>
      </c>
      <c r="D3366" t="n">
        <v>-7.01821236319</v>
      </c>
      <c r="E3366" t="n">
        <v>3</v>
      </c>
      <c r="F3366" t="n">
        <v>2</v>
      </c>
      <c r="G3366" t="n">
        <v>3</v>
      </c>
      <c r="J3366" t="inlineStr">
        <is>
          <t>Moda</t>
        </is>
      </c>
      <c r="K3366" t="n">
        <v>3</v>
      </c>
      <c r="L3366" t="n">
        <v>2.824</v>
      </c>
      <c r="M3366" t="n">
        <v>0</v>
      </c>
      <c r="N3366" t="inlineStr">
        <is>
          <t>train</t>
        </is>
      </c>
      <c r="O3366">
        <f>HYPERLINK("3\1\marker_504_362694.png", "Ver Imagen")</f>
        <v/>
      </c>
      <c r="P3366">
        <f>HYPERLINK("SE\A-497_2C\A-497_2C__379.png", "Ver Imagen")</f>
        <v/>
      </c>
    </row>
    <row r="3367">
      <c r="A3367" t="n">
        <v>2888</v>
      </c>
      <c r="B3367" t="inlineStr">
        <is>
          <t>A-497_2C__380</t>
        </is>
      </c>
      <c r="C3367" t="n">
        <v>37.2333846756</v>
      </c>
      <c r="D3367" t="n">
        <v>-7.01825597012</v>
      </c>
      <c r="E3367" t="n">
        <v>3</v>
      </c>
      <c r="F3367" t="n">
        <v>2</v>
      </c>
      <c r="G3367" t="n">
        <v>3</v>
      </c>
      <c r="J3367" t="inlineStr">
        <is>
          <t>Moda</t>
        </is>
      </c>
      <c r="K3367" t="n">
        <v>3</v>
      </c>
      <c r="L3367" t="n">
        <v>3.134</v>
      </c>
      <c r="M3367" t="n">
        <v>0</v>
      </c>
      <c r="N3367" t="inlineStr">
        <is>
          <t>train</t>
        </is>
      </c>
      <c r="O3367">
        <f>HYPERLINK("3\1\marker_839_362704.png", "Ver Imagen")</f>
        <v/>
      </c>
      <c r="P3367">
        <f>HYPERLINK("SE\A-497_2C\A-497_2C__380.png", "Ver Imagen")</f>
        <v/>
      </c>
    </row>
    <row r="3368">
      <c r="A3368" t="n">
        <v>2889</v>
      </c>
      <c r="B3368" t="inlineStr">
        <is>
          <t>A-497__515</t>
        </is>
      </c>
      <c r="C3368" t="n">
        <v>37.2083370968</v>
      </c>
      <c r="D3368" t="n">
        <v>-7.02255107066</v>
      </c>
      <c r="E3368" t="n">
        <v>3</v>
      </c>
      <c r="F3368" t="n">
        <v>2</v>
      </c>
      <c r="G3368" t="n">
        <v>3</v>
      </c>
      <c r="J3368" t="inlineStr">
        <is>
          <t>Moda</t>
        </is>
      </c>
      <c r="K3368" t="n">
        <v>3</v>
      </c>
      <c r="L3368" t="n">
        <v>3.074</v>
      </c>
      <c r="M3368" t="n">
        <v>0</v>
      </c>
      <c r="N3368" t="inlineStr">
        <is>
          <t>train</t>
        </is>
      </c>
      <c r="O3368">
        <f>HYPERLINK("3\1\marker_762_372643.png", "Ver Imagen")</f>
        <v/>
      </c>
      <c r="P3368">
        <f>HYPERLINK("SE\A-497\A-497__515.png", "Ver Imagen")</f>
        <v/>
      </c>
    </row>
    <row r="3369">
      <c r="A3369" t="n">
        <v>2890</v>
      </c>
      <c r="B3369" t="inlineStr">
        <is>
          <t>A-497_2C__382</t>
        </is>
      </c>
      <c r="C3369" t="n">
        <v>37.2329746685</v>
      </c>
      <c r="D3369" t="n">
        <v>-7.01838532135</v>
      </c>
      <c r="E3369" t="n">
        <v>3</v>
      </c>
      <c r="F3369" t="n">
        <v>2</v>
      </c>
      <c r="G3369" t="n">
        <v>3</v>
      </c>
      <c r="J3369" t="inlineStr">
        <is>
          <t>Moda</t>
        </is>
      </c>
      <c r="K3369" t="n">
        <v>3</v>
      </c>
      <c r="L3369" t="n">
        <v>2.581</v>
      </c>
      <c r="M3369" t="n">
        <v>0</v>
      </c>
      <c r="N3369" t="inlineStr">
        <is>
          <t>val</t>
        </is>
      </c>
      <c r="O3369">
        <f>HYPERLINK("3\1\marker_227_362721.png", "Ver Imagen")</f>
        <v/>
      </c>
      <c r="P3369">
        <f>HYPERLINK("SE\A-497_2C\A-497_2C__382.png", "Ver Imagen")</f>
        <v/>
      </c>
    </row>
    <row r="3370">
      <c r="A3370" t="n">
        <v>2891</v>
      </c>
      <c r="B3370" t="inlineStr">
        <is>
          <t>A-497__514</t>
        </is>
      </c>
      <c r="C3370" t="n">
        <v>37.2085069232</v>
      </c>
      <c r="D3370" t="n">
        <v>-7.02268295186</v>
      </c>
      <c r="E3370" t="n">
        <v>3</v>
      </c>
      <c r="F3370" t="n">
        <v>2</v>
      </c>
      <c r="G3370" t="n">
        <v>3</v>
      </c>
      <c r="J3370" t="inlineStr">
        <is>
          <t>Moda</t>
        </is>
      </c>
      <c r="K3370" t="n">
        <v>3</v>
      </c>
      <c r="L3370" t="n">
        <v>3.096</v>
      </c>
      <c r="M3370" t="n">
        <v>0</v>
      </c>
      <c r="N3370" t="inlineStr">
        <is>
          <t>val</t>
        </is>
      </c>
      <c r="O3370">
        <f>HYPERLINK("3\1\marker_288_372651.png", "Ver Imagen")</f>
        <v/>
      </c>
      <c r="P3370">
        <f>HYPERLINK("SE\A-497\A-497__514.png", "Ver Imagen")</f>
        <v/>
      </c>
    </row>
    <row r="3371">
      <c r="A3371" t="n">
        <v>2892</v>
      </c>
      <c r="B3371" t="inlineStr">
        <is>
          <t>A-497__511</t>
        </is>
      </c>
      <c r="C3371" t="n">
        <v>37.2090203298</v>
      </c>
      <c r="D3371" t="n">
        <v>-7.02303048086</v>
      </c>
      <c r="E3371" t="n">
        <v>3</v>
      </c>
      <c r="F3371" t="n">
        <v>2</v>
      </c>
      <c r="G3371" t="n">
        <v>3</v>
      </c>
      <c r="J3371" t="inlineStr">
        <is>
          <t>Moda</t>
        </is>
      </c>
      <c r="K3371" t="n">
        <v>3</v>
      </c>
      <c r="L3371" t="n">
        <v>2.755</v>
      </c>
      <c r="M3371" t="n">
        <v>0</v>
      </c>
      <c r="N3371" t="inlineStr">
        <is>
          <t>train</t>
        </is>
      </c>
      <c r="O3371">
        <f>HYPERLINK("3\1\marker_245_372682.png", "Ver Imagen")</f>
        <v/>
      </c>
      <c r="P3371">
        <f>HYPERLINK("SE\A-497\A-497__511.png", "Ver Imagen")</f>
        <v/>
      </c>
    </row>
    <row r="3372">
      <c r="A3372" t="n">
        <v>2893</v>
      </c>
      <c r="B3372" t="inlineStr">
        <is>
          <t>A-497__509</t>
        </is>
      </c>
      <c r="C3372" t="n">
        <v>37.2093685596</v>
      </c>
      <c r="D3372" t="n">
        <v>-7.02322685428</v>
      </c>
      <c r="E3372" t="n">
        <v>3</v>
      </c>
      <c r="F3372" t="n">
        <v>4</v>
      </c>
      <c r="G3372" t="n">
        <v>3</v>
      </c>
      <c r="J3372" t="inlineStr">
        <is>
          <t>Moda</t>
        </is>
      </c>
      <c r="K3372" t="n">
        <v>3</v>
      </c>
      <c r="L3372" t="n">
        <v>2.519</v>
      </c>
      <c r="M3372" t="n">
        <v>0</v>
      </c>
      <c r="N3372" t="inlineStr">
        <is>
          <t>test</t>
        </is>
      </c>
      <c r="O3372">
        <f>HYPERLINK("3\1\marker_608_372702.png", "Ver Imagen")</f>
        <v/>
      </c>
      <c r="P3372">
        <f>HYPERLINK("SE\A-497\A-497__509.png", "Ver Imagen")</f>
        <v/>
      </c>
    </row>
    <row r="3373">
      <c r="A3373" t="n">
        <v>2894</v>
      </c>
      <c r="B3373" t="inlineStr">
        <is>
          <t>A-497__507</t>
        </is>
      </c>
      <c r="C3373" t="n">
        <v>37.2097619971</v>
      </c>
      <c r="D3373" t="n">
        <v>-7.02341573098</v>
      </c>
      <c r="E3373" t="n">
        <v>3</v>
      </c>
      <c r="F3373" t="n">
        <v>2</v>
      </c>
      <c r="G3373" t="n">
        <v>3</v>
      </c>
      <c r="J3373" t="inlineStr">
        <is>
          <t>Moda</t>
        </is>
      </c>
      <c r="K3373" t="n">
        <v>3</v>
      </c>
      <c r="L3373" t="n">
        <v>2.863</v>
      </c>
      <c r="M3373" t="n">
        <v>0</v>
      </c>
      <c r="N3373" t="inlineStr">
        <is>
          <t>train</t>
        </is>
      </c>
      <c r="O3373">
        <f>HYPERLINK("3\1\marker_476_372724.png", "Ver Imagen")</f>
        <v/>
      </c>
      <c r="P3373">
        <f>HYPERLINK("SE\A-497\A-497__507.png", "Ver Imagen")</f>
        <v/>
      </c>
    </row>
    <row r="3374">
      <c r="A3374" t="n">
        <v>2895</v>
      </c>
      <c r="B3374" t="inlineStr">
        <is>
          <t>A-497__506</t>
        </is>
      </c>
      <c r="C3374" t="n">
        <v>37.2099736064</v>
      </c>
      <c r="D3374" t="n">
        <v>-7.02350186691</v>
      </c>
      <c r="E3374" t="n">
        <v>3</v>
      </c>
      <c r="F3374" t="n">
        <v>2</v>
      </c>
      <c r="G3374" t="n">
        <v>3</v>
      </c>
      <c r="J3374" t="inlineStr">
        <is>
          <t>Moda</t>
        </is>
      </c>
      <c r="K3374" t="n">
        <v>3</v>
      </c>
      <c r="L3374" t="n">
        <v>2.89</v>
      </c>
      <c r="M3374" t="n">
        <v>0</v>
      </c>
      <c r="N3374" t="inlineStr">
        <is>
          <t>train</t>
        </is>
      </c>
      <c r="O3374">
        <f>HYPERLINK("3\1\marker_260_372733.png", "Ver Imagen")</f>
        <v/>
      </c>
      <c r="P3374">
        <f>HYPERLINK("SE\A-497\A-497__506.png", "Ver Imagen")</f>
        <v/>
      </c>
    </row>
    <row r="3375">
      <c r="A3375" t="n">
        <v>2896</v>
      </c>
      <c r="B3375" t="inlineStr">
        <is>
          <t>A-497__505</t>
        </is>
      </c>
      <c r="C3375" t="n">
        <v>37.2101501441</v>
      </c>
      <c r="D3375" t="n">
        <v>-7.02356558433</v>
      </c>
      <c r="E3375" t="n">
        <v>3</v>
      </c>
      <c r="F3375" t="n">
        <v>2</v>
      </c>
      <c r="G3375" t="n">
        <v>3</v>
      </c>
      <c r="J3375" t="inlineStr">
        <is>
          <t>Moda</t>
        </is>
      </c>
      <c r="K3375" t="n">
        <v>3</v>
      </c>
      <c r="L3375" t="n">
        <v>2.971</v>
      </c>
      <c r="M3375" t="n">
        <v>0</v>
      </c>
      <c r="N3375" t="inlineStr">
        <is>
          <t>train</t>
        </is>
      </c>
      <c r="O3375">
        <f>HYPERLINK("3\1\marker_386_372747.png", "Ver Imagen")</f>
        <v/>
      </c>
      <c r="P3375">
        <f>HYPERLINK("SE\A-497\A-497__505.png", "Ver Imagen")</f>
        <v/>
      </c>
    </row>
    <row r="3376">
      <c r="A3376" t="n">
        <v>2897</v>
      </c>
      <c r="B3376" t="inlineStr">
        <is>
          <t>A-497_2C__396</t>
        </is>
      </c>
      <c r="C3376" t="n">
        <v>37.2304749791</v>
      </c>
      <c r="D3376" t="n">
        <v>-7.02010354537</v>
      </c>
      <c r="E3376" t="n">
        <v>3</v>
      </c>
      <c r="F3376" t="n">
        <v>2</v>
      </c>
      <c r="G3376" t="n">
        <v>3</v>
      </c>
      <c r="J3376" t="inlineStr">
        <is>
          <t>Moda</t>
        </is>
      </c>
      <c r="K3376" t="n">
        <v>3</v>
      </c>
      <c r="L3376" t="n">
        <v>3.275</v>
      </c>
      <c r="M3376" t="n">
        <v>0</v>
      </c>
      <c r="N3376" t="inlineStr">
        <is>
          <t>train</t>
        </is>
      </c>
      <c r="O3376">
        <f>HYPERLINK("3\1\marker_317_362866.png", "Ver Imagen")</f>
        <v/>
      </c>
      <c r="P3376">
        <f>HYPERLINK("SE\A-497_2C\A-497_2C__396.png", "Ver Imagen")</f>
        <v/>
      </c>
    </row>
    <row r="3377">
      <c r="A3377" t="n">
        <v>2898</v>
      </c>
      <c r="B3377" t="inlineStr">
        <is>
          <t>A-497_2C__398</t>
        </is>
      </c>
      <c r="C3377" t="n">
        <v>37.2301652103</v>
      </c>
      <c r="D3377" t="n">
        <v>-7.02034063031</v>
      </c>
      <c r="E3377" t="n">
        <v>3</v>
      </c>
      <c r="F3377" t="n">
        <v>2</v>
      </c>
      <c r="G3377" t="n">
        <v>3</v>
      </c>
      <c r="J3377" t="inlineStr">
        <is>
          <t>Moda</t>
        </is>
      </c>
      <c r="K3377" t="n">
        <v>3</v>
      </c>
      <c r="L3377" t="n">
        <v>2.906</v>
      </c>
      <c r="M3377" t="n">
        <v>0</v>
      </c>
      <c r="N3377" t="inlineStr">
        <is>
          <t>train</t>
        </is>
      </c>
      <c r="O3377">
        <f>HYPERLINK("3\1\marker_668_362887.png", "Ver Imagen")</f>
        <v/>
      </c>
      <c r="P3377">
        <f>HYPERLINK("SE\A-497_2C\A-497_2C__398.png", "Ver Imagen")</f>
        <v/>
      </c>
    </row>
    <row r="3378">
      <c r="A3378" t="n">
        <v>2900</v>
      </c>
      <c r="B3378" t="inlineStr">
        <is>
          <t>A-497__498</t>
        </is>
      </c>
      <c r="C3378" t="n">
        <v>37.2115600655</v>
      </c>
      <c r="D3378" t="n">
        <v>-7.02385017927</v>
      </c>
      <c r="E3378" t="n">
        <v>3</v>
      </c>
      <c r="F3378" t="n">
        <v>4</v>
      </c>
      <c r="G3378" t="n">
        <v>3</v>
      </c>
      <c r="J3378" t="inlineStr">
        <is>
          <t>Moda</t>
        </is>
      </c>
      <c r="K3378" t="n">
        <v>3</v>
      </c>
      <c r="L3378" t="n">
        <v>3.021</v>
      </c>
      <c r="M3378" t="n">
        <v>0</v>
      </c>
      <c r="N3378" t="inlineStr">
        <is>
          <t>train</t>
        </is>
      </c>
      <c r="O3378">
        <f>HYPERLINK("3\1\marker_845_376122.png", "Ver Imagen")</f>
        <v/>
      </c>
      <c r="P3378">
        <f>HYPERLINK("SE\A-497\A-497__498.png", "Ver Imagen")</f>
        <v/>
      </c>
    </row>
    <row r="3379">
      <c r="A3379" t="n">
        <v>2901</v>
      </c>
      <c r="B3379" t="inlineStr">
        <is>
          <t>A-497_2C__419</t>
        </is>
      </c>
      <c r="C3379" t="n">
        <v>37.2264870213</v>
      </c>
      <c r="D3379" t="n">
        <v>-7.02299945685</v>
      </c>
      <c r="E3379" t="n">
        <v>3</v>
      </c>
      <c r="F3379" t="n">
        <v>2</v>
      </c>
      <c r="G3379" t="n">
        <v>3</v>
      </c>
      <c r="J3379" t="inlineStr">
        <is>
          <t>Moda</t>
        </is>
      </c>
      <c r="K3379" t="n">
        <v>3</v>
      </c>
      <c r="L3379" t="n">
        <v>2.735</v>
      </c>
      <c r="M3379" t="n">
        <v>0</v>
      </c>
      <c r="N3379" t="inlineStr">
        <is>
          <t>val</t>
        </is>
      </c>
      <c r="O3379">
        <f>HYPERLINK("3\1\marker_731_363103.png", "Ver Imagen")</f>
        <v/>
      </c>
      <c r="P3379">
        <f>HYPERLINK("SE\A-497_2C\A-497_2C__419.png", "Ver Imagen")</f>
        <v/>
      </c>
    </row>
    <row r="3380">
      <c r="A3380" t="n">
        <v>2902</v>
      </c>
      <c r="B3380" t="inlineStr">
        <is>
          <t>A-497__473</t>
        </is>
      </c>
      <c r="C3380" t="n">
        <v>37.2165767951</v>
      </c>
      <c r="D3380" t="n">
        <v>-7.02312599901</v>
      </c>
      <c r="E3380" t="n">
        <v>3</v>
      </c>
      <c r="F3380" t="n">
        <v>2</v>
      </c>
      <c r="G3380" t="n">
        <v>3</v>
      </c>
      <c r="J3380" t="inlineStr">
        <is>
          <t>Moda</t>
        </is>
      </c>
      <c r="K3380" t="n">
        <v>3</v>
      </c>
      <c r="L3380" t="n">
        <v>3.174</v>
      </c>
      <c r="M3380" t="n">
        <v>0</v>
      </c>
      <c r="N3380" t="inlineStr">
        <is>
          <t>train</t>
        </is>
      </c>
      <c r="O3380">
        <f>HYPERLINK("3\1\marker_304_376395.png", "Ver Imagen")</f>
        <v/>
      </c>
      <c r="P3380">
        <f>HYPERLINK("SE\A-497\A-497__473.png", "Ver Imagen")</f>
        <v/>
      </c>
    </row>
    <row r="3381">
      <c r="A3381" t="n">
        <v>2903</v>
      </c>
      <c r="B3381" t="inlineStr">
        <is>
          <t>A-497_2C__458</t>
        </is>
      </c>
      <c r="C3381" t="n">
        <v>37.218635502</v>
      </c>
      <c r="D3381" t="n">
        <v>-7.02298872366</v>
      </c>
      <c r="E3381" t="n">
        <v>3</v>
      </c>
      <c r="F3381" t="n">
        <v>2</v>
      </c>
      <c r="G3381" t="n">
        <v>3</v>
      </c>
      <c r="J3381" t="inlineStr">
        <is>
          <t>Moda</t>
        </is>
      </c>
      <c r="K3381" t="n">
        <v>3</v>
      </c>
      <c r="L3381" t="n">
        <v>3.034</v>
      </c>
      <c r="M3381" t="n">
        <v>0</v>
      </c>
      <c r="N3381" t="inlineStr">
        <is>
          <t>test</t>
        </is>
      </c>
      <c r="O3381">
        <f>HYPERLINK("3\1\marker_478_363508.png", "Ver Imagen")</f>
        <v/>
      </c>
      <c r="P3381">
        <f>HYPERLINK("SE\A-497_2C\A-497_2C__458.png", "Ver Imagen")</f>
        <v/>
      </c>
    </row>
    <row r="3382">
      <c r="A3382" t="n">
        <v>2904</v>
      </c>
      <c r="B3382" t="inlineStr">
        <is>
          <t>A-497_2C__461</t>
        </is>
      </c>
      <c r="C3382" t="n">
        <v>37.2180024163</v>
      </c>
      <c r="D3382" t="n">
        <v>-7.02306721702</v>
      </c>
      <c r="E3382" t="n">
        <v>3</v>
      </c>
      <c r="F3382" t="n">
        <v>2</v>
      </c>
      <c r="G3382" t="n">
        <v>3</v>
      </c>
      <c r="J3382" t="inlineStr">
        <is>
          <t>Moda</t>
        </is>
      </c>
      <c r="K3382" t="n">
        <v>3</v>
      </c>
      <c r="L3382" t="n">
        <v>3.123</v>
      </c>
      <c r="M3382" t="n">
        <v>0</v>
      </c>
      <c r="N3382" t="inlineStr">
        <is>
          <t>train</t>
        </is>
      </c>
      <c r="O3382">
        <f>HYPERLINK("3\1\marker_194_363545.png", "Ver Imagen")</f>
        <v/>
      </c>
      <c r="P3382">
        <f>HYPERLINK("SE\A-497_2C\A-497_2C__461.png", "Ver Imagen")</f>
        <v/>
      </c>
    </row>
    <row r="3383">
      <c r="A3383" t="n">
        <v>2905</v>
      </c>
      <c r="B3383" t="inlineStr">
        <is>
          <t>A-497_2C__468</t>
        </is>
      </c>
      <c r="C3383" t="n">
        <v>37.2166292256</v>
      </c>
      <c r="D3383" t="n">
        <v>-7.02330535353</v>
      </c>
      <c r="E3383" t="n">
        <v>3</v>
      </c>
      <c r="F3383" t="n">
        <v>2</v>
      </c>
      <c r="G3383" t="n">
        <v>3</v>
      </c>
      <c r="J3383" t="inlineStr">
        <is>
          <t>Moda</t>
        </is>
      </c>
      <c r="K3383" t="n">
        <v>3</v>
      </c>
      <c r="L3383" t="n">
        <v>3.202</v>
      </c>
      <c r="M3383" t="n">
        <v>0</v>
      </c>
      <c r="N3383" t="inlineStr">
        <is>
          <t>train</t>
        </is>
      </c>
      <c r="O3383">
        <f>HYPERLINK("3\1\marker_885_363618.png", "Ver Imagen")</f>
        <v/>
      </c>
      <c r="P3383">
        <f>HYPERLINK("SE\A-497_2C\A-497_2C__468.png", "Ver Imagen")</f>
        <v/>
      </c>
    </row>
    <row r="3384">
      <c r="A3384" t="n">
        <v>2906</v>
      </c>
      <c r="B3384" t="inlineStr">
        <is>
          <t>A-497_2C__470</t>
        </is>
      </c>
      <c r="C3384" t="n">
        <v>37.2162078046</v>
      </c>
      <c r="D3384" t="n">
        <v>-7.02337931197</v>
      </c>
      <c r="E3384" t="n">
        <v>3</v>
      </c>
      <c r="F3384" t="n">
        <v>2</v>
      </c>
      <c r="G3384" t="n">
        <v>3</v>
      </c>
      <c r="J3384" t="inlineStr">
        <is>
          <t>Moda</t>
        </is>
      </c>
      <c r="K3384" t="n">
        <v>3</v>
      </c>
      <c r="L3384" t="n">
        <v>3.178</v>
      </c>
      <c r="M3384" t="n">
        <v>0</v>
      </c>
      <c r="N3384" t="inlineStr">
        <is>
          <t>train</t>
        </is>
      </c>
      <c r="O3384">
        <f>HYPERLINK("3\1\marker_622_363638.png", "Ver Imagen")</f>
        <v/>
      </c>
      <c r="P3384">
        <f>HYPERLINK("SE\A-497_2C\A-497_2C__470.png", "Ver Imagen")</f>
        <v/>
      </c>
    </row>
    <row r="3385">
      <c r="A3385" t="n">
        <v>2907</v>
      </c>
      <c r="B3385" t="inlineStr">
        <is>
          <t>A-497__467</t>
        </is>
      </c>
      <c r="C3385" t="n">
        <v>37.2177332178</v>
      </c>
      <c r="D3385" t="n">
        <v>-7.02292368037</v>
      </c>
      <c r="E3385" t="n">
        <v>3</v>
      </c>
      <c r="F3385" t="n">
        <v>2</v>
      </c>
      <c r="G3385" t="n">
        <v>3</v>
      </c>
      <c r="J3385" t="inlineStr">
        <is>
          <t>Moda</t>
        </is>
      </c>
      <c r="K3385" t="n">
        <v>3</v>
      </c>
      <c r="L3385" t="n">
        <v>3</v>
      </c>
      <c r="M3385" t="n">
        <v>0</v>
      </c>
      <c r="N3385" t="inlineStr">
        <is>
          <t>train</t>
        </is>
      </c>
      <c r="O3385">
        <f>HYPERLINK("3\1\marker_179_376498.png", "Ver Imagen")</f>
        <v/>
      </c>
      <c r="P3385">
        <f>HYPERLINK("SE\A-497\A-497__467.png", "Ver Imagen")</f>
        <v/>
      </c>
    </row>
    <row r="3386">
      <c r="A3386" t="n">
        <v>2909</v>
      </c>
      <c r="B3386" t="inlineStr">
        <is>
          <t>A-497_2C__485</t>
        </is>
      </c>
      <c r="C3386" t="n">
        <v>37.2131993165</v>
      </c>
      <c r="D3386" t="n">
        <v>-7.02391028399</v>
      </c>
      <c r="E3386" t="n">
        <v>3</v>
      </c>
      <c r="F3386" t="n">
        <v>2</v>
      </c>
      <c r="G3386" t="n">
        <v>3</v>
      </c>
      <c r="J3386" t="inlineStr">
        <is>
          <t>Moda</t>
        </is>
      </c>
      <c r="K3386" t="n">
        <v>3</v>
      </c>
      <c r="L3386" t="n">
        <v>2.84</v>
      </c>
      <c r="M3386" t="n">
        <v>0</v>
      </c>
      <c r="N3386" t="inlineStr">
        <is>
          <t>train</t>
        </is>
      </c>
      <c r="O3386">
        <f>HYPERLINK("3\1\marker_226_363822.png", "Ver Imagen")</f>
        <v/>
      </c>
      <c r="P3386">
        <f>HYPERLINK("SE\A-497_2C\A-497_2C__485.png", "Ver Imagen")</f>
        <v/>
      </c>
    </row>
    <row r="3387">
      <c r="A3387" t="n">
        <v>2910</v>
      </c>
      <c r="B3387" t="inlineStr">
        <is>
          <t>A-497_2C__487</t>
        </is>
      </c>
      <c r="C3387" t="n">
        <v>37.2128120552</v>
      </c>
      <c r="D3387" t="n">
        <v>-7.02396961897</v>
      </c>
      <c r="E3387" t="n">
        <v>3</v>
      </c>
      <c r="F3387" t="n">
        <v>2</v>
      </c>
      <c r="G3387" t="n">
        <v>3</v>
      </c>
      <c r="J3387" t="inlineStr">
        <is>
          <t>Moda</t>
        </is>
      </c>
      <c r="K3387" t="n">
        <v>3</v>
      </c>
      <c r="L3387" t="n">
        <v>2.771</v>
      </c>
      <c r="M3387" t="n">
        <v>0</v>
      </c>
      <c r="N3387" t="inlineStr">
        <is>
          <t>train</t>
        </is>
      </c>
      <c r="O3387">
        <f>HYPERLINK("3\1\marker_488_363842.png", "Ver Imagen")</f>
        <v/>
      </c>
      <c r="P3387">
        <f>HYPERLINK("SE\A-497_2C\A-497_2C__487.png", "Ver Imagen")</f>
        <v/>
      </c>
    </row>
    <row r="3388">
      <c r="A3388" t="n">
        <v>2911</v>
      </c>
      <c r="B3388" t="inlineStr">
        <is>
          <t>A-497_2C__490</t>
        </is>
      </c>
      <c r="C3388" t="n">
        <v>37.2121819774</v>
      </c>
      <c r="D3388" t="n">
        <v>-7.02403849708</v>
      </c>
      <c r="E3388" t="n">
        <v>3</v>
      </c>
      <c r="F3388" t="n">
        <v>2</v>
      </c>
      <c r="G3388" t="n">
        <v>3</v>
      </c>
      <c r="J3388" t="inlineStr">
        <is>
          <t>Moda</t>
        </is>
      </c>
      <c r="K3388" t="n">
        <v>3</v>
      </c>
      <c r="L3388" t="n">
        <v>3.097</v>
      </c>
      <c r="M3388" t="n">
        <v>0</v>
      </c>
      <c r="N3388" t="inlineStr">
        <is>
          <t>train</t>
        </is>
      </c>
      <c r="O3388">
        <f>HYPERLINK("3\1\marker_590_363892.png", "Ver Imagen")</f>
        <v/>
      </c>
      <c r="P3388">
        <f>HYPERLINK("SE\A-497_2C\A-497_2C__490.png", "Ver Imagen")</f>
        <v/>
      </c>
    </row>
    <row r="3389">
      <c r="A3389" t="n">
        <v>2913</v>
      </c>
      <c r="B3389" t="inlineStr">
        <is>
          <t>A-497_2C__493</t>
        </is>
      </c>
      <c r="C3389" t="n">
        <v>37.2115599216</v>
      </c>
      <c r="D3389" t="n">
        <v>-7.02404260454</v>
      </c>
      <c r="E3389" t="n">
        <v>3</v>
      </c>
      <c r="F3389" t="n">
        <v>2</v>
      </c>
      <c r="G3389" t="n">
        <v>3</v>
      </c>
      <c r="J3389" t="inlineStr">
        <is>
          <t>Moda</t>
        </is>
      </c>
      <c r="K3389" t="n">
        <v>3</v>
      </c>
      <c r="L3389" t="n">
        <v>2.838</v>
      </c>
      <c r="M3389" t="n">
        <v>0</v>
      </c>
      <c r="N3389" t="inlineStr">
        <is>
          <t>train</t>
        </is>
      </c>
      <c r="O3389">
        <f>HYPERLINK("3\1\marker_800_363930.png", "Ver Imagen")</f>
        <v/>
      </c>
      <c r="P3389">
        <f>HYPERLINK("SE\A-497_2C\A-497_2C__493.png", "Ver Imagen")</f>
        <v/>
      </c>
    </row>
    <row r="3390">
      <c r="A3390" t="n">
        <v>2914</v>
      </c>
      <c r="B3390" t="inlineStr">
        <is>
          <t>A-497_2C__499</t>
        </is>
      </c>
      <c r="C3390" t="n">
        <v>37.2103833078</v>
      </c>
      <c r="D3390" t="n">
        <v>-7.02384460354</v>
      </c>
      <c r="E3390" t="n">
        <v>3</v>
      </c>
      <c r="F3390" t="n">
        <v>2</v>
      </c>
      <c r="G3390" t="n">
        <v>3</v>
      </c>
      <c r="J3390" t="inlineStr">
        <is>
          <t>Moda</t>
        </is>
      </c>
      <c r="K3390" t="n">
        <v>3</v>
      </c>
      <c r="L3390" t="n">
        <v>3.263</v>
      </c>
      <c r="M3390" t="n">
        <v>0</v>
      </c>
      <c r="N3390" t="inlineStr">
        <is>
          <t>train</t>
        </is>
      </c>
      <c r="O3390">
        <f>HYPERLINK("3\1\marker_491_364052.png", "Ver Imagen")</f>
        <v/>
      </c>
      <c r="P3390">
        <f>HYPERLINK("SE\A-497_2C\A-497_2C__499.png", "Ver Imagen")</f>
        <v/>
      </c>
    </row>
    <row r="3391">
      <c r="A3391" t="n">
        <v>2915</v>
      </c>
      <c r="B3391" t="inlineStr">
        <is>
          <t>A-497_2C__541</t>
        </is>
      </c>
      <c r="C3391" t="n">
        <v>37.205001162</v>
      </c>
      <c r="D3391" t="n">
        <v>-7.01634981843</v>
      </c>
      <c r="E3391" t="n">
        <v>3</v>
      </c>
      <c r="F3391" t="n">
        <v>4</v>
      </c>
      <c r="G3391" t="n">
        <v>3</v>
      </c>
      <c r="J3391" t="inlineStr">
        <is>
          <t>Moda</t>
        </is>
      </c>
      <c r="K3391" t="n">
        <v>3</v>
      </c>
      <c r="L3391" t="n">
        <v>2.564</v>
      </c>
      <c r="M3391" t="n">
        <v>0</v>
      </c>
      <c r="N3391" t="inlineStr">
        <is>
          <t>test</t>
        </is>
      </c>
      <c r="O3391">
        <f>HYPERLINK("3\1\marker_993_364552.png", "Ver Imagen")</f>
        <v/>
      </c>
      <c r="P3391">
        <f>HYPERLINK("SE\A-497_2C\A-497_2C__541.png", "Ver Imagen")</f>
        <v/>
      </c>
    </row>
    <row r="3392">
      <c r="A3392" t="n">
        <v>2916</v>
      </c>
      <c r="B3392" t="inlineStr">
        <is>
          <t>A-497_2C__544</t>
        </is>
      </c>
      <c r="C3392" t="n">
        <v>37.2048824213</v>
      </c>
      <c r="D3392" t="n">
        <v>-7.01578984922</v>
      </c>
      <c r="E3392" t="n">
        <v>3</v>
      </c>
      <c r="F3392" t="n">
        <v>2</v>
      </c>
      <c r="G3392" t="n">
        <v>3</v>
      </c>
      <c r="J3392" t="inlineStr">
        <is>
          <t>Moda</t>
        </is>
      </c>
      <c r="K3392" t="n">
        <v>3</v>
      </c>
      <c r="L3392" t="n">
        <v>3.137</v>
      </c>
      <c r="M3392" t="n">
        <v>0</v>
      </c>
      <c r="N3392" t="inlineStr">
        <is>
          <t>train</t>
        </is>
      </c>
      <c r="O3392">
        <f>HYPERLINK("3\1\marker_654_364619.png", "Ver Imagen")</f>
        <v/>
      </c>
      <c r="P3392">
        <f>HYPERLINK("SE\A-497_2C\A-497_2C__544.png", "Ver Imagen")</f>
        <v/>
      </c>
    </row>
    <row r="3393">
      <c r="A3393" t="n">
        <v>2918</v>
      </c>
      <c r="B3393" t="inlineStr">
        <is>
          <t>A-497_2C__550</t>
        </is>
      </c>
      <c r="C3393" t="n">
        <v>37.2045833482</v>
      </c>
      <c r="D3393" t="n">
        <v>-7.01430031349</v>
      </c>
      <c r="E3393" t="n">
        <v>3</v>
      </c>
      <c r="F3393" t="n">
        <v>2</v>
      </c>
      <c r="G3393" t="n">
        <v>3</v>
      </c>
      <c r="J3393" t="inlineStr">
        <is>
          <t>Moda</t>
        </is>
      </c>
      <c r="K3393" t="n">
        <v>3</v>
      </c>
      <c r="L3393" t="n">
        <v>2.862</v>
      </c>
      <c r="M3393" t="n">
        <v>0</v>
      </c>
      <c r="N3393" t="inlineStr">
        <is>
          <t>train</t>
        </is>
      </c>
      <c r="O3393">
        <f>HYPERLINK("3\1\marker_133_364684.png", "Ver Imagen")</f>
        <v/>
      </c>
      <c r="P3393">
        <f>HYPERLINK("SE\A-497_2C\A-497_2C__550.png", "Ver Imagen")</f>
        <v/>
      </c>
    </row>
    <row r="3394">
      <c r="A3394" t="n">
        <v>2919</v>
      </c>
      <c r="B3394" t="inlineStr">
        <is>
          <t>A-497_2C__556</t>
        </is>
      </c>
      <c r="C3394" t="n">
        <v>37.2043011698</v>
      </c>
      <c r="D3394" t="n">
        <v>-7.01280888402</v>
      </c>
      <c r="E3394" t="n">
        <v>3</v>
      </c>
      <c r="F3394" t="n">
        <v>2</v>
      </c>
      <c r="G3394" t="n">
        <v>3</v>
      </c>
      <c r="J3394" t="inlineStr">
        <is>
          <t>Moda</t>
        </is>
      </c>
      <c r="K3394" t="n">
        <v>3</v>
      </c>
      <c r="L3394" t="n">
        <v>3.324</v>
      </c>
      <c r="M3394" t="n">
        <v>0</v>
      </c>
      <c r="N3394" t="inlineStr">
        <is>
          <t>train</t>
        </is>
      </c>
      <c r="O3394">
        <f>HYPERLINK("3\1\marker_775_366337.png", "Ver Imagen")</f>
        <v/>
      </c>
      <c r="P3394">
        <f>HYPERLINK("SE\A-497_2C\A-497_2C__556.png", "Ver Imagen")</f>
        <v/>
      </c>
    </row>
    <row r="3395">
      <c r="A3395" t="n">
        <v>2920</v>
      </c>
      <c r="B3395" t="inlineStr">
        <is>
          <t>A-497_2C__560</t>
        </is>
      </c>
      <c r="C3395" t="n">
        <v>37.204132792</v>
      </c>
      <c r="D3395" t="n">
        <v>-7.01187763542</v>
      </c>
      <c r="E3395" t="n">
        <v>3</v>
      </c>
      <c r="F3395" t="n">
        <v>2</v>
      </c>
      <c r="G3395" t="n">
        <v>3</v>
      </c>
      <c r="J3395" t="inlineStr">
        <is>
          <t>Moda</t>
        </is>
      </c>
      <c r="K3395" t="n">
        <v>3</v>
      </c>
      <c r="L3395" t="n">
        <v>3.086</v>
      </c>
      <c r="M3395" t="n">
        <v>0</v>
      </c>
      <c r="N3395" t="inlineStr">
        <is>
          <t>train</t>
        </is>
      </c>
      <c r="O3395">
        <f>HYPERLINK("3\1\marker_428_366377.png", "Ver Imagen")</f>
        <v/>
      </c>
      <c r="P3395">
        <f>HYPERLINK("SE\A-497_2C\A-497_2C__560.png", "Ver Imagen")</f>
        <v/>
      </c>
    </row>
    <row r="3396">
      <c r="A3396" t="n">
        <v>2921</v>
      </c>
      <c r="B3396" t="inlineStr">
        <is>
          <t>A-497_2C__561</t>
        </is>
      </c>
      <c r="C3396" t="n">
        <v>37.204077603</v>
      </c>
      <c r="D3396" t="n">
        <v>-7.01156392962</v>
      </c>
      <c r="E3396" t="n">
        <v>3</v>
      </c>
      <c r="F3396" t="n">
        <v>2</v>
      </c>
      <c r="G3396" t="n">
        <v>3</v>
      </c>
      <c r="J3396" t="inlineStr">
        <is>
          <t>Moda</t>
        </is>
      </c>
      <c r="K3396" t="n">
        <v>3</v>
      </c>
      <c r="L3396" t="n">
        <v>3.232</v>
      </c>
      <c r="M3396" t="n">
        <v>0</v>
      </c>
      <c r="N3396" t="inlineStr">
        <is>
          <t>train</t>
        </is>
      </c>
      <c r="O3396">
        <f>HYPERLINK("3\1\marker_604_366386.png", "Ver Imagen")</f>
        <v/>
      </c>
      <c r="P3396">
        <f>HYPERLINK("SE\A-497_2C\A-497_2C__561.png", "Ver Imagen")</f>
        <v/>
      </c>
    </row>
    <row r="3397">
      <c r="A3397" t="n">
        <v>2922</v>
      </c>
      <c r="B3397" t="inlineStr">
        <is>
          <t>A-497_2C__562</t>
        </is>
      </c>
      <c r="C3397" t="n">
        <v>37.2040386032</v>
      </c>
      <c r="D3397" t="n">
        <v>-7.01133928136</v>
      </c>
      <c r="E3397" t="n">
        <v>3</v>
      </c>
      <c r="F3397" t="n">
        <v>2</v>
      </c>
      <c r="G3397" t="n">
        <v>3</v>
      </c>
      <c r="J3397" t="inlineStr">
        <is>
          <t>Moda</t>
        </is>
      </c>
      <c r="K3397" t="n">
        <v>3</v>
      </c>
      <c r="L3397" t="n">
        <v>2.742</v>
      </c>
      <c r="M3397" t="n">
        <v>0</v>
      </c>
      <c r="N3397" t="inlineStr">
        <is>
          <t>train</t>
        </is>
      </c>
      <c r="O3397">
        <f>HYPERLINK("3\1\marker_207_366394.png", "Ver Imagen")</f>
        <v/>
      </c>
      <c r="P3397">
        <f>HYPERLINK("SE\A-497_2C\A-497_2C__562.png", "Ver Imagen")</f>
        <v/>
      </c>
    </row>
    <row r="3398">
      <c r="A3398" t="n">
        <v>2923</v>
      </c>
      <c r="B3398" t="inlineStr">
        <is>
          <t>A-497_2C__564</t>
        </is>
      </c>
      <c r="C3398" t="n">
        <v>37.203946246</v>
      </c>
      <c r="D3398" t="n">
        <v>-7.01079275641</v>
      </c>
      <c r="E3398" t="n">
        <v>3</v>
      </c>
      <c r="F3398" t="n">
        <v>2</v>
      </c>
      <c r="G3398" t="n">
        <v>3</v>
      </c>
      <c r="J3398" t="inlineStr">
        <is>
          <t>Moda</t>
        </is>
      </c>
      <c r="K3398" t="n">
        <v>3</v>
      </c>
      <c r="L3398" t="n">
        <v>3.045</v>
      </c>
      <c r="M3398" t="n">
        <v>0</v>
      </c>
      <c r="N3398" t="inlineStr">
        <is>
          <t>train</t>
        </is>
      </c>
      <c r="O3398">
        <f>HYPERLINK("3\1\marker_492_366424.png", "Ver Imagen")</f>
        <v/>
      </c>
      <c r="P3398">
        <f>HYPERLINK("SE\A-497_2C\A-497_2C__564.png", "Ver Imagen")</f>
        <v/>
      </c>
    </row>
    <row r="3399">
      <c r="A3399" t="n">
        <v>2924</v>
      </c>
      <c r="B3399" t="inlineStr">
        <is>
          <t>A-497_2C__574</t>
        </is>
      </c>
      <c r="C3399" t="n">
        <v>37.2035511429</v>
      </c>
      <c r="D3399" t="n">
        <v>-7.00832900052</v>
      </c>
      <c r="E3399" t="n">
        <v>3</v>
      </c>
      <c r="F3399" t="n">
        <v>2</v>
      </c>
      <c r="G3399" t="n">
        <v>3</v>
      </c>
      <c r="J3399" t="inlineStr">
        <is>
          <t>Moda</t>
        </is>
      </c>
      <c r="K3399" t="n">
        <v>3</v>
      </c>
      <c r="L3399" t="n">
        <v>3.116</v>
      </c>
      <c r="M3399" t="n">
        <v>0</v>
      </c>
      <c r="N3399" t="inlineStr">
        <is>
          <t>train</t>
        </is>
      </c>
      <c r="O3399">
        <f>HYPERLINK("3\1\marker_996_366519.png", "Ver Imagen")</f>
        <v/>
      </c>
      <c r="P3399">
        <f>HYPERLINK("SE\A-497_2C\A-497_2C__574.png", "Ver Imagen")</f>
        <v/>
      </c>
    </row>
    <row r="3400">
      <c r="A3400" t="n">
        <v>2925</v>
      </c>
      <c r="B3400" t="inlineStr">
        <is>
          <t>A-497_2C__577</t>
        </is>
      </c>
      <c r="C3400" t="n">
        <v>37.2034434734</v>
      </c>
      <c r="D3400" t="n">
        <v>-7.00759700238</v>
      </c>
      <c r="E3400" t="n">
        <v>3</v>
      </c>
      <c r="F3400" t="n">
        <v>2</v>
      </c>
      <c r="G3400" t="n">
        <v>3</v>
      </c>
      <c r="J3400" t="inlineStr">
        <is>
          <t>Moda</t>
        </is>
      </c>
      <c r="K3400" t="n">
        <v>3</v>
      </c>
      <c r="L3400" t="n">
        <v>2.929</v>
      </c>
      <c r="M3400" t="n">
        <v>0</v>
      </c>
      <c r="N3400" t="inlineStr">
        <is>
          <t>train</t>
        </is>
      </c>
      <c r="O3400">
        <f>HYPERLINK("3\1\marker_550_366547.png", "Ver Imagen")</f>
        <v/>
      </c>
      <c r="P3400">
        <f>HYPERLINK("SE\A-497_2C\A-497_2C__577.png", "Ver Imagen")</f>
        <v/>
      </c>
    </row>
    <row r="3401">
      <c r="A3401" t="n">
        <v>2926</v>
      </c>
      <c r="B3401" t="inlineStr">
        <is>
          <t>A-497_2C__588</t>
        </is>
      </c>
      <c r="C3401" t="n">
        <v>37.2030779564</v>
      </c>
      <c r="D3401" t="n">
        <v>-7.00490179415</v>
      </c>
      <c r="E3401" t="n">
        <v>3</v>
      </c>
      <c r="F3401" t="n">
        <v>2</v>
      </c>
      <c r="G3401" t="n">
        <v>3</v>
      </c>
      <c r="J3401" t="inlineStr">
        <is>
          <t>Moda</t>
        </is>
      </c>
      <c r="K3401" t="n">
        <v>3</v>
      </c>
      <c r="L3401" t="n">
        <v>2.981</v>
      </c>
      <c r="M3401" t="n">
        <v>0</v>
      </c>
      <c r="N3401" t="inlineStr">
        <is>
          <t>train</t>
        </is>
      </c>
      <c r="O3401">
        <f>HYPERLINK("3\1\marker_316_366650.png", "Ver Imagen")</f>
        <v/>
      </c>
      <c r="P3401">
        <f>HYPERLINK("SE\A-497_2C\A-497_2C__588.png", "Ver Imagen")</f>
        <v/>
      </c>
    </row>
    <row r="3402">
      <c r="A3402" t="n">
        <v>2927</v>
      </c>
      <c r="B3402" t="inlineStr">
        <is>
          <t>A-497_2C__595</t>
        </is>
      </c>
      <c r="C3402" t="n">
        <v>37.2028747403</v>
      </c>
      <c r="D3402" t="n">
        <v>-7.0031298405</v>
      </c>
      <c r="E3402" t="n">
        <v>3</v>
      </c>
      <c r="F3402" t="n">
        <v>2</v>
      </c>
      <c r="G3402" t="n">
        <v>3</v>
      </c>
      <c r="J3402" t="inlineStr">
        <is>
          <t>Moda</t>
        </is>
      </c>
      <c r="K3402" t="n">
        <v>3</v>
      </c>
      <c r="L3402" t="n">
        <v>2.784</v>
      </c>
      <c r="M3402" t="n">
        <v>0</v>
      </c>
      <c r="N3402" t="inlineStr">
        <is>
          <t>val</t>
        </is>
      </c>
      <c r="O3402">
        <f>HYPERLINK("3\1\marker_697_366716.png", "Ver Imagen")</f>
        <v/>
      </c>
      <c r="P3402">
        <f>HYPERLINK("SE\A-497_2C\A-497_2C__595.png", "Ver Imagen")</f>
        <v/>
      </c>
    </row>
    <row r="3403">
      <c r="A3403" t="n">
        <v>2928</v>
      </c>
      <c r="B3403" t="inlineStr">
        <is>
          <t>A-497_2C__597</t>
        </is>
      </c>
      <c r="C3403" t="n">
        <v>37.2028158668</v>
      </c>
      <c r="D3403" t="n">
        <v>-7.00259891962</v>
      </c>
      <c r="E3403" t="n">
        <v>3</v>
      </c>
      <c r="F3403" t="n">
        <v>2</v>
      </c>
      <c r="G3403" t="n">
        <v>3</v>
      </c>
      <c r="J3403" t="inlineStr">
        <is>
          <t>Moda</t>
        </is>
      </c>
      <c r="K3403" t="n">
        <v>3</v>
      </c>
      <c r="L3403" t="n">
        <v>3.318</v>
      </c>
      <c r="M3403" t="n">
        <v>0</v>
      </c>
      <c r="N3403" t="inlineStr">
        <is>
          <t>train</t>
        </is>
      </c>
      <c r="O3403">
        <f>HYPERLINK("3\1\marker_728_366734.png", "Ver Imagen")</f>
        <v/>
      </c>
      <c r="P3403">
        <f>HYPERLINK("SE\A-497_2C\A-497_2C__597.png", "Ver Imagen")</f>
        <v/>
      </c>
    </row>
    <row r="3404">
      <c r="A3404" t="n">
        <v>2929</v>
      </c>
      <c r="B3404" t="inlineStr">
        <is>
          <t>A-497_2C__601</t>
        </is>
      </c>
      <c r="C3404" t="n">
        <v>37.2027015656</v>
      </c>
      <c r="D3404" t="n">
        <v>-7.00158992227</v>
      </c>
      <c r="E3404" t="n">
        <v>3</v>
      </c>
      <c r="F3404" t="n">
        <v>2</v>
      </c>
      <c r="G3404" t="n">
        <v>3</v>
      </c>
      <c r="J3404" t="inlineStr">
        <is>
          <t>Moda</t>
        </is>
      </c>
      <c r="K3404" t="n">
        <v>3</v>
      </c>
      <c r="L3404" t="n">
        <v>3.209</v>
      </c>
      <c r="M3404" t="n">
        <v>0</v>
      </c>
      <c r="N3404" t="inlineStr">
        <is>
          <t>train</t>
        </is>
      </c>
      <c r="O3404">
        <f>HYPERLINK("3\1\marker_249_366773.png", "Ver Imagen")</f>
        <v/>
      </c>
      <c r="P3404">
        <f>HYPERLINK("SE\A-497_2C\A-497_2C__601.png", "Ver Imagen")</f>
        <v/>
      </c>
    </row>
    <row r="3405">
      <c r="A3405" t="n">
        <v>2930</v>
      </c>
      <c r="B3405" t="inlineStr">
        <is>
          <t>A-497_2C__606</t>
        </is>
      </c>
      <c r="C3405" t="n">
        <v>37.2025453324</v>
      </c>
      <c r="D3405" t="n">
        <v>-7.00031244782</v>
      </c>
      <c r="E3405" t="n">
        <v>3</v>
      </c>
      <c r="F3405" t="n">
        <v>4</v>
      </c>
      <c r="G3405" t="n">
        <v>3</v>
      </c>
      <c r="J3405" t="inlineStr">
        <is>
          <t>Moda</t>
        </is>
      </c>
      <c r="K3405" t="n">
        <v>3</v>
      </c>
      <c r="L3405" t="n">
        <v>3.47</v>
      </c>
      <c r="M3405" t="n">
        <v>0</v>
      </c>
      <c r="N3405" t="inlineStr">
        <is>
          <t>train</t>
        </is>
      </c>
      <c r="O3405">
        <f>HYPERLINK("3\1\marker_604_366833.png", "Ver Imagen")</f>
        <v/>
      </c>
      <c r="P3405">
        <f>HYPERLINK("SE\A-497_2C\A-497_2C__606.png", "Ver Imagen")</f>
        <v/>
      </c>
    </row>
    <row r="3406">
      <c r="A3406" t="n">
        <v>2931</v>
      </c>
      <c r="B3406" t="inlineStr">
        <is>
          <t>A-497_2C__608</t>
        </is>
      </c>
      <c r="C3406" t="n">
        <v>37.2024839476</v>
      </c>
      <c r="D3406" t="n">
        <v>-6.99983815111</v>
      </c>
      <c r="E3406" t="n">
        <v>3</v>
      </c>
      <c r="F3406" t="n">
        <v>2</v>
      </c>
      <c r="G3406" t="n">
        <v>3</v>
      </c>
      <c r="J3406" t="inlineStr">
        <is>
          <t>Moda</t>
        </is>
      </c>
      <c r="K3406" t="n">
        <v>3</v>
      </c>
      <c r="L3406" t="n">
        <v>3.27</v>
      </c>
      <c r="M3406" t="n">
        <v>0</v>
      </c>
      <c r="N3406" t="inlineStr">
        <is>
          <t>train</t>
        </is>
      </c>
      <c r="O3406">
        <f>HYPERLINK("3\1\marker_498_366853.png", "Ver Imagen")</f>
        <v/>
      </c>
      <c r="P3406">
        <f>HYPERLINK("SE\A-497_2C\A-497_2C__608.png", "Ver Imagen")</f>
        <v/>
      </c>
    </row>
    <row r="3407">
      <c r="A3407" t="n">
        <v>2932</v>
      </c>
      <c r="B3407" t="inlineStr">
        <is>
          <t>A-497_2C__609</t>
        </is>
      </c>
      <c r="C3407" t="n">
        <v>37.2024492083</v>
      </c>
      <c r="D3407" t="n">
        <v>-6.99956855835</v>
      </c>
      <c r="E3407" t="n">
        <v>3</v>
      </c>
      <c r="F3407" t="n">
        <v>2</v>
      </c>
      <c r="G3407" t="n">
        <v>3</v>
      </c>
      <c r="J3407" t="inlineStr">
        <is>
          <t>Moda</t>
        </is>
      </c>
      <c r="K3407" t="n">
        <v>3</v>
      </c>
      <c r="L3407" t="n">
        <v>3.118</v>
      </c>
      <c r="M3407" t="n">
        <v>0</v>
      </c>
      <c r="N3407" t="inlineStr">
        <is>
          <t>train</t>
        </is>
      </c>
      <c r="O3407">
        <f>HYPERLINK("3\1\marker_554_366862.png", "Ver Imagen")</f>
        <v/>
      </c>
      <c r="P3407">
        <f>HYPERLINK("SE\A-497_2C\A-497_2C__609.png", "Ver Imagen")</f>
        <v/>
      </c>
    </row>
    <row r="3408">
      <c r="A3408" t="n">
        <v>2933</v>
      </c>
      <c r="B3408" t="inlineStr">
        <is>
          <t>A-497_2C__617</t>
        </is>
      </c>
      <c r="C3408" t="n">
        <v>37.2021811773</v>
      </c>
      <c r="D3408" t="n">
        <v>-6.99765392118</v>
      </c>
      <c r="E3408" t="n">
        <v>3</v>
      </c>
      <c r="F3408" t="n">
        <v>2</v>
      </c>
      <c r="G3408" t="n">
        <v>3</v>
      </c>
      <c r="J3408" t="inlineStr">
        <is>
          <t>Moda</t>
        </is>
      </c>
      <c r="K3408" t="n">
        <v>3</v>
      </c>
      <c r="L3408" t="n">
        <v>3.279</v>
      </c>
      <c r="M3408" t="n">
        <v>0</v>
      </c>
      <c r="N3408" t="inlineStr">
        <is>
          <t>val</t>
        </is>
      </c>
      <c r="O3408">
        <f>HYPERLINK("3\1\marker_118_366951.png", "Ver Imagen")</f>
        <v/>
      </c>
      <c r="P3408">
        <f>HYPERLINK("SE\A-497_2C\A-497_2C__617.png", "Ver Imagen")</f>
        <v/>
      </c>
    </row>
    <row r="3409">
      <c r="A3409" t="n">
        <v>2934</v>
      </c>
      <c r="B3409" t="inlineStr">
        <is>
          <t>A-497_2C__620</t>
        </is>
      </c>
      <c r="C3409" t="n">
        <v>37.2020589055</v>
      </c>
      <c r="D3409" t="n">
        <v>-6.99683128229</v>
      </c>
      <c r="E3409" t="n">
        <v>3</v>
      </c>
      <c r="F3409" t="n">
        <v>2</v>
      </c>
      <c r="G3409" t="n">
        <v>3</v>
      </c>
      <c r="J3409" t="inlineStr">
        <is>
          <t>Moda</t>
        </is>
      </c>
      <c r="K3409" t="n">
        <v>3</v>
      </c>
      <c r="L3409" t="n">
        <v>3.435</v>
      </c>
      <c r="M3409" t="n">
        <v>0</v>
      </c>
      <c r="N3409" t="inlineStr">
        <is>
          <t>train</t>
        </is>
      </c>
      <c r="O3409">
        <f>HYPERLINK("3\1\marker_407_366981.png", "Ver Imagen")</f>
        <v/>
      </c>
      <c r="P3409">
        <f>HYPERLINK("SE\A-497_2C\A-497_2C__620.png", "Ver Imagen")</f>
        <v/>
      </c>
    </row>
    <row r="3410">
      <c r="A3410" t="n">
        <v>2935</v>
      </c>
      <c r="B3410" t="inlineStr">
        <is>
          <t>A-497_2C__624</t>
        </is>
      </c>
      <c r="C3410" t="n">
        <v>37.2018953735</v>
      </c>
      <c r="D3410" t="n">
        <v>-6.99581356765</v>
      </c>
      <c r="E3410" t="n">
        <v>3</v>
      </c>
      <c r="F3410" t="n">
        <v>2</v>
      </c>
      <c r="G3410" t="n">
        <v>3</v>
      </c>
      <c r="J3410" t="inlineStr">
        <is>
          <t>Moda</t>
        </is>
      </c>
      <c r="K3410" t="n">
        <v>3</v>
      </c>
      <c r="L3410" t="n">
        <v>3.069</v>
      </c>
      <c r="M3410" t="n">
        <v>0</v>
      </c>
      <c r="N3410" t="inlineStr">
        <is>
          <t>train</t>
        </is>
      </c>
      <c r="O3410">
        <f>HYPERLINK("3\1\marker_286_367026.png", "Ver Imagen")</f>
        <v/>
      </c>
      <c r="P3410">
        <f>HYPERLINK("SE\A-497_2C\A-497_2C__624.png", "Ver Imagen")</f>
        <v/>
      </c>
    </row>
    <row r="3411">
      <c r="A3411" t="n">
        <v>2936</v>
      </c>
      <c r="B3411" t="inlineStr">
        <is>
          <t>A-497__405</t>
        </is>
      </c>
      <c r="C3411" t="n">
        <v>37.2297127805</v>
      </c>
      <c r="D3411" t="n">
        <v>-7.02047743122</v>
      </c>
      <c r="E3411" t="n">
        <v>3</v>
      </c>
      <c r="F3411" t="n">
        <v>2</v>
      </c>
      <c r="G3411" t="n">
        <v>3</v>
      </c>
      <c r="J3411" t="inlineStr">
        <is>
          <t>Moda</t>
        </is>
      </c>
      <c r="K3411" t="n">
        <v>3</v>
      </c>
      <c r="L3411" t="n">
        <v>3.347</v>
      </c>
      <c r="M3411" t="n">
        <v>0</v>
      </c>
      <c r="N3411" t="inlineStr">
        <is>
          <t>train</t>
        </is>
      </c>
      <c r="O3411">
        <f>HYPERLINK("3\1\marker_901_377146.png", "Ver Imagen")</f>
        <v/>
      </c>
      <c r="P3411">
        <f>HYPERLINK("SE\A-497\A-497__405.png", "Ver Imagen")</f>
        <v/>
      </c>
    </row>
    <row r="3412">
      <c r="A3412" t="n">
        <v>2937</v>
      </c>
      <c r="B3412" t="inlineStr">
        <is>
          <t>A-497__397</t>
        </is>
      </c>
      <c r="C3412" t="n">
        <v>37.2311006513</v>
      </c>
      <c r="D3412" t="n">
        <v>-7.01941132372</v>
      </c>
      <c r="E3412" t="n">
        <v>3</v>
      </c>
      <c r="F3412" t="n">
        <v>2</v>
      </c>
      <c r="G3412" t="n">
        <v>3</v>
      </c>
      <c r="J3412" t="inlineStr">
        <is>
          <t>Moda</t>
        </is>
      </c>
      <c r="K3412" t="n">
        <v>3</v>
      </c>
      <c r="L3412" t="n">
        <v>3.449</v>
      </c>
      <c r="M3412" t="n">
        <v>0</v>
      </c>
      <c r="N3412" t="inlineStr">
        <is>
          <t>test</t>
        </is>
      </c>
      <c r="O3412">
        <f>HYPERLINK("3\1\marker_511_377220.png", "Ver Imagen")</f>
        <v/>
      </c>
      <c r="P3412">
        <f>HYPERLINK("SE\A-497\A-497__397.png", "Ver Imagen")</f>
        <v/>
      </c>
    </row>
    <row r="3413">
      <c r="A3413" t="n">
        <v>2938</v>
      </c>
      <c r="B3413" t="inlineStr">
        <is>
          <t>A-497__396</t>
        </is>
      </c>
      <c r="C3413" t="n">
        <v>37.2312681426</v>
      </c>
      <c r="D3413" t="n">
        <v>-7.01928384037</v>
      </c>
      <c r="E3413" t="n">
        <v>3</v>
      </c>
      <c r="F3413" t="n">
        <v>2</v>
      </c>
      <c r="G3413" t="n">
        <v>3</v>
      </c>
      <c r="J3413" t="inlineStr">
        <is>
          <t>Moda</t>
        </is>
      </c>
      <c r="K3413" t="n">
        <v>3</v>
      </c>
      <c r="L3413" t="n">
        <v>2.849</v>
      </c>
      <c r="M3413" t="n">
        <v>0</v>
      </c>
      <c r="N3413" t="inlineStr">
        <is>
          <t>train</t>
        </is>
      </c>
      <c r="O3413">
        <f>HYPERLINK("3\1\marker_205_377228.png", "Ver Imagen")</f>
        <v/>
      </c>
      <c r="P3413">
        <f>HYPERLINK("SE\A-497\A-497__396.png", "Ver Imagen")</f>
        <v/>
      </c>
    </row>
    <row r="3414">
      <c r="A3414" t="n">
        <v>2939</v>
      </c>
      <c r="B3414" t="inlineStr">
        <is>
          <t>A-497__393</t>
        </is>
      </c>
      <c r="C3414" t="n">
        <v>37.2318457888</v>
      </c>
      <c r="D3414" t="n">
        <v>-7.01884808917</v>
      </c>
      <c r="E3414" t="n">
        <v>3</v>
      </c>
      <c r="F3414" t="n">
        <v>2</v>
      </c>
      <c r="G3414" t="n">
        <v>3</v>
      </c>
      <c r="J3414" t="inlineStr">
        <is>
          <t>Moda</t>
        </is>
      </c>
      <c r="K3414" t="n">
        <v>3</v>
      </c>
      <c r="L3414" t="n">
        <v>3.488</v>
      </c>
      <c r="M3414" t="n">
        <v>0</v>
      </c>
      <c r="N3414" t="inlineStr">
        <is>
          <t>train</t>
        </is>
      </c>
      <c r="O3414">
        <f>HYPERLINK("3\1\marker_103_377257.png", "Ver Imagen")</f>
        <v/>
      </c>
      <c r="P3414">
        <f>HYPERLINK("SE\A-497\A-497__393.png", "Ver Imagen")</f>
        <v/>
      </c>
    </row>
    <row r="3415">
      <c r="A3415" t="n">
        <v>2941</v>
      </c>
      <c r="B3415" t="inlineStr">
        <is>
          <t>A-497__390</t>
        </is>
      </c>
      <c r="C3415" t="n">
        <v>37.2323217326</v>
      </c>
      <c r="D3415" t="n">
        <v>-7.01852774787</v>
      </c>
      <c r="E3415" t="n">
        <v>3</v>
      </c>
      <c r="F3415" t="n">
        <v>2</v>
      </c>
      <c r="G3415" t="n">
        <v>3</v>
      </c>
      <c r="J3415" t="inlineStr">
        <is>
          <t>Moda</t>
        </is>
      </c>
      <c r="K3415" t="n">
        <v>3</v>
      </c>
      <c r="L3415" t="n">
        <v>3.08</v>
      </c>
      <c r="M3415" t="n">
        <v>0</v>
      </c>
      <c r="N3415" t="inlineStr">
        <is>
          <t>train</t>
        </is>
      </c>
      <c r="O3415">
        <f>HYPERLINK("3\1\marker_316_377285.png", "Ver Imagen")</f>
        <v/>
      </c>
      <c r="P3415">
        <f>HYPERLINK("SE\A-497\A-497__390.png", "Ver Imagen")</f>
        <v/>
      </c>
    </row>
    <row r="3416">
      <c r="A3416" t="n">
        <v>2942</v>
      </c>
      <c r="B3416" t="inlineStr">
        <is>
          <t>A-497__389</t>
        </is>
      </c>
      <c r="C3416" t="n">
        <v>37.232530188</v>
      </c>
      <c r="D3416" t="n">
        <v>-7.01840734944</v>
      </c>
      <c r="E3416" t="n">
        <v>3</v>
      </c>
      <c r="F3416" t="n">
        <v>2</v>
      </c>
      <c r="G3416" t="n">
        <v>3</v>
      </c>
      <c r="J3416" t="inlineStr">
        <is>
          <t>Moda</t>
        </is>
      </c>
      <c r="K3416" t="n">
        <v>3</v>
      </c>
      <c r="L3416" t="n">
        <v>3.11</v>
      </c>
      <c r="M3416" t="n">
        <v>0</v>
      </c>
      <c r="N3416" t="inlineStr">
        <is>
          <t>train</t>
        </is>
      </c>
      <c r="O3416">
        <f>HYPERLINK("3\1\marker_319_377293.png", "Ver Imagen")</f>
        <v/>
      </c>
      <c r="P3416">
        <f>HYPERLINK("SE\A-497\A-497__389.png", "Ver Imagen")</f>
        <v/>
      </c>
    </row>
    <row r="3417">
      <c r="A3417" t="n">
        <v>2944</v>
      </c>
      <c r="B3417" t="inlineStr">
        <is>
          <t>A-497__328</t>
        </is>
      </c>
      <c r="C3417" t="n">
        <v>37.2447790892</v>
      </c>
      <c r="D3417" t="n">
        <v>-7.01830828719</v>
      </c>
      <c r="E3417" t="n">
        <v>3</v>
      </c>
      <c r="F3417" t="n">
        <v>2</v>
      </c>
      <c r="G3417" t="n">
        <v>3</v>
      </c>
      <c r="J3417" t="inlineStr">
        <is>
          <t>Moda</t>
        </is>
      </c>
      <c r="K3417" t="n">
        <v>3</v>
      </c>
      <c r="L3417" t="n">
        <v>3.34</v>
      </c>
      <c r="M3417" t="n">
        <v>0</v>
      </c>
      <c r="N3417" t="inlineStr">
        <is>
          <t>train</t>
        </is>
      </c>
      <c r="O3417">
        <f>HYPERLINK("3\1\marker_474_377890.png", "Ver Imagen")</f>
        <v/>
      </c>
      <c r="P3417">
        <f>HYPERLINK("SE\A-497\A-497__328.png", "Ver Imagen")</f>
        <v/>
      </c>
    </row>
    <row r="3418">
      <c r="A3418" t="n">
        <v>2945</v>
      </c>
      <c r="B3418" t="inlineStr">
        <is>
          <t>A-497__326</t>
        </is>
      </c>
      <c r="C3418" t="n">
        <v>37.2451949827</v>
      </c>
      <c r="D3418" t="n">
        <v>-7.01829022671</v>
      </c>
      <c r="E3418" t="n">
        <v>3</v>
      </c>
      <c r="F3418" t="n">
        <v>2</v>
      </c>
      <c r="G3418" t="n">
        <v>3</v>
      </c>
      <c r="J3418" t="inlineStr">
        <is>
          <t>Moda</t>
        </is>
      </c>
      <c r="K3418" t="n">
        <v>3</v>
      </c>
      <c r="L3418" t="n">
        <v>3.231</v>
      </c>
      <c r="M3418" t="n">
        <v>0</v>
      </c>
      <c r="N3418" t="inlineStr">
        <is>
          <t>train</t>
        </is>
      </c>
      <c r="O3418">
        <f>HYPERLINK("3\1\marker_237_377908.png", "Ver Imagen")</f>
        <v/>
      </c>
      <c r="P3418">
        <f>HYPERLINK("SE\A-497\A-497__326.png", "Ver Imagen")</f>
        <v/>
      </c>
    </row>
    <row r="3419">
      <c r="A3419" t="n">
        <v>2946</v>
      </c>
      <c r="B3419" t="inlineStr">
        <is>
          <t>A-497__321</t>
        </is>
      </c>
      <c r="C3419" t="n">
        <v>37.2462316118</v>
      </c>
      <c r="D3419" t="n">
        <v>-7.01825302313</v>
      </c>
      <c r="E3419" t="n">
        <v>4</v>
      </c>
      <c r="F3419" t="n">
        <v>3</v>
      </c>
      <c r="G3419" t="n">
        <v>3</v>
      </c>
      <c r="J3419" t="inlineStr">
        <is>
          <t>Moda</t>
        </is>
      </c>
      <c r="K3419" t="n">
        <v>3</v>
      </c>
      <c r="L3419" t="n">
        <v>2.772</v>
      </c>
      <c r="M3419" t="n">
        <v>0</v>
      </c>
      <c r="N3419" t="inlineStr">
        <is>
          <t>train</t>
        </is>
      </c>
      <c r="O3419">
        <f>HYPERLINK("3\1\marker_619_377954.png", "Ver Imagen")</f>
        <v/>
      </c>
      <c r="P3419">
        <f>HYPERLINK("SE\A-497\A-497__321.png", "Ver Imagen")</f>
        <v/>
      </c>
    </row>
    <row r="3420">
      <c r="A3420" t="n">
        <v>2947</v>
      </c>
      <c r="B3420" t="inlineStr">
        <is>
          <t>A-497__315</t>
        </is>
      </c>
      <c r="C3420" t="n">
        <v>37.2474135472</v>
      </c>
      <c r="D3420" t="n">
        <v>-7.01821114544</v>
      </c>
      <c r="E3420" t="n">
        <v>3</v>
      </c>
      <c r="F3420" t="n">
        <v>2</v>
      </c>
      <c r="G3420" t="n">
        <v>3</v>
      </c>
      <c r="J3420" t="inlineStr">
        <is>
          <t>Moda</t>
        </is>
      </c>
      <c r="K3420" t="n">
        <v>3</v>
      </c>
      <c r="L3420" t="n">
        <v>3.203</v>
      </c>
      <c r="M3420" t="n">
        <v>0</v>
      </c>
      <c r="N3420" t="inlineStr">
        <is>
          <t>train</t>
        </is>
      </c>
      <c r="O3420">
        <f>HYPERLINK("3\1\marker_253_378020.png", "Ver Imagen")</f>
        <v/>
      </c>
      <c r="P3420">
        <f>HYPERLINK("SE\A-497\A-497__315.png", "Ver Imagen")</f>
        <v/>
      </c>
    </row>
    <row r="3421">
      <c r="A3421" t="n">
        <v>2948</v>
      </c>
      <c r="B3421" t="inlineStr">
        <is>
          <t>A-497__309</t>
        </is>
      </c>
      <c r="C3421" t="n">
        <v>37.2486369215</v>
      </c>
      <c r="D3421" t="n">
        <v>-7.01814732273</v>
      </c>
      <c r="E3421" t="n">
        <v>3</v>
      </c>
      <c r="F3421" t="n">
        <v>2</v>
      </c>
      <c r="G3421" t="n">
        <v>3</v>
      </c>
      <c r="J3421" t="inlineStr">
        <is>
          <t>Moda</t>
        </is>
      </c>
      <c r="K3421" t="n">
        <v>3</v>
      </c>
      <c r="L3421" t="n">
        <v>3.269</v>
      </c>
      <c r="M3421" t="n">
        <v>0</v>
      </c>
      <c r="N3421" t="inlineStr">
        <is>
          <t>train</t>
        </is>
      </c>
      <c r="O3421">
        <f>HYPERLINK("3\1\marker_641_378110.png", "Ver Imagen")</f>
        <v/>
      </c>
      <c r="P3421">
        <f>HYPERLINK("SE\A-497\A-497__309.png", "Ver Imagen")</f>
        <v/>
      </c>
    </row>
    <row r="3422">
      <c r="A3422" t="n">
        <v>2950</v>
      </c>
      <c r="B3422" t="inlineStr">
        <is>
          <t>A-497__291</t>
        </is>
      </c>
      <c r="C3422" t="n">
        <v>37.2519948332</v>
      </c>
      <c r="D3422" t="n">
        <v>-7.01660438632</v>
      </c>
      <c r="E3422" t="n">
        <v>3</v>
      </c>
      <c r="F3422" t="n">
        <v>2</v>
      </c>
      <c r="G3422" t="n">
        <v>3</v>
      </c>
      <c r="J3422" t="inlineStr">
        <is>
          <t>Moda</t>
        </is>
      </c>
      <c r="K3422" t="n">
        <v>3</v>
      </c>
      <c r="L3422" t="n">
        <v>3.206</v>
      </c>
      <c r="M3422" t="n">
        <v>0</v>
      </c>
      <c r="N3422" t="inlineStr">
        <is>
          <t>train</t>
        </is>
      </c>
      <c r="O3422">
        <f>HYPERLINK("3\1\marker_271_378343.png", "Ver Imagen")</f>
        <v/>
      </c>
      <c r="P3422">
        <f>HYPERLINK("SE\A-497\A-497__291.png", "Ver Imagen")</f>
        <v/>
      </c>
    </row>
    <row r="3423">
      <c r="A3423" t="n">
        <v>2951</v>
      </c>
      <c r="B3423" t="inlineStr">
        <is>
          <t>A-497__286</t>
        </is>
      </c>
      <c r="C3423" t="n">
        <v>37.2529135057</v>
      </c>
      <c r="D3423" t="n">
        <v>-7.0160238571</v>
      </c>
      <c r="E3423" t="n">
        <v>3</v>
      </c>
      <c r="F3423" t="n">
        <v>4</v>
      </c>
      <c r="G3423" t="n">
        <v>3</v>
      </c>
      <c r="J3423" t="inlineStr">
        <is>
          <t>Moda</t>
        </is>
      </c>
      <c r="K3423" t="n">
        <v>3</v>
      </c>
      <c r="L3423" t="n">
        <v>3.269</v>
      </c>
      <c r="M3423" t="n">
        <v>0</v>
      </c>
      <c r="N3423" t="inlineStr">
        <is>
          <t>train</t>
        </is>
      </c>
      <c r="O3423">
        <f>HYPERLINK("3\1\marker_393_378406.png", "Ver Imagen")</f>
        <v/>
      </c>
      <c r="P3423">
        <f>HYPERLINK("SE\A-497\A-497__286.png", "Ver Imagen")</f>
        <v/>
      </c>
    </row>
    <row r="3424">
      <c r="A3424" t="n">
        <v>2952</v>
      </c>
      <c r="B3424" t="inlineStr">
        <is>
          <t>A-497__262</t>
        </is>
      </c>
      <c r="C3424" t="n">
        <v>37.2572420167</v>
      </c>
      <c r="D3424" t="n">
        <v>-7.01326543549</v>
      </c>
      <c r="E3424" t="n">
        <v>3</v>
      </c>
      <c r="F3424" t="n">
        <v>2</v>
      </c>
      <c r="G3424" t="n">
        <v>3</v>
      </c>
      <c r="J3424" t="inlineStr">
        <is>
          <t>Moda</t>
        </is>
      </c>
      <c r="K3424" t="n">
        <v>3</v>
      </c>
      <c r="L3424" t="n">
        <v>3.182</v>
      </c>
      <c r="M3424" t="n">
        <v>0</v>
      </c>
      <c r="N3424" t="inlineStr">
        <is>
          <t>train</t>
        </is>
      </c>
      <c r="O3424">
        <f>HYPERLINK("3\1\marker_234_378658.png", "Ver Imagen")</f>
        <v/>
      </c>
      <c r="P3424">
        <f>HYPERLINK("SE\A-497\A-497__262.png", "Ver Imagen")</f>
        <v/>
      </c>
    </row>
    <row r="3425">
      <c r="A3425" t="n">
        <v>2953</v>
      </c>
      <c r="B3425" t="inlineStr">
        <is>
          <t>A-497__246</t>
        </is>
      </c>
      <c r="C3425" t="n">
        <v>37.2601481533</v>
      </c>
      <c r="D3425" t="n">
        <v>-7.01141302045</v>
      </c>
      <c r="E3425" t="n">
        <v>3</v>
      </c>
      <c r="F3425" t="n">
        <v>2</v>
      </c>
      <c r="G3425" t="n">
        <v>3</v>
      </c>
      <c r="J3425" t="inlineStr">
        <is>
          <t>Moda</t>
        </is>
      </c>
      <c r="K3425" t="n">
        <v>3</v>
      </c>
      <c r="L3425" t="n">
        <v>3.326</v>
      </c>
      <c r="M3425" t="n">
        <v>0</v>
      </c>
      <c r="N3425" t="inlineStr">
        <is>
          <t>train</t>
        </is>
      </c>
      <c r="O3425">
        <f>HYPERLINK("3\1\marker_160_378821.png", "Ver Imagen")</f>
        <v/>
      </c>
      <c r="P3425">
        <f>HYPERLINK("SE\A-497\A-497__246.png", "Ver Imagen")</f>
        <v/>
      </c>
    </row>
    <row r="3426">
      <c r="A3426" t="n">
        <v>2954</v>
      </c>
      <c r="B3426" t="inlineStr">
        <is>
          <t>A-497__243</t>
        </is>
      </c>
      <c r="C3426" t="n">
        <v>37.2606563301</v>
      </c>
      <c r="D3426" t="n">
        <v>-7.01109060838</v>
      </c>
      <c r="E3426" t="n">
        <v>3</v>
      </c>
      <c r="F3426" t="n">
        <v>2</v>
      </c>
      <c r="G3426" t="n">
        <v>3</v>
      </c>
      <c r="J3426" t="inlineStr">
        <is>
          <t>Moda</t>
        </is>
      </c>
      <c r="K3426" t="n">
        <v>3</v>
      </c>
      <c r="L3426" t="n">
        <v>3</v>
      </c>
      <c r="M3426" t="n">
        <v>0</v>
      </c>
      <c r="N3426" t="inlineStr">
        <is>
          <t>train</t>
        </is>
      </c>
      <c r="O3426">
        <f>HYPERLINK("3\1\marker_791_378853.png", "Ver Imagen")</f>
        <v/>
      </c>
      <c r="P3426">
        <f>HYPERLINK("SE\A-497\A-497__243.png", "Ver Imagen")</f>
        <v/>
      </c>
    </row>
    <row r="3427">
      <c r="A3427" t="n">
        <v>2955</v>
      </c>
      <c r="B3427" t="inlineStr">
        <is>
          <t>A-497__239</t>
        </is>
      </c>
      <c r="C3427" t="n">
        <v>37.2613770237</v>
      </c>
      <c r="D3427" t="n">
        <v>-7.01060373421</v>
      </c>
      <c r="E3427" t="n">
        <v>3</v>
      </c>
      <c r="F3427" t="n">
        <v>3</v>
      </c>
      <c r="G3427" t="n">
        <v>4</v>
      </c>
      <c r="J3427" t="inlineStr">
        <is>
          <t>Moda</t>
        </is>
      </c>
      <c r="K3427" t="n">
        <v>3</v>
      </c>
      <c r="L3427" t="n">
        <v>3.097</v>
      </c>
      <c r="M3427" t="n">
        <v>0</v>
      </c>
      <c r="N3427" t="inlineStr">
        <is>
          <t>train</t>
        </is>
      </c>
      <c r="O3427">
        <f>HYPERLINK("3\1\marker_881_378927.png", "Ver Imagen")</f>
        <v/>
      </c>
      <c r="P3427">
        <f>HYPERLINK("SE\A-497\A-497__239.png", "Ver Imagen")</f>
        <v/>
      </c>
    </row>
    <row r="3428">
      <c r="A3428" t="n">
        <v>2956</v>
      </c>
      <c r="B3428" t="inlineStr">
        <is>
          <t>A-497__238</t>
        </is>
      </c>
      <c r="C3428" t="n">
        <v>37.2615433606</v>
      </c>
      <c r="D3428" t="n">
        <v>-7.01047195763</v>
      </c>
      <c r="E3428" t="n">
        <v>3</v>
      </c>
      <c r="F3428" t="n">
        <v>2</v>
      </c>
      <c r="G3428" t="n">
        <v>3</v>
      </c>
      <c r="J3428" t="inlineStr">
        <is>
          <t>Moda</t>
        </is>
      </c>
      <c r="K3428" t="n">
        <v>3</v>
      </c>
      <c r="L3428" t="n">
        <v>2.932</v>
      </c>
      <c r="M3428" t="n">
        <v>0</v>
      </c>
      <c r="N3428" t="inlineStr">
        <is>
          <t>train</t>
        </is>
      </c>
      <c r="O3428">
        <f>HYPERLINK("3\1\marker_674_378936.png", "Ver Imagen")</f>
        <v/>
      </c>
      <c r="P3428">
        <f>HYPERLINK("SE\A-497\A-497__238.png", "Ver Imagen")</f>
        <v/>
      </c>
    </row>
    <row r="3429">
      <c r="A3429" t="n">
        <v>2957</v>
      </c>
      <c r="B3429" t="inlineStr">
        <is>
          <t>A-497__221</t>
        </is>
      </c>
      <c r="C3429" t="n">
        <v>37.2634333954</v>
      </c>
      <c r="D3429" t="n">
        <v>-7.00702448752</v>
      </c>
      <c r="E3429" t="n">
        <v>3</v>
      </c>
      <c r="F3429" t="n">
        <v>2</v>
      </c>
      <c r="G3429" t="n">
        <v>3</v>
      </c>
      <c r="J3429" t="inlineStr">
        <is>
          <t>Moda</t>
        </is>
      </c>
      <c r="K3429" t="n">
        <v>3</v>
      </c>
      <c r="L3429" t="n">
        <v>3.082</v>
      </c>
      <c r="M3429" t="n">
        <v>0</v>
      </c>
      <c r="N3429" t="inlineStr">
        <is>
          <t>train</t>
        </is>
      </c>
      <c r="O3429">
        <f>HYPERLINK("3\1\marker_235_379131.png", "Ver Imagen")</f>
        <v/>
      </c>
      <c r="P3429">
        <f>HYPERLINK("SE\A-497\A-497__221.png", "Ver Imagen")</f>
        <v/>
      </c>
    </row>
    <row r="3430">
      <c r="A3430" t="n">
        <v>2958</v>
      </c>
      <c r="B3430" t="inlineStr">
        <is>
          <t>A-497__212</t>
        </is>
      </c>
      <c r="C3430" t="n">
        <v>37.263832135</v>
      </c>
      <c r="D3430" t="n">
        <v>-7.00480898228</v>
      </c>
      <c r="E3430" t="n">
        <v>3</v>
      </c>
      <c r="F3430" t="n">
        <v>2</v>
      </c>
      <c r="G3430" t="n">
        <v>3</v>
      </c>
      <c r="J3430" t="inlineStr">
        <is>
          <t>Moda</t>
        </is>
      </c>
      <c r="K3430" t="n">
        <v>3</v>
      </c>
      <c r="L3430" t="n">
        <v>2.759</v>
      </c>
      <c r="M3430" t="n">
        <v>0</v>
      </c>
      <c r="N3430" t="inlineStr">
        <is>
          <t>train</t>
        </is>
      </c>
      <c r="O3430">
        <f>HYPERLINK("3\1\marker_283_379237.png", "Ver Imagen")</f>
        <v/>
      </c>
      <c r="P3430">
        <f>HYPERLINK("SE\A-497\A-497__212.png", "Ver Imagen")</f>
        <v/>
      </c>
    </row>
    <row r="3431">
      <c r="A3431" t="n">
        <v>2959</v>
      </c>
      <c r="B3431" t="inlineStr">
        <is>
          <t>A-497__206</t>
        </is>
      </c>
      <c r="C3431" t="n">
        <v>37.2641042751</v>
      </c>
      <c r="D3431" t="n">
        <v>-7.00326792833</v>
      </c>
      <c r="E3431" t="n">
        <v>3</v>
      </c>
      <c r="F3431" t="n">
        <v>2</v>
      </c>
      <c r="G3431" t="n">
        <v>3</v>
      </c>
      <c r="J3431" t="inlineStr">
        <is>
          <t>Moda</t>
        </is>
      </c>
      <c r="K3431" t="n">
        <v>3</v>
      </c>
      <c r="L3431" t="n">
        <v>2.575</v>
      </c>
      <c r="M3431" t="n">
        <v>0</v>
      </c>
      <c r="N3431" t="inlineStr">
        <is>
          <t>val</t>
        </is>
      </c>
      <c r="O3431">
        <f>HYPERLINK("3\1\marker_850_379312.png", "Ver Imagen")</f>
        <v/>
      </c>
      <c r="P3431">
        <f>HYPERLINK("SE\A-497\A-497__206.png", "Ver Imagen")</f>
        <v/>
      </c>
    </row>
    <row r="3432">
      <c r="A3432" t="n">
        <v>2960</v>
      </c>
      <c r="B3432" t="inlineStr">
        <is>
          <t>A-497__204</t>
        </is>
      </c>
      <c r="C3432" t="n">
        <v>37.2641921283</v>
      </c>
      <c r="D3432" t="n">
        <v>-7.00276927126</v>
      </c>
      <c r="E3432" t="n">
        <v>3</v>
      </c>
      <c r="F3432" t="n">
        <v>4</v>
      </c>
      <c r="G3432" t="n">
        <v>3</v>
      </c>
      <c r="J3432" t="inlineStr">
        <is>
          <t>Moda</t>
        </is>
      </c>
      <c r="K3432" t="n">
        <v>3</v>
      </c>
      <c r="L3432" t="n">
        <v>3.05</v>
      </c>
      <c r="M3432" t="n">
        <v>0</v>
      </c>
      <c r="N3432" t="inlineStr">
        <is>
          <t>train</t>
        </is>
      </c>
      <c r="O3432">
        <f>HYPERLINK("3\1\marker_273_379334.png", "Ver Imagen")</f>
        <v/>
      </c>
      <c r="P3432">
        <f>HYPERLINK("SE\A-497\A-497__204.png", "Ver Imagen")</f>
        <v/>
      </c>
    </row>
    <row r="3433">
      <c r="A3433" t="n">
        <v>2961</v>
      </c>
      <c r="B3433" t="inlineStr">
        <is>
          <t>A-497__203</t>
        </is>
      </c>
      <c r="C3433" t="n">
        <v>37.2642370077</v>
      </c>
      <c r="D3433" t="n">
        <v>-7.00251642287</v>
      </c>
      <c r="E3433" t="n">
        <v>3</v>
      </c>
      <c r="F3433" t="n">
        <v>4</v>
      </c>
      <c r="G3433" t="n">
        <v>3</v>
      </c>
      <c r="J3433" t="inlineStr">
        <is>
          <t>Moda</t>
        </is>
      </c>
      <c r="K3433" t="n">
        <v>3</v>
      </c>
      <c r="L3433" t="n">
        <v>2.854</v>
      </c>
      <c r="M3433" t="n">
        <v>0</v>
      </c>
      <c r="N3433" t="inlineStr">
        <is>
          <t>train</t>
        </is>
      </c>
      <c r="O3433">
        <f>HYPERLINK("3\1\marker_173_379382.png", "Ver Imagen")</f>
        <v/>
      </c>
      <c r="P3433">
        <f>HYPERLINK("SE\A-497\A-497__203.png", "Ver Imagen")</f>
        <v/>
      </c>
    </row>
    <row r="3434">
      <c r="A3434" t="n">
        <v>2962</v>
      </c>
      <c r="B3434" t="inlineStr">
        <is>
          <t>A-497__198</t>
        </is>
      </c>
      <c r="C3434" t="n">
        <v>37.264445896</v>
      </c>
      <c r="D3434" t="n">
        <v>-7.00135096478</v>
      </c>
      <c r="E3434" t="n">
        <v>3</v>
      </c>
      <c r="F3434" t="n">
        <v>2</v>
      </c>
      <c r="G3434" t="n">
        <v>3</v>
      </c>
      <c r="J3434" t="inlineStr">
        <is>
          <t>Moda</t>
        </is>
      </c>
      <c r="K3434" t="n">
        <v>3</v>
      </c>
      <c r="L3434" t="n">
        <v>3.069</v>
      </c>
      <c r="M3434" t="n">
        <v>0</v>
      </c>
      <c r="N3434" t="inlineStr">
        <is>
          <t>train</t>
        </is>
      </c>
      <c r="O3434">
        <f>HYPERLINK("3\1\marker_105_379431.png", "Ver Imagen")</f>
        <v/>
      </c>
      <c r="P3434">
        <f>HYPERLINK("SE\A-497\A-497__198.png", "Ver Imagen")</f>
        <v/>
      </c>
    </row>
    <row r="3435">
      <c r="A3435" t="n">
        <v>2963</v>
      </c>
      <c r="B3435" t="inlineStr">
        <is>
          <t>A-497__197</t>
        </is>
      </c>
      <c r="C3435" t="n">
        <v>37.2644998468</v>
      </c>
      <c r="D3435" t="n">
        <v>-7.00105254903</v>
      </c>
      <c r="E3435" t="n">
        <v>3</v>
      </c>
      <c r="F3435" t="n">
        <v>2</v>
      </c>
      <c r="G3435" t="n">
        <v>3</v>
      </c>
      <c r="J3435" t="inlineStr">
        <is>
          <t>Moda</t>
        </is>
      </c>
      <c r="K3435" t="n">
        <v>3</v>
      </c>
      <c r="L3435" t="n">
        <v>3.196</v>
      </c>
      <c r="M3435" t="n">
        <v>0</v>
      </c>
      <c r="N3435" t="inlineStr">
        <is>
          <t>val</t>
        </is>
      </c>
      <c r="O3435">
        <f>HYPERLINK("3\1\marker_297_379439.png", "Ver Imagen")</f>
        <v/>
      </c>
      <c r="P3435">
        <f>HYPERLINK("SE\A-497\A-497__197.png", "Ver Imagen")</f>
        <v/>
      </c>
    </row>
    <row r="3436">
      <c r="A3436" t="n">
        <v>2964</v>
      </c>
      <c r="B3436" t="inlineStr">
        <is>
          <t>A-497__196</t>
        </is>
      </c>
      <c r="C3436" t="n">
        <v>37.2645474147</v>
      </c>
      <c r="D3436" t="n">
        <v>-7.00079030079</v>
      </c>
      <c r="E3436" t="n">
        <v>3</v>
      </c>
      <c r="F3436" t="n">
        <v>2</v>
      </c>
      <c r="G3436" t="n">
        <v>3</v>
      </c>
      <c r="J3436" t="inlineStr">
        <is>
          <t>Moda</t>
        </is>
      </c>
      <c r="K3436" t="n">
        <v>3</v>
      </c>
      <c r="L3436" t="n">
        <v>2.902</v>
      </c>
      <c r="M3436" t="n">
        <v>0</v>
      </c>
      <c r="N3436" t="inlineStr">
        <is>
          <t>val</t>
        </is>
      </c>
      <c r="O3436">
        <f>HYPERLINK("3\1\marker_478_379450.png", "Ver Imagen")</f>
        <v/>
      </c>
      <c r="P3436">
        <f>HYPERLINK("SE\A-497\A-497__196.png", "Ver Imagen")</f>
        <v/>
      </c>
    </row>
    <row r="3437">
      <c r="A3437" t="n">
        <v>2965</v>
      </c>
      <c r="B3437" t="inlineStr">
        <is>
          <t>A-497__195</t>
        </is>
      </c>
      <c r="C3437" t="n">
        <v>37.2645860874</v>
      </c>
      <c r="D3437" t="n">
        <v>-7.00057605687</v>
      </c>
      <c r="E3437" t="n">
        <v>3</v>
      </c>
      <c r="F3437" t="n">
        <v>2</v>
      </c>
      <c r="G3437" t="n">
        <v>3</v>
      </c>
      <c r="J3437" t="inlineStr">
        <is>
          <t>Moda</t>
        </is>
      </c>
      <c r="K3437" t="n">
        <v>3</v>
      </c>
      <c r="L3437" t="n">
        <v>3.045</v>
      </c>
      <c r="M3437" t="n">
        <v>0</v>
      </c>
      <c r="N3437" t="inlineStr">
        <is>
          <t>train</t>
        </is>
      </c>
      <c r="O3437">
        <f>HYPERLINK("3\1\marker_300_379460.png", "Ver Imagen")</f>
        <v/>
      </c>
      <c r="P3437">
        <f>HYPERLINK("SE\A-497\A-497__195.png", "Ver Imagen")</f>
        <v/>
      </c>
    </row>
    <row r="3438">
      <c r="A3438" t="n">
        <v>2966</v>
      </c>
      <c r="B3438" t="inlineStr">
        <is>
          <t>A-497__183</t>
        </is>
      </c>
      <c r="C3438" t="n">
        <v>37.2651108831</v>
      </c>
      <c r="D3438" t="n">
        <v>-6.99760247922</v>
      </c>
      <c r="E3438" t="n">
        <v>3</v>
      </c>
      <c r="F3438" t="n">
        <v>2</v>
      </c>
      <c r="G3438" t="n">
        <v>3</v>
      </c>
      <c r="J3438" t="inlineStr">
        <is>
          <t>Moda</t>
        </is>
      </c>
      <c r="K3438" t="n">
        <v>3</v>
      </c>
      <c r="L3438" t="n">
        <v>2.885</v>
      </c>
      <c r="M3438" t="n">
        <v>0</v>
      </c>
      <c r="N3438" t="inlineStr">
        <is>
          <t>train</t>
        </is>
      </c>
      <c r="O3438">
        <f>HYPERLINK("3\1\marker_169_379608.png", "Ver Imagen")</f>
        <v/>
      </c>
      <c r="P3438">
        <f>HYPERLINK("SE\A-497\A-497__183.png", "Ver Imagen")</f>
        <v/>
      </c>
    </row>
    <row r="3439">
      <c r="A3439" t="n">
        <v>2967</v>
      </c>
      <c r="B3439" t="inlineStr">
        <is>
          <t>A-497__170</t>
        </is>
      </c>
      <c r="C3439" t="n">
        <v>37.2656917236</v>
      </c>
      <c r="D3439" t="n">
        <v>-6.99438904611</v>
      </c>
      <c r="E3439" t="n">
        <v>3</v>
      </c>
      <c r="F3439" t="n">
        <v>4</v>
      </c>
      <c r="G3439" t="n">
        <v>3</v>
      </c>
      <c r="J3439" t="inlineStr">
        <is>
          <t>Moda</t>
        </is>
      </c>
      <c r="K3439" t="n">
        <v>3</v>
      </c>
      <c r="L3439" t="n">
        <v>2.892</v>
      </c>
      <c r="M3439" t="n">
        <v>0</v>
      </c>
      <c r="N3439" t="inlineStr">
        <is>
          <t>train</t>
        </is>
      </c>
      <c r="O3439">
        <f>HYPERLINK("3\1\marker_734_379858.png", "Ver Imagen")</f>
        <v/>
      </c>
      <c r="P3439">
        <f>HYPERLINK("SE\A-497\A-497__170.png", "Ver Imagen")</f>
        <v/>
      </c>
    </row>
    <row r="3440">
      <c r="A3440" t="n">
        <v>2968</v>
      </c>
      <c r="B3440" t="inlineStr">
        <is>
          <t>A-497__166</t>
        </is>
      </c>
      <c r="C3440" t="n">
        <v>37.2659737684</v>
      </c>
      <c r="D3440" t="n">
        <v>-6.99342076519</v>
      </c>
      <c r="E3440" t="n">
        <v>3</v>
      </c>
      <c r="F3440" t="n">
        <v>2</v>
      </c>
      <c r="G3440" t="n">
        <v>3</v>
      </c>
      <c r="J3440" t="inlineStr">
        <is>
          <t>Moda</t>
        </is>
      </c>
      <c r="K3440" t="n">
        <v>3</v>
      </c>
      <c r="L3440" t="n">
        <v>3.158</v>
      </c>
      <c r="M3440" t="n">
        <v>0</v>
      </c>
      <c r="N3440" t="inlineStr">
        <is>
          <t>train</t>
        </is>
      </c>
      <c r="O3440">
        <f>HYPERLINK("3\1\marker_158_380192.png", "Ver Imagen")</f>
        <v/>
      </c>
      <c r="P3440">
        <f>HYPERLINK("SE\A-497\A-497__166.png", "Ver Imagen")</f>
        <v/>
      </c>
    </row>
    <row r="3441">
      <c r="A3441" t="n">
        <v>2969</v>
      </c>
      <c r="B3441" t="inlineStr">
        <is>
          <t>A-497__161</t>
        </is>
      </c>
      <c r="C3441" t="n">
        <v>37.2665150524</v>
      </c>
      <c r="D3441" t="n">
        <v>-6.99233892827</v>
      </c>
      <c r="E3441" t="n">
        <v>3</v>
      </c>
      <c r="F3441" t="n">
        <v>2</v>
      </c>
      <c r="G3441" t="n">
        <v>3</v>
      </c>
      <c r="J3441" t="inlineStr">
        <is>
          <t>Moda</t>
        </is>
      </c>
      <c r="K3441" t="n">
        <v>3</v>
      </c>
      <c r="L3441" t="n">
        <v>3.035</v>
      </c>
      <c r="M3441" t="n">
        <v>0</v>
      </c>
      <c r="N3441" t="inlineStr">
        <is>
          <t>train</t>
        </is>
      </c>
      <c r="O3441">
        <f>HYPERLINK("3\1\marker_762_380243.png", "Ver Imagen")</f>
        <v/>
      </c>
      <c r="P3441">
        <f>HYPERLINK("SE\A-497\A-497__161.png", "Ver Imagen")</f>
        <v/>
      </c>
    </row>
    <row r="3442">
      <c r="A3442" t="n">
        <v>2970</v>
      </c>
      <c r="B3442" t="inlineStr">
        <is>
          <t>A-497__160</t>
        </is>
      </c>
      <c r="C3442" t="n">
        <v>37.2666456328</v>
      </c>
      <c r="D3442" t="n">
        <v>-6.99214865606</v>
      </c>
      <c r="E3442" t="n">
        <v>3</v>
      </c>
      <c r="F3442" t="n">
        <v>2</v>
      </c>
      <c r="G3442" t="n">
        <v>3</v>
      </c>
      <c r="J3442" t="inlineStr">
        <is>
          <t>Moda</t>
        </is>
      </c>
      <c r="K3442" t="n">
        <v>3</v>
      </c>
      <c r="L3442" t="n">
        <v>3.291</v>
      </c>
      <c r="M3442" t="n">
        <v>0</v>
      </c>
      <c r="N3442" t="inlineStr">
        <is>
          <t>train</t>
        </is>
      </c>
      <c r="O3442">
        <f>HYPERLINK("3\1\marker_301_380251.png", "Ver Imagen")</f>
        <v/>
      </c>
      <c r="P3442">
        <f>HYPERLINK("SE\A-497\A-497__160.png", "Ver Imagen")</f>
        <v/>
      </c>
    </row>
    <row r="3443">
      <c r="A3443" t="n">
        <v>2971</v>
      </c>
      <c r="B3443" t="inlineStr">
        <is>
          <t>A-497__155</t>
        </is>
      </c>
      <c r="C3443" t="n">
        <v>37.2673704472</v>
      </c>
      <c r="D3443" t="n">
        <v>-6.99135877023</v>
      </c>
      <c r="E3443" t="n">
        <v>3</v>
      </c>
      <c r="F3443" t="n">
        <v>2</v>
      </c>
      <c r="G3443" t="n">
        <v>3</v>
      </c>
      <c r="J3443" t="inlineStr">
        <is>
          <t>Moda</t>
        </is>
      </c>
      <c r="K3443" t="n">
        <v>3</v>
      </c>
      <c r="L3443" t="n">
        <v>2.968</v>
      </c>
      <c r="M3443" t="n">
        <v>0</v>
      </c>
      <c r="N3443" t="inlineStr">
        <is>
          <t>train</t>
        </is>
      </c>
      <c r="O3443">
        <f>HYPERLINK("3\1\marker_436_380296.png", "Ver Imagen")</f>
        <v/>
      </c>
      <c r="P3443">
        <f>HYPERLINK("SE\A-497\A-497__155.png", "Ver Imagen")</f>
        <v/>
      </c>
    </row>
    <row r="3444">
      <c r="A3444" t="n">
        <v>2972</v>
      </c>
      <c r="B3444" t="inlineStr">
        <is>
          <t>A-497__154</t>
        </is>
      </c>
      <c r="C3444" t="n">
        <v>37.267552246</v>
      </c>
      <c r="D3444" t="n">
        <v>-6.99121106513</v>
      </c>
      <c r="E3444" t="n">
        <v>3</v>
      </c>
      <c r="F3444" t="n">
        <v>2</v>
      </c>
      <c r="G3444" t="n">
        <v>3</v>
      </c>
      <c r="J3444" t="inlineStr">
        <is>
          <t>Moda</t>
        </is>
      </c>
      <c r="K3444" t="n">
        <v>3</v>
      </c>
      <c r="L3444" t="n">
        <v>3.194</v>
      </c>
      <c r="M3444" t="n">
        <v>0</v>
      </c>
      <c r="N3444" t="inlineStr">
        <is>
          <t>train</t>
        </is>
      </c>
      <c r="O3444">
        <f>HYPERLINK("3\1\marker_715_380305.png", "Ver Imagen")</f>
        <v/>
      </c>
      <c r="P3444">
        <f>HYPERLINK("SE\A-497\A-497__154.png", "Ver Imagen")</f>
        <v/>
      </c>
    </row>
    <row r="3445">
      <c r="A3445" t="n">
        <v>2973</v>
      </c>
      <c r="B3445" t="inlineStr">
        <is>
          <t>A-497__153</t>
        </is>
      </c>
      <c r="C3445" t="n">
        <v>37.2677345057</v>
      </c>
      <c r="D3445" t="n">
        <v>-6.99107279744</v>
      </c>
      <c r="E3445" t="n">
        <v>3</v>
      </c>
      <c r="F3445" t="n">
        <v>2</v>
      </c>
      <c r="G3445" t="n">
        <v>3</v>
      </c>
      <c r="J3445" t="inlineStr">
        <is>
          <t>Moda</t>
        </is>
      </c>
      <c r="K3445" t="n">
        <v>3</v>
      </c>
      <c r="L3445" t="n">
        <v>2.51</v>
      </c>
      <c r="M3445" t="n">
        <v>0</v>
      </c>
      <c r="N3445" t="inlineStr">
        <is>
          <t>val</t>
        </is>
      </c>
      <c r="O3445">
        <f>HYPERLINK("3\1\marker_636_380315.png", "Ver Imagen")</f>
        <v/>
      </c>
      <c r="P3445">
        <f>HYPERLINK("SE\A-497\A-497__153.png", "Ver Imagen")</f>
        <v/>
      </c>
    </row>
    <row r="3446">
      <c r="A3446" t="n">
        <v>2974</v>
      </c>
      <c r="B3446" t="inlineStr">
        <is>
          <t>A-497__148</t>
        </is>
      </c>
      <c r="C3446" t="n">
        <v>37.2686048115</v>
      </c>
      <c r="D3446" t="n">
        <v>-6.99044946838</v>
      </c>
      <c r="E3446" t="n">
        <v>3</v>
      </c>
      <c r="F3446" t="n">
        <v>2</v>
      </c>
      <c r="G3446" t="n">
        <v>3</v>
      </c>
      <c r="J3446" t="inlineStr">
        <is>
          <t>Moda</t>
        </is>
      </c>
      <c r="K3446" t="n">
        <v>3</v>
      </c>
      <c r="L3446" t="n">
        <v>2.832</v>
      </c>
      <c r="M3446" t="n">
        <v>0</v>
      </c>
      <c r="N3446" t="inlineStr">
        <is>
          <t>train</t>
        </is>
      </c>
      <c r="O3446">
        <f>HYPERLINK("3\1\marker_168_380366.png", "Ver Imagen")</f>
        <v/>
      </c>
      <c r="P3446">
        <f>HYPERLINK("SE\A-497\A-497__148.png", "Ver Imagen")</f>
        <v/>
      </c>
    </row>
    <row r="3447">
      <c r="A3447" t="n">
        <v>2975</v>
      </c>
      <c r="B3447" t="inlineStr">
        <is>
          <t>A-497__147</t>
        </is>
      </c>
      <c r="C3447" t="n">
        <v>37.2687768667</v>
      </c>
      <c r="D3447" t="n">
        <v>-6.99032780686</v>
      </c>
      <c r="E3447" t="n">
        <v>3</v>
      </c>
      <c r="F3447" t="n">
        <v>2</v>
      </c>
      <c r="G3447" t="n">
        <v>3</v>
      </c>
      <c r="J3447" t="inlineStr">
        <is>
          <t>Moda</t>
        </is>
      </c>
      <c r="K3447" t="n">
        <v>3</v>
      </c>
      <c r="L3447" t="n">
        <v>2.848</v>
      </c>
      <c r="M3447" t="n">
        <v>0</v>
      </c>
      <c r="N3447" t="inlineStr">
        <is>
          <t>train</t>
        </is>
      </c>
      <c r="O3447">
        <f>HYPERLINK("3\1\marker_124_380377.png", "Ver Imagen")</f>
        <v/>
      </c>
      <c r="P3447">
        <f>HYPERLINK("SE\A-497\A-497__147.png", "Ver Imagen")</f>
        <v/>
      </c>
    </row>
    <row r="3448">
      <c r="A3448" t="n">
        <v>2976</v>
      </c>
      <c r="B3448" t="inlineStr">
        <is>
          <t>A-497__146</t>
        </is>
      </c>
      <c r="C3448" t="n">
        <v>37.2689683678</v>
      </c>
      <c r="D3448" t="n">
        <v>-6.99019252133</v>
      </c>
      <c r="E3448" t="n">
        <v>3</v>
      </c>
      <c r="F3448" t="n">
        <v>2</v>
      </c>
      <c r="G3448" t="n">
        <v>3</v>
      </c>
      <c r="J3448" t="inlineStr">
        <is>
          <t>Moda</t>
        </is>
      </c>
      <c r="K3448" t="n">
        <v>3</v>
      </c>
      <c r="L3448" t="n">
        <v>2.792</v>
      </c>
      <c r="M3448" t="n">
        <v>0</v>
      </c>
      <c r="N3448" t="inlineStr">
        <is>
          <t>train</t>
        </is>
      </c>
      <c r="O3448">
        <f>HYPERLINK("3\1\marker_576_380386.png", "Ver Imagen")</f>
        <v/>
      </c>
      <c r="P3448">
        <f>HYPERLINK("SE\A-497\A-497__146.png", "Ver Imagen")</f>
        <v/>
      </c>
    </row>
    <row r="3449">
      <c r="A3449" t="n">
        <v>2977</v>
      </c>
      <c r="B3449" t="inlineStr">
        <is>
          <t>A-497__145</t>
        </is>
      </c>
      <c r="C3449" t="n">
        <v>37.2691236479</v>
      </c>
      <c r="D3449" t="n">
        <v>-6.99008321512</v>
      </c>
      <c r="E3449" t="n">
        <v>3</v>
      </c>
      <c r="F3449" t="n">
        <v>2</v>
      </c>
      <c r="G3449" t="n">
        <v>3</v>
      </c>
      <c r="J3449" t="inlineStr">
        <is>
          <t>Moda</t>
        </is>
      </c>
      <c r="K3449" t="n">
        <v>3</v>
      </c>
      <c r="L3449" t="n">
        <v>3.037</v>
      </c>
      <c r="M3449" t="n">
        <v>0</v>
      </c>
      <c r="N3449" t="inlineStr">
        <is>
          <t>train</t>
        </is>
      </c>
      <c r="O3449">
        <f>HYPERLINK("3\1\marker_509_380394.png", "Ver Imagen")</f>
        <v/>
      </c>
      <c r="P3449">
        <f>HYPERLINK("SE\A-497\A-497__145.png", "Ver Imagen")</f>
        <v/>
      </c>
    </row>
    <row r="3450">
      <c r="A3450" t="n">
        <v>2978</v>
      </c>
      <c r="B3450" t="inlineStr">
        <is>
          <t>A-497__144</t>
        </is>
      </c>
      <c r="C3450" t="n">
        <v>37.2693102269</v>
      </c>
      <c r="D3450" t="n">
        <v>-6.98995241159</v>
      </c>
      <c r="E3450" t="n">
        <v>3</v>
      </c>
      <c r="F3450" t="n">
        <v>2</v>
      </c>
      <c r="G3450" t="n">
        <v>3</v>
      </c>
      <c r="J3450" t="inlineStr">
        <is>
          <t>Moda</t>
        </is>
      </c>
      <c r="K3450" t="n">
        <v>3</v>
      </c>
      <c r="L3450" t="n">
        <v>2.898</v>
      </c>
      <c r="M3450" t="n">
        <v>0</v>
      </c>
      <c r="N3450" t="inlineStr">
        <is>
          <t>train</t>
        </is>
      </c>
      <c r="O3450">
        <f>HYPERLINK("3\1\marker_670_380403.png", "Ver Imagen")</f>
        <v/>
      </c>
      <c r="P3450">
        <f>HYPERLINK("SE\A-497\A-497__144.png", "Ver Imagen")</f>
        <v/>
      </c>
    </row>
    <row r="3451">
      <c r="A3451" t="n">
        <v>2979</v>
      </c>
      <c r="B3451" t="inlineStr">
        <is>
          <t>A-497__143</t>
        </is>
      </c>
      <c r="C3451" t="n">
        <v>37.2694828156</v>
      </c>
      <c r="D3451" t="n">
        <v>-6.9898315469</v>
      </c>
      <c r="E3451" t="n">
        <v>3</v>
      </c>
      <c r="F3451" t="n">
        <v>2</v>
      </c>
      <c r="G3451" t="n">
        <v>3</v>
      </c>
      <c r="J3451" t="inlineStr">
        <is>
          <t>Moda</t>
        </is>
      </c>
      <c r="K3451" t="n">
        <v>3</v>
      </c>
      <c r="L3451" t="n">
        <v>2.757</v>
      </c>
      <c r="M3451" t="n">
        <v>0</v>
      </c>
      <c r="N3451" t="inlineStr">
        <is>
          <t>train</t>
        </is>
      </c>
      <c r="O3451">
        <f>HYPERLINK("3\1\marker_330_380415.png", "Ver Imagen")</f>
        <v/>
      </c>
      <c r="P3451">
        <f>HYPERLINK("SE\A-497\A-497__143.png", "Ver Imagen")</f>
        <v/>
      </c>
    </row>
    <row r="3452">
      <c r="A3452" t="n">
        <v>2980</v>
      </c>
      <c r="B3452" t="inlineStr">
        <is>
          <t>A-497__142</t>
        </is>
      </c>
      <c r="C3452" t="n">
        <v>37.2696675016</v>
      </c>
      <c r="D3452" t="n">
        <v>-6.98970239456</v>
      </c>
      <c r="E3452" t="n">
        <v>3</v>
      </c>
      <c r="F3452" t="n">
        <v>2</v>
      </c>
      <c r="G3452" t="n">
        <v>3</v>
      </c>
      <c r="J3452" t="inlineStr">
        <is>
          <t>Moda</t>
        </is>
      </c>
      <c r="K3452" t="n">
        <v>3</v>
      </c>
      <c r="L3452" t="n">
        <v>3.171</v>
      </c>
      <c r="M3452" t="n">
        <v>0</v>
      </c>
      <c r="N3452" t="inlineStr">
        <is>
          <t>train</t>
        </is>
      </c>
      <c r="O3452">
        <f>HYPERLINK("3\1\marker_543_380423.png", "Ver Imagen")</f>
        <v/>
      </c>
      <c r="P3452">
        <f>HYPERLINK("SE\A-497\A-497__142.png", "Ver Imagen")</f>
        <v/>
      </c>
    </row>
    <row r="3453">
      <c r="A3453" t="n">
        <v>2981</v>
      </c>
      <c r="B3453" t="inlineStr">
        <is>
          <t>A-497__141</t>
        </is>
      </c>
      <c r="C3453" t="n">
        <v>37.2698411786</v>
      </c>
      <c r="D3453" t="n">
        <v>-6.98958186451</v>
      </c>
      <c r="E3453" t="n">
        <v>3</v>
      </c>
      <c r="F3453" t="n">
        <v>2</v>
      </c>
      <c r="G3453" t="n">
        <v>3</v>
      </c>
      <c r="J3453" t="inlineStr">
        <is>
          <t>Moda</t>
        </is>
      </c>
      <c r="K3453" t="n">
        <v>3</v>
      </c>
      <c r="L3453" t="n">
        <v>2.921</v>
      </c>
      <c r="M3453" t="n">
        <v>0</v>
      </c>
      <c r="N3453" t="inlineStr">
        <is>
          <t>train</t>
        </is>
      </c>
      <c r="O3453">
        <f>HYPERLINK("3\1\marker_309_380433.png", "Ver Imagen")</f>
        <v/>
      </c>
      <c r="P3453">
        <f>HYPERLINK("SE\A-497\A-497__141.png", "Ver Imagen")</f>
        <v/>
      </c>
    </row>
    <row r="3454">
      <c r="A3454" t="n">
        <v>2982</v>
      </c>
      <c r="B3454" t="inlineStr">
        <is>
          <t>A-497__109</t>
        </is>
      </c>
      <c r="C3454" t="n">
        <v>37.2709370603</v>
      </c>
      <c r="D3454" t="n">
        <v>-6.98273591689</v>
      </c>
      <c r="E3454" t="n">
        <v>3</v>
      </c>
      <c r="F3454" t="n">
        <v>3</v>
      </c>
      <c r="G3454" t="n">
        <v>4</v>
      </c>
      <c r="J3454" t="inlineStr">
        <is>
          <t>Moda</t>
        </is>
      </c>
      <c r="K3454" t="n">
        <v>3</v>
      </c>
      <c r="L3454" t="n">
        <v>2.965</v>
      </c>
      <c r="M3454" t="n">
        <v>0</v>
      </c>
      <c r="N3454" t="inlineStr">
        <is>
          <t>train</t>
        </is>
      </c>
      <c r="O3454">
        <f>HYPERLINK("3\1\marker_442_380736.png", "Ver Imagen")</f>
        <v/>
      </c>
      <c r="P3454">
        <f>HYPERLINK("SE\A-497\A-497__109.png", "Ver Imagen")</f>
        <v/>
      </c>
    </row>
    <row r="3455">
      <c r="A3455" t="n">
        <v>2983</v>
      </c>
      <c r="B3455" t="inlineStr">
        <is>
          <t>A-497__106</t>
        </is>
      </c>
      <c r="C3455" t="n">
        <v>37.2707172783</v>
      </c>
      <c r="D3455" t="n">
        <v>-6.98195847141</v>
      </c>
      <c r="E3455" t="n">
        <v>3</v>
      </c>
      <c r="F3455" t="n">
        <v>3</v>
      </c>
      <c r="G3455" t="n">
        <v>4</v>
      </c>
      <c r="J3455" t="inlineStr">
        <is>
          <t>Moda</t>
        </is>
      </c>
      <c r="K3455" t="n">
        <v>3</v>
      </c>
      <c r="L3455" t="n">
        <v>2.847</v>
      </c>
      <c r="M3455" t="n">
        <v>0</v>
      </c>
      <c r="N3455" t="inlineStr">
        <is>
          <t>test</t>
        </is>
      </c>
      <c r="O3455">
        <f>HYPERLINK("3\1\marker_834_380767.png", "Ver Imagen")</f>
        <v/>
      </c>
      <c r="P3455">
        <f>HYPERLINK("SE\A-497\A-497__106.png", "Ver Imagen")</f>
        <v/>
      </c>
    </row>
    <row r="3456">
      <c r="A3456" t="n">
        <v>2984</v>
      </c>
      <c r="B3456" t="inlineStr">
        <is>
          <t>A-497__105</t>
        </is>
      </c>
      <c r="C3456" t="n">
        <v>37.2706603106</v>
      </c>
      <c r="D3456" t="n">
        <v>-6.98175568225</v>
      </c>
      <c r="E3456" t="n">
        <v>3</v>
      </c>
      <c r="F3456" t="n">
        <v>3</v>
      </c>
      <c r="G3456" t="n">
        <v>4</v>
      </c>
      <c r="J3456" t="inlineStr">
        <is>
          <t>Moda</t>
        </is>
      </c>
      <c r="K3456" t="n">
        <v>3</v>
      </c>
      <c r="L3456" t="n">
        <v>3.216</v>
      </c>
      <c r="M3456" t="n">
        <v>0</v>
      </c>
      <c r="N3456" t="inlineStr">
        <is>
          <t>val</t>
        </is>
      </c>
      <c r="O3456">
        <f>HYPERLINK("3\1\marker_478_380776.png", "Ver Imagen")</f>
        <v/>
      </c>
      <c r="P3456">
        <f>HYPERLINK("SE\A-497\A-497__105.png", "Ver Imagen")</f>
        <v/>
      </c>
    </row>
    <row r="3457">
      <c r="A3457" t="n">
        <v>2985</v>
      </c>
      <c r="B3457" t="inlineStr">
        <is>
          <t>A-497__104</t>
        </is>
      </c>
      <c r="C3457" t="n">
        <v>37.2706000493</v>
      </c>
      <c r="D3457" t="n">
        <v>-6.98154688939</v>
      </c>
      <c r="E3457" t="n">
        <v>4</v>
      </c>
      <c r="F3457" t="n">
        <v>3</v>
      </c>
      <c r="G3457" t="n">
        <v>3</v>
      </c>
      <c r="J3457" t="inlineStr">
        <is>
          <t>Moda</t>
        </is>
      </c>
      <c r="K3457" t="n">
        <v>3</v>
      </c>
      <c r="L3457" t="n">
        <v>3.181</v>
      </c>
      <c r="M3457" t="n">
        <v>0</v>
      </c>
      <c r="N3457" t="inlineStr">
        <is>
          <t>val</t>
        </is>
      </c>
      <c r="O3457">
        <f>HYPERLINK("3\1\marker_830_380787.png", "Ver Imagen")</f>
        <v/>
      </c>
      <c r="P3457">
        <f>HYPERLINK("SE\A-497\A-497__104.png", "Ver Imagen")</f>
        <v/>
      </c>
    </row>
    <row r="3458">
      <c r="A3458" t="n">
        <v>2986</v>
      </c>
      <c r="B3458" t="inlineStr">
        <is>
          <t>A-497__100</t>
        </is>
      </c>
      <c r="C3458" t="n">
        <v>37.2703215931</v>
      </c>
      <c r="D3458" t="n">
        <v>-6.98059382456</v>
      </c>
      <c r="E3458" t="n">
        <v>3</v>
      </c>
      <c r="F3458" t="n">
        <v>4</v>
      </c>
      <c r="G3458" t="n">
        <v>3</v>
      </c>
      <c r="J3458" t="inlineStr">
        <is>
          <t>Moda</t>
        </is>
      </c>
      <c r="K3458" t="n">
        <v>3</v>
      </c>
      <c r="L3458" t="n">
        <v>2.985</v>
      </c>
      <c r="M3458" t="n">
        <v>0</v>
      </c>
      <c r="N3458" t="inlineStr">
        <is>
          <t>train</t>
        </is>
      </c>
      <c r="O3458">
        <f>HYPERLINK("3\1\marker_782_380837.png", "Ver Imagen")</f>
        <v/>
      </c>
      <c r="P3458">
        <f>HYPERLINK("SE\A-497\A-497__100.png", "Ver Imagen")</f>
        <v/>
      </c>
    </row>
    <row r="3459">
      <c r="A3459" t="n">
        <v>2987</v>
      </c>
      <c r="B3459" t="inlineStr">
        <is>
          <t>A-497__96</t>
        </is>
      </c>
      <c r="C3459" t="n">
        <v>37.2700489297</v>
      </c>
      <c r="D3459" t="n">
        <v>-6.97963456028</v>
      </c>
      <c r="E3459" t="n">
        <v>3</v>
      </c>
      <c r="F3459" t="n">
        <v>4</v>
      </c>
      <c r="G3459" t="n">
        <v>3</v>
      </c>
      <c r="J3459" t="inlineStr">
        <is>
          <t>Moda</t>
        </is>
      </c>
      <c r="K3459" t="n">
        <v>3</v>
      </c>
      <c r="L3459" t="n">
        <v>2.824</v>
      </c>
      <c r="M3459" t="n">
        <v>0</v>
      </c>
      <c r="N3459" t="inlineStr">
        <is>
          <t>train</t>
        </is>
      </c>
      <c r="O3459">
        <f>HYPERLINK("3\1\marker_323_380879.png", "Ver Imagen")</f>
        <v/>
      </c>
      <c r="P3459">
        <f>HYPERLINK("SE\A-497\A-497__96.png", "Ver Imagen")</f>
        <v/>
      </c>
    </row>
    <row r="3460">
      <c r="A3460" t="n">
        <v>2988</v>
      </c>
      <c r="B3460" t="inlineStr">
        <is>
          <t>A-497__93</t>
        </is>
      </c>
      <c r="C3460" t="n">
        <v>37.2698411741</v>
      </c>
      <c r="D3460" t="n">
        <v>-6.97890979886</v>
      </c>
      <c r="E3460" t="n">
        <v>4</v>
      </c>
      <c r="F3460" t="n">
        <v>3</v>
      </c>
      <c r="G3460" t="n">
        <v>3</v>
      </c>
      <c r="J3460" t="inlineStr">
        <is>
          <t>Moda</t>
        </is>
      </c>
      <c r="K3460" t="n">
        <v>3</v>
      </c>
      <c r="L3460" t="n">
        <v>2.853</v>
      </c>
      <c r="M3460" t="n">
        <v>0</v>
      </c>
      <c r="N3460" t="inlineStr">
        <is>
          <t>train</t>
        </is>
      </c>
      <c r="O3460">
        <f>HYPERLINK("3\1\marker_847_380906.png", "Ver Imagen")</f>
        <v/>
      </c>
      <c r="P3460">
        <f>HYPERLINK("SE\A-497\A-497__93.png", "Ver Imagen")</f>
        <v/>
      </c>
    </row>
    <row r="3461">
      <c r="A3461" t="n">
        <v>2990</v>
      </c>
      <c r="B3461" t="inlineStr">
        <is>
          <t>A-490__250</t>
        </is>
      </c>
      <c r="C3461" t="n">
        <v>37.465830469</v>
      </c>
      <c r="D3461" t="n">
        <v>-7.18186305252</v>
      </c>
      <c r="E3461" t="n">
        <v>3</v>
      </c>
      <c r="F3461" t="n">
        <v>3</v>
      </c>
      <c r="G3461" t="n">
        <v>4</v>
      </c>
      <c r="J3461" t="inlineStr">
        <is>
          <t>Moda</t>
        </is>
      </c>
      <c r="K3461" t="n">
        <v>3</v>
      </c>
      <c r="L3461" t="n">
        <v>2.954</v>
      </c>
      <c r="M3461" t="n">
        <v>0</v>
      </c>
      <c r="N3461" t="inlineStr">
        <is>
          <t>train</t>
        </is>
      </c>
      <c r="O3461">
        <f>HYPERLINK("3\1\marker_912_749496.png", "Ver Imagen")</f>
        <v/>
      </c>
      <c r="P3461">
        <f>HYPERLINK("NE\A-490\A-490__250.png", "Ver Imagen")</f>
        <v/>
      </c>
    </row>
    <row r="3462">
      <c r="A3462" t="n">
        <v>2991</v>
      </c>
      <c r="B3462" t="inlineStr">
        <is>
          <t>A-490__257</t>
        </is>
      </c>
      <c r="C3462" t="n">
        <v>37.46664716</v>
      </c>
      <c r="D3462" t="n">
        <v>-7.1833862573</v>
      </c>
      <c r="E3462" t="n">
        <v>3</v>
      </c>
      <c r="F3462" t="n">
        <v>3</v>
      </c>
      <c r="G3462" t="n">
        <v>4</v>
      </c>
      <c r="J3462" t="inlineStr">
        <is>
          <t>Moda</t>
        </is>
      </c>
      <c r="K3462" t="n">
        <v>3</v>
      </c>
      <c r="L3462" t="n">
        <v>3.289</v>
      </c>
      <c r="M3462" t="n">
        <v>0</v>
      </c>
      <c r="N3462" t="inlineStr">
        <is>
          <t>val</t>
        </is>
      </c>
      <c r="O3462">
        <f>HYPERLINK("3\1\marker_609_749644.png", "Ver Imagen")</f>
        <v/>
      </c>
      <c r="P3462">
        <f>HYPERLINK("NO\A-490\A-490__257.png", "Ver Imagen")</f>
        <v/>
      </c>
    </row>
    <row r="3463">
      <c r="A3463" t="n">
        <v>2994</v>
      </c>
      <c r="B3463" t="inlineStr">
        <is>
          <t>A-492__19</t>
        </is>
      </c>
      <c r="C3463" t="n">
        <v>37.2751812829</v>
      </c>
      <c r="D3463" t="n">
        <v>-6.99117240577</v>
      </c>
      <c r="E3463" t="n">
        <v>3</v>
      </c>
      <c r="F3463" t="n">
        <v>3</v>
      </c>
      <c r="G3463" t="n">
        <v>4</v>
      </c>
      <c r="J3463" t="inlineStr">
        <is>
          <t>Moda</t>
        </is>
      </c>
      <c r="K3463" t="n">
        <v>3</v>
      </c>
      <c r="L3463" t="n">
        <v>3.287</v>
      </c>
      <c r="M3463" t="n">
        <v>0</v>
      </c>
      <c r="N3463" t="inlineStr">
        <is>
          <t>train</t>
        </is>
      </c>
      <c r="O3463">
        <f>HYPERLINK("3\1\marker_293_822009.png", "Ver Imagen")</f>
        <v/>
      </c>
      <c r="P3463">
        <f>HYPERLINK("SE\A-492\A-492__19.png", "Ver Imagen")</f>
        <v/>
      </c>
    </row>
    <row r="3464">
      <c r="A3464" t="n">
        <v>2996</v>
      </c>
      <c r="B3464" t="inlineStr">
        <is>
          <t>A-492__65</t>
        </is>
      </c>
      <c r="C3464" t="n">
        <v>37.2800368387</v>
      </c>
      <c r="D3464" t="n">
        <v>-6.99925722577</v>
      </c>
      <c r="E3464" t="n">
        <v>4</v>
      </c>
      <c r="F3464" t="n">
        <v>3</v>
      </c>
      <c r="G3464" t="n">
        <v>3</v>
      </c>
      <c r="J3464" t="inlineStr">
        <is>
          <t>Moda</t>
        </is>
      </c>
      <c r="K3464" t="n">
        <v>3</v>
      </c>
      <c r="L3464" t="n">
        <v>3.307</v>
      </c>
      <c r="M3464" t="n">
        <v>0</v>
      </c>
      <c r="N3464" t="inlineStr">
        <is>
          <t>train</t>
        </is>
      </c>
      <c r="O3464">
        <f>HYPERLINK("3\1\marker_197_823203.png", "Ver Imagen")</f>
        <v/>
      </c>
      <c r="P3464">
        <f>HYPERLINK("SE\A-492\A-492__65.png", "Ver Imagen")</f>
        <v/>
      </c>
    </row>
    <row r="3465">
      <c r="A3465" t="n">
        <v>2999</v>
      </c>
      <c r="B3465" t="inlineStr">
        <is>
          <t>A-492__76</t>
        </is>
      </c>
      <c r="C3465" t="n">
        <v>37.2804681274</v>
      </c>
      <c r="D3465" t="n">
        <v>-7.00149102567</v>
      </c>
      <c r="E3465" t="n">
        <v>3</v>
      </c>
      <c r="F3465" t="n">
        <v>3</v>
      </c>
      <c r="G3465" t="n">
        <v>4</v>
      </c>
      <c r="J3465" t="inlineStr">
        <is>
          <t>Moda</t>
        </is>
      </c>
      <c r="K3465" t="n">
        <v>3</v>
      </c>
      <c r="L3465" t="n">
        <v>2.635</v>
      </c>
      <c r="M3465" t="n">
        <v>0</v>
      </c>
      <c r="N3465" t="inlineStr">
        <is>
          <t>train</t>
        </is>
      </c>
      <c r="O3465">
        <f>HYPERLINK("3\1\marker_768_823421.png", "Ver Imagen")</f>
        <v/>
      </c>
      <c r="P3465">
        <f>HYPERLINK("SE\A-492\A-492__76.png", "Ver Imagen")</f>
        <v/>
      </c>
    </row>
    <row r="3466">
      <c r="A3466" t="n">
        <v>3000</v>
      </c>
      <c r="B3466" t="inlineStr">
        <is>
          <t>A-492__91</t>
        </is>
      </c>
      <c r="C3466" t="n">
        <v>37.2803205102</v>
      </c>
      <c r="D3466" t="n">
        <v>-7.00518932259</v>
      </c>
      <c r="E3466" t="n">
        <v>3</v>
      </c>
      <c r="F3466" t="n">
        <v>3</v>
      </c>
      <c r="G3466" t="n">
        <v>4</v>
      </c>
      <c r="J3466" t="inlineStr">
        <is>
          <t>Moda</t>
        </is>
      </c>
      <c r="K3466" t="n">
        <v>3</v>
      </c>
      <c r="L3466" t="n">
        <v>2.647</v>
      </c>
      <c r="M3466" t="n">
        <v>0</v>
      </c>
      <c r="N3466" t="inlineStr">
        <is>
          <t>train</t>
        </is>
      </c>
      <c r="O3466">
        <f>HYPERLINK("3\1\marker_725_823631.png", "Ver Imagen")</f>
        <v/>
      </c>
      <c r="P3466">
        <f>HYPERLINK("SE\A-492\A-492__91.png", "Ver Imagen")</f>
        <v/>
      </c>
    </row>
    <row r="3467">
      <c r="A3467" t="n">
        <v>3001</v>
      </c>
      <c r="B3467" t="inlineStr">
        <is>
          <t>A-492__251</t>
        </is>
      </c>
      <c r="C3467" t="n">
        <v>37.2845884335</v>
      </c>
      <c r="D3467" t="n">
        <v>-7.03904570211</v>
      </c>
      <c r="E3467" t="n">
        <v>3</v>
      </c>
      <c r="F3467" t="n">
        <v>3</v>
      </c>
      <c r="G3467" t="n">
        <v>4</v>
      </c>
      <c r="J3467" t="inlineStr">
        <is>
          <t>Moda</t>
        </is>
      </c>
      <c r="K3467" t="n">
        <v>3</v>
      </c>
      <c r="L3467" t="n">
        <v>3.144</v>
      </c>
      <c r="M3467" t="n">
        <v>0</v>
      </c>
      <c r="N3467" t="inlineStr">
        <is>
          <t>train</t>
        </is>
      </c>
      <c r="O3467">
        <f>HYPERLINK("3\1\marker_209_836109.png", "Ver Imagen")</f>
        <v/>
      </c>
      <c r="P3467">
        <f>HYPERLINK("SE\A-492\A-492__251.png", "Ver Imagen")</f>
        <v/>
      </c>
    </row>
    <row r="3468">
      <c r="A3468" t="n">
        <v>3002</v>
      </c>
      <c r="B3468" t="inlineStr">
        <is>
          <t>A-492__252</t>
        </is>
      </c>
      <c r="C3468" t="n">
        <v>37.284658891</v>
      </c>
      <c r="D3468" t="n">
        <v>-7.03929553637</v>
      </c>
      <c r="E3468" t="n">
        <v>3</v>
      </c>
      <c r="F3468" t="n">
        <v>3</v>
      </c>
      <c r="G3468" t="n">
        <v>4</v>
      </c>
      <c r="J3468" t="inlineStr">
        <is>
          <t>Moda</t>
        </is>
      </c>
      <c r="K3468" t="n">
        <v>3</v>
      </c>
      <c r="L3468" t="n">
        <v>2.898</v>
      </c>
      <c r="M3468" t="n">
        <v>0</v>
      </c>
      <c r="N3468" t="inlineStr">
        <is>
          <t>train</t>
        </is>
      </c>
      <c r="O3468">
        <f>HYPERLINK("3\1\marker_856_836119.png", "Ver Imagen")</f>
        <v/>
      </c>
      <c r="P3468">
        <f>HYPERLINK("SE\A-492\A-492__252.png", "Ver Imagen")</f>
        <v/>
      </c>
    </row>
    <row r="3469">
      <c r="A3469" t="n">
        <v>3003</v>
      </c>
      <c r="B3469" t="inlineStr">
        <is>
          <t>A-492__320</t>
        </is>
      </c>
      <c r="C3469" t="n">
        <v>37.295362399</v>
      </c>
      <c r="D3469" t="n">
        <v>-7.04906448567</v>
      </c>
      <c r="E3469" t="n">
        <v>3</v>
      </c>
      <c r="F3469" t="n">
        <v>3</v>
      </c>
      <c r="G3469" t="n">
        <v>4</v>
      </c>
      <c r="J3469" t="inlineStr">
        <is>
          <t>Moda</t>
        </is>
      </c>
      <c r="K3469" t="n">
        <v>3</v>
      </c>
      <c r="L3469" t="n">
        <v>2.827</v>
      </c>
      <c r="M3469" t="n">
        <v>0</v>
      </c>
      <c r="N3469" t="inlineStr">
        <is>
          <t>train</t>
        </is>
      </c>
      <c r="O3469">
        <f>HYPERLINK("3\1\marker_631_837946.png", "Ver Imagen")</f>
        <v/>
      </c>
      <c r="P3469">
        <f>HYPERLINK("SE\A-492\A-492__320.png", "Ver Imagen")</f>
        <v/>
      </c>
    </row>
    <row r="3470">
      <c r="A3470" t="n">
        <v>3004</v>
      </c>
      <c r="B3470" t="inlineStr">
        <is>
          <t>A-492__478</t>
        </is>
      </c>
      <c r="C3470" t="n">
        <v>37.3189555422</v>
      </c>
      <c r="D3470" t="n">
        <v>-7.07142353019</v>
      </c>
      <c r="E3470" t="n">
        <v>3</v>
      </c>
      <c r="F3470" t="n">
        <v>3</v>
      </c>
      <c r="G3470" t="n">
        <v>4</v>
      </c>
      <c r="J3470" t="inlineStr">
        <is>
          <t>Moda</t>
        </is>
      </c>
      <c r="K3470" t="n">
        <v>3</v>
      </c>
      <c r="L3470" t="n">
        <v>2.806</v>
      </c>
      <c r="M3470" t="n">
        <v>0</v>
      </c>
      <c r="N3470" t="inlineStr">
        <is>
          <t>train</t>
        </is>
      </c>
      <c r="O3470">
        <f>HYPERLINK("3\1\marker_288_840134.png", "Ver Imagen")</f>
        <v/>
      </c>
      <c r="P3470">
        <f>HYPERLINK("SE\A-492\A-492__478.png", "Ver Imagen")</f>
        <v/>
      </c>
    </row>
    <row r="3471">
      <c r="A3471" t="n">
        <v>3005</v>
      </c>
      <c r="B3471" t="inlineStr">
        <is>
          <t>A-492__479</t>
        </is>
      </c>
      <c r="C3471" t="n">
        <v>37.3191376902</v>
      </c>
      <c r="D3471" t="n">
        <v>-7.07145640033</v>
      </c>
      <c r="E3471" t="n">
        <v>3</v>
      </c>
      <c r="F3471" t="n">
        <v>3</v>
      </c>
      <c r="G3471" t="n">
        <v>4</v>
      </c>
      <c r="J3471" t="inlineStr">
        <is>
          <t>Moda</t>
        </is>
      </c>
      <c r="K3471" t="n">
        <v>3</v>
      </c>
      <c r="L3471" t="n">
        <v>2.552</v>
      </c>
      <c r="M3471" t="n">
        <v>0</v>
      </c>
      <c r="N3471" t="inlineStr">
        <is>
          <t>train</t>
        </is>
      </c>
      <c r="O3471">
        <f>HYPERLINK("3\1\marker_984_840144.png", "Ver Imagen")</f>
        <v/>
      </c>
      <c r="P3471">
        <f>HYPERLINK("SE\A-492\A-492__479.png", "Ver Imagen")</f>
        <v/>
      </c>
    </row>
    <row r="3472">
      <c r="A3472" t="n">
        <v>3006</v>
      </c>
      <c r="B3472" t="inlineStr">
        <is>
          <t>A-495R__47</t>
        </is>
      </c>
      <c r="C3472" t="n">
        <v>37.4537077677</v>
      </c>
      <c r="D3472" t="n">
        <v>-7.11244724332</v>
      </c>
      <c r="E3472" t="n">
        <v>4</v>
      </c>
      <c r="F3472" t="n">
        <v>3</v>
      </c>
      <c r="G3472" t="n">
        <v>3</v>
      </c>
      <c r="J3472" t="inlineStr">
        <is>
          <t>Moda</t>
        </is>
      </c>
      <c r="K3472" t="n">
        <v>3</v>
      </c>
      <c r="L3472" t="n">
        <v>3.203</v>
      </c>
      <c r="M3472" t="n">
        <v>0</v>
      </c>
      <c r="N3472" t="inlineStr">
        <is>
          <t>train</t>
        </is>
      </c>
      <c r="O3472">
        <f>HYPERLINK("3\1\marker_873_935694.png", "Ver Imagen")</f>
        <v/>
      </c>
      <c r="P3472">
        <f>HYPERLINK("NE\A-495R\A-495R__47.png", "Ver Imagen")</f>
        <v/>
      </c>
    </row>
    <row r="3473">
      <c r="A3473" t="n">
        <v>3007</v>
      </c>
      <c r="B3473" t="inlineStr">
        <is>
          <t>A-495R__9</t>
        </is>
      </c>
      <c r="C3473" t="n">
        <v>37.4469678945</v>
      </c>
      <c r="D3473" t="n">
        <v>-7.10817475151</v>
      </c>
      <c r="E3473" t="n">
        <v>3</v>
      </c>
      <c r="F3473" t="n">
        <v>3</v>
      </c>
      <c r="G3473" t="n">
        <v>4</v>
      </c>
      <c r="J3473" t="inlineStr">
        <is>
          <t>Moda</t>
        </is>
      </c>
      <c r="K3473" t="n">
        <v>3</v>
      </c>
      <c r="L3473" t="n">
        <v>3.173</v>
      </c>
      <c r="M3473" t="n">
        <v>0</v>
      </c>
      <c r="N3473" t="inlineStr">
        <is>
          <t>train</t>
        </is>
      </c>
      <c r="O3473">
        <f>HYPERLINK("3\1\marker_697_937016.png", "Ver Imagen")</f>
        <v/>
      </c>
      <c r="P3473">
        <f>HYPERLINK("NE\A-495R\A-495R__9.png", "Ver Imagen")</f>
        <v/>
      </c>
    </row>
    <row r="3474">
      <c r="A3474" t="n">
        <v>3009</v>
      </c>
      <c r="B3474" t="inlineStr">
        <is>
          <t>A-495R__3</t>
        </is>
      </c>
      <c r="C3474" t="n">
        <v>37.4468159633</v>
      </c>
      <c r="D3474" t="n">
        <v>-7.10667751913</v>
      </c>
      <c r="E3474" t="n">
        <v>3</v>
      </c>
      <c r="F3474" t="n">
        <v>3</v>
      </c>
      <c r="G3474" t="n">
        <v>4</v>
      </c>
      <c r="J3474" t="inlineStr">
        <is>
          <t>Moda</t>
        </is>
      </c>
      <c r="K3474" t="n">
        <v>3</v>
      </c>
      <c r="L3474" t="n">
        <v>2.622</v>
      </c>
      <c r="M3474" t="n">
        <v>0</v>
      </c>
      <c r="N3474" t="inlineStr">
        <is>
          <t>train</t>
        </is>
      </c>
      <c r="O3474">
        <f>HYPERLINK("3\1\marker_535_937089.png", "Ver Imagen")</f>
        <v/>
      </c>
      <c r="P3474">
        <f>HYPERLINK("NE\A-495R\A-495R__3.png", "Ver Imagen")</f>
        <v/>
      </c>
    </row>
    <row r="3475">
      <c r="A3475" t="n">
        <v>3010</v>
      </c>
      <c r="B3475" t="inlineStr">
        <is>
          <t>A-497__30</t>
        </is>
      </c>
      <c r="C3475" t="n">
        <v>37.2675053459</v>
      </c>
      <c r="D3475" t="n">
        <v>-6.96328466959</v>
      </c>
      <c r="E3475" t="n">
        <v>3</v>
      </c>
      <c r="F3475" t="n">
        <v>3</v>
      </c>
      <c r="G3475" t="n">
        <v>4</v>
      </c>
      <c r="J3475" t="inlineStr">
        <is>
          <t>Moda</t>
        </is>
      </c>
      <c r="K3475" t="n">
        <v>3</v>
      </c>
      <c r="L3475" t="n">
        <v>2.862</v>
      </c>
      <c r="M3475" t="n">
        <v>0</v>
      </c>
      <c r="N3475" t="inlineStr">
        <is>
          <t>train</t>
        </is>
      </c>
      <c r="O3475">
        <f>HYPERLINK("3\1\marker_593_940802.png", "Ver Imagen")</f>
        <v/>
      </c>
      <c r="P3475">
        <f>HYPERLINK("SE\A-497\A-497__30.png", "Ver Imagen")</f>
        <v/>
      </c>
    </row>
    <row r="3476">
      <c r="A3476" t="n">
        <v>3011</v>
      </c>
      <c r="B3476" t="inlineStr">
        <is>
          <t>A-497__25</t>
        </is>
      </c>
      <c r="C3476" t="n">
        <v>37.2674775639</v>
      </c>
      <c r="D3476" t="n">
        <v>-6.9620167012</v>
      </c>
      <c r="E3476" t="n">
        <v>3</v>
      </c>
      <c r="F3476" t="n">
        <v>3</v>
      </c>
      <c r="G3476" t="n">
        <v>4</v>
      </c>
      <c r="J3476" t="inlineStr">
        <is>
          <t>Moda</t>
        </is>
      </c>
      <c r="K3476" t="n">
        <v>3</v>
      </c>
      <c r="L3476" t="n">
        <v>2.814</v>
      </c>
      <c r="M3476" t="n">
        <v>0</v>
      </c>
      <c r="N3476" t="inlineStr">
        <is>
          <t>train</t>
        </is>
      </c>
      <c r="O3476">
        <f>HYPERLINK("3\1\marker_723_943716.png", "Ver Imagen")</f>
        <v/>
      </c>
      <c r="P3476">
        <f>HYPERLINK("SE\A-497\A-497__25.png", "Ver Imagen")</f>
        <v/>
      </c>
    </row>
    <row r="3477">
      <c r="A3477" t="n">
        <v>3012</v>
      </c>
      <c r="B3477" t="inlineStr">
        <is>
          <t>A-490__22</t>
        </is>
      </c>
      <c r="C3477" t="n">
        <v>37.4466525157</v>
      </c>
      <c r="D3477" t="n">
        <v>-7.13175431647</v>
      </c>
      <c r="E3477" t="n">
        <v>2</v>
      </c>
      <c r="F3477" t="n">
        <v>3</v>
      </c>
      <c r="G3477" t="n">
        <v>3</v>
      </c>
      <c r="J3477" t="inlineStr">
        <is>
          <t>Moda</t>
        </is>
      </c>
      <c r="K3477" t="n">
        <v>3</v>
      </c>
      <c r="L3477" t="n">
        <v>2.91</v>
      </c>
      <c r="M3477" t="n">
        <v>0</v>
      </c>
      <c r="N3477" t="inlineStr">
        <is>
          <t>train</t>
        </is>
      </c>
      <c r="O3477">
        <f>HYPERLINK("3\1\marker_772_730713.png", "Ver Imagen")</f>
        <v/>
      </c>
      <c r="P3477">
        <f>HYPERLINK("NE\A-490\A-490__22.png", "Ver Imagen")</f>
        <v/>
      </c>
    </row>
    <row r="3478">
      <c r="A3478" t="n">
        <v>3013</v>
      </c>
      <c r="B3478" t="inlineStr">
        <is>
          <t>A-490__52</t>
        </is>
      </c>
      <c r="C3478" t="n">
        <v>37.4469294494</v>
      </c>
      <c r="D3478" t="n">
        <v>-7.13906027951</v>
      </c>
      <c r="E3478" t="n">
        <v>2</v>
      </c>
      <c r="F3478" t="n">
        <v>3</v>
      </c>
      <c r="G3478" t="n">
        <v>3</v>
      </c>
      <c r="J3478" t="inlineStr">
        <is>
          <t>Moda</t>
        </is>
      </c>
      <c r="K3478" t="n">
        <v>3</v>
      </c>
      <c r="L3478" t="n">
        <v>2.994</v>
      </c>
      <c r="M3478" t="n">
        <v>0</v>
      </c>
      <c r="N3478" t="inlineStr">
        <is>
          <t>train</t>
        </is>
      </c>
      <c r="O3478">
        <f>HYPERLINK("3\1\marker_152_732343.png", "Ver Imagen")</f>
        <v/>
      </c>
      <c r="P3478">
        <f>HYPERLINK("NE\A-490\A-490__52.png", "Ver Imagen")</f>
        <v/>
      </c>
    </row>
    <row r="3479">
      <c r="A3479" t="n">
        <v>3014</v>
      </c>
      <c r="B3479" t="inlineStr">
        <is>
          <t>A-490__168</t>
        </is>
      </c>
      <c r="C3479" t="n">
        <v>37.4552907672</v>
      </c>
      <c r="D3479" t="n">
        <v>-7.1659316041</v>
      </c>
      <c r="E3479" t="n">
        <v>2</v>
      </c>
      <c r="F3479" t="n">
        <v>3</v>
      </c>
      <c r="G3479" t="n">
        <v>3</v>
      </c>
      <c r="J3479" t="inlineStr">
        <is>
          <t>Moda</t>
        </is>
      </c>
      <c r="K3479" t="n">
        <v>3</v>
      </c>
      <c r="L3479" t="n">
        <v>2.8</v>
      </c>
      <c r="M3479" t="n">
        <v>0</v>
      </c>
      <c r="N3479" t="inlineStr">
        <is>
          <t>train</t>
        </is>
      </c>
      <c r="O3479">
        <f>HYPERLINK("3\1\marker_526_741425.png", "Ver Imagen")</f>
        <v/>
      </c>
      <c r="P3479">
        <f>HYPERLINK("NE\A-490\A-490__168.png", "Ver Imagen")</f>
        <v/>
      </c>
    </row>
    <row r="3480">
      <c r="A3480" t="n">
        <v>3015</v>
      </c>
      <c r="B3480" t="inlineStr">
        <is>
          <t>A-490__189</t>
        </is>
      </c>
      <c r="C3480" t="n">
        <v>37.4583140495</v>
      </c>
      <c r="D3480" t="n">
        <v>-7.16965001338</v>
      </c>
      <c r="E3480" t="n">
        <v>2</v>
      </c>
      <c r="F3480" t="n">
        <v>3</v>
      </c>
      <c r="G3480" t="n">
        <v>3</v>
      </c>
      <c r="J3480" t="inlineStr">
        <is>
          <t>Moda</t>
        </is>
      </c>
      <c r="K3480" t="n">
        <v>3</v>
      </c>
      <c r="L3480" t="n">
        <v>2.93</v>
      </c>
      <c r="M3480" t="n">
        <v>0</v>
      </c>
      <c r="N3480" t="inlineStr">
        <is>
          <t>train</t>
        </is>
      </c>
      <c r="O3480">
        <f>HYPERLINK("3\1\marker_625_742023.png", "Ver Imagen")</f>
        <v/>
      </c>
      <c r="P3480">
        <f>HYPERLINK("NE\A-490\A-490__189.png", "Ver Imagen")</f>
        <v/>
      </c>
    </row>
    <row r="3481">
      <c r="A3481" t="n">
        <v>3016</v>
      </c>
      <c r="B3481" t="inlineStr">
        <is>
          <t>A-490__229</t>
        </is>
      </c>
      <c r="C3481" t="n">
        <v>37.4634249945</v>
      </c>
      <c r="D3481" t="n">
        <v>-7.17746312756</v>
      </c>
      <c r="E3481" t="n">
        <v>2</v>
      </c>
      <c r="F3481" t="n">
        <v>3</v>
      </c>
      <c r="G3481" t="n">
        <v>3</v>
      </c>
      <c r="J3481" t="inlineStr">
        <is>
          <t>Moda</t>
        </is>
      </c>
      <c r="K3481" t="n">
        <v>3</v>
      </c>
      <c r="L3481" t="n">
        <v>2.978</v>
      </c>
      <c r="M3481" t="n">
        <v>0</v>
      </c>
      <c r="N3481" t="inlineStr">
        <is>
          <t>train</t>
        </is>
      </c>
      <c r="O3481">
        <f>HYPERLINK("3\1\marker_146_743811.png", "Ver Imagen")</f>
        <v/>
      </c>
      <c r="P3481">
        <f>HYPERLINK("NE\A-490\A-490__229.png", "Ver Imagen")</f>
        <v/>
      </c>
    </row>
    <row r="3482">
      <c r="A3482" t="n">
        <v>3017</v>
      </c>
      <c r="B3482" t="inlineStr">
        <is>
          <t>A-490__253</t>
        </is>
      </c>
      <c r="C3482" t="n">
        <v>37.4662037207</v>
      </c>
      <c r="D3482" t="n">
        <v>-7.18255117555</v>
      </c>
      <c r="E3482" t="n">
        <v>2</v>
      </c>
      <c r="F3482" t="n">
        <v>3</v>
      </c>
      <c r="G3482" t="n">
        <v>3</v>
      </c>
      <c r="J3482" t="inlineStr">
        <is>
          <t>Moda</t>
        </is>
      </c>
      <c r="K3482" t="n">
        <v>3</v>
      </c>
      <c r="L3482" t="n">
        <v>2.848</v>
      </c>
      <c r="M3482" t="n">
        <v>0</v>
      </c>
      <c r="N3482" t="inlineStr">
        <is>
          <t>test</t>
        </is>
      </c>
      <c r="O3482">
        <f>HYPERLINK("3\1\marker_914_749567.png", "Ver Imagen")</f>
        <v/>
      </c>
      <c r="P3482">
        <f>HYPERLINK("NE\A-490\A-490__253.png", "Ver Imagen")</f>
        <v/>
      </c>
    </row>
    <row r="3483">
      <c r="A3483" t="n">
        <v>3017</v>
      </c>
      <c r="B3483" t="inlineStr">
        <is>
          <t>A-490__253</t>
        </is>
      </c>
      <c r="C3483" t="n">
        <v>37.4662037207</v>
      </c>
      <c r="D3483" t="n">
        <v>-7.18255117555</v>
      </c>
      <c r="E3483" t="n">
        <v>2</v>
      </c>
      <c r="F3483" t="n">
        <v>3</v>
      </c>
      <c r="G3483" t="n">
        <v>3</v>
      </c>
      <c r="J3483" t="inlineStr">
        <is>
          <t>Moda</t>
        </is>
      </c>
      <c r="K3483" t="n">
        <v>3</v>
      </c>
      <c r="L3483" t="n">
        <v>3.496</v>
      </c>
      <c r="M3483" t="n">
        <v>0</v>
      </c>
      <c r="N3483" t="inlineStr">
        <is>
          <t>test</t>
        </is>
      </c>
      <c r="O3483">
        <f>HYPERLINK("3\1\marker_914_749567.png", "Ver Imagen")</f>
        <v/>
      </c>
      <c r="P3483">
        <f>HYPERLINK("NO\A-490\A-490__253.png", "Ver Imagen")</f>
        <v/>
      </c>
    </row>
    <row r="3484">
      <c r="A3484" t="n">
        <v>3018</v>
      </c>
      <c r="B3484" t="inlineStr">
        <is>
          <t>A-490__353</t>
        </is>
      </c>
      <c r="C3484" t="n">
        <v>37.4771733755</v>
      </c>
      <c r="D3484" t="n">
        <v>-7.20379357651</v>
      </c>
      <c r="E3484" t="n">
        <v>2</v>
      </c>
      <c r="F3484" t="n">
        <v>3</v>
      </c>
      <c r="G3484" t="n">
        <v>3</v>
      </c>
      <c r="J3484" t="inlineStr">
        <is>
          <t>Moda</t>
        </is>
      </c>
      <c r="K3484" t="n">
        <v>3</v>
      </c>
      <c r="L3484" t="n">
        <v>3.264</v>
      </c>
      <c r="M3484" t="n">
        <v>0</v>
      </c>
      <c r="N3484" t="inlineStr">
        <is>
          <t>test</t>
        </is>
      </c>
      <c r="O3484">
        <f>HYPERLINK("3\1\marker_989_751729.png", "Ver Imagen")</f>
        <v/>
      </c>
      <c r="P3484">
        <f>HYPERLINK("NO\A-490\A-490__353.png", "Ver Imagen")</f>
        <v/>
      </c>
    </row>
    <row r="3485">
      <c r="A3485" t="n">
        <v>3019</v>
      </c>
      <c r="B3485" t="inlineStr">
        <is>
          <t>A-490__359</t>
        </is>
      </c>
      <c r="C3485" t="n">
        <v>37.4777457346</v>
      </c>
      <c r="D3485" t="n">
        <v>-7.20511079666</v>
      </c>
      <c r="E3485" t="n">
        <v>2</v>
      </c>
      <c r="F3485" t="n">
        <v>3</v>
      </c>
      <c r="G3485" t="n">
        <v>3</v>
      </c>
      <c r="J3485" t="inlineStr">
        <is>
          <t>Moda</t>
        </is>
      </c>
      <c r="K3485" t="n">
        <v>3</v>
      </c>
      <c r="L3485" t="n">
        <v>3.047</v>
      </c>
      <c r="M3485" t="n">
        <v>0</v>
      </c>
      <c r="N3485" t="inlineStr">
        <is>
          <t>train</t>
        </is>
      </c>
      <c r="O3485">
        <f>HYPERLINK("3\1\marker_495_751861.png", "Ver Imagen")</f>
        <v/>
      </c>
      <c r="P3485">
        <f>HYPERLINK("NO\A-490\A-490__359.png", "Ver Imagen")</f>
        <v/>
      </c>
    </row>
    <row r="3486">
      <c r="A3486" t="n">
        <v>3020</v>
      </c>
      <c r="B3486" t="inlineStr">
        <is>
          <t>A-490__360</t>
        </is>
      </c>
      <c r="C3486" t="n">
        <v>37.4778431368</v>
      </c>
      <c r="D3486" t="n">
        <v>-7.2053393042</v>
      </c>
      <c r="E3486" t="n">
        <v>2</v>
      </c>
      <c r="F3486" t="n">
        <v>3</v>
      </c>
      <c r="G3486" t="n">
        <v>3</v>
      </c>
      <c r="J3486" t="inlineStr">
        <is>
          <t>Moda</t>
        </is>
      </c>
      <c r="K3486" t="n">
        <v>3</v>
      </c>
      <c r="L3486" t="n">
        <v>3.012</v>
      </c>
      <c r="M3486" t="n">
        <v>0</v>
      </c>
      <c r="N3486" t="inlineStr">
        <is>
          <t>train</t>
        </is>
      </c>
      <c r="O3486">
        <f>HYPERLINK("3\1\marker_444_751877.png", "Ver Imagen")</f>
        <v/>
      </c>
      <c r="P3486">
        <f>HYPERLINK("NO\A-490\A-490__360.png", "Ver Imagen")</f>
        <v/>
      </c>
    </row>
    <row r="3487">
      <c r="A3487" t="n">
        <v>3021</v>
      </c>
      <c r="B3487" t="inlineStr">
        <is>
          <t>A-490__362</t>
        </is>
      </c>
      <c r="C3487" t="n">
        <v>37.4780459842</v>
      </c>
      <c r="D3487" t="n">
        <v>-7.2058110117</v>
      </c>
      <c r="E3487" t="n">
        <v>2</v>
      </c>
      <c r="F3487" t="n">
        <v>3</v>
      </c>
      <c r="G3487" t="n">
        <v>3</v>
      </c>
      <c r="J3487" t="inlineStr">
        <is>
          <t>Moda</t>
        </is>
      </c>
      <c r="K3487" t="n">
        <v>3</v>
      </c>
      <c r="L3487" t="n">
        <v>3.226</v>
      </c>
      <c r="M3487" t="n">
        <v>0</v>
      </c>
      <c r="N3487" t="inlineStr">
        <is>
          <t>train</t>
        </is>
      </c>
      <c r="O3487">
        <f>HYPERLINK("3\1\marker_134_751926.png", "Ver Imagen")</f>
        <v/>
      </c>
      <c r="P3487">
        <f>HYPERLINK("NO\A-490\A-490__362.png", "Ver Imagen")</f>
        <v/>
      </c>
    </row>
    <row r="3488">
      <c r="A3488" t="n">
        <v>3022</v>
      </c>
      <c r="B3488" t="inlineStr">
        <is>
          <t>A-490__374</t>
        </is>
      </c>
      <c r="C3488" t="n">
        <v>37.4791804655</v>
      </c>
      <c r="D3488" t="n">
        <v>-7.20846764031</v>
      </c>
      <c r="E3488" t="n">
        <v>2</v>
      </c>
      <c r="F3488" t="n">
        <v>3</v>
      </c>
      <c r="G3488" t="n">
        <v>3</v>
      </c>
      <c r="J3488" t="inlineStr">
        <is>
          <t>Moda</t>
        </is>
      </c>
      <c r="K3488" t="n">
        <v>3</v>
      </c>
      <c r="L3488" t="n">
        <v>2.591</v>
      </c>
      <c r="M3488" t="n">
        <v>0</v>
      </c>
      <c r="N3488" t="inlineStr">
        <is>
          <t>test</t>
        </is>
      </c>
      <c r="O3488">
        <f>HYPERLINK("3\1\marker_245_752181.png", "Ver Imagen")</f>
        <v/>
      </c>
      <c r="P3488">
        <f>HYPERLINK("NO\A-490\A-490__374.png", "Ver Imagen")</f>
        <v/>
      </c>
    </row>
    <row r="3489">
      <c r="A3489" t="n">
        <v>3023</v>
      </c>
      <c r="B3489" t="inlineStr">
        <is>
          <t>A-490__379</t>
        </is>
      </c>
      <c r="C3489" t="n">
        <v>37.4796586356</v>
      </c>
      <c r="D3489" t="n">
        <v>-7.20956579035</v>
      </c>
      <c r="E3489" t="n">
        <v>2</v>
      </c>
      <c r="F3489" t="n">
        <v>3</v>
      </c>
      <c r="G3489" t="n">
        <v>3</v>
      </c>
      <c r="J3489" t="inlineStr">
        <is>
          <t>Moda</t>
        </is>
      </c>
      <c r="K3489" t="n">
        <v>3</v>
      </c>
      <c r="L3489" t="n">
        <v>3.099</v>
      </c>
      <c r="M3489" t="n">
        <v>0</v>
      </c>
      <c r="N3489" t="inlineStr">
        <is>
          <t>train</t>
        </is>
      </c>
      <c r="O3489">
        <f>HYPERLINK("3\1\marker_173_752315.png", "Ver Imagen")</f>
        <v/>
      </c>
      <c r="P3489">
        <f>HYPERLINK("NO\A-490\A-490__379.png", "Ver Imagen")</f>
        <v/>
      </c>
    </row>
    <row r="3490">
      <c r="A3490" t="n">
        <v>3024</v>
      </c>
      <c r="B3490" t="inlineStr">
        <is>
          <t>A-490__381</t>
        </is>
      </c>
      <c r="C3490" t="n">
        <v>37.479885127</v>
      </c>
      <c r="D3490" t="n">
        <v>-7.21008663599</v>
      </c>
      <c r="E3490" t="n">
        <v>2</v>
      </c>
      <c r="F3490" t="n">
        <v>3</v>
      </c>
      <c r="G3490" t="n">
        <v>3</v>
      </c>
      <c r="J3490" t="inlineStr">
        <is>
          <t>Moda</t>
        </is>
      </c>
      <c r="K3490" t="n">
        <v>3</v>
      </c>
      <c r="L3490" t="n">
        <v>2.937</v>
      </c>
      <c r="M3490" t="n">
        <v>0</v>
      </c>
      <c r="N3490" t="inlineStr">
        <is>
          <t>train</t>
        </is>
      </c>
      <c r="O3490">
        <f>HYPERLINK("3\1\marker_684_752355.png", "Ver Imagen")</f>
        <v/>
      </c>
      <c r="P3490">
        <f>HYPERLINK("NO\A-490\A-490__381.png", "Ver Imagen")</f>
        <v/>
      </c>
    </row>
    <row r="3491">
      <c r="A3491" t="n">
        <v>3025</v>
      </c>
      <c r="B3491" t="inlineStr">
        <is>
          <t>A-490__392</t>
        </is>
      </c>
      <c r="C3491" t="n">
        <v>37.4808694853</v>
      </c>
      <c r="D3491" t="n">
        <v>-7.21249547395</v>
      </c>
      <c r="E3491" t="n">
        <v>2</v>
      </c>
      <c r="F3491" t="n">
        <v>3</v>
      </c>
      <c r="G3491" t="n">
        <v>3</v>
      </c>
      <c r="J3491" t="inlineStr">
        <is>
          <t>Moda</t>
        </is>
      </c>
      <c r="K3491" t="n">
        <v>3</v>
      </c>
      <c r="L3491" t="n">
        <v>2.751</v>
      </c>
      <c r="M3491" t="n">
        <v>0</v>
      </c>
      <c r="N3491" t="inlineStr">
        <is>
          <t>train</t>
        </is>
      </c>
      <c r="O3491">
        <f>HYPERLINK("3\1\marker_575_752591.png", "Ver Imagen")</f>
        <v/>
      </c>
      <c r="P3491">
        <f>HYPERLINK("NO\A-490\A-490__392.png", "Ver Imagen")</f>
        <v/>
      </c>
    </row>
    <row r="3492">
      <c r="A3492" t="n">
        <v>3026</v>
      </c>
      <c r="B3492" t="inlineStr">
        <is>
          <t>A-490__394</t>
        </is>
      </c>
      <c r="C3492" t="n">
        <v>37.4810507902</v>
      </c>
      <c r="D3492" t="n">
        <v>-7.21298714821</v>
      </c>
      <c r="E3492" t="n">
        <v>2</v>
      </c>
      <c r="F3492" t="n">
        <v>3</v>
      </c>
      <c r="G3492" t="n">
        <v>3</v>
      </c>
      <c r="J3492" t="inlineStr">
        <is>
          <t>Moda</t>
        </is>
      </c>
      <c r="K3492" t="n">
        <v>3</v>
      </c>
      <c r="L3492" t="n">
        <v>2.788</v>
      </c>
      <c r="M3492" t="n">
        <v>0</v>
      </c>
      <c r="N3492" t="inlineStr">
        <is>
          <t>train</t>
        </is>
      </c>
      <c r="O3492">
        <f>HYPERLINK("3\1\marker_564_752892.png", "Ver Imagen")</f>
        <v/>
      </c>
      <c r="P3492">
        <f>HYPERLINK("NO\A-490\A-490__394.png", "Ver Imagen")</f>
        <v/>
      </c>
    </row>
    <row r="3493">
      <c r="A3493" t="n">
        <v>3028</v>
      </c>
      <c r="B3493" t="inlineStr">
        <is>
          <t>A-490__445</t>
        </is>
      </c>
      <c r="C3493" t="n">
        <v>37.4840220801</v>
      </c>
      <c r="D3493" t="n">
        <v>-7.22542640719</v>
      </c>
      <c r="E3493" t="n">
        <v>2</v>
      </c>
      <c r="F3493" t="n">
        <v>3</v>
      </c>
      <c r="G3493" t="n">
        <v>3</v>
      </c>
      <c r="J3493" t="inlineStr">
        <is>
          <t>Moda</t>
        </is>
      </c>
      <c r="K3493" t="n">
        <v>3</v>
      </c>
      <c r="L3493" t="n">
        <v>3.001</v>
      </c>
      <c r="M3493" t="n">
        <v>0</v>
      </c>
      <c r="N3493" t="inlineStr">
        <is>
          <t>train</t>
        </is>
      </c>
      <c r="O3493">
        <f>HYPERLINK("3\1\marker_832_754859.png", "Ver Imagen")</f>
        <v/>
      </c>
      <c r="P3493">
        <f>HYPERLINK("NO\A-490\A-490__445.png", "Ver Imagen")</f>
        <v/>
      </c>
    </row>
    <row r="3494">
      <c r="A3494" t="n">
        <v>3029</v>
      </c>
      <c r="B3494" t="inlineStr">
        <is>
          <t>A-490__460</t>
        </is>
      </c>
      <c r="C3494" t="n">
        <v>37.4847253348</v>
      </c>
      <c r="D3494" t="n">
        <v>-7.2290316734</v>
      </c>
      <c r="E3494" t="n">
        <v>2</v>
      </c>
      <c r="F3494" t="n">
        <v>3</v>
      </c>
      <c r="G3494" t="n">
        <v>3</v>
      </c>
      <c r="J3494" t="inlineStr">
        <is>
          <t>Moda</t>
        </is>
      </c>
      <c r="K3494" t="n">
        <v>3</v>
      </c>
      <c r="L3494" t="n">
        <v>2.897</v>
      </c>
      <c r="M3494" t="n">
        <v>0</v>
      </c>
      <c r="N3494" t="inlineStr">
        <is>
          <t>train</t>
        </is>
      </c>
      <c r="O3494">
        <f>HYPERLINK("3\1\marker_419_755215.png", "Ver Imagen")</f>
        <v/>
      </c>
      <c r="P3494">
        <f>HYPERLINK("NO\A-490\A-490__460.png", "Ver Imagen")</f>
        <v/>
      </c>
    </row>
    <row r="3495">
      <c r="A3495" t="n">
        <v>3030</v>
      </c>
      <c r="B3495" t="inlineStr">
        <is>
          <t>A-490__524</t>
        </is>
      </c>
      <c r="C3495" t="n">
        <v>37.4877724063</v>
      </c>
      <c r="D3495" t="n">
        <v>-7.24482894838</v>
      </c>
      <c r="E3495" t="n">
        <v>2</v>
      </c>
      <c r="F3495" t="n">
        <v>3</v>
      </c>
      <c r="G3495" t="n">
        <v>3</v>
      </c>
      <c r="J3495" t="inlineStr">
        <is>
          <t>Moda</t>
        </is>
      </c>
      <c r="K3495" t="n">
        <v>3</v>
      </c>
      <c r="L3495" t="n">
        <v>2.861</v>
      </c>
      <c r="M3495" t="n">
        <v>0</v>
      </c>
      <c r="N3495" t="inlineStr">
        <is>
          <t>train</t>
        </is>
      </c>
      <c r="O3495">
        <f>HYPERLINK("3\1\marker_137_818112.png", "Ver Imagen")</f>
        <v/>
      </c>
      <c r="P3495">
        <f>HYPERLINK("NO\A-490\A-490__524.png", "Ver Imagen")</f>
        <v/>
      </c>
    </row>
    <row r="3496">
      <c r="A3496" t="n">
        <v>3031</v>
      </c>
      <c r="B3496" t="inlineStr">
        <is>
          <t>A-492__9</t>
        </is>
      </c>
      <c r="C3496" t="n">
        <v>37.2732215615</v>
      </c>
      <c r="D3496" t="n">
        <v>-6.99134259282</v>
      </c>
      <c r="E3496" t="n">
        <v>3</v>
      </c>
      <c r="F3496" t="n">
        <v>3</v>
      </c>
      <c r="G3496" t="n">
        <v>4</v>
      </c>
      <c r="J3496" t="inlineStr">
        <is>
          <t>Moda</t>
        </is>
      </c>
      <c r="K3496" t="n">
        <v>3</v>
      </c>
      <c r="L3496" t="n">
        <v>3.032</v>
      </c>
      <c r="M3496" t="n">
        <v>0</v>
      </c>
      <c r="N3496" t="inlineStr">
        <is>
          <t>train</t>
        </is>
      </c>
      <c r="O3496">
        <f>HYPERLINK("3\1\marker_516_821869.png", "Ver Imagen")</f>
        <v/>
      </c>
      <c r="P3496">
        <f>HYPERLINK("SE\A-492\A-492__9.png", "Ver Imagen")</f>
        <v/>
      </c>
    </row>
    <row r="3497">
      <c r="A3497" t="n">
        <v>3032</v>
      </c>
      <c r="B3497" t="inlineStr">
        <is>
          <t>A-492__20</t>
        </is>
      </c>
      <c r="C3497" t="n">
        <v>37.2753796454</v>
      </c>
      <c r="D3497" t="n">
        <v>-6.99114964431</v>
      </c>
      <c r="E3497" t="n">
        <v>3</v>
      </c>
      <c r="F3497" t="n">
        <v>3</v>
      </c>
      <c r="G3497" t="n">
        <v>4</v>
      </c>
      <c r="J3497" t="inlineStr">
        <is>
          <t>Moda</t>
        </is>
      </c>
      <c r="K3497" t="n">
        <v>3</v>
      </c>
      <c r="L3497" t="n">
        <v>2.584</v>
      </c>
      <c r="M3497" t="n">
        <v>0</v>
      </c>
      <c r="N3497" t="inlineStr">
        <is>
          <t>train</t>
        </is>
      </c>
      <c r="O3497">
        <f>HYPERLINK("3\1\marker_647_822021.png", "Ver Imagen")</f>
        <v/>
      </c>
      <c r="P3497">
        <f>HYPERLINK("SE\A-492\A-492__20.png", "Ver Imagen")</f>
        <v/>
      </c>
    </row>
    <row r="3498">
      <c r="A3498" t="n">
        <v>3033</v>
      </c>
      <c r="B3498" t="inlineStr">
        <is>
          <t>A-492__26</t>
        </is>
      </c>
      <c r="C3498" t="n">
        <v>37.2763369765</v>
      </c>
      <c r="D3498" t="n">
        <v>-6.99112440362</v>
      </c>
      <c r="E3498" t="n">
        <v>2</v>
      </c>
      <c r="F3498" t="n">
        <v>3</v>
      </c>
      <c r="G3498" t="n">
        <v>3</v>
      </c>
      <c r="J3498" t="inlineStr">
        <is>
          <t>Moda</t>
        </is>
      </c>
      <c r="K3498" t="n">
        <v>3</v>
      </c>
      <c r="L3498" t="n">
        <v>3.081</v>
      </c>
      <c r="M3498" t="n">
        <v>0</v>
      </c>
      <c r="N3498" t="inlineStr">
        <is>
          <t>train</t>
        </is>
      </c>
      <c r="O3498">
        <f>HYPERLINK("3\1\marker_420_822235.png", "Ver Imagen")</f>
        <v/>
      </c>
      <c r="P3498">
        <f>HYPERLINK("SE\A-492\A-492__26.png", "Ver Imagen")</f>
        <v/>
      </c>
    </row>
    <row r="3499">
      <c r="A3499" t="n">
        <v>3035</v>
      </c>
      <c r="B3499" t="inlineStr">
        <is>
          <t>A-492__127</t>
        </is>
      </c>
      <c r="C3499" t="n">
        <v>37.2767036743</v>
      </c>
      <c r="D3499" t="n">
        <v>-7.01310267037</v>
      </c>
      <c r="E3499" t="n">
        <v>2</v>
      </c>
      <c r="F3499" t="n">
        <v>3</v>
      </c>
      <c r="G3499" t="n">
        <v>3</v>
      </c>
      <c r="J3499" t="inlineStr">
        <is>
          <t>Moda</t>
        </is>
      </c>
      <c r="K3499" t="n">
        <v>3</v>
      </c>
      <c r="L3499" t="n">
        <v>2.979</v>
      </c>
      <c r="M3499" t="n">
        <v>0</v>
      </c>
      <c r="N3499" t="inlineStr">
        <is>
          <t>train</t>
        </is>
      </c>
      <c r="O3499">
        <f>HYPERLINK("3\1\marker_685_824502.png", "Ver Imagen")</f>
        <v/>
      </c>
      <c r="P3499">
        <f>HYPERLINK("SE\A-492\A-492__127.png", "Ver Imagen")</f>
        <v/>
      </c>
    </row>
    <row r="3500">
      <c r="A3500" t="n">
        <v>3037</v>
      </c>
      <c r="B3500" t="inlineStr">
        <is>
          <t>A-492__461</t>
        </is>
      </c>
      <c r="C3500" t="n">
        <v>37.3161782343</v>
      </c>
      <c r="D3500" t="n">
        <v>-7.06935961496</v>
      </c>
      <c r="E3500" t="n">
        <v>3</v>
      </c>
      <c r="F3500" t="n">
        <v>3</v>
      </c>
      <c r="G3500" t="n">
        <v>4</v>
      </c>
      <c r="J3500" t="inlineStr">
        <is>
          <t>Moda</t>
        </is>
      </c>
      <c r="K3500" t="n">
        <v>3</v>
      </c>
      <c r="L3500" t="n">
        <v>2.773</v>
      </c>
      <c r="M3500" t="n">
        <v>0</v>
      </c>
      <c r="N3500" t="inlineStr">
        <is>
          <t>train</t>
        </is>
      </c>
      <c r="O3500">
        <f>HYPERLINK("3\1\marker_488_839940.png", "Ver Imagen")</f>
        <v/>
      </c>
      <c r="P3500">
        <f>HYPERLINK("SE\A-492\A-492__461.png", "Ver Imagen")</f>
        <v/>
      </c>
    </row>
    <row r="3501">
      <c r="A3501" t="n">
        <v>3038</v>
      </c>
      <c r="B3501" t="inlineStr">
        <is>
          <t>A-492__464</t>
        </is>
      </c>
      <c r="C3501" t="n">
        <v>37.3165111837</v>
      </c>
      <c r="D3501" t="n">
        <v>-7.07001636303</v>
      </c>
      <c r="E3501" t="n">
        <v>3</v>
      </c>
      <c r="F3501" t="n">
        <v>3</v>
      </c>
      <c r="G3501" t="n">
        <v>4</v>
      </c>
      <c r="J3501" t="inlineStr">
        <is>
          <t>Moda</t>
        </is>
      </c>
      <c r="K3501" t="n">
        <v>3</v>
      </c>
      <c r="L3501" t="n">
        <v>2.929</v>
      </c>
      <c r="M3501" t="n">
        <v>0</v>
      </c>
      <c r="N3501" t="inlineStr">
        <is>
          <t>train</t>
        </is>
      </c>
      <c r="O3501">
        <f>HYPERLINK("3\1\marker_449_839971.png", "Ver Imagen")</f>
        <v/>
      </c>
      <c r="P3501">
        <f>HYPERLINK("SE\A-492\A-492__464.png", "Ver Imagen")</f>
        <v/>
      </c>
    </row>
    <row r="3502">
      <c r="A3502" t="n">
        <v>3040</v>
      </c>
      <c r="B3502" t="inlineStr">
        <is>
          <t>A-495R__5</t>
        </is>
      </c>
      <c r="C3502" t="n">
        <v>37.4468544556</v>
      </c>
      <c r="D3502" t="n">
        <v>-7.10716620456</v>
      </c>
      <c r="E3502" t="n">
        <v>2</v>
      </c>
      <c r="F3502" t="n">
        <v>3</v>
      </c>
      <c r="G3502" t="n">
        <v>3</v>
      </c>
      <c r="J3502" t="inlineStr">
        <is>
          <t>Moda</t>
        </is>
      </c>
      <c r="K3502" t="n">
        <v>3</v>
      </c>
      <c r="L3502" t="n">
        <v>2.989</v>
      </c>
      <c r="M3502" t="n">
        <v>0</v>
      </c>
      <c r="N3502" t="inlineStr">
        <is>
          <t>train</t>
        </is>
      </c>
      <c r="O3502">
        <f>HYPERLINK("3\1\marker_523_937064.png", "Ver Imagen")</f>
        <v/>
      </c>
      <c r="P3502">
        <f>HYPERLINK("NE\A-495R\A-495R__5.png", "Ver Imagen")</f>
        <v/>
      </c>
    </row>
    <row r="3503">
      <c r="A3503" t="n">
        <v>3041</v>
      </c>
      <c r="B3503" t="inlineStr">
        <is>
          <t>A-497__79</t>
        </is>
      </c>
      <c r="C3503" t="n">
        <v>37.2689059951</v>
      </c>
      <c r="D3503" t="n">
        <v>-6.97550772697</v>
      </c>
      <c r="E3503" t="n">
        <v>3</v>
      </c>
      <c r="F3503" t="n">
        <v>3</v>
      </c>
      <c r="G3503" t="n">
        <v>4</v>
      </c>
      <c r="J3503" t="inlineStr">
        <is>
          <t>Moda</t>
        </is>
      </c>
      <c r="K3503" t="n">
        <v>3</v>
      </c>
      <c r="L3503" t="n">
        <v>2.7</v>
      </c>
      <c r="M3503" t="n">
        <v>0</v>
      </c>
      <c r="N3503" t="inlineStr">
        <is>
          <t>train</t>
        </is>
      </c>
      <c r="O3503">
        <f>HYPERLINK("3\1\marker_802_937930.png", "Ver Imagen")</f>
        <v/>
      </c>
      <c r="P3503">
        <f>HYPERLINK("SE\A-497\A-497__79.png", "Ver Imagen")</f>
        <v/>
      </c>
    </row>
    <row r="3504">
      <c r="A3504" t="n">
        <v>3042</v>
      </c>
      <c r="B3504" t="inlineStr">
        <is>
          <t>A-497__76</t>
        </is>
      </c>
      <c r="C3504" t="n">
        <v>37.2687342602</v>
      </c>
      <c r="D3504" t="n">
        <v>-6.97476752315</v>
      </c>
      <c r="E3504" t="n">
        <v>3</v>
      </c>
      <c r="F3504" t="n">
        <v>3</v>
      </c>
      <c r="G3504" t="n">
        <v>4</v>
      </c>
      <c r="J3504" t="inlineStr">
        <is>
          <t>Moda</t>
        </is>
      </c>
      <c r="K3504" t="n">
        <v>3</v>
      </c>
      <c r="L3504" t="n">
        <v>3.226</v>
      </c>
      <c r="M3504" t="n">
        <v>0</v>
      </c>
      <c r="N3504" t="inlineStr">
        <is>
          <t>val</t>
        </is>
      </c>
      <c r="O3504">
        <f>HYPERLINK("3\1\marker_968_937979.png", "Ver Imagen")</f>
        <v/>
      </c>
      <c r="P3504">
        <f>HYPERLINK("SE\A-497\A-497__76.png", "Ver Imagen")</f>
        <v/>
      </c>
    </row>
    <row r="3505">
      <c r="A3505" t="n">
        <v>3043</v>
      </c>
      <c r="B3505" t="inlineStr">
        <is>
          <t>A-497__72</t>
        </is>
      </c>
      <c r="C3505" t="n">
        <v>37.2685315333</v>
      </c>
      <c r="D3505" t="n">
        <v>-6.97384057004</v>
      </c>
      <c r="E3505" t="n">
        <v>2</v>
      </c>
      <c r="F3505" t="n">
        <v>3</v>
      </c>
      <c r="G3505" t="n">
        <v>3</v>
      </c>
      <c r="J3505" t="inlineStr">
        <is>
          <t>Moda</t>
        </is>
      </c>
      <c r="K3505" t="n">
        <v>3</v>
      </c>
      <c r="L3505" t="n">
        <v>3.179</v>
      </c>
      <c r="M3505" t="n">
        <v>0</v>
      </c>
      <c r="N3505" t="inlineStr">
        <is>
          <t>train</t>
        </is>
      </c>
      <c r="O3505">
        <f>HYPERLINK("3\1\marker_949_938025.png", "Ver Imagen")</f>
        <v/>
      </c>
      <c r="P3505">
        <f>HYPERLINK("SE\A-497\A-497__72.png", "Ver Imagen")</f>
        <v/>
      </c>
    </row>
    <row r="3506">
      <c r="A3506" t="n">
        <v>3044</v>
      </c>
      <c r="B3506" t="inlineStr">
        <is>
          <t>A-497__58</t>
        </is>
      </c>
      <c r="C3506" t="n">
        <v>37.2679341351</v>
      </c>
      <c r="D3506" t="n">
        <v>-6.97031000543</v>
      </c>
      <c r="E3506" t="n">
        <v>2</v>
      </c>
      <c r="F3506" t="n">
        <v>3</v>
      </c>
      <c r="G3506" t="n">
        <v>3</v>
      </c>
      <c r="J3506" t="inlineStr">
        <is>
          <t>Moda</t>
        </is>
      </c>
      <c r="K3506" t="n">
        <v>3</v>
      </c>
      <c r="L3506" t="n">
        <v>3.351</v>
      </c>
      <c r="M3506" t="n">
        <v>0</v>
      </c>
      <c r="N3506" t="inlineStr">
        <is>
          <t>train</t>
        </is>
      </c>
      <c r="O3506">
        <f>HYPERLINK("3\1\marker_570_938284.png", "Ver Imagen")</f>
        <v/>
      </c>
      <c r="P3506">
        <f>HYPERLINK("SE\A-497\A-497__58.png", "Ver Imagen")</f>
        <v/>
      </c>
    </row>
    <row r="3507">
      <c r="A3507" t="n">
        <v>3045</v>
      </c>
      <c r="B3507" t="inlineStr">
        <is>
          <t>A-497__57</t>
        </is>
      </c>
      <c r="C3507" t="n">
        <v>37.2679060732</v>
      </c>
      <c r="D3507" t="n">
        <v>-6.97009151174</v>
      </c>
      <c r="E3507" t="n">
        <v>2</v>
      </c>
      <c r="F3507" t="n">
        <v>3</v>
      </c>
      <c r="G3507" t="n">
        <v>3</v>
      </c>
      <c r="J3507" t="inlineStr">
        <is>
          <t>Moda</t>
        </is>
      </c>
      <c r="K3507" t="n">
        <v>3</v>
      </c>
      <c r="L3507" t="n">
        <v>2.968</v>
      </c>
      <c r="M3507" t="n">
        <v>0</v>
      </c>
      <c r="N3507" t="inlineStr">
        <is>
          <t>train</t>
        </is>
      </c>
      <c r="O3507">
        <f>HYPERLINK("3\1\marker_960_938295.png", "Ver Imagen")</f>
        <v/>
      </c>
      <c r="P3507">
        <f>HYPERLINK("SE\A-497\A-497__57.png", "Ver Imagen")</f>
        <v/>
      </c>
    </row>
    <row r="3508">
      <c r="A3508" t="n">
        <v>3046</v>
      </c>
      <c r="B3508" t="inlineStr">
        <is>
          <t>A-497__54</t>
        </is>
      </c>
      <c r="C3508" t="n">
        <v>37.2678091299</v>
      </c>
      <c r="D3508" t="n">
        <v>-6.96928007187</v>
      </c>
      <c r="E3508" t="n">
        <v>2</v>
      </c>
      <c r="F3508" t="n">
        <v>3</v>
      </c>
      <c r="G3508" t="n">
        <v>3</v>
      </c>
      <c r="J3508" t="inlineStr">
        <is>
          <t>Moda</t>
        </is>
      </c>
      <c r="K3508" t="n">
        <v>3</v>
      </c>
      <c r="L3508" t="n">
        <v>2.969</v>
      </c>
      <c r="M3508" t="n">
        <v>0</v>
      </c>
      <c r="N3508" t="inlineStr">
        <is>
          <t>train</t>
        </is>
      </c>
      <c r="O3508">
        <f>HYPERLINK("3\1\marker_670_938340.png", "Ver Imagen")</f>
        <v/>
      </c>
      <c r="P3508">
        <f>HYPERLINK("SE\A-497\A-497__54.png", "Ver Imagen")</f>
        <v/>
      </c>
    </row>
    <row r="3509">
      <c r="A3509" t="n">
        <v>3047</v>
      </c>
      <c r="B3509" t="inlineStr">
        <is>
          <t>A-497__51</t>
        </is>
      </c>
      <c r="C3509" t="n">
        <v>37.2677338078</v>
      </c>
      <c r="D3509" t="n">
        <v>-6.96853106708</v>
      </c>
      <c r="E3509" t="n">
        <v>2</v>
      </c>
      <c r="F3509" t="n">
        <v>3</v>
      </c>
      <c r="G3509" t="n">
        <v>3</v>
      </c>
      <c r="J3509" t="inlineStr">
        <is>
          <t>Moda</t>
        </is>
      </c>
      <c r="K3509" t="n">
        <v>3</v>
      </c>
      <c r="L3509" t="n">
        <v>3.074</v>
      </c>
      <c r="M3509" t="n">
        <v>0</v>
      </c>
      <c r="N3509" t="inlineStr">
        <is>
          <t>train</t>
        </is>
      </c>
      <c r="O3509">
        <f>HYPERLINK("3\1\marker_801_938376.png", "Ver Imagen")</f>
        <v/>
      </c>
      <c r="P3509">
        <f>HYPERLINK("SE\A-497\A-497__51.png", "Ver Imagen")</f>
        <v/>
      </c>
    </row>
    <row r="3510">
      <c r="A3510" t="n">
        <v>3048</v>
      </c>
      <c r="B3510" t="inlineStr">
        <is>
          <t>A-497__49</t>
        </is>
      </c>
      <c r="C3510" t="n">
        <v>37.2676923919</v>
      </c>
      <c r="D3510" t="n">
        <v>-6.96806620875</v>
      </c>
      <c r="E3510" t="n">
        <v>2</v>
      </c>
      <c r="F3510" t="n">
        <v>3</v>
      </c>
      <c r="G3510" t="n">
        <v>3</v>
      </c>
      <c r="J3510" t="inlineStr">
        <is>
          <t>Moda</t>
        </is>
      </c>
      <c r="K3510" t="n">
        <v>3</v>
      </c>
      <c r="L3510" t="n">
        <v>3.096</v>
      </c>
      <c r="M3510" t="n">
        <v>0</v>
      </c>
      <c r="N3510" t="inlineStr">
        <is>
          <t>train</t>
        </is>
      </c>
      <c r="O3510">
        <f>HYPERLINK("3\1\marker_735_938406.png", "Ver Imagen")</f>
        <v/>
      </c>
      <c r="P3510">
        <f>HYPERLINK("SE\A-497\A-497__49.png", "Ver Imagen")</f>
        <v/>
      </c>
    </row>
    <row r="3511">
      <c r="A3511" t="n">
        <v>3049</v>
      </c>
      <c r="B3511" t="inlineStr">
        <is>
          <t>A-497__46</t>
        </is>
      </c>
      <c r="C3511" t="n">
        <v>37.2676364139</v>
      </c>
      <c r="D3511" t="n">
        <v>-6.96733458012</v>
      </c>
      <c r="E3511" t="n">
        <v>2</v>
      </c>
      <c r="F3511" t="n">
        <v>3</v>
      </c>
      <c r="G3511" t="n">
        <v>3</v>
      </c>
      <c r="J3511" t="inlineStr">
        <is>
          <t>Moda</t>
        </is>
      </c>
      <c r="K3511" t="n">
        <v>3</v>
      </c>
      <c r="L3511" t="n">
        <v>3.141</v>
      </c>
      <c r="M3511" t="n">
        <v>0</v>
      </c>
      <c r="N3511" t="inlineStr">
        <is>
          <t>train</t>
        </is>
      </c>
      <c r="O3511">
        <f>HYPERLINK("3\1\marker_499_938439.png", "Ver Imagen")</f>
        <v/>
      </c>
      <c r="P3511">
        <f>HYPERLINK("SE\A-497\A-497__46.png", "Ver Imagen")</f>
        <v/>
      </c>
    </row>
    <row r="3512">
      <c r="A3512" t="n">
        <v>3050</v>
      </c>
      <c r="B3512" t="inlineStr">
        <is>
          <t>A-497__45</t>
        </is>
      </c>
      <c r="C3512" t="n">
        <v>37.2676193428</v>
      </c>
      <c r="D3512" t="n">
        <v>-6.96706071645</v>
      </c>
      <c r="E3512" t="n">
        <v>2</v>
      </c>
      <c r="F3512" t="n">
        <v>3</v>
      </c>
      <c r="G3512" t="n">
        <v>3</v>
      </c>
      <c r="J3512" t="inlineStr">
        <is>
          <t>Moda</t>
        </is>
      </c>
      <c r="K3512" t="n">
        <v>3</v>
      </c>
      <c r="L3512" t="n">
        <v>2.959</v>
      </c>
      <c r="M3512" t="n">
        <v>0</v>
      </c>
      <c r="N3512" t="inlineStr">
        <is>
          <t>train</t>
        </is>
      </c>
      <c r="O3512">
        <f>HYPERLINK("3\1\marker_658_938449.png", "Ver Imagen")</f>
        <v/>
      </c>
      <c r="P3512">
        <f>HYPERLINK("SE\A-497\A-497__45.png", "Ver Imagen")</f>
        <v/>
      </c>
    </row>
    <row r="3513">
      <c r="A3513" t="n">
        <v>3051</v>
      </c>
      <c r="B3513" t="inlineStr">
        <is>
          <t>A-497__42</t>
        </is>
      </c>
      <c r="C3513" t="n">
        <v>37.2675790046</v>
      </c>
      <c r="D3513" t="n">
        <v>-6.96627427939</v>
      </c>
      <c r="E3513" t="n">
        <v>2</v>
      </c>
      <c r="F3513" t="n">
        <v>3</v>
      </c>
      <c r="G3513" t="n">
        <v>3</v>
      </c>
      <c r="J3513" t="inlineStr">
        <is>
          <t>Moda</t>
        </is>
      </c>
      <c r="K3513" t="n">
        <v>3</v>
      </c>
      <c r="L3513" t="n">
        <v>2.978</v>
      </c>
      <c r="M3513" t="n">
        <v>0</v>
      </c>
      <c r="N3513" t="inlineStr">
        <is>
          <t>train</t>
        </is>
      </c>
      <c r="O3513">
        <f>HYPERLINK("3\1\marker_166_940255.png", "Ver Imagen")</f>
        <v/>
      </c>
      <c r="P3513">
        <f>HYPERLINK("SE\A-497\A-497__42.png", "Ver Imagen")</f>
        <v/>
      </c>
    </row>
    <row r="3514">
      <c r="A3514" t="n">
        <v>3052</v>
      </c>
      <c r="B3514" t="inlineStr">
        <is>
          <t>A-497__38</t>
        </is>
      </c>
      <c r="C3514" t="n">
        <v>37.2675461074</v>
      </c>
      <c r="D3514" t="n">
        <v>-6.96529555102</v>
      </c>
      <c r="E3514" t="n">
        <v>2</v>
      </c>
      <c r="F3514" t="n">
        <v>3</v>
      </c>
      <c r="G3514" t="n">
        <v>3</v>
      </c>
      <c r="J3514" t="inlineStr">
        <is>
          <t>Moda</t>
        </is>
      </c>
      <c r="K3514" t="n">
        <v>3</v>
      </c>
      <c r="L3514" t="n">
        <v>3.299</v>
      </c>
      <c r="M3514" t="n">
        <v>0</v>
      </c>
      <c r="N3514" t="inlineStr">
        <is>
          <t>train</t>
        </is>
      </c>
      <c r="O3514">
        <f>HYPERLINK("3\1\marker_234_940302.png", "Ver Imagen")</f>
        <v/>
      </c>
      <c r="P3514">
        <f>HYPERLINK("SE\A-497\A-497__38.png", "Ver Imagen")</f>
        <v/>
      </c>
    </row>
    <row r="3515">
      <c r="A3515" t="n">
        <v>3053</v>
      </c>
      <c r="B3515" t="inlineStr">
        <is>
          <t>A-497__34</t>
        </is>
      </c>
      <c r="C3515" t="n">
        <v>37.267524945</v>
      </c>
      <c r="D3515" t="n">
        <v>-6.96425213295</v>
      </c>
      <c r="E3515" t="n">
        <v>3</v>
      </c>
      <c r="F3515" t="n">
        <v>3</v>
      </c>
      <c r="G3515" t="n">
        <v>4</v>
      </c>
      <c r="J3515" t="inlineStr">
        <is>
          <t>Moda</t>
        </is>
      </c>
      <c r="K3515" t="n">
        <v>3</v>
      </c>
      <c r="L3515" t="n">
        <v>2.923</v>
      </c>
      <c r="M3515" t="n">
        <v>0</v>
      </c>
      <c r="N3515" t="inlineStr">
        <is>
          <t>train</t>
        </is>
      </c>
      <c r="O3515">
        <f>HYPERLINK("3\1\marker_306_940557.png", "Ver Imagen")</f>
        <v/>
      </c>
      <c r="P3515">
        <f>HYPERLINK("SE\A-497\A-497__34.png", "Ver Imagen")</f>
        <v/>
      </c>
    </row>
    <row r="3516">
      <c r="A3516" t="n">
        <v>3054</v>
      </c>
      <c r="B3516" t="inlineStr">
        <is>
          <t>A-497__33</t>
        </is>
      </c>
      <c r="C3516" t="n">
        <v>37.2675196437</v>
      </c>
      <c r="D3516" t="n">
        <v>-6.96399968545</v>
      </c>
      <c r="E3516" t="n">
        <v>2</v>
      </c>
      <c r="F3516" t="n">
        <v>3</v>
      </c>
      <c r="G3516" t="n">
        <v>3</v>
      </c>
      <c r="J3516" t="inlineStr">
        <is>
          <t>Moda</t>
        </is>
      </c>
      <c r="K3516" t="n">
        <v>3</v>
      </c>
      <c r="L3516" t="n">
        <v>3.155</v>
      </c>
      <c r="M3516" t="n">
        <v>0</v>
      </c>
      <c r="N3516" t="inlineStr">
        <is>
          <t>val</t>
        </is>
      </c>
      <c r="O3516">
        <f>HYPERLINK("3\1\marker_393_940568.png", "Ver Imagen")</f>
        <v/>
      </c>
      <c r="P3516">
        <f>HYPERLINK("SE\A-497\A-497__33.png", "Ver Imagen")</f>
        <v/>
      </c>
    </row>
    <row r="3517">
      <c r="A3517" t="n">
        <v>3055</v>
      </c>
      <c r="B3517" t="inlineStr">
        <is>
          <t>A-497__31</t>
        </is>
      </c>
      <c r="C3517" t="n">
        <v>37.2675102362</v>
      </c>
      <c r="D3517" t="n">
        <v>-6.96351265418</v>
      </c>
      <c r="E3517" t="n">
        <v>3</v>
      </c>
      <c r="F3517" t="n">
        <v>3</v>
      </c>
      <c r="G3517" t="n">
        <v>4</v>
      </c>
      <c r="J3517" t="inlineStr">
        <is>
          <t>Moda</t>
        </is>
      </c>
      <c r="K3517" t="n">
        <v>3</v>
      </c>
      <c r="L3517" t="n">
        <v>2.911</v>
      </c>
      <c r="M3517" t="n">
        <v>0</v>
      </c>
      <c r="N3517" t="inlineStr">
        <is>
          <t>train</t>
        </is>
      </c>
      <c r="O3517">
        <f>HYPERLINK("3\1\marker_811_940683.png", "Ver Imagen")</f>
        <v/>
      </c>
      <c r="P3517">
        <f>HYPERLINK("SE\A-497\A-497__31.png", "Ver Imagen")</f>
        <v/>
      </c>
    </row>
    <row r="3518">
      <c r="A3518" t="n">
        <v>3056</v>
      </c>
      <c r="B3518" t="inlineStr">
        <is>
          <t>A-5050__169</t>
        </is>
      </c>
      <c r="C3518" t="n">
        <v>37.1911823942</v>
      </c>
      <c r="D3518" t="n">
        <v>-6.99136770168</v>
      </c>
      <c r="E3518" t="n">
        <v>2</v>
      </c>
      <c r="F3518" t="n">
        <v>3</v>
      </c>
      <c r="G3518" t="n">
        <v>3</v>
      </c>
      <c r="J3518" t="inlineStr">
        <is>
          <t>Moda</t>
        </is>
      </c>
      <c r="K3518" t="n">
        <v>3</v>
      </c>
      <c r="L3518" t="n">
        <v>2.801</v>
      </c>
      <c r="M3518" t="n">
        <v>0</v>
      </c>
      <c r="N3518" t="inlineStr">
        <is>
          <t>train</t>
        </is>
      </c>
      <c r="O3518">
        <f>HYPERLINK("3\1\marker_842_944298.png", "Ver Imagen")</f>
        <v/>
      </c>
      <c r="P3518">
        <f>HYPERLINK("SE\A-5050\A-5050__169.png", "Ver Imagen")</f>
        <v/>
      </c>
    </row>
    <row r="3519">
      <c r="A3519" t="n">
        <v>3057</v>
      </c>
      <c r="B3519" t="inlineStr">
        <is>
          <t>A-5050__148</t>
        </is>
      </c>
      <c r="C3519" t="n">
        <v>37.1932924826</v>
      </c>
      <c r="D3519" t="n">
        <v>-6.99603810767</v>
      </c>
      <c r="E3519" t="n">
        <v>2</v>
      </c>
      <c r="F3519" t="n">
        <v>3</v>
      </c>
      <c r="G3519" t="n">
        <v>3</v>
      </c>
      <c r="J3519" t="inlineStr">
        <is>
          <t>Moda</t>
        </is>
      </c>
      <c r="K3519" t="n">
        <v>3</v>
      </c>
      <c r="L3519" t="n">
        <v>2.9</v>
      </c>
      <c r="M3519" t="n">
        <v>0</v>
      </c>
      <c r="N3519" t="inlineStr">
        <is>
          <t>train</t>
        </is>
      </c>
      <c r="O3519">
        <f>HYPERLINK("3\1\marker_818_945420.png", "Ver Imagen")</f>
        <v/>
      </c>
      <c r="P3519">
        <f>HYPERLINK("SE\A-5050\A-5050__148.png", "Ver Imagen")</f>
        <v/>
      </c>
    </row>
    <row r="3520">
      <c r="A3520" t="n">
        <v>3058</v>
      </c>
      <c r="B3520" t="inlineStr">
        <is>
          <t>A-5050__141</t>
        </is>
      </c>
      <c r="C3520" t="n">
        <v>37.1939643171</v>
      </c>
      <c r="D3520" t="n">
        <v>-6.99762173129</v>
      </c>
      <c r="E3520" t="n">
        <v>2</v>
      </c>
      <c r="F3520" t="n">
        <v>3</v>
      </c>
      <c r="G3520" t="n">
        <v>3</v>
      </c>
      <c r="J3520" t="inlineStr">
        <is>
          <t>Moda</t>
        </is>
      </c>
      <c r="K3520" t="n">
        <v>3</v>
      </c>
      <c r="L3520" t="n">
        <v>2.669</v>
      </c>
      <c r="M3520" t="n">
        <v>0</v>
      </c>
      <c r="N3520" t="inlineStr">
        <is>
          <t>train</t>
        </is>
      </c>
      <c r="O3520">
        <f>HYPERLINK("3\1\marker_155_945829.png", "Ver Imagen")</f>
        <v/>
      </c>
      <c r="P3520">
        <f>HYPERLINK("SE\A-5050\A-5050__141.png", "Ver Imagen")</f>
        <v/>
      </c>
    </row>
    <row r="3521">
      <c r="A3521" t="n">
        <v>3059</v>
      </c>
      <c r="B3521" t="inlineStr">
        <is>
          <t>A-5050__101</t>
        </is>
      </c>
      <c r="C3521" t="n">
        <v>37.1977070895</v>
      </c>
      <c r="D3521" t="n">
        <v>-7.00656888846</v>
      </c>
      <c r="E3521" t="n">
        <v>2</v>
      </c>
      <c r="F3521" t="n">
        <v>3</v>
      </c>
      <c r="G3521" t="n">
        <v>3</v>
      </c>
      <c r="J3521" t="inlineStr">
        <is>
          <t>Moda</t>
        </is>
      </c>
      <c r="K3521" t="n">
        <v>3</v>
      </c>
      <c r="L3521" t="n">
        <v>3.05</v>
      </c>
      <c r="M3521" t="n">
        <v>0</v>
      </c>
      <c r="N3521" t="inlineStr">
        <is>
          <t>train</t>
        </is>
      </c>
      <c r="O3521">
        <f>HYPERLINK("3\1\marker_632_946795.png", "Ver Imagen")</f>
        <v/>
      </c>
      <c r="P3521">
        <f>HYPERLINK("SE\A-5050\A-5050__101.png", "Ver Imagen")</f>
        <v/>
      </c>
    </row>
    <row r="3522">
      <c r="A3522" t="n">
        <v>3060</v>
      </c>
      <c r="B3522" t="inlineStr">
        <is>
          <t>A-5050__81</t>
        </is>
      </c>
      <c r="C3522" t="n">
        <v>37.1999697672</v>
      </c>
      <c r="D3522" t="n">
        <v>-7.01070458318</v>
      </c>
      <c r="E3522" t="n">
        <v>3</v>
      </c>
      <c r="F3522" t="n">
        <v>3</v>
      </c>
      <c r="G3522" t="n">
        <v>4</v>
      </c>
      <c r="J3522" t="inlineStr">
        <is>
          <t>Moda</t>
        </is>
      </c>
      <c r="K3522" t="n">
        <v>3</v>
      </c>
      <c r="L3522" t="n">
        <v>2.886</v>
      </c>
      <c r="M3522" t="n">
        <v>0</v>
      </c>
      <c r="N3522" t="inlineStr">
        <is>
          <t>train</t>
        </is>
      </c>
      <c r="O3522">
        <f>HYPERLINK("3\1\marker_603_948761.png", "Ver Imagen")</f>
        <v/>
      </c>
      <c r="P3522">
        <f>HYPERLINK("SE\A-5050\A-5050__81.png", "Ver Imagen")</f>
        <v/>
      </c>
    </row>
    <row r="3523">
      <c r="A3523" t="n">
        <v>3061</v>
      </c>
      <c r="B3523" t="inlineStr">
        <is>
          <t>A-5050__79</t>
        </is>
      </c>
      <c r="C3523" t="n">
        <v>37.2002495687</v>
      </c>
      <c r="D3523" t="n">
        <v>-7.01114145155</v>
      </c>
      <c r="E3523" t="n">
        <v>3</v>
      </c>
      <c r="F3523" t="n">
        <v>3</v>
      </c>
      <c r="G3523" t="n">
        <v>4</v>
      </c>
      <c r="J3523" t="inlineStr">
        <is>
          <t>Moda</t>
        </is>
      </c>
      <c r="K3523" t="n">
        <v>3</v>
      </c>
      <c r="L3523" t="n">
        <v>3.051</v>
      </c>
      <c r="M3523" t="n">
        <v>0</v>
      </c>
      <c r="N3523" t="inlineStr">
        <is>
          <t>train</t>
        </is>
      </c>
      <c r="O3523">
        <f>HYPERLINK("3\1\marker_518_948784.png", "Ver Imagen")</f>
        <v/>
      </c>
      <c r="P3523">
        <f>HYPERLINK("SE\A-5050\A-5050__79.png", "Ver Imagen")</f>
        <v/>
      </c>
    </row>
    <row r="3524">
      <c r="A3524" t="n">
        <v>3062</v>
      </c>
      <c r="B3524" t="inlineStr">
        <is>
          <t>A-5050__22</t>
        </is>
      </c>
      <c r="C3524" t="n">
        <v>37.2075805916</v>
      </c>
      <c r="D3524" t="n">
        <v>-7.02223693209</v>
      </c>
      <c r="E3524" t="n">
        <v>3</v>
      </c>
      <c r="F3524" t="n">
        <v>3</v>
      </c>
      <c r="G3524" t="n">
        <v>4</v>
      </c>
      <c r="J3524" t="inlineStr">
        <is>
          <t>Moda</t>
        </is>
      </c>
      <c r="K3524" t="n">
        <v>3</v>
      </c>
      <c r="L3524" t="n">
        <v>3.015</v>
      </c>
      <c r="M3524" t="n">
        <v>0</v>
      </c>
      <c r="N3524" t="inlineStr">
        <is>
          <t>train</t>
        </is>
      </c>
      <c r="O3524">
        <f>HYPERLINK("3\1\marker_720_949439.png", "Ver Imagen")</f>
        <v/>
      </c>
      <c r="P3524">
        <f>HYPERLINK("SE\A-5050\A-5050__22.png", "Ver Imagen")</f>
        <v/>
      </c>
    </row>
    <row r="3525">
      <c r="A3525" t="n">
        <v>3063</v>
      </c>
      <c r="B3525" t="inlineStr">
        <is>
          <t>A-5052__6</t>
        </is>
      </c>
      <c r="C3525" t="n">
        <v>37.2183843415</v>
      </c>
      <c r="D3525" t="n">
        <v>-7.12447037864</v>
      </c>
      <c r="E3525" t="n">
        <v>2</v>
      </c>
      <c r="F3525" t="n">
        <v>3</v>
      </c>
      <c r="G3525" t="n">
        <v>3</v>
      </c>
      <c r="J3525" t="inlineStr">
        <is>
          <t>Moda</t>
        </is>
      </c>
      <c r="K3525" t="n">
        <v>3</v>
      </c>
      <c r="L3525" t="n">
        <v>2.768</v>
      </c>
      <c r="M3525" t="n">
        <v>0</v>
      </c>
      <c r="N3525" t="inlineStr">
        <is>
          <t>train</t>
        </is>
      </c>
      <c r="O3525">
        <f>HYPERLINK("3\1\marker_310_949930.png", "Ver Imagen")</f>
        <v/>
      </c>
      <c r="P3525">
        <f>HYPERLINK("SO\A-5052\A-5052__6.png", "Ver Imagen")</f>
        <v/>
      </c>
    </row>
    <row r="3526">
      <c r="A3526" t="n">
        <v>3064</v>
      </c>
      <c r="B3526" t="inlineStr">
        <is>
          <t>A-5052__9</t>
        </is>
      </c>
      <c r="C3526" t="n">
        <v>37.2183465663</v>
      </c>
      <c r="D3526" t="n">
        <v>-7.12372800095</v>
      </c>
      <c r="E3526" t="n">
        <v>3</v>
      </c>
      <c r="F3526" t="n">
        <v>3</v>
      </c>
      <c r="G3526" t="n">
        <v>4</v>
      </c>
      <c r="J3526" t="inlineStr">
        <is>
          <t>Moda</t>
        </is>
      </c>
      <c r="K3526" t="n">
        <v>3</v>
      </c>
      <c r="L3526" t="n">
        <v>3.04</v>
      </c>
      <c r="M3526" t="n">
        <v>0</v>
      </c>
      <c r="N3526" t="inlineStr">
        <is>
          <t>train</t>
        </is>
      </c>
      <c r="O3526">
        <f>HYPERLINK("3\1\marker_970_950011.png", "Ver Imagen")</f>
        <v/>
      </c>
      <c r="P3526">
        <f>HYPERLINK("SO\A-5052\A-5052__9.png", "Ver Imagen")</f>
        <v/>
      </c>
    </row>
    <row r="3527">
      <c r="A3527" t="n">
        <v>3065</v>
      </c>
      <c r="B3527" t="inlineStr">
        <is>
          <t>A-5052__14</t>
        </is>
      </c>
      <c r="C3527" t="n">
        <v>37.2180626073</v>
      </c>
      <c r="D3527" t="n">
        <v>-7.12249300778</v>
      </c>
      <c r="E3527" t="n">
        <v>2</v>
      </c>
      <c r="F3527" t="n">
        <v>3</v>
      </c>
      <c r="G3527" t="n">
        <v>3</v>
      </c>
      <c r="J3527" t="inlineStr">
        <is>
          <t>Moda</t>
        </is>
      </c>
      <c r="K3527" t="n">
        <v>3</v>
      </c>
      <c r="L3527" t="n">
        <v>2.874</v>
      </c>
      <c r="M3527" t="n">
        <v>0</v>
      </c>
      <c r="N3527" t="inlineStr">
        <is>
          <t>train</t>
        </is>
      </c>
      <c r="O3527">
        <f>HYPERLINK("3\1\marker_747_950145.png", "Ver Imagen")</f>
        <v/>
      </c>
      <c r="P3527">
        <f>HYPERLINK("SO\A-5052\A-5052__14.png", "Ver Imagen")</f>
        <v/>
      </c>
    </row>
    <row r="3528">
      <c r="A3528" t="n">
        <v>3066</v>
      </c>
      <c r="B3528" t="inlineStr">
        <is>
          <t>A-5052__42</t>
        </is>
      </c>
      <c r="C3528" t="n">
        <v>37.2176988063</v>
      </c>
      <c r="D3528" t="n">
        <v>-7.11549733016</v>
      </c>
      <c r="E3528" t="n">
        <v>3</v>
      </c>
      <c r="F3528" t="n">
        <v>3</v>
      </c>
      <c r="G3528" t="n">
        <v>2</v>
      </c>
      <c r="J3528" t="inlineStr">
        <is>
          <t>Moda</t>
        </is>
      </c>
      <c r="K3528" t="n">
        <v>3</v>
      </c>
      <c r="L3528" t="n">
        <v>2.755</v>
      </c>
      <c r="M3528" t="n">
        <v>0</v>
      </c>
      <c r="N3528" t="inlineStr">
        <is>
          <t>train</t>
        </is>
      </c>
      <c r="O3528">
        <f>HYPERLINK("3\1\marker_833_956832.png", "Ver Imagen")</f>
        <v/>
      </c>
      <c r="P3528">
        <f>HYPERLINK("SO\A-5052\A-5052__42.png", "Ver Imagen")</f>
        <v/>
      </c>
    </row>
    <row r="3529">
      <c r="A3529" t="n">
        <v>3067</v>
      </c>
      <c r="B3529" t="inlineStr">
        <is>
          <t>A-5052__66</t>
        </is>
      </c>
      <c r="C3529" t="n">
        <v>37.2176453982</v>
      </c>
      <c r="D3529" t="n">
        <v>-7.10945577093</v>
      </c>
      <c r="E3529" t="n">
        <v>2</v>
      </c>
      <c r="F3529" t="n">
        <v>3</v>
      </c>
      <c r="G3529" t="n">
        <v>3</v>
      </c>
      <c r="J3529" t="inlineStr">
        <is>
          <t>Moda</t>
        </is>
      </c>
      <c r="K3529" t="n">
        <v>3</v>
      </c>
      <c r="L3529" t="n">
        <v>2.727</v>
      </c>
      <c r="M3529" t="n">
        <v>0</v>
      </c>
      <c r="N3529" t="inlineStr">
        <is>
          <t>train</t>
        </is>
      </c>
      <c r="O3529">
        <f>HYPERLINK("3\1\marker_187_957129.png", "Ver Imagen")</f>
        <v/>
      </c>
      <c r="P3529">
        <f>HYPERLINK("SO\A-5052\A-5052__66.png", "Ver Imagen")</f>
        <v/>
      </c>
    </row>
    <row r="3530">
      <c r="A3530" t="n">
        <v>3068</v>
      </c>
      <c r="B3530" t="inlineStr">
        <is>
          <t>A-5052__130</t>
        </is>
      </c>
      <c r="C3530" t="n">
        <v>37.216609273</v>
      </c>
      <c r="D3530" t="n">
        <v>-7.09341147307</v>
      </c>
      <c r="E3530" t="n">
        <v>2</v>
      </c>
      <c r="F3530" t="n">
        <v>3</v>
      </c>
      <c r="G3530" t="n">
        <v>3</v>
      </c>
      <c r="J3530" t="inlineStr">
        <is>
          <t>Moda</t>
        </is>
      </c>
      <c r="K3530" t="n">
        <v>3</v>
      </c>
      <c r="L3530" t="n">
        <v>3.171</v>
      </c>
      <c r="M3530" t="n">
        <v>0</v>
      </c>
      <c r="N3530" t="inlineStr">
        <is>
          <t>train</t>
        </is>
      </c>
      <c r="O3530">
        <f>HYPERLINK("3\1\marker_355_958109.png", "Ver Imagen")</f>
        <v/>
      </c>
      <c r="P3530">
        <f>HYPERLINK("SE\A-5052\A-5052__130.png", "Ver Imagen")</f>
        <v/>
      </c>
    </row>
    <row r="3531">
      <c r="A3531" t="n">
        <v>3068</v>
      </c>
      <c r="B3531" t="inlineStr">
        <is>
          <t>A-5052__130</t>
        </is>
      </c>
      <c r="C3531" t="n">
        <v>37.216609273</v>
      </c>
      <c r="D3531" t="n">
        <v>-7.09341147307</v>
      </c>
      <c r="E3531" t="n">
        <v>2</v>
      </c>
      <c r="F3531" t="n">
        <v>3</v>
      </c>
      <c r="G3531" t="n">
        <v>3</v>
      </c>
      <c r="J3531" t="inlineStr">
        <is>
          <t>Moda</t>
        </is>
      </c>
      <c r="K3531" t="n">
        <v>3</v>
      </c>
      <c r="L3531" t="n">
        <v>3.261</v>
      </c>
      <c r="M3531" t="n">
        <v>0</v>
      </c>
      <c r="N3531" t="inlineStr">
        <is>
          <t>train</t>
        </is>
      </c>
      <c r="O3531">
        <f>HYPERLINK("3\1\marker_355_958109.png", "Ver Imagen")</f>
        <v/>
      </c>
      <c r="P3531">
        <f>HYPERLINK("SO\A-5052\A-5052__130.png", "Ver Imagen")</f>
        <v/>
      </c>
    </row>
    <row r="3532">
      <c r="A3532" t="n">
        <v>3069</v>
      </c>
      <c r="B3532" t="inlineStr">
        <is>
          <t>A-5052__136</t>
        </is>
      </c>
      <c r="C3532" t="n">
        <v>37.2163770365</v>
      </c>
      <c r="D3532" t="n">
        <v>-7.09189322484</v>
      </c>
      <c r="E3532" t="n">
        <v>2</v>
      </c>
      <c r="F3532" t="n">
        <v>3</v>
      </c>
      <c r="G3532" t="n">
        <v>3</v>
      </c>
      <c r="J3532" t="inlineStr">
        <is>
          <t>Moda</t>
        </is>
      </c>
      <c r="K3532" t="n">
        <v>3</v>
      </c>
      <c r="L3532" t="n">
        <v>3.048</v>
      </c>
      <c r="M3532" t="n">
        <v>0</v>
      </c>
      <c r="N3532" t="inlineStr">
        <is>
          <t>val</t>
        </is>
      </c>
      <c r="O3532">
        <f>HYPERLINK("3\1\marker_825_958175.png", "Ver Imagen")</f>
        <v/>
      </c>
      <c r="P3532">
        <f>HYPERLINK("SE\A-5052\A-5052__136.png", "Ver Imagen")</f>
        <v/>
      </c>
    </row>
    <row r="3533">
      <c r="A3533" t="n">
        <v>3070</v>
      </c>
      <c r="B3533" t="inlineStr">
        <is>
          <t>A-5052__137</t>
        </is>
      </c>
      <c r="C3533" t="n">
        <v>37.2163387163</v>
      </c>
      <c r="D3533" t="n">
        <v>-7.09164979477</v>
      </c>
      <c r="E3533" t="n">
        <v>2</v>
      </c>
      <c r="F3533" t="n">
        <v>3</v>
      </c>
      <c r="G3533" t="n">
        <v>3</v>
      </c>
      <c r="J3533" t="inlineStr">
        <is>
          <t>Moda</t>
        </is>
      </c>
      <c r="K3533" t="n">
        <v>3</v>
      </c>
      <c r="L3533" t="n">
        <v>2.818</v>
      </c>
      <c r="M3533" t="n">
        <v>0</v>
      </c>
      <c r="N3533" t="inlineStr">
        <is>
          <t>train</t>
        </is>
      </c>
      <c r="O3533">
        <f>HYPERLINK("3\1\marker_139_958186.png", "Ver Imagen")</f>
        <v/>
      </c>
      <c r="P3533">
        <f>HYPERLINK("SE\A-5052\A-5052__137.png", "Ver Imagen")</f>
        <v/>
      </c>
    </row>
    <row r="3534">
      <c r="A3534" t="n">
        <v>3070</v>
      </c>
      <c r="B3534" t="inlineStr">
        <is>
          <t>A-5052__137</t>
        </is>
      </c>
      <c r="C3534" t="n">
        <v>37.2163387163</v>
      </c>
      <c r="D3534" t="n">
        <v>-7.09164979477</v>
      </c>
      <c r="E3534" t="n">
        <v>2</v>
      </c>
      <c r="F3534" t="n">
        <v>3</v>
      </c>
      <c r="G3534" t="n">
        <v>3</v>
      </c>
      <c r="J3534" t="inlineStr">
        <is>
          <t>Moda</t>
        </is>
      </c>
      <c r="K3534" t="n">
        <v>3</v>
      </c>
      <c r="L3534" t="n">
        <v>2.819</v>
      </c>
      <c r="M3534" t="n">
        <v>0</v>
      </c>
      <c r="N3534" t="inlineStr">
        <is>
          <t>train</t>
        </is>
      </c>
      <c r="O3534">
        <f>HYPERLINK("3\1\marker_139_958186.png", "Ver Imagen")</f>
        <v/>
      </c>
      <c r="P3534">
        <f>HYPERLINK("SO\A-5052\A-5052__137.png", "Ver Imagen")</f>
        <v/>
      </c>
    </row>
    <row r="3535">
      <c r="A3535" t="n">
        <v>3071</v>
      </c>
      <c r="B3535" t="inlineStr">
        <is>
          <t>A-5052__167</t>
        </is>
      </c>
      <c r="C3535" t="n">
        <v>37.2161973333</v>
      </c>
      <c r="D3535" t="n">
        <v>-7.08411267036</v>
      </c>
      <c r="E3535" t="n">
        <v>2</v>
      </c>
      <c r="F3535" t="n">
        <v>3</v>
      </c>
      <c r="G3535" t="n">
        <v>3</v>
      </c>
      <c r="J3535" t="inlineStr">
        <is>
          <t>Moda</t>
        </is>
      </c>
      <c r="K3535" t="n">
        <v>3</v>
      </c>
      <c r="L3535" t="n">
        <v>2.875</v>
      </c>
      <c r="M3535" t="n">
        <v>0</v>
      </c>
      <c r="N3535" t="inlineStr">
        <is>
          <t>train</t>
        </is>
      </c>
      <c r="O3535">
        <f>HYPERLINK("3\1\marker_768_958921.png", "Ver Imagen")</f>
        <v/>
      </c>
      <c r="P3535">
        <f>HYPERLINK("SE\A-5052\A-5052__167.png", "Ver Imagen")</f>
        <v/>
      </c>
    </row>
    <row r="3536">
      <c r="A3536" t="n">
        <v>3071</v>
      </c>
      <c r="B3536" t="inlineStr">
        <is>
          <t>A-5052__167</t>
        </is>
      </c>
      <c r="C3536" t="n">
        <v>37.2161973333</v>
      </c>
      <c r="D3536" t="n">
        <v>-7.08411267036</v>
      </c>
      <c r="E3536" t="n">
        <v>2</v>
      </c>
      <c r="F3536" t="n">
        <v>3</v>
      </c>
      <c r="G3536" t="n">
        <v>3</v>
      </c>
      <c r="J3536" t="inlineStr">
        <is>
          <t>Moda</t>
        </is>
      </c>
      <c r="K3536" t="n">
        <v>3</v>
      </c>
      <c r="L3536" t="n">
        <v>2.932</v>
      </c>
      <c r="M3536" t="n">
        <v>0</v>
      </c>
      <c r="N3536" t="inlineStr">
        <is>
          <t>train</t>
        </is>
      </c>
      <c r="O3536">
        <f>HYPERLINK("3\1\marker_768_958921.png", "Ver Imagen")</f>
        <v/>
      </c>
      <c r="P3536">
        <f>HYPERLINK("SO\A-5052\A-5052__167.png", "Ver Imagen")</f>
        <v/>
      </c>
    </row>
    <row r="3537">
      <c r="A3537" t="n">
        <v>3072</v>
      </c>
      <c r="B3537" t="inlineStr">
        <is>
          <t>A-5052__204</t>
        </is>
      </c>
      <c r="C3537" t="n">
        <v>37.2141412537</v>
      </c>
      <c r="D3537" t="n">
        <v>-7.07515283625</v>
      </c>
      <c r="E3537" t="n">
        <v>2</v>
      </c>
      <c r="F3537" t="n">
        <v>3</v>
      </c>
      <c r="G3537" t="n">
        <v>3</v>
      </c>
      <c r="J3537" t="inlineStr">
        <is>
          <t>Moda</t>
        </is>
      </c>
      <c r="K3537" t="n">
        <v>3</v>
      </c>
      <c r="L3537" t="n">
        <v>2.892</v>
      </c>
      <c r="M3537" t="n">
        <v>0</v>
      </c>
      <c r="N3537" t="inlineStr">
        <is>
          <t>val</t>
        </is>
      </c>
      <c r="O3537">
        <f>HYPERLINK("3\1\marker_733_959511.png", "Ver Imagen")</f>
        <v/>
      </c>
      <c r="P3537">
        <f>HYPERLINK("SE\A-5052\A-5052__204.png", "Ver Imagen")</f>
        <v/>
      </c>
    </row>
    <row r="3538">
      <c r="A3538" t="n">
        <v>3072</v>
      </c>
      <c r="B3538" t="inlineStr">
        <is>
          <t>A-5052__204</t>
        </is>
      </c>
      <c r="C3538" t="n">
        <v>37.2141412537</v>
      </c>
      <c r="D3538" t="n">
        <v>-7.07515283625</v>
      </c>
      <c r="E3538" t="n">
        <v>2</v>
      </c>
      <c r="F3538" t="n">
        <v>3</v>
      </c>
      <c r="G3538" t="n">
        <v>3</v>
      </c>
      <c r="J3538" t="inlineStr">
        <is>
          <t>Moda</t>
        </is>
      </c>
      <c r="K3538" t="n">
        <v>3</v>
      </c>
      <c r="L3538" t="n">
        <v>2.847</v>
      </c>
      <c r="M3538" t="n">
        <v>0</v>
      </c>
      <c r="N3538" t="inlineStr">
        <is>
          <t>val</t>
        </is>
      </c>
      <c r="O3538">
        <f>HYPERLINK("3\1\marker_733_959511.png", "Ver Imagen")</f>
        <v/>
      </c>
      <c r="P3538">
        <f>HYPERLINK("SO\A-5052\A-5052__204.png", "Ver Imagen")</f>
        <v/>
      </c>
    </row>
    <row r="3539">
      <c r="A3539" t="n">
        <v>3073</v>
      </c>
      <c r="B3539" t="inlineStr">
        <is>
          <t>A-5052__244</t>
        </is>
      </c>
      <c r="C3539" t="n">
        <v>37.2132955169</v>
      </c>
      <c r="D3539" t="n">
        <v>-7.0650942016</v>
      </c>
      <c r="E3539" t="n">
        <v>2</v>
      </c>
      <c r="F3539" t="n">
        <v>3</v>
      </c>
      <c r="G3539" t="n">
        <v>3</v>
      </c>
      <c r="J3539" t="inlineStr">
        <is>
          <t>Moda</t>
        </is>
      </c>
      <c r="K3539" t="n">
        <v>3</v>
      </c>
      <c r="L3539" t="n">
        <v>2.794</v>
      </c>
      <c r="M3539" t="n">
        <v>0</v>
      </c>
      <c r="N3539" t="inlineStr">
        <is>
          <t>train</t>
        </is>
      </c>
      <c r="O3539">
        <f>HYPERLINK("3\1\marker_613_959999.png", "Ver Imagen")</f>
        <v/>
      </c>
      <c r="P3539">
        <f>HYPERLINK("SE\A-5052\A-5052__244.png", "Ver Imagen")</f>
        <v/>
      </c>
    </row>
    <row r="3540">
      <c r="A3540" t="n">
        <v>3074</v>
      </c>
      <c r="B3540" t="inlineStr">
        <is>
          <t>A-5052__293</t>
        </is>
      </c>
      <c r="C3540" t="n">
        <v>37.2108120264</v>
      </c>
      <c r="D3540" t="n">
        <v>-7.05330653668</v>
      </c>
      <c r="E3540" t="n">
        <v>3</v>
      </c>
      <c r="F3540" t="n">
        <v>3</v>
      </c>
      <c r="G3540" t="n">
        <v>4</v>
      </c>
      <c r="J3540" t="inlineStr">
        <is>
          <t>Moda</t>
        </is>
      </c>
      <c r="K3540" t="n">
        <v>3</v>
      </c>
      <c r="L3540" t="n">
        <v>2.84</v>
      </c>
      <c r="M3540" t="n">
        <v>0</v>
      </c>
      <c r="N3540" t="inlineStr">
        <is>
          <t>train</t>
        </is>
      </c>
      <c r="O3540">
        <f>HYPERLINK("3\1\marker_125_960742.png", "Ver Imagen")</f>
        <v/>
      </c>
      <c r="P3540">
        <f>HYPERLINK("SE\A-5052\A-5052__293.png", "Ver Imagen")</f>
        <v/>
      </c>
    </row>
    <row r="3541">
      <c r="A3541" t="n">
        <v>3075</v>
      </c>
      <c r="B3541" t="inlineStr">
        <is>
          <t>A-5052__307</t>
        </is>
      </c>
      <c r="C3541" t="n">
        <v>37.2114030916</v>
      </c>
      <c r="D3541" t="n">
        <v>-7.04993841598</v>
      </c>
      <c r="E3541" t="n">
        <v>2</v>
      </c>
      <c r="F3541" t="n">
        <v>3</v>
      </c>
      <c r="G3541" t="n">
        <v>3</v>
      </c>
      <c r="J3541" t="inlineStr">
        <is>
          <t>Moda</t>
        </is>
      </c>
      <c r="K3541" t="n">
        <v>3</v>
      </c>
      <c r="L3541" t="n">
        <v>2.817</v>
      </c>
      <c r="M3541" t="n">
        <v>0</v>
      </c>
      <c r="N3541" t="inlineStr">
        <is>
          <t>train</t>
        </is>
      </c>
      <c r="O3541">
        <f>HYPERLINK("3\1\marker_515_961054.png", "Ver Imagen")</f>
        <v/>
      </c>
      <c r="P3541">
        <f>HYPERLINK("SE\A-5052\A-5052__307.png", "Ver Imagen")</f>
        <v/>
      </c>
    </row>
    <row r="3542">
      <c r="A3542" t="n">
        <v>3076</v>
      </c>
      <c r="B3542" t="inlineStr">
        <is>
          <t>A-5052__360</t>
        </is>
      </c>
      <c r="C3542" t="n">
        <v>37.2083647881</v>
      </c>
      <c r="D3542" t="n">
        <v>-7.03747503376</v>
      </c>
      <c r="E3542" t="n">
        <v>3</v>
      </c>
      <c r="F3542" t="n">
        <v>3</v>
      </c>
      <c r="G3542" t="n">
        <v>4</v>
      </c>
      <c r="J3542" t="inlineStr">
        <is>
          <t>Moda</t>
        </is>
      </c>
      <c r="K3542" t="n">
        <v>3</v>
      </c>
      <c r="L3542" t="n">
        <v>2.87</v>
      </c>
      <c r="M3542" t="n">
        <v>0</v>
      </c>
      <c r="N3542" t="inlineStr">
        <is>
          <t>train</t>
        </is>
      </c>
      <c r="O3542">
        <f>HYPERLINK("3\1\marker_201_961858.png", "Ver Imagen")</f>
        <v/>
      </c>
      <c r="P3542">
        <f>HYPERLINK("SE\A-5052\A-5052__360.png", "Ver Imagen")</f>
        <v/>
      </c>
    </row>
    <row r="3543">
      <c r="A3543" t="n">
        <v>3077</v>
      </c>
      <c r="B3543" t="inlineStr">
        <is>
          <t>A-5052__361</t>
        </is>
      </c>
      <c r="C3543" t="n">
        <v>37.2082817357</v>
      </c>
      <c r="D3543" t="n">
        <v>-7.03725777445</v>
      </c>
      <c r="E3543" t="n">
        <v>3</v>
      </c>
      <c r="F3543" t="n">
        <v>3</v>
      </c>
      <c r="G3543" t="n">
        <v>4</v>
      </c>
      <c r="J3543" t="inlineStr">
        <is>
          <t>Moda</t>
        </is>
      </c>
      <c r="K3543" t="n">
        <v>3</v>
      </c>
      <c r="L3543" t="n">
        <v>2.633</v>
      </c>
      <c r="M3543" t="n">
        <v>0</v>
      </c>
      <c r="N3543" t="inlineStr">
        <is>
          <t>train</t>
        </is>
      </c>
      <c r="O3543">
        <f>HYPERLINK("3\1\marker_442_961866.png", "Ver Imagen")</f>
        <v/>
      </c>
      <c r="P3543">
        <f>HYPERLINK("SE\A-5052\A-5052__361.png", "Ver Imagen")</f>
        <v/>
      </c>
    </row>
    <row r="3544">
      <c r="A3544" t="n">
        <v>3078</v>
      </c>
      <c r="B3544" t="inlineStr">
        <is>
          <t>A-5052__372</t>
        </is>
      </c>
      <c r="C3544" t="n">
        <v>37.2073069458</v>
      </c>
      <c r="D3544" t="n">
        <v>-7.03473738343</v>
      </c>
      <c r="E3544" t="n">
        <v>3</v>
      </c>
      <c r="F3544" t="n">
        <v>3</v>
      </c>
      <c r="G3544" t="n">
        <v>2</v>
      </c>
      <c r="J3544" t="inlineStr">
        <is>
          <t>Moda</t>
        </is>
      </c>
      <c r="K3544" t="n">
        <v>3</v>
      </c>
      <c r="L3544" t="n">
        <v>2.807</v>
      </c>
      <c r="M3544" t="n">
        <v>0</v>
      </c>
      <c r="N3544" t="inlineStr">
        <is>
          <t>train</t>
        </is>
      </c>
      <c r="O3544">
        <f>HYPERLINK("3\1\marker_898_962313.png", "Ver Imagen")</f>
        <v/>
      </c>
      <c r="P3544">
        <f>HYPERLINK("SE\A-5052\A-5052__372.png", "Ver Imagen")</f>
        <v/>
      </c>
    </row>
    <row r="3545">
      <c r="A3545" t="n">
        <v>3079</v>
      </c>
      <c r="B3545" t="inlineStr">
        <is>
          <t>A-5052__377</t>
        </is>
      </c>
      <c r="C3545" t="n">
        <v>37.2068673105</v>
      </c>
      <c r="D3545" t="n">
        <v>-7.03360024727</v>
      </c>
      <c r="E3545" t="n">
        <v>2</v>
      </c>
      <c r="F3545" t="n">
        <v>3</v>
      </c>
      <c r="G3545" t="n">
        <v>3</v>
      </c>
      <c r="J3545" t="inlineStr">
        <is>
          <t>Moda</t>
        </is>
      </c>
      <c r="K3545" t="n">
        <v>3</v>
      </c>
      <c r="L3545" t="n">
        <v>2.954</v>
      </c>
      <c r="M3545" t="n">
        <v>0</v>
      </c>
      <c r="N3545" t="inlineStr">
        <is>
          <t>train</t>
        </is>
      </c>
      <c r="O3545">
        <f>HYPERLINK("3\1\marker_663_962447.png", "Ver Imagen")</f>
        <v/>
      </c>
      <c r="P3545">
        <f>HYPERLINK("SE\A-5052\A-5052__377.png", "Ver Imagen")</f>
        <v/>
      </c>
    </row>
    <row r="3546">
      <c r="A3546" t="n">
        <v>3080</v>
      </c>
      <c r="B3546" t="inlineStr">
        <is>
          <t>A-5052__378</t>
        </is>
      </c>
      <c r="C3546" t="n">
        <v>37.2067821377</v>
      </c>
      <c r="D3546" t="n">
        <v>-7.03337521888</v>
      </c>
      <c r="E3546" t="n">
        <v>2</v>
      </c>
      <c r="F3546" t="n">
        <v>3</v>
      </c>
      <c r="G3546" t="n">
        <v>3</v>
      </c>
      <c r="J3546" t="inlineStr">
        <is>
          <t>Moda</t>
        </is>
      </c>
      <c r="K3546" t="n">
        <v>3</v>
      </c>
      <c r="L3546" t="n">
        <v>3.099</v>
      </c>
      <c r="M3546" t="n">
        <v>0</v>
      </c>
      <c r="N3546" t="inlineStr">
        <is>
          <t>train</t>
        </is>
      </c>
      <c r="O3546">
        <f>HYPERLINK("3\1\marker_295_962456.png", "Ver Imagen")</f>
        <v/>
      </c>
      <c r="P3546">
        <f>HYPERLINK("SE\A-5052\A-5052__378.png", "Ver Imagen")</f>
        <v/>
      </c>
    </row>
    <row r="3547">
      <c r="A3547" t="n">
        <v>3081</v>
      </c>
      <c r="B3547" t="inlineStr">
        <is>
          <t>A-5052__389</t>
        </is>
      </c>
      <c r="C3547" t="n">
        <v>37.2058050464</v>
      </c>
      <c r="D3547" t="n">
        <v>-7.03083514291</v>
      </c>
      <c r="E3547" t="n">
        <v>2</v>
      </c>
      <c r="F3547" t="n">
        <v>3</v>
      </c>
      <c r="G3547" t="n">
        <v>3</v>
      </c>
      <c r="J3547" t="inlineStr">
        <is>
          <t>Moda</t>
        </is>
      </c>
      <c r="K3547" t="n">
        <v>3</v>
      </c>
      <c r="L3547" t="n">
        <v>3.064</v>
      </c>
      <c r="M3547" t="n">
        <v>0</v>
      </c>
      <c r="N3547" t="inlineStr">
        <is>
          <t>train</t>
        </is>
      </c>
      <c r="O3547">
        <f>HYPERLINK("3\1\marker_201_962569.png", "Ver Imagen")</f>
        <v/>
      </c>
      <c r="P3547">
        <f>HYPERLINK("SE\A-5052\A-5052__389.png", "Ver Imagen")</f>
        <v/>
      </c>
    </row>
    <row r="3548">
      <c r="A3548" t="n">
        <v>3082</v>
      </c>
      <c r="B3548" t="inlineStr">
        <is>
          <t>A-5052__394</t>
        </is>
      </c>
      <c r="C3548" t="n">
        <v>37.2053690574</v>
      </c>
      <c r="D3548" t="n">
        <v>-7.02969516812</v>
      </c>
      <c r="E3548" t="n">
        <v>3</v>
      </c>
      <c r="F3548" t="n">
        <v>3</v>
      </c>
      <c r="G3548" t="n">
        <v>4</v>
      </c>
      <c r="J3548" t="inlineStr">
        <is>
          <t>Moda</t>
        </is>
      </c>
      <c r="K3548" t="n">
        <v>3</v>
      </c>
      <c r="L3548" t="n">
        <v>3.231</v>
      </c>
      <c r="M3548" t="n">
        <v>0</v>
      </c>
      <c r="N3548" t="inlineStr">
        <is>
          <t>train</t>
        </is>
      </c>
      <c r="O3548">
        <f>HYPERLINK("3\1\marker_996_962613.png", "Ver Imagen")</f>
        <v/>
      </c>
      <c r="P3548">
        <f>HYPERLINK("SE\A-5052\A-5052__394.png", "Ver Imagen")</f>
        <v/>
      </c>
    </row>
    <row r="3549">
      <c r="A3549" t="n">
        <v>3083</v>
      </c>
      <c r="B3549" t="inlineStr">
        <is>
          <t>A-5052__407</t>
        </is>
      </c>
      <c r="C3549" t="n">
        <v>37.2042142158</v>
      </c>
      <c r="D3549" t="n">
        <v>-7.02681799399</v>
      </c>
      <c r="E3549" t="n">
        <v>3</v>
      </c>
      <c r="F3549" t="n">
        <v>3</v>
      </c>
      <c r="G3549" t="n">
        <v>4</v>
      </c>
      <c r="J3549" t="inlineStr">
        <is>
          <t>Moda</t>
        </is>
      </c>
      <c r="K3549" t="n">
        <v>3</v>
      </c>
      <c r="L3549" t="n">
        <v>2.893</v>
      </c>
      <c r="M3549" t="n">
        <v>0</v>
      </c>
      <c r="N3549" t="inlineStr">
        <is>
          <t>test</t>
        </is>
      </c>
      <c r="O3549">
        <f>HYPERLINK("3\1\marker_558_962746.png", "Ver Imagen")</f>
        <v/>
      </c>
      <c r="P3549">
        <f>HYPERLINK("SE\A-5052\A-5052__407.png", "Ver Imagen")</f>
        <v/>
      </c>
    </row>
    <row r="3550">
      <c r="A3550" t="n">
        <v>3084</v>
      </c>
      <c r="B3550" t="inlineStr">
        <is>
          <t>A-5052__471</t>
        </is>
      </c>
      <c r="C3550" t="n">
        <v>37.198648448</v>
      </c>
      <c r="D3550" t="n">
        <v>-7.01218449888</v>
      </c>
      <c r="E3550" t="n">
        <v>2</v>
      </c>
      <c r="F3550" t="n">
        <v>3</v>
      </c>
      <c r="G3550" t="n">
        <v>3</v>
      </c>
      <c r="J3550" t="inlineStr">
        <is>
          <t>Moda</t>
        </is>
      </c>
      <c r="K3550" t="n">
        <v>3</v>
      </c>
      <c r="L3550" t="n">
        <v>2.804</v>
      </c>
      <c r="M3550" t="n">
        <v>0</v>
      </c>
      <c r="N3550" t="inlineStr">
        <is>
          <t>test</t>
        </is>
      </c>
      <c r="O3550">
        <f>HYPERLINK("3\1\marker_398_963398.png", "Ver Imagen")</f>
        <v/>
      </c>
      <c r="P3550">
        <f>HYPERLINK("SE\A-5052\A-5052__471.png", "Ver Imagen")</f>
        <v/>
      </c>
    </row>
    <row r="3551">
      <c r="A3551" t="n">
        <v>3086</v>
      </c>
      <c r="B3551" t="inlineStr">
        <is>
          <t>A-5052__498</t>
        </is>
      </c>
      <c r="C3551" t="n">
        <v>37.1969971821</v>
      </c>
      <c r="D3551" t="n">
        <v>-7.0057559185</v>
      </c>
      <c r="E3551" t="n">
        <v>2</v>
      </c>
      <c r="F3551" t="n">
        <v>3</v>
      </c>
      <c r="G3551" t="n">
        <v>3</v>
      </c>
      <c r="J3551" t="inlineStr">
        <is>
          <t>Moda</t>
        </is>
      </c>
      <c r="K3551" t="n">
        <v>3</v>
      </c>
      <c r="L3551" t="n">
        <v>2.903</v>
      </c>
      <c r="M3551" t="n">
        <v>0</v>
      </c>
      <c r="N3551" t="inlineStr">
        <is>
          <t>train</t>
        </is>
      </c>
      <c r="O3551">
        <f>HYPERLINK("3\1\marker_766_963659.png", "Ver Imagen")</f>
        <v/>
      </c>
      <c r="P3551">
        <f>HYPERLINK("SE\A-5052\A-5052__498.png", "Ver Imagen")</f>
        <v/>
      </c>
    </row>
    <row r="3552">
      <c r="A3552" t="n">
        <v>3087</v>
      </c>
      <c r="B3552" t="inlineStr">
        <is>
          <t>A-5052__500</t>
        </is>
      </c>
      <c r="C3552" t="n">
        <v>37.1968632985</v>
      </c>
      <c r="D3552" t="n">
        <v>-7.00526964712</v>
      </c>
      <c r="E3552" t="n">
        <v>2</v>
      </c>
      <c r="F3552" t="n">
        <v>3</v>
      </c>
      <c r="G3552" t="n">
        <v>3</v>
      </c>
      <c r="J3552" t="inlineStr">
        <is>
          <t>Moda</t>
        </is>
      </c>
      <c r="K3552" t="n">
        <v>3</v>
      </c>
      <c r="L3552" t="n">
        <v>3.091</v>
      </c>
      <c r="M3552" t="n">
        <v>0</v>
      </c>
      <c r="N3552" t="inlineStr">
        <is>
          <t>train</t>
        </is>
      </c>
      <c r="O3552">
        <f>HYPERLINK("3\1\marker_324_963680.png", "Ver Imagen")</f>
        <v/>
      </c>
      <c r="P3552">
        <f>HYPERLINK("SE\A-5052\A-5052__500.png", "Ver Imagen")</f>
        <v/>
      </c>
    </row>
    <row r="3553">
      <c r="A3553" t="n">
        <v>3088</v>
      </c>
      <c r="B3553" t="inlineStr">
        <is>
          <t>A-5053__373</t>
        </is>
      </c>
      <c r="C3553" t="n">
        <v>37.2870499166</v>
      </c>
      <c r="D3553" t="n">
        <v>-7.14126383887</v>
      </c>
      <c r="E3553" t="n">
        <v>2</v>
      </c>
      <c r="F3553" t="n">
        <v>3</v>
      </c>
      <c r="G3553" t="n">
        <v>3</v>
      </c>
      <c r="J3553" t="inlineStr">
        <is>
          <t>Moda</t>
        </is>
      </c>
      <c r="K3553" t="n">
        <v>3</v>
      </c>
      <c r="L3553" t="n">
        <v>2.797</v>
      </c>
      <c r="M3553" t="n">
        <v>0</v>
      </c>
      <c r="N3553" t="inlineStr">
        <is>
          <t>train</t>
        </is>
      </c>
      <c r="O3553">
        <f>HYPERLINK("3\1\marker_889_963927.png", "Ver Imagen")</f>
        <v/>
      </c>
      <c r="P3553">
        <f>HYPERLINK("SO\A-5053\A-5053__373.png", "Ver Imagen")</f>
        <v/>
      </c>
    </row>
    <row r="3554">
      <c r="A3554" t="n">
        <v>3089</v>
      </c>
      <c r="B3554" t="inlineStr">
        <is>
          <t>A-5053__371</t>
        </is>
      </c>
      <c r="C3554" t="n">
        <v>37.2866635646</v>
      </c>
      <c r="D3554" t="n">
        <v>-7.1414057224</v>
      </c>
      <c r="E3554" t="n">
        <v>2</v>
      </c>
      <c r="F3554" t="n">
        <v>3</v>
      </c>
      <c r="G3554" t="n">
        <v>3</v>
      </c>
      <c r="J3554" t="inlineStr">
        <is>
          <t>Moda</t>
        </is>
      </c>
      <c r="K3554" t="n">
        <v>3</v>
      </c>
      <c r="L3554" t="n">
        <v>2.566</v>
      </c>
      <c r="M3554" t="n">
        <v>0</v>
      </c>
      <c r="N3554" t="inlineStr">
        <is>
          <t>train</t>
        </is>
      </c>
      <c r="O3554">
        <f>HYPERLINK("3\1\marker_514_963948.png", "Ver Imagen")</f>
        <v/>
      </c>
      <c r="P3554">
        <f>HYPERLINK("SO\A-5053\A-5053__371.png", "Ver Imagen")</f>
        <v/>
      </c>
    </row>
    <row r="3555">
      <c r="A3555" t="n">
        <v>3090</v>
      </c>
      <c r="B3555" t="inlineStr">
        <is>
          <t>A-5053__339</t>
        </is>
      </c>
      <c r="C3555" t="n">
        <v>37.2809809671</v>
      </c>
      <c r="D3555" t="n">
        <v>-7.14489269363</v>
      </c>
      <c r="E3555" t="n">
        <v>2</v>
      </c>
      <c r="F3555" t="n">
        <v>3</v>
      </c>
      <c r="G3555" t="n">
        <v>3</v>
      </c>
      <c r="J3555" t="inlineStr">
        <is>
          <t>Moda</t>
        </is>
      </c>
      <c r="K3555" t="n">
        <v>3</v>
      </c>
      <c r="L3555" t="n">
        <v>2.707</v>
      </c>
      <c r="M3555" t="n">
        <v>0</v>
      </c>
      <c r="N3555" t="inlineStr">
        <is>
          <t>train</t>
        </is>
      </c>
      <c r="O3555">
        <f>HYPERLINK("3\1\marker_534_964361.png", "Ver Imagen")</f>
        <v/>
      </c>
      <c r="P3555">
        <f>HYPERLINK("SO\A-5053\A-5053__339.png", "Ver Imagen")</f>
        <v/>
      </c>
    </row>
    <row r="3556">
      <c r="A3556" t="n">
        <v>3091</v>
      </c>
      <c r="B3556" t="inlineStr">
        <is>
          <t>A-5053__338</t>
        </is>
      </c>
      <c r="C3556" t="n">
        <v>37.2808215709</v>
      </c>
      <c r="D3556" t="n">
        <v>-7.14500117239</v>
      </c>
      <c r="E3556" t="n">
        <v>2</v>
      </c>
      <c r="F3556" t="n">
        <v>3</v>
      </c>
      <c r="G3556" t="n">
        <v>3</v>
      </c>
      <c r="J3556" t="inlineStr">
        <is>
          <t>Moda</t>
        </is>
      </c>
      <c r="K3556" t="n">
        <v>3</v>
      </c>
      <c r="L3556" t="n">
        <v>2.849</v>
      </c>
      <c r="M3556" t="n">
        <v>0</v>
      </c>
      <c r="N3556" t="inlineStr">
        <is>
          <t>train</t>
        </is>
      </c>
      <c r="O3556">
        <f>HYPERLINK("3\1\marker_303_964369.png", "Ver Imagen")</f>
        <v/>
      </c>
      <c r="P3556">
        <f>HYPERLINK("SO\A-5053\A-5053__338.png", "Ver Imagen")</f>
        <v/>
      </c>
    </row>
    <row r="3557">
      <c r="A3557" t="n">
        <v>3092</v>
      </c>
      <c r="B3557" t="inlineStr">
        <is>
          <t>A-5053__337</t>
        </is>
      </c>
      <c r="C3557" t="n">
        <v>37.2806402081</v>
      </c>
      <c r="D3557" t="n">
        <v>-7.14512944965</v>
      </c>
      <c r="E3557" t="n">
        <v>2</v>
      </c>
      <c r="F3557" t="n">
        <v>3</v>
      </c>
      <c r="G3557" t="n">
        <v>3</v>
      </c>
      <c r="J3557" t="inlineStr">
        <is>
          <t>Moda</t>
        </is>
      </c>
      <c r="K3557" t="n">
        <v>3</v>
      </c>
      <c r="L3557" t="n">
        <v>3.025</v>
      </c>
      <c r="M3557" t="n">
        <v>0</v>
      </c>
      <c r="N3557" t="inlineStr">
        <is>
          <t>train</t>
        </is>
      </c>
      <c r="O3557">
        <f>HYPERLINK("3\1\marker_862_964378.png", "Ver Imagen")</f>
        <v/>
      </c>
      <c r="P3557">
        <f>HYPERLINK("SO\A-5053\A-5053__337.png", "Ver Imagen")</f>
        <v/>
      </c>
    </row>
    <row r="3558">
      <c r="A3558" t="n">
        <v>3093</v>
      </c>
      <c r="B3558" t="inlineStr">
        <is>
          <t>A-5053__336</t>
        </is>
      </c>
      <c r="C3558" t="n">
        <v>37.280480312</v>
      </c>
      <c r="D3558" t="n">
        <v>-7.14524594706</v>
      </c>
      <c r="E3558" t="n">
        <v>2</v>
      </c>
      <c r="F3558" t="n">
        <v>3</v>
      </c>
      <c r="G3558" t="n">
        <v>3</v>
      </c>
      <c r="J3558" t="inlineStr">
        <is>
          <t>Moda</t>
        </is>
      </c>
      <c r="K3558" t="n">
        <v>3</v>
      </c>
      <c r="L3558" t="n">
        <v>2.593</v>
      </c>
      <c r="M3558" t="n">
        <v>0</v>
      </c>
      <c r="N3558" t="inlineStr">
        <is>
          <t>train</t>
        </is>
      </c>
      <c r="O3558">
        <f>HYPERLINK("3\1\marker_769_964389.png", "Ver Imagen")</f>
        <v/>
      </c>
      <c r="P3558">
        <f>HYPERLINK("SO\A-5053\A-5053__336.png", "Ver Imagen")</f>
        <v/>
      </c>
    </row>
    <row r="3559">
      <c r="A3559" t="n">
        <v>3094</v>
      </c>
      <c r="B3559" t="inlineStr">
        <is>
          <t>A-5053__335</t>
        </is>
      </c>
      <c r="C3559" t="n">
        <v>37.2803027817</v>
      </c>
      <c r="D3559" t="n">
        <v>-7.14539073864</v>
      </c>
      <c r="E3559" t="n">
        <v>2</v>
      </c>
      <c r="F3559" t="n">
        <v>3</v>
      </c>
      <c r="G3559" t="n">
        <v>3</v>
      </c>
      <c r="J3559" t="inlineStr">
        <is>
          <t>Moda</t>
        </is>
      </c>
      <c r="K3559" t="n">
        <v>3</v>
      </c>
      <c r="L3559" t="n">
        <v>2.982</v>
      </c>
      <c r="M3559" t="n">
        <v>0</v>
      </c>
      <c r="N3559" t="inlineStr">
        <is>
          <t>train</t>
        </is>
      </c>
      <c r="O3559">
        <f>HYPERLINK("3\1\marker_801_964400.png", "Ver Imagen")</f>
        <v/>
      </c>
      <c r="P3559">
        <f>HYPERLINK("SO\A-5053\A-5053__335.png", "Ver Imagen")</f>
        <v/>
      </c>
    </row>
    <row r="3560">
      <c r="A3560" t="n">
        <v>3095</v>
      </c>
      <c r="B3560" t="inlineStr">
        <is>
          <t>A-5053__333</t>
        </is>
      </c>
      <c r="C3560" t="n">
        <v>37.2800585105</v>
      </c>
      <c r="D3560" t="n">
        <v>-7.14582132944</v>
      </c>
      <c r="E3560" t="n">
        <v>2</v>
      </c>
      <c r="F3560" t="n">
        <v>3</v>
      </c>
      <c r="G3560" t="n">
        <v>3</v>
      </c>
      <c r="J3560" t="inlineStr">
        <is>
          <t>Moda</t>
        </is>
      </c>
      <c r="K3560" t="n">
        <v>3</v>
      </c>
      <c r="L3560" t="n">
        <v>3.015</v>
      </c>
      <c r="M3560" t="n">
        <v>0</v>
      </c>
      <c r="N3560" t="inlineStr">
        <is>
          <t>train</t>
        </is>
      </c>
      <c r="O3560">
        <f>HYPERLINK("3\1\marker_111_964425.png", "Ver Imagen")</f>
        <v/>
      </c>
      <c r="P3560">
        <f>HYPERLINK("SO\A-5053\A-5053__333.png", "Ver Imagen")</f>
        <v/>
      </c>
    </row>
    <row r="3561">
      <c r="A3561" t="n">
        <v>3096</v>
      </c>
      <c r="B3561" t="inlineStr">
        <is>
          <t>A-5053__314</t>
        </is>
      </c>
      <c r="C3561" t="n">
        <v>37.2769834893</v>
      </c>
      <c r="D3561" t="n">
        <v>-7.14323621351</v>
      </c>
      <c r="E3561" t="n">
        <v>2</v>
      </c>
      <c r="F3561" t="n">
        <v>3</v>
      </c>
      <c r="G3561" t="n">
        <v>3</v>
      </c>
      <c r="J3561" t="inlineStr">
        <is>
          <t>Moda</t>
        </is>
      </c>
      <c r="K3561" t="n">
        <v>3</v>
      </c>
      <c r="L3561" t="n">
        <v>2.723</v>
      </c>
      <c r="M3561" t="n">
        <v>0</v>
      </c>
      <c r="N3561" t="inlineStr">
        <is>
          <t>train</t>
        </is>
      </c>
      <c r="O3561">
        <f>HYPERLINK("3\1\marker_946_964635.png", "Ver Imagen")</f>
        <v/>
      </c>
      <c r="P3561">
        <f>HYPERLINK("SO\A-5053\A-5053__314.png", "Ver Imagen")</f>
        <v/>
      </c>
    </row>
    <row r="3562">
      <c r="A3562" t="n">
        <v>3097</v>
      </c>
      <c r="B3562" t="inlineStr">
        <is>
          <t>A-5053__293</t>
        </is>
      </c>
      <c r="C3562" t="n">
        <v>37.2729496145</v>
      </c>
      <c r="D3562" t="n">
        <v>-7.14175350119</v>
      </c>
      <c r="E3562" t="n">
        <v>3</v>
      </c>
      <c r="F3562" t="n">
        <v>3</v>
      </c>
      <c r="G3562" t="n">
        <v>4</v>
      </c>
      <c r="J3562" t="inlineStr">
        <is>
          <t>Moda</t>
        </is>
      </c>
      <c r="K3562" t="n">
        <v>3</v>
      </c>
      <c r="L3562" t="n">
        <v>2.649</v>
      </c>
      <c r="M3562" t="n">
        <v>0</v>
      </c>
      <c r="N3562" t="inlineStr">
        <is>
          <t>train</t>
        </is>
      </c>
      <c r="O3562">
        <f>HYPERLINK("3\1\marker_279_964931.png", "Ver Imagen")</f>
        <v/>
      </c>
      <c r="P3562">
        <f>HYPERLINK("SO\A-5053\A-5053__293.png", "Ver Imagen")</f>
        <v/>
      </c>
    </row>
    <row r="3563">
      <c r="A3563" t="n">
        <v>3098</v>
      </c>
      <c r="B3563" t="inlineStr">
        <is>
          <t>A-5053__290</t>
        </is>
      </c>
      <c r="C3563" t="n">
        <v>37.272390383</v>
      </c>
      <c r="D3563" t="n">
        <v>-7.14143623308</v>
      </c>
      <c r="E3563" t="n">
        <v>2</v>
      </c>
      <c r="F3563" t="n">
        <v>3</v>
      </c>
      <c r="G3563" t="n">
        <v>3</v>
      </c>
      <c r="J3563" t="inlineStr">
        <is>
          <t>Moda</t>
        </is>
      </c>
      <c r="K3563" t="n">
        <v>3</v>
      </c>
      <c r="L3563" t="n">
        <v>3.075</v>
      </c>
      <c r="M3563" t="n">
        <v>0</v>
      </c>
      <c r="N3563" t="inlineStr">
        <is>
          <t>train</t>
        </is>
      </c>
      <c r="O3563">
        <f>HYPERLINK("3\1\marker_891_964958.png", "Ver Imagen")</f>
        <v/>
      </c>
      <c r="P3563">
        <f>HYPERLINK("SO\A-5053\A-5053__290.png", "Ver Imagen")</f>
        <v/>
      </c>
    </row>
    <row r="3564">
      <c r="A3564" t="n">
        <v>3100</v>
      </c>
      <c r="B3564" t="inlineStr">
        <is>
          <t>A-5053__274</t>
        </is>
      </c>
      <c r="C3564" t="n">
        <v>37.2696357568</v>
      </c>
      <c r="D3564" t="n">
        <v>-7.13929678927</v>
      </c>
      <c r="E3564" t="n">
        <v>3</v>
      </c>
      <c r="F3564" t="n">
        <v>3</v>
      </c>
      <c r="G3564" t="n">
        <v>4</v>
      </c>
      <c r="J3564" t="inlineStr">
        <is>
          <t>Moda</t>
        </is>
      </c>
      <c r="K3564" t="n">
        <v>3</v>
      </c>
      <c r="L3564" t="n">
        <v>2.842</v>
      </c>
      <c r="M3564" t="n">
        <v>0</v>
      </c>
      <c r="N3564" t="inlineStr">
        <is>
          <t>train</t>
        </is>
      </c>
      <c r="O3564">
        <f>HYPERLINK("3\1\marker_959_965113.png", "Ver Imagen")</f>
        <v/>
      </c>
      <c r="P3564">
        <f>HYPERLINK("SO\A-5053\A-5053__274.png", "Ver Imagen")</f>
        <v/>
      </c>
    </row>
    <row r="3565">
      <c r="A3565" t="n">
        <v>3101</v>
      </c>
      <c r="B3565" t="inlineStr">
        <is>
          <t>A-5053__272</t>
        </is>
      </c>
      <c r="C3565" t="n">
        <v>37.2693329205</v>
      </c>
      <c r="D3565" t="n">
        <v>-7.13896426684</v>
      </c>
      <c r="E3565" t="n">
        <v>3</v>
      </c>
      <c r="F3565" t="n">
        <v>3</v>
      </c>
      <c r="G3565" t="n">
        <v>4</v>
      </c>
      <c r="J3565" t="inlineStr">
        <is>
          <t>Moda</t>
        </is>
      </c>
      <c r="K3565" t="n">
        <v>3</v>
      </c>
      <c r="L3565" t="n">
        <v>2.737</v>
      </c>
      <c r="M3565" t="n">
        <v>0</v>
      </c>
      <c r="N3565" t="inlineStr">
        <is>
          <t>train</t>
        </is>
      </c>
      <c r="O3565">
        <f>HYPERLINK("3\1\marker_278_965131.png", "Ver Imagen")</f>
        <v/>
      </c>
      <c r="P3565">
        <f>HYPERLINK("SO\A-5053\A-5053__272.png", "Ver Imagen")</f>
        <v/>
      </c>
    </row>
    <row r="3566">
      <c r="A3566" t="n">
        <v>3102</v>
      </c>
      <c r="B3566" t="inlineStr">
        <is>
          <t>A-5053__258</t>
        </is>
      </c>
      <c r="C3566" t="n">
        <v>37.2682694897</v>
      </c>
      <c r="D3566" t="n">
        <v>-7.13572552104</v>
      </c>
      <c r="E3566" t="n">
        <v>3</v>
      </c>
      <c r="F3566" t="n">
        <v>3</v>
      </c>
      <c r="G3566" t="n">
        <v>4</v>
      </c>
      <c r="J3566" t="inlineStr">
        <is>
          <t>Moda</t>
        </is>
      </c>
      <c r="K3566" t="n">
        <v>3</v>
      </c>
      <c r="L3566" t="n">
        <v>3.195</v>
      </c>
      <c r="M3566" t="n">
        <v>0</v>
      </c>
      <c r="N3566" t="inlineStr">
        <is>
          <t>test</t>
        </is>
      </c>
      <c r="O3566">
        <f>HYPERLINK("3\1\marker_564_965276.png", "Ver Imagen")</f>
        <v/>
      </c>
      <c r="P3566">
        <f>HYPERLINK("SO\A-5053\A-5053__258.png", "Ver Imagen")</f>
        <v/>
      </c>
    </row>
    <row r="3567">
      <c r="A3567" t="n">
        <v>3104</v>
      </c>
      <c r="B3567" t="inlineStr">
        <is>
          <t>A-5053__244</t>
        </is>
      </c>
      <c r="C3567" t="n">
        <v>37.2664975306</v>
      </c>
      <c r="D3567" t="n">
        <v>-7.13317030491</v>
      </c>
      <c r="E3567" t="n">
        <v>4</v>
      </c>
      <c r="F3567" t="n">
        <v>3</v>
      </c>
      <c r="G3567" t="n">
        <v>3</v>
      </c>
      <c r="J3567" t="inlineStr">
        <is>
          <t>Moda</t>
        </is>
      </c>
      <c r="K3567" t="n">
        <v>3</v>
      </c>
      <c r="L3567" t="n">
        <v>2.969</v>
      </c>
      <c r="M3567" t="n">
        <v>0</v>
      </c>
      <c r="N3567" t="inlineStr">
        <is>
          <t>train</t>
        </is>
      </c>
      <c r="O3567">
        <f>HYPERLINK("3\1\marker_949_965463.png", "Ver Imagen")</f>
        <v/>
      </c>
      <c r="P3567">
        <f>HYPERLINK("SO\A-5053\A-5053__244.png", "Ver Imagen")</f>
        <v/>
      </c>
    </row>
    <row r="3568">
      <c r="A3568" t="n">
        <v>3106</v>
      </c>
      <c r="B3568" t="inlineStr">
        <is>
          <t>A-5053__224</t>
        </is>
      </c>
      <c r="C3568" t="n">
        <v>37.262848672</v>
      </c>
      <c r="D3568" t="n">
        <v>-7.13087001197</v>
      </c>
      <c r="E3568" t="n">
        <v>4</v>
      </c>
      <c r="F3568" t="n">
        <v>3</v>
      </c>
      <c r="G3568" t="n">
        <v>3</v>
      </c>
      <c r="J3568" t="inlineStr">
        <is>
          <t>Moda</t>
        </is>
      </c>
      <c r="K3568" t="n">
        <v>3</v>
      </c>
      <c r="L3568" t="n">
        <v>3.297</v>
      </c>
      <c r="M3568" t="n">
        <v>0</v>
      </c>
      <c r="N3568" t="inlineStr">
        <is>
          <t>train</t>
        </is>
      </c>
      <c r="O3568">
        <f>HYPERLINK("3\1\marker_380_965654.png", "Ver Imagen")</f>
        <v/>
      </c>
      <c r="P3568">
        <f>HYPERLINK("SO\A-5053\A-5053__224.png", "Ver Imagen")</f>
        <v/>
      </c>
    </row>
    <row r="3569">
      <c r="A3569" t="n">
        <v>3107</v>
      </c>
      <c r="B3569" t="inlineStr">
        <is>
          <t>A-5053__222</t>
        </is>
      </c>
      <c r="C3569" t="n">
        <v>37.2624871621</v>
      </c>
      <c r="D3569" t="n">
        <v>-7.13064738978</v>
      </c>
      <c r="E3569" t="n">
        <v>4</v>
      </c>
      <c r="F3569" t="n">
        <v>3</v>
      </c>
      <c r="G3569" t="n">
        <v>3</v>
      </c>
      <c r="J3569" t="inlineStr">
        <is>
          <t>Moda</t>
        </is>
      </c>
      <c r="K3569" t="n">
        <v>3</v>
      </c>
      <c r="L3569" t="n">
        <v>2.669</v>
      </c>
      <c r="M3569" t="n">
        <v>0</v>
      </c>
      <c r="N3569" t="inlineStr">
        <is>
          <t>test</t>
        </is>
      </c>
      <c r="O3569">
        <f>HYPERLINK("3\1\marker_816_965671.png", "Ver Imagen")</f>
        <v/>
      </c>
      <c r="P3569">
        <f>HYPERLINK("SO\A-5053\A-5053__222.png", "Ver Imagen")</f>
        <v/>
      </c>
    </row>
    <row r="3570">
      <c r="A3570" t="n">
        <v>3108</v>
      </c>
      <c r="B3570" t="inlineStr">
        <is>
          <t>A-5053__219</t>
        </is>
      </c>
      <c r="C3570" t="n">
        <v>37.2619707952</v>
      </c>
      <c r="D3570" t="n">
        <v>-7.13032375334</v>
      </c>
      <c r="E3570" t="n">
        <v>3</v>
      </c>
      <c r="F3570" t="n">
        <v>3</v>
      </c>
      <c r="G3570" t="n">
        <v>4</v>
      </c>
      <c r="J3570" t="inlineStr">
        <is>
          <t>Moda</t>
        </is>
      </c>
      <c r="K3570" t="n">
        <v>3</v>
      </c>
      <c r="L3570" t="n">
        <v>2.859</v>
      </c>
      <c r="M3570" t="n">
        <v>0</v>
      </c>
      <c r="N3570" t="inlineStr">
        <is>
          <t>train</t>
        </is>
      </c>
      <c r="O3570">
        <f>HYPERLINK("3\1\marker_466_965698.png", "Ver Imagen")</f>
        <v/>
      </c>
      <c r="P3570">
        <f>HYPERLINK("SO\A-5053\A-5053__219.png", "Ver Imagen")</f>
        <v/>
      </c>
    </row>
    <row r="3571">
      <c r="A3571" t="n">
        <v>3110</v>
      </c>
      <c r="B3571" t="inlineStr">
        <is>
          <t>A-5053__122</t>
        </is>
      </c>
      <c r="C3571" t="n">
        <v>37.2430778459</v>
      </c>
      <c r="D3571" t="n">
        <v>-7.12830369956</v>
      </c>
      <c r="E3571" t="n">
        <v>2</v>
      </c>
      <c r="F3571" t="n">
        <v>3</v>
      </c>
      <c r="G3571" t="n">
        <v>3</v>
      </c>
      <c r="J3571" t="inlineStr">
        <is>
          <t>Moda</t>
        </is>
      </c>
      <c r="K3571" t="n">
        <v>3</v>
      </c>
      <c r="L3571" t="n">
        <v>2.867</v>
      </c>
      <c r="M3571" t="n">
        <v>0</v>
      </c>
      <c r="N3571" t="inlineStr">
        <is>
          <t>train</t>
        </is>
      </c>
      <c r="O3571">
        <f>HYPERLINK("3\1\marker_149_019570.png", "Ver Imagen")</f>
        <v/>
      </c>
      <c r="P3571">
        <f>HYPERLINK("SO\A-5053\A-5053__122.png", "Ver Imagen")</f>
        <v/>
      </c>
    </row>
    <row r="3572">
      <c r="A3572" t="n">
        <v>3111</v>
      </c>
      <c r="B3572" t="inlineStr">
        <is>
          <t>A-5053__112</t>
        </is>
      </c>
      <c r="C3572" t="n">
        <v>37.2410350624</v>
      </c>
      <c r="D3572" t="n">
        <v>-7.12858987476</v>
      </c>
      <c r="E3572" t="n">
        <v>2</v>
      </c>
      <c r="F3572" t="n">
        <v>3</v>
      </c>
      <c r="G3572" t="n">
        <v>3</v>
      </c>
      <c r="J3572" t="inlineStr">
        <is>
          <t>Moda</t>
        </is>
      </c>
      <c r="K3572" t="n">
        <v>3</v>
      </c>
      <c r="L3572" t="n">
        <v>2.573</v>
      </c>
      <c r="M3572" t="n">
        <v>0</v>
      </c>
      <c r="N3572" t="inlineStr">
        <is>
          <t>val</t>
        </is>
      </c>
      <c r="O3572">
        <f>HYPERLINK("3\1\marker_189_019683.png", "Ver Imagen")</f>
        <v/>
      </c>
      <c r="P3572">
        <f>HYPERLINK("SO\A-5053\A-5053__112.png", "Ver Imagen")</f>
        <v/>
      </c>
    </row>
    <row r="3573">
      <c r="A3573" t="n">
        <v>3113</v>
      </c>
      <c r="B3573" t="inlineStr">
        <is>
          <t>A-5053__105</t>
        </is>
      </c>
      <c r="C3573" t="n">
        <v>37.2396213686</v>
      </c>
      <c r="D3573" t="n">
        <v>-7.12853528498</v>
      </c>
      <c r="E3573" t="n">
        <v>2</v>
      </c>
      <c r="F3573" t="n">
        <v>3</v>
      </c>
      <c r="G3573" t="n">
        <v>3</v>
      </c>
      <c r="J3573" t="inlineStr">
        <is>
          <t>Moda</t>
        </is>
      </c>
      <c r="K3573" t="n">
        <v>3</v>
      </c>
      <c r="L3573" t="n">
        <v>2.639</v>
      </c>
      <c r="M3573" t="n">
        <v>0</v>
      </c>
      <c r="N3573" t="inlineStr">
        <is>
          <t>train</t>
        </is>
      </c>
      <c r="O3573">
        <f>HYPERLINK("3\1\marker_574_019768.png", "Ver Imagen")</f>
        <v/>
      </c>
      <c r="P3573">
        <f>HYPERLINK("SO\A-5053\A-5053__105.png", "Ver Imagen")</f>
        <v/>
      </c>
    </row>
    <row r="3574">
      <c r="A3574" t="n">
        <v>3115</v>
      </c>
      <c r="B3574" t="inlineStr">
        <is>
          <t>A-5053__96</t>
        </is>
      </c>
      <c r="C3574" t="n">
        <v>37.2378315227</v>
      </c>
      <c r="D3574" t="n">
        <v>-7.12835921787</v>
      </c>
      <c r="E3574" t="n">
        <v>2</v>
      </c>
      <c r="F3574" t="n">
        <v>3</v>
      </c>
      <c r="G3574" t="n">
        <v>3</v>
      </c>
      <c r="J3574" t="inlineStr">
        <is>
          <t>Moda</t>
        </is>
      </c>
      <c r="K3574" t="n">
        <v>3</v>
      </c>
      <c r="L3574" t="n">
        <v>2.848</v>
      </c>
      <c r="M3574" t="n">
        <v>0</v>
      </c>
      <c r="N3574" t="inlineStr">
        <is>
          <t>train</t>
        </is>
      </c>
      <c r="O3574">
        <f>HYPERLINK("3\1\marker_617_019851.png", "Ver Imagen")</f>
        <v/>
      </c>
      <c r="P3574">
        <f>HYPERLINK("SO\A-5053\A-5053__96.png", "Ver Imagen")</f>
        <v/>
      </c>
    </row>
    <row r="3575">
      <c r="A3575" t="n">
        <v>3116</v>
      </c>
      <c r="B3575" t="inlineStr">
        <is>
          <t>A-5053__63</t>
        </is>
      </c>
      <c r="C3575" t="n">
        <v>37.231266575</v>
      </c>
      <c r="D3575" t="n">
        <v>-7.12708034702</v>
      </c>
      <c r="E3575" t="n">
        <v>2</v>
      </c>
      <c r="F3575" t="n">
        <v>3</v>
      </c>
      <c r="G3575" t="n">
        <v>3</v>
      </c>
      <c r="J3575" t="inlineStr">
        <is>
          <t>Moda</t>
        </is>
      </c>
      <c r="K3575" t="n">
        <v>3</v>
      </c>
      <c r="L3575" t="n">
        <v>2.881</v>
      </c>
      <c r="M3575" t="n">
        <v>0</v>
      </c>
      <c r="N3575" t="inlineStr">
        <is>
          <t>train</t>
        </is>
      </c>
      <c r="O3575">
        <f>HYPERLINK("3\1\marker_415_020772.png", "Ver Imagen")</f>
        <v/>
      </c>
      <c r="P3575">
        <f>HYPERLINK("SO\A-5053\A-5053__63.png", "Ver Imagen")</f>
        <v/>
      </c>
    </row>
    <row r="3576">
      <c r="A3576" t="n">
        <v>3117</v>
      </c>
      <c r="B3576" t="inlineStr">
        <is>
          <t>A-5053__61</t>
        </is>
      </c>
      <c r="C3576" t="n">
        <v>37.2308339031</v>
      </c>
      <c r="D3576" t="n">
        <v>-7.127040557</v>
      </c>
      <c r="E3576" t="n">
        <v>2</v>
      </c>
      <c r="F3576" t="n">
        <v>3</v>
      </c>
      <c r="G3576" t="n">
        <v>3</v>
      </c>
      <c r="J3576" t="inlineStr">
        <is>
          <t>Moda</t>
        </is>
      </c>
      <c r="K3576" t="n">
        <v>3</v>
      </c>
      <c r="L3576" t="n">
        <v>3.039</v>
      </c>
      <c r="M3576" t="n">
        <v>0</v>
      </c>
      <c r="N3576" t="inlineStr">
        <is>
          <t>train</t>
        </is>
      </c>
      <c r="O3576">
        <f>HYPERLINK("3\1\marker_512_020793.png", "Ver Imagen")</f>
        <v/>
      </c>
      <c r="P3576">
        <f>HYPERLINK("SO\A-5053\A-5053__61.png", "Ver Imagen")</f>
        <v/>
      </c>
    </row>
    <row r="3577">
      <c r="A3577" t="n">
        <v>3118</v>
      </c>
      <c r="B3577" t="inlineStr">
        <is>
          <t>A-5053__60</t>
        </is>
      </c>
      <c r="C3577" t="n">
        <v>37.2306603258</v>
      </c>
      <c r="D3577" t="n">
        <v>-7.12702396603</v>
      </c>
      <c r="E3577" t="n">
        <v>2</v>
      </c>
      <c r="F3577" t="n">
        <v>3</v>
      </c>
      <c r="G3577" t="n">
        <v>3</v>
      </c>
      <c r="J3577" t="inlineStr">
        <is>
          <t>Moda</t>
        </is>
      </c>
      <c r="K3577" t="n">
        <v>3</v>
      </c>
      <c r="L3577" t="n">
        <v>2.914</v>
      </c>
      <c r="M3577" t="n">
        <v>0</v>
      </c>
      <c r="N3577" t="inlineStr">
        <is>
          <t>train</t>
        </is>
      </c>
      <c r="O3577">
        <f>HYPERLINK("3\1\marker_436_020802.png", "Ver Imagen")</f>
        <v/>
      </c>
      <c r="P3577">
        <f>HYPERLINK("SO\A-5053\A-5053__60.png", "Ver Imagen")</f>
        <v/>
      </c>
    </row>
    <row r="3578">
      <c r="A3578" t="n">
        <v>3119</v>
      </c>
      <c r="B3578" t="inlineStr">
        <is>
          <t>A-5053__59</t>
        </is>
      </c>
      <c r="C3578" t="n">
        <v>37.2304764606</v>
      </c>
      <c r="D3578" t="n">
        <v>-7.12700641609</v>
      </c>
      <c r="E3578" t="n">
        <v>2</v>
      </c>
      <c r="F3578" t="n">
        <v>3</v>
      </c>
      <c r="G3578" t="n">
        <v>3</v>
      </c>
      <c r="J3578" t="inlineStr">
        <is>
          <t>Moda</t>
        </is>
      </c>
      <c r="K3578" t="n">
        <v>3</v>
      </c>
      <c r="L3578" t="n">
        <v>2.817</v>
      </c>
      <c r="M3578" t="n">
        <v>0</v>
      </c>
      <c r="N3578" t="inlineStr">
        <is>
          <t>train</t>
        </is>
      </c>
      <c r="O3578">
        <f>HYPERLINK("3\1\marker_165_020894.png", "Ver Imagen")</f>
        <v/>
      </c>
      <c r="P3578">
        <f>HYPERLINK("SO\A-5053\A-5053__59.png", "Ver Imagen")</f>
        <v/>
      </c>
    </row>
    <row r="3579">
      <c r="A3579" t="n">
        <v>3120</v>
      </c>
      <c r="B3579" t="inlineStr">
        <is>
          <t>A-5053__53</t>
        </is>
      </c>
      <c r="C3579" t="n">
        <v>37.2292679477</v>
      </c>
      <c r="D3579" t="n">
        <v>-7.12689000758</v>
      </c>
      <c r="E3579" t="n">
        <v>2</v>
      </c>
      <c r="F3579" t="n">
        <v>3</v>
      </c>
      <c r="G3579" t="n">
        <v>3</v>
      </c>
      <c r="J3579" t="inlineStr">
        <is>
          <t>Moda</t>
        </is>
      </c>
      <c r="K3579" t="n">
        <v>3</v>
      </c>
      <c r="L3579" t="n">
        <v>2.705</v>
      </c>
      <c r="M3579" t="n">
        <v>0</v>
      </c>
      <c r="N3579" t="inlineStr">
        <is>
          <t>train</t>
        </is>
      </c>
      <c r="O3579">
        <f>HYPERLINK("3\1\marker_255_020951.png", "Ver Imagen")</f>
        <v/>
      </c>
      <c r="P3579">
        <f>HYPERLINK("SO\A-5053\A-5053__53.png", "Ver Imagen")</f>
        <v/>
      </c>
    </row>
    <row r="3580">
      <c r="A3580" t="n">
        <v>3121</v>
      </c>
      <c r="B3580" t="inlineStr">
        <is>
          <t>A-5053__52</t>
        </is>
      </c>
      <c r="C3580" t="n">
        <v>37.2290611294</v>
      </c>
      <c r="D3580" t="n">
        <v>-7.12686769714</v>
      </c>
      <c r="E3580" t="n">
        <v>2</v>
      </c>
      <c r="F3580" t="n">
        <v>3</v>
      </c>
      <c r="G3580" t="n">
        <v>3</v>
      </c>
      <c r="J3580" t="inlineStr">
        <is>
          <t>Moda</t>
        </is>
      </c>
      <c r="K3580" t="n">
        <v>3</v>
      </c>
      <c r="L3580" t="n">
        <v>2.557</v>
      </c>
      <c r="M3580" t="n">
        <v>0</v>
      </c>
      <c r="N3580" t="inlineStr">
        <is>
          <t>train</t>
        </is>
      </c>
      <c r="O3580">
        <f>HYPERLINK("3\1\marker_626_020974.png", "Ver Imagen")</f>
        <v/>
      </c>
      <c r="P3580">
        <f>HYPERLINK("SO\A-5053\A-5053__52.png", "Ver Imagen")</f>
        <v/>
      </c>
    </row>
    <row r="3581">
      <c r="A3581" t="n">
        <v>3122</v>
      </c>
      <c r="B3581" t="inlineStr">
        <is>
          <t>A-5053__51</t>
        </is>
      </c>
      <c r="C3581" t="n">
        <v>37.2288623223</v>
      </c>
      <c r="D3581" t="n">
        <v>-7.12684113919</v>
      </c>
      <c r="E3581" t="n">
        <v>2</v>
      </c>
      <c r="F3581" t="n">
        <v>3</v>
      </c>
      <c r="G3581" t="n">
        <v>3</v>
      </c>
      <c r="J3581" t="inlineStr">
        <is>
          <t>Moda</t>
        </is>
      </c>
      <c r="K3581" t="n">
        <v>3</v>
      </c>
      <c r="L3581" t="n">
        <v>2.74</v>
      </c>
      <c r="M3581" t="n">
        <v>0</v>
      </c>
      <c r="N3581" t="inlineStr">
        <is>
          <t>train</t>
        </is>
      </c>
      <c r="O3581">
        <f>HYPERLINK("3\1\marker_207_020983.png", "Ver Imagen")</f>
        <v/>
      </c>
      <c r="P3581">
        <f>HYPERLINK("SO\A-5053\A-5053__51.png", "Ver Imagen")</f>
        <v/>
      </c>
    </row>
    <row r="3582">
      <c r="A3582" t="n">
        <v>3124</v>
      </c>
      <c r="B3582" t="inlineStr">
        <is>
          <t>A-5053__48</t>
        </is>
      </c>
      <c r="C3582" t="n">
        <v>37.2282629998</v>
      </c>
      <c r="D3582" t="n">
        <v>-7.12673905964</v>
      </c>
      <c r="E3582" t="n">
        <v>4</v>
      </c>
      <c r="F3582" t="n">
        <v>3</v>
      </c>
      <c r="G3582" t="n">
        <v>3</v>
      </c>
      <c r="J3582" t="inlineStr">
        <is>
          <t>Moda</t>
        </is>
      </c>
      <c r="K3582" t="n">
        <v>3</v>
      </c>
      <c r="L3582" t="n">
        <v>2.977</v>
      </c>
      <c r="M3582" t="n">
        <v>0</v>
      </c>
      <c r="N3582" t="inlineStr">
        <is>
          <t>train</t>
        </is>
      </c>
      <c r="O3582">
        <f>HYPERLINK("3\1\marker_648_021018.png", "Ver Imagen")</f>
        <v/>
      </c>
      <c r="P3582">
        <f>HYPERLINK("SO\A-5053\A-5053__48.png", "Ver Imagen")</f>
        <v/>
      </c>
    </row>
    <row r="3583">
      <c r="A3583" t="n">
        <v>3125</v>
      </c>
      <c r="B3583" t="inlineStr">
        <is>
          <t>A-5053__41</t>
        </is>
      </c>
      <c r="C3583" t="n">
        <v>37.2268858249</v>
      </c>
      <c r="D3583" t="n">
        <v>-7.12634656072</v>
      </c>
      <c r="E3583" t="n">
        <v>3</v>
      </c>
      <c r="F3583" t="n">
        <v>3</v>
      </c>
      <c r="G3583" t="n">
        <v>4</v>
      </c>
      <c r="J3583" t="inlineStr">
        <is>
          <t>Moda</t>
        </is>
      </c>
      <c r="K3583" t="n">
        <v>3</v>
      </c>
      <c r="L3583" t="n">
        <v>3.081</v>
      </c>
      <c r="M3583" t="n">
        <v>0</v>
      </c>
      <c r="N3583" t="inlineStr">
        <is>
          <t>val</t>
        </is>
      </c>
      <c r="O3583">
        <f>HYPERLINK("3\1\marker_847_021704.png", "Ver Imagen")</f>
        <v/>
      </c>
      <c r="P3583">
        <f>HYPERLINK("SO\A-5053\A-5053__41.png", "Ver Imagen")</f>
        <v/>
      </c>
    </row>
    <row r="3584">
      <c r="A3584" t="n">
        <v>3126</v>
      </c>
      <c r="B3584" t="inlineStr">
        <is>
          <t>A-5053__25</t>
        </is>
      </c>
      <c r="C3584" t="n">
        <v>37.223780397</v>
      </c>
      <c r="D3584" t="n">
        <v>-7.12519884575</v>
      </c>
      <c r="E3584" t="n">
        <v>4</v>
      </c>
      <c r="F3584" t="n">
        <v>3</v>
      </c>
      <c r="G3584" t="n">
        <v>3</v>
      </c>
      <c r="J3584" t="inlineStr">
        <is>
          <t>Moda</t>
        </is>
      </c>
      <c r="K3584" t="n">
        <v>3</v>
      </c>
      <c r="L3584" t="n">
        <v>2.76</v>
      </c>
      <c r="M3584" t="n">
        <v>0</v>
      </c>
      <c r="N3584" t="inlineStr">
        <is>
          <t>train</t>
        </is>
      </c>
      <c r="O3584">
        <f>HYPERLINK("3\1\marker_457_022416.png", "Ver Imagen")</f>
        <v/>
      </c>
      <c r="P3584">
        <f>HYPERLINK("SO\A-5053\A-5053__25.png", "Ver Imagen")</f>
        <v/>
      </c>
    </row>
    <row r="3585">
      <c r="A3585" t="n">
        <v>3127</v>
      </c>
      <c r="B3585" t="inlineStr">
        <is>
          <t>A-5053__16</t>
        </is>
      </c>
      <c r="C3585" t="n">
        <v>37.2219882211</v>
      </c>
      <c r="D3585" t="n">
        <v>-7.12515574838</v>
      </c>
      <c r="E3585" t="n">
        <v>2</v>
      </c>
      <c r="F3585" t="n">
        <v>3</v>
      </c>
      <c r="G3585" t="n">
        <v>3</v>
      </c>
      <c r="J3585" t="inlineStr">
        <is>
          <t>Moda</t>
        </is>
      </c>
      <c r="K3585" t="n">
        <v>3</v>
      </c>
      <c r="L3585" t="n">
        <v>3.031</v>
      </c>
      <c r="M3585" t="n">
        <v>0</v>
      </c>
      <c r="N3585" t="inlineStr">
        <is>
          <t>train</t>
        </is>
      </c>
      <c r="O3585">
        <f>HYPERLINK("3\1\marker_322_025042.png", "Ver Imagen")</f>
        <v/>
      </c>
      <c r="P3585">
        <f>HYPERLINK("SO\A-5053\A-5053__16.png", "Ver Imagen")</f>
        <v/>
      </c>
    </row>
    <row r="3586">
      <c r="A3586" t="n">
        <v>3128</v>
      </c>
      <c r="B3586" t="inlineStr">
        <is>
          <t>A-5053__14</t>
        </is>
      </c>
      <c r="C3586" t="n">
        <v>37.2216006425</v>
      </c>
      <c r="D3586" t="n">
        <v>-7.12531934624</v>
      </c>
      <c r="E3586" t="n">
        <v>2</v>
      </c>
      <c r="F3586" t="n">
        <v>3</v>
      </c>
      <c r="G3586" t="n">
        <v>3</v>
      </c>
      <c r="J3586" t="inlineStr">
        <is>
          <t>Moda</t>
        </is>
      </c>
      <c r="K3586" t="n">
        <v>3</v>
      </c>
      <c r="L3586" t="n">
        <v>2.883</v>
      </c>
      <c r="M3586" t="n">
        <v>0</v>
      </c>
      <c r="N3586" t="inlineStr">
        <is>
          <t>train</t>
        </is>
      </c>
      <c r="O3586">
        <f>HYPERLINK("3\1\marker_506_025062.png", "Ver Imagen")</f>
        <v/>
      </c>
      <c r="P3586">
        <f>HYPERLINK("SO\A-5053\A-5053__14.png", "Ver Imagen")</f>
        <v/>
      </c>
    </row>
    <row r="3587">
      <c r="A3587" t="n">
        <v>3129</v>
      </c>
      <c r="B3587" t="inlineStr">
        <is>
          <t>A-495__22</t>
        </is>
      </c>
      <c r="C3587" t="n">
        <v>37.4432356506</v>
      </c>
      <c r="D3587" t="n">
        <v>-7.09507108551</v>
      </c>
      <c r="E3587" t="n">
        <v>2</v>
      </c>
      <c r="F3587" t="n">
        <v>3</v>
      </c>
      <c r="G3587" t="n">
        <v>3</v>
      </c>
      <c r="J3587" t="inlineStr">
        <is>
          <t>Moda</t>
        </is>
      </c>
      <c r="K3587" t="n">
        <v>3</v>
      </c>
      <c r="L3587" t="n">
        <v>2.887</v>
      </c>
      <c r="M3587" t="n">
        <v>0</v>
      </c>
      <c r="N3587" t="inlineStr">
        <is>
          <t>train</t>
        </is>
      </c>
      <c r="O3587">
        <f>HYPERLINK("3\1\marker_682_381315.png", "Ver Imagen")</f>
        <v/>
      </c>
      <c r="P3587">
        <f>HYPERLINK("NE\A-495\A-495__22.png", "Ver Imagen")</f>
        <v/>
      </c>
    </row>
    <row r="3588">
      <c r="A3588" t="n">
        <v>3130</v>
      </c>
      <c r="B3588" t="inlineStr">
        <is>
          <t>A-495__28</t>
        </is>
      </c>
      <c r="C3588" t="n">
        <v>37.4427074014</v>
      </c>
      <c r="D3588" t="n">
        <v>-7.0936930899</v>
      </c>
      <c r="E3588" t="n">
        <v>3</v>
      </c>
      <c r="F3588" t="n">
        <v>3</v>
      </c>
      <c r="G3588" t="n">
        <v>2</v>
      </c>
      <c r="J3588" t="inlineStr">
        <is>
          <t>Moda</t>
        </is>
      </c>
      <c r="K3588" t="n">
        <v>3</v>
      </c>
      <c r="L3588" t="n">
        <v>3.247</v>
      </c>
      <c r="M3588" t="n">
        <v>0</v>
      </c>
      <c r="N3588" t="inlineStr">
        <is>
          <t>train</t>
        </is>
      </c>
      <c r="O3588">
        <f>HYPERLINK("3\1\marker_667_381378.png", "Ver Imagen")</f>
        <v/>
      </c>
      <c r="P3588">
        <f>HYPERLINK("NE\A-495\A-495__28.png", "Ver Imagen")</f>
        <v/>
      </c>
    </row>
    <row r="3589">
      <c r="A3589" t="n">
        <v>3131</v>
      </c>
      <c r="B3589" t="inlineStr">
        <is>
          <t>A-495__29</t>
        </is>
      </c>
      <c r="C3589" t="n">
        <v>37.4426237704</v>
      </c>
      <c r="D3589" t="n">
        <v>-7.09347596208</v>
      </c>
      <c r="E3589" t="n">
        <v>3</v>
      </c>
      <c r="F3589" t="n">
        <v>3</v>
      </c>
      <c r="G3589" t="n">
        <v>2</v>
      </c>
      <c r="J3589" t="inlineStr">
        <is>
          <t>Moda</t>
        </is>
      </c>
      <c r="K3589" t="n">
        <v>3</v>
      </c>
      <c r="L3589" t="n">
        <v>2.719</v>
      </c>
      <c r="M3589" t="n">
        <v>0</v>
      </c>
      <c r="N3589" t="inlineStr">
        <is>
          <t>test</t>
        </is>
      </c>
      <c r="O3589">
        <f>HYPERLINK("3\1\marker_163_381388.png", "Ver Imagen")</f>
        <v/>
      </c>
      <c r="P3589">
        <f>HYPERLINK("NE\A-495\A-495__29.png", "Ver Imagen")</f>
        <v/>
      </c>
    </row>
    <row r="3590">
      <c r="A3590" t="n">
        <v>3132</v>
      </c>
      <c r="B3590" t="inlineStr">
        <is>
          <t>A-495__56</t>
        </is>
      </c>
      <c r="C3590" t="n">
        <v>37.4399346985</v>
      </c>
      <c r="D3590" t="n">
        <v>-7.0875200302</v>
      </c>
      <c r="E3590" t="n">
        <v>3</v>
      </c>
      <c r="F3590" t="n">
        <v>3</v>
      </c>
      <c r="G3590" t="n">
        <v>4</v>
      </c>
      <c r="J3590" t="inlineStr">
        <is>
          <t>Moda</t>
        </is>
      </c>
      <c r="K3590" t="n">
        <v>3</v>
      </c>
      <c r="L3590" t="n">
        <v>2.986</v>
      </c>
      <c r="M3590" t="n">
        <v>0</v>
      </c>
      <c r="N3590" t="inlineStr">
        <is>
          <t>train</t>
        </is>
      </c>
      <c r="O3590">
        <f>HYPERLINK("3\1\marker_490_381670.png", "Ver Imagen")</f>
        <v/>
      </c>
      <c r="P3590">
        <f>HYPERLINK("NE\A-495\A-495__56.png", "Ver Imagen")</f>
        <v/>
      </c>
    </row>
    <row r="3591">
      <c r="A3591" t="n">
        <v>3133</v>
      </c>
      <c r="B3591" t="inlineStr">
        <is>
          <t>A-495__58</t>
        </is>
      </c>
      <c r="C3591" t="n">
        <v>37.4397336416</v>
      </c>
      <c r="D3591" t="n">
        <v>-7.08709899758</v>
      </c>
      <c r="E3591" t="n">
        <v>3</v>
      </c>
      <c r="F3591" t="n">
        <v>3</v>
      </c>
      <c r="G3591" t="n">
        <v>4</v>
      </c>
      <c r="J3591" t="inlineStr">
        <is>
          <t>Moda</t>
        </is>
      </c>
      <c r="K3591" t="n">
        <v>3</v>
      </c>
      <c r="L3591" t="n">
        <v>2.98</v>
      </c>
      <c r="M3591" t="n">
        <v>0</v>
      </c>
      <c r="N3591" t="inlineStr">
        <is>
          <t>train</t>
        </is>
      </c>
      <c r="O3591">
        <f>HYPERLINK("3\1\marker_973_381692.png", "Ver Imagen")</f>
        <v/>
      </c>
      <c r="P3591">
        <f>HYPERLINK("NE\A-495\A-495__58.png", "Ver Imagen")</f>
        <v/>
      </c>
    </row>
    <row r="3592">
      <c r="A3592" t="n">
        <v>3134</v>
      </c>
      <c r="B3592" t="inlineStr">
        <is>
          <t>A-495__67</t>
        </is>
      </c>
      <c r="C3592" t="n">
        <v>37.4388237698</v>
      </c>
      <c r="D3592" t="n">
        <v>-7.08508273067</v>
      </c>
      <c r="E3592" t="n">
        <v>3</v>
      </c>
      <c r="F3592" t="n">
        <v>3</v>
      </c>
      <c r="G3592" t="n">
        <v>4</v>
      </c>
      <c r="J3592" t="inlineStr">
        <is>
          <t>Moda</t>
        </is>
      </c>
      <c r="K3592" t="n">
        <v>3</v>
      </c>
      <c r="L3592" t="n">
        <v>3.068</v>
      </c>
      <c r="M3592" t="n">
        <v>0</v>
      </c>
      <c r="N3592" t="inlineStr">
        <is>
          <t>train</t>
        </is>
      </c>
      <c r="O3592">
        <f>HYPERLINK("3\1\marker_180_381786.png", "Ver Imagen")</f>
        <v/>
      </c>
      <c r="P3592">
        <f>HYPERLINK("NE\A-495\A-495__67.png", "Ver Imagen")</f>
        <v/>
      </c>
    </row>
    <row r="3593">
      <c r="A3593" t="n">
        <v>3135</v>
      </c>
      <c r="B3593" t="inlineStr">
        <is>
          <t>A-495__75</t>
        </is>
      </c>
      <c r="C3593" t="n">
        <v>37.4381624096</v>
      </c>
      <c r="D3593" t="n">
        <v>-7.08320674695</v>
      </c>
      <c r="E3593" t="n">
        <v>3</v>
      </c>
      <c r="F3593" t="n">
        <v>3</v>
      </c>
      <c r="G3593" t="n">
        <v>4</v>
      </c>
      <c r="J3593" t="inlineStr">
        <is>
          <t>Moda</t>
        </is>
      </c>
      <c r="K3593" t="n">
        <v>3</v>
      </c>
      <c r="L3593" t="n">
        <v>2.906</v>
      </c>
      <c r="M3593" t="n">
        <v>0</v>
      </c>
      <c r="N3593" t="inlineStr">
        <is>
          <t>train</t>
        </is>
      </c>
      <c r="O3593">
        <f>HYPERLINK("3\1\marker_338_381867.png", "Ver Imagen")</f>
        <v/>
      </c>
      <c r="P3593">
        <f>HYPERLINK("NE\A-495\A-495__75.png", "Ver Imagen")</f>
        <v/>
      </c>
    </row>
    <row r="3594">
      <c r="A3594" t="n">
        <v>3136</v>
      </c>
      <c r="B3594" t="inlineStr">
        <is>
          <t>A-495__80</t>
        </is>
      </c>
      <c r="C3594" t="n">
        <v>37.4377786487</v>
      </c>
      <c r="D3594" t="n">
        <v>-7.08207202602</v>
      </c>
      <c r="E3594" t="n">
        <v>3</v>
      </c>
      <c r="F3594" t="n">
        <v>3</v>
      </c>
      <c r="G3594" t="n">
        <v>4</v>
      </c>
      <c r="J3594" t="inlineStr">
        <is>
          <t>Moda</t>
        </is>
      </c>
      <c r="K3594" t="n">
        <v>3</v>
      </c>
      <c r="L3594" t="n">
        <v>2.928</v>
      </c>
      <c r="M3594" t="n">
        <v>0</v>
      </c>
      <c r="N3594" t="inlineStr">
        <is>
          <t>train</t>
        </is>
      </c>
      <c r="O3594">
        <f>HYPERLINK("3\1\marker_947_381933.png", "Ver Imagen")</f>
        <v/>
      </c>
      <c r="P3594">
        <f>HYPERLINK("NE\A-495\A-495__80.png", "Ver Imagen")</f>
        <v/>
      </c>
    </row>
    <row r="3595">
      <c r="A3595" t="n">
        <v>3137</v>
      </c>
      <c r="B3595" t="inlineStr">
        <is>
          <t>A-495__87</t>
        </is>
      </c>
      <c r="C3595" t="n">
        <v>37.4371276425</v>
      </c>
      <c r="D3595" t="n">
        <v>-7.08052397841</v>
      </c>
      <c r="E3595" t="n">
        <v>3</v>
      </c>
      <c r="F3595" t="n">
        <v>3</v>
      </c>
      <c r="G3595" t="n">
        <v>4</v>
      </c>
      <c r="J3595" t="inlineStr">
        <is>
          <t>Moda</t>
        </is>
      </c>
      <c r="K3595" t="n">
        <v>3</v>
      </c>
      <c r="L3595" t="n">
        <v>3.095</v>
      </c>
      <c r="M3595" t="n">
        <v>0</v>
      </c>
      <c r="N3595" t="inlineStr">
        <is>
          <t>train</t>
        </is>
      </c>
      <c r="O3595">
        <f>HYPERLINK("3\1\marker_867_382013.png", "Ver Imagen")</f>
        <v/>
      </c>
      <c r="P3595">
        <f>HYPERLINK("NE\A-495\A-495__87.png", "Ver Imagen")</f>
        <v/>
      </c>
    </row>
    <row r="3596">
      <c r="A3596" t="n">
        <v>3138</v>
      </c>
      <c r="B3596" t="inlineStr">
        <is>
          <t>A-495__95</t>
        </is>
      </c>
      <c r="C3596" t="n">
        <v>37.4366067255</v>
      </c>
      <c r="D3596" t="n">
        <v>-7.07872765912</v>
      </c>
      <c r="E3596" t="n">
        <v>3</v>
      </c>
      <c r="F3596" t="n">
        <v>3</v>
      </c>
      <c r="G3596" t="n">
        <v>4</v>
      </c>
      <c r="J3596" t="inlineStr">
        <is>
          <t>Moda</t>
        </is>
      </c>
      <c r="K3596" t="n">
        <v>3</v>
      </c>
      <c r="L3596" t="n">
        <v>2.775</v>
      </c>
      <c r="M3596" t="n">
        <v>0</v>
      </c>
      <c r="N3596" t="inlineStr">
        <is>
          <t>train</t>
        </is>
      </c>
      <c r="O3596">
        <f>HYPERLINK("3\1\marker_746_382108.png", "Ver Imagen")</f>
        <v/>
      </c>
      <c r="P3596">
        <f>HYPERLINK("NE\A-495\A-495__95.png", "Ver Imagen")</f>
        <v/>
      </c>
    </row>
    <row r="3597">
      <c r="A3597" t="n">
        <v>3140</v>
      </c>
      <c r="B3597" t="inlineStr">
        <is>
          <t>A-5059__83</t>
        </is>
      </c>
      <c r="C3597" t="n">
        <v>37.2211167801</v>
      </c>
      <c r="D3597" t="n">
        <v>-7.05370153791</v>
      </c>
      <c r="E3597" t="n">
        <v>4</v>
      </c>
      <c r="F3597" t="n">
        <v>3</v>
      </c>
      <c r="G3597" t="n">
        <v>3</v>
      </c>
      <c r="J3597" t="inlineStr">
        <is>
          <t>Moda</t>
        </is>
      </c>
      <c r="K3597" t="n">
        <v>3</v>
      </c>
      <c r="L3597" t="n">
        <v>3.135</v>
      </c>
      <c r="M3597" t="n">
        <v>0</v>
      </c>
      <c r="N3597" t="inlineStr">
        <is>
          <t>train</t>
        </is>
      </c>
      <c r="O3597">
        <f>HYPERLINK("3\1\marker_994_378694.png", "Ver Imagen")</f>
        <v/>
      </c>
      <c r="P3597">
        <f>HYPERLINK("SE\A-5059\A-5059__83.png", "Ver Imagen")</f>
        <v/>
      </c>
    </row>
    <row r="3598">
      <c r="A3598" t="n">
        <v>3141</v>
      </c>
      <c r="B3598" t="inlineStr">
        <is>
          <t>A-5059__80</t>
        </is>
      </c>
      <c r="C3598" t="n">
        <v>37.2214194229</v>
      </c>
      <c r="D3598" t="n">
        <v>-7.0543462767</v>
      </c>
      <c r="E3598" t="n">
        <v>4</v>
      </c>
      <c r="F3598" t="n">
        <v>3</v>
      </c>
      <c r="G3598" t="n">
        <v>3</v>
      </c>
      <c r="J3598" t="inlineStr">
        <is>
          <t>Moda</t>
        </is>
      </c>
      <c r="K3598" t="n">
        <v>3</v>
      </c>
      <c r="L3598" t="n">
        <v>2.926</v>
      </c>
      <c r="M3598" t="n">
        <v>0</v>
      </c>
      <c r="N3598" t="inlineStr">
        <is>
          <t>train</t>
        </is>
      </c>
      <c r="O3598">
        <f>HYPERLINK("3\1\marker_647_378739.png", "Ver Imagen")</f>
        <v/>
      </c>
      <c r="P3598">
        <f>HYPERLINK("SE\A-5059\A-5059__80.png", "Ver Imagen")</f>
        <v/>
      </c>
    </row>
    <row r="3599">
      <c r="A3599" t="n">
        <v>3142</v>
      </c>
      <c r="B3599" t="inlineStr">
        <is>
          <t>A-495__125</t>
        </is>
      </c>
      <c r="C3599" t="n">
        <v>37.4352949968</v>
      </c>
      <c r="D3599" t="n">
        <v>-7.0717431855</v>
      </c>
      <c r="E3599" t="n">
        <v>4</v>
      </c>
      <c r="F3599" t="n">
        <v>3</v>
      </c>
      <c r="G3599" t="n">
        <v>3</v>
      </c>
      <c r="J3599" t="inlineStr">
        <is>
          <t>Moda</t>
        </is>
      </c>
      <c r="K3599" t="n">
        <v>3</v>
      </c>
      <c r="L3599" t="n">
        <v>3.265</v>
      </c>
      <c r="M3599" t="n">
        <v>0</v>
      </c>
      <c r="N3599" t="inlineStr">
        <is>
          <t>val</t>
        </is>
      </c>
      <c r="O3599">
        <f>HYPERLINK("3\1\marker_664_382423.png", "Ver Imagen")</f>
        <v/>
      </c>
      <c r="P3599">
        <f>HYPERLINK("NE\A-495\A-495__125.png", "Ver Imagen")</f>
        <v/>
      </c>
    </row>
    <row r="3600">
      <c r="A3600" t="n">
        <v>3143</v>
      </c>
      <c r="B3600" t="inlineStr">
        <is>
          <t>A-5059__43</t>
        </is>
      </c>
      <c r="C3600" t="n">
        <v>37.2267742194</v>
      </c>
      <c r="D3600" t="n">
        <v>-7.06054936131</v>
      </c>
      <c r="E3600" t="n">
        <v>3</v>
      </c>
      <c r="F3600" t="n">
        <v>3</v>
      </c>
      <c r="G3600" t="n">
        <v>2</v>
      </c>
      <c r="J3600" t="inlineStr">
        <is>
          <t>Moda</t>
        </is>
      </c>
      <c r="K3600" t="n">
        <v>3</v>
      </c>
      <c r="L3600" t="n">
        <v>3.091</v>
      </c>
      <c r="M3600" t="n">
        <v>0</v>
      </c>
      <c r="N3600" t="inlineStr">
        <is>
          <t>train</t>
        </is>
      </c>
      <c r="O3600">
        <f>HYPERLINK("3\1\marker_469_379267.png", "Ver Imagen")</f>
        <v/>
      </c>
      <c r="P3600">
        <f>HYPERLINK("SE\A-5059\A-5059__43.png", "Ver Imagen")</f>
        <v/>
      </c>
    </row>
    <row r="3601">
      <c r="A3601" t="n">
        <v>3145</v>
      </c>
      <c r="B3601" t="inlineStr">
        <is>
          <t>A-5059__5</t>
        </is>
      </c>
      <c r="C3601" t="n">
        <v>37.2330060246</v>
      </c>
      <c r="D3601" t="n">
        <v>-7.06567556526</v>
      </c>
      <c r="E3601" t="n">
        <v>3</v>
      </c>
      <c r="F3601" t="n">
        <v>3</v>
      </c>
      <c r="G3601" t="n">
        <v>4</v>
      </c>
      <c r="J3601" t="inlineStr">
        <is>
          <t>Moda</t>
        </is>
      </c>
      <c r="K3601" t="n">
        <v>3</v>
      </c>
      <c r="L3601" t="n">
        <v>2.959</v>
      </c>
      <c r="M3601" t="n">
        <v>0</v>
      </c>
      <c r="N3601" t="inlineStr">
        <is>
          <t>train</t>
        </is>
      </c>
      <c r="O3601">
        <f>HYPERLINK("3\1\marker_475_379626.png", "Ver Imagen")</f>
        <v/>
      </c>
      <c r="P3601">
        <f>HYPERLINK("SE\A-5059\A-5059__5.png", "Ver Imagen")</f>
        <v/>
      </c>
    </row>
    <row r="3602">
      <c r="A3602" t="n">
        <v>3146</v>
      </c>
      <c r="B3602" t="inlineStr">
        <is>
          <t>A-5058__31</t>
        </is>
      </c>
      <c r="C3602" t="n">
        <v>37.224536181</v>
      </c>
      <c r="D3602" t="n">
        <v>-7.03492053218</v>
      </c>
      <c r="E3602" t="n">
        <v>4</v>
      </c>
      <c r="F3602" t="n">
        <v>3</v>
      </c>
      <c r="G3602" t="n">
        <v>3</v>
      </c>
      <c r="J3602" t="inlineStr">
        <is>
          <t>Moda</t>
        </is>
      </c>
      <c r="K3602" t="n">
        <v>3</v>
      </c>
      <c r="L3602" t="n">
        <v>2.873</v>
      </c>
      <c r="M3602" t="n">
        <v>0</v>
      </c>
      <c r="N3602" t="inlineStr">
        <is>
          <t>train</t>
        </is>
      </c>
      <c r="O3602">
        <f>HYPERLINK("3\1\marker_464_380200.png", "Ver Imagen")</f>
        <v/>
      </c>
      <c r="P3602">
        <f>HYPERLINK("SE\A-5058\A-5058__31.png", "Ver Imagen")</f>
        <v/>
      </c>
    </row>
    <row r="3603">
      <c r="A3603" t="n">
        <v>3147</v>
      </c>
      <c r="B3603" t="inlineStr">
        <is>
          <t>A-5058__32</t>
        </is>
      </c>
      <c r="C3603" t="n">
        <v>37.2245558064</v>
      </c>
      <c r="D3603" t="n">
        <v>-7.03515995738</v>
      </c>
      <c r="E3603" t="n">
        <v>4</v>
      </c>
      <c r="F3603" t="n">
        <v>3</v>
      </c>
      <c r="G3603" t="n">
        <v>3</v>
      </c>
      <c r="J3603" t="inlineStr">
        <is>
          <t>Moda</t>
        </is>
      </c>
      <c r="K3603" t="n">
        <v>3</v>
      </c>
      <c r="L3603" t="n">
        <v>3.36</v>
      </c>
      <c r="M3603" t="n">
        <v>0</v>
      </c>
      <c r="N3603" t="inlineStr">
        <is>
          <t>test</t>
        </is>
      </c>
      <c r="O3603">
        <f>HYPERLINK("3\1\marker_207_380212.png", "Ver Imagen")</f>
        <v/>
      </c>
      <c r="P3603">
        <f>HYPERLINK("SE\A-5058\A-5058__32.png", "Ver Imagen")</f>
        <v/>
      </c>
    </row>
    <row r="3604">
      <c r="A3604" t="n">
        <v>3148</v>
      </c>
      <c r="B3604" t="inlineStr">
        <is>
          <t>A-5058__86</t>
        </is>
      </c>
      <c r="C3604" t="n">
        <v>37.2288894211</v>
      </c>
      <c r="D3604" t="n">
        <v>-7.04686583937</v>
      </c>
      <c r="E3604" t="n">
        <v>2</v>
      </c>
      <c r="F3604" t="n">
        <v>3</v>
      </c>
      <c r="G3604" t="n">
        <v>3</v>
      </c>
      <c r="J3604" t="inlineStr">
        <is>
          <t>Moda</t>
        </is>
      </c>
      <c r="K3604" t="n">
        <v>3</v>
      </c>
      <c r="L3604" t="n">
        <v>2.889</v>
      </c>
      <c r="M3604" t="n">
        <v>0</v>
      </c>
      <c r="N3604" t="inlineStr">
        <is>
          <t>train</t>
        </is>
      </c>
      <c r="O3604">
        <f>HYPERLINK("3\1\marker_716_380944.png", "Ver Imagen")</f>
        <v/>
      </c>
      <c r="P3604">
        <f>HYPERLINK("SE\A-5058\A-5058__86.png", "Ver Imagen")</f>
        <v/>
      </c>
    </row>
    <row r="3605">
      <c r="A3605" t="n">
        <v>3149</v>
      </c>
      <c r="B3605" t="inlineStr">
        <is>
          <t>A-5058__99</t>
        </is>
      </c>
      <c r="C3605" t="n">
        <v>37.2304768331</v>
      </c>
      <c r="D3605" t="n">
        <v>-7.04950354179</v>
      </c>
      <c r="E3605" t="n">
        <v>2</v>
      </c>
      <c r="F3605" t="n">
        <v>3</v>
      </c>
      <c r="G3605" t="n">
        <v>3</v>
      </c>
      <c r="J3605" t="inlineStr">
        <is>
          <t>Moda</t>
        </is>
      </c>
      <c r="K3605" t="n">
        <v>3</v>
      </c>
      <c r="L3605" t="n">
        <v>2.933</v>
      </c>
      <c r="M3605" t="n">
        <v>0</v>
      </c>
      <c r="N3605" t="inlineStr">
        <is>
          <t>train</t>
        </is>
      </c>
      <c r="O3605">
        <f>HYPERLINK("3\1\marker_349_381099.png", "Ver Imagen")</f>
        <v/>
      </c>
      <c r="P3605">
        <f>HYPERLINK("SE\A-5058\A-5058__99.png", "Ver Imagen")</f>
        <v/>
      </c>
    </row>
    <row r="3606">
      <c r="A3606" t="n">
        <v>3150</v>
      </c>
      <c r="B3606" t="inlineStr">
        <is>
          <t>A-5058__140</t>
        </is>
      </c>
      <c r="C3606" t="n">
        <v>37.2340904023</v>
      </c>
      <c r="D3606" t="n">
        <v>-7.05871767374</v>
      </c>
      <c r="E3606" t="n">
        <v>2</v>
      </c>
      <c r="F3606" t="n">
        <v>3</v>
      </c>
      <c r="G3606" t="n">
        <v>3</v>
      </c>
      <c r="J3606" t="inlineStr">
        <is>
          <t>Moda</t>
        </is>
      </c>
      <c r="K3606" t="n">
        <v>3</v>
      </c>
      <c r="L3606" t="n">
        <v>2.715</v>
      </c>
      <c r="M3606" t="n">
        <v>0</v>
      </c>
      <c r="N3606" t="inlineStr">
        <is>
          <t>train</t>
        </is>
      </c>
      <c r="O3606">
        <f>HYPERLINK("3\1\marker_130_381572.png", "Ver Imagen")</f>
        <v/>
      </c>
      <c r="P3606">
        <f>HYPERLINK("SE\A-5058\A-5058__140.png", "Ver Imagen")</f>
        <v/>
      </c>
    </row>
    <row r="3607">
      <c r="A3607" t="n">
        <v>3151</v>
      </c>
      <c r="B3607" t="inlineStr">
        <is>
          <t>A-5058__143</t>
        </is>
      </c>
      <c r="C3607" t="n">
        <v>37.2341382234</v>
      </c>
      <c r="D3607" t="n">
        <v>-7.05951863246</v>
      </c>
      <c r="E3607" t="n">
        <v>3</v>
      </c>
      <c r="F3607" t="n">
        <v>3</v>
      </c>
      <c r="G3607" t="n">
        <v>4</v>
      </c>
      <c r="J3607" t="inlineStr">
        <is>
          <t>Moda</t>
        </is>
      </c>
      <c r="K3607" t="n">
        <v>3</v>
      </c>
      <c r="L3607" t="n">
        <v>3.178</v>
      </c>
      <c r="M3607" t="n">
        <v>0</v>
      </c>
      <c r="N3607" t="inlineStr">
        <is>
          <t>train</t>
        </is>
      </c>
      <c r="O3607">
        <f>HYPERLINK("3\1\marker_877_381622.png", "Ver Imagen")</f>
        <v/>
      </c>
      <c r="P3607">
        <f>HYPERLINK("SE\A-5058\A-5058__143.png", "Ver Imagen")</f>
        <v/>
      </c>
    </row>
    <row r="3608">
      <c r="A3608" t="n">
        <v>3153</v>
      </c>
      <c r="B3608" t="inlineStr">
        <is>
          <t>A-5058__156</t>
        </is>
      </c>
      <c r="C3608" t="n">
        <v>37.2340679975</v>
      </c>
      <c r="D3608" t="n">
        <v>-7.06280591168</v>
      </c>
      <c r="E3608" t="n">
        <v>3</v>
      </c>
      <c r="F3608" t="n">
        <v>3</v>
      </c>
      <c r="G3608" t="n">
        <v>2</v>
      </c>
      <c r="J3608" t="inlineStr">
        <is>
          <t>Moda</t>
        </is>
      </c>
      <c r="K3608" t="n">
        <v>3</v>
      </c>
      <c r="L3608" t="n">
        <v>2.583</v>
      </c>
      <c r="M3608" t="n">
        <v>0</v>
      </c>
      <c r="N3608" t="inlineStr">
        <is>
          <t>train</t>
        </is>
      </c>
      <c r="O3608">
        <f>HYPERLINK("3\1\marker_211_381768.png", "Ver Imagen")</f>
        <v/>
      </c>
      <c r="P3608">
        <f>HYPERLINK("SE\A-5058\A-5058__156.png", "Ver Imagen")</f>
        <v/>
      </c>
    </row>
    <row r="3609">
      <c r="A3609" t="n">
        <v>3154</v>
      </c>
      <c r="B3609" t="inlineStr">
        <is>
          <t>A-5058__165</t>
        </is>
      </c>
      <c r="C3609" t="n">
        <v>37.2339652516</v>
      </c>
      <c r="D3609" t="n">
        <v>-7.06504946945</v>
      </c>
      <c r="E3609" t="n">
        <v>3</v>
      </c>
      <c r="F3609" t="n">
        <v>3</v>
      </c>
      <c r="G3609" t="n">
        <v>4</v>
      </c>
      <c r="J3609" t="inlineStr">
        <is>
          <t>Moda</t>
        </is>
      </c>
      <c r="K3609" t="n">
        <v>3</v>
      </c>
      <c r="L3609" t="n">
        <v>2.931</v>
      </c>
      <c r="M3609" t="n">
        <v>0</v>
      </c>
      <c r="N3609" t="inlineStr">
        <is>
          <t>train</t>
        </is>
      </c>
      <c r="O3609">
        <f>HYPERLINK("3\1\marker_651_381877.png", "Ver Imagen")</f>
        <v/>
      </c>
      <c r="P3609">
        <f>HYPERLINK("SE\A-5058\A-5058__165.png", "Ver Imagen")</f>
        <v/>
      </c>
    </row>
    <row r="3610">
      <c r="A3610" t="n">
        <v>3155</v>
      </c>
      <c r="B3610" t="inlineStr">
        <is>
          <t>A-5058__166</t>
        </is>
      </c>
      <c r="C3610" t="n">
        <v>37.2339373108</v>
      </c>
      <c r="D3610" t="n">
        <v>-7.06530926446</v>
      </c>
      <c r="E3610" t="n">
        <v>3</v>
      </c>
      <c r="F3610" t="n">
        <v>3</v>
      </c>
      <c r="G3610" t="n">
        <v>4</v>
      </c>
      <c r="J3610" t="inlineStr">
        <is>
          <t>Moda</t>
        </is>
      </c>
      <c r="K3610" t="n">
        <v>3</v>
      </c>
      <c r="L3610" t="n">
        <v>2.951</v>
      </c>
      <c r="M3610" t="n">
        <v>0</v>
      </c>
      <c r="N3610" t="inlineStr">
        <is>
          <t>train</t>
        </is>
      </c>
      <c r="O3610">
        <f>HYPERLINK("3\1\marker_844_381887.png", "Ver Imagen")</f>
        <v/>
      </c>
      <c r="P3610">
        <f>HYPERLINK("SE\A-5058\A-5058__166.png", "Ver Imagen")</f>
        <v/>
      </c>
    </row>
    <row r="3611">
      <c r="A3611" t="n">
        <v>3156</v>
      </c>
      <c r="B3611" t="inlineStr">
        <is>
          <t>A-5058__168</t>
        </is>
      </c>
      <c r="C3611" t="n">
        <v>37.2338747632</v>
      </c>
      <c r="D3611" t="n">
        <v>-7.06580790427</v>
      </c>
      <c r="E3611" t="n">
        <v>3</v>
      </c>
      <c r="F3611" t="n">
        <v>3</v>
      </c>
      <c r="G3611" t="n">
        <v>4</v>
      </c>
      <c r="J3611" t="inlineStr">
        <is>
          <t>Moda</t>
        </is>
      </c>
      <c r="K3611" t="n">
        <v>3</v>
      </c>
      <c r="L3611" t="n">
        <v>3.131</v>
      </c>
      <c r="M3611" t="n">
        <v>0</v>
      </c>
      <c r="N3611" t="inlineStr">
        <is>
          <t>train</t>
        </is>
      </c>
      <c r="O3611">
        <f>HYPERLINK("3\1\marker_689_382315.png", "Ver Imagen")</f>
        <v/>
      </c>
      <c r="P3611">
        <f>HYPERLINK("SE\A-5058\A-5058__168.png", "Ver Imagen")</f>
        <v/>
      </c>
    </row>
    <row r="3612">
      <c r="A3612" t="n">
        <v>3157</v>
      </c>
      <c r="B3612" t="inlineStr">
        <is>
          <t>A-5058__174</t>
        </is>
      </c>
      <c r="C3612" t="n">
        <v>37.2336534133</v>
      </c>
      <c r="D3612" t="n">
        <v>-7.06712962324</v>
      </c>
      <c r="E3612" t="n">
        <v>3</v>
      </c>
      <c r="F3612" t="n">
        <v>3</v>
      </c>
      <c r="G3612" t="n">
        <v>4</v>
      </c>
      <c r="J3612" t="inlineStr">
        <is>
          <t>Moda</t>
        </is>
      </c>
      <c r="K3612" t="n">
        <v>3</v>
      </c>
      <c r="L3612" t="n">
        <v>3.38</v>
      </c>
      <c r="M3612" t="n">
        <v>0</v>
      </c>
      <c r="N3612" t="inlineStr">
        <is>
          <t>train</t>
        </is>
      </c>
      <c r="O3612">
        <f>HYPERLINK("3\1\marker_870_382454.png", "Ver Imagen")</f>
        <v/>
      </c>
      <c r="P3612">
        <f>HYPERLINK("SE\A-5058\A-5058__174.png", "Ver Imagen")</f>
        <v/>
      </c>
    </row>
    <row r="3613">
      <c r="A3613" t="n">
        <v>3158</v>
      </c>
      <c r="B3613" t="inlineStr">
        <is>
          <t>A-5058__176</t>
        </is>
      </c>
      <c r="C3613" t="n">
        <v>37.2335787621</v>
      </c>
      <c r="D3613" t="n">
        <v>-7.06765257012</v>
      </c>
      <c r="E3613" t="n">
        <v>3</v>
      </c>
      <c r="F3613" t="n">
        <v>3</v>
      </c>
      <c r="G3613" t="n">
        <v>4</v>
      </c>
      <c r="J3613" t="inlineStr">
        <is>
          <t>Moda</t>
        </is>
      </c>
      <c r="K3613" t="n">
        <v>3</v>
      </c>
      <c r="L3613" t="n">
        <v>3.01</v>
      </c>
      <c r="M3613" t="n">
        <v>0</v>
      </c>
      <c r="N3613" t="inlineStr">
        <is>
          <t>train</t>
        </is>
      </c>
      <c r="O3613">
        <f>HYPERLINK("3\1\marker_236_382475.png", "Ver Imagen")</f>
        <v/>
      </c>
      <c r="P3613">
        <f>HYPERLINK("SE\A-5058\A-5058__176.png", "Ver Imagen")</f>
        <v/>
      </c>
    </row>
    <row r="3614">
      <c r="A3614" t="n">
        <v>3159</v>
      </c>
      <c r="B3614" t="inlineStr">
        <is>
          <t>A-5058__180</t>
        </is>
      </c>
      <c r="C3614" t="n">
        <v>37.2337083777</v>
      </c>
      <c r="D3614" t="n">
        <v>-7.06863385774</v>
      </c>
      <c r="E3614" t="n">
        <v>3</v>
      </c>
      <c r="F3614" t="n">
        <v>3</v>
      </c>
      <c r="G3614" t="n">
        <v>4</v>
      </c>
      <c r="J3614" t="inlineStr">
        <is>
          <t>Moda</t>
        </is>
      </c>
      <c r="K3614" t="n">
        <v>3</v>
      </c>
      <c r="L3614" t="n">
        <v>3.004</v>
      </c>
      <c r="M3614" t="n">
        <v>0</v>
      </c>
      <c r="N3614" t="inlineStr">
        <is>
          <t>test</t>
        </is>
      </c>
      <c r="O3614">
        <f>HYPERLINK("3\1\marker_208_382662.png", "Ver Imagen")</f>
        <v/>
      </c>
      <c r="P3614">
        <f>HYPERLINK("SE\A-5058\A-5058__180.png", "Ver Imagen")</f>
        <v/>
      </c>
    </row>
    <row r="3615">
      <c r="A3615" t="n">
        <v>3160</v>
      </c>
      <c r="B3615" t="inlineStr">
        <is>
          <t>A-5058__184</t>
        </is>
      </c>
      <c r="C3615" t="n">
        <v>37.2339735242</v>
      </c>
      <c r="D3615" t="n">
        <v>-7.06958170602</v>
      </c>
      <c r="E3615" t="n">
        <v>2</v>
      </c>
      <c r="F3615" t="n">
        <v>3</v>
      </c>
      <c r="G3615" t="n">
        <v>3</v>
      </c>
      <c r="J3615" t="inlineStr">
        <is>
          <t>Moda</t>
        </is>
      </c>
      <c r="K3615" t="n">
        <v>3</v>
      </c>
      <c r="L3615" t="n">
        <v>2.893</v>
      </c>
      <c r="M3615" t="n">
        <v>0</v>
      </c>
      <c r="N3615" t="inlineStr">
        <is>
          <t>train</t>
        </is>
      </c>
      <c r="O3615">
        <f>HYPERLINK("3\1\marker_782_382717.png", "Ver Imagen")</f>
        <v/>
      </c>
      <c r="P3615">
        <f>HYPERLINK("SE\A-5058\A-5058__184.png", "Ver Imagen")</f>
        <v/>
      </c>
    </row>
    <row r="3616">
      <c r="A3616" t="n">
        <v>3161</v>
      </c>
      <c r="B3616" t="inlineStr">
        <is>
          <t>A-5058__188</t>
        </is>
      </c>
      <c r="C3616" t="n">
        <v>37.2342342037</v>
      </c>
      <c r="D3616" t="n">
        <v>-7.0705075035</v>
      </c>
      <c r="E3616" t="n">
        <v>3</v>
      </c>
      <c r="F3616" t="n">
        <v>3</v>
      </c>
      <c r="G3616" t="n">
        <v>4</v>
      </c>
      <c r="J3616" t="inlineStr">
        <is>
          <t>Moda</t>
        </is>
      </c>
      <c r="K3616" t="n">
        <v>3</v>
      </c>
      <c r="L3616" t="n">
        <v>2.924</v>
      </c>
      <c r="M3616" t="n">
        <v>0</v>
      </c>
      <c r="N3616" t="inlineStr">
        <is>
          <t>train</t>
        </is>
      </c>
      <c r="O3616">
        <f>HYPERLINK("3\1\marker_993_382758.png", "Ver Imagen")</f>
        <v/>
      </c>
      <c r="P3616">
        <f>HYPERLINK("SE\A-5058\A-5058__188.png", "Ver Imagen")</f>
        <v/>
      </c>
    </row>
    <row r="3617">
      <c r="A3617" t="n">
        <v>3162</v>
      </c>
      <c r="B3617" t="inlineStr">
        <is>
          <t>A-5058__193</t>
        </is>
      </c>
      <c r="C3617" t="n">
        <v>37.2345691077</v>
      </c>
      <c r="D3617" t="n">
        <v>-7.07170556897</v>
      </c>
      <c r="E3617" t="n">
        <v>3</v>
      </c>
      <c r="F3617" t="n">
        <v>3</v>
      </c>
      <c r="G3617" t="n">
        <v>4</v>
      </c>
      <c r="J3617" t="inlineStr">
        <is>
          <t>Moda</t>
        </is>
      </c>
      <c r="K3617" t="n">
        <v>3</v>
      </c>
      <c r="L3617" t="n">
        <v>3.002</v>
      </c>
      <c r="M3617" t="n">
        <v>0</v>
      </c>
      <c r="N3617" t="inlineStr">
        <is>
          <t>train</t>
        </is>
      </c>
      <c r="O3617">
        <f>HYPERLINK("3\1\marker_276_382814.png", "Ver Imagen")</f>
        <v/>
      </c>
      <c r="P3617">
        <f>HYPERLINK("SE\A-5058\A-5058__193.png", "Ver Imagen")</f>
        <v/>
      </c>
    </row>
    <row r="3618">
      <c r="A3618" t="n">
        <v>3163</v>
      </c>
      <c r="B3618" t="inlineStr">
        <is>
          <t>A-5058__195</t>
        </is>
      </c>
      <c r="C3618" t="n">
        <v>37.2347078409</v>
      </c>
      <c r="D3618" t="n">
        <v>-7.07219482988</v>
      </c>
      <c r="E3618" t="n">
        <v>3</v>
      </c>
      <c r="F3618" t="n">
        <v>3</v>
      </c>
      <c r="G3618" t="n">
        <v>4</v>
      </c>
      <c r="J3618" t="inlineStr">
        <is>
          <t>Moda</t>
        </is>
      </c>
      <c r="K3618" t="n">
        <v>3</v>
      </c>
      <c r="L3618" t="n">
        <v>3.251</v>
      </c>
      <c r="M3618" t="n">
        <v>0</v>
      </c>
      <c r="N3618" t="inlineStr">
        <is>
          <t>val</t>
        </is>
      </c>
      <c r="O3618">
        <f>HYPERLINK("3\1\marker_150_382837.png", "Ver Imagen")</f>
        <v/>
      </c>
      <c r="P3618">
        <f>HYPERLINK("SE\A-5058\A-5058__195.png", "Ver Imagen")</f>
        <v/>
      </c>
    </row>
    <row r="3619">
      <c r="A3619" t="n">
        <v>3164</v>
      </c>
      <c r="B3619" t="inlineStr">
        <is>
          <t>A-5058__198</t>
        </is>
      </c>
      <c r="C3619" t="n">
        <v>37.2349470993</v>
      </c>
      <c r="D3619" t="n">
        <v>-7.07285634743</v>
      </c>
      <c r="E3619" t="n">
        <v>3</v>
      </c>
      <c r="F3619" t="n">
        <v>3</v>
      </c>
      <c r="G3619" t="n">
        <v>4</v>
      </c>
      <c r="J3619" t="inlineStr">
        <is>
          <t>Moda</t>
        </is>
      </c>
      <c r="K3619" t="n">
        <v>3</v>
      </c>
      <c r="L3619" t="n">
        <v>3.003</v>
      </c>
      <c r="M3619" t="n">
        <v>0</v>
      </c>
      <c r="N3619" t="inlineStr">
        <is>
          <t>train</t>
        </is>
      </c>
      <c r="O3619">
        <f>HYPERLINK("3\1\marker_140_382870.png", "Ver Imagen")</f>
        <v/>
      </c>
      <c r="P3619">
        <f>HYPERLINK("SE\A-5058\A-5058__198.png", "Ver Imagen")</f>
        <v/>
      </c>
    </row>
    <row r="3620">
      <c r="A3620" t="n">
        <v>3165</v>
      </c>
      <c r="B3620" t="inlineStr">
        <is>
          <t>A-5058__199</t>
        </is>
      </c>
      <c r="C3620" t="n">
        <v>37.2350585061</v>
      </c>
      <c r="D3620" t="n">
        <v>-7.07309905839</v>
      </c>
      <c r="E3620" t="n">
        <v>3</v>
      </c>
      <c r="F3620" t="n">
        <v>3</v>
      </c>
      <c r="G3620" t="n">
        <v>4</v>
      </c>
      <c r="J3620" t="inlineStr">
        <is>
          <t>Moda</t>
        </is>
      </c>
      <c r="K3620" t="n">
        <v>3</v>
      </c>
      <c r="L3620" t="n">
        <v>2.918</v>
      </c>
      <c r="M3620" t="n">
        <v>0</v>
      </c>
      <c r="N3620" t="inlineStr">
        <is>
          <t>train</t>
        </is>
      </c>
      <c r="O3620">
        <f>HYPERLINK("3\1\marker_970_382879.png", "Ver Imagen")</f>
        <v/>
      </c>
      <c r="P3620">
        <f>HYPERLINK("SE\A-5058\A-5058__199.png", "Ver Imagen")</f>
        <v/>
      </c>
    </row>
    <row r="3621">
      <c r="A3621" t="n">
        <v>3166</v>
      </c>
      <c r="B3621" t="inlineStr">
        <is>
          <t>A-5058__201</t>
        </is>
      </c>
      <c r="C3621" t="n">
        <v>37.2352839844</v>
      </c>
      <c r="D3621" t="n">
        <v>-7.07352667163</v>
      </c>
      <c r="E3621" t="n">
        <v>3</v>
      </c>
      <c r="F3621" t="n">
        <v>3</v>
      </c>
      <c r="G3621" t="n">
        <v>4</v>
      </c>
      <c r="J3621" t="inlineStr">
        <is>
          <t>Moda</t>
        </is>
      </c>
      <c r="K3621" t="n">
        <v>3</v>
      </c>
      <c r="L3621" t="n">
        <v>2.711</v>
      </c>
      <c r="M3621" t="n">
        <v>0</v>
      </c>
      <c r="N3621" t="inlineStr">
        <is>
          <t>train</t>
        </is>
      </c>
      <c r="O3621">
        <f>HYPERLINK("3\1\marker_433_382903.png", "Ver Imagen")</f>
        <v/>
      </c>
      <c r="P3621">
        <f>HYPERLINK("SE\A-5058\A-5058__201.png", "Ver Imagen")</f>
        <v/>
      </c>
    </row>
    <row r="3622">
      <c r="A3622" t="n">
        <v>3166</v>
      </c>
      <c r="B3622" t="inlineStr">
        <is>
          <t>A-5058__201</t>
        </is>
      </c>
      <c r="C3622" t="n">
        <v>37.2352839844</v>
      </c>
      <c r="D3622" t="n">
        <v>-7.07352667163</v>
      </c>
      <c r="E3622" t="n">
        <v>3</v>
      </c>
      <c r="F3622" t="n">
        <v>3</v>
      </c>
      <c r="G3622" t="n">
        <v>4</v>
      </c>
      <c r="J3622" t="inlineStr">
        <is>
          <t>Moda</t>
        </is>
      </c>
      <c r="K3622" t="n">
        <v>3</v>
      </c>
      <c r="L3622" t="n">
        <v>2.969</v>
      </c>
      <c r="M3622" t="n">
        <v>0</v>
      </c>
      <c r="N3622" t="inlineStr">
        <is>
          <t>train</t>
        </is>
      </c>
      <c r="O3622">
        <f>HYPERLINK("3\1\marker_433_382903.png", "Ver Imagen")</f>
        <v/>
      </c>
      <c r="P3622">
        <f>HYPERLINK("SO\A-5058\A-5058__201.png", "Ver Imagen")</f>
        <v/>
      </c>
    </row>
    <row r="3623">
      <c r="A3623" t="n">
        <v>3167</v>
      </c>
      <c r="B3623" t="inlineStr">
        <is>
          <t>A-5058__204</t>
        </is>
      </c>
      <c r="C3623" t="n">
        <v>37.2356360569</v>
      </c>
      <c r="D3623" t="n">
        <v>-7.07415535162</v>
      </c>
      <c r="E3623" t="n">
        <v>3</v>
      </c>
      <c r="F3623" t="n">
        <v>3</v>
      </c>
      <c r="G3623" t="n">
        <v>4</v>
      </c>
      <c r="J3623" t="inlineStr">
        <is>
          <t>Moda</t>
        </is>
      </c>
      <c r="K3623" t="n">
        <v>3</v>
      </c>
      <c r="L3623" t="n">
        <v>2.978</v>
      </c>
      <c r="M3623" t="n">
        <v>0</v>
      </c>
      <c r="N3623" t="inlineStr">
        <is>
          <t>train</t>
        </is>
      </c>
      <c r="O3623">
        <f>HYPERLINK("3\1\marker_404_382931.png", "Ver Imagen")</f>
        <v/>
      </c>
      <c r="P3623">
        <f>HYPERLINK("SE\A-5058\A-5058__204.png", "Ver Imagen")</f>
        <v/>
      </c>
    </row>
    <row r="3624">
      <c r="A3624" t="n">
        <v>3167</v>
      </c>
      <c r="B3624" t="inlineStr">
        <is>
          <t>A-5058__204</t>
        </is>
      </c>
      <c r="C3624" t="n">
        <v>37.2356360569</v>
      </c>
      <c r="D3624" t="n">
        <v>-7.07415535162</v>
      </c>
      <c r="E3624" t="n">
        <v>3</v>
      </c>
      <c r="F3624" t="n">
        <v>3</v>
      </c>
      <c r="G3624" t="n">
        <v>4</v>
      </c>
      <c r="J3624" t="inlineStr">
        <is>
          <t>Moda</t>
        </is>
      </c>
      <c r="K3624" t="n">
        <v>3</v>
      </c>
      <c r="L3624" t="n">
        <v>2.916</v>
      </c>
      <c r="M3624" t="n">
        <v>0</v>
      </c>
      <c r="N3624" t="inlineStr">
        <is>
          <t>train</t>
        </is>
      </c>
      <c r="O3624">
        <f>HYPERLINK("3\1\marker_404_382931.png", "Ver Imagen")</f>
        <v/>
      </c>
      <c r="P3624">
        <f>HYPERLINK("SO\A-5058\A-5058__204.png", "Ver Imagen")</f>
        <v/>
      </c>
    </row>
    <row r="3625">
      <c r="A3625" t="n">
        <v>3168</v>
      </c>
      <c r="B3625" t="inlineStr">
        <is>
          <t>A-5058__206</t>
        </is>
      </c>
      <c r="C3625" t="n">
        <v>37.2358663076</v>
      </c>
      <c r="D3625" t="n">
        <v>-7.07456706011</v>
      </c>
      <c r="E3625" t="n">
        <v>3</v>
      </c>
      <c r="F3625" t="n">
        <v>3</v>
      </c>
      <c r="G3625" t="n">
        <v>4</v>
      </c>
      <c r="J3625" t="inlineStr">
        <is>
          <t>Moda</t>
        </is>
      </c>
      <c r="K3625" t="n">
        <v>3</v>
      </c>
      <c r="L3625" t="n">
        <v>2.947</v>
      </c>
      <c r="M3625" t="n">
        <v>0</v>
      </c>
      <c r="N3625" t="inlineStr">
        <is>
          <t>train</t>
        </is>
      </c>
      <c r="O3625">
        <f>HYPERLINK("3\1\marker_769_382969.png", "Ver Imagen")</f>
        <v/>
      </c>
      <c r="P3625">
        <f>HYPERLINK("SE\A-5058\A-5058__206.png", "Ver Imagen")</f>
        <v/>
      </c>
    </row>
    <row r="3626">
      <c r="A3626" t="n">
        <v>3168</v>
      </c>
      <c r="B3626" t="inlineStr">
        <is>
          <t>A-5058__206</t>
        </is>
      </c>
      <c r="C3626" t="n">
        <v>37.2358663076</v>
      </c>
      <c r="D3626" t="n">
        <v>-7.07456706011</v>
      </c>
      <c r="E3626" t="n">
        <v>3</v>
      </c>
      <c r="F3626" t="n">
        <v>3</v>
      </c>
      <c r="G3626" t="n">
        <v>4</v>
      </c>
      <c r="J3626" t="inlineStr">
        <is>
          <t>Moda</t>
        </is>
      </c>
      <c r="K3626" t="n">
        <v>3</v>
      </c>
      <c r="L3626" t="n">
        <v>3.08</v>
      </c>
      <c r="M3626" t="n">
        <v>0</v>
      </c>
      <c r="N3626" t="inlineStr">
        <is>
          <t>train</t>
        </is>
      </c>
      <c r="O3626">
        <f>HYPERLINK("3\1\marker_769_382969.png", "Ver Imagen")</f>
        <v/>
      </c>
      <c r="P3626">
        <f>HYPERLINK("SO\A-5058\A-5058__206.png", "Ver Imagen")</f>
        <v/>
      </c>
    </row>
    <row r="3627">
      <c r="A3627" t="n">
        <v>3169</v>
      </c>
      <c r="B3627" t="inlineStr">
        <is>
          <t>A-5058__208</t>
        </is>
      </c>
      <c r="C3627" t="n">
        <v>37.236095908</v>
      </c>
      <c r="D3627" t="n">
        <v>-7.0749751965</v>
      </c>
      <c r="E3627" t="n">
        <v>3</v>
      </c>
      <c r="F3627" t="n">
        <v>3</v>
      </c>
      <c r="G3627" t="n">
        <v>4</v>
      </c>
      <c r="J3627" t="inlineStr">
        <is>
          <t>Moda</t>
        </is>
      </c>
      <c r="K3627" t="n">
        <v>3</v>
      </c>
      <c r="L3627" t="n">
        <v>2.984</v>
      </c>
      <c r="M3627" t="n">
        <v>0</v>
      </c>
      <c r="N3627" t="inlineStr">
        <is>
          <t>test</t>
        </is>
      </c>
      <c r="O3627">
        <f>HYPERLINK("3\1\marker_677_382989.png", "Ver Imagen")</f>
        <v/>
      </c>
      <c r="P3627">
        <f>HYPERLINK("SE\A-5058\A-5058__208.png", "Ver Imagen")</f>
        <v/>
      </c>
    </row>
    <row r="3628">
      <c r="A3628" t="n">
        <v>3169</v>
      </c>
      <c r="B3628" t="inlineStr">
        <is>
          <t>A-5058__208</t>
        </is>
      </c>
      <c r="C3628" t="n">
        <v>37.236095908</v>
      </c>
      <c r="D3628" t="n">
        <v>-7.0749751965</v>
      </c>
      <c r="E3628" t="n">
        <v>3</v>
      </c>
      <c r="F3628" t="n">
        <v>3</v>
      </c>
      <c r="G3628" t="n">
        <v>4</v>
      </c>
      <c r="J3628" t="inlineStr">
        <is>
          <t>Moda</t>
        </is>
      </c>
      <c r="K3628" t="n">
        <v>3</v>
      </c>
      <c r="L3628" t="n">
        <v>2.883</v>
      </c>
      <c r="M3628" t="n">
        <v>0</v>
      </c>
      <c r="N3628" t="inlineStr">
        <is>
          <t>test</t>
        </is>
      </c>
      <c r="O3628">
        <f>HYPERLINK("3\1\marker_677_382989.png", "Ver Imagen")</f>
        <v/>
      </c>
      <c r="P3628">
        <f>HYPERLINK("SO\A-5058\A-5058__208.png", "Ver Imagen")</f>
        <v/>
      </c>
    </row>
    <row r="3629">
      <c r="A3629" t="n">
        <v>3170</v>
      </c>
      <c r="B3629" t="inlineStr">
        <is>
          <t>A-5058__210</t>
        </is>
      </c>
      <c r="C3629" t="n">
        <v>37.2363177893</v>
      </c>
      <c r="D3629" t="n">
        <v>-7.07537066776</v>
      </c>
      <c r="E3629" t="n">
        <v>3</v>
      </c>
      <c r="F3629" t="n">
        <v>3</v>
      </c>
      <c r="G3629" t="n">
        <v>4</v>
      </c>
      <c r="J3629" t="inlineStr">
        <is>
          <t>Moda</t>
        </is>
      </c>
      <c r="K3629" t="n">
        <v>3</v>
      </c>
      <c r="L3629" t="n">
        <v>3.021</v>
      </c>
      <c r="M3629" t="n">
        <v>0</v>
      </c>
      <c r="N3629" t="inlineStr">
        <is>
          <t>train</t>
        </is>
      </c>
      <c r="O3629">
        <f>HYPERLINK("3\1\marker_128_383021.png", "Ver Imagen")</f>
        <v/>
      </c>
      <c r="P3629">
        <f>HYPERLINK("SE\A-5058\A-5058__210.png", "Ver Imagen")</f>
        <v/>
      </c>
    </row>
    <row r="3630">
      <c r="A3630" t="n">
        <v>3170</v>
      </c>
      <c r="B3630" t="inlineStr">
        <is>
          <t>A-5058__210</t>
        </is>
      </c>
      <c r="C3630" t="n">
        <v>37.2363177893</v>
      </c>
      <c r="D3630" t="n">
        <v>-7.07537066776</v>
      </c>
      <c r="E3630" t="n">
        <v>3</v>
      </c>
      <c r="F3630" t="n">
        <v>3</v>
      </c>
      <c r="G3630" t="n">
        <v>4</v>
      </c>
      <c r="J3630" t="inlineStr">
        <is>
          <t>Moda</t>
        </is>
      </c>
      <c r="K3630" t="n">
        <v>3</v>
      </c>
      <c r="L3630" t="n">
        <v>3.008</v>
      </c>
      <c r="M3630" t="n">
        <v>0</v>
      </c>
      <c r="N3630" t="inlineStr">
        <is>
          <t>train</t>
        </is>
      </c>
      <c r="O3630">
        <f>HYPERLINK("3\1\marker_128_383021.png", "Ver Imagen")</f>
        <v/>
      </c>
      <c r="P3630">
        <f>HYPERLINK("SO\A-5058\A-5058__210.png", "Ver Imagen")</f>
        <v/>
      </c>
    </row>
    <row r="3631">
      <c r="A3631" t="n">
        <v>3171</v>
      </c>
      <c r="B3631" t="inlineStr">
        <is>
          <t>A-5058__211</t>
        </is>
      </c>
      <c r="C3631" t="n">
        <v>37.2364453008</v>
      </c>
      <c r="D3631" t="n">
        <v>-7.07560307569</v>
      </c>
      <c r="E3631" t="n">
        <v>3</v>
      </c>
      <c r="F3631" t="n">
        <v>3</v>
      </c>
      <c r="G3631" t="n">
        <v>4</v>
      </c>
      <c r="J3631" t="inlineStr">
        <is>
          <t>Moda</t>
        </is>
      </c>
      <c r="K3631" t="n">
        <v>3</v>
      </c>
      <c r="L3631" t="n">
        <v>2.844</v>
      </c>
      <c r="M3631" t="n">
        <v>0</v>
      </c>
      <c r="N3631" t="inlineStr">
        <is>
          <t>val</t>
        </is>
      </c>
      <c r="O3631">
        <f>HYPERLINK("3\1\marker_457_383029.png", "Ver Imagen")</f>
        <v/>
      </c>
      <c r="P3631">
        <f>HYPERLINK("SE\A-5058\A-5058__211.png", "Ver Imagen")</f>
        <v/>
      </c>
    </row>
    <row r="3632">
      <c r="A3632" t="n">
        <v>3171</v>
      </c>
      <c r="B3632" t="inlineStr">
        <is>
          <t>A-5058__211</t>
        </is>
      </c>
      <c r="C3632" t="n">
        <v>37.2364453008</v>
      </c>
      <c r="D3632" t="n">
        <v>-7.07560307569</v>
      </c>
      <c r="E3632" t="n">
        <v>3</v>
      </c>
      <c r="F3632" t="n">
        <v>3</v>
      </c>
      <c r="G3632" t="n">
        <v>4</v>
      </c>
      <c r="J3632" t="inlineStr">
        <is>
          <t>Moda</t>
        </is>
      </c>
      <c r="K3632" t="n">
        <v>3</v>
      </c>
      <c r="L3632" t="n">
        <v>3.294</v>
      </c>
      <c r="M3632" t="n">
        <v>0</v>
      </c>
      <c r="N3632" t="inlineStr">
        <is>
          <t>val</t>
        </is>
      </c>
      <c r="O3632">
        <f>HYPERLINK("3\1\marker_457_383029.png", "Ver Imagen")</f>
        <v/>
      </c>
      <c r="P3632">
        <f>HYPERLINK("SO\A-5058\A-5058__211.png", "Ver Imagen")</f>
        <v/>
      </c>
    </row>
    <row r="3633">
      <c r="A3633" t="n">
        <v>3172</v>
      </c>
      <c r="B3633" t="inlineStr">
        <is>
          <t>A-5058__212</t>
        </is>
      </c>
      <c r="C3633" t="n">
        <v>37.2365549028</v>
      </c>
      <c r="D3633" t="n">
        <v>-7.07580119375</v>
      </c>
      <c r="E3633" t="n">
        <v>3</v>
      </c>
      <c r="F3633" t="n">
        <v>3</v>
      </c>
      <c r="G3633" t="n">
        <v>4</v>
      </c>
      <c r="J3633" t="inlineStr">
        <is>
          <t>Moda</t>
        </is>
      </c>
      <c r="K3633" t="n">
        <v>3</v>
      </c>
      <c r="L3633" t="n">
        <v>2.561</v>
      </c>
      <c r="M3633" t="n">
        <v>0</v>
      </c>
      <c r="N3633" t="inlineStr">
        <is>
          <t>train</t>
        </is>
      </c>
      <c r="O3633">
        <f>HYPERLINK("3\1\marker_262_383041.png", "Ver Imagen")</f>
        <v/>
      </c>
      <c r="P3633">
        <f>HYPERLINK("SE\A-5058\A-5058__212.png", "Ver Imagen")</f>
        <v/>
      </c>
    </row>
    <row r="3634">
      <c r="A3634" t="n">
        <v>3172</v>
      </c>
      <c r="B3634" t="inlineStr">
        <is>
          <t>A-5058__212</t>
        </is>
      </c>
      <c r="C3634" t="n">
        <v>37.2365549028</v>
      </c>
      <c r="D3634" t="n">
        <v>-7.07580119375</v>
      </c>
      <c r="E3634" t="n">
        <v>3</v>
      </c>
      <c r="F3634" t="n">
        <v>3</v>
      </c>
      <c r="G3634" t="n">
        <v>4</v>
      </c>
      <c r="J3634" t="inlineStr">
        <is>
          <t>Moda</t>
        </is>
      </c>
      <c r="K3634" t="n">
        <v>3</v>
      </c>
      <c r="L3634" t="n">
        <v>2.778</v>
      </c>
      <c r="M3634" t="n">
        <v>0</v>
      </c>
      <c r="N3634" t="inlineStr">
        <is>
          <t>train</t>
        </is>
      </c>
      <c r="O3634">
        <f>HYPERLINK("3\1\marker_262_383041.png", "Ver Imagen")</f>
        <v/>
      </c>
      <c r="P3634">
        <f>HYPERLINK("SO\A-5058\A-5058__212.png", "Ver Imagen")</f>
        <v/>
      </c>
    </row>
    <row r="3635">
      <c r="A3635" t="n">
        <v>3173</v>
      </c>
      <c r="B3635" t="inlineStr">
        <is>
          <t>A-5058__213</t>
        </is>
      </c>
      <c r="C3635" t="n">
        <v>37.2366810614</v>
      </c>
      <c r="D3635" t="n">
        <v>-7.07602461087</v>
      </c>
      <c r="E3635" t="n">
        <v>3</v>
      </c>
      <c r="F3635" t="n">
        <v>3</v>
      </c>
      <c r="G3635" t="n">
        <v>4</v>
      </c>
      <c r="J3635" t="inlineStr">
        <is>
          <t>Moda</t>
        </is>
      </c>
      <c r="K3635" t="n">
        <v>3</v>
      </c>
      <c r="L3635" t="n">
        <v>2.591</v>
      </c>
      <c r="M3635" t="n">
        <v>0</v>
      </c>
      <c r="N3635" t="inlineStr">
        <is>
          <t>train</t>
        </is>
      </c>
      <c r="O3635">
        <f>HYPERLINK("3\1\marker_573_383052.png", "Ver Imagen")</f>
        <v/>
      </c>
      <c r="P3635">
        <f>HYPERLINK("SE\A-5058\A-5058__213.png", "Ver Imagen")</f>
        <v/>
      </c>
    </row>
    <row r="3636">
      <c r="A3636" t="n">
        <v>3173</v>
      </c>
      <c r="B3636" t="inlineStr">
        <is>
          <t>A-5058__213</t>
        </is>
      </c>
      <c r="C3636" t="n">
        <v>37.2366810614</v>
      </c>
      <c r="D3636" t="n">
        <v>-7.07602461087</v>
      </c>
      <c r="E3636" t="n">
        <v>3</v>
      </c>
      <c r="F3636" t="n">
        <v>3</v>
      </c>
      <c r="G3636" t="n">
        <v>4</v>
      </c>
      <c r="J3636" t="inlineStr">
        <is>
          <t>Moda</t>
        </is>
      </c>
      <c r="K3636" t="n">
        <v>3</v>
      </c>
      <c r="L3636" t="n">
        <v>2.937</v>
      </c>
      <c r="M3636" t="n">
        <v>0</v>
      </c>
      <c r="N3636" t="inlineStr">
        <is>
          <t>train</t>
        </is>
      </c>
      <c r="O3636">
        <f>HYPERLINK("3\1\marker_573_383052.png", "Ver Imagen")</f>
        <v/>
      </c>
      <c r="P3636">
        <f>HYPERLINK("SO\A-5058\A-5058__213.png", "Ver Imagen")</f>
        <v/>
      </c>
    </row>
    <row r="3637">
      <c r="A3637" t="n">
        <v>3174</v>
      </c>
      <c r="B3637" t="inlineStr">
        <is>
          <t>A-5058__214</t>
        </is>
      </c>
      <c r="C3637" t="n">
        <v>37.2367915443</v>
      </c>
      <c r="D3637" t="n">
        <v>-7.07621966912</v>
      </c>
      <c r="E3637" t="n">
        <v>3</v>
      </c>
      <c r="F3637" t="n">
        <v>3</v>
      </c>
      <c r="G3637" t="n">
        <v>4</v>
      </c>
      <c r="J3637" t="inlineStr">
        <is>
          <t>Moda</t>
        </is>
      </c>
      <c r="K3637" t="n">
        <v>3</v>
      </c>
      <c r="L3637" t="n">
        <v>2.703</v>
      </c>
      <c r="M3637" t="n">
        <v>0</v>
      </c>
      <c r="N3637" t="inlineStr">
        <is>
          <t>train</t>
        </is>
      </c>
      <c r="O3637">
        <f>HYPERLINK("3\1\marker_382_383062.png", "Ver Imagen")</f>
        <v/>
      </c>
      <c r="P3637">
        <f>HYPERLINK("SE\A-5058\A-5058__214.png", "Ver Imagen")</f>
        <v/>
      </c>
    </row>
    <row r="3638">
      <c r="A3638" t="n">
        <v>3174</v>
      </c>
      <c r="B3638" t="inlineStr">
        <is>
          <t>A-5058__214</t>
        </is>
      </c>
      <c r="C3638" t="n">
        <v>37.2367915443</v>
      </c>
      <c r="D3638" t="n">
        <v>-7.07621966912</v>
      </c>
      <c r="E3638" t="n">
        <v>3</v>
      </c>
      <c r="F3638" t="n">
        <v>3</v>
      </c>
      <c r="G3638" t="n">
        <v>4</v>
      </c>
      <c r="J3638" t="inlineStr">
        <is>
          <t>Moda</t>
        </is>
      </c>
      <c r="K3638" t="n">
        <v>3</v>
      </c>
      <c r="L3638" t="n">
        <v>3.138</v>
      </c>
      <c r="M3638" t="n">
        <v>0</v>
      </c>
      <c r="N3638" t="inlineStr">
        <is>
          <t>train</t>
        </is>
      </c>
      <c r="O3638">
        <f>HYPERLINK("3\1\marker_382_383062.png", "Ver Imagen")</f>
        <v/>
      </c>
      <c r="P3638">
        <f>HYPERLINK("SO\A-5058\A-5058__214.png", "Ver Imagen")</f>
        <v/>
      </c>
    </row>
    <row r="3639">
      <c r="A3639" t="n">
        <v>3175</v>
      </c>
      <c r="B3639" t="inlineStr">
        <is>
          <t>A-5058__215</t>
        </is>
      </c>
      <c r="C3639" t="n">
        <v>37.2369018456</v>
      </c>
      <c r="D3639" t="n">
        <v>-7.0764155946</v>
      </c>
      <c r="E3639" t="n">
        <v>3</v>
      </c>
      <c r="F3639" t="n">
        <v>3</v>
      </c>
      <c r="G3639" t="n">
        <v>4</v>
      </c>
      <c r="J3639" t="inlineStr">
        <is>
          <t>Moda</t>
        </is>
      </c>
      <c r="K3639" t="n">
        <v>3</v>
      </c>
      <c r="L3639" t="n">
        <v>3.049</v>
      </c>
      <c r="M3639" t="n">
        <v>0</v>
      </c>
      <c r="N3639" t="inlineStr">
        <is>
          <t>train</t>
        </is>
      </c>
      <c r="O3639">
        <f>HYPERLINK("3\1\marker_179_383071.png", "Ver Imagen")</f>
        <v/>
      </c>
      <c r="P3639">
        <f>HYPERLINK("SE\A-5058\A-5058__215.png", "Ver Imagen")</f>
        <v/>
      </c>
    </row>
    <row r="3640">
      <c r="A3640" t="n">
        <v>3175</v>
      </c>
      <c r="B3640" t="inlineStr">
        <is>
          <t>A-5058__215</t>
        </is>
      </c>
      <c r="C3640" t="n">
        <v>37.2369018456</v>
      </c>
      <c r="D3640" t="n">
        <v>-7.0764155946</v>
      </c>
      <c r="E3640" t="n">
        <v>3</v>
      </c>
      <c r="F3640" t="n">
        <v>3</v>
      </c>
      <c r="G3640" t="n">
        <v>4</v>
      </c>
      <c r="J3640" t="inlineStr">
        <is>
          <t>Moda</t>
        </is>
      </c>
      <c r="K3640" t="n">
        <v>3</v>
      </c>
      <c r="L3640" t="n">
        <v>3.338</v>
      </c>
      <c r="M3640" t="n">
        <v>0</v>
      </c>
      <c r="N3640" t="inlineStr">
        <is>
          <t>train</t>
        </is>
      </c>
      <c r="O3640">
        <f>HYPERLINK("3\1\marker_179_383071.png", "Ver Imagen")</f>
        <v/>
      </c>
      <c r="P3640">
        <f>HYPERLINK("SO\A-5058\A-5058__215.png", "Ver Imagen")</f>
        <v/>
      </c>
    </row>
    <row r="3641">
      <c r="A3641" t="n">
        <v>3176</v>
      </c>
      <c r="B3641" t="inlineStr">
        <is>
          <t>A-5058__217</t>
        </is>
      </c>
      <c r="C3641" t="n">
        <v>37.2371324948</v>
      </c>
      <c r="D3641" t="n">
        <v>-7.07683422093</v>
      </c>
      <c r="E3641" t="n">
        <v>3</v>
      </c>
      <c r="F3641" t="n">
        <v>3</v>
      </c>
      <c r="G3641" t="n">
        <v>4</v>
      </c>
      <c r="J3641" t="inlineStr">
        <is>
          <t>Moda</t>
        </is>
      </c>
      <c r="K3641" t="n">
        <v>3</v>
      </c>
      <c r="L3641" t="n">
        <v>3.1</v>
      </c>
      <c r="M3641" t="n">
        <v>0</v>
      </c>
      <c r="N3641" t="inlineStr">
        <is>
          <t>train</t>
        </is>
      </c>
      <c r="O3641">
        <f>HYPERLINK("3\1\marker_233_383092.png", "Ver Imagen")</f>
        <v/>
      </c>
      <c r="P3641">
        <f>HYPERLINK("SE\A-5058\A-5058__217.png", "Ver Imagen")</f>
        <v/>
      </c>
    </row>
    <row r="3642">
      <c r="A3642" t="n">
        <v>3176</v>
      </c>
      <c r="B3642" t="inlineStr">
        <is>
          <t>A-5058__217</t>
        </is>
      </c>
      <c r="C3642" t="n">
        <v>37.2371324948</v>
      </c>
      <c r="D3642" t="n">
        <v>-7.07683422093</v>
      </c>
      <c r="E3642" t="n">
        <v>3</v>
      </c>
      <c r="F3642" t="n">
        <v>3</v>
      </c>
      <c r="G3642" t="n">
        <v>4</v>
      </c>
      <c r="J3642" t="inlineStr">
        <is>
          <t>Moda</t>
        </is>
      </c>
      <c r="K3642" t="n">
        <v>3</v>
      </c>
      <c r="L3642" t="n">
        <v>2.869</v>
      </c>
      <c r="M3642" t="n">
        <v>0</v>
      </c>
      <c r="N3642" t="inlineStr">
        <is>
          <t>train</t>
        </is>
      </c>
      <c r="O3642">
        <f>HYPERLINK("3\1\marker_233_383092.png", "Ver Imagen")</f>
        <v/>
      </c>
      <c r="P3642">
        <f>HYPERLINK("SO\A-5058\A-5058__217.png", "Ver Imagen")</f>
        <v/>
      </c>
    </row>
    <row r="3643">
      <c r="A3643" t="n">
        <v>3177</v>
      </c>
      <c r="B3643" t="inlineStr">
        <is>
          <t>A-5058__219</t>
        </is>
      </c>
      <c r="C3643" t="n">
        <v>37.2373647183</v>
      </c>
      <c r="D3643" t="n">
        <v>-7.07725293148</v>
      </c>
      <c r="E3643" t="n">
        <v>3</v>
      </c>
      <c r="F3643" t="n">
        <v>3</v>
      </c>
      <c r="G3643" t="n">
        <v>4</v>
      </c>
      <c r="J3643" t="inlineStr">
        <is>
          <t>Moda</t>
        </is>
      </c>
      <c r="K3643" t="n">
        <v>3</v>
      </c>
      <c r="L3643" t="n">
        <v>3.142</v>
      </c>
      <c r="M3643" t="n">
        <v>0</v>
      </c>
      <c r="N3643" t="inlineStr">
        <is>
          <t>train</t>
        </is>
      </c>
      <c r="O3643">
        <f>HYPERLINK("3\1\marker_224_383110.png", "Ver Imagen")</f>
        <v/>
      </c>
      <c r="P3643">
        <f>HYPERLINK("SE\A-5058\A-5058__219.png", "Ver Imagen")</f>
        <v/>
      </c>
    </row>
    <row r="3644">
      <c r="A3644" t="n">
        <v>3177</v>
      </c>
      <c r="B3644" t="inlineStr">
        <is>
          <t>A-5058__219</t>
        </is>
      </c>
      <c r="C3644" t="n">
        <v>37.2373647183</v>
      </c>
      <c r="D3644" t="n">
        <v>-7.07725293148</v>
      </c>
      <c r="E3644" t="n">
        <v>3</v>
      </c>
      <c r="F3644" t="n">
        <v>3</v>
      </c>
      <c r="G3644" t="n">
        <v>4</v>
      </c>
      <c r="J3644" t="inlineStr">
        <is>
          <t>Moda</t>
        </is>
      </c>
      <c r="K3644" t="n">
        <v>3</v>
      </c>
      <c r="L3644" t="n">
        <v>3.226</v>
      </c>
      <c r="M3644" t="n">
        <v>0</v>
      </c>
      <c r="N3644" t="inlineStr">
        <is>
          <t>train</t>
        </is>
      </c>
      <c r="O3644">
        <f>HYPERLINK("3\1\marker_224_383110.png", "Ver Imagen")</f>
        <v/>
      </c>
      <c r="P3644">
        <f>HYPERLINK("SO\A-5058\A-5058__219.png", "Ver Imagen")</f>
        <v/>
      </c>
    </row>
    <row r="3645">
      <c r="A3645" t="n">
        <v>3178</v>
      </c>
      <c r="B3645" t="inlineStr">
        <is>
          <t>A-5058__220</t>
        </is>
      </c>
      <c r="C3645" t="n">
        <v>37.2374839717</v>
      </c>
      <c r="D3645" t="n">
        <v>-7.07746546893</v>
      </c>
      <c r="E3645" t="n">
        <v>3</v>
      </c>
      <c r="F3645" t="n">
        <v>3</v>
      </c>
      <c r="G3645" t="n">
        <v>4</v>
      </c>
      <c r="J3645" t="inlineStr">
        <is>
          <t>Moda</t>
        </is>
      </c>
      <c r="K3645" t="n">
        <v>3</v>
      </c>
      <c r="L3645" t="n">
        <v>2.948</v>
      </c>
      <c r="M3645" t="n">
        <v>0</v>
      </c>
      <c r="N3645" t="inlineStr">
        <is>
          <t>train</t>
        </is>
      </c>
      <c r="O3645">
        <f>HYPERLINK("3\1\marker_603_383128.png", "Ver Imagen")</f>
        <v/>
      </c>
      <c r="P3645">
        <f>HYPERLINK("SE\A-5058\A-5058__220.png", "Ver Imagen")</f>
        <v/>
      </c>
    </row>
    <row r="3646">
      <c r="A3646" t="n">
        <v>3178</v>
      </c>
      <c r="B3646" t="inlineStr">
        <is>
          <t>A-5058__220</t>
        </is>
      </c>
      <c r="C3646" t="n">
        <v>37.2374839717</v>
      </c>
      <c r="D3646" t="n">
        <v>-7.07746546893</v>
      </c>
      <c r="E3646" t="n">
        <v>3</v>
      </c>
      <c r="F3646" t="n">
        <v>3</v>
      </c>
      <c r="G3646" t="n">
        <v>4</v>
      </c>
      <c r="J3646" t="inlineStr">
        <is>
          <t>Moda</t>
        </is>
      </c>
      <c r="K3646" t="n">
        <v>3</v>
      </c>
      <c r="L3646" t="n">
        <v>2.833</v>
      </c>
      <c r="M3646" t="n">
        <v>0</v>
      </c>
      <c r="N3646" t="inlineStr">
        <is>
          <t>train</t>
        </is>
      </c>
      <c r="O3646">
        <f>HYPERLINK("3\1\marker_603_383128.png", "Ver Imagen")</f>
        <v/>
      </c>
      <c r="P3646">
        <f>HYPERLINK("SO\A-5058\A-5058__220.png", "Ver Imagen")</f>
        <v/>
      </c>
    </row>
    <row r="3647">
      <c r="A3647" t="n">
        <v>3179</v>
      </c>
      <c r="B3647" t="inlineStr">
        <is>
          <t>A-5058__221</t>
        </is>
      </c>
      <c r="C3647" t="n">
        <v>37.2375984542</v>
      </c>
      <c r="D3647" t="n">
        <v>-7.07766558076</v>
      </c>
      <c r="E3647" t="n">
        <v>3</v>
      </c>
      <c r="F3647" t="n">
        <v>3</v>
      </c>
      <c r="G3647" t="n">
        <v>4</v>
      </c>
      <c r="J3647" t="inlineStr">
        <is>
          <t>Moda</t>
        </is>
      </c>
      <c r="K3647" t="n">
        <v>3</v>
      </c>
      <c r="L3647" t="n">
        <v>3.224</v>
      </c>
      <c r="M3647" t="n">
        <v>0</v>
      </c>
      <c r="N3647" t="inlineStr">
        <is>
          <t>train</t>
        </is>
      </c>
      <c r="O3647">
        <f>HYPERLINK("3\1\marker_594_383149.png", "Ver Imagen")</f>
        <v/>
      </c>
      <c r="P3647">
        <f>HYPERLINK("SE\A-5058\A-5058__221.png", "Ver Imagen")</f>
        <v/>
      </c>
    </row>
    <row r="3648">
      <c r="A3648" t="n">
        <v>3179</v>
      </c>
      <c r="B3648" t="inlineStr">
        <is>
          <t>A-5058__221</t>
        </is>
      </c>
      <c r="C3648" t="n">
        <v>37.2375984542</v>
      </c>
      <c r="D3648" t="n">
        <v>-7.07766558076</v>
      </c>
      <c r="E3648" t="n">
        <v>3</v>
      </c>
      <c r="F3648" t="n">
        <v>3</v>
      </c>
      <c r="G3648" t="n">
        <v>4</v>
      </c>
      <c r="J3648" t="inlineStr">
        <is>
          <t>Moda</t>
        </is>
      </c>
      <c r="K3648" t="n">
        <v>3</v>
      </c>
      <c r="L3648" t="n">
        <v>3.081</v>
      </c>
      <c r="M3648" t="n">
        <v>0</v>
      </c>
      <c r="N3648" t="inlineStr">
        <is>
          <t>train</t>
        </is>
      </c>
      <c r="O3648">
        <f>HYPERLINK("3\1\marker_594_383149.png", "Ver Imagen")</f>
        <v/>
      </c>
      <c r="P3648">
        <f>HYPERLINK("SO\A-5058\A-5058__221.png", "Ver Imagen")</f>
        <v/>
      </c>
    </row>
    <row r="3649">
      <c r="A3649" t="n">
        <v>3180</v>
      </c>
      <c r="B3649" t="inlineStr">
        <is>
          <t>A-5058__222</t>
        </is>
      </c>
      <c r="C3649" t="n">
        <v>37.23771425</v>
      </c>
      <c r="D3649" t="n">
        <v>-7.07786595309</v>
      </c>
      <c r="E3649" t="n">
        <v>3</v>
      </c>
      <c r="F3649" t="n">
        <v>3</v>
      </c>
      <c r="G3649" t="n">
        <v>4</v>
      </c>
      <c r="J3649" t="inlineStr">
        <is>
          <t>Moda</t>
        </is>
      </c>
      <c r="K3649" t="n">
        <v>3</v>
      </c>
      <c r="L3649" t="n">
        <v>3.146</v>
      </c>
      <c r="M3649" t="n">
        <v>0</v>
      </c>
      <c r="N3649" t="inlineStr">
        <is>
          <t>train</t>
        </is>
      </c>
      <c r="O3649">
        <f>HYPERLINK("3\1\marker_103_383158.png", "Ver Imagen")</f>
        <v/>
      </c>
      <c r="P3649">
        <f>HYPERLINK("SE\A-5058\A-5058__222.png", "Ver Imagen")</f>
        <v/>
      </c>
    </row>
    <row r="3650">
      <c r="A3650" t="n">
        <v>3180</v>
      </c>
      <c r="B3650" t="inlineStr">
        <is>
          <t>A-5058__222</t>
        </is>
      </c>
      <c r="C3650" t="n">
        <v>37.23771425</v>
      </c>
      <c r="D3650" t="n">
        <v>-7.07786595309</v>
      </c>
      <c r="E3650" t="n">
        <v>3</v>
      </c>
      <c r="F3650" t="n">
        <v>3</v>
      </c>
      <c r="G3650" t="n">
        <v>4</v>
      </c>
      <c r="J3650" t="inlineStr">
        <is>
          <t>Moda</t>
        </is>
      </c>
      <c r="K3650" t="n">
        <v>3</v>
      </c>
      <c r="L3650" t="n">
        <v>3.24</v>
      </c>
      <c r="M3650" t="n">
        <v>0</v>
      </c>
      <c r="N3650" t="inlineStr">
        <is>
          <t>train</t>
        </is>
      </c>
      <c r="O3650">
        <f>HYPERLINK("3\1\marker_103_383158.png", "Ver Imagen")</f>
        <v/>
      </c>
      <c r="P3650">
        <f>HYPERLINK("SO\A-5058\A-5058__222.png", "Ver Imagen")</f>
        <v/>
      </c>
    </row>
    <row r="3651">
      <c r="A3651" t="n">
        <v>3181</v>
      </c>
      <c r="B3651" t="inlineStr">
        <is>
          <t>A-5058__223</t>
        </is>
      </c>
      <c r="C3651" t="n">
        <v>37.23784305</v>
      </c>
      <c r="D3651" t="n">
        <v>-7.07808507513</v>
      </c>
      <c r="E3651" t="n">
        <v>3</v>
      </c>
      <c r="F3651" t="n">
        <v>3</v>
      </c>
      <c r="G3651" t="n">
        <v>4</v>
      </c>
      <c r="J3651" t="inlineStr">
        <is>
          <t>Moda</t>
        </is>
      </c>
      <c r="K3651" t="n">
        <v>3</v>
      </c>
      <c r="L3651" t="n">
        <v>2.959</v>
      </c>
      <c r="M3651" t="n">
        <v>0</v>
      </c>
      <c r="N3651" t="inlineStr">
        <is>
          <t>test</t>
        </is>
      </c>
      <c r="O3651">
        <f>HYPERLINK("3\1\marker_970_383168.png", "Ver Imagen")</f>
        <v/>
      </c>
      <c r="P3651">
        <f>HYPERLINK("SE\A-5058\A-5058__223.png", "Ver Imagen")</f>
        <v/>
      </c>
    </row>
    <row r="3652">
      <c r="A3652" t="n">
        <v>3181</v>
      </c>
      <c r="B3652" t="inlineStr">
        <is>
          <t>A-5058__223</t>
        </is>
      </c>
      <c r="C3652" t="n">
        <v>37.23784305</v>
      </c>
      <c r="D3652" t="n">
        <v>-7.07808507513</v>
      </c>
      <c r="E3652" t="n">
        <v>3</v>
      </c>
      <c r="F3652" t="n">
        <v>3</v>
      </c>
      <c r="G3652" t="n">
        <v>4</v>
      </c>
      <c r="J3652" t="inlineStr">
        <is>
          <t>Moda</t>
        </is>
      </c>
      <c r="K3652" t="n">
        <v>3</v>
      </c>
      <c r="L3652" t="n">
        <v>2.919</v>
      </c>
      <c r="M3652" t="n">
        <v>0</v>
      </c>
      <c r="N3652" t="inlineStr">
        <is>
          <t>test</t>
        </is>
      </c>
      <c r="O3652">
        <f>HYPERLINK("3\1\marker_970_383168.png", "Ver Imagen")</f>
        <v/>
      </c>
      <c r="P3652">
        <f>HYPERLINK("SO\A-5058\A-5058__223.png", "Ver Imagen")</f>
        <v/>
      </c>
    </row>
    <row r="3653">
      <c r="A3653" t="n">
        <v>3182</v>
      </c>
      <c r="B3653" t="inlineStr">
        <is>
          <t>A-5058__224</t>
        </is>
      </c>
      <c r="C3653" t="n">
        <v>37.2379572713</v>
      </c>
      <c r="D3653" t="n">
        <v>-7.078277792</v>
      </c>
      <c r="E3653" t="n">
        <v>3</v>
      </c>
      <c r="F3653" t="n">
        <v>3</v>
      </c>
      <c r="G3653" t="n">
        <v>4</v>
      </c>
      <c r="J3653" t="inlineStr">
        <is>
          <t>Moda</t>
        </is>
      </c>
      <c r="K3653" t="n">
        <v>3</v>
      </c>
      <c r="L3653" t="n">
        <v>2.807</v>
      </c>
      <c r="M3653" t="n">
        <v>0</v>
      </c>
      <c r="N3653" t="inlineStr">
        <is>
          <t>train</t>
        </is>
      </c>
      <c r="O3653">
        <f>HYPERLINK("3\1\marker_573_383182.png", "Ver Imagen")</f>
        <v/>
      </c>
      <c r="P3653">
        <f>HYPERLINK("SE\A-5058\A-5058__224.png", "Ver Imagen")</f>
        <v/>
      </c>
    </row>
    <row r="3654">
      <c r="A3654" t="n">
        <v>3182</v>
      </c>
      <c r="B3654" t="inlineStr">
        <is>
          <t>A-5058__224</t>
        </is>
      </c>
      <c r="C3654" t="n">
        <v>37.2379572713</v>
      </c>
      <c r="D3654" t="n">
        <v>-7.078277792</v>
      </c>
      <c r="E3654" t="n">
        <v>3</v>
      </c>
      <c r="F3654" t="n">
        <v>3</v>
      </c>
      <c r="G3654" t="n">
        <v>4</v>
      </c>
      <c r="J3654" t="inlineStr">
        <is>
          <t>Moda</t>
        </is>
      </c>
      <c r="K3654" t="n">
        <v>3</v>
      </c>
      <c r="L3654" t="n">
        <v>2.949</v>
      </c>
      <c r="M3654" t="n">
        <v>0</v>
      </c>
      <c r="N3654" t="inlineStr">
        <is>
          <t>train</t>
        </is>
      </c>
      <c r="O3654">
        <f>HYPERLINK("3\1\marker_573_383182.png", "Ver Imagen")</f>
        <v/>
      </c>
      <c r="P3654">
        <f>HYPERLINK("SO\A-5058\A-5058__224.png", "Ver Imagen")</f>
        <v/>
      </c>
    </row>
    <row r="3655">
      <c r="A3655" t="n">
        <v>3183</v>
      </c>
      <c r="B3655" t="inlineStr">
        <is>
          <t>A-5058__227</t>
        </is>
      </c>
      <c r="C3655" t="n">
        <v>37.2383295488</v>
      </c>
      <c r="D3655" t="n">
        <v>-7.07887566809</v>
      </c>
      <c r="E3655" t="n">
        <v>3</v>
      </c>
      <c r="F3655" t="n">
        <v>3</v>
      </c>
      <c r="G3655" t="n">
        <v>4</v>
      </c>
      <c r="J3655" t="inlineStr">
        <is>
          <t>Moda</t>
        </is>
      </c>
      <c r="K3655" t="n">
        <v>3</v>
      </c>
      <c r="L3655" t="n">
        <v>2.692</v>
      </c>
      <c r="M3655" t="n">
        <v>0</v>
      </c>
      <c r="N3655" t="inlineStr">
        <is>
          <t>val</t>
        </is>
      </c>
      <c r="O3655">
        <f>HYPERLINK("3\1\marker_850_383213.png", "Ver Imagen")</f>
        <v/>
      </c>
      <c r="P3655">
        <f>HYPERLINK("SE\A-5058\A-5058__227.png", "Ver Imagen")</f>
        <v/>
      </c>
    </row>
    <row r="3656">
      <c r="A3656" t="n">
        <v>3183</v>
      </c>
      <c r="B3656" t="inlineStr">
        <is>
          <t>A-5058__227</t>
        </is>
      </c>
      <c r="C3656" t="n">
        <v>37.2383295488</v>
      </c>
      <c r="D3656" t="n">
        <v>-7.07887566809</v>
      </c>
      <c r="E3656" t="n">
        <v>3</v>
      </c>
      <c r="F3656" t="n">
        <v>3</v>
      </c>
      <c r="G3656" t="n">
        <v>4</v>
      </c>
      <c r="J3656" t="inlineStr">
        <is>
          <t>Moda</t>
        </is>
      </c>
      <c r="K3656" t="n">
        <v>3</v>
      </c>
      <c r="L3656" t="n">
        <v>2.847</v>
      </c>
      <c r="M3656" t="n">
        <v>0</v>
      </c>
      <c r="N3656" t="inlineStr">
        <is>
          <t>val</t>
        </is>
      </c>
      <c r="O3656">
        <f>HYPERLINK("3\1\marker_850_383213.png", "Ver Imagen")</f>
        <v/>
      </c>
      <c r="P3656">
        <f>HYPERLINK("SO\A-5058\A-5058__227.png", "Ver Imagen")</f>
        <v/>
      </c>
    </row>
    <row r="3657">
      <c r="A3657" t="n">
        <v>3184</v>
      </c>
      <c r="B3657" t="inlineStr">
        <is>
          <t>A-5058__228</t>
        </is>
      </c>
      <c r="C3657" t="n">
        <v>37.2384735418</v>
      </c>
      <c r="D3657" t="n">
        <v>-7.0790936783</v>
      </c>
      <c r="E3657" t="n">
        <v>3</v>
      </c>
      <c r="F3657" t="n">
        <v>3</v>
      </c>
      <c r="G3657" t="n">
        <v>4</v>
      </c>
      <c r="J3657" t="inlineStr">
        <is>
          <t>Moda</t>
        </is>
      </c>
      <c r="K3657" t="n">
        <v>3</v>
      </c>
      <c r="L3657" t="n">
        <v>3.036</v>
      </c>
      <c r="M3657" t="n">
        <v>0</v>
      </c>
      <c r="N3657" t="inlineStr">
        <is>
          <t>val</t>
        </is>
      </c>
      <c r="O3657">
        <f>HYPERLINK("3\1\marker_109_383225.png", "Ver Imagen")</f>
        <v/>
      </c>
      <c r="P3657">
        <f>HYPERLINK("SE\A-5058\A-5058__228.png", "Ver Imagen")</f>
        <v/>
      </c>
    </row>
    <row r="3658">
      <c r="A3658" t="n">
        <v>3184</v>
      </c>
      <c r="B3658" t="inlineStr">
        <is>
          <t>A-5058__228</t>
        </is>
      </c>
      <c r="C3658" t="n">
        <v>37.2384735418</v>
      </c>
      <c r="D3658" t="n">
        <v>-7.0790936783</v>
      </c>
      <c r="E3658" t="n">
        <v>3</v>
      </c>
      <c r="F3658" t="n">
        <v>3</v>
      </c>
      <c r="G3658" t="n">
        <v>4</v>
      </c>
      <c r="J3658" t="inlineStr">
        <is>
          <t>Moda</t>
        </is>
      </c>
      <c r="K3658" t="n">
        <v>3</v>
      </c>
      <c r="L3658" t="n">
        <v>3.473</v>
      </c>
      <c r="M3658" t="n">
        <v>0</v>
      </c>
      <c r="N3658" t="inlineStr">
        <is>
          <t>val</t>
        </is>
      </c>
      <c r="O3658">
        <f>HYPERLINK("3\1\marker_109_383225.png", "Ver Imagen")</f>
        <v/>
      </c>
      <c r="P3658">
        <f>HYPERLINK("SO\A-5058\A-5058__228.png", "Ver Imagen")</f>
        <v/>
      </c>
    </row>
    <row r="3659">
      <c r="A3659" t="n">
        <v>3185</v>
      </c>
      <c r="B3659" t="inlineStr">
        <is>
          <t>A-5058__238</t>
        </is>
      </c>
      <c r="C3659" t="n">
        <v>37.2397460951</v>
      </c>
      <c r="D3659" t="n">
        <v>-7.08101283156</v>
      </c>
      <c r="E3659" t="n">
        <v>3</v>
      </c>
      <c r="F3659" t="n">
        <v>3</v>
      </c>
      <c r="G3659" t="n">
        <v>4</v>
      </c>
      <c r="J3659" t="inlineStr">
        <is>
          <t>Moda</t>
        </is>
      </c>
      <c r="K3659" t="n">
        <v>3</v>
      </c>
      <c r="L3659" t="n">
        <v>2.974</v>
      </c>
      <c r="M3659" t="n">
        <v>0</v>
      </c>
      <c r="N3659" t="inlineStr">
        <is>
          <t>val</t>
        </is>
      </c>
      <c r="O3659">
        <f>HYPERLINK("3\1\marker_547_383343.png", "Ver Imagen")</f>
        <v/>
      </c>
      <c r="P3659">
        <f>HYPERLINK("SE\A-5058\A-5058__238.png", "Ver Imagen")</f>
        <v/>
      </c>
    </row>
    <row r="3660">
      <c r="A3660" t="n">
        <v>3185</v>
      </c>
      <c r="B3660" t="inlineStr">
        <is>
          <t>A-5058__238</t>
        </is>
      </c>
      <c r="C3660" t="n">
        <v>37.2397460951</v>
      </c>
      <c r="D3660" t="n">
        <v>-7.08101283156</v>
      </c>
      <c r="E3660" t="n">
        <v>3</v>
      </c>
      <c r="F3660" t="n">
        <v>3</v>
      </c>
      <c r="G3660" t="n">
        <v>4</v>
      </c>
      <c r="J3660" t="inlineStr">
        <is>
          <t>Moda</t>
        </is>
      </c>
      <c r="K3660" t="n">
        <v>3</v>
      </c>
      <c r="L3660" t="n">
        <v>3.031</v>
      </c>
      <c r="M3660" t="n">
        <v>0</v>
      </c>
      <c r="N3660" t="inlineStr">
        <is>
          <t>val</t>
        </is>
      </c>
      <c r="O3660">
        <f>HYPERLINK("3\1\marker_547_383343.png", "Ver Imagen")</f>
        <v/>
      </c>
      <c r="P3660">
        <f>HYPERLINK("SO\A-5058\A-5058__238.png", "Ver Imagen")</f>
        <v/>
      </c>
    </row>
    <row r="3661">
      <c r="A3661" t="n">
        <v>3186</v>
      </c>
      <c r="B3661" t="inlineStr">
        <is>
          <t>A-5058__239</t>
        </is>
      </c>
      <c r="C3661" t="n">
        <v>37.2398771207</v>
      </c>
      <c r="D3661" t="n">
        <v>-7.08121233237</v>
      </c>
      <c r="E3661" t="n">
        <v>3</v>
      </c>
      <c r="F3661" t="n">
        <v>3</v>
      </c>
      <c r="G3661" t="n">
        <v>4</v>
      </c>
      <c r="J3661" t="inlineStr">
        <is>
          <t>Moda</t>
        </is>
      </c>
      <c r="K3661" t="n">
        <v>3</v>
      </c>
      <c r="L3661" t="n">
        <v>2.955</v>
      </c>
      <c r="M3661" t="n">
        <v>0</v>
      </c>
      <c r="N3661" t="inlineStr">
        <is>
          <t>train</t>
        </is>
      </c>
      <c r="O3661">
        <f>HYPERLINK("3\1\marker_368_383356.png", "Ver Imagen")</f>
        <v/>
      </c>
      <c r="P3661">
        <f>HYPERLINK("SE\A-5058\A-5058__239.png", "Ver Imagen")</f>
        <v/>
      </c>
    </row>
    <row r="3662">
      <c r="A3662" t="n">
        <v>3186</v>
      </c>
      <c r="B3662" t="inlineStr">
        <is>
          <t>A-5058__239</t>
        </is>
      </c>
      <c r="C3662" t="n">
        <v>37.2398771207</v>
      </c>
      <c r="D3662" t="n">
        <v>-7.08121233237</v>
      </c>
      <c r="E3662" t="n">
        <v>3</v>
      </c>
      <c r="F3662" t="n">
        <v>3</v>
      </c>
      <c r="G3662" t="n">
        <v>4</v>
      </c>
      <c r="J3662" t="inlineStr">
        <is>
          <t>Moda</t>
        </is>
      </c>
      <c r="K3662" t="n">
        <v>3</v>
      </c>
      <c r="L3662" t="n">
        <v>3.067</v>
      </c>
      <c r="M3662" t="n">
        <v>0</v>
      </c>
      <c r="N3662" t="inlineStr">
        <is>
          <t>train</t>
        </is>
      </c>
      <c r="O3662">
        <f>HYPERLINK("3\1\marker_368_383356.png", "Ver Imagen")</f>
        <v/>
      </c>
      <c r="P3662">
        <f>HYPERLINK("SO\A-5058\A-5058__239.png", "Ver Imagen")</f>
        <v/>
      </c>
    </row>
    <row r="3663">
      <c r="A3663" t="n">
        <v>3187</v>
      </c>
      <c r="B3663" t="inlineStr">
        <is>
          <t>A-5058__241</t>
        </is>
      </c>
      <c r="C3663" t="n">
        <v>37.2401460062</v>
      </c>
      <c r="D3663" t="n">
        <v>-7.08162572011</v>
      </c>
      <c r="E3663" t="n">
        <v>3</v>
      </c>
      <c r="F3663" t="n">
        <v>3</v>
      </c>
      <c r="G3663" t="n">
        <v>4</v>
      </c>
      <c r="J3663" t="inlineStr">
        <is>
          <t>Moda</t>
        </is>
      </c>
      <c r="K3663" t="n">
        <v>3</v>
      </c>
      <c r="L3663" t="n">
        <v>2.989</v>
      </c>
      <c r="M3663" t="n">
        <v>0</v>
      </c>
      <c r="N3663" t="inlineStr">
        <is>
          <t>val</t>
        </is>
      </c>
      <c r="O3663">
        <f>HYPERLINK("3\1\marker_695_383386.png", "Ver Imagen")</f>
        <v/>
      </c>
      <c r="P3663">
        <f>HYPERLINK("SE\A-5058\A-5058__241.png", "Ver Imagen")</f>
        <v/>
      </c>
    </row>
    <row r="3664">
      <c r="A3664" t="n">
        <v>3187</v>
      </c>
      <c r="B3664" t="inlineStr">
        <is>
          <t>A-5058__241</t>
        </is>
      </c>
      <c r="C3664" t="n">
        <v>37.2401460062</v>
      </c>
      <c r="D3664" t="n">
        <v>-7.08162572011</v>
      </c>
      <c r="E3664" t="n">
        <v>3</v>
      </c>
      <c r="F3664" t="n">
        <v>3</v>
      </c>
      <c r="G3664" t="n">
        <v>4</v>
      </c>
      <c r="J3664" t="inlineStr">
        <is>
          <t>Moda</t>
        </is>
      </c>
      <c r="K3664" t="n">
        <v>3</v>
      </c>
      <c r="L3664" t="n">
        <v>2.838</v>
      </c>
      <c r="M3664" t="n">
        <v>0</v>
      </c>
      <c r="N3664" t="inlineStr">
        <is>
          <t>val</t>
        </is>
      </c>
      <c r="O3664">
        <f>HYPERLINK("3\1\marker_695_383386.png", "Ver Imagen")</f>
        <v/>
      </c>
      <c r="P3664">
        <f>HYPERLINK("SO\A-5058\A-5058__241.png", "Ver Imagen")</f>
        <v/>
      </c>
    </row>
    <row r="3665">
      <c r="A3665" t="n">
        <v>3188</v>
      </c>
      <c r="B3665" t="inlineStr">
        <is>
          <t>A-5058__242</t>
        </is>
      </c>
      <c r="C3665" t="n">
        <v>37.2402733579</v>
      </c>
      <c r="D3665" t="n">
        <v>-7.08181968396</v>
      </c>
      <c r="E3665" t="n">
        <v>3</v>
      </c>
      <c r="F3665" t="n">
        <v>3</v>
      </c>
      <c r="G3665" t="n">
        <v>4</v>
      </c>
      <c r="J3665" t="inlineStr">
        <is>
          <t>Moda</t>
        </is>
      </c>
      <c r="K3665" t="n">
        <v>3</v>
      </c>
      <c r="L3665" t="n">
        <v>3.001</v>
      </c>
      <c r="M3665" t="n">
        <v>0</v>
      </c>
      <c r="N3665" t="inlineStr">
        <is>
          <t>val</t>
        </is>
      </c>
      <c r="O3665">
        <f>HYPERLINK("3\1\marker_171_383402.png", "Ver Imagen")</f>
        <v/>
      </c>
      <c r="P3665">
        <f>HYPERLINK("SE\A-5058\A-5058__242.png", "Ver Imagen")</f>
        <v/>
      </c>
    </row>
    <row r="3666">
      <c r="A3666" t="n">
        <v>3188</v>
      </c>
      <c r="B3666" t="inlineStr">
        <is>
          <t>A-5058__242</t>
        </is>
      </c>
      <c r="C3666" t="n">
        <v>37.2402733579</v>
      </c>
      <c r="D3666" t="n">
        <v>-7.08181968396</v>
      </c>
      <c r="E3666" t="n">
        <v>3</v>
      </c>
      <c r="F3666" t="n">
        <v>3</v>
      </c>
      <c r="G3666" t="n">
        <v>4</v>
      </c>
      <c r="J3666" t="inlineStr">
        <is>
          <t>Moda</t>
        </is>
      </c>
      <c r="K3666" t="n">
        <v>3</v>
      </c>
      <c r="L3666" t="n">
        <v>3.136</v>
      </c>
      <c r="M3666" t="n">
        <v>0</v>
      </c>
      <c r="N3666" t="inlineStr">
        <is>
          <t>val</t>
        </is>
      </c>
      <c r="O3666">
        <f>HYPERLINK("3\1\marker_171_383402.png", "Ver Imagen")</f>
        <v/>
      </c>
      <c r="P3666">
        <f>HYPERLINK("SO\A-5058\A-5058__242.png", "Ver Imagen")</f>
        <v/>
      </c>
    </row>
    <row r="3667">
      <c r="A3667" t="n">
        <v>3189</v>
      </c>
      <c r="B3667" t="inlineStr">
        <is>
          <t>A-5058__243</t>
        </is>
      </c>
      <c r="C3667" t="n">
        <v>37.2404025198</v>
      </c>
      <c r="D3667" t="n">
        <v>-7.08201545899</v>
      </c>
      <c r="E3667" t="n">
        <v>3</v>
      </c>
      <c r="F3667" t="n">
        <v>3</v>
      </c>
      <c r="G3667" t="n">
        <v>4</v>
      </c>
      <c r="J3667" t="inlineStr">
        <is>
          <t>Moda</t>
        </is>
      </c>
      <c r="K3667" t="n">
        <v>3</v>
      </c>
      <c r="L3667" t="n">
        <v>2.908</v>
      </c>
      <c r="M3667" t="n">
        <v>0</v>
      </c>
      <c r="N3667" t="inlineStr">
        <is>
          <t>val</t>
        </is>
      </c>
      <c r="O3667">
        <f>HYPERLINK("3\1\marker_821_383413.png", "Ver Imagen")</f>
        <v/>
      </c>
      <c r="P3667">
        <f>HYPERLINK("SE\A-5058\A-5058__243.png", "Ver Imagen")</f>
        <v/>
      </c>
    </row>
    <row r="3668">
      <c r="A3668" t="n">
        <v>3189</v>
      </c>
      <c r="B3668" t="inlineStr">
        <is>
          <t>A-5058__243</t>
        </is>
      </c>
      <c r="C3668" t="n">
        <v>37.2404025198</v>
      </c>
      <c r="D3668" t="n">
        <v>-7.08201545899</v>
      </c>
      <c r="E3668" t="n">
        <v>3</v>
      </c>
      <c r="F3668" t="n">
        <v>3</v>
      </c>
      <c r="G3668" t="n">
        <v>4</v>
      </c>
      <c r="J3668" t="inlineStr">
        <is>
          <t>Moda</t>
        </is>
      </c>
      <c r="K3668" t="n">
        <v>3</v>
      </c>
      <c r="L3668" t="n">
        <v>3.079</v>
      </c>
      <c r="M3668" t="n">
        <v>0</v>
      </c>
      <c r="N3668" t="inlineStr">
        <is>
          <t>val</t>
        </is>
      </c>
      <c r="O3668">
        <f>HYPERLINK("3\1\marker_821_383413.png", "Ver Imagen")</f>
        <v/>
      </c>
      <c r="P3668">
        <f>HYPERLINK("SO\A-5058\A-5058__243.png", "Ver Imagen")</f>
        <v/>
      </c>
    </row>
    <row r="3669">
      <c r="A3669" t="n">
        <v>3190</v>
      </c>
      <c r="B3669" t="inlineStr">
        <is>
          <t>A-5058__244</t>
        </is>
      </c>
      <c r="C3669" t="n">
        <v>37.2405407295</v>
      </c>
      <c r="D3669" t="n">
        <v>-7.08222286931</v>
      </c>
      <c r="E3669" t="n">
        <v>3</v>
      </c>
      <c r="F3669" t="n">
        <v>3</v>
      </c>
      <c r="G3669" t="n">
        <v>4</v>
      </c>
      <c r="J3669" t="inlineStr">
        <is>
          <t>Moda</t>
        </is>
      </c>
      <c r="K3669" t="n">
        <v>3</v>
      </c>
      <c r="L3669" t="n">
        <v>2.924</v>
      </c>
      <c r="M3669" t="n">
        <v>0</v>
      </c>
      <c r="N3669" t="inlineStr">
        <is>
          <t>train</t>
        </is>
      </c>
      <c r="O3669">
        <f>HYPERLINK("3\1\marker_395_383424.png", "Ver Imagen")</f>
        <v/>
      </c>
      <c r="P3669">
        <f>HYPERLINK("SE\A-5058\A-5058__244.png", "Ver Imagen")</f>
        <v/>
      </c>
    </row>
    <row r="3670">
      <c r="A3670" t="n">
        <v>3190</v>
      </c>
      <c r="B3670" t="inlineStr">
        <is>
          <t>A-5058__244</t>
        </is>
      </c>
      <c r="C3670" t="n">
        <v>37.2405407295</v>
      </c>
      <c r="D3670" t="n">
        <v>-7.08222286931</v>
      </c>
      <c r="E3670" t="n">
        <v>3</v>
      </c>
      <c r="F3670" t="n">
        <v>3</v>
      </c>
      <c r="G3670" t="n">
        <v>4</v>
      </c>
      <c r="J3670" t="inlineStr">
        <is>
          <t>Moda</t>
        </is>
      </c>
      <c r="K3670" t="n">
        <v>3</v>
      </c>
      <c r="L3670" t="n">
        <v>2.843</v>
      </c>
      <c r="M3670" t="n">
        <v>0</v>
      </c>
      <c r="N3670" t="inlineStr">
        <is>
          <t>train</t>
        </is>
      </c>
      <c r="O3670">
        <f>HYPERLINK("3\1\marker_395_383424.png", "Ver Imagen")</f>
        <v/>
      </c>
      <c r="P3670">
        <f>HYPERLINK("SO\A-5058\A-5058__244.png", "Ver Imagen")</f>
        <v/>
      </c>
    </row>
    <row r="3671">
      <c r="A3671" t="n">
        <v>3191</v>
      </c>
      <c r="B3671" t="inlineStr">
        <is>
          <t>A-5058__245</t>
        </is>
      </c>
      <c r="C3671" t="n">
        <v>37.2406499679</v>
      </c>
      <c r="D3671" t="n">
        <v>-7.0823876804</v>
      </c>
      <c r="E3671" t="n">
        <v>3</v>
      </c>
      <c r="F3671" t="n">
        <v>3</v>
      </c>
      <c r="G3671" t="n">
        <v>4</v>
      </c>
      <c r="J3671" t="inlineStr">
        <is>
          <t>Moda</t>
        </is>
      </c>
      <c r="K3671" t="n">
        <v>3</v>
      </c>
      <c r="L3671" t="n">
        <v>2.965</v>
      </c>
      <c r="M3671" t="n">
        <v>0</v>
      </c>
      <c r="N3671" t="inlineStr">
        <is>
          <t>train</t>
        </is>
      </c>
      <c r="O3671">
        <f>HYPERLINK("3\1\marker_885_383440.png", "Ver Imagen")</f>
        <v/>
      </c>
      <c r="P3671">
        <f>HYPERLINK("SE\A-5058\A-5058__245.png", "Ver Imagen")</f>
        <v/>
      </c>
    </row>
    <row r="3672">
      <c r="A3672" t="n">
        <v>3191</v>
      </c>
      <c r="B3672" t="inlineStr">
        <is>
          <t>A-5058__245</t>
        </is>
      </c>
      <c r="C3672" t="n">
        <v>37.2406499679</v>
      </c>
      <c r="D3672" t="n">
        <v>-7.0823876804</v>
      </c>
      <c r="E3672" t="n">
        <v>3</v>
      </c>
      <c r="F3672" t="n">
        <v>3</v>
      </c>
      <c r="G3672" t="n">
        <v>4</v>
      </c>
      <c r="J3672" t="inlineStr">
        <is>
          <t>Moda</t>
        </is>
      </c>
      <c r="K3672" t="n">
        <v>3</v>
      </c>
      <c r="L3672" t="n">
        <v>2.937</v>
      </c>
      <c r="M3672" t="n">
        <v>0</v>
      </c>
      <c r="N3672" t="inlineStr">
        <is>
          <t>train</t>
        </is>
      </c>
      <c r="O3672">
        <f>HYPERLINK("3\1\marker_885_383440.png", "Ver Imagen")</f>
        <v/>
      </c>
      <c r="P3672">
        <f>HYPERLINK("SO\A-5058\A-5058__245.png", "Ver Imagen")</f>
        <v/>
      </c>
    </row>
    <row r="3673">
      <c r="A3673" t="n">
        <v>3192</v>
      </c>
      <c r="B3673" t="inlineStr">
        <is>
          <t>A-5058__246</t>
        </is>
      </c>
      <c r="C3673" t="n">
        <v>37.2407953427</v>
      </c>
      <c r="D3673" t="n">
        <v>-7.08260741973</v>
      </c>
      <c r="E3673" t="n">
        <v>3</v>
      </c>
      <c r="F3673" t="n">
        <v>3</v>
      </c>
      <c r="G3673" t="n">
        <v>4</v>
      </c>
      <c r="J3673" t="inlineStr">
        <is>
          <t>Moda</t>
        </is>
      </c>
      <c r="K3673" t="n">
        <v>3</v>
      </c>
      <c r="L3673" t="n">
        <v>2.998</v>
      </c>
      <c r="M3673" t="n">
        <v>0</v>
      </c>
      <c r="N3673" t="inlineStr">
        <is>
          <t>train</t>
        </is>
      </c>
      <c r="O3673">
        <f>HYPERLINK("3\1\marker_259_383450.png", "Ver Imagen")</f>
        <v/>
      </c>
      <c r="P3673">
        <f>HYPERLINK("SE\A-5058\A-5058__246.png", "Ver Imagen")</f>
        <v/>
      </c>
    </row>
    <row r="3674">
      <c r="A3674" t="n">
        <v>3192</v>
      </c>
      <c r="B3674" t="inlineStr">
        <is>
          <t>A-5058__246</t>
        </is>
      </c>
      <c r="C3674" t="n">
        <v>37.2407953427</v>
      </c>
      <c r="D3674" t="n">
        <v>-7.08260741973</v>
      </c>
      <c r="E3674" t="n">
        <v>3</v>
      </c>
      <c r="F3674" t="n">
        <v>3</v>
      </c>
      <c r="G3674" t="n">
        <v>4</v>
      </c>
      <c r="J3674" t="inlineStr">
        <is>
          <t>Moda</t>
        </is>
      </c>
      <c r="K3674" t="n">
        <v>3</v>
      </c>
      <c r="L3674" t="n">
        <v>3.081</v>
      </c>
      <c r="M3674" t="n">
        <v>0</v>
      </c>
      <c r="N3674" t="inlineStr">
        <is>
          <t>train</t>
        </is>
      </c>
      <c r="O3674">
        <f>HYPERLINK("3\1\marker_259_383450.png", "Ver Imagen")</f>
        <v/>
      </c>
      <c r="P3674">
        <f>HYPERLINK("SO\A-5058\A-5058__246.png", "Ver Imagen")</f>
        <v/>
      </c>
    </row>
    <row r="3675">
      <c r="A3675" t="n">
        <v>3193</v>
      </c>
      <c r="B3675" t="inlineStr">
        <is>
          <t>A-5058__248</t>
        </is>
      </c>
      <c r="C3675" t="n">
        <v>37.2410399058</v>
      </c>
      <c r="D3675" t="n">
        <v>-7.0829756846</v>
      </c>
      <c r="E3675" t="n">
        <v>4</v>
      </c>
      <c r="F3675" t="n">
        <v>3</v>
      </c>
      <c r="G3675" t="n">
        <v>3</v>
      </c>
      <c r="J3675" t="inlineStr">
        <is>
          <t>Moda</t>
        </is>
      </c>
      <c r="K3675" t="n">
        <v>3</v>
      </c>
      <c r="L3675" t="n">
        <v>3.098</v>
      </c>
      <c r="M3675" t="n">
        <v>0</v>
      </c>
      <c r="N3675" t="inlineStr">
        <is>
          <t>train</t>
        </is>
      </c>
      <c r="O3675">
        <f>HYPERLINK("3\1\marker_906_383473.png", "Ver Imagen")</f>
        <v/>
      </c>
      <c r="P3675">
        <f>HYPERLINK("SE\A-5058\A-5058__248.png", "Ver Imagen")</f>
        <v/>
      </c>
    </row>
    <row r="3676">
      <c r="A3676" t="n">
        <v>3193</v>
      </c>
      <c r="B3676" t="inlineStr">
        <is>
          <t>A-5058__248</t>
        </is>
      </c>
      <c r="C3676" t="n">
        <v>37.2410399058</v>
      </c>
      <c r="D3676" t="n">
        <v>-7.0829756846</v>
      </c>
      <c r="E3676" t="n">
        <v>4</v>
      </c>
      <c r="F3676" t="n">
        <v>3</v>
      </c>
      <c r="G3676" t="n">
        <v>3</v>
      </c>
      <c r="J3676" t="inlineStr">
        <is>
          <t>Moda</t>
        </is>
      </c>
      <c r="K3676" t="n">
        <v>3</v>
      </c>
      <c r="L3676" t="n">
        <v>2.984</v>
      </c>
      <c r="M3676" t="n">
        <v>0</v>
      </c>
      <c r="N3676" t="inlineStr">
        <is>
          <t>train</t>
        </is>
      </c>
      <c r="O3676">
        <f>HYPERLINK("3\1\marker_906_383473.png", "Ver Imagen")</f>
        <v/>
      </c>
      <c r="P3676">
        <f>HYPERLINK("SO\A-5058\A-5058__248.png", "Ver Imagen")</f>
        <v/>
      </c>
    </row>
    <row r="3677">
      <c r="A3677" t="n">
        <v>3194</v>
      </c>
      <c r="B3677" t="inlineStr">
        <is>
          <t>A-5058__251</t>
        </is>
      </c>
      <c r="C3677" t="n">
        <v>37.2414405893</v>
      </c>
      <c r="D3677" t="n">
        <v>-7.08358667753</v>
      </c>
      <c r="E3677" t="n">
        <v>3</v>
      </c>
      <c r="F3677" t="n">
        <v>3</v>
      </c>
      <c r="G3677" t="n">
        <v>4</v>
      </c>
      <c r="J3677" t="inlineStr">
        <is>
          <t>Moda</t>
        </is>
      </c>
      <c r="K3677" t="n">
        <v>3</v>
      </c>
      <c r="L3677" t="n">
        <v>3.42</v>
      </c>
      <c r="M3677" t="n">
        <v>0</v>
      </c>
      <c r="N3677" t="inlineStr">
        <is>
          <t>train</t>
        </is>
      </c>
      <c r="O3677">
        <f>HYPERLINK("3\1\marker_200_383532.png", "Ver Imagen")</f>
        <v/>
      </c>
      <c r="P3677">
        <f>HYPERLINK("SE\A-5058\A-5058__251.png", "Ver Imagen")</f>
        <v/>
      </c>
    </row>
    <row r="3678">
      <c r="A3678" t="n">
        <v>3194</v>
      </c>
      <c r="B3678" t="inlineStr">
        <is>
          <t>A-5058__251</t>
        </is>
      </c>
      <c r="C3678" t="n">
        <v>37.2414405893</v>
      </c>
      <c r="D3678" t="n">
        <v>-7.08358667753</v>
      </c>
      <c r="E3678" t="n">
        <v>3</v>
      </c>
      <c r="F3678" t="n">
        <v>3</v>
      </c>
      <c r="G3678" t="n">
        <v>4</v>
      </c>
      <c r="J3678" t="inlineStr">
        <is>
          <t>Moda</t>
        </is>
      </c>
      <c r="K3678" t="n">
        <v>3</v>
      </c>
      <c r="L3678" t="n">
        <v>3.03</v>
      </c>
      <c r="M3678" t="n">
        <v>0</v>
      </c>
      <c r="N3678" t="inlineStr">
        <is>
          <t>train</t>
        </is>
      </c>
      <c r="O3678">
        <f>HYPERLINK("3\1\marker_200_383532.png", "Ver Imagen")</f>
        <v/>
      </c>
      <c r="P3678">
        <f>HYPERLINK("SO\A-5058\A-5058__251.png", "Ver Imagen")</f>
        <v/>
      </c>
    </row>
    <row r="3679">
      <c r="A3679" t="n">
        <v>3195</v>
      </c>
      <c r="B3679" t="inlineStr">
        <is>
          <t>A-5058__252</t>
        </is>
      </c>
      <c r="C3679" t="n">
        <v>37.2415607014</v>
      </c>
      <c r="D3679" t="n">
        <v>-7.08377167865</v>
      </c>
      <c r="E3679" t="n">
        <v>3</v>
      </c>
      <c r="F3679" t="n">
        <v>3</v>
      </c>
      <c r="G3679" t="n">
        <v>4</v>
      </c>
      <c r="J3679" t="inlineStr">
        <is>
          <t>Moda</t>
        </is>
      </c>
      <c r="K3679" t="n">
        <v>3</v>
      </c>
      <c r="L3679" t="n">
        <v>3.284</v>
      </c>
      <c r="M3679" t="n">
        <v>0</v>
      </c>
      <c r="N3679" t="inlineStr">
        <is>
          <t>train</t>
        </is>
      </c>
      <c r="O3679">
        <f>HYPERLINK("3\1\marker_101_383544.png", "Ver Imagen")</f>
        <v/>
      </c>
      <c r="P3679">
        <f>HYPERLINK("SE\A-5058\A-5058__252.png", "Ver Imagen")</f>
        <v/>
      </c>
    </row>
    <row r="3680">
      <c r="A3680" t="n">
        <v>3195</v>
      </c>
      <c r="B3680" t="inlineStr">
        <is>
          <t>A-5058__252</t>
        </is>
      </c>
      <c r="C3680" t="n">
        <v>37.2415607014</v>
      </c>
      <c r="D3680" t="n">
        <v>-7.08377167865</v>
      </c>
      <c r="E3680" t="n">
        <v>3</v>
      </c>
      <c r="F3680" t="n">
        <v>3</v>
      </c>
      <c r="G3680" t="n">
        <v>4</v>
      </c>
      <c r="J3680" t="inlineStr">
        <is>
          <t>Moda</t>
        </is>
      </c>
      <c r="K3680" t="n">
        <v>3</v>
      </c>
      <c r="L3680" t="n">
        <v>3.073</v>
      </c>
      <c r="M3680" t="n">
        <v>0</v>
      </c>
      <c r="N3680" t="inlineStr">
        <is>
          <t>train</t>
        </is>
      </c>
      <c r="O3680">
        <f>HYPERLINK("3\1\marker_101_383544.png", "Ver Imagen")</f>
        <v/>
      </c>
      <c r="P3680">
        <f>HYPERLINK("SO\A-5058\A-5058__252.png", "Ver Imagen")</f>
        <v/>
      </c>
    </row>
    <row r="3681">
      <c r="A3681" t="n">
        <v>3196</v>
      </c>
      <c r="B3681" t="inlineStr">
        <is>
          <t>A-5058__255</t>
        </is>
      </c>
      <c r="C3681" t="n">
        <v>37.2419211377</v>
      </c>
      <c r="D3681" t="n">
        <v>-7.0843767378</v>
      </c>
      <c r="E3681" t="n">
        <v>3</v>
      </c>
      <c r="F3681" t="n">
        <v>3</v>
      </c>
      <c r="G3681" t="n">
        <v>4</v>
      </c>
      <c r="J3681" t="inlineStr">
        <is>
          <t>Moda</t>
        </is>
      </c>
      <c r="K3681" t="n">
        <v>3</v>
      </c>
      <c r="L3681" t="n">
        <v>3.156</v>
      </c>
      <c r="M3681" t="n">
        <v>0</v>
      </c>
      <c r="N3681" t="inlineStr">
        <is>
          <t>train</t>
        </is>
      </c>
      <c r="O3681">
        <f>HYPERLINK("3\1\marker_471_383594.png", "Ver Imagen")</f>
        <v/>
      </c>
      <c r="P3681">
        <f>HYPERLINK("SE\A-5058\A-5058__255.png", "Ver Imagen")</f>
        <v/>
      </c>
    </row>
    <row r="3682">
      <c r="A3682" t="n">
        <v>3196</v>
      </c>
      <c r="B3682" t="inlineStr">
        <is>
          <t>A-5058__255</t>
        </is>
      </c>
      <c r="C3682" t="n">
        <v>37.2419211377</v>
      </c>
      <c r="D3682" t="n">
        <v>-7.0843767378</v>
      </c>
      <c r="E3682" t="n">
        <v>3</v>
      </c>
      <c r="F3682" t="n">
        <v>3</v>
      </c>
      <c r="G3682" t="n">
        <v>4</v>
      </c>
      <c r="J3682" t="inlineStr">
        <is>
          <t>Moda</t>
        </is>
      </c>
      <c r="K3682" t="n">
        <v>3</v>
      </c>
      <c r="L3682" t="n">
        <v>3.224</v>
      </c>
      <c r="M3682" t="n">
        <v>0</v>
      </c>
      <c r="N3682" t="inlineStr">
        <is>
          <t>train</t>
        </is>
      </c>
      <c r="O3682">
        <f>HYPERLINK("3\1\marker_471_383594.png", "Ver Imagen")</f>
        <v/>
      </c>
      <c r="P3682">
        <f>HYPERLINK("SO\A-5058\A-5058__255.png", "Ver Imagen")</f>
        <v/>
      </c>
    </row>
    <row r="3683">
      <c r="A3683" t="n">
        <v>3197</v>
      </c>
      <c r="B3683" t="inlineStr">
        <is>
          <t>A-5058__256</t>
        </is>
      </c>
      <c r="C3683" t="n">
        <v>37.2420252503</v>
      </c>
      <c r="D3683" t="n">
        <v>-7.08458609245</v>
      </c>
      <c r="E3683" t="n">
        <v>3</v>
      </c>
      <c r="F3683" t="n">
        <v>3</v>
      </c>
      <c r="G3683" t="n">
        <v>4</v>
      </c>
      <c r="J3683" t="inlineStr">
        <is>
          <t>Moda</t>
        </is>
      </c>
      <c r="K3683" t="n">
        <v>3</v>
      </c>
      <c r="L3683" t="n">
        <v>2.816</v>
      </c>
      <c r="M3683" t="n">
        <v>0</v>
      </c>
      <c r="N3683" t="inlineStr">
        <is>
          <t>test</t>
        </is>
      </c>
      <c r="O3683">
        <f>HYPERLINK("3\1\marker_799_383608.png", "Ver Imagen")</f>
        <v/>
      </c>
      <c r="P3683">
        <f>HYPERLINK("SE\A-5058\A-5058__256.png", "Ver Imagen")</f>
        <v/>
      </c>
    </row>
    <row r="3684">
      <c r="A3684" t="n">
        <v>3197</v>
      </c>
      <c r="B3684" t="inlineStr">
        <is>
          <t>A-5058__256</t>
        </is>
      </c>
      <c r="C3684" t="n">
        <v>37.2420252503</v>
      </c>
      <c r="D3684" t="n">
        <v>-7.08458609245</v>
      </c>
      <c r="E3684" t="n">
        <v>3</v>
      </c>
      <c r="F3684" t="n">
        <v>3</v>
      </c>
      <c r="G3684" t="n">
        <v>4</v>
      </c>
      <c r="J3684" t="inlineStr">
        <is>
          <t>Moda</t>
        </is>
      </c>
      <c r="K3684" t="n">
        <v>3</v>
      </c>
      <c r="L3684" t="n">
        <v>2.954</v>
      </c>
      <c r="M3684" t="n">
        <v>0</v>
      </c>
      <c r="N3684" t="inlineStr">
        <is>
          <t>test</t>
        </is>
      </c>
      <c r="O3684">
        <f>HYPERLINK("3\1\marker_799_383608.png", "Ver Imagen")</f>
        <v/>
      </c>
      <c r="P3684">
        <f>HYPERLINK("SO\A-5058\A-5058__256.png", "Ver Imagen")</f>
        <v/>
      </c>
    </row>
    <row r="3685">
      <c r="A3685" t="n">
        <v>3198</v>
      </c>
      <c r="B3685" t="inlineStr">
        <is>
          <t>A-5058__257</t>
        </is>
      </c>
      <c r="C3685" t="n">
        <v>37.2421172372</v>
      </c>
      <c r="D3685" t="n">
        <v>-7.08479344656</v>
      </c>
      <c r="E3685" t="n">
        <v>3</v>
      </c>
      <c r="F3685" t="n">
        <v>3</v>
      </c>
      <c r="G3685" t="n">
        <v>4</v>
      </c>
      <c r="J3685" t="inlineStr">
        <is>
          <t>Moda</t>
        </is>
      </c>
      <c r="K3685" t="n">
        <v>3</v>
      </c>
      <c r="L3685" t="n">
        <v>3.01</v>
      </c>
      <c r="M3685" t="n">
        <v>0</v>
      </c>
      <c r="N3685" t="inlineStr">
        <is>
          <t>test</t>
        </is>
      </c>
      <c r="O3685">
        <f>HYPERLINK("3\1\marker_764_383632.png", "Ver Imagen")</f>
        <v/>
      </c>
      <c r="P3685">
        <f>HYPERLINK("SO\A-5058\A-5058__257.png", "Ver Imagen")</f>
        <v/>
      </c>
    </row>
    <row r="3686">
      <c r="A3686" t="n">
        <v>3199</v>
      </c>
      <c r="B3686" t="inlineStr">
        <is>
          <t>A-5058__258</t>
        </is>
      </c>
      <c r="C3686" t="n">
        <v>37.2422153357</v>
      </c>
      <c r="D3686" t="n">
        <v>-7.08504421058</v>
      </c>
      <c r="E3686" t="n">
        <v>3</v>
      </c>
      <c r="F3686" t="n">
        <v>3</v>
      </c>
      <c r="G3686" t="n">
        <v>4</v>
      </c>
      <c r="J3686" t="inlineStr">
        <is>
          <t>Moda</t>
        </is>
      </c>
      <c r="K3686" t="n">
        <v>3</v>
      </c>
      <c r="L3686" t="n">
        <v>2.687</v>
      </c>
      <c r="M3686" t="n">
        <v>0</v>
      </c>
      <c r="N3686" t="inlineStr">
        <is>
          <t>test</t>
        </is>
      </c>
      <c r="O3686">
        <f>HYPERLINK("3\1\marker_699_383641.png", "Ver Imagen")</f>
        <v/>
      </c>
      <c r="P3686">
        <f>HYPERLINK("SE\A-5058\A-5058__258.png", "Ver Imagen")</f>
        <v/>
      </c>
    </row>
    <row r="3687">
      <c r="A3687" t="n">
        <v>3199</v>
      </c>
      <c r="B3687" t="inlineStr">
        <is>
          <t>A-5058__258</t>
        </is>
      </c>
      <c r="C3687" t="n">
        <v>37.2422153357</v>
      </c>
      <c r="D3687" t="n">
        <v>-7.08504421058</v>
      </c>
      <c r="E3687" t="n">
        <v>3</v>
      </c>
      <c r="F3687" t="n">
        <v>3</v>
      </c>
      <c r="G3687" t="n">
        <v>4</v>
      </c>
      <c r="J3687" t="inlineStr">
        <is>
          <t>Moda</t>
        </is>
      </c>
      <c r="K3687" t="n">
        <v>3</v>
      </c>
      <c r="L3687" t="n">
        <v>2.81</v>
      </c>
      <c r="M3687" t="n">
        <v>0</v>
      </c>
      <c r="N3687" t="inlineStr">
        <is>
          <t>test</t>
        </is>
      </c>
      <c r="O3687">
        <f>HYPERLINK("3\1\marker_699_383641.png", "Ver Imagen")</f>
        <v/>
      </c>
      <c r="P3687">
        <f>HYPERLINK("SO\A-5058\A-5058__258.png", "Ver Imagen")</f>
        <v/>
      </c>
    </row>
    <row r="3688">
      <c r="A3688" t="n">
        <v>3200</v>
      </c>
      <c r="B3688" t="inlineStr">
        <is>
          <t>A-5058__268</t>
        </is>
      </c>
      <c r="C3688" t="n">
        <v>37.2428811503</v>
      </c>
      <c r="D3688" t="n">
        <v>-7.08740092729</v>
      </c>
      <c r="E3688" t="n">
        <v>4</v>
      </c>
      <c r="F3688" t="n">
        <v>3</v>
      </c>
      <c r="G3688" t="n">
        <v>3</v>
      </c>
      <c r="J3688" t="inlineStr">
        <is>
          <t>Moda</t>
        </is>
      </c>
      <c r="K3688" t="n">
        <v>3</v>
      </c>
      <c r="L3688" t="n">
        <v>3.251</v>
      </c>
      <c r="M3688" t="n">
        <v>0</v>
      </c>
      <c r="N3688" t="inlineStr">
        <is>
          <t>train</t>
        </is>
      </c>
      <c r="O3688">
        <f>HYPERLINK("3\1\marker_788_383894.png", "Ver Imagen")</f>
        <v/>
      </c>
      <c r="P3688">
        <f>HYPERLINK("SE\A-5058\A-5058__268.png", "Ver Imagen")</f>
        <v/>
      </c>
    </row>
    <row r="3689">
      <c r="A3689" t="n">
        <v>3200</v>
      </c>
      <c r="B3689" t="inlineStr">
        <is>
          <t>A-5058__268</t>
        </is>
      </c>
      <c r="C3689" t="n">
        <v>37.2428811503</v>
      </c>
      <c r="D3689" t="n">
        <v>-7.08740092729</v>
      </c>
      <c r="E3689" t="n">
        <v>4</v>
      </c>
      <c r="F3689" t="n">
        <v>3</v>
      </c>
      <c r="G3689" t="n">
        <v>3</v>
      </c>
      <c r="J3689" t="inlineStr">
        <is>
          <t>Moda</t>
        </is>
      </c>
      <c r="K3689" t="n">
        <v>3</v>
      </c>
      <c r="L3689" t="n">
        <v>3.226</v>
      </c>
      <c r="M3689" t="n">
        <v>0</v>
      </c>
      <c r="N3689" t="inlineStr">
        <is>
          <t>train</t>
        </is>
      </c>
      <c r="O3689">
        <f>HYPERLINK("3\1\marker_788_383894.png", "Ver Imagen")</f>
        <v/>
      </c>
      <c r="P3689">
        <f>HYPERLINK("SO\A-5058\A-5058__268.png", "Ver Imagen")</f>
        <v/>
      </c>
    </row>
    <row r="3690">
      <c r="A3690" t="n">
        <v>3201</v>
      </c>
      <c r="B3690" t="inlineStr">
        <is>
          <t>A-5058__273</t>
        </is>
      </c>
      <c r="C3690" t="n">
        <v>37.2433021954</v>
      </c>
      <c r="D3690" t="n">
        <v>-7.0885640155</v>
      </c>
      <c r="E3690" t="n">
        <v>3</v>
      </c>
      <c r="F3690" t="n">
        <v>3</v>
      </c>
      <c r="G3690" t="n">
        <v>4</v>
      </c>
      <c r="J3690" t="inlineStr">
        <is>
          <t>Moda</t>
        </is>
      </c>
      <c r="K3690" t="n">
        <v>3</v>
      </c>
      <c r="L3690" t="n">
        <v>2.76</v>
      </c>
      <c r="M3690" t="n">
        <v>0</v>
      </c>
      <c r="N3690" t="inlineStr">
        <is>
          <t>test</t>
        </is>
      </c>
      <c r="O3690">
        <f>HYPERLINK("3\1\marker_863_383953.png", "Ver Imagen")</f>
        <v/>
      </c>
      <c r="P3690">
        <f>HYPERLINK("SE\A-5058\A-5058__273.png", "Ver Imagen")</f>
        <v/>
      </c>
    </row>
    <row r="3691">
      <c r="A3691" t="n">
        <v>3201</v>
      </c>
      <c r="B3691" t="inlineStr">
        <is>
          <t>A-5058__273</t>
        </is>
      </c>
      <c r="C3691" t="n">
        <v>37.2433021954</v>
      </c>
      <c r="D3691" t="n">
        <v>-7.0885640155</v>
      </c>
      <c r="E3691" t="n">
        <v>3</v>
      </c>
      <c r="F3691" t="n">
        <v>3</v>
      </c>
      <c r="G3691" t="n">
        <v>4</v>
      </c>
      <c r="J3691" t="inlineStr">
        <is>
          <t>Moda</t>
        </is>
      </c>
      <c r="K3691" t="n">
        <v>3</v>
      </c>
      <c r="L3691" t="n">
        <v>2.772</v>
      </c>
      <c r="M3691" t="n">
        <v>0</v>
      </c>
      <c r="N3691" t="inlineStr">
        <is>
          <t>test</t>
        </is>
      </c>
      <c r="O3691">
        <f>HYPERLINK("3\1\marker_863_383953.png", "Ver Imagen")</f>
        <v/>
      </c>
      <c r="P3691">
        <f>HYPERLINK("SO\A-5058\A-5058__273.png", "Ver Imagen")</f>
        <v/>
      </c>
    </row>
    <row r="3692">
      <c r="A3692" t="n">
        <v>3202</v>
      </c>
      <c r="B3692" t="inlineStr">
        <is>
          <t>A-5058__299</t>
        </is>
      </c>
      <c r="C3692" t="n">
        <v>37.2454676902</v>
      </c>
      <c r="D3692" t="n">
        <v>-7.09445703989</v>
      </c>
      <c r="E3692" t="n">
        <v>3</v>
      </c>
      <c r="F3692" t="n">
        <v>3</v>
      </c>
      <c r="G3692" t="n">
        <v>4</v>
      </c>
      <c r="J3692" t="inlineStr">
        <is>
          <t>Moda</t>
        </is>
      </c>
      <c r="K3692" t="n">
        <v>3</v>
      </c>
      <c r="L3692" t="n">
        <v>2.837</v>
      </c>
      <c r="M3692" t="n">
        <v>0</v>
      </c>
      <c r="N3692" t="inlineStr">
        <is>
          <t>train</t>
        </is>
      </c>
      <c r="O3692">
        <f>HYPERLINK("3\1\marker_235_384259.png", "Ver Imagen")</f>
        <v/>
      </c>
      <c r="P3692">
        <f>HYPERLINK("SE\A-5058\A-5058__299.png", "Ver Imagen")</f>
        <v/>
      </c>
    </row>
    <row r="3693">
      <c r="A3693" t="n">
        <v>3202</v>
      </c>
      <c r="B3693" t="inlineStr">
        <is>
          <t>A-5058__299</t>
        </is>
      </c>
      <c r="C3693" t="n">
        <v>37.2454676902</v>
      </c>
      <c r="D3693" t="n">
        <v>-7.09445703989</v>
      </c>
      <c r="E3693" t="n">
        <v>3</v>
      </c>
      <c r="F3693" t="n">
        <v>3</v>
      </c>
      <c r="G3693" t="n">
        <v>4</v>
      </c>
      <c r="J3693" t="inlineStr">
        <is>
          <t>Moda</t>
        </is>
      </c>
      <c r="K3693" t="n">
        <v>3</v>
      </c>
      <c r="L3693" t="n">
        <v>2.991</v>
      </c>
      <c r="M3693" t="n">
        <v>0</v>
      </c>
      <c r="N3693" t="inlineStr">
        <is>
          <t>train</t>
        </is>
      </c>
      <c r="O3693">
        <f>HYPERLINK("3\1\marker_235_384259.png", "Ver Imagen")</f>
        <v/>
      </c>
      <c r="P3693">
        <f>HYPERLINK("SO\A-5058\A-5058__299.png", "Ver Imagen")</f>
        <v/>
      </c>
    </row>
    <row r="3694">
      <c r="A3694" t="n">
        <v>3203</v>
      </c>
      <c r="B3694" t="inlineStr">
        <is>
          <t>A-5058__313</t>
        </is>
      </c>
      <c r="C3694" t="n">
        <v>37.245877303</v>
      </c>
      <c r="D3694" t="n">
        <v>-7.09795059117</v>
      </c>
      <c r="E3694" t="n">
        <v>3</v>
      </c>
      <c r="F3694" t="n">
        <v>3</v>
      </c>
      <c r="G3694" t="n">
        <v>4</v>
      </c>
      <c r="J3694" t="inlineStr">
        <is>
          <t>Moda</t>
        </is>
      </c>
      <c r="K3694" t="n">
        <v>3</v>
      </c>
      <c r="L3694" t="n">
        <v>2.946</v>
      </c>
      <c r="M3694" t="n">
        <v>0</v>
      </c>
      <c r="N3694" t="inlineStr">
        <is>
          <t>train</t>
        </is>
      </c>
      <c r="O3694">
        <f>HYPERLINK("3\1\marker_230_384425.png", "Ver Imagen")</f>
        <v/>
      </c>
      <c r="P3694">
        <f>HYPERLINK("SE\A-5058\A-5058__313.png", "Ver Imagen")</f>
        <v/>
      </c>
    </row>
    <row r="3695">
      <c r="A3695" t="n">
        <v>3203</v>
      </c>
      <c r="B3695" t="inlineStr">
        <is>
          <t>A-5058__313</t>
        </is>
      </c>
      <c r="C3695" t="n">
        <v>37.245877303</v>
      </c>
      <c r="D3695" t="n">
        <v>-7.09795059117</v>
      </c>
      <c r="E3695" t="n">
        <v>3</v>
      </c>
      <c r="F3695" t="n">
        <v>3</v>
      </c>
      <c r="G3695" t="n">
        <v>4</v>
      </c>
      <c r="J3695" t="inlineStr">
        <is>
          <t>Moda</t>
        </is>
      </c>
      <c r="K3695" t="n">
        <v>3</v>
      </c>
      <c r="L3695" t="n">
        <v>2.706</v>
      </c>
      <c r="M3695" t="n">
        <v>0</v>
      </c>
      <c r="N3695" t="inlineStr">
        <is>
          <t>train</t>
        </is>
      </c>
      <c r="O3695">
        <f>HYPERLINK("3\1\marker_230_384425.png", "Ver Imagen")</f>
        <v/>
      </c>
      <c r="P3695">
        <f>HYPERLINK("SO\A-5058\A-5058__313.png", "Ver Imagen")</f>
        <v/>
      </c>
    </row>
    <row r="3696">
      <c r="A3696" t="n">
        <v>3204</v>
      </c>
      <c r="B3696" t="inlineStr">
        <is>
          <t>A-5058__315</t>
        </is>
      </c>
      <c r="C3696" t="n">
        <v>37.246048215</v>
      </c>
      <c r="D3696" t="n">
        <v>-7.09838606259</v>
      </c>
      <c r="E3696" t="n">
        <v>3</v>
      </c>
      <c r="F3696" t="n">
        <v>3</v>
      </c>
      <c r="G3696" t="n">
        <v>4</v>
      </c>
      <c r="J3696" t="inlineStr">
        <is>
          <t>Moda</t>
        </is>
      </c>
      <c r="K3696" t="n">
        <v>3</v>
      </c>
      <c r="L3696" t="n">
        <v>2.853</v>
      </c>
      <c r="M3696" t="n">
        <v>0</v>
      </c>
      <c r="N3696" t="inlineStr">
        <is>
          <t>train</t>
        </is>
      </c>
      <c r="O3696">
        <f>HYPERLINK("3\1\marker_752_384450.png", "Ver Imagen")</f>
        <v/>
      </c>
      <c r="P3696">
        <f>HYPERLINK("SE\A-5058\A-5058__315.png", "Ver Imagen")</f>
        <v/>
      </c>
    </row>
    <row r="3697">
      <c r="A3697" t="n">
        <v>3204</v>
      </c>
      <c r="B3697" t="inlineStr">
        <is>
          <t>A-5058__315</t>
        </is>
      </c>
      <c r="C3697" t="n">
        <v>37.246048215</v>
      </c>
      <c r="D3697" t="n">
        <v>-7.09838606259</v>
      </c>
      <c r="E3697" t="n">
        <v>3</v>
      </c>
      <c r="F3697" t="n">
        <v>3</v>
      </c>
      <c r="G3697" t="n">
        <v>4</v>
      </c>
      <c r="J3697" t="inlineStr">
        <is>
          <t>Moda</t>
        </is>
      </c>
      <c r="K3697" t="n">
        <v>3</v>
      </c>
      <c r="L3697" t="n">
        <v>3.257</v>
      </c>
      <c r="M3697" t="n">
        <v>0</v>
      </c>
      <c r="N3697" t="inlineStr">
        <is>
          <t>train</t>
        </is>
      </c>
      <c r="O3697">
        <f>HYPERLINK("3\1\marker_752_384450.png", "Ver Imagen")</f>
        <v/>
      </c>
      <c r="P3697">
        <f>HYPERLINK("SO\A-5058\A-5058__315.png", "Ver Imagen")</f>
        <v/>
      </c>
    </row>
    <row r="3698">
      <c r="A3698" t="n">
        <v>3205</v>
      </c>
      <c r="B3698" t="inlineStr">
        <is>
          <t>A-5058__320</t>
        </is>
      </c>
      <c r="C3698" t="n">
        <v>37.246663766</v>
      </c>
      <c r="D3698" t="n">
        <v>-7.09943551406</v>
      </c>
      <c r="E3698" t="n">
        <v>3</v>
      </c>
      <c r="F3698" t="n">
        <v>3</v>
      </c>
      <c r="G3698" t="n">
        <v>4</v>
      </c>
      <c r="J3698" t="inlineStr">
        <is>
          <t>Moda</t>
        </is>
      </c>
      <c r="K3698" t="n">
        <v>3</v>
      </c>
      <c r="L3698" t="n">
        <v>3.071</v>
      </c>
      <c r="M3698" t="n">
        <v>0</v>
      </c>
      <c r="N3698" t="inlineStr">
        <is>
          <t>train</t>
        </is>
      </c>
      <c r="O3698">
        <f>HYPERLINK("3\1\marker_733_384502.png", "Ver Imagen")</f>
        <v/>
      </c>
      <c r="P3698">
        <f>HYPERLINK("SE\A-5058\A-5058__320.png", "Ver Imagen")</f>
        <v/>
      </c>
    </row>
    <row r="3699">
      <c r="A3699" t="n">
        <v>3205</v>
      </c>
      <c r="B3699" t="inlineStr">
        <is>
          <t>A-5058__320</t>
        </is>
      </c>
      <c r="C3699" t="n">
        <v>37.246663766</v>
      </c>
      <c r="D3699" t="n">
        <v>-7.09943551406</v>
      </c>
      <c r="E3699" t="n">
        <v>3</v>
      </c>
      <c r="F3699" t="n">
        <v>3</v>
      </c>
      <c r="G3699" t="n">
        <v>4</v>
      </c>
      <c r="J3699" t="inlineStr">
        <is>
          <t>Moda</t>
        </is>
      </c>
      <c r="K3699" t="n">
        <v>3</v>
      </c>
      <c r="L3699" t="n">
        <v>3.332</v>
      </c>
      <c r="M3699" t="n">
        <v>0</v>
      </c>
      <c r="N3699" t="inlineStr">
        <is>
          <t>train</t>
        </is>
      </c>
      <c r="O3699">
        <f>HYPERLINK("3\1\marker_733_384502.png", "Ver Imagen")</f>
        <v/>
      </c>
      <c r="P3699">
        <f>HYPERLINK("SO\A-5058\A-5058__320.png", "Ver Imagen")</f>
        <v/>
      </c>
    </row>
    <row r="3700">
      <c r="A3700" t="n">
        <v>3206</v>
      </c>
      <c r="B3700" t="inlineStr">
        <is>
          <t>A-5058__325</t>
        </is>
      </c>
      <c r="C3700" t="n">
        <v>37.2473104085</v>
      </c>
      <c r="D3700" t="n">
        <v>-7.10041770013</v>
      </c>
      <c r="E3700" t="n">
        <v>3</v>
      </c>
      <c r="F3700" t="n">
        <v>3</v>
      </c>
      <c r="G3700" t="n">
        <v>4</v>
      </c>
      <c r="J3700" t="inlineStr">
        <is>
          <t>Moda</t>
        </is>
      </c>
      <c r="K3700" t="n">
        <v>3</v>
      </c>
      <c r="L3700" t="n">
        <v>3.295</v>
      </c>
      <c r="M3700" t="n">
        <v>0</v>
      </c>
      <c r="N3700" t="inlineStr">
        <is>
          <t>train</t>
        </is>
      </c>
      <c r="O3700">
        <f>HYPERLINK("3\1\marker_309_384561.png", "Ver Imagen")</f>
        <v/>
      </c>
      <c r="P3700">
        <f>HYPERLINK("SE\A-5058\A-5058__325.png", "Ver Imagen")</f>
        <v/>
      </c>
    </row>
    <row r="3701">
      <c r="A3701" t="n">
        <v>3206</v>
      </c>
      <c r="B3701" t="inlineStr">
        <is>
          <t>A-5058__325</t>
        </is>
      </c>
      <c r="C3701" t="n">
        <v>37.2473104085</v>
      </c>
      <c r="D3701" t="n">
        <v>-7.10041770013</v>
      </c>
      <c r="E3701" t="n">
        <v>3</v>
      </c>
      <c r="F3701" t="n">
        <v>3</v>
      </c>
      <c r="G3701" t="n">
        <v>4</v>
      </c>
      <c r="J3701" t="inlineStr">
        <is>
          <t>Moda</t>
        </is>
      </c>
      <c r="K3701" t="n">
        <v>3</v>
      </c>
      <c r="L3701" t="n">
        <v>3.021</v>
      </c>
      <c r="M3701" t="n">
        <v>0</v>
      </c>
      <c r="N3701" t="inlineStr">
        <is>
          <t>train</t>
        </is>
      </c>
      <c r="O3701">
        <f>HYPERLINK("3\1\marker_309_384561.png", "Ver Imagen")</f>
        <v/>
      </c>
      <c r="P3701">
        <f>HYPERLINK("SO\A-5058\A-5058__325.png", "Ver Imagen")</f>
        <v/>
      </c>
    </row>
    <row r="3702">
      <c r="A3702" t="n">
        <v>3207</v>
      </c>
      <c r="B3702" t="inlineStr">
        <is>
          <t>A-5058__326</t>
        </is>
      </c>
      <c r="C3702" t="n">
        <v>37.2474411686</v>
      </c>
      <c r="D3702" t="n">
        <v>-7.10061370905</v>
      </c>
      <c r="E3702" t="n">
        <v>3</v>
      </c>
      <c r="F3702" t="n">
        <v>3</v>
      </c>
      <c r="G3702" t="n">
        <v>4</v>
      </c>
      <c r="J3702" t="inlineStr">
        <is>
          <t>Moda</t>
        </is>
      </c>
      <c r="K3702" t="n">
        <v>3</v>
      </c>
      <c r="L3702" t="n">
        <v>3.069</v>
      </c>
      <c r="M3702" t="n">
        <v>0</v>
      </c>
      <c r="N3702" t="inlineStr">
        <is>
          <t>train</t>
        </is>
      </c>
      <c r="O3702">
        <f>HYPERLINK("3\1\marker_285_384571.png", "Ver Imagen")</f>
        <v/>
      </c>
      <c r="P3702">
        <f>HYPERLINK("SE\A-5058\A-5058__326.png", "Ver Imagen")</f>
        <v/>
      </c>
    </row>
    <row r="3703">
      <c r="A3703" t="n">
        <v>3207</v>
      </c>
      <c r="B3703" t="inlineStr">
        <is>
          <t>A-5058__326</t>
        </is>
      </c>
      <c r="C3703" t="n">
        <v>37.2474411686</v>
      </c>
      <c r="D3703" t="n">
        <v>-7.10061370905</v>
      </c>
      <c r="E3703" t="n">
        <v>3</v>
      </c>
      <c r="F3703" t="n">
        <v>3</v>
      </c>
      <c r="G3703" t="n">
        <v>4</v>
      </c>
      <c r="J3703" t="inlineStr">
        <is>
          <t>Moda</t>
        </is>
      </c>
      <c r="K3703" t="n">
        <v>3</v>
      </c>
      <c r="L3703" t="n">
        <v>3.403</v>
      </c>
      <c r="M3703" t="n">
        <v>0</v>
      </c>
      <c r="N3703" t="inlineStr">
        <is>
          <t>train</t>
        </is>
      </c>
      <c r="O3703">
        <f>HYPERLINK("3\1\marker_285_384571.png", "Ver Imagen")</f>
        <v/>
      </c>
      <c r="P3703">
        <f>HYPERLINK("SO\A-5058\A-5058__326.png", "Ver Imagen")</f>
        <v/>
      </c>
    </row>
    <row r="3704">
      <c r="A3704" t="n">
        <v>3208</v>
      </c>
      <c r="B3704" t="inlineStr">
        <is>
          <t>A-5058__328</t>
        </is>
      </c>
      <c r="C3704" t="n">
        <v>37.2477000462</v>
      </c>
      <c r="D3704" t="n">
        <v>-7.10099892546</v>
      </c>
      <c r="E3704" t="n">
        <v>3</v>
      </c>
      <c r="F3704" t="n">
        <v>3</v>
      </c>
      <c r="G3704" t="n">
        <v>4</v>
      </c>
      <c r="J3704" t="inlineStr">
        <is>
          <t>Moda</t>
        </is>
      </c>
      <c r="K3704" t="n">
        <v>3</v>
      </c>
      <c r="L3704" t="n">
        <v>2.804</v>
      </c>
      <c r="M3704" t="n">
        <v>0</v>
      </c>
      <c r="N3704" t="inlineStr">
        <is>
          <t>train</t>
        </is>
      </c>
      <c r="O3704">
        <f>HYPERLINK("3\1\marker_727_384595.png", "Ver Imagen")</f>
        <v/>
      </c>
      <c r="P3704">
        <f>HYPERLINK("SE\A-5058\A-5058__328.png", "Ver Imagen")</f>
        <v/>
      </c>
    </row>
    <row r="3705">
      <c r="A3705" t="n">
        <v>3208</v>
      </c>
      <c r="B3705" t="inlineStr">
        <is>
          <t>A-5058__328</t>
        </is>
      </c>
      <c r="C3705" t="n">
        <v>37.2477000462</v>
      </c>
      <c r="D3705" t="n">
        <v>-7.10099892546</v>
      </c>
      <c r="E3705" t="n">
        <v>3</v>
      </c>
      <c r="F3705" t="n">
        <v>3</v>
      </c>
      <c r="G3705" t="n">
        <v>4</v>
      </c>
      <c r="J3705" t="inlineStr">
        <is>
          <t>Moda</t>
        </is>
      </c>
      <c r="K3705" t="n">
        <v>3</v>
      </c>
      <c r="L3705" t="n">
        <v>3.013</v>
      </c>
      <c r="M3705" t="n">
        <v>0</v>
      </c>
      <c r="N3705" t="inlineStr">
        <is>
          <t>train</t>
        </is>
      </c>
      <c r="O3705">
        <f>HYPERLINK("3\1\marker_727_384595.png", "Ver Imagen")</f>
        <v/>
      </c>
      <c r="P3705">
        <f>HYPERLINK("SO\A-5058\A-5058__328.png", "Ver Imagen")</f>
        <v/>
      </c>
    </row>
    <row r="3706">
      <c r="A3706" t="n">
        <v>3209</v>
      </c>
      <c r="B3706" t="inlineStr">
        <is>
          <t>A-5058__336</t>
        </is>
      </c>
      <c r="C3706" t="n">
        <v>37.2489429864</v>
      </c>
      <c r="D3706" t="n">
        <v>-7.10222034778</v>
      </c>
      <c r="E3706" t="n">
        <v>3</v>
      </c>
      <c r="F3706" t="n">
        <v>3</v>
      </c>
      <c r="G3706" t="n">
        <v>4</v>
      </c>
      <c r="J3706" t="inlineStr">
        <is>
          <t>Moda</t>
        </is>
      </c>
      <c r="K3706" t="n">
        <v>3</v>
      </c>
      <c r="L3706" t="n">
        <v>3.191</v>
      </c>
      <c r="M3706" t="n">
        <v>0</v>
      </c>
      <c r="N3706" t="inlineStr">
        <is>
          <t>train</t>
        </is>
      </c>
      <c r="O3706">
        <f>HYPERLINK("3\1\marker_373_384714.png", "Ver Imagen")</f>
        <v/>
      </c>
      <c r="P3706">
        <f>HYPERLINK("SE\A-5058\A-5058__336.png", "Ver Imagen")</f>
        <v/>
      </c>
    </row>
    <row r="3707">
      <c r="A3707" t="n">
        <v>3209</v>
      </c>
      <c r="B3707" t="inlineStr">
        <is>
          <t>A-5058__336</t>
        </is>
      </c>
      <c r="C3707" t="n">
        <v>37.2489429864</v>
      </c>
      <c r="D3707" t="n">
        <v>-7.10222034778</v>
      </c>
      <c r="E3707" t="n">
        <v>3</v>
      </c>
      <c r="F3707" t="n">
        <v>3</v>
      </c>
      <c r="G3707" t="n">
        <v>4</v>
      </c>
      <c r="J3707" t="inlineStr">
        <is>
          <t>Moda</t>
        </is>
      </c>
      <c r="K3707" t="n">
        <v>3</v>
      </c>
      <c r="L3707" t="n">
        <v>3.202</v>
      </c>
      <c r="M3707" t="n">
        <v>0</v>
      </c>
      <c r="N3707" t="inlineStr">
        <is>
          <t>train</t>
        </is>
      </c>
      <c r="O3707">
        <f>HYPERLINK("3\1\marker_373_384714.png", "Ver Imagen")</f>
        <v/>
      </c>
      <c r="P3707">
        <f>HYPERLINK("SO\A-5058\A-5058__336.png", "Ver Imagen")</f>
        <v/>
      </c>
    </row>
    <row r="3708">
      <c r="A3708" t="n">
        <v>3210</v>
      </c>
      <c r="B3708" t="inlineStr">
        <is>
          <t>A-5058__349</t>
        </is>
      </c>
      <c r="C3708" t="n">
        <v>37.2513356124</v>
      </c>
      <c r="D3708" t="n">
        <v>-7.10361140574</v>
      </c>
      <c r="E3708" t="n">
        <v>2</v>
      </c>
      <c r="F3708" t="n">
        <v>3</v>
      </c>
      <c r="G3708" t="n">
        <v>3</v>
      </c>
      <c r="J3708" t="inlineStr">
        <is>
          <t>Moda</t>
        </is>
      </c>
      <c r="K3708" t="n">
        <v>3</v>
      </c>
      <c r="L3708" t="n">
        <v>2.924</v>
      </c>
      <c r="M3708" t="n">
        <v>0</v>
      </c>
      <c r="N3708" t="inlineStr">
        <is>
          <t>train</t>
        </is>
      </c>
      <c r="O3708">
        <f>HYPERLINK("3\1\marker_719_384856.png", "Ver Imagen")</f>
        <v/>
      </c>
      <c r="P3708">
        <f>HYPERLINK("SO\A-5058\A-5058__349.png", "Ver Imagen")</f>
        <v/>
      </c>
    </row>
    <row r="3709">
      <c r="A3709" t="n">
        <v>3211</v>
      </c>
      <c r="B3709" t="inlineStr">
        <is>
          <t>A-5058__350</t>
        </is>
      </c>
      <c r="C3709" t="n">
        <v>37.2515132078</v>
      </c>
      <c r="D3709" t="n">
        <v>-7.10372156947</v>
      </c>
      <c r="E3709" t="n">
        <v>2</v>
      </c>
      <c r="F3709" t="n">
        <v>3</v>
      </c>
      <c r="G3709" t="n">
        <v>3</v>
      </c>
      <c r="J3709" t="inlineStr">
        <is>
          <t>Moda</t>
        </is>
      </c>
      <c r="K3709" t="n">
        <v>3</v>
      </c>
      <c r="L3709" t="n">
        <v>2.945</v>
      </c>
      <c r="M3709" t="n">
        <v>0</v>
      </c>
      <c r="N3709" t="inlineStr">
        <is>
          <t>train</t>
        </is>
      </c>
      <c r="O3709">
        <f>HYPERLINK("3\1\marker_576_384866.png", "Ver Imagen")</f>
        <v/>
      </c>
      <c r="P3709">
        <f>HYPERLINK("SO\A-5058\A-5058__350.png", "Ver Imagen")</f>
        <v/>
      </c>
    </row>
    <row r="3710">
      <c r="A3710" t="n">
        <v>3212</v>
      </c>
      <c r="B3710" t="inlineStr">
        <is>
          <t>A-5058__351</t>
        </is>
      </c>
      <c r="C3710" t="n">
        <v>37.2516857743</v>
      </c>
      <c r="D3710" t="n">
        <v>-7.10384224924</v>
      </c>
      <c r="E3710" t="n">
        <v>2</v>
      </c>
      <c r="F3710" t="n">
        <v>3</v>
      </c>
      <c r="G3710" t="n">
        <v>3</v>
      </c>
      <c r="J3710" t="inlineStr">
        <is>
          <t>Moda</t>
        </is>
      </c>
      <c r="K3710" t="n">
        <v>3</v>
      </c>
      <c r="L3710" t="n">
        <v>3.028</v>
      </c>
      <c r="M3710" t="n">
        <v>0</v>
      </c>
      <c r="N3710" t="inlineStr">
        <is>
          <t>train</t>
        </is>
      </c>
      <c r="O3710">
        <f>HYPERLINK("3\1\marker_159_384878.png", "Ver Imagen")</f>
        <v/>
      </c>
      <c r="P3710">
        <f>HYPERLINK("SO\A-5058\A-5058__351.png", "Ver Imagen")</f>
        <v/>
      </c>
    </row>
    <row r="3711">
      <c r="A3711" t="n">
        <v>3213</v>
      </c>
      <c r="B3711" t="inlineStr">
        <is>
          <t>A-5058__352</t>
        </is>
      </c>
      <c r="C3711" t="n">
        <v>37.2518552897</v>
      </c>
      <c r="D3711" t="n">
        <v>-7.10397898333</v>
      </c>
      <c r="E3711" t="n">
        <v>2</v>
      </c>
      <c r="F3711" t="n">
        <v>3</v>
      </c>
      <c r="G3711" t="n">
        <v>3</v>
      </c>
      <c r="J3711" t="inlineStr">
        <is>
          <t>Moda</t>
        </is>
      </c>
      <c r="K3711" t="n">
        <v>3</v>
      </c>
      <c r="L3711" t="n">
        <v>3.106</v>
      </c>
      <c r="M3711" t="n">
        <v>0</v>
      </c>
      <c r="N3711" t="inlineStr">
        <is>
          <t>train</t>
        </is>
      </c>
      <c r="O3711">
        <f>HYPERLINK("3\1\marker_873_384889.png", "Ver Imagen")</f>
        <v/>
      </c>
      <c r="P3711">
        <f>HYPERLINK("SO\A-5058\A-5058__352.png", "Ver Imagen")</f>
        <v/>
      </c>
    </row>
    <row r="3712">
      <c r="A3712" t="n">
        <v>3214</v>
      </c>
      <c r="B3712" t="inlineStr">
        <is>
          <t>A-5058__353</t>
        </is>
      </c>
      <c r="C3712" t="n">
        <v>37.2520257153</v>
      </c>
      <c r="D3712" t="n">
        <v>-7.10413587951</v>
      </c>
      <c r="E3712" t="n">
        <v>2</v>
      </c>
      <c r="F3712" t="n">
        <v>3</v>
      </c>
      <c r="G3712" t="n">
        <v>3</v>
      </c>
      <c r="J3712" t="inlineStr">
        <is>
          <t>Moda</t>
        </is>
      </c>
      <c r="K3712" t="n">
        <v>3</v>
      </c>
      <c r="L3712" t="n">
        <v>2.954</v>
      </c>
      <c r="M3712" t="n">
        <v>0</v>
      </c>
      <c r="N3712" t="inlineStr">
        <is>
          <t>val</t>
        </is>
      </c>
      <c r="O3712">
        <f>HYPERLINK("3\1\marker_939_384898.png", "Ver Imagen")</f>
        <v/>
      </c>
      <c r="P3712">
        <f>HYPERLINK("SO\A-5058\A-5058__353.png", "Ver Imagen")</f>
        <v/>
      </c>
    </row>
    <row r="3713">
      <c r="A3713" t="n">
        <v>3215</v>
      </c>
      <c r="B3713" t="inlineStr">
        <is>
          <t>A-5058__354</t>
        </is>
      </c>
      <c r="C3713" t="n">
        <v>37.2521806997</v>
      </c>
      <c r="D3713" t="n">
        <v>-7.10430227039</v>
      </c>
      <c r="E3713" t="n">
        <v>2</v>
      </c>
      <c r="F3713" t="n">
        <v>3</v>
      </c>
      <c r="G3713" t="n">
        <v>3</v>
      </c>
      <c r="J3713" t="inlineStr">
        <is>
          <t>Moda</t>
        </is>
      </c>
      <c r="K3713" t="n">
        <v>3</v>
      </c>
      <c r="L3713" t="n">
        <v>2.852</v>
      </c>
      <c r="M3713" t="n">
        <v>0</v>
      </c>
      <c r="N3713" t="inlineStr">
        <is>
          <t>train</t>
        </is>
      </c>
      <c r="O3713">
        <f>HYPERLINK("3\1\marker_783_384907.png", "Ver Imagen")</f>
        <v/>
      </c>
      <c r="P3713">
        <f>HYPERLINK("SO\A-5058\A-5058__354.png", "Ver Imagen")</f>
        <v/>
      </c>
    </row>
    <row r="3714">
      <c r="A3714" t="n">
        <v>3216</v>
      </c>
      <c r="B3714" t="inlineStr">
        <is>
          <t>A-5058__356</t>
        </is>
      </c>
      <c r="C3714" t="n">
        <v>37.2524664422</v>
      </c>
      <c r="D3714" t="n">
        <v>-7.10469579191</v>
      </c>
      <c r="E3714" t="n">
        <v>2</v>
      </c>
      <c r="F3714" t="n">
        <v>3</v>
      </c>
      <c r="G3714" t="n">
        <v>3</v>
      </c>
      <c r="J3714" t="inlineStr">
        <is>
          <t>Moda</t>
        </is>
      </c>
      <c r="K3714" t="n">
        <v>3</v>
      </c>
      <c r="L3714" t="n">
        <v>2.87</v>
      </c>
      <c r="M3714" t="n">
        <v>0</v>
      </c>
      <c r="N3714" t="inlineStr">
        <is>
          <t>train</t>
        </is>
      </c>
      <c r="O3714">
        <f>HYPERLINK("3\1\marker_555_384926.png", "Ver Imagen")</f>
        <v/>
      </c>
      <c r="P3714">
        <f>HYPERLINK("SO\A-5058\A-5058__356.png", "Ver Imagen")</f>
        <v/>
      </c>
    </row>
    <row r="3715">
      <c r="A3715" t="n">
        <v>3217</v>
      </c>
      <c r="B3715" t="inlineStr">
        <is>
          <t>A-5058__357</t>
        </is>
      </c>
      <c r="C3715" t="n">
        <v>37.2525737259</v>
      </c>
      <c r="D3715" t="n">
        <v>-7.10488207965</v>
      </c>
      <c r="E3715" t="n">
        <v>2</v>
      </c>
      <c r="F3715" t="n">
        <v>3</v>
      </c>
      <c r="G3715" t="n">
        <v>3</v>
      </c>
      <c r="J3715" t="inlineStr">
        <is>
          <t>Moda</t>
        </is>
      </c>
      <c r="K3715" t="n">
        <v>3</v>
      </c>
      <c r="L3715" t="n">
        <v>3.094</v>
      </c>
      <c r="M3715" t="n">
        <v>0</v>
      </c>
      <c r="N3715" t="inlineStr">
        <is>
          <t>train</t>
        </is>
      </c>
      <c r="O3715">
        <f>HYPERLINK("3\1\marker_678_384935.png", "Ver Imagen")</f>
        <v/>
      </c>
      <c r="P3715">
        <f>HYPERLINK("SO\A-5058\A-5058__357.png", "Ver Imagen")</f>
        <v/>
      </c>
    </row>
    <row r="3716">
      <c r="A3716" t="n">
        <v>3218</v>
      </c>
      <c r="B3716" t="inlineStr">
        <is>
          <t>A-5058__360</t>
        </is>
      </c>
      <c r="C3716" t="n">
        <v>37.2528712728</v>
      </c>
      <c r="D3716" t="n">
        <v>-7.10554316704</v>
      </c>
      <c r="E3716" t="n">
        <v>2</v>
      </c>
      <c r="F3716" t="n">
        <v>3</v>
      </c>
      <c r="G3716" t="n">
        <v>3</v>
      </c>
      <c r="J3716" t="inlineStr">
        <is>
          <t>Moda</t>
        </is>
      </c>
      <c r="K3716" t="n">
        <v>3</v>
      </c>
      <c r="L3716" t="n">
        <v>2.605</v>
      </c>
      <c r="M3716" t="n">
        <v>0</v>
      </c>
      <c r="N3716" t="inlineStr">
        <is>
          <t>train</t>
        </is>
      </c>
      <c r="O3716">
        <f>HYPERLINK("3\1\marker_988_384972.png", "Ver Imagen")</f>
        <v/>
      </c>
      <c r="P3716">
        <f>HYPERLINK("SO\A-5058\A-5058__360.png", "Ver Imagen")</f>
        <v/>
      </c>
    </row>
    <row r="3717">
      <c r="A3717" t="n">
        <v>3219</v>
      </c>
      <c r="B3717" t="inlineStr">
        <is>
          <t>A-5058__362</t>
        </is>
      </c>
      <c r="C3717" t="n">
        <v>37.2530551442</v>
      </c>
      <c r="D3717" t="n">
        <v>-7.10601794642</v>
      </c>
      <c r="E3717" t="n">
        <v>2</v>
      </c>
      <c r="F3717" t="n">
        <v>3</v>
      </c>
      <c r="G3717" t="n">
        <v>3</v>
      </c>
      <c r="J3717" t="inlineStr">
        <is>
          <t>Moda</t>
        </is>
      </c>
      <c r="K3717" t="n">
        <v>3</v>
      </c>
      <c r="L3717" t="n">
        <v>2.932</v>
      </c>
      <c r="M3717" t="n">
        <v>0</v>
      </c>
      <c r="N3717" t="inlineStr">
        <is>
          <t>train</t>
        </is>
      </c>
      <c r="O3717">
        <f>HYPERLINK("3\1\marker_206_384992.png", "Ver Imagen")</f>
        <v/>
      </c>
      <c r="P3717">
        <f>HYPERLINK("SO\A-5058\A-5058__362.png", "Ver Imagen")</f>
        <v/>
      </c>
    </row>
    <row r="3718">
      <c r="A3718" t="n">
        <v>3220</v>
      </c>
      <c r="B3718" t="inlineStr">
        <is>
          <t>A-5058__364</t>
        </is>
      </c>
      <c r="C3718" t="n">
        <v>37.2532390245</v>
      </c>
      <c r="D3718" t="n">
        <v>-7.10646588723</v>
      </c>
      <c r="E3718" t="n">
        <v>2</v>
      </c>
      <c r="F3718" t="n">
        <v>3</v>
      </c>
      <c r="G3718" t="n">
        <v>3</v>
      </c>
      <c r="J3718" t="inlineStr">
        <is>
          <t>Moda</t>
        </is>
      </c>
      <c r="K3718" t="n">
        <v>3</v>
      </c>
      <c r="L3718" t="n">
        <v>2.806</v>
      </c>
      <c r="M3718" t="n">
        <v>0</v>
      </c>
      <c r="N3718" t="inlineStr">
        <is>
          <t>train</t>
        </is>
      </c>
      <c r="O3718">
        <f>HYPERLINK("3\1\marker_359_385013.png", "Ver Imagen")</f>
        <v/>
      </c>
      <c r="P3718">
        <f>HYPERLINK("SO\A-5058\A-5058__364.png", "Ver Imagen")</f>
        <v/>
      </c>
    </row>
    <row r="3719">
      <c r="A3719" t="n">
        <v>3221</v>
      </c>
      <c r="B3719" t="inlineStr">
        <is>
          <t>A-5058__365</t>
        </is>
      </c>
      <c r="C3719" t="n">
        <v>37.2533426838</v>
      </c>
      <c r="D3719" t="n">
        <v>-7.10668342296</v>
      </c>
      <c r="E3719" t="n">
        <v>2</v>
      </c>
      <c r="F3719" t="n">
        <v>3</v>
      </c>
      <c r="G3719" t="n">
        <v>3</v>
      </c>
      <c r="J3719" t="inlineStr">
        <is>
          <t>Moda</t>
        </is>
      </c>
      <c r="K3719" t="n">
        <v>3</v>
      </c>
      <c r="L3719" t="n">
        <v>3.011</v>
      </c>
      <c r="M3719" t="n">
        <v>0</v>
      </c>
      <c r="N3719" t="inlineStr">
        <is>
          <t>train</t>
        </is>
      </c>
      <c r="O3719">
        <f>HYPERLINK("3\1\marker_820_385025.png", "Ver Imagen")</f>
        <v/>
      </c>
      <c r="P3719">
        <f>HYPERLINK("SO\A-5058\A-5058__365.png", "Ver Imagen")</f>
        <v/>
      </c>
    </row>
    <row r="3720">
      <c r="A3720" t="n">
        <v>3222</v>
      </c>
      <c r="B3720" t="inlineStr">
        <is>
          <t>A-5058__373</t>
        </is>
      </c>
      <c r="C3720" t="n">
        <v>37.2543967112</v>
      </c>
      <c r="D3720" t="n">
        <v>-7.10821221289</v>
      </c>
      <c r="E3720" t="n">
        <v>2</v>
      </c>
      <c r="F3720" t="n">
        <v>3</v>
      </c>
      <c r="G3720" t="n">
        <v>3</v>
      </c>
      <c r="J3720" t="inlineStr">
        <is>
          <t>Moda</t>
        </is>
      </c>
      <c r="K3720" t="n">
        <v>3</v>
      </c>
      <c r="L3720" t="n">
        <v>2.811</v>
      </c>
      <c r="M3720" t="n">
        <v>0</v>
      </c>
      <c r="N3720" t="inlineStr">
        <is>
          <t>train</t>
        </is>
      </c>
      <c r="O3720">
        <f>HYPERLINK("3\1\marker_987_385107.png", "Ver Imagen")</f>
        <v/>
      </c>
      <c r="P3720">
        <f>HYPERLINK("SO\A-5058\A-5058__373.png", "Ver Imagen")</f>
        <v/>
      </c>
    </row>
    <row r="3721">
      <c r="A3721" t="n">
        <v>3223</v>
      </c>
      <c r="B3721" t="inlineStr">
        <is>
          <t>A-5058__374</t>
        </is>
      </c>
      <c r="C3721" t="n">
        <v>37.2545172938</v>
      </c>
      <c r="D3721" t="n">
        <v>-7.10837643034</v>
      </c>
      <c r="E3721" t="n">
        <v>2</v>
      </c>
      <c r="F3721" t="n">
        <v>3</v>
      </c>
      <c r="G3721" t="n">
        <v>3</v>
      </c>
      <c r="J3721" t="inlineStr">
        <is>
          <t>Moda</t>
        </is>
      </c>
      <c r="K3721" t="n">
        <v>3</v>
      </c>
      <c r="L3721" t="n">
        <v>2.635</v>
      </c>
      <c r="M3721" t="n">
        <v>0</v>
      </c>
      <c r="N3721" t="inlineStr">
        <is>
          <t>train</t>
        </is>
      </c>
      <c r="O3721">
        <f>HYPERLINK("3\1\marker_545_385119.png", "Ver Imagen")</f>
        <v/>
      </c>
      <c r="P3721">
        <f>HYPERLINK("SO\A-5058\A-5058__374.png", "Ver Imagen")</f>
        <v/>
      </c>
    </row>
    <row r="3722">
      <c r="A3722" t="n">
        <v>3224</v>
      </c>
      <c r="B3722" t="inlineStr">
        <is>
          <t>A-5058__375</t>
        </is>
      </c>
      <c r="C3722" t="n">
        <v>37.2546643514</v>
      </c>
      <c r="D3722" t="n">
        <v>-7.10856201771</v>
      </c>
      <c r="E3722" t="n">
        <v>4</v>
      </c>
      <c r="F3722" t="n">
        <v>3</v>
      </c>
      <c r="G3722" t="n">
        <v>3</v>
      </c>
      <c r="J3722" t="inlineStr">
        <is>
          <t>Moda</t>
        </is>
      </c>
      <c r="K3722" t="n">
        <v>3</v>
      </c>
      <c r="L3722" t="n">
        <v>2.794</v>
      </c>
      <c r="M3722" t="n">
        <v>0</v>
      </c>
      <c r="N3722" t="inlineStr">
        <is>
          <t>train</t>
        </is>
      </c>
      <c r="O3722">
        <f>HYPERLINK("3\1\marker_973_385130.png", "Ver Imagen")</f>
        <v/>
      </c>
      <c r="P3722">
        <f>HYPERLINK("SO\A-5058\A-5058__375.png", "Ver Imagen")</f>
        <v/>
      </c>
    </row>
    <row r="3723">
      <c r="A3723" t="n">
        <v>3225</v>
      </c>
      <c r="B3723" t="inlineStr">
        <is>
          <t>A-5058__380</t>
        </is>
      </c>
      <c r="C3723" t="n">
        <v>37.255102501</v>
      </c>
      <c r="D3723" t="n">
        <v>-7.10940814389</v>
      </c>
      <c r="E3723" t="n">
        <v>3</v>
      </c>
      <c r="F3723" t="n">
        <v>3</v>
      </c>
      <c r="G3723" t="n">
        <v>4</v>
      </c>
      <c r="J3723" t="inlineStr">
        <is>
          <t>Moda</t>
        </is>
      </c>
      <c r="K3723" t="n">
        <v>3</v>
      </c>
      <c r="L3723" t="n">
        <v>3.079</v>
      </c>
      <c r="M3723" t="n">
        <v>0</v>
      </c>
      <c r="N3723" t="inlineStr">
        <is>
          <t>train</t>
        </is>
      </c>
      <c r="O3723">
        <f>HYPERLINK("3\1\marker_672_385197.png", "Ver Imagen")</f>
        <v/>
      </c>
      <c r="P3723">
        <f>HYPERLINK("SO\A-5058\A-5058__380.png", "Ver Imagen")</f>
        <v/>
      </c>
    </row>
    <row r="3724">
      <c r="A3724" t="n">
        <v>3226</v>
      </c>
      <c r="B3724" t="inlineStr">
        <is>
          <t>A-5058__381</t>
        </is>
      </c>
      <c r="C3724" t="n">
        <v>37.2551864279</v>
      </c>
      <c r="D3724" t="n">
        <v>-7.10966743512</v>
      </c>
      <c r="E3724" t="n">
        <v>3</v>
      </c>
      <c r="F3724" t="n">
        <v>3</v>
      </c>
      <c r="G3724" t="n">
        <v>4</v>
      </c>
      <c r="J3724" t="inlineStr">
        <is>
          <t>Moda</t>
        </is>
      </c>
      <c r="K3724" t="n">
        <v>3</v>
      </c>
      <c r="L3724" t="n">
        <v>2.681</v>
      </c>
      <c r="M3724" t="n">
        <v>0</v>
      </c>
      <c r="N3724" t="inlineStr">
        <is>
          <t>test</t>
        </is>
      </c>
      <c r="O3724">
        <f>HYPERLINK("3\1\marker_498_385220.png", "Ver Imagen")</f>
        <v/>
      </c>
      <c r="P3724">
        <f>HYPERLINK("SO\A-5058\A-5058__381.png", "Ver Imagen")</f>
        <v/>
      </c>
    </row>
    <row r="3725">
      <c r="A3725" t="n">
        <v>3227</v>
      </c>
      <c r="B3725" t="inlineStr">
        <is>
          <t>A-5058__382</t>
        </is>
      </c>
      <c r="C3725" t="n">
        <v>37.2552516039</v>
      </c>
      <c r="D3725" t="n">
        <v>-7.10989809575</v>
      </c>
      <c r="E3725" t="n">
        <v>3</v>
      </c>
      <c r="F3725" t="n">
        <v>3</v>
      </c>
      <c r="G3725" t="n">
        <v>4</v>
      </c>
      <c r="J3725" t="inlineStr">
        <is>
          <t>Moda</t>
        </is>
      </c>
      <c r="K3725" t="n">
        <v>3</v>
      </c>
      <c r="L3725" t="n">
        <v>3.057</v>
      </c>
      <c r="M3725" t="n">
        <v>0</v>
      </c>
      <c r="N3725" t="inlineStr">
        <is>
          <t>train</t>
        </is>
      </c>
      <c r="O3725">
        <f>HYPERLINK("3\1\marker_356_385231.png", "Ver Imagen")</f>
        <v/>
      </c>
      <c r="P3725">
        <f>HYPERLINK("SO\A-5058\A-5058__382.png", "Ver Imagen")</f>
        <v/>
      </c>
    </row>
    <row r="3726">
      <c r="A3726" t="n">
        <v>3228</v>
      </c>
      <c r="B3726" t="inlineStr">
        <is>
          <t>A-5058__384</t>
        </is>
      </c>
      <c r="C3726" t="n">
        <v>37.2553487117</v>
      </c>
      <c r="D3726" t="n">
        <v>-7.11040217566</v>
      </c>
      <c r="E3726" t="n">
        <v>3</v>
      </c>
      <c r="F3726" t="n">
        <v>3</v>
      </c>
      <c r="G3726" t="n">
        <v>4</v>
      </c>
      <c r="J3726" t="inlineStr">
        <is>
          <t>Moda</t>
        </is>
      </c>
      <c r="K3726" t="n">
        <v>3</v>
      </c>
      <c r="L3726" t="n">
        <v>2.728</v>
      </c>
      <c r="M3726" t="n">
        <v>0</v>
      </c>
      <c r="N3726" t="inlineStr">
        <is>
          <t>train</t>
        </is>
      </c>
      <c r="O3726">
        <f>HYPERLINK("3\1\marker_782_385249.png", "Ver Imagen")</f>
        <v/>
      </c>
      <c r="P3726">
        <f>HYPERLINK("SO\A-5058\A-5058__384.png", "Ver Imagen")</f>
        <v/>
      </c>
    </row>
    <row r="3727">
      <c r="A3727" t="n">
        <v>3229</v>
      </c>
      <c r="B3727" t="inlineStr">
        <is>
          <t>A-5058__389</t>
        </is>
      </c>
      <c r="C3727" t="n">
        <v>37.2553233</v>
      </c>
      <c r="D3727" t="n">
        <v>-7.11166386755</v>
      </c>
      <c r="E3727" t="n">
        <v>3</v>
      </c>
      <c r="F3727" t="n">
        <v>3</v>
      </c>
      <c r="G3727" t="n">
        <v>4</v>
      </c>
      <c r="J3727" t="inlineStr">
        <is>
          <t>Moda</t>
        </is>
      </c>
      <c r="K3727" t="n">
        <v>3</v>
      </c>
      <c r="L3727" t="n">
        <v>2.762</v>
      </c>
      <c r="M3727" t="n">
        <v>0</v>
      </c>
      <c r="N3727" t="inlineStr">
        <is>
          <t>train</t>
        </is>
      </c>
      <c r="O3727">
        <f>HYPERLINK("3\1\marker_236_385295.png", "Ver Imagen")</f>
        <v/>
      </c>
      <c r="P3727">
        <f>HYPERLINK("SO\A-5058\A-5058__389.png", "Ver Imagen")</f>
        <v/>
      </c>
    </row>
    <row r="3728">
      <c r="A3728" t="n">
        <v>3230</v>
      </c>
      <c r="B3728" t="inlineStr">
        <is>
          <t>A-5058__394</t>
        </is>
      </c>
      <c r="C3728" t="n">
        <v>37.255055113</v>
      </c>
      <c r="D3728" t="n">
        <v>-7.1129129728</v>
      </c>
      <c r="E3728" t="n">
        <v>3</v>
      </c>
      <c r="F3728" t="n">
        <v>3</v>
      </c>
      <c r="G3728" t="n">
        <v>4</v>
      </c>
      <c r="J3728" t="inlineStr">
        <is>
          <t>Moda</t>
        </is>
      </c>
      <c r="K3728" t="n">
        <v>3</v>
      </c>
      <c r="L3728" t="n">
        <v>2.725</v>
      </c>
      <c r="M3728" t="n">
        <v>0</v>
      </c>
      <c r="N3728" t="inlineStr">
        <is>
          <t>train</t>
        </is>
      </c>
      <c r="O3728">
        <f>HYPERLINK("3\1\marker_216_385342.png", "Ver Imagen")</f>
        <v/>
      </c>
      <c r="P3728">
        <f>HYPERLINK("SO\A-5058\A-5058__394.png", "Ver Imagen")</f>
        <v/>
      </c>
    </row>
    <row r="3729">
      <c r="A3729" t="n">
        <v>3231</v>
      </c>
      <c r="B3729" t="inlineStr">
        <is>
          <t>A-5058__397</t>
        </is>
      </c>
      <c r="C3729" t="n">
        <v>37.2548767549</v>
      </c>
      <c r="D3729" t="n">
        <v>-7.1136299006</v>
      </c>
      <c r="E3729" t="n">
        <v>3</v>
      </c>
      <c r="F3729" t="n">
        <v>3</v>
      </c>
      <c r="G3729" t="n">
        <v>4</v>
      </c>
      <c r="J3729" t="inlineStr">
        <is>
          <t>Moda</t>
        </is>
      </c>
      <c r="K3729" t="n">
        <v>3</v>
      </c>
      <c r="L3729" t="n">
        <v>2.787</v>
      </c>
      <c r="M3729" t="n">
        <v>0</v>
      </c>
      <c r="N3729" t="inlineStr">
        <is>
          <t>train</t>
        </is>
      </c>
      <c r="O3729">
        <f>HYPERLINK("3\1\marker_150_385391.png", "Ver Imagen")</f>
        <v/>
      </c>
      <c r="P3729">
        <f>HYPERLINK("SO\A-5058\A-5058__397.png", "Ver Imagen")</f>
        <v/>
      </c>
    </row>
    <row r="3730">
      <c r="A3730" t="n">
        <v>3232</v>
      </c>
      <c r="B3730" t="inlineStr">
        <is>
          <t>A-5058__399</t>
        </is>
      </c>
      <c r="C3730" t="n">
        <v>37.2547577748</v>
      </c>
      <c r="D3730" t="n">
        <v>-7.1141100892</v>
      </c>
      <c r="E3730" t="n">
        <v>3</v>
      </c>
      <c r="F3730" t="n">
        <v>3</v>
      </c>
      <c r="G3730" t="n">
        <v>4</v>
      </c>
      <c r="J3730" t="inlineStr">
        <is>
          <t>Moda</t>
        </is>
      </c>
      <c r="K3730" t="n">
        <v>3</v>
      </c>
      <c r="L3730" t="n">
        <v>2.917</v>
      </c>
      <c r="M3730" t="n">
        <v>0</v>
      </c>
      <c r="N3730" t="inlineStr">
        <is>
          <t>train</t>
        </is>
      </c>
      <c r="O3730">
        <f>HYPERLINK("3\1\marker_115_385419.png", "Ver Imagen")</f>
        <v/>
      </c>
      <c r="P3730">
        <f>HYPERLINK("SO\A-5058\A-5058__399.png", "Ver Imagen")</f>
        <v/>
      </c>
    </row>
    <row r="3731">
      <c r="A3731" t="n">
        <v>3233</v>
      </c>
      <c r="B3731" t="inlineStr">
        <is>
          <t>A-5058__402</t>
        </is>
      </c>
      <c r="C3731" t="n">
        <v>37.2546167025</v>
      </c>
      <c r="D3731" t="n">
        <v>-7.11481933008</v>
      </c>
      <c r="E3731" t="n">
        <v>3</v>
      </c>
      <c r="F3731" t="n">
        <v>3</v>
      </c>
      <c r="G3731" t="n">
        <v>4</v>
      </c>
      <c r="J3731" t="inlineStr">
        <is>
          <t>Moda</t>
        </is>
      </c>
      <c r="K3731" t="n">
        <v>3</v>
      </c>
      <c r="L3731" t="n">
        <v>3.042</v>
      </c>
      <c r="M3731" t="n">
        <v>0</v>
      </c>
      <c r="N3731" t="inlineStr">
        <is>
          <t>train</t>
        </is>
      </c>
      <c r="O3731">
        <f>HYPERLINK("3\1\marker_182_388517.png", "Ver Imagen")</f>
        <v/>
      </c>
      <c r="P3731">
        <f>HYPERLINK("SO\A-5058\A-5058__402.png", "Ver Imagen")</f>
        <v/>
      </c>
    </row>
    <row r="3732">
      <c r="A3732" t="n">
        <v>3234</v>
      </c>
      <c r="B3732" t="inlineStr">
        <is>
          <t>A-5058__404</t>
        </is>
      </c>
      <c r="C3732" t="n">
        <v>37.2545731678</v>
      </c>
      <c r="D3732" t="n">
        <v>-7.11533837826</v>
      </c>
      <c r="E3732" t="n">
        <v>3</v>
      </c>
      <c r="F3732" t="n">
        <v>3</v>
      </c>
      <c r="G3732" t="n">
        <v>4</v>
      </c>
      <c r="J3732" t="inlineStr">
        <is>
          <t>Moda</t>
        </is>
      </c>
      <c r="K3732" t="n">
        <v>3</v>
      </c>
      <c r="L3732" t="n">
        <v>3.163</v>
      </c>
      <c r="M3732" t="n">
        <v>0</v>
      </c>
      <c r="N3732" t="inlineStr">
        <is>
          <t>train</t>
        </is>
      </c>
      <c r="O3732">
        <f>HYPERLINK("3\1\marker_847_388576.png", "Ver Imagen")</f>
        <v/>
      </c>
      <c r="P3732">
        <f>HYPERLINK("SO\A-5058\A-5058__404.png", "Ver Imagen")</f>
        <v/>
      </c>
    </row>
    <row r="3733">
      <c r="A3733" t="n">
        <v>3235</v>
      </c>
      <c r="B3733" t="inlineStr">
        <is>
          <t>A-5058__405</t>
        </is>
      </c>
      <c r="C3733" t="n">
        <v>37.2545736808</v>
      </c>
      <c r="D3733" t="n">
        <v>-7.11558915008</v>
      </c>
      <c r="E3733" t="n">
        <v>3</v>
      </c>
      <c r="F3733" t="n">
        <v>3</v>
      </c>
      <c r="G3733" t="n">
        <v>4</v>
      </c>
      <c r="J3733" t="inlineStr">
        <is>
          <t>Moda</t>
        </is>
      </c>
      <c r="K3733" t="n">
        <v>3</v>
      </c>
      <c r="L3733" t="n">
        <v>3.01</v>
      </c>
      <c r="M3733" t="n">
        <v>0</v>
      </c>
      <c r="N3733" t="inlineStr">
        <is>
          <t>train</t>
        </is>
      </c>
      <c r="O3733">
        <f>HYPERLINK("3\1\marker_156_388587.png", "Ver Imagen")</f>
        <v/>
      </c>
      <c r="P3733">
        <f>HYPERLINK("SO\A-5058\A-5058__405.png", "Ver Imagen")</f>
        <v/>
      </c>
    </row>
    <row r="3734">
      <c r="A3734" t="n">
        <v>3236</v>
      </c>
      <c r="B3734" t="inlineStr">
        <is>
          <t>A-5058__412</t>
        </is>
      </c>
      <c r="C3734" t="n">
        <v>37.2549887292</v>
      </c>
      <c r="D3734" t="n">
        <v>-7.11722761293</v>
      </c>
      <c r="E3734" t="n">
        <v>2</v>
      </c>
      <c r="F3734" t="n">
        <v>3</v>
      </c>
      <c r="G3734" t="n">
        <v>3</v>
      </c>
      <c r="J3734" t="inlineStr">
        <is>
          <t>Moda</t>
        </is>
      </c>
      <c r="K3734" t="n">
        <v>3</v>
      </c>
      <c r="L3734" t="n">
        <v>2.935</v>
      </c>
      <c r="M3734" t="n">
        <v>0</v>
      </c>
      <c r="N3734" t="inlineStr">
        <is>
          <t>train</t>
        </is>
      </c>
      <c r="O3734">
        <f>HYPERLINK("3\1\marker_459_388669.png", "Ver Imagen")</f>
        <v/>
      </c>
      <c r="P3734">
        <f>HYPERLINK("SO\A-5058\A-5058__412.png", "Ver Imagen")</f>
        <v/>
      </c>
    </row>
    <row r="3735">
      <c r="A3735" t="n">
        <v>3237</v>
      </c>
      <c r="B3735" t="inlineStr">
        <is>
          <t>A-5058__414</t>
        </is>
      </c>
      <c r="C3735" t="n">
        <v>37.255240676</v>
      </c>
      <c r="D3735" t="n">
        <v>-7.11764093193</v>
      </c>
      <c r="E3735" t="n">
        <v>3</v>
      </c>
      <c r="F3735" t="n">
        <v>3</v>
      </c>
      <c r="G3735" t="n">
        <v>4</v>
      </c>
      <c r="J3735" t="inlineStr">
        <is>
          <t>Moda</t>
        </is>
      </c>
      <c r="K3735" t="n">
        <v>3</v>
      </c>
      <c r="L3735" t="n">
        <v>2.859</v>
      </c>
      <c r="M3735" t="n">
        <v>0</v>
      </c>
      <c r="N3735" t="inlineStr">
        <is>
          <t>train</t>
        </is>
      </c>
      <c r="O3735">
        <f>HYPERLINK("3\1\marker_501_388688.png", "Ver Imagen")</f>
        <v/>
      </c>
      <c r="P3735">
        <f>HYPERLINK("SO\A-5058\A-5058__414.png", "Ver Imagen")</f>
        <v/>
      </c>
    </row>
    <row r="3736">
      <c r="A3736" t="n">
        <v>3238</v>
      </c>
      <c r="B3736" t="inlineStr">
        <is>
          <t>A-5058__416</t>
        </is>
      </c>
      <c r="C3736" t="n">
        <v>37.2555144071</v>
      </c>
      <c r="D3736" t="n">
        <v>-7.11797058293</v>
      </c>
      <c r="E3736" t="n">
        <v>3</v>
      </c>
      <c r="F3736" t="n">
        <v>3</v>
      </c>
      <c r="G3736" t="n">
        <v>4</v>
      </c>
      <c r="J3736" t="inlineStr">
        <is>
          <t>Moda</t>
        </is>
      </c>
      <c r="K3736" t="n">
        <v>3</v>
      </c>
      <c r="L3736" t="n">
        <v>2.957</v>
      </c>
      <c r="M3736" t="n">
        <v>0</v>
      </c>
      <c r="N3736" t="inlineStr">
        <is>
          <t>train</t>
        </is>
      </c>
      <c r="O3736">
        <f>HYPERLINK("3\1\marker_897_388705.png", "Ver Imagen")</f>
        <v/>
      </c>
      <c r="P3736">
        <f>HYPERLINK("SO\A-5058\A-5058__416.png", "Ver Imagen")</f>
        <v/>
      </c>
    </row>
    <row r="3737">
      <c r="A3737" t="n">
        <v>3239</v>
      </c>
      <c r="B3737" t="inlineStr">
        <is>
          <t>A-5058__418</t>
        </is>
      </c>
      <c r="C3737" t="n">
        <v>37.2558360239</v>
      </c>
      <c r="D3737" t="n">
        <v>-7.11826311321</v>
      </c>
      <c r="E3737" t="n">
        <v>3</v>
      </c>
      <c r="F3737" t="n">
        <v>3</v>
      </c>
      <c r="G3737" t="n">
        <v>4</v>
      </c>
      <c r="J3737" t="inlineStr">
        <is>
          <t>Moda</t>
        </is>
      </c>
      <c r="K3737" t="n">
        <v>3</v>
      </c>
      <c r="L3737" t="n">
        <v>3.303</v>
      </c>
      <c r="M3737" t="n">
        <v>0</v>
      </c>
      <c r="N3737" t="inlineStr">
        <is>
          <t>train</t>
        </is>
      </c>
      <c r="O3737">
        <f>HYPERLINK("3\1\marker_584_388726.png", "Ver Imagen")</f>
        <v/>
      </c>
      <c r="P3737">
        <f>HYPERLINK("SO\A-5058\A-5058__418.png", "Ver Imagen")</f>
        <v/>
      </c>
    </row>
    <row r="3738">
      <c r="A3738" t="n">
        <v>3241</v>
      </c>
      <c r="B3738" t="inlineStr">
        <is>
          <t>A-5058__420</t>
        </is>
      </c>
      <c r="C3738" t="n">
        <v>37.2562156141</v>
      </c>
      <c r="D3738" t="n">
        <v>-7.11855037413</v>
      </c>
      <c r="E3738" t="n">
        <v>3</v>
      </c>
      <c r="F3738" t="n">
        <v>3</v>
      </c>
      <c r="G3738" t="n">
        <v>4</v>
      </c>
      <c r="J3738" t="inlineStr">
        <is>
          <t>Moda</t>
        </is>
      </c>
      <c r="K3738" t="n">
        <v>3</v>
      </c>
      <c r="L3738" t="n">
        <v>2.538</v>
      </c>
      <c r="M3738" t="n">
        <v>0</v>
      </c>
      <c r="N3738" t="inlineStr">
        <is>
          <t>val</t>
        </is>
      </c>
      <c r="O3738">
        <f>HYPERLINK("3\1\marker_418_388754.png", "Ver Imagen")</f>
        <v/>
      </c>
      <c r="P3738">
        <f>HYPERLINK("SO\A-5058\A-5058__420.png", "Ver Imagen")</f>
        <v/>
      </c>
    </row>
    <row r="3739">
      <c r="A3739" t="n">
        <v>3242</v>
      </c>
      <c r="B3739" t="inlineStr">
        <is>
          <t>A-5058__421</t>
        </is>
      </c>
      <c r="C3739" t="n">
        <v>37.2564004982</v>
      </c>
      <c r="D3739" t="n">
        <v>-7.11868624146</v>
      </c>
      <c r="E3739" t="n">
        <v>3</v>
      </c>
      <c r="F3739" t="n">
        <v>3</v>
      </c>
      <c r="G3739" t="n">
        <v>4</v>
      </c>
      <c r="J3739" t="inlineStr">
        <is>
          <t>Moda</t>
        </is>
      </c>
      <c r="K3739" t="n">
        <v>3</v>
      </c>
      <c r="L3739" t="n">
        <v>3.35</v>
      </c>
      <c r="M3739" t="n">
        <v>0</v>
      </c>
      <c r="N3739" t="inlineStr">
        <is>
          <t>train</t>
        </is>
      </c>
      <c r="O3739">
        <f>HYPERLINK("3\1\marker_537_388763.png", "Ver Imagen")</f>
        <v/>
      </c>
      <c r="P3739">
        <f>HYPERLINK("SO\A-5058\A-5058__421.png", "Ver Imagen")</f>
        <v/>
      </c>
    </row>
    <row r="3740">
      <c r="A3740" t="n">
        <v>3244</v>
      </c>
      <c r="B3740" t="inlineStr">
        <is>
          <t>A-5058__427</t>
        </is>
      </c>
      <c r="C3740" t="n">
        <v>37.2574276684</v>
      </c>
      <c r="D3740" t="n">
        <v>-7.1194409721</v>
      </c>
      <c r="E3740" t="n">
        <v>3</v>
      </c>
      <c r="F3740" t="n">
        <v>3</v>
      </c>
      <c r="G3740" t="n">
        <v>4</v>
      </c>
      <c r="J3740" t="inlineStr">
        <is>
          <t>Moda</t>
        </is>
      </c>
      <c r="K3740" t="n">
        <v>3</v>
      </c>
      <c r="L3740" t="n">
        <v>3.199</v>
      </c>
      <c r="M3740" t="n">
        <v>0</v>
      </c>
      <c r="N3740" t="inlineStr">
        <is>
          <t>train</t>
        </is>
      </c>
      <c r="O3740">
        <f>HYPERLINK("3\1\marker_198_388825.png", "Ver Imagen")</f>
        <v/>
      </c>
      <c r="P3740">
        <f>HYPERLINK("SO\A-5058\A-5058__427.png", "Ver Imagen")</f>
        <v/>
      </c>
    </row>
    <row r="3741">
      <c r="A3741" t="n">
        <v>3245</v>
      </c>
      <c r="B3741" t="inlineStr">
        <is>
          <t>A-5058__428</t>
        </is>
      </c>
      <c r="C3741" t="n">
        <v>37.2576231461</v>
      </c>
      <c r="D3741" t="n">
        <v>-7.11958157832</v>
      </c>
      <c r="E3741" t="n">
        <v>3</v>
      </c>
      <c r="F3741" t="n">
        <v>3</v>
      </c>
      <c r="G3741" t="n">
        <v>4</v>
      </c>
      <c r="J3741" t="inlineStr">
        <is>
          <t>Moda</t>
        </is>
      </c>
      <c r="K3741" t="n">
        <v>3</v>
      </c>
      <c r="L3741" t="n">
        <v>3.084</v>
      </c>
      <c r="M3741" t="n">
        <v>0</v>
      </c>
      <c r="N3741" t="inlineStr">
        <is>
          <t>train</t>
        </is>
      </c>
      <c r="O3741">
        <f>HYPERLINK("3\1\marker_767_388834.png", "Ver Imagen")</f>
        <v/>
      </c>
      <c r="P3741">
        <f>HYPERLINK("SO\A-5058\A-5058__428.png", "Ver Imagen")</f>
        <v/>
      </c>
    </row>
    <row r="3742">
      <c r="A3742" t="n">
        <v>3246</v>
      </c>
      <c r="B3742" t="inlineStr">
        <is>
          <t>A-5058__430</t>
        </is>
      </c>
      <c r="C3742" t="n">
        <v>37.2579374011</v>
      </c>
      <c r="D3742" t="n">
        <v>-7.11982860737</v>
      </c>
      <c r="E3742" t="n">
        <v>3</v>
      </c>
      <c r="F3742" t="n">
        <v>3</v>
      </c>
      <c r="G3742" t="n">
        <v>4</v>
      </c>
      <c r="J3742" t="inlineStr">
        <is>
          <t>Moda</t>
        </is>
      </c>
      <c r="K3742" t="n">
        <v>3</v>
      </c>
      <c r="L3742" t="n">
        <v>3.039</v>
      </c>
      <c r="M3742" t="n">
        <v>0</v>
      </c>
      <c r="N3742" t="inlineStr">
        <is>
          <t>train</t>
        </is>
      </c>
      <c r="O3742">
        <f>HYPERLINK("3\1\marker_560_388851.png", "Ver Imagen")</f>
        <v/>
      </c>
      <c r="P3742">
        <f>HYPERLINK("SO\A-5058\A-5058__430.png", "Ver Imagen")</f>
        <v/>
      </c>
    </row>
    <row r="3743">
      <c r="A3743" t="n">
        <v>3247</v>
      </c>
      <c r="B3743" t="inlineStr">
        <is>
          <t>A-5058__431</t>
        </is>
      </c>
      <c r="C3743" t="n">
        <v>37.2581058569</v>
      </c>
      <c r="D3743" t="n">
        <v>-7.1199917777</v>
      </c>
      <c r="E3743" t="n">
        <v>3</v>
      </c>
      <c r="F3743" t="n">
        <v>3</v>
      </c>
      <c r="G3743" t="n">
        <v>4</v>
      </c>
      <c r="J3743" t="inlineStr">
        <is>
          <t>Moda</t>
        </is>
      </c>
      <c r="K3743" t="n">
        <v>3</v>
      </c>
      <c r="L3743" t="n">
        <v>2.993</v>
      </c>
      <c r="M3743" t="n">
        <v>0</v>
      </c>
      <c r="N3743" t="inlineStr">
        <is>
          <t>train</t>
        </is>
      </c>
      <c r="O3743">
        <f>HYPERLINK("3\1\marker_719_388873.png", "Ver Imagen")</f>
        <v/>
      </c>
      <c r="P3743">
        <f>HYPERLINK("SO\A-5058\A-5058__431.png", "Ver Imagen")</f>
        <v/>
      </c>
    </row>
    <row r="3744">
      <c r="A3744" t="n">
        <v>3248</v>
      </c>
      <c r="B3744" t="inlineStr">
        <is>
          <t>A-5058__432</t>
        </is>
      </c>
      <c r="C3744" t="n">
        <v>37.2582533972</v>
      </c>
      <c r="D3744" t="n">
        <v>-7.12016394724</v>
      </c>
      <c r="E3744" t="n">
        <v>3</v>
      </c>
      <c r="F3744" t="n">
        <v>3</v>
      </c>
      <c r="G3744" t="n">
        <v>4</v>
      </c>
      <c r="J3744" t="inlineStr">
        <is>
          <t>Moda</t>
        </is>
      </c>
      <c r="K3744" t="n">
        <v>3</v>
      </c>
      <c r="L3744" t="n">
        <v>2.832</v>
      </c>
      <c r="M3744" t="n">
        <v>0</v>
      </c>
      <c r="N3744" t="inlineStr">
        <is>
          <t>train</t>
        </is>
      </c>
      <c r="O3744">
        <f>HYPERLINK("3\1\marker_985_388883.png", "Ver Imagen")</f>
        <v/>
      </c>
      <c r="P3744">
        <f>HYPERLINK("SO\A-5058\A-5058__432.png", "Ver Imagen")</f>
        <v/>
      </c>
    </row>
    <row r="3745">
      <c r="A3745" t="n">
        <v>3249</v>
      </c>
      <c r="B3745" t="inlineStr">
        <is>
          <t>A-5058__435</t>
        </is>
      </c>
      <c r="C3745" t="n">
        <v>37.258583598</v>
      </c>
      <c r="D3745" t="n">
        <v>-7.12079651616</v>
      </c>
      <c r="E3745" t="n">
        <v>3</v>
      </c>
      <c r="F3745" t="n">
        <v>3</v>
      </c>
      <c r="G3745" t="n">
        <v>4</v>
      </c>
      <c r="J3745" t="inlineStr">
        <is>
          <t>Moda</t>
        </is>
      </c>
      <c r="K3745" t="n">
        <v>3</v>
      </c>
      <c r="L3745" t="n">
        <v>2.9</v>
      </c>
      <c r="M3745" t="n">
        <v>0</v>
      </c>
      <c r="N3745" t="inlineStr">
        <is>
          <t>train</t>
        </is>
      </c>
      <c r="O3745">
        <f>HYPERLINK("3\1\marker_783_388911.png", "Ver Imagen")</f>
        <v/>
      </c>
      <c r="P3745">
        <f>HYPERLINK("SO\A-5058\A-5058__435.png", "Ver Imagen")</f>
        <v/>
      </c>
    </row>
    <row r="3746">
      <c r="A3746" t="n">
        <v>3250</v>
      </c>
      <c r="B3746" t="inlineStr">
        <is>
          <t>A-5058__436</t>
        </is>
      </c>
      <c r="C3746" t="n">
        <v>37.2586491397</v>
      </c>
      <c r="D3746" t="n">
        <v>-7.1210368944</v>
      </c>
      <c r="E3746" t="n">
        <v>3</v>
      </c>
      <c r="F3746" t="n">
        <v>3</v>
      </c>
      <c r="G3746" t="n">
        <v>4</v>
      </c>
      <c r="J3746" t="inlineStr">
        <is>
          <t>Moda</t>
        </is>
      </c>
      <c r="K3746" t="n">
        <v>3</v>
      </c>
      <c r="L3746" t="n">
        <v>2.96</v>
      </c>
      <c r="M3746" t="n">
        <v>0</v>
      </c>
      <c r="N3746" t="inlineStr">
        <is>
          <t>test</t>
        </is>
      </c>
      <c r="O3746">
        <f>HYPERLINK("3\1\marker_454_388921.png", "Ver Imagen")</f>
        <v/>
      </c>
      <c r="P3746">
        <f>HYPERLINK("SO\A-5058\A-5058__436.png", "Ver Imagen")</f>
        <v/>
      </c>
    </row>
    <row r="3747">
      <c r="A3747" t="n">
        <v>3251</v>
      </c>
      <c r="B3747" t="inlineStr">
        <is>
          <t>A-5058__437</t>
        </is>
      </c>
      <c r="C3747" t="n">
        <v>37.258696889</v>
      </c>
      <c r="D3747" t="n">
        <v>-7.12130680702</v>
      </c>
      <c r="E3747" t="n">
        <v>3</v>
      </c>
      <c r="F3747" t="n">
        <v>3</v>
      </c>
      <c r="G3747" t="n">
        <v>4</v>
      </c>
      <c r="J3747" t="inlineStr">
        <is>
          <t>Moda</t>
        </is>
      </c>
      <c r="K3747" t="n">
        <v>3</v>
      </c>
      <c r="L3747" t="n">
        <v>2.748</v>
      </c>
      <c r="M3747" t="n">
        <v>0</v>
      </c>
      <c r="N3747" t="inlineStr">
        <is>
          <t>train</t>
        </is>
      </c>
      <c r="O3747">
        <f>HYPERLINK("3\1\marker_267_388936.png", "Ver Imagen")</f>
        <v/>
      </c>
      <c r="P3747">
        <f>HYPERLINK("SO\A-5058\A-5058__437.png", "Ver Imagen")</f>
        <v/>
      </c>
    </row>
    <row r="3748">
      <c r="A3748" t="n">
        <v>3252</v>
      </c>
      <c r="B3748" t="inlineStr">
        <is>
          <t>A-5058__438</t>
        </is>
      </c>
      <c r="C3748" t="n">
        <v>37.2587257375</v>
      </c>
      <c r="D3748" t="n">
        <v>-7.1215500688</v>
      </c>
      <c r="E3748" t="n">
        <v>3</v>
      </c>
      <c r="F3748" t="n">
        <v>3</v>
      </c>
      <c r="G3748" t="n">
        <v>4</v>
      </c>
      <c r="J3748" t="inlineStr">
        <is>
          <t>Moda</t>
        </is>
      </c>
      <c r="K3748" t="n">
        <v>3</v>
      </c>
      <c r="L3748" t="n">
        <v>2.652</v>
      </c>
      <c r="M3748" t="n">
        <v>0</v>
      </c>
      <c r="N3748" t="inlineStr">
        <is>
          <t>train</t>
        </is>
      </c>
      <c r="O3748">
        <f>HYPERLINK("3\1\marker_460_388945.png", "Ver Imagen")</f>
        <v/>
      </c>
      <c r="P3748">
        <f>HYPERLINK("SO\A-5058\A-5058__438.png", "Ver Imagen")</f>
        <v/>
      </c>
    </row>
    <row r="3749">
      <c r="A3749" t="n">
        <v>3253</v>
      </c>
      <c r="B3749" t="inlineStr">
        <is>
          <t>A-5058__439</t>
        </is>
      </c>
      <c r="C3749" t="n">
        <v>37.2587465829</v>
      </c>
      <c r="D3749" t="n">
        <v>-7.12176825016</v>
      </c>
      <c r="E3749" t="n">
        <v>3</v>
      </c>
      <c r="F3749" t="n">
        <v>3</v>
      </c>
      <c r="G3749" t="n">
        <v>4</v>
      </c>
      <c r="J3749" t="inlineStr">
        <is>
          <t>Moda</t>
        </is>
      </c>
      <c r="K3749" t="n">
        <v>3</v>
      </c>
      <c r="L3749" t="n">
        <v>3.051</v>
      </c>
      <c r="M3749" t="n">
        <v>0</v>
      </c>
      <c r="N3749" t="inlineStr">
        <is>
          <t>train</t>
        </is>
      </c>
      <c r="O3749">
        <f>HYPERLINK("3\1\marker_273_388959.png", "Ver Imagen")</f>
        <v/>
      </c>
      <c r="P3749">
        <f>HYPERLINK("SO\A-5058\A-5058__439.png", "Ver Imagen")</f>
        <v/>
      </c>
    </row>
    <row r="3750">
      <c r="A3750" t="n">
        <v>3254</v>
      </c>
      <c r="B3750" t="inlineStr">
        <is>
          <t>A-5058__454</t>
        </is>
      </c>
      <c r="C3750" t="n">
        <v>37.2592293113</v>
      </c>
      <c r="D3750" t="n">
        <v>-7.12551717628</v>
      </c>
      <c r="E3750" t="n">
        <v>3</v>
      </c>
      <c r="F3750" t="n">
        <v>3</v>
      </c>
      <c r="G3750" t="n">
        <v>4</v>
      </c>
      <c r="J3750" t="inlineStr">
        <is>
          <t>Moda</t>
        </is>
      </c>
      <c r="K3750" t="n">
        <v>3</v>
      </c>
      <c r="L3750" t="n">
        <v>3.282</v>
      </c>
      <c r="M3750" t="n">
        <v>0</v>
      </c>
      <c r="N3750" t="inlineStr">
        <is>
          <t>train</t>
        </is>
      </c>
      <c r="O3750">
        <f>HYPERLINK("3\1\marker_495_389131.png", "Ver Imagen")</f>
        <v/>
      </c>
      <c r="P3750">
        <f>HYPERLINK("SO\A-5058\A-5058__454.png", "Ver Imagen")</f>
        <v/>
      </c>
    </row>
    <row r="3751">
      <c r="A3751" t="n">
        <v>3255</v>
      </c>
      <c r="B3751" t="inlineStr">
        <is>
          <t>A-5058__455</t>
        </is>
      </c>
      <c r="C3751" t="n">
        <v>37.2593335805</v>
      </c>
      <c r="D3751" t="n">
        <v>-7.12573988662</v>
      </c>
      <c r="E3751" t="n">
        <v>3</v>
      </c>
      <c r="F3751" t="n">
        <v>3</v>
      </c>
      <c r="G3751" t="n">
        <v>4</v>
      </c>
      <c r="J3751" t="inlineStr">
        <is>
          <t>Moda</t>
        </is>
      </c>
      <c r="K3751" t="n">
        <v>3</v>
      </c>
      <c r="L3751" t="n">
        <v>3.356</v>
      </c>
      <c r="M3751" t="n">
        <v>0</v>
      </c>
      <c r="N3751" t="inlineStr">
        <is>
          <t>train</t>
        </is>
      </c>
      <c r="O3751">
        <f>HYPERLINK("3\1\marker_579_389140.png", "Ver Imagen")</f>
        <v/>
      </c>
      <c r="P3751">
        <f>HYPERLINK("SO\A-5058\A-5058__455.png", "Ver Imagen")</f>
        <v/>
      </c>
    </row>
    <row r="3752">
      <c r="A3752" t="n">
        <v>3256</v>
      </c>
      <c r="B3752" t="inlineStr">
        <is>
          <t>A-5058__462</t>
        </is>
      </c>
      <c r="C3752" t="n">
        <v>37.2603526803</v>
      </c>
      <c r="D3752" t="n">
        <v>-7.12695015865</v>
      </c>
      <c r="E3752" t="n">
        <v>3</v>
      </c>
      <c r="F3752" t="n">
        <v>3</v>
      </c>
      <c r="G3752" t="n">
        <v>4</v>
      </c>
      <c r="J3752" t="inlineStr">
        <is>
          <t>Moda</t>
        </is>
      </c>
      <c r="K3752" t="n">
        <v>3</v>
      </c>
      <c r="L3752" t="n">
        <v>3.14</v>
      </c>
      <c r="M3752" t="n">
        <v>0</v>
      </c>
      <c r="N3752" t="inlineStr">
        <is>
          <t>train</t>
        </is>
      </c>
      <c r="O3752">
        <f>HYPERLINK("3\1\marker_324_389333.png", "Ver Imagen")</f>
        <v/>
      </c>
      <c r="P3752">
        <f>HYPERLINK("SO\A-5058\A-5058__462.png", "Ver Imagen")</f>
        <v/>
      </c>
    </row>
    <row r="3753">
      <c r="A3753" t="n">
        <v>3257</v>
      </c>
      <c r="B3753" t="inlineStr">
        <is>
          <t>A-5058__464</t>
        </is>
      </c>
      <c r="C3753" t="n">
        <v>37.2606466485</v>
      </c>
      <c r="D3753" t="n">
        <v>-7.12726327641</v>
      </c>
      <c r="E3753" t="n">
        <v>3</v>
      </c>
      <c r="F3753" t="n">
        <v>3</v>
      </c>
      <c r="G3753" t="n">
        <v>4</v>
      </c>
      <c r="J3753" t="inlineStr">
        <is>
          <t>Moda</t>
        </is>
      </c>
      <c r="K3753" t="n">
        <v>3</v>
      </c>
      <c r="L3753" t="n">
        <v>2.951</v>
      </c>
      <c r="M3753" t="n">
        <v>0</v>
      </c>
      <c r="N3753" t="inlineStr">
        <is>
          <t>train</t>
        </is>
      </c>
      <c r="O3753">
        <f>HYPERLINK("3\1\marker_345_389350.png", "Ver Imagen")</f>
        <v/>
      </c>
      <c r="P3753">
        <f>HYPERLINK("SO\A-5058\A-5058__464.png", "Ver Imagen")</f>
        <v/>
      </c>
    </row>
    <row r="3754">
      <c r="A3754" t="n">
        <v>3258</v>
      </c>
      <c r="B3754" t="inlineStr">
        <is>
          <t>A-5058__465</t>
        </is>
      </c>
      <c r="C3754" t="n">
        <v>37.2607913092</v>
      </c>
      <c r="D3754" t="n">
        <v>-7.12744974224</v>
      </c>
      <c r="E3754" t="n">
        <v>3</v>
      </c>
      <c r="F3754" t="n">
        <v>3</v>
      </c>
      <c r="G3754" t="n">
        <v>4</v>
      </c>
      <c r="J3754" t="inlineStr">
        <is>
          <t>Moda</t>
        </is>
      </c>
      <c r="K3754" t="n">
        <v>3</v>
      </c>
      <c r="L3754" t="n">
        <v>2.59</v>
      </c>
      <c r="M3754" t="n">
        <v>0</v>
      </c>
      <c r="N3754" t="inlineStr">
        <is>
          <t>test</t>
        </is>
      </c>
      <c r="O3754">
        <f>HYPERLINK("3\1\marker_705_389360.png", "Ver Imagen")</f>
        <v/>
      </c>
      <c r="P3754">
        <f>HYPERLINK("SO\A-5058\A-5058__465.png", "Ver Imagen")</f>
        <v/>
      </c>
    </row>
    <row r="3755">
      <c r="A3755" t="n">
        <v>3259</v>
      </c>
      <c r="B3755" t="inlineStr">
        <is>
          <t>A-5058__466</t>
        </is>
      </c>
      <c r="C3755" t="n">
        <v>37.2609126394</v>
      </c>
      <c r="D3755" t="n">
        <v>-7.1276561012</v>
      </c>
      <c r="E3755" t="n">
        <v>3</v>
      </c>
      <c r="F3755" t="n">
        <v>3</v>
      </c>
      <c r="G3755" t="n">
        <v>4</v>
      </c>
      <c r="J3755" t="inlineStr">
        <is>
          <t>Moda</t>
        </is>
      </c>
      <c r="K3755" t="n">
        <v>3</v>
      </c>
      <c r="L3755" t="n">
        <v>2.588</v>
      </c>
      <c r="M3755" t="n">
        <v>0</v>
      </c>
      <c r="N3755" t="inlineStr">
        <is>
          <t>train</t>
        </is>
      </c>
      <c r="O3755">
        <f>HYPERLINK("3\1\marker_420_389368.png", "Ver Imagen")</f>
        <v/>
      </c>
      <c r="P3755">
        <f>HYPERLINK("SO\A-5058\A-5058__466.png", "Ver Imagen")</f>
        <v/>
      </c>
    </row>
    <row r="3756">
      <c r="A3756" t="n">
        <v>3260</v>
      </c>
      <c r="B3756" t="inlineStr">
        <is>
          <t>A-5058__467</t>
        </is>
      </c>
      <c r="C3756" t="n">
        <v>37.2610098312</v>
      </c>
      <c r="D3756" t="n">
        <v>-7.12790315885</v>
      </c>
      <c r="E3756" t="n">
        <v>3</v>
      </c>
      <c r="F3756" t="n">
        <v>3</v>
      </c>
      <c r="G3756" t="n">
        <v>4</v>
      </c>
      <c r="J3756" t="inlineStr">
        <is>
          <t>Moda</t>
        </is>
      </c>
      <c r="K3756" t="n">
        <v>3</v>
      </c>
      <c r="L3756" t="n">
        <v>2.773</v>
      </c>
      <c r="M3756" t="n">
        <v>0</v>
      </c>
      <c r="N3756" t="inlineStr">
        <is>
          <t>train</t>
        </is>
      </c>
      <c r="O3756">
        <f>HYPERLINK("3\1\marker_924_389377.png", "Ver Imagen")</f>
        <v/>
      </c>
      <c r="P3756">
        <f>HYPERLINK("SO\A-5058\A-5058__467.png", "Ver Imagen")</f>
        <v/>
      </c>
    </row>
    <row r="3757">
      <c r="A3757" t="n">
        <v>3261</v>
      </c>
      <c r="B3757" t="inlineStr">
        <is>
          <t>A-5058__470</t>
        </is>
      </c>
      <c r="C3757" t="n">
        <v>37.2610870142</v>
      </c>
      <c r="D3757" t="n">
        <v>-7.12865370949</v>
      </c>
      <c r="E3757" t="n">
        <v>3</v>
      </c>
      <c r="F3757" t="n">
        <v>3</v>
      </c>
      <c r="G3757" t="n">
        <v>4</v>
      </c>
      <c r="J3757" t="inlineStr">
        <is>
          <t>Moda</t>
        </is>
      </c>
      <c r="K3757" t="n">
        <v>3</v>
      </c>
      <c r="L3757" t="n">
        <v>2.924</v>
      </c>
      <c r="M3757" t="n">
        <v>0</v>
      </c>
      <c r="N3757" t="inlineStr">
        <is>
          <t>train</t>
        </is>
      </c>
      <c r="O3757">
        <f>HYPERLINK("3\1\marker_137_389404.png", "Ver Imagen")</f>
        <v/>
      </c>
      <c r="P3757">
        <f>HYPERLINK("SO\A-5058\A-5058__470.png", "Ver Imagen")</f>
        <v/>
      </c>
    </row>
    <row r="3758">
      <c r="A3758" t="n">
        <v>3262</v>
      </c>
      <c r="B3758" t="inlineStr">
        <is>
          <t>A-495__10</t>
        </is>
      </c>
      <c r="C3758" t="n">
        <v>37.4439802268</v>
      </c>
      <c r="D3758" t="n">
        <v>-7.09794997392</v>
      </c>
      <c r="E3758" t="n">
        <v>4</v>
      </c>
      <c r="F3758" t="n">
        <v>3</v>
      </c>
      <c r="G3758" t="n">
        <v>3</v>
      </c>
      <c r="J3758" t="inlineStr">
        <is>
          <t>Moda</t>
        </is>
      </c>
      <c r="K3758" t="n">
        <v>3</v>
      </c>
      <c r="L3758" t="n">
        <v>2.787</v>
      </c>
      <c r="M3758" t="n">
        <v>0</v>
      </c>
      <c r="N3758" t="inlineStr">
        <is>
          <t>train</t>
        </is>
      </c>
      <c r="O3758">
        <f>HYPERLINK("3\1\marker_389_381162.png", "Ver Imagen")</f>
        <v/>
      </c>
      <c r="P3758">
        <f>HYPERLINK("NE\A-495\A-495__10.png", "Ver Imagen")</f>
        <v/>
      </c>
    </row>
    <row r="3759">
      <c r="A3759" t="n">
        <v>3263</v>
      </c>
      <c r="B3759" t="inlineStr">
        <is>
          <t>A-495__54</t>
        </is>
      </c>
      <c r="C3759" t="n">
        <v>37.4401418106</v>
      </c>
      <c r="D3759" t="n">
        <v>-7.0879476845</v>
      </c>
      <c r="E3759" t="n">
        <v>4</v>
      </c>
      <c r="F3759" t="n">
        <v>3</v>
      </c>
      <c r="G3759" t="n">
        <v>3</v>
      </c>
      <c r="J3759" t="inlineStr">
        <is>
          <t>Moda</t>
        </is>
      </c>
      <c r="K3759" t="n">
        <v>3</v>
      </c>
      <c r="L3759" t="n">
        <v>3.313</v>
      </c>
      <c r="M3759" t="n">
        <v>0</v>
      </c>
      <c r="N3759" t="inlineStr">
        <is>
          <t>train</t>
        </is>
      </c>
      <c r="O3759">
        <f>HYPERLINK("3\1\marker_122_381653.png", "Ver Imagen")</f>
        <v/>
      </c>
      <c r="P3759">
        <f>HYPERLINK("NE\A-495\A-495__54.png", "Ver Imagen")</f>
        <v/>
      </c>
    </row>
    <row r="3760">
      <c r="A3760" t="n">
        <v>3264</v>
      </c>
      <c r="B3760" t="inlineStr">
        <is>
          <t>A-495_1__192</t>
        </is>
      </c>
      <c r="C3760" t="n">
        <v>37.4842250189</v>
      </c>
      <c r="D3760" t="n">
        <v>-7.13014750602</v>
      </c>
      <c r="E3760" t="n">
        <v>4</v>
      </c>
      <c r="F3760" t="n">
        <v>3</v>
      </c>
      <c r="G3760" t="n">
        <v>3</v>
      </c>
      <c r="J3760" t="inlineStr">
        <is>
          <t>Moda</t>
        </is>
      </c>
      <c r="K3760" t="n">
        <v>3</v>
      </c>
      <c r="L3760" t="n">
        <v>3.236</v>
      </c>
      <c r="M3760" t="n">
        <v>0</v>
      </c>
      <c r="N3760" t="inlineStr">
        <is>
          <t>train</t>
        </is>
      </c>
      <c r="O3760">
        <f>HYPERLINK("3\1\marker_297_383710.png", "Ver Imagen")</f>
        <v/>
      </c>
      <c r="P3760">
        <f>HYPERLINK("NE\A-495_1\A-495_1__192.png", "Ver Imagen")</f>
        <v/>
      </c>
    </row>
    <row r="3761">
      <c r="A3761" t="n">
        <v>3265</v>
      </c>
      <c r="B3761" t="inlineStr">
        <is>
          <t>A-495_1__191</t>
        </is>
      </c>
      <c r="C3761" t="n">
        <v>37.4840701163</v>
      </c>
      <c r="D3761" t="n">
        <v>-7.1300039346</v>
      </c>
      <c r="E3761" t="n">
        <v>4</v>
      </c>
      <c r="F3761" t="n">
        <v>3</v>
      </c>
      <c r="G3761" t="n">
        <v>3</v>
      </c>
      <c r="J3761" t="inlineStr">
        <is>
          <t>Moda</t>
        </is>
      </c>
      <c r="K3761" t="n">
        <v>3</v>
      </c>
      <c r="L3761" t="n">
        <v>2.903</v>
      </c>
      <c r="M3761" t="n">
        <v>0</v>
      </c>
      <c r="N3761" t="inlineStr">
        <is>
          <t>train</t>
        </is>
      </c>
      <c r="O3761">
        <f>HYPERLINK("3\1\marker_783_383719.png", "Ver Imagen")</f>
        <v/>
      </c>
      <c r="P3761">
        <f>HYPERLINK("NE\A-495_1\A-495_1__191.png", "Ver Imagen")</f>
        <v/>
      </c>
    </row>
    <row r="3762">
      <c r="A3762" t="n">
        <v>3266</v>
      </c>
      <c r="B3762" t="inlineStr">
        <is>
          <t>A-495_1__190</t>
        </is>
      </c>
      <c r="C3762" t="n">
        <v>37.4839095974</v>
      </c>
      <c r="D3762" t="n">
        <v>-7.12983663106</v>
      </c>
      <c r="E3762" t="n">
        <v>4</v>
      </c>
      <c r="F3762" t="n">
        <v>3</v>
      </c>
      <c r="G3762" t="n">
        <v>3</v>
      </c>
      <c r="J3762" t="inlineStr">
        <is>
          <t>Moda</t>
        </is>
      </c>
      <c r="K3762" t="n">
        <v>3</v>
      </c>
      <c r="L3762" t="n">
        <v>2.954</v>
      </c>
      <c r="M3762" t="n">
        <v>0</v>
      </c>
      <c r="N3762" t="inlineStr">
        <is>
          <t>train</t>
        </is>
      </c>
      <c r="O3762">
        <f>HYPERLINK("3\1\marker_440_383727.png", "Ver Imagen")</f>
        <v/>
      </c>
      <c r="P3762">
        <f>HYPERLINK("NE\A-495_1\A-495_1__190.png", "Ver Imagen")</f>
        <v/>
      </c>
    </row>
    <row r="3763">
      <c r="A3763" t="n">
        <v>3267</v>
      </c>
      <c r="B3763" t="inlineStr">
        <is>
          <t>A-495_1__185</t>
        </is>
      </c>
      <c r="C3763" t="n">
        <v>37.4831488861</v>
      </c>
      <c r="D3763" t="n">
        <v>-7.12904573503</v>
      </c>
      <c r="E3763" t="n">
        <v>3</v>
      </c>
      <c r="F3763" t="n">
        <v>3</v>
      </c>
      <c r="G3763" t="n">
        <v>2</v>
      </c>
      <c r="J3763" t="inlineStr">
        <is>
          <t>Moda</t>
        </is>
      </c>
      <c r="K3763" t="n">
        <v>3</v>
      </c>
      <c r="L3763" t="n">
        <v>2.87</v>
      </c>
      <c r="M3763" t="n">
        <v>0</v>
      </c>
      <c r="N3763" t="inlineStr">
        <is>
          <t>train</t>
        </is>
      </c>
      <c r="O3763">
        <f>HYPERLINK("3\1\marker_470_383775.png", "Ver Imagen")</f>
        <v/>
      </c>
      <c r="P3763">
        <f>HYPERLINK("NE\A-495_1\A-495_1__185.png", "Ver Imagen")</f>
        <v/>
      </c>
    </row>
    <row r="3764">
      <c r="A3764" t="n">
        <v>3269</v>
      </c>
      <c r="B3764" t="inlineStr">
        <is>
          <t>A-495_1__172</t>
        </is>
      </c>
      <c r="C3764" t="n">
        <v>37.4807413984</v>
      </c>
      <c r="D3764" t="n">
        <v>-7.12776216302</v>
      </c>
      <c r="E3764" t="n">
        <v>4</v>
      </c>
      <c r="F3764" t="n">
        <v>3</v>
      </c>
      <c r="G3764" t="n">
        <v>3</v>
      </c>
      <c r="J3764" t="inlineStr">
        <is>
          <t>Moda</t>
        </is>
      </c>
      <c r="K3764" t="n">
        <v>3</v>
      </c>
      <c r="L3764" t="n">
        <v>3.02</v>
      </c>
      <c r="M3764" t="n">
        <v>0</v>
      </c>
      <c r="N3764" t="inlineStr">
        <is>
          <t>test</t>
        </is>
      </c>
      <c r="O3764">
        <f>HYPERLINK("3\1\marker_988_383968.png", "Ver Imagen")</f>
        <v/>
      </c>
      <c r="P3764">
        <f>HYPERLINK("NE\A-495_1\A-495_1__172.png", "Ver Imagen")</f>
        <v/>
      </c>
    </row>
    <row r="3765">
      <c r="A3765" t="n">
        <v>3271</v>
      </c>
      <c r="B3765" t="inlineStr">
        <is>
          <t>A-495_1__166</t>
        </is>
      </c>
      <c r="C3765" t="n">
        <v>37.4795188799</v>
      </c>
      <c r="D3765" t="n">
        <v>-7.12800270825</v>
      </c>
      <c r="E3765" t="n">
        <v>4</v>
      </c>
      <c r="F3765" t="n">
        <v>3</v>
      </c>
      <c r="G3765" t="n">
        <v>3</v>
      </c>
      <c r="J3765" t="inlineStr">
        <is>
          <t>Moda</t>
        </is>
      </c>
      <c r="K3765" t="n">
        <v>3</v>
      </c>
      <c r="L3765" t="n">
        <v>3.348</v>
      </c>
      <c r="M3765" t="n">
        <v>0</v>
      </c>
      <c r="N3765" t="inlineStr">
        <is>
          <t>test</t>
        </is>
      </c>
      <c r="O3765">
        <f>HYPERLINK("3\1\marker_120_384029.png", "Ver Imagen")</f>
        <v/>
      </c>
      <c r="P3765">
        <f>HYPERLINK("NE\A-495_1\A-495_1__166.png", "Ver Imagen")</f>
        <v/>
      </c>
    </row>
    <row r="3766">
      <c r="A3766" t="n">
        <v>3272</v>
      </c>
      <c r="B3766" t="inlineStr">
        <is>
          <t>A-495_1__164</t>
        </is>
      </c>
      <c r="C3766" t="n">
        <v>37.4791468558</v>
      </c>
      <c r="D3766" t="n">
        <v>-7.12800545995</v>
      </c>
      <c r="E3766" t="n">
        <v>3</v>
      </c>
      <c r="F3766" t="n">
        <v>3</v>
      </c>
      <c r="G3766" t="n">
        <v>4</v>
      </c>
      <c r="J3766" t="inlineStr">
        <is>
          <t>Moda</t>
        </is>
      </c>
      <c r="K3766" t="n">
        <v>3</v>
      </c>
      <c r="L3766" t="n">
        <v>3.236</v>
      </c>
      <c r="M3766" t="n">
        <v>0</v>
      </c>
      <c r="N3766" t="inlineStr">
        <is>
          <t>train</t>
        </is>
      </c>
      <c r="O3766">
        <f>HYPERLINK("3\1\marker_166_384046.png", "Ver Imagen")</f>
        <v/>
      </c>
      <c r="P3766">
        <f>HYPERLINK("NE\A-495_1\A-495_1__164.png", "Ver Imagen")</f>
        <v/>
      </c>
    </row>
    <row r="3767">
      <c r="A3767" t="n">
        <v>3273</v>
      </c>
      <c r="B3767" t="inlineStr">
        <is>
          <t>A-495_1__149</t>
        </is>
      </c>
      <c r="C3767" t="n">
        <v>37.4767542726</v>
      </c>
      <c r="D3767" t="n">
        <v>-7.12582845875</v>
      </c>
      <c r="E3767" t="n">
        <v>4</v>
      </c>
      <c r="F3767" t="n">
        <v>3</v>
      </c>
      <c r="G3767" t="n">
        <v>3</v>
      </c>
      <c r="J3767" t="inlineStr">
        <is>
          <t>Moda</t>
        </is>
      </c>
      <c r="K3767" t="n">
        <v>3</v>
      </c>
      <c r="L3767" t="n">
        <v>2.775</v>
      </c>
      <c r="M3767" t="n">
        <v>0</v>
      </c>
      <c r="N3767" t="inlineStr">
        <is>
          <t>train</t>
        </is>
      </c>
      <c r="O3767">
        <f>HYPERLINK("3\1\marker_638_384251.png", "Ver Imagen")</f>
        <v/>
      </c>
      <c r="P3767">
        <f>HYPERLINK("NE\A-495_1\A-495_1__149.png", "Ver Imagen")</f>
        <v/>
      </c>
    </row>
    <row r="3768">
      <c r="A3768" t="n">
        <v>3274</v>
      </c>
      <c r="B3768" t="inlineStr">
        <is>
          <t>A-495_1__148</t>
        </is>
      </c>
      <c r="C3768" t="n">
        <v>37.4765533577</v>
      </c>
      <c r="D3768" t="n">
        <v>-7.12577284559</v>
      </c>
      <c r="E3768" t="n">
        <v>4</v>
      </c>
      <c r="F3768" t="n">
        <v>3</v>
      </c>
      <c r="G3768" t="n">
        <v>3</v>
      </c>
      <c r="J3768" t="inlineStr">
        <is>
          <t>Moda</t>
        </is>
      </c>
      <c r="K3768" t="n">
        <v>3</v>
      </c>
      <c r="L3768" t="n">
        <v>3.257</v>
      </c>
      <c r="M3768" t="n">
        <v>0</v>
      </c>
      <c r="N3768" t="inlineStr">
        <is>
          <t>train</t>
        </is>
      </c>
      <c r="O3768">
        <f>HYPERLINK("3\1\marker_431_384261.png", "Ver Imagen")</f>
        <v/>
      </c>
      <c r="P3768">
        <f>HYPERLINK("NE\A-495_1\A-495_1__148.png", "Ver Imagen")</f>
        <v/>
      </c>
    </row>
    <row r="3769">
      <c r="A3769" t="n">
        <v>3275</v>
      </c>
      <c r="B3769" t="inlineStr">
        <is>
          <t>A-495_1__132</t>
        </is>
      </c>
      <c r="C3769" t="n">
        <v>37.4733647854</v>
      </c>
      <c r="D3769" t="n">
        <v>-7.12635472642</v>
      </c>
      <c r="E3769" t="n">
        <v>3</v>
      </c>
      <c r="F3769" t="n">
        <v>3</v>
      </c>
      <c r="G3769" t="n">
        <v>2</v>
      </c>
      <c r="J3769" t="inlineStr">
        <is>
          <t>Moda</t>
        </is>
      </c>
      <c r="K3769" t="n">
        <v>3</v>
      </c>
      <c r="L3769" t="n">
        <v>2.713</v>
      </c>
      <c r="M3769" t="n">
        <v>0</v>
      </c>
      <c r="N3769" t="inlineStr">
        <is>
          <t>train</t>
        </is>
      </c>
      <c r="O3769">
        <f>HYPERLINK("3\1\marker_507_384455.png", "Ver Imagen")</f>
        <v/>
      </c>
      <c r="P3769">
        <f>HYPERLINK("NE\A-495_1\A-495_1__132.png", "Ver Imagen")</f>
        <v/>
      </c>
    </row>
    <row r="3770">
      <c r="A3770" t="n">
        <v>3276</v>
      </c>
      <c r="B3770" t="inlineStr">
        <is>
          <t>A-495_1__118</t>
        </is>
      </c>
      <c r="C3770" t="n">
        <v>37.4707865434</v>
      </c>
      <c r="D3770" t="n">
        <v>-7.12523290409</v>
      </c>
      <c r="E3770" t="n">
        <v>3</v>
      </c>
      <c r="F3770" t="n">
        <v>3</v>
      </c>
      <c r="G3770" t="n">
        <v>2</v>
      </c>
      <c r="J3770" t="inlineStr">
        <is>
          <t>Moda</t>
        </is>
      </c>
      <c r="K3770" t="n">
        <v>3</v>
      </c>
      <c r="L3770" t="n">
        <v>3.108</v>
      </c>
      <c r="M3770" t="n">
        <v>0</v>
      </c>
      <c r="N3770" t="inlineStr">
        <is>
          <t>train</t>
        </is>
      </c>
      <c r="O3770">
        <f>HYPERLINK("3\1\marker_446_384597.png", "Ver Imagen")</f>
        <v/>
      </c>
      <c r="P3770">
        <f>HYPERLINK("NE\A-495_1\A-495_1__118.png", "Ver Imagen")</f>
        <v/>
      </c>
    </row>
    <row r="3771">
      <c r="A3771" t="n">
        <v>3277</v>
      </c>
      <c r="B3771" t="inlineStr">
        <is>
          <t>A-495_1__117</t>
        </is>
      </c>
      <c r="C3771" t="n">
        <v>37.4705959766</v>
      </c>
      <c r="D3771" t="n">
        <v>-7.12508339335</v>
      </c>
      <c r="E3771" t="n">
        <v>3</v>
      </c>
      <c r="F3771" t="n">
        <v>3</v>
      </c>
      <c r="G3771" t="n">
        <v>4</v>
      </c>
      <c r="J3771" t="inlineStr">
        <is>
          <t>Moda</t>
        </is>
      </c>
      <c r="K3771" t="n">
        <v>3</v>
      </c>
      <c r="L3771" t="n">
        <v>3.404</v>
      </c>
      <c r="M3771" t="n">
        <v>0</v>
      </c>
      <c r="N3771" t="inlineStr">
        <is>
          <t>train</t>
        </is>
      </c>
      <c r="O3771">
        <f>HYPERLINK("3\1\marker_286_384606.png", "Ver Imagen")</f>
        <v/>
      </c>
      <c r="P3771">
        <f>HYPERLINK("NE\A-495_1\A-495_1__117.png", "Ver Imagen")</f>
        <v/>
      </c>
    </row>
    <row r="3772">
      <c r="A3772" t="n">
        <v>3280</v>
      </c>
      <c r="B3772" t="inlineStr">
        <is>
          <t>A-495_1__73</t>
        </is>
      </c>
      <c r="C3772" t="n">
        <v>37.4623833918</v>
      </c>
      <c r="D3772" t="n">
        <v>-7.12427227879</v>
      </c>
      <c r="E3772" t="n">
        <v>2</v>
      </c>
      <c r="F3772" t="n">
        <v>3</v>
      </c>
      <c r="G3772" t="n">
        <v>3</v>
      </c>
      <c r="J3772" t="inlineStr">
        <is>
          <t>Moda</t>
        </is>
      </c>
      <c r="K3772" t="n">
        <v>3</v>
      </c>
      <c r="L3772" t="n">
        <v>3.088</v>
      </c>
      <c r="M3772" t="n">
        <v>0</v>
      </c>
      <c r="N3772" t="inlineStr">
        <is>
          <t>train</t>
        </is>
      </c>
      <c r="O3772">
        <f>HYPERLINK("3\1\marker_527_385298.png", "Ver Imagen")</f>
        <v/>
      </c>
      <c r="P3772">
        <f>HYPERLINK("NE\A-495_1\A-495_1__73.png", "Ver Imagen")</f>
        <v/>
      </c>
    </row>
    <row r="3773">
      <c r="A3773" t="n">
        <v>3282</v>
      </c>
      <c r="B3773" t="inlineStr">
        <is>
          <t>A-495_1__45</t>
        </is>
      </c>
      <c r="C3773" t="n">
        <v>37.4568912553</v>
      </c>
      <c r="D3773" t="n">
        <v>-7.12602695409</v>
      </c>
      <c r="E3773" t="n">
        <v>3</v>
      </c>
      <c r="F3773" t="n">
        <v>3</v>
      </c>
      <c r="G3773" t="n">
        <v>2</v>
      </c>
      <c r="J3773" t="inlineStr">
        <is>
          <t>Moda</t>
        </is>
      </c>
      <c r="K3773" t="n">
        <v>3</v>
      </c>
      <c r="L3773" t="n">
        <v>2.697</v>
      </c>
      <c r="M3773" t="n">
        <v>0</v>
      </c>
      <c r="N3773" t="inlineStr">
        <is>
          <t>train</t>
        </is>
      </c>
      <c r="O3773">
        <f>HYPERLINK("3\1\marker_830_385609.png", "Ver Imagen")</f>
        <v/>
      </c>
      <c r="P3773">
        <f>HYPERLINK("NE\A-495_1\A-495_1__45.png", "Ver Imagen")</f>
        <v/>
      </c>
    </row>
    <row r="3774">
      <c r="A3774" t="n">
        <v>3283</v>
      </c>
      <c r="B3774" t="inlineStr">
        <is>
          <t>A-495_1__38</t>
        </is>
      </c>
      <c r="C3774" t="n">
        <v>37.4555166971</v>
      </c>
      <c r="D3774" t="n">
        <v>-7.12653608336</v>
      </c>
      <c r="E3774" t="n">
        <v>3</v>
      </c>
      <c r="F3774" t="n">
        <v>3</v>
      </c>
      <c r="G3774" t="n">
        <v>2</v>
      </c>
      <c r="J3774" t="inlineStr">
        <is>
          <t>Moda</t>
        </is>
      </c>
      <c r="K3774" t="n">
        <v>3</v>
      </c>
      <c r="L3774" t="n">
        <v>2.607</v>
      </c>
      <c r="M3774" t="n">
        <v>0</v>
      </c>
      <c r="N3774" t="inlineStr">
        <is>
          <t>train</t>
        </is>
      </c>
      <c r="O3774">
        <f>HYPERLINK("3\1\marker_955_385672.png", "Ver Imagen")</f>
        <v/>
      </c>
      <c r="P3774">
        <f>HYPERLINK("NE\A-495_1\A-495_1__38.png", "Ver Imagen")</f>
        <v/>
      </c>
    </row>
    <row r="3775">
      <c r="A3775" t="n">
        <v>3284</v>
      </c>
      <c r="B3775" t="inlineStr">
        <is>
          <t>A-495_1__13</t>
        </is>
      </c>
      <c r="C3775" t="n">
        <v>37.4505725584</v>
      </c>
      <c r="D3775" t="n">
        <v>-7.12735672264</v>
      </c>
      <c r="E3775" t="n">
        <v>2</v>
      </c>
      <c r="F3775" t="n">
        <v>3</v>
      </c>
      <c r="G3775" t="n">
        <v>3</v>
      </c>
      <c r="J3775" t="inlineStr">
        <is>
          <t>Moda</t>
        </is>
      </c>
      <c r="K3775" t="n">
        <v>3</v>
      </c>
      <c r="L3775" t="n">
        <v>3.302</v>
      </c>
      <c r="M3775" t="n">
        <v>0</v>
      </c>
      <c r="N3775" t="inlineStr">
        <is>
          <t>train</t>
        </is>
      </c>
      <c r="O3775">
        <f>HYPERLINK("3\1\marker_200_386195.png", "Ver Imagen")</f>
        <v/>
      </c>
      <c r="P3775">
        <f>HYPERLINK("NE\A-495_1\A-495_1__13.png", "Ver Imagen")</f>
        <v/>
      </c>
    </row>
    <row r="3776">
      <c r="A3776" t="n">
        <v>3285</v>
      </c>
      <c r="B3776" t="inlineStr">
        <is>
          <t>A-495_1__12</t>
        </is>
      </c>
      <c r="C3776" t="n">
        <v>37.45037478</v>
      </c>
      <c r="D3776" t="n">
        <v>-7.12731855943</v>
      </c>
      <c r="E3776" t="n">
        <v>2</v>
      </c>
      <c r="F3776" t="n">
        <v>3</v>
      </c>
      <c r="G3776" t="n">
        <v>3</v>
      </c>
      <c r="J3776" t="inlineStr">
        <is>
          <t>Moda</t>
        </is>
      </c>
      <c r="K3776" t="n">
        <v>3</v>
      </c>
      <c r="L3776" t="n">
        <v>2.581</v>
      </c>
      <c r="M3776" t="n">
        <v>0</v>
      </c>
      <c r="N3776" t="inlineStr">
        <is>
          <t>val</t>
        </is>
      </c>
      <c r="O3776">
        <f>HYPERLINK("3\1\marker_811_386207.png", "Ver Imagen")</f>
        <v/>
      </c>
      <c r="P3776">
        <f>HYPERLINK("NE\A-495_1\A-495_1__12.png", "Ver Imagen")</f>
        <v/>
      </c>
    </row>
    <row r="3777">
      <c r="A3777" t="n">
        <v>3287</v>
      </c>
      <c r="B3777" t="inlineStr">
        <is>
          <t>A-495_1__9</t>
        </is>
      </c>
      <c r="C3777" t="n">
        <v>37.4497570488</v>
      </c>
      <c r="D3777" t="n">
        <v>-7.12717511093</v>
      </c>
      <c r="E3777" t="n">
        <v>2</v>
      </c>
      <c r="F3777" t="n">
        <v>3</v>
      </c>
      <c r="G3777" t="n">
        <v>3</v>
      </c>
      <c r="J3777" t="inlineStr">
        <is>
          <t>Moda</t>
        </is>
      </c>
      <c r="K3777" t="n">
        <v>3</v>
      </c>
      <c r="L3777" t="n">
        <v>2.781</v>
      </c>
      <c r="M3777" t="n">
        <v>0</v>
      </c>
      <c r="N3777" t="inlineStr">
        <is>
          <t>train</t>
        </is>
      </c>
      <c r="O3777">
        <f>HYPERLINK("3\1\marker_462_386236.png", "Ver Imagen")</f>
        <v/>
      </c>
      <c r="P3777">
        <f>HYPERLINK("NE\A-495_1\A-495_1__9.png", "Ver Imagen")</f>
        <v/>
      </c>
    </row>
    <row r="3778">
      <c r="A3778" t="n">
        <v>3289</v>
      </c>
      <c r="B3778" t="inlineStr">
        <is>
          <t>A-495_1__7</t>
        </is>
      </c>
      <c r="C3778" t="n">
        <v>37.4494015162</v>
      </c>
      <c r="D3778" t="n">
        <v>-7.1270668417</v>
      </c>
      <c r="E3778" t="n">
        <v>3</v>
      </c>
      <c r="F3778" t="n">
        <v>3</v>
      </c>
      <c r="G3778" t="n">
        <v>4</v>
      </c>
      <c r="J3778" t="inlineStr">
        <is>
          <t>Moda</t>
        </is>
      </c>
      <c r="K3778" t="n">
        <v>3</v>
      </c>
      <c r="L3778" t="n">
        <v>2.779</v>
      </c>
      <c r="M3778" t="n">
        <v>0</v>
      </c>
      <c r="N3778" t="inlineStr">
        <is>
          <t>train</t>
        </is>
      </c>
      <c r="O3778">
        <f>HYPERLINK("3\1\marker_457_386253.png", "Ver Imagen")</f>
        <v/>
      </c>
      <c r="P3778">
        <f>HYPERLINK("NE\A-495_1\A-495_1__7.png", "Ver Imagen")</f>
        <v/>
      </c>
    </row>
    <row r="3779">
      <c r="A3779" t="n">
        <v>3291</v>
      </c>
      <c r="B3779" t="inlineStr">
        <is>
          <t>A-495_1__4</t>
        </is>
      </c>
      <c r="C3779" t="n">
        <v>37.4488242107</v>
      </c>
      <c r="D3779" t="n">
        <v>-7.12686598263</v>
      </c>
      <c r="E3779" t="n">
        <v>3</v>
      </c>
      <c r="F3779" t="n">
        <v>3</v>
      </c>
      <c r="G3779" t="n">
        <v>4</v>
      </c>
      <c r="J3779" t="inlineStr">
        <is>
          <t>Moda</t>
        </is>
      </c>
      <c r="K3779" t="n">
        <v>3</v>
      </c>
      <c r="L3779" t="n">
        <v>2.549</v>
      </c>
      <c r="M3779" t="n">
        <v>0</v>
      </c>
      <c r="N3779" t="inlineStr">
        <is>
          <t>val</t>
        </is>
      </c>
      <c r="O3779">
        <f>HYPERLINK("3\1\marker_958_386285.png", "Ver Imagen")</f>
        <v/>
      </c>
      <c r="P3779">
        <f>HYPERLINK("NE\A-495_1\A-495_1__4.png", "Ver Imagen")</f>
        <v/>
      </c>
    </row>
    <row r="3780">
      <c r="A3780" t="n">
        <v>3294</v>
      </c>
      <c r="B3780" t="inlineStr">
        <is>
          <t>A-499__57</t>
        </is>
      </c>
      <c r="C3780" t="n">
        <v>37.4956308317</v>
      </c>
      <c r="D3780" t="n">
        <v>-7.2735034779</v>
      </c>
      <c r="E3780" t="n">
        <v>2</v>
      </c>
      <c r="F3780" t="n">
        <v>3</v>
      </c>
      <c r="G3780" t="n">
        <v>3</v>
      </c>
      <c r="J3780" t="inlineStr">
        <is>
          <t>Moda</t>
        </is>
      </c>
      <c r="K3780" t="n">
        <v>3</v>
      </c>
      <c r="L3780" t="n">
        <v>2.774</v>
      </c>
      <c r="M3780" t="n">
        <v>0</v>
      </c>
      <c r="N3780" t="inlineStr">
        <is>
          <t>train</t>
        </is>
      </c>
      <c r="O3780">
        <f>HYPERLINK("3\1\marker_291_534966.png", "Ver Imagen")</f>
        <v/>
      </c>
      <c r="P3780">
        <f>HYPERLINK("NO\A-499\A-499__57.png", "Ver Imagen")</f>
        <v/>
      </c>
    </row>
    <row r="3781">
      <c r="A3781" t="n">
        <v>3296</v>
      </c>
      <c r="B3781" t="inlineStr">
        <is>
          <t>A-497__831</t>
        </is>
      </c>
      <c r="C3781" t="n">
        <v>37.1985217034</v>
      </c>
      <c r="D3781" t="n">
        <v>-6.98168007796</v>
      </c>
      <c r="E3781" t="n">
        <v>3</v>
      </c>
      <c r="F3781" t="n">
        <v>3</v>
      </c>
      <c r="G3781" t="n">
        <v>4</v>
      </c>
      <c r="J3781" t="inlineStr">
        <is>
          <t>Moda</t>
        </is>
      </c>
      <c r="K3781" t="n">
        <v>3</v>
      </c>
      <c r="L3781" t="n">
        <v>3.223</v>
      </c>
      <c r="M3781" t="n">
        <v>0</v>
      </c>
      <c r="N3781" t="inlineStr">
        <is>
          <t>train</t>
        </is>
      </c>
      <c r="O3781">
        <f>HYPERLINK("3\1\marker_323_367639.png", "Ver Imagen")</f>
        <v/>
      </c>
      <c r="P3781">
        <f>HYPERLINK("SE\A-497\A-497__831.png", "Ver Imagen")</f>
        <v/>
      </c>
    </row>
    <row r="3782">
      <c r="A3782" t="n">
        <v>3297</v>
      </c>
      <c r="B3782" t="inlineStr">
        <is>
          <t>A-497__825</t>
        </is>
      </c>
      <c r="C3782" t="n">
        <v>37.1978336901</v>
      </c>
      <c r="D3782" t="n">
        <v>-6.98046650753</v>
      </c>
      <c r="E3782" t="n">
        <v>4</v>
      </c>
      <c r="F3782" t="n">
        <v>3</v>
      </c>
      <c r="G3782" t="n">
        <v>3</v>
      </c>
      <c r="J3782" t="inlineStr">
        <is>
          <t>Moda</t>
        </is>
      </c>
      <c r="K3782" t="n">
        <v>3</v>
      </c>
      <c r="L3782" t="n">
        <v>3.26</v>
      </c>
      <c r="M3782" t="n">
        <v>0</v>
      </c>
      <c r="N3782" t="inlineStr">
        <is>
          <t>train</t>
        </is>
      </c>
      <c r="O3782">
        <f>HYPERLINK("3\1\marker_823_367703.png", "Ver Imagen")</f>
        <v/>
      </c>
      <c r="P3782">
        <f>HYPERLINK("SE\A-497\A-497__825.png", "Ver Imagen")</f>
        <v/>
      </c>
    </row>
    <row r="3783">
      <c r="A3783" t="n">
        <v>3298</v>
      </c>
      <c r="B3783" t="inlineStr">
        <is>
          <t>A-497__824</t>
        </is>
      </c>
      <c r="C3783" t="n">
        <v>37.1976715908</v>
      </c>
      <c r="D3783" t="n">
        <v>-6.98024162323</v>
      </c>
      <c r="E3783" t="n">
        <v>4</v>
      </c>
      <c r="F3783" t="n">
        <v>3</v>
      </c>
      <c r="G3783" t="n">
        <v>3</v>
      </c>
      <c r="J3783" t="inlineStr">
        <is>
          <t>Moda</t>
        </is>
      </c>
      <c r="K3783" t="n">
        <v>3</v>
      </c>
      <c r="L3783" t="n">
        <v>3.227</v>
      </c>
      <c r="M3783" t="n">
        <v>0</v>
      </c>
      <c r="N3783" t="inlineStr">
        <is>
          <t>val</t>
        </is>
      </c>
      <c r="O3783">
        <f>HYPERLINK("3\1\marker_202_367713.png", "Ver Imagen")</f>
        <v/>
      </c>
      <c r="P3783">
        <f>HYPERLINK("SE\A-497\A-497__824.png", "Ver Imagen")</f>
        <v/>
      </c>
    </row>
    <row r="3784">
      <c r="A3784" t="n">
        <v>3299</v>
      </c>
      <c r="B3784" t="inlineStr">
        <is>
          <t>A-497__816</t>
        </is>
      </c>
      <c r="C3784" t="n">
        <v>37.1964649304</v>
      </c>
      <c r="D3784" t="n">
        <v>-6.97897032489</v>
      </c>
      <c r="E3784" t="n">
        <v>4</v>
      </c>
      <c r="F3784" t="n">
        <v>3</v>
      </c>
      <c r="G3784" t="n">
        <v>3</v>
      </c>
      <c r="J3784" t="inlineStr">
        <is>
          <t>Moda</t>
        </is>
      </c>
      <c r="K3784" t="n">
        <v>3</v>
      </c>
      <c r="L3784" t="n">
        <v>3.16</v>
      </c>
      <c r="M3784" t="n">
        <v>0</v>
      </c>
      <c r="N3784" t="inlineStr">
        <is>
          <t>train</t>
        </is>
      </c>
      <c r="O3784">
        <f>HYPERLINK("3\1\marker_391_367792.png", "Ver Imagen")</f>
        <v/>
      </c>
      <c r="P3784">
        <f>HYPERLINK("SE\A-497\A-497__816.png", "Ver Imagen")</f>
        <v/>
      </c>
    </row>
    <row r="3785">
      <c r="A3785" t="n">
        <v>3300</v>
      </c>
      <c r="B3785" t="inlineStr">
        <is>
          <t>A-497__814</t>
        </is>
      </c>
      <c r="C3785" t="n">
        <v>37.1960957593</v>
      </c>
      <c r="D3785" t="n">
        <v>-6.97869192314</v>
      </c>
      <c r="E3785" t="n">
        <v>2</v>
      </c>
      <c r="F3785" t="n">
        <v>3</v>
      </c>
      <c r="G3785" t="n">
        <v>3</v>
      </c>
      <c r="J3785" t="inlineStr">
        <is>
          <t>Moda</t>
        </is>
      </c>
      <c r="K3785" t="n">
        <v>3</v>
      </c>
      <c r="L3785" t="n">
        <v>2.981</v>
      </c>
      <c r="M3785" t="n">
        <v>0</v>
      </c>
      <c r="N3785" t="inlineStr">
        <is>
          <t>train</t>
        </is>
      </c>
      <c r="O3785">
        <f>HYPERLINK("3\1\marker_136_367810.png", "Ver Imagen")</f>
        <v/>
      </c>
      <c r="P3785">
        <f>HYPERLINK("SE\A-497\A-497__814.png", "Ver Imagen")</f>
        <v/>
      </c>
    </row>
    <row r="3786">
      <c r="A3786" t="n">
        <v>3301</v>
      </c>
      <c r="B3786" t="inlineStr">
        <is>
          <t>A-497__812</t>
        </is>
      </c>
      <c r="C3786" t="n">
        <v>37.1957499129</v>
      </c>
      <c r="D3786" t="n">
        <v>-6.97846403414</v>
      </c>
      <c r="E3786" t="n">
        <v>4</v>
      </c>
      <c r="F3786" t="n">
        <v>3</v>
      </c>
      <c r="G3786" t="n">
        <v>3</v>
      </c>
      <c r="J3786" t="inlineStr">
        <is>
          <t>Moda</t>
        </is>
      </c>
      <c r="K3786" t="n">
        <v>3</v>
      </c>
      <c r="L3786" t="n">
        <v>2.849</v>
      </c>
      <c r="M3786" t="n">
        <v>0</v>
      </c>
      <c r="N3786" t="inlineStr">
        <is>
          <t>train</t>
        </is>
      </c>
      <c r="O3786">
        <f>HYPERLINK("3\1\marker_693_367828.png", "Ver Imagen")</f>
        <v/>
      </c>
      <c r="P3786">
        <f>HYPERLINK("SE\A-497\A-497__812.png", "Ver Imagen")</f>
        <v/>
      </c>
    </row>
    <row r="3787">
      <c r="A3787" t="n">
        <v>3302</v>
      </c>
      <c r="B3787" t="inlineStr">
        <is>
          <t>A-497__810</t>
        </is>
      </c>
      <c r="C3787" t="n">
        <v>37.1953652283</v>
      </c>
      <c r="D3787" t="n">
        <v>-6.97824438361</v>
      </c>
      <c r="E3787" t="n">
        <v>2</v>
      </c>
      <c r="F3787" t="n">
        <v>3</v>
      </c>
      <c r="G3787" t="n">
        <v>3</v>
      </c>
      <c r="J3787" t="inlineStr">
        <is>
          <t>Moda</t>
        </is>
      </c>
      <c r="K3787" t="n">
        <v>3</v>
      </c>
      <c r="L3787" t="n">
        <v>3.422</v>
      </c>
      <c r="M3787" t="n">
        <v>0</v>
      </c>
      <c r="N3787" t="inlineStr">
        <is>
          <t>train</t>
        </is>
      </c>
      <c r="O3787">
        <f>HYPERLINK("3\1\marker_744_367851.png", "Ver Imagen")</f>
        <v/>
      </c>
      <c r="P3787">
        <f>HYPERLINK("SE\A-497\A-497__810.png", "Ver Imagen")</f>
        <v/>
      </c>
    </row>
    <row r="3788">
      <c r="A3788" t="n">
        <v>3303</v>
      </c>
      <c r="B3788" t="inlineStr">
        <is>
          <t>A-497__809</t>
        </is>
      </c>
      <c r="C3788" t="n">
        <v>37.1951603643</v>
      </c>
      <c r="D3788" t="n">
        <v>-6.97814389998</v>
      </c>
      <c r="E3788" t="n">
        <v>3</v>
      </c>
      <c r="F3788" t="n">
        <v>3</v>
      </c>
      <c r="G3788" t="n">
        <v>4</v>
      </c>
      <c r="J3788" t="inlineStr">
        <is>
          <t>Moda</t>
        </is>
      </c>
      <c r="K3788" t="n">
        <v>3</v>
      </c>
      <c r="L3788" t="n">
        <v>3.383</v>
      </c>
      <c r="M3788" t="n">
        <v>0</v>
      </c>
      <c r="N3788" t="inlineStr">
        <is>
          <t>train</t>
        </is>
      </c>
      <c r="O3788">
        <f>HYPERLINK("3\1\marker_264_367859.png", "Ver Imagen")</f>
        <v/>
      </c>
      <c r="P3788">
        <f>HYPERLINK("SE\A-497\A-497__809.png", "Ver Imagen")</f>
        <v/>
      </c>
    </row>
    <row r="3789">
      <c r="A3789" t="n">
        <v>3304</v>
      </c>
      <c r="B3789" t="inlineStr">
        <is>
          <t>A-497__807</t>
        </is>
      </c>
      <c r="C3789" t="n">
        <v>37.1947935062</v>
      </c>
      <c r="D3789" t="n">
        <v>-6.97799041847</v>
      </c>
      <c r="E3789" t="n">
        <v>3</v>
      </c>
      <c r="F3789" t="n">
        <v>3</v>
      </c>
      <c r="G3789" t="n">
        <v>4</v>
      </c>
      <c r="J3789" t="inlineStr">
        <is>
          <t>Moda</t>
        </is>
      </c>
      <c r="K3789" t="n">
        <v>3</v>
      </c>
      <c r="L3789" t="n">
        <v>3.374</v>
      </c>
      <c r="M3789" t="n">
        <v>0</v>
      </c>
      <c r="N3789" t="inlineStr">
        <is>
          <t>val</t>
        </is>
      </c>
      <c r="O3789">
        <f>HYPERLINK("3\1\marker_219_367879.png", "Ver Imagen")</f>
        <v/>
      </c>
      <c r="P3789">
        <f>HYPERLINK("SE\A-497\A-497__807.png", "Ver Imagen")</f>
        <v/>
      </c>
    </row>
    <row r="3790">
      <c r="A3790" t="n">
        <v>3305</v>
      </c>
      <c r="B3790" t="inlineStr">
        <is>
          <t>A-497__805</t>
        </is>
      </c>
      <c r="C3790" t="n">
        <v>37.1944363249</v>
      </c>
      <c r="D3790" t="n">
        <v>-6.9778699802</v>
      </c>
      <c r="E3790" t="n">
        <v>3</v>
      </c>
      <c r="F3790" t="n">
        <v>3</v>
      </c>
      <c r="G3790" t="n">
        <v>4</v>
      </c>
      <c r="J3790" t="inlineStr">
        <is>
          <t>Moda</t>
        </is>
      </c>
      <c r="K3790" t="n">
        <v>3</v>
      </c>
      <c r="L3790" t="n">
        <v>3.165</v>
      </c>
      <c r="M3790" t="n">
        <v>0</v>
      </c>
      <c r="N3790" t="inlineStr">
        <is>
          <t>val</t>
        </is>
      </c>
      <c r="O3790">
        <f>HYPERLINK("3\1\marker_871_367900.png", "Ver Imagen")</f>
        <v/>
      </c>
      <c r="P3790">
        <f>HYPERLINK("SE\A-497\A-497__805.png", "Ver Imagen")</f>
        <v/>
      </c>
    </row>
    <row r="3791">
      <c r="A3791" t="n">
        <v>3306</v>
      </c>
      <c r="B3791" t="inlineStr">
        <is>
          <t>A-497__804</t>
        </is>
      </c>
      <c r="C3791" t="n">
        <v>37.1941786129</v>
      </c>
      <c r="D3791" t="n">
        <v>-6.97779733172</v>
      </c>
      <c r="E3791" t="n">
        <v>3</v>
      </c>
      <c r="F3791" t="n">
        <v>3</v>
      </c>
      <c r="G3791" t="n">
        <v>4</v>
      </c>
      <c r="J3791" t="inlineStr">
        <is>
          <t>Moda</t>
        </is>
      </c>
      <c r="K3791" t="n">
        <v>3</v>
      </c>
      <c r="L3791" t="n">
        <v>3.338</v>
      </c>
      <c r="M3791" t="n">
        <v>0</v>
      </c>
      <c r="N3791" t="inlineStr">
        <is>
          <t>train</t>
        </is>
      </c>
      <c r="O3791">
        <f>HYPERLINK("3\1\marker_837_367909.png", "Ver Imagen")</f>
        <v/>
      </c>
      <c r="P3791">
        <f>HYPERLINK("SE\A-497\A-497__804.png", "Ver Imagen")</f>
        <v/>
      </c>
    </row>
    <row r="3792">
      <c r="A3792" t="n">
        <v>3307</v>
      </c>
      <c r="B3792" t="inlineStr">
        <is>
          <t>A-497__803</t>
        </is>
      </c>
      <c r="C3792" t="n">
        <v>37.1940116983</v>
      </c>
      <c r="D3792" t="n">
        <v>-6.97775715444</v>
      </c>
      <c r="E3792" t="n">
        <v>3</v>
      </c>
      <c r="F3792" t="n">
        <v>3</v>
      </c>
      <c r="G3792" t="n">
        <v>4</v>
      </c>
      <c r="J3792" t="inlineStr">
        <is>
          <t>Moda</t>
        </is>
      </c>
      <c r="K3792" t="n">
        <v>3</v>
      </c>
      <c r="L3792" t="n">
        <v>3.169</v>
      </c>
      <c r="M3792" t="n">
        <v>0</v>
      </c>
      <c r="N3792" t="inlineStr">
        <is>
          <t>train</t>
        </is>
      </c>
      <c r="O3792">
        <f>HYPERLINK("3\1\marker_956_367918.png", "Ver Imagen")</f>
        <v/>
      </c>
      <c r="P3792">
        <f>HYPERLINK("SE\A-497\A-497__803.png", "Ver Imagen")</f>
        <v/>
      </c>
    </row>
    <row r="3793">
      <c r="A3793" t="n">
        <v>3308</v>
      </c>
      <c r="B3793" t="inlineStr">
        <is>
          <t>A-497__802</t>
        </is>
      </c>
      <c r="C3793" t="n">
        <v>37.1938144846</v>
      </c>
      <c r="D3793" t="n">
        <v>-6.97771708808</v>
      </c>
      <c r="E3793" t="n">
        <v>3</v>
      </c>
      <c r="F3793" t="n">
        <v>3</v>
      </c>
      <c r="G3793" t="n">
        <v>4</v>
      </c>
      <c r="J3793" t="inlineStr">
        <is>
          <t>Moda</t>
        </is>
      </c>
      <c r="K3793" t="n">
        <v>3</v>
      </c>
      <c r="L3793" t="n">
        <v>3.29</v>
      </c>
      <c r="M3793" t="n">
        <v>0</v>
      </c>
      <c r="N3793" t="inlineStr">
        <is>
          <t>train</t>
        </is>
      </c>
      <c r="O3793">
        <f>HYPERLINK("3\1\marker_265_367929.png", "Ver Imagen")</f>
        <v/>
      </c>
      <c r="P3793">
        <f>HYPERLINK("SE\A-497\A-497__802.png", "Ver Imagen")</f>
        <v/>
      </c>
    </row>
    <row r="3794">
      <c r="A3794" t="n">
        <v>3309</v>
      </c>
      <c r="B3794" t="inlineStr">
        <is>
          <t>A-497__801</t>
        </is>
      </c>
      <c r="C3794" t="n">
        <v>37.1936275369</v>
      </c>
      <c r="D3794" t="n">
        <v>-6.97768765535</v>
      </c>
      <c r="E3794" t="n">
        <v>3</v>
      </c>
      <c r="F3794" t="n">
        <v>3</v>
      </c>
      <c r="G3794" t="n">
        <v>4</v>
      </c>
      <c r="J3794" t="inlineStr">
        <is>
          <t>Moda</t>
        </is>
      </c>
      <c r="K3794" t="n">
        <v>3</v>
      </c>
      <c r="L3794" t="n">
        <v>3.09</v>
      </c>
      <c r="M3794" t="n">
        <v>0</v>
      </c>
      <c r="N3794" t="inlineStr">
        <is>
          <t>train</t>
        </is>
      </c>
      <c r="O3794">
        <f>HYPERLINK("3\1\marker_513_367938.png", "Ver Imagen")</f>
        <v/>
      </c>
      <c r="P3794">
        <f>HYPERLINK("SE\A-497\A-497__801.png", "Ver Imagen")</f>
        <v/>
      </c>
    </row>
    <row r="3795">
      <c r="A3795" t="n">
        <v>3310</v>
      </c>
      <c r="B3795" t="inlineStr">
        <is>
          <t>A-497__798</t>
        </is>
      </c>
      <c r="C3795" t="n">
        <v>37.1930516025</v>
      </c>
      <c r="D3795" t="n">
        <v>-6.97764269172</v>
      </c>
      <c r="E3795" t="n">
        <v>3</v>
      </c>
      <c r="F3795" t="n">
        <v>3</v>
      </c>
      <c r="G3795" t="n">
        <v>4</v>
      </c>
      <c r="J3795" t="inlineStr">
        <is>
          <t>Moda</t>
        </is>
      </c>
      <c r="K3795" t="n">
        <v>3</v>
      </c>
      <c r="L3795" t="n">
        <v>3.197</v>
      </c>
      <c r="M3795" t="n">
        <v>0</v>
      </c>
      <c r="N3795" t="inlineStr">
        <is>
          <t>train</t>
        </is>
      </c>
      <c r="O3795">
        <f>HYPERLINK("3\1\marker_830_367971.png", "Ver Imagen")</f>
        <v/>
      </c>
      <c r="P3795">
        <f>HYPERLINK("SE\A-497\A-497__798.png", "Ver Imagen")</f>
        <v/>
      </c>
    </row>
    <row r="3796">
      <c r="A3796" t="n">
        <v>3311</v>
      </c>
      <c r="B3796" t="inlineStr">
        <is>
          <t>A-497__797</t>
        </is>
      </c>
      <c r="C3796" t="n">
        <v>37.1928366385</v>
      </c>
      <c r="D3796" t="n">
        <v>-6.97764091577</v>
      </c>
      <c r="E3796" t="n">
        <v>2</v>
      </c>
      <c r="F3796" t="n">
        <v>3</v>
      </c>
      <c r="G3796" t="n">
        <v>3</v>
      </c>
      <c r="J3796" t="inlineStr">
        <is>
          <t>Moda</t>
        </is>
      </c>
      <c r="K3796" t="n">
        <v>3</v>
      </c>
      <c r="L3796" t="n">
        <v>3.069</v>
      </c>
      <c r="M3796" t="n">
        <v>0</v>
      </c>
      <c r="N3796" t="inlineStr">
        <is>
          <t>train</t>
        </is>
      </c>
      <c r="O3796">
        <f>HYPERLINK("3\1\marker_166_367983.png", "Ver Imagen")</f>
        <v/>
      </c>
      <c r="P3796">
        <f>HYPERLINK("SE\A-497\A-497__797.png", "Ver Imagen")</f>
        <v/>
      </c>
    </row>
    <row r="3797">
      <c r="A3797" t="n">
        <v>3312</v>
      </c>
      <c r="B3797" t="inlineStr">
        <is>
          <t>A-497__796</t>
        </is>
      </c>
      <c r="C3797" t="n">
        <v>37.1926232475</v>
      </c>
      <c r="D3797" t="n">
        <v>-6.97764606993</v>
      </c>
      <c r="E3797" t="n">
        <v>3</v>
      </c>
      <c r="F3797" t="n">
        <v>3</v>
      </c>
      <c r="G3797" t="n">
        <v>4</v>
      </c>
      <c r="J3797" t="inlineStr">
        <is>
          <t>Moda</t>
        </is>
      </c>
      <c r="K3797" t="n">
        <v>3</v>
      </c>
      <c r="L3797" t="n">
        <v>3.303</v>
      </c>
      <c r="M3797" t="n">
        <v>0</v>
      </c>
      <c r="N3797" t="inlineStr">
        <is>
          <t>train</t>
        </is>
      </c>
      <c r="O3797">
        <f>HYPERLINK("3\1\marker_119_367995.png", "Ver Imagen")</f>
        <v/>
      </c>
      <c r="P3797">
        <f>HYPERLINK("SE\A-497\A-497__796.png", "Ver Imagen")</f>
        <v/>
      </c>
    </row>
    <row r="3798">
      <c r="A3798" t="n">
        <v>3313</v>
      </c>
      <c r="B3798" t="inlineStr">
        <is>
          <t>A-497__791</t>
        </is>
      </c>
      <c r="C3798" t="n">
        <v>37.1915880441</v>
      </c>
      <c r="D3798" t="n">
        <v>-6.97776205671</v>
      </c>
      <c r="E3798" t="n">
        <v>3</v>
      </c>
      <c r="F3798" t="n">
        <v>3</v>
      </c>
      <c r="G3798" t="n">
        <v>4</v>
      </c>
      <c r="J3798" t="inlineStr">
        <is>
          <t>Moda</t>
        </is>
      </c>
      <c r="K3798" t="n">
        <v>3</v>
      </c>
      <c r="L3798" t="n">
        <v>2.978</v>
      </c>
      <c r="M3798" t="n">
        <v>0</v>
      </c>
      <c r="N3798" t="inlineStr">
        <is>
          <t>train</t>
        </is>
      </c>
      <c r="O3798">
        <f>HYPERLINK("3\1\marker_888_368052.png", "Ver Imagen")</f>
        <v/>
      </c>
      <c r="P3798">
        <f>HYPERLINK("SE\A-497\A-497__791.png", "Ver Imagen")</f>
        <v/>
      </c>
    </row>
    <row r="3799">
      <c r="A3799" t="n">
        <v>3314</v>
      </c>
      <c r="B3799" t="inlineStr">
        <is>
          <t>A-497__790</t>
        </is>
      </c>
      <c r="C3799" t="n">
        <v>37.1914015111</v>
      </c>
      <c r="D3799" t="n">
        <v>-6.9777966568</v>
      </c>
      <c r="E3799" t="n">
        <v>3</v>
      </c>
      <c r="F3799" t="n">
        <v>3</v>
      </c>
      <c r="G3799" t="n">
        <v>4</v>
      </c>
      <c r="J3799" t="inlineStr">
        <is>
          <t>Moda</t>
        </is>
      </c>
      <c r="K3799" t="n">
        <v>3</v>
      </c>
      <c r="L3799" t="n">
        <v>2.783</v>
      </c>
      <c r="M3799" t="n">
        <v>0</v>
      </c>
      <c r="N3799" t="inlineStr">
        <is>
          <t>train</t>
        </is>
      </c>
      <c r="O3799">
        <f>HYPERLINK("3\1\marker_907_368062.png", "Ver Imagen")</f>
        <v/>
      </c>
      <c r="P3799">
        <f>HYPERLINK("SE\A-497\A-497__790.png", "Ver Imagen")</f>
        <v/>
      </c>
    </row>
    <row r="3800">
      <c r="A3800" t="n">
        <v>3315</v>
      </c>
      <c r="B3800" t="inlineStr">
        <is>
          <t>A-497__787</t>
        </is>
      </c>
      <c r="C3800" t="n">
        <v>37.1908268649</v>
      </c>
      <c r="D3800" t="n">
        <v>-6.97792204452</v>
      </c>
      <c r="E3800" t="n">
        <v>3</v>
      </c>
      <c r="F3800" t="n">
        <v>3</v>
      </c>
      <c r="G3800" t="n">
        <v>4</v>
      </c>
      <c r="J3800" t="inlineStr">
        <is>
          <t>Moda</t>
        </is>
      </c>
      <c r="K3800" t="n">
        <v>3</v>
      </c>
      <c r="L3800" t="n">
        <v>2.725</v>
      </c>
      <c r="M3800" t="n">
        <v>0</v>
      </c>
      <c r="N3800" t="inlineStr">
        <is>
          <t>train</t>
        </is>
      </c>
      <c r="O3800">
        <f>HYPERLINK("3\1\marker_564_368092.png", "Ver Imagen")</f>
        <v/>
      </c>
      <c r="P3800">
        <f>HYPERLINK("SE\A-497\A-497__787.png", "Ver Imagen")</f>
        <v/>
      </c>
    </row>
    <row r="3801">
      <c r="A3801" t="n">
        <v>3316</v>
      </c>
      <c r="B3801" t="inlineStr">
        <is>
          <t>A-497__786</t>
        </is>
      </c>
      <c r="C3801" t="n">
        <v>37.1906397211</v>
      </c>
      <c r="D3801" t="n">
        <v>-6.97796739633</v>
      </c>
      <c r="E3801" t="n">
        <v>3</v>
      </c>
      <c r="F3801" t="n">
        <v>3</v>
      </c>
      <c r="G3801" t="n">
        <v>4</v>
      </c>
      <c r="J3801" t="inlineStr">
        <is>
          <t>Moda</t>
        </is>
      </c>
      <c r="K3801" t="n">
        <v>3</v>
      </c>
      <c r="L3801" t="n">
        <v>3.063</v>
      </c>
      <c r="M3801" t="n">
        <v>0</v>
      </c>
      <c r="N3801" t="inlineStr">
        <is>
          <t>train</t>
        </is>
      </c>
      <c r="O3801">
        <f>HYPERLINK("3\1\marker_762_368102.png", "Ver Imagen")</f>
        <v/>
      </c>
      <c r="P3801">
        <f>HYPERLINK("SE\A-497\A-497__786.png", "Ver Imagen")</f>
        <v/>
      </c>
    </row>
    <row r="3802">
      <c r="A3802" t="n">
        <v>3317</v>
      </c>
      <c r="B3802" t="inlineStr">
        <is>
          <t>A-497__785</t>
        </is>
      </c>
      <c r="C3802" t="n">
        <v>37.1904423957</v>
      </c>
      <c r="D3802" t="n">
        <v>-6.97801743829</v>
      </c>
      <c r="E3802" t="n">
        <v>3</v>
      </c>
      <c r="F3802" t="n">
        <v>3</v>
      </c>
      <c r="G3802" t="n">
        <v>4</v>
      </c>
      <c r="J3802" t="inlineStr">
        <is>
          <t>Moda</t>
        </is>
      </c>
      <c r="K3802" t="n">
        <v>3</v>
      </c>
      <c r="L3802" t="n">
        <v>2.633</v>
      </c>
      <c r="M3802" t="n">
        <v>0</v>
      </c>
      <c r="N3802" t="inlineStr">
        <is>
          <t>train</t>
        </is>
      </c>
      <c r="O3802">
        <f>HYPERLINK("3\1\marker_374_368112.png", "Ver Imagen")</f>
        <v/>
      </c>
      <c r="P3802">
        <f>HYPERLINK("SE\A-497\A-497__785.png", "Ver Imagen")</f>
        <v/>
      </c>
    </row>
    <row r="3803">
      <c r="A3803" t="n">
        <v>3318</v>
      </c>
      <c r="B3803" t="inlineStr">
        <is>
          <t>A-497__784</t>
        </is>
      </c>
      <c r="C3803" t="n">
        <v>37.1902339759</v>
      </c>
      <c r="D3803" t="n">
        <v>-6.97807207244</v>
      </c>
      <c r="E3803" t="n">
        <v>3</v>
      </c>
      <c r="F3803" t="n">
        <v>3</v>
      </c>
      <c r="G3803" t="n">
        <v>4</v>
      </c>
      <c r="J3803" t="inlineStr">
        <is>
          <t>Moda</t>
        </is>
      </c>
      <c r="K3803" t="n">
        <v>3</v>
      </c>
      <c r="L3803" t="n">
        <v>3.365</v>
      </c>
      <c r="M3803" t="n">
        <v>0</v>
      </c>
      <c r="N3803" t="inlineStr">
        <is>
          <t>train</t>
        </is>
      </c>
      <c r="O3803">
        <f>HYPERLINK("3\1\marker_349_368122.png", "Ver Imagen")</f>
        <v/>
      </c>
      <c r="P3803">
        <f>HYPERLINK("SE\A-497\A-497__784.png", "Ver Imagen")</f>
        <v/>
      </c>
    </row>
    <row r="3804">
      <c r="A3804" t="n">
        <v>3319</v>
      </c>
      <c r="B3804" t="inlineStr">
        <is>
          <t>A-497__781</t>
        </is>
      </c>
      <c r="C3804" t="n">
        <v>37.189615514</v>
      </c>
      <c r="D3804" t="n">
        <v>-6.97824626041</v>
      </c>
      <c r="E3804" t="n">
        <v>3</v>
      </c>
      <c r="F3804" t="n">
        <v>3</v>
      </c>
      <c r="G3804" t="n">
        <v>4</v>
      </c>
      <c r="J3804" t="inlineStr">
        <is>
          <t>Moda</t>
        </is>
      </c>
      <c r="K3804" t="n">
        <v>3</v>
      </c>
      <c r="L3804" t="n">
        <v>3.439</v>
      </c>
      <c r="M3804" t="n">
        <v>0</v>
      </c>
      <c r="N3804" t="inlineStr">
        <is>
          <t>train</t>
        </is>
      </c>
      <c r="O3804">
        <f>HYPERLINK("3\1\marker_531_368152.png", "Ver Imagen")</f>
        <v/>
      </c>
      <c r="P3804">
        <f>HYPERLINK("SE\A-497\A-497__781.png", "Ver Imagen")</f>
        <v/>
      </c>
    </row>
    <row r="3805">
      <c r="A3805" t="n">
        <v>3320</v>
      </c>
      <c r="B3805" t="inlineStr">
        <is>
          <t>A-497__779</t>
        </is>
      </c>
      <c r="C3805" t="n">
        <v>37.1892359894</v>
      </c>
      <c r="D3805" t="n">
        <v>-6.97835679246</v>
      </c>
      <c r="E3805" t="n">
        <v>2</v>
      </c>
      <c r="F3805" t="n">
        <v>3</v>
      </c>
      <c r="G3805" t="n">
        <v>3</v>
      </c>
      <c r="J3805" t="inlineStr">
        <is>
          <t>Moda</t>
        </is>
      </c>
      <c r="K3805" t="n">
        <v>3</v>
      </c>
      <c r="L3805" t="n">
        <v>2.689</v>
      </c>
      <c r="M3805" t="n">
        <v>0</v>
      </c>
      <c r="N3805" t="inlineStr">
        <is>
          <t>train</t>
        </is>
      </c>
      <c r="O3805">
        <f>HYPERLINK("3\1\marker_873_368173.png", "Ver Imagen")</f>
        <v/>
      </c>
      <c r="P3805">
        <f>HYPERLINK("SE\A-497\A-497__779.png", "Ver Imagen")</f>
        <v/>
      </c>
    </row>
    <row r="3806">
      <c r="A3806" t="n">
        <v>3321</v>
      </c>
      <c r="B3806" t="inlineStr">
        <is>
          <t>A-497__763</t>
        </is>
      </c>
      <c r="C3806" t="n">
        <v>37.1864657128</v>
      </c>
      <c r="D3806" t="n">
        <v>-6.98016509798</v>
      </c>
      <c r="E3806" t="n">
        <v>3</v>
      </c>
      <c r="F3806" t="n">
        <v>3</v>
      </c>
      <c r="G3806" t="n">
        <v>4</v>
      </c>
      <c r="J3806" t="inlineStr">
        <is>
          <t>Moda</t>
        </is>
      </c>
      <c r="K3806" t="n">
        <v>3</v>
      </c>
      <c r="L3806" t="n">
        <v>3.302</v>
      </c>
      <c r="M3806" t="n">
        <v>0</v>
      </c>
      <c r="N3806" t="inlineStr">
        <is>
          <t>val</t>
        </is>
      </c>
      <c r="O3806">
        <f>HYPERLINK("3\1\marker_645_368529.png", "Ver Imagen")</f>
        <v/>
      </c>
      <c r="P3806">
        <f>HYPERLINK("SE\A-497\A-497__763.png", "Ver Imagen")</f>
        <v/>
      </c>
    </row>
    <row r="3807">
      <c r="A3807" t="n">
        <v>3322</v>
      </c>
      <c r="B3807" t="inlineStr">
        <is>
          <t>A-497__762</t>
        </is>
      </c>
      <c r="C3807" t="n">
        <v>37.1863575543</v>
      </c>
      <c r="D3807" t="n">
        <v>-6.98040079943</v>
      </c>
      <c r="E3807" t="n">
        <v>3</v>
      </c>
      <c r="F3807" t="n">
        <v>3</v>
      </c>
      <c r="G3807" t="n">
        <v>4</v>
      </c>
      <c r="J3807" t="inlineStr">
        <is>
          <t>Moda</t>
        </is>
      </c>
      <c r="K3807" t="n">
        <v>3</v>
      </c>
      <c r="L3807" t="n">
        <v>2.84</v>
      </c>
      <c r="M3807" t="n">
        <v>0</v>
      </c>
      <c r="N3807" t="inlineStr">
        <is>
          <t>train</t>
        </is>
      </c>
      <c r="O3807">
        <f>HYPERLINK("3\1\marker_677_368540.png", "Ver Imagen")</f>
        <v/>
      </c>
      <c r="P3807">
        <f>HYPERLINK("SE\A-497\A-497__762.png", "Ver Imagen")</f>
        <v/>
      </c>
    </row>
    <row r="3808">
      <c r="A3808" t="n">
        <v>3323</v>
      </c>
      <c r="B3808" t="inlineStr">
        <is>
          <t>A-497_2C__22</t>
        </is>
      </c>
      <c r="C3808" t="n">
        <v>37.267607136</v>
      </c>
      <c r="D3808" t="n">
        <v>-6.96252513979</v>
      </c>
      <c r="E3808" t="n">
        <v>3</v>
      </c>
      <c r="F3808" t="n">
        <v>3</v>
      </c>
      <c r="G3808" t="n">
        <v>4</v>
      </c>
      <c r="J3808" t="inlineStr">
        <is>
          <t>Moda</t>
        </is>
      </c>
      <c r="K3808" t="n">
        <v>3</v>
      </c>
      <c r="L3808" t="n">
        <v>3.384</v>
      </c>
      <c r="M3808" t="n">
        <v>0</v>
      </c>
      <c r="N3808" t="inlineStr">
        <is>
          <t>val</t>
        </is>
      </c>
      <c r="O3808">
        <f>HYPERLINK("3\1\marker_879_654407.png", "Ver Imagen")</f>
        <v/>
      </c>
      <c r="P3808">
        <f>HYPERLINK("SE\A-497_2C\A-497_2C__22.png", "Ver Imagen")</f>
        <v/>
      </c>
    </row>
    <row r="3809">
      <c r="A3809" t="n">
        <v>3324</v>
      </c>
      <c r="B3809" t="inlineStr">
        <is>
          <t>A-497_2C__24</t>
        </is>
      </c>
      <c r="C3809" t="n">
        <v>37.2676206651</v>
      </c>
      <c r="D3809" t="n">
        <v>-6.96302666065</v>
      </c>
      <c r="E3809" t="n">
        <v>4</v>
      </c>
      <c r="F3809" t="n">
        <v>3</v>
      </c>
      <c r="G3809" t="n">
        <v>3</v>
      </c>
      <c r="J3809" t="inlineStr">
        <is>
          <t>Moda</t>
        </is>
      </c>
      <c r="K3809" t="n">
        <v>3</v>
      </c>
      <c r="L3809" t="n">
        <v>2.953</v>
      </c>
      <c r="M3809" t="n">
        <v>0</v>
      </c>
      <c r="N3809" t="inlineStr">
        <is>
          <t>train</t>
        </is>
      </c>
      <c r="O3809">
        <f>HYPERLINK("3\1\marker_161_654425.png", "Ver Imagen")</f>
        <v/>
      </c>
      <c r="P3809">
        <f>HYPERLINK("SE\A-497_2C\A-497_2C__24.png", "Ver Imagen")</f>
        <v/>
      </c>
    </row>
    <row r="3810">
      <c r="A3810" t="n">
        <v>3325</v>
      </c>
      <c r="B3810" t="inlineStr">
        <is>
          <t>A-497_2C__27</t>
        </is>
      </c>
      <c r="C3810" t="n">
        <v>37.2676424132</v>
      </c>
      <c r="D3810" t="n">
        <v>-6.9638071887</v>
      </c>
      <c r="E3810" t="n">
        <v>2</v>
      </c>
      <c r="F3810" t="n">
        <v>3</v>
      </c>
      <c r="G3810" t="n">
        <v>3</v>
      </c>
      <c r="J3810" t="inlineStr">
        <is>
          <t>Moda</t>
        </is>
      </c>
      <c r="K3810" t="n">
        <v>3</v>
      </c>
      <c r="L3810" t="n">
        <v>2.818</v>
      </c>
      <c r="M3810" t="n">
        <v>0</v>
      </c>
      <c r="N3810" t="inlineStr">
        <is>
          <t>train</t>
        </is>
      </c>
      <c r="O3810">
        <f>HYPERLINK("3\1\marker_156_654457.png", "Ver Imagen")</f>
        <v/>
      </c>
      <c r="P3810">
        <f>HYPERLINK("SE\A-497_2C\A-497_2C__27.png", "Ver Imagen")</f>
        <v/>
      </c>
    </row>
    <row r="3811">
      <c r="A3811" t="n">
        <v>3326</v>
      </c>
      <c r="B3811" t="inlineStr">
        <is>
          <t>A-497_2C__34</t>
        </is>
      </c>
      <c r="C3811" t="n">
        <v>37.2676859556</v>
      </c>
      <c r="D3811" t="n">
        <v>-6.96556137038</v>
      </c>
      <c r="E3811" t="n">
        <v>4</v>
      </c>
      <c r="F3811" t="n">
        <v>3</v>
      </c>
      <c r="G3811" t="n">
        <v>3</v>
      </c>
      <c r="J3811" t="inlineStr">
        <is>
          <t>Moda</t>
        </is>
      </c>
      <c r="K3811" t="n">
        <v>3</v>
      </c>
      <c r="L3811" t="n">
        <v>3.113</v>
      </c>
      <c r="M3811" t="n">
        <v>0</v>
      </c>
      <c r="N3811" t="inlineStr">
        <is>
          <t>train</t>
        </is>
      </c>
      <c r="O3811">
        <f>HYPERLINK("3\1\marker_961_654525.png", "Ver Imagen")</f>
        <v/>
      </c>
      <c r="P3811">
        <f>HYPERLINK("SE\A-497_2C\A-497_2C__34.png", "Ver Imagen")</f>
        <v/>
      </c>
    </row>
    <row r="3812">
      <c r="A3812" t="n">
        <v>3327</v>
      </c>
      <c r="B3812" t="inlineStr">
        <is>
          <t>A-497_2C__36</t>
        </is>
      </c>
      <c r="C3812" t="n">
        <v>37.2677065537</v>
      </c>
      <c r="D3812" t="n">
        <v>-6.96609157311</v>
      </c>
      <c r="E3812" t="n">
        <v>4</v>
      </c>
      <c r="F3812" t="n">
        <v>3</v>
      </c>
      <c r="G3812" t="n">
        <v>3</v>
      </c>
      <c r="J3812" t="inlineStr">
        <is>
          <t>Moda</t>
        </is>
      </c>
      <c r="K3812" t="n">
        <v>3</v>
      </c>
      <c r="L3812" t="n">
        <v>3.216</v>
      </c>
      <c r="M3812" t="n">
        <v>0</v>
      </c>
      <c r="N3812" t="inlineStr">
        <is>
          <t>train</t>
        </is>
      </c>
      <c r="O3812">
        <f>HYPERLINK("3\1\marker_765_654611.png", "Ver Imagen")</f>
        <v/>
      </c>
      <c r="P3812">
        <f>HYPERLINK("SE\A-497_2C\A-497_2C__36.png", "Ver Imagen")</f>
        <v/>
      </c>
    </row>
    <row r="3813">
      <c r="A3813" t="n">
        <v>3328</v>
      </c>
      <c r="B3813" t="inlineStr">
        <is>
          <t>A-497_2C__37</t>
        </is>
      </c>
      <c r="C3813" t="n">
        <v>37.2677189296</v>
      </c>
      <c r="D3813" t="n">
        <v>-6.96636040165</v>
      </c>
      <c r="E3813" t="n">
        <v>4</v>
      </c>
      <c r="F3813" t="n">
        <v>3</v>
      </c>
      <c r="G3813" t="n">
        <v>3</v>
      </c>
      <c r="J3813" t="inlineStr">
        <is>
          <t>Moda</t>
        </is>
      </c>
      <c r="K3813" t="n">
        <v>3</v>
      </c>
      <c r="L3813" t="n">
        <v>3.121</v>
      </c>
      <c r="M3813" t="n">
        <v>0</v>
      </c>
      <c r="N3813" t="inlineStr">
        <is>
          <t>train</t>
        </is>
      </c>
      <c r="O3813">
        <f>HYPERLINK("3\1\marker_815_654621.png", "Ver Imagen")</f>
        <v/>
      </c>
      <c r="P3813">
        <f>HYPERLINK("SE\A-497_2C\A-497_2C__37.png", "Ver Imagen")</f>
        <v/>
      </c>
    </row>
    <row r="3814">
      <c r="A3814" t="n">
        <v>3329</v>
      </c>
      <c r="B3814" t="inlineStr">
        <is>
          <t>A-497_2C__40</t>
        </is>
      </c>
      <c r="C3814" t="n">
        <v>37.2677608225</v>
      </c>
      <c r="D3814" t="n">
        <v>-6.96713156249</v>
      </c>
      <c r="E3814" t="n">
        <v>4</v>
      </c>
      <c r="F3814" t="n">
        <v>3</v>
      </c>
      <c r="G3814" t="n">
        <v>3</v>
      </c>
      <c r="J3814" t="inlineStr">
        <is>
          <t>Moda</t>
        </is>
      </c>
      <c r="K3814" t="n">
        <v>3</v>
      </c>
      <c r="L3814" t="n">
        <v>3.14</v>
      </c>
      <c r="M3814" t="n">
        <v>0</v>
      </c>
      <c r="N3814" t="inlineStr">
        <is>
          <t>train</t>
        </is>
      </c>
      <c r="O3814">
        <f>HYPERLINK("3\1\marker_888_654649.png", "Ver Imagen")</f>
        <v/>
      </c>
      <c r="P3814">
        <f>HYPERLINK("SE\A-497_2C\A-497_2C__40.png", "Ver Imagen")</f>
        <v/>
      </c>
    </row>
    <row r="3815">
      <c r="A3815" t="n">
        <v>3330</v>
      </c>
      <c r="B3815" t="inlineStr">
        <is>
          <t>A-497_2C__41</t>
        </is>
      </c>
      <c r="C3815" t="n">
        <v>37.2677771973</v>
      </c>
      <c r="D3815" t="n">
        <v>-6.96738532336</v>
      </c>
      <c r="E3815" t="n">
        <v>4</v>
      </c>
      <c r="F3815" t="n">
        <v>3</v>
      </c>
      <c r="G3815" t="n">
        <v>3</v>
      </c>
      <c r="J3815" t="inlineStr">
        <is>
          <t>Moda</t>
        </is>
      </c>
      <c r="K3815" t="n">
        <v>3</v>
      </c>
      <c r="L3815" t="n">
        <v>3.219</v>
      </c>
      <c r="M3815" t="n">
        <v>0</v>
      </c>
      <c r="N3815" t="inlineStr">
        <is>
          <t>train</t>
        </is>
      </c>
      <c r="O3815">
        <f>HYPERLINK("3\1\marker_211_654657.png", "Ver Imagen")</f>
        <v/>
      </c>
      <c r="P3815">
        <f>HYPERLINK("SE\A-497_2C\A-497_2C__41.png", "Ver Imagen")</f>
        <v/>
      </c>
    </row>
    <row r="3816">
      <c r="A3816" t="n">
        <v>3331</v>
      </c>
      <c r="B3816" t="inlineStr">
        <is>
          <t>A-497_2C__42</t>
        </is>
      </c>
      <c r="C3816" t="n">
        <v>37.2677903159</v>
      </c>
      <c r="D3816" t="n">
        <v>-6.9675738089</v>
      </c>
      <c r="E3816" t="n">
        <v>4</v>
      </c>
      <c r="F3816" t="n">
        <v>3</v>
      </c>
      <c r="G3816" t="n">
        <v>3</v>
      </c>
      <c r="J3816" t="inlineStr">
        <is>
          <t>Moda</t>
        </is>
      </c>
      <c r="K3816" t="n">
        <v>3</v>
      </c>
      <c r="L3816" t="n">
        <v>2.995</v>
      </c>
      <c r="M3816" t="n">
        <v>0</v>
      </c>
      <c r="N3816" t="inlineStr">
        <is>
          <t>train</t>
        </is>
      </c>
      <c r="O3816">
        <f>HYPERLINK("3\1\marker_388_654665.png", "Ver Imagen")</f>
        <v/>
      </c>
      <c r="P3816">
        <f>HYPERLINK("SE\A-497_2C\A-497_2C__42.png", "Ver Imagen")</f>
        <v/>
      </c>
    </row>
    <row r="3817">
      <c r="A3817" t="n">
        <v>3332</v>
      </c>
      <c r="B3817" t="inlineStr">
        <is>
          <t>A-497_2C__46</t>
        </is>
      </c>
      <c r="C3817" t="n">
        <v>37.2678842974</v>
      </c>
      <c r="D3817" t="n">
        <v>-6.96864503402</v>
      </c>
      <c r="E3817" t="n">
        <v>4</v>
      </c>
      <c r="F3817" t="n">
        <v>3</v>
      </c>
      <c r="G3817" t="n">
        <v>3</v>
      </c>
      <c r="J3817" t="inlineStr">
        <is>
          <t>Moda</t>
        </is>
      </c>
      <c r="K3817" t="n">
        <v>3</v>
      </c>
      <c r="L3817" t="n">
        <v>2.829</v>
      </c>
      <c r="M3817" t="n">
        <v>0</v>
      </c>
      <c r="N3817" t="inlineStr">
        <is>
          <t>train</t>
        </is>
      </c>
      <c r="O3817">
        <f>HYPERLINK("3\1\marker_865_654700.png", "Ver Imagen")</f>
        <v/>
      </c>
      <c r="P3817">
        <f>HYPERLINK("SE\A-497_2C\A-497_2C__46.png", "Ver Imagen")</f>
        <v/>
      </c>
    </row>
    <row r="3818">
      <c r="A3818" t="n">
        <v>3333</v>
      </c>
      <c r="B3818" t="inlineStr">
        <is>
          <t>A-497_2C__48</t>
        </is>
      </c>
      <c r="C3818" t="n">
        <v>37.2679307331</v>
      </c>
      <c r="D3818" t="n">
        <v>-6.96913368859</v>
      </c>
      <c r="E3818" t="n">
        <v>4</v>
      </c>
      <c r="F3818" t="n">
        <v>3</v>
      </c>
      <c r="G3818" t="n">
        <v>3</v>
      </c>
      <c r="J3818" t="inlineStr">
        <is>
          <t>Moda</t>
        </is>
      </c>
      <c r="K3818" t="n">
        <v>3</v>
      </c>
      <c r="L3818" t="n">
        <v>3.319</v>
      </c>
      <c r="M3818" t="n">
        <v>0</v>
      </c>
      <c r="N3818" t="inlineStr">
        <is>
          <t>val</t>
        </is>
      </c>
      <c r="O3818">
        <f>HYPERLINK("3\1\marker_515_654716.png", "Ver Imagen")</f>
        <v/>
      </c>
      <c r="P3818">
        <f>HYPERLINK("SE\A-497_2C\A-497_2C__48.png", "Ver Imagen")</f>
        <v/>
      </c>
    </row>
    <row r="3819">
      <c r="A3819" t="n">
        <v>3334</v>
      </c>
      <c r="B3819" t="inlineStr">
        <is>
          <t>A-497_2C__49</t>
        </is>
      </c>
      <c r="C3819" t="n">
        <v>37.2679580547</v>
      </c>
      <c r="D3819" t="n">
        <v>-6.9693953785</v>
      </c>
      <c r="E3819" t="n">
        <v>4</v>
      </c>
      <c r="F3819" t="n">
        <v>3</v>
      </c>
      <c r="G3819" t="n">
        <v>3</v>
      </c>
      <c r="J3819" t="inlineStr">
        <is>
          <t>Moda</t>
        </is>
      </c>
      <c r="K3819" t="n">
        <v>3</v>
      </c>
      <c r="L3819" t="n">
        <v>3.196</v>
      </c>
      <c r="M3819" t="n">
        <v>0</v>
      </c>
      <c r="N3819" t="inlineStr">
        <is>
          <t>train</t>
        </is>
      </c>
      <c r="O3819">
        <f>HYPERLINK("3\1\marker_550_654725.png", "Ver Imagen")</f>
        <v/>
      </c>
      <c r="P3819">
        <f>HYPERLINK("SE\A-497_2C\A-497_2C__49.png", "Ver Imagen")</f>
        <v/>
      </c>
    </row>
    <row r="3820">
      <c r="A3820" t="n">
        <v>3335</v>
      </c>
      <c r="B3820" t="inlineStr">
        <is>
          <t>A-497_2C__54</t>
        </is>
      </c>
      <c r="C3820" t="n">
        <v>37.2681059585</v>
      </c>
      <c r="D3820" t="n">
        <v>-6.97064017424</v>
      </c>
      <c r="E3820" t="n">
        <v>2</v>
      </c>
      <c r="F3820" t="n">
        <v>3</v>
      </c>
      <c r="G3820" t="n">
        <v>3</v>
      </c>
      <c r="J3820" t="inlineStr">
        <is>
          <t>Moda</t>
        </is>
      </c>
      <c r="K3820" t="n">
        <v>3</v>
      </c>
      <c r="L3820" t="n">
        <v>2.833</v>
      </c>
      <c r="M3820" t="n">
        <v>0</v>
      </c>
      <c r="N3820" t="inlineStr">
        <is>
          <t>test</t>
        </is>
      </c>
      <c r="O3820">
        <f>HYPERLINK("3\1\marker_529_654795.png", "Ver Imagen")</f>
        <v/>
      </c>
      <c r="P3820">
        <f>HYPERLINK("SE\A-497_2C\A-497_2C__54.png", "Ver Imagen")</f>
        <v/>
      </c>
    </row>
    <row r="3821">
      <c r="A3821" t="n">
        <v>3336</v>
      </c>
      <c r="B3821" t="inlineStr">
        <is>
          <t>A-497_2C__59</t>
        </is>
      </c>
      <c r="C3821" t="n">
        <v>37.268288927</v>
      </c>
      <c r="D3821" t="n">
        <v>-6.97188963842</v>
      </c>
      <c r="E3821" t="n">
        <v>3</v>
      </c>
      <c r="F3821" t="n">
        <v>3</v>
      </c>
      <c r="G3821" t="n">
        <v>2</v>
      </c>
      <c r="J3821" t="inlineStr">
        <is>
          <t>Moda</t>
        </is>
      </c>
      <c r="K3821" t="n">
        <v>3</v>
      </c>
      <c r="L3821" t="n">
        <v>2.985</v>
      </c>
      <c r="M3821" t="n">
        <v>0</v>
      </c>
      <c r="N3821" t="inlineStr">
        <is>
          <t>train</t>
        </is>
      </c>
      <c r="O3821">
        <f>HYPERLINK("3\1\marker_395_654864.png", "Ver Imagen")</f>
        <v/>
      </c>
      <c r="P3821">
        <f>HYPERLINK("SE\A-497_2C\A-497_2C__59.png", "Ver Imagen")</f>
        <v/>
      </c>
    </row>
    <row r="3822">
      <c r="A3822" t="n">
        <v>3337</v>
      </c>
      <c r="B3822" t="inlineStr">
        <is>
          <t>A-497_2C__61</t>
        </is>
      </c>
      <c r="C3822" t="n">
        <v>37.2683703934</v>
      </c>
      <c r="D3822" t="n">
        <v>-6.97236862736</v>
      </c>
      <c r="E3822" t="n">
        <v>4</v>
      </c>
      <c r="F3822" t="n">
        <v>3</v>
      </c>
      <c r="G3822" t="n">
        <v>3</v>
      </c>
      <c r="J3822" t="inlineStr">
        <is>
          <t>Moda</t>
        </is>
      </c>
      <c r="K3822" t="n">
        <v>3</v>
      </c>
      <c r="L3822" t="n">
        <v>3.015</v>
      </c>
      <c r="M3822" t="n">
        <v>0</v>
      </c>
      <c r="N3822" t="inlineStr">
        <is>
          <t>train</t>
        </is>
      </c>
      <c r="O3822">
        <f>HYPERLINK("3\1\marker_327_654884.png", "Ver Imagen")</f>
        <v/>
      </c>
      <c r="P3822">
        <f>HYPERLINK("SE\A-497_2C\A-497_2C__61.png", "Ver Imagen")</f>
        <v/>
      </c>
    </row>
    <row r="3823">
      <c r="A3823" t="n">
        <v>3338</v>
      </c>
      <c r="B3823" t="inlineStr">
        <is>
          <t>A-497_2C__62</t>
        </is>
      </c>
      <c r="C3823" t="n">
        <v>37.2684156282</v>
      </c>
      <c r="D3823" t="n">
        <v>-6.97262385617</v>
      </c>
      <c r="E3823" t="n">
        <v>3</v>
      </c>
      <c r="F3823" t="n">
        <v>3</v>
      </c>
      <c r="G3823" t="n">
        <v>2</v>
      </c>
      <c r="J3823" t="inlineStr">
        <is>
          <t>Moda</t>
        </is>
      </c>
      <c r="K3823" t="n">
        <v>3</v>
      </c>
      <c r="L3823" t="n">
        <v>2.949</v>
      </c>
      <c r="M3823" t="n">
        <v>0</v>
      </c>
      <c r="N3823" t="inlineStr">
        <is>
          <t>val</t>
        </is>
      </c>
      <c r="O3823">
        <f>HYPERLINK("3\1\marker_539_654893.png", "Ver Imagen")</f>
        <v/>
      </c>
      <c r="P3823">
        <f>HYPERLINK("SE\A-497_2C\A-497_2C__62.png", "Ver Imagen")</f>
        <v/>
      </c>
    </row>
    <row r="3824">
      <c r="A3824" t="n">
        <v>3339</v>
      </c>
      <c r="B3824" t="inlineStr">
        <is>
          <t>A-497_2C__64</t>
        </is>
      </c>
      <c r="C3824" t="n">
        <v>37.2685122023</v>
      </c>
      <c r="D3824" t="n">
        <v>-6.97314242986</v>
      </c>
      <c r="E3824" t="n">
        <v>4</v>
      </c>
      <c r="F3824" t="n">
        <v>3</v>
      </c>
      <c r="G3824" t="n">
        <v>3</v>
      </c>
      <c r="J3824" t="inlineStr">
        <is>
          <t>Moda</t>
        </is>
      </c>
      <c r="K3824" t="n">
        <v>3</v>
      </c>
      <c r="L3824" t="n">
        <v>3.069</v>
      </c>
      <c r="M3824" t="n">
        <v>0</v>
      </c>
      <c r="N3824" t="inlineStr">
        <is>
          <t>train</t>
        </is>
      </c>
      <c r="O3824">
        <f>HYPERLINK("3\1\marker_985_654911.png", "Ver Imagen")</f>
        <v/>
      </c>
      <c r="P3824">
        <f>HYPERLINK("SE\A-497_2C\A-497_2C__64.png", "Ver Imagen")</f>
        <v/>
      </c>
    </row>
    <row r="3825">
      <c r="A3825" t="n">
        <v>3340</v>
      </c>
      <c r="B3825" t="inlineStr">
        <is>
          <t>A-497_2C__65</t>
        </is>
      </c>
      <c r="C3825" t="n">
        <v>37.2685523747</v>
      </c>
      <c r="D3825" t="n">
        <v>-6.973350256</v>
      </c>
      <c r="E3825" t="n">
        <v>2</v>
      </c>
      <c r="F3825" t="n">
        <v>3</v>
      </c>
      <c r="G3825" t="n">
        <v>3</v>
      </c>
      <c r="J3825" t="inlineStr">
        <is>
          <t>Moda</t>
        </is>
      </c>
      <c r="K3825" t="n">
        <v>3</v>
      </c>
      <c r="L3825" t="n">
        <v>3.106</v>
      </c>
      <c r="M3825" t="n">
        <v>0</v>
      </c>
      <c r="N3825" t="inlineStr">
        <is>
          <t>test</t>
        </is>
      </c>
      <c r="O3825">
        <f>HYPERLINK("3\1\marker_504_654920.png", "Ver Imagen")</f>
        <v/>
      </c>
      <c r="P3825">
        <f>HYPERLINK("SE\A-497_2C\A-497_2C__65.png", "Ver Imagen")</f>
        <v/>
      </c>
    </row>
    <row r="3826">
      <c r="A3826" t="n">
        <v>3341</v>
      </c>
      <c r="B3826" t="inlineStr">
        <is>
          <t>A-497_2C__75</t>
        </is>
      </c>
      <c r="C3826" t="n">
        <v>37.2690922295</v>
      </c>
      <c r="D3826" t="n">
        <v>-6.97578865732</v>
      </c>
      <c r="E3826" t="n">
        <v>4</v>
      </c>
      <c r="F3826" t="n">
        <v>3</v>
      </c>
      <c r="G3826" t="n">
        <v>3</v>
      </c>
      <c r="J3826" t="inlineStr">
        <is>
          <t>Moda</t>
        </is>
      </c>
      <c r="K3826" t="n">
        <v>3</v>
      </c>
      <c r="L3826" t="n">
        <v>2.962</v>
      </c>
      <c r="M3826" t="n">
        <v>0</v>
      </c>
      <c r="N3826" t="inlineStr">
        <is>
          <t>val</t>
        </is>
      </c>
      <c r="O3826">
        <f>HYPERLINK("3\1\marker_709_655083.png", "Ver Imagen")</f>
        <v/>
      </c>
      <c r="P3826">
        <f>HYPERLINK("SE\A-497_2C\A-497_2C__75.png", "Ver Imagen")</f>
        <v/>
      </c>
    </row>
    <row r="3827">
      <c r="A3827" t="n">
        <v>3342</v>
      </c>
      <c r="B3827" t="inlineStr">
        <is>
          <t>A-497_2C__76</t>
        </is>
      </c>
      <c r="C3827" t="n">
        <v>37.2691582179</v>
      </c>
      <c r="D3827" t="n">
        <v>-6.97604587271</v>
      </c>
      <c r="E3827" t="n">
        <v>4</v>
      </c>
      <c r="F3827" t="n">
        <v>3</v>
      </c>
      <c r="G3827" t="n">
        <v>3</v>
      </c>
      <c r="J3827" t="inlineStr">
        <is>
          <t>Moda</t>
        </is>
      </c>
      <c r="K3827" t="n">
        <v>3</v>
      </c>
      <c r="L3827" t="n">
        <v>3.017</v>
      </c>
      <c r="M3827" t="n">
        <v>0</v>
      </c>
      <c r="N3827" t="inlineStr">
        <is>
          <t>train</t>
        </is>
      </c>
      <c r="O3827">
        <f>HYPERLINK("3\1\marker_764_655091.png", "Ver Imagen")</f>
        <v/>
      </c>
      <c r="P3827">
        <f>HYPERLINK("SE\A-497_2C\A-497_2C__76.png", "Ver Imagen")</f>
        <v/>
      </c>
    </row>
    <row r="3828">
      <c r="A3828" t="n">
        <v>3343</v>
      </c>
      <c r="B3828" t="inlineStr">
        <is>
          <t>A-497_2C__77</t>
        </is>
      </c>
      <c r="C3828" t="n">
        <v>37.2692195098</v>
      </c>
      <c r="D3828" t="n">
        <v>-6.97628061481</v>
      </c>
      <c r="E3828" t="n">
        <v>4</v>
      </c>
      <c r="F3828" t="n">
        <v>3</v>
      </c>
      <c r="G3828" t="n">
        <v>3</v>
      </c>
      <c r="J3828" t="inlineStr">
        <is>
          <t>Moda</t>
        </is>
      </c>
      <c r="K3828" t="n">
        <v>3</v>
      </c>
      <c r="L3828" t="n">
        <v>2.991</v>
      </c>
      <c r="M3828" t="n">
        <v>0</v>
      </c>
      <c r="N3828" t="inlineStr">
        <is>
          <t>train</t>
        </is>
      </c>
      <c r="O3828">
        <f>HYPERLINK("3\1\marker_986_655099.png", "Ver Imagen")</f>
        <v/>
      </c>
      <c r="P3828">
        <f>HYPERLINK("SE\A-497_2C\A-497_2C__77.png", "Ver Imagen")</f>
        <v/>
      </c>
    </row>
    <row r="3829">
      <c r="A3829" t="n">
        <v>3344</v>
      </c>
      <c r="B3829" t="inlineStr">
        <is>
          <t>A-497_2C__81</t>
        </is>
      </c>
      <c r="C3829" t="n">
        <v>37.2694784022</v>
      </c>
      <c r="D3829" t="n">
        <v>-6.97721420613</v>
      </c>
      <c r="E3829" t="n">
        <v>2</v>
      </c>
      <c r="F3829" t="n">
        <v>3</v>
      </c>
      <c r="G3829" t="n">
        <v>3</v>
      </c>
      <c r="J3829" t="inlineStr">
        <is>
          <t>Moda</t>
        </is>
      </c>
      <c r="K3829" t="n">
        <v>3</v>
      </c>
      <c r="L3829" t="n">
        <v>3.036</v>
      </c>
      <c r="M3829" t="n">
        <v>0</v>
      </c>
      <c r="N3829" t="inlineStr">
        <is>
          <t>train</t>
        </is>
      </c>
      <c r="O3829">
        <f>HYPERLINK("3\1\marker_497_655139.png", "Ver Imagen")</f>
        <v/>
      </c>
      <c r="P3829">
        <f>HYPERLINK("SE\A-497_2C\A-497_2C__81.png", "Ver Imagen")</f>
        <v/>
      </c>
    </row>
    <row r="3830">
      <c r="A3830" t="n">
        <v>3345</v>
      </c>
      <c r="B3830" t="inlineStr">
        <is>
          <t>A-497_2C__87</t>
        </is>
      </c>
      <c r="C3830" t="n">
        <v>37.2698948573</v>
      </c>
      <c r="D3830" t="n">
        <v>-6.97867728086</v>
      </c>
      <c r="E3830" t="n">
        <v>4</v>
      </c>
      <c r="F3830" t="n">
        <v>3</v>
      </c>
      <c r="G3830" t="n">
        <v>3</v>
      </c>
      <c r="J3830" t="inlineStr">
        <is>
          <t>Moda</t>
        </is>
      </c>
      <c r="K3830" t="n">
        <v>3</v>
      </c>
      <c r="L3830" t="n">
        <v>3.145</v>
      </c>
      <c r="M3830" t="n">
        <v>0</v>
      </c>
      <c r="N3830" t="inlineStr">
        <is>
          <t>train</t>
        </is>
      </c>
      <c r="O3830">
        <f>HYPERLINK("3\1\marker_454_655233.png", "Ver Imagen")</f>
        <v/>
      </c>
      <c r="P3830">
        <f>HYPERLINK("SE\A-497_2C\A-497_2C__87.png", "Ver Imagen")</f>
        <v/>
      </c>
    </row>
    <row r="3831">
      <c r="A3831" t="n">
        <v>3346</v>
      </c>
      <c r="B3831" t="inlineStr">
        <is>
          <t>A-497_2C__89</t>
        </is>
      </c>
      <c r="C3831" t="n">
        <v>37.2700363155</v>
      </c>
      <c r="D3831" t="n">
        <v>-6.97916846704</v>
      </c>
      <c r="E3831" t="n">
        <v>4</v>
      </c>
      <c r="F3831" t="n">
        <v>3</v>
      </c>
      <c r="G3831" t="n">
        <v>3</v>
      </c>
      <c r="J3831" t="inlineStr">
        <is>
          <t>Moda</t>
        </is>
      </c>
      <c r="K3831" t="n">
        <v>3</v>
      </c>
      <c r="L3831" t="n">
        <v>2.911</v>
      </c>
      <c r="M3831" t="n">
        <v>0</v>
      </c>
      <c r="N3831" t="inlineStr">
        <is>
          <t>train</t>
        </is>
      </c>
      <c r="O3831">
        <f>HYPERLINK("3\1\marker_175_655271.png", "Ver Imagen")</f>
        <v/>
      </c>
      <c r="P3831">
        <f>HYPERLINK("SE\A-497_2C\A-497_2C__89.png", "Ver Imagen")</f>
        <v/>
      </c>
    </row>
    <row r="3832">
      <c r="A3832" t="n">
        <v>3347</v>
      </c>
      <c r="B3832" t="inlineStr">
        <is>
          <t>A-497_2C__90</t>
        </is>
      </c>
      <c r="C3832" t="n">
        <v>37.2700979719</v>
      </c>
      <c r="D3832" t="n">
        <v>-6.97938296081</v>
      </c>
      <c r="E3832" t="n">
        <v>4</v>
      </c>
      <c r="F3832" t="n">
        <v>3</v>
      </c>
      <c r="G3832" t="n">
        <v>3</v>
      </c>
      <c r="J3832" t="inlineStr">
        <is>
          <t>Moda</t>
        </is>
      </c>
      <c r="K3832" t="n">
        <v>3</v>
      </c>
      <c r="L3832" t="n">
        <v>3.086</v>
      </c>
      <c r="M3832" t="n">
        <v>0</v>
      </c>
      <c r="N3832" t="inlineStr">
        <is>
          <t>test</t>
        </is>
      </c>
      <c r="O3832">
        <f>HYPERLINK("3\1\marker_248_655280.png", "Ver Imagen")</f>
        <v/>
      </c>
      <c r="P3832">
        <f>HYPERLINK("SE\A-497_2C\A-497_2C__90.png", "Ver Imagen")</f>
        <v/>
      </c>
    </row>
    <row r="3833">
      <c r="A3833" t="n">
        <v>3348</v>
      </c>
      <c r="B3833" t="inlineStr">
        <is>
          <t>A-497_2C__91</t>
        </is>
      </c>
      <c r="C3833" t="n">
        <v>37.2701633068</v>
      </c>
      <c r="D3833" t="n">
        <v>-6.97961095253</v>
      </c>
      <c r="E3833" t="n">
        <v>4</v>
      </c>
      <c r="F3833" t="n">
        <v>3</v>
      </c>
      <c r="G3833" t="n">
        <v>3</v>
      </c>
      <c r="J3833" t="inlineStr">
        <is>
          <t>Moda</t>
        </is>
      </c>
      <c r="K3833" t="n">
        <v>3</v>
      </c>
      <c r="L3833" t="n">
        <v>3.02</v>
      </c>
      <c r="M3833" t="n">
        <v>0</v>
      </c>
      <c r="N3833" t="inlineStr">
        <is>
          <t>train</t>
        </is>
      </c>
      <c r="O3833">
        <f>HYPERLINK("3\1\marker_829_655291.png", "Ver Imagen")</f>
        <v/>
      </c>
      <c r="P3833">
        <f>HYPERLINK("SE\A-497_2C\A-497_2C__91.png", "Ver Imagen")</f>
        <v/>
      </c>
    </row>
    <row r="3834">
      <c r="A3834" t="n">
        <v>3349</v>
      </c>
      <c r="B3834" t="inlineStr">
        <is>
          <t>A-497_2C__102</t>
        </is>
      </c>
      <c r="C3834" t="n">
        <v>37.2709260771</v>
      </c>
      <c r="D3834" t="n">
        <v>-6.98225954432</v>
      </c>
      <c r="E3834" t="n">
        <v>2</v>
      </c>
      <c r="F3834" t="n">
        <v>3</v>
      </c>
      <c r="G3834" t="n">
        <v>3</v>
      </c>
      <c r="J3834" t="inlineStr">
        <is>
          <t>Moda</t>
        </is>
      </c>
      <c r="K3834" t="n">
        <v>3</v>
      </c>
      <c r="L3834" t="n">
        <v>3.203</v>
      </c>
      <c r="M3834" t="n">
        <v>0</v>
      </c>
      <c r="N3834" t="inlineStr">
        <is>
          <t>val</t>
        </is>
      </c>
      <c r="O3834">
        <f>HYPERLINK("3\1\marker_750_655460.png", "Ver Imagen")</f>
        <v/>
      </c>
      <c r="P3834">
        <f>HYPERLINK("SE\A-497_2C\A-497_2C__102.png", "Ver Imagen")</f>
        <v/>
      </c>
    </row>
    <row r="3835">
      <c r="A3835" t="n">
        <v>3350</v>
      </c>
      <c r="B3835" t="inlineStr">
        <is>
          <t>A-497_2C__104</t>
        </is>
      </c>
      <c r="C3835" t="n">
        <v>37.271063947</v>
      </c>
      <c r="D3835" t="n">
        <v>-6.98273852614</v>
      </c>
      <c r="E3835" t="n">
        <v>3</v>
      </c>
      <c r="F3835" t="n">
        <v>3</v>
      </c>
      <c r="G3835" t="n">
        <v>4</v>
      </c>
      <c r="J3835" t="inlineStr">
        <is>
          <t>Moda</t>
        </is>
      </c>
      <c r="K3835" t="n">
        <v>3</v>
      </c>
      <c r="L3835" t="n">
        <v>2.985</v>
      </c>
      <c r="M3835" t="n">
        <v>0</v>
      </c>
      <c r="N3835" t="inlineStr">
        <is>
          <t>train</t>
        </is>
      </c>
      <c r="O3835">
        <f>HYPERLINK("3\1\marker_336_655478.png", "Ver Imagen")</f>
        <v/>
      </c>
      <c r="P3835">
        <f>HYPERLINK("SE\A-497_2C\A-497_2C__104.png", "Ver Imagen")</f>
        <v/>
      </c>
    </row>
    <row r="3836">
      <c r="A3836" t="n">
        <v>3351</v>
      </c>
      <c r="B3836" t="inlineStr">
        <is>
          <t>A-497_2C__105</t>
        </is>
      </c>
      <c r="C3836" t="n">
        <v>37.2711279526</v>
      </c>
      <c r="D3836" t="n">
        <v>-6.98295986008</v>
      </c>
      <c r="E3836" t="n">
        <v>4</v>
      </c>
      <c r="F3836" t="n">
        <v>3</v>
      </c>
      <c r="G3836" t="n">
        <v>3</v>
      </c>
      <c r="J3836" t="inlineStr">
        <is>
          <t>Moda</t>
        </is>
      </c>
      <c r="K3836" t="n">
        <v>3</v>
      </c>
      <c r="L3836" t="n">
        <v>2.726</v>
      </c>
      <c r="M3836" t="n">
        <v>0</v>
      </c>
      <c r="N3836" t="inlineStr">
        <is>
          <t>train</t>
        </is>
      </c>
      <c r="O3836">
        <f>HYPERLINK("3\1\marker_899_655488.png", "Ver Imagen")</f>
        <v/>
      </c>
      <c r="P3836">
        <f>HYPERLINK("SE\A-497_2C\A-497_2C__105.png", "Ver Imagen")</f>
        <v/>
      </c>
    </row>
    <row r="3837">
      <c r="A3837" t="n">
        <v>3352</v>
      </c>
      <c r="B3837" t="inlineStr">
        <is>
          <t>A-497_2C__110</t>
        </is>
      </c>
      <c r="C3837" t="n">
        <v>37.2714765752</v>
      </c>
      <c r="D3837" t="n">
        <v>-6.98417843435</v>
      </c>
      <c r="E3837" t="n">
        <v>3</v>
      </c>
      <c r="F3837" t="n">
        <v>3</v>
      </c>
      <c r="G3837" t="n">
        <v>2</v>
      </c>
      <c r="J3837" t="inlineStr">
        <is>
          <t>Moda</t>
        </is>
      </c>
      <c r="K3837" t="n">
        <v>3</v>
      </c>
      <c r="L3837" t="n">
        <v>2.783</v>
      </c>
      <c r="M3837" t="n">
        <v>0</v>
      </c>
      <c r="N3837" t="inlineStr">
        <is>
          <t>train</t>
        </is>
      </c>
      <c r="O3837">
        <f>HYPERLINK("3\1\marker_777_655535.png", "Ver Imagen")</f>
        <v/>
      </c>
      <c r="P3837">
        <f>HYPERLINK("SE\A-497_2C\A-497_2C__110.png", "Ver Imagen")</f>
        <v/>
      </c>
    </row>
    <row r="3838">
      <c r="A3838" t="n">
        <v>3354</v>
      </c>
      <c r="B3838" t="inlineStr">
        <is>
          <t>A-497_2C__114</t>
        </is>
      </c>
      <c r="C3838" t="n">
        <v>37.27170982</v>
      </c>
      <c r="D3838" t="n">
        <v>-6.98512471642</v>
      </c>
      <c r="E3838" t="n">
        <v>3</v>
      </c>
      <c r="F3838" t="n">
        <v>3</v>
      </c>
      <c r="G3838" t="n">
        <v>2</v>
      </c>
      <c r="J3838" t="inlineStr">
        <is>
          <t>Moda</t>
        </is>
      </c>
      <c r="K3838" t="n">
        <v>3</v>
      </c>
      <c r="L3838" t="n">
        <v>2.735</v>
      </c>
      <c r="M3838" t="n">
        <v>0</v>
      </c>
      <c r="N3838" t="inlineStr">
        <is>
          <t>train</t>
        </is>
      </c>
      <c r="O3838">
        <f>HYPERLINK("3\1\marker_838_655626.png", "Ver Imagen")</f>
        <v/>
      </c>
      <c r="P3838">
        <f>HYPERLINK("SE\A-497_2C\A-497_2C__114.png", "Ver Imagen")</f>
        <v/>
      </c>
    </row>
    <row r="3839">
      <c r="A3839" t="n">
        <v>3355</v>
      </c>
      <c r="B3839" t="inlineStr">
        <is>
          <t>A-497_2C__115</t>
        </is>
      </c>
      <c r="C3839" t="n">
        <v>37.2717599606</v>
      </c>
      <c r="D3839" t="n">
        <v>-6.98538559174</v>
      </c>
      <c r="E3839" t="n">
        <v>3</v>
      </c>
      <c r="F3839" t="n">
        <v>3</v>
      </c>
      <c r="G3839" t="n">
        <v>2</v>
      </c>
      <c r="J3839" t="inlineStr">
        <is>
          <t>Moda</t>
        </is>
      </c>
      <c r="K3839" t="n">
        <v>3</v>
      </c>
      <c r="L3839" t="n">
        <v>2.629</v>
      </c>
      <c r="M3839" t="n">
        <v>0</v>
      </c>
      <c r="N3839" t="inlineStr">
        <is>
          <t>train</t>
        </is>
      </c>
      <c r="O3839">
        <f>HYPERLINK("3\1\marker_352_655635.png", "Ver Imagen")</f>
        <v/>
      </c>
      <c r="P3839">
        <f>HYPERLINK("SE\A-497_2C\A-497_2C__115.png", "Ver Imagen")</f>
        <v/>
      </c>
    </row>
    <row r="3840">
      <c r="A3840" t="n">
        <v>3356</v>
      </c>
      <c r="B3840" t="inlineStr">
        <is>
          <t>A-497_2C__118</t>
        </is>
      </c>
      <c r="C3840" t="n">
        <v>37.2718493812</v>
      </c>
      <c r="D3840" t="n">
        <v>-6.98614513661</v>
      </c>
      <c r="E3840" t="n">
        <v>2</v>
      </c>
      <c r="F3840" t="n">
        <v>3</v>
      </c>
      <c r="G3840" t="n">
        <v>3</v>
      </c>
      <c r="J3840" t="inlineStr">
        <is>
          <t>Moda</t>
        </is>
      </c>
      <c r="K3840" t="n">
        <v>3</v>
      </c>
      <c r="L3840" t="n">
        <v>2.788</v>
      </c>
      <c r="M3840" t="n">
        <v>0</v>
      </c>
      <c r="N3840" t="inlineStr">
        <is>
          <t>train</t>
        </is>
      </c>
      <c r="O3840">
        <f>HYPERLINK("3\1\marker_195_655664.png", "Ver Imagen")</f>
        <v/>
      </c>
      <c r="P3840">
        <f>HYPERLINK("SE\A-497_2C\A-497_2C__118.png", "Ver Imagen")</f>
        <v/>
      </c>
    </row>
    <row r="3841">
      <c r="A3841" t="n">
        <v>3357</v>
      </c>
      <c r="B3841" t="inlineStr">
        <is>
          <t>A-497_2C__120</t>
        </is>
      </c>
      <c r="C3841" t="n">
        <v>37.2718475651</v>
      </c>
      <c r="D3841" t="n">
        <v>-6.9866712407</v>
      </c>
      <c r="E3841" t="n">
        <v>3</v>
      </c>
      <c r="F3841" t="n">
        <v>3</v>
      </c>
      <c r="G3841" t="n">
        <v>2</v>
      </c>
      <c r="J3841" t="inlineStr">
        <is>
          <t>Moda</t>
        </is>
      </c>
      <c r="K3841" t="n">
        <v>3</v>
      </c>
      <c r="L3841" t="n">
        <v>2.646</v>
      </c>
      <c r="M3841" t="n">
        <v>0</v>
      </c>
      <c r="N3841" t="inlineStr">
        <is>
          <t>train</t>
        </is>
      </c>
      <c r="O3841">
        <f>HYPERLINK("3\1\marker_603_655682.png", "Ver Imagen")</f>
        <v/>
      </c>
      <c r="P3841">
        <f>HYPERLINK("SE\A-497_2C\A-497_2C__120.png", "Ver Imagen")</f>
        <v/>
      </c>
    </row>
    <row r="3842">
      <c r="A3842" t="n">
        <v>3358</v>
      </c>
      <c r="B3842" t="inlineStr">
        <is>
          <t>A-497_2C__136</t>
        </is>
      </c>
      <c r="C3842" t="n">
        <v>37.2699537484</v>
      </c>
      <c r="D3842" t="n">
        <v>-6.98967854562</v>
      </c>
      <c r="E3842" t="n">
        <v>2</v>
      </c>
      <c r="F3842" t="n">
        <v>3</v>
      </c>
      <c r="G3842" t="n">
        <v>3</v>
      </c>
      <c r="J3842" t="inlineStr">
        <is>
          <t>Moda</t>
        </is>
      </c>
      <c r="K3842" t="n">
        <v>3</v>
      </c>
      <c r="L3842" t="n">
        <v>2.953</v>
      </c>
      <c r="M3842" t="n">
        <v>0</v>
      </c>
      <c r="N3842" t="inlineStr">
        <is>
          <t>test</t>
        </is>
      </c>
      <c r="O3842">
        <f>HYPERLINK("3\1\marker_745_655830.png", "Ver Imagen")</f>
        <v/>
      </c>
      <c r="P3842">
        <f>HYPERLINK("SE\A-497_2C\A-497_2C__136.png", "Ver Imagen")</f>
        <v/>
      </c>
    </row>
    <row r="3843">
      <c r="A3843" t="n">
        <v>3359</v>
      </c>
      <c r="B3843" t="inlineStr">
        <is>
          <t>A-497_2C__137</t>
        </is>
      </c>
      <c r="C3843" t="n">
        <v>37.2697643278</v>
      </c>
      <c r="D3843" t="n">
        <v>-6.98981070155</v>
      </c>
      <c r="E3843" t="n">
        <v>2</v>
      </c>
      <c r="F3843" t="n">
        <v>3</v>
      </c>
      <c r="G3843" t="n">
        <v>3</v>
      </c>
      <c r="J3843" t="inlineStr">
        <is>
          <t>Moda</t>
        </is>
      </c>
      <c r="K3843" t="n">
        <v>3</v>
      </c>
      <c r="L3843" t="n">
        <v>2.765</v>
      </c>
      <c r="M3843" t="n">
        <v>0</v>
      </c>
      <c r="N3843" t="inlineStr">
        <is>
          <t>train</t>
        </is>
      </c>
      <c r="O3843">
        <f>HYPERLINK("3\1\marker_359_655842.png", "Ver Imagen")</f>
        <v/>
      </c>
      <c r="P3843">
        <f>HYPERLINK("SE\A-497_2C\A-497_2C__137.png", "Ver Imagen")</f>
        <v/>
      </c>
    </row>
    <row r="3844">
      <c r="A3844" t="n">
        <v>3360</v>
      </c>
      <c r="B3844" t="inlineStr">
        <is>
          <t>A-497_2C__139</t>
        </is>
      </c>
      <c r="C3844" t="n">
        <v>37.2694114942</v>
      </c>
      <c r="D3844" t="n">
        <v>-6.99005889042</v>
      </c>
      <c r="E3844" t="n">
        <v>2</v>
      </c>
      <c r="F3844" t="n">
        <v>3</v>
      </c>
      <c r="G3844" t="n">
        <v>3</v>
      </c>
      <c r="J3844" t="inlineStr">
        <is>
          <t>Moda</t>
        </is>
      </c>
      <c r="K3844" t="n">
        <v>3</v>
      </c>
      <c r="L3844" t="n">
        <v>2.825</v>
      </c>
      <c r="M3844" t="n">
        <v>0</v>
      </c>
      <c r="N3844" t="inlineStr">
        <is>
          <t>train</t>
        </is>
      </c>
      <c r="O3844">
        <f>HYPERLINK("3\1\marker_498_655864.png", "Ver Imagen")</f>
        <v/>
      </c>
      <c r="P3844">
        <f>HYPERLINK("SE\A-497_2C\A-497_2C__139.png", "Ver Imagen")</f>
        <v/>
      </c>
    </row>
    <row r="3845">
      <c r="A3845" t="n">
        <v>3361</v>
      </c>
      <c r="B3845" t="inlineStr">
        <is>
          <t>A-497_2C__141</t>
        </is>
      </c>
      <c r="C3845" t="n">
        <v>37.26906961</v>
      </c>
      <c r="D3845" t="n">
        <v>-6.99030306329</v>
      </c>
      <c r="E3845" t="n">
        <v>3</v>
      </c>
      <c r="F3845" t="n">
        <v>3</v>
      </c>
      <c r="G3845" t="n">
        <v>2</v>
      </c>
      <c r="J3845" t="inlineStr">
        <is>
          <t>Moda</t>
        </is>
      </c>
      <c r="K3845" t="n">
        <v>3</v>
      </c>
      <c r="L3845" t="n">
        <v>2.74</v>
      </c>
      <c r="M3845" t="n">
        <v>0</v>
      </c>
      <c r="N3845" t="inlineStr">
        <is>
          <t>train</t>
        </is>
      </c>
      <c r="O3845">
        <f>HYPERLINK("3\1\marker_674_655881.png", "Ver Imagen")</f>
        <v/>
      </c>
      <c r="P3845">
        <f>HYPERLINK("SE\A-497_2C\A-497_2C__141.png", "Ver Imagen")</f>
        <v/>
      </c>
    </row>
    <row r="3846">
      <c r="A3846" t="n">
        <v>3362</v>
      </c>
      <c r="B3846" t="inlineStr">
        <is>
          <t>A-497_2C__148</t>
        </is>
      </c>
      <c r="C3846" t="n">
        <v>37.2678209478</v>
      </c>
      <c r="D3846" t="n">
        <v>-6.9911829071</v>
      </c>
      <c r="E3846" t="n">
        <v>2</v>
      </c>
      <c r="F3846" t="n">
        <v>3</v>
      </c>
      <c r="G3846" t="n">
        <v>3</v>
      </c>
      <c r="J3846" t="inlineStr">
        <is>
          <t>Moda</t>
        </is>
      </c>
      <c r="K3846" t="n">
        <v>3</v>
      </c>
      <c r="L3846" t="n">
        <v>2.933</v>
      </c>
      <c r="M3846" t="n">
        <v>0</v>
      </c>
      <c r="N3846" t="inlineStr">
        <is>
          <t>train</t>
        </is>
      </c>
      <c r="O3846">
        <f>HYPERLINK("3\1\marker_319_655956.png", "Ver Imagen")</f>
        <v/>
      </c>
      <c r="P3846">
        <f>HYPERLINK("SE\A-497_2C\A-497_2C__148.png", "Ver Imagen")</f>
        <v/>
      </c>
    </row>
    <row r="3847">
      <c r="A3847" t="n">
        <v>3363</v>
      </c>
      <c r="B3847" t="inlineStr">
        <is>
          <t>A-497_2C__158</t>
        </is>
      </c>
      <c r="C3847" t="n">
        <v>37.2663493782</v>
      </c>
      <c r="D3847" t="n">
        <v>-6.99286299308</v>
      </c>
      <c r="E3847" t="n">
        <v>2</v>
      </c>
      <c r="F3847" t="n">
        <v>3</v>
      </c>
      <c r="G3847" t="n">
        <v>3</v>
      </c>
      <c r="J3847" t="inlineStr">
        <is>
          <t>Moda</t>
        </is>
      </c>
      <c r="K3847" t="n">
        <v>3</v>
      </c>
      <c r="L3847" t="n">
        <v>2.934</v>
      </c>
      <c r="M3847" t="n">
        <v>0</v>
      </c>
      <c r="N3847" t="inlineStr">
        <is>
          <t>train</t>
        </is>
      </c>
      <c r="O3847">
        <f>HYPERLINK("3\1\marker_933_656086.png", "Ver Imagen")</f>
        <v/>
      </c>
      <c r="P3847">
        <f>HYPERLINK("SE\A-497_2C\A-497_2C__158.png", "Ver Imagen")</f>
        <v/>
      </c>
    </row>
    <row r="3848">
      <c r="A3848" t="n">
        <v>3364</v>
      </c>
      <c r="B3848" t="inlineStr">
        <is>
          <t>A-497_2C__159</t>
        </is>
      </c>
      <c r="C3848" t="n">
        <v>37.2662466553</v>
      </c>
      <c r="D3848" t="n">
        <v>-6.99307142277</v>
      </c>
      <c r="E3848" t="n">
        <v>2</v>
      </c>
      <c r="F3848" t="n">
        <v>3</v>
      </c>
      <c r="G3848" t="n">
        <v>3</v>
      </c>
      <c r="J3848" t="inlineStr">
        <is>
          <t>Moda</t>
        </is>
      </c>
      <c r="K3848" t="n">
        <v>3</v>
      </c>
      <c r="L3848" t="n">
        <v>3.15</v>
      </c>
      <c r="M3848" t="n">
        <v>0</v>
      </c>
      <c r="N3848" t="inlineStr">
        <is>
          <t>train</t>
        </is>
      </c>
      <c r="O3848">
        <f>HYPERLINK("3\1\marker_742_656094.png", "Ver Imagen")</f>
        <v/>
      </c>
      <c r="P3848">
        <f>HYPERLINK("SE\A-497_2C\A-497_2C__159.png", "Ver Imagen")</f>
        <v/>
      </c>
    </row>
    <row r="3849">
      <c r="A3849" t="n">
        <v>3365</v>
      </c>
      <c r="B3849" t="inlineStr">
        <is>
          <t>A-497__733</t>
        </is>
      </c>
      <c r="C3849" t="n">
        <v>37.1903633984</v>
      </c>
      <c r="D3849" t="n">
        <v>-6.97786198072</v>
      </c>
      <c r="E3849" t="n">
        <v>2</v>
      </c>
      <c r="F3849" t="n">
        <v>3</v>
      </c>
      <c r="G3849" t="n">
        <v>3</v>
      </c>
      <c r="J3849" t="inlineStr">
        <is>
          <t>Moda</t>
        </is>
      </c>
      <c r="K3849" t="n">
        <v>3</v>
      </c>
      <c r="L3849" t="n">
        <v>2.599</v>
      </c>
      <c r="M3849" t="n">
        <v>0</v>
      </c>
      <c r="N3849" t="inlineStr">
        <is>
          <t>train</t>
        </is>
      </c>
      <c r="O3849">
        <f>HYPERLINK("3\1\marker_390_368914.png", "Ver Imagen")</f>
        <v/>
      </c>
      <c r="P3849">
        <f>HYPERLINK("SE\A-497\A-497__733.png", "Ver Imagen")</f>
        <v/>
      </c>
    </row>
    <row r="3850">
      <c r="A3850" t="n">
        <v>3366</v>
      </c>
      <c r="B3850" t="inlineStr">
        <is>
          <t>A-497__732</t>
        </is>
      </c>
      <c r="C3850" t="n">
        <v>37.1906065036</v>
      </c>
      <c r="D3850" t="n">
        <v>-6.97780062168</v>
      </c>
      <c r="E3850" t="n">
        <v>2</v>
      </c>
      <c r="F3850" t="n">
        <v>3</v>
      </c>
      <c r="G3850" t="n">
        <v>3</v>
      </c>
      <c r="J3850" t="inlineStr">
        <is>
          <t>Moda</t>
        </is>
      </c>
      <c r="K3850" t="n">
        <v>3</v>
      </c>
      <c r="L3850" t="n">
        <v>2.666</v>
      </c>
      <c r="M3850" t="n">
        <v>0</v>
      </c>
      <c r="N3850" t="inlineStr">
        <is>
          <t>train</t>
        </is>
      </c>
      <c r="O3850">
        <f>HYPERLINK("3\1\marker_250_368927.png", "Ver Imagen")</f>
        <v/>
      </c>
      <c r="P3850">
        <f>HYPERLINK("SE\A-497\A-497__732.png", "Ver Imagen")</f>
        <v/>
      </c>
    </row>
    <row r="3851">
      <c r="A3851" t="n">
        <v>3367</v>
      </c>
      <c r="B3851" t="inlineStr">
        <is>
          <t>A-497__729</t>
        </is>
      </c>
      <c r="C3851" t="n">
        <v>37.191208144</v>
      </c>
      <c r="D3851" t="n">
        <v>-6.97766170586</v>
      </c>
      <c r="E3851" t="n">
        <v>3</v>
      </c>
      <c r="F3851" t="n">
        <v>3</v>
      </c>
      <c r="G3851" t="n">
        <v>2</v>
      </c>
      <c r="J3851" t="inlineStr">
        <is>
          <t>Moda</t>
        </is>
      </c>
      <c r="K3851" t="n">
        <v>3</v>
      </c>
      <c r="L3851" t="n">
        <v>3.172</v>
      </c>
      <c r="M3851" t="n">
        <v>0</v>
      </c>
      <c r="N3851" t="inlineStr">
        <is>
          <t>test</t>
        </is>
      </c>
      <c r="O3851">
        <f>HYPERLINK("3\1\marker_279_368974.png", "Ver Imagen")</f>
        <v/>
      </c>
      <c r="P3851">
        <f>HYPERLINK("SE\A-497\A-497__729.png", "Ver Imagen")</f>
        <v/>
      </c>
    </row>
    <row r="3852">
      <c r="A3852" t="n">
        <v>3368</v>
      </c>
      <c r="B3852" t="inlineStr">
        <is>
          <t>A-497__726</t>
        </is>
      </c>
      <c r="C3852" t="n">
        <v>37.1917637979</v>
      </c>
      <c r="D3852" t="n">
        <v>-6.97756227574</v>
      </c>
      <c r="E3852" t="n">
        <v>2</v>
      </c>
      <c r="F3852" t="n">
        <v>3</v>
      </c>
      <c r="G3852" t="n">
        <v>3</v>
      </c>
      <c r="J3852" t="inlineStr">
        <is>
          <t>Moda</t>
        </is>
      </c>
      <c r="K3852" t="n">
        <v>3</v>
      </c>
      <c r="L3852" t="n">
        <v>3.206</v>
      </c>
      <c r="M3852" t="n">
        <v>0</v>
      </c>
      <c r="N3852" t="inlineStr">
        <is>
          <t>train</t>
        </is>
      </c>
      <c r="O3852">
        <f>HYPERLINK("3\1\marker_796_369003.png", "Ver Imagen")</f>
        <v/>
      </c>
      <c r="P3852">
        <f>HYPERLINK("SE\A-497\A-497__726.png", "Ver Imagen")</f>
        <v/>
      </c>
    </row>
    <row r="3853">
      <c r="A3853" t="n">
        <v>3369</v>
      </c>
      <c r="B3853" t="inlineStr">
        <is>
          <t>A-497__721</t>
        </is>
      </c>
      <c r="C3853" t="n">
        <v>37.1927728317</v>
      </c>
      <c r="D3853" t="n">
        <v>-6.97747298689</v>
      </c>
      <c r="E3853" t="n">
        <v>2</v>
      </c>
      <c r="F3853" t="n">
        <v>3</v>
      </c>
      <c r="G3853" t="n">
        <v>3</v>
      </c>
      <c r="J3853" t="inlineStr">
        <is>
          <t>Moda</t>
        </is>
      </c>
      <c r="K3853" t="n">
        <v>3</v>
      </c>
      <c r="L3853" t="n">
        <v>2.797</v>
      </c>
      <c r="M3853" t="n">
        <v>0</v>
      </c>
      <c r="N3853" t="inlineStr">
        <is>
          <t>train</t>
        </is>
      </c>
      <c r="O3853">
        <f>HYPERLINK("3\1\marker_166_369052.png", "Ver Imagen")</f>
        <v/>
      </c>
      <c r="P3853">
        <f>HYPERLINK("SE\A-497\A-497__721.png", "Ver Imagen")</f>
        <v/>
      </c>
    </row>
    <row r="3854">
      <c r="A3854" t="n">
        <v>3370</v>
      </c>
      <c r="B3854" t="inlineStr">
        <is>
          <t>A-497__719</t>
        </is>
      </c>
      <c r="C3854" t="n">
        <v>37.1931651855</v>
      </c>
      <c r="D3854" t="n">
        <v>-6.97747874557</v>
      </c>
      <c r="E3854" t="n">
        <v>3</v>
      </c>
      <c r="F3854" t="n">
        <v>3</v>
      </c>
      <c r="G3854" t="n">
        <v>2</v>
      </c>
      <c r="J3854" t="inlineStr">
        <is>
          <t>Moda</t>
        </is>
      </c>
      <c r="K3854" t="n">
        <v>3</v>
      </c>
      <c r="L3854" t="n">
        <v>3.126</v>
      </c>
      <c r="M3854" t="n">
        <v>0</v>
      </c>
      <c r="N3854" t="inlineStr">
        <is>
          <t>train</t>
        </is>
      </c>
      <c r="O3854">
        <f>HYPERLINK("3\1\marker_281_369070.png", "Ver Imagen")</f>
        <v/>
      </c>
      <c r="P3854">
        <f>HYPERLINK("SE\A-497\A-497__719.png", "Ver Imagen")</f>
        <v/>
      </c>
    </row>
    <row r="3855">
      <c r="A3855" t="n">
        <v>3371</v>
      </c>
      <c r="B3855" t="inlineStr">
        <is>
          <t>A-497__715</t>
        </is>
      </c>
      <c r="C3855" t="n">
        <v>37.1939919735</v>
      </c>
      <c r="D3855" t="n">
        <v>-6.97757998917</v>
      </c>
      <c r="E3855" t="n">
        <v>3</v>
      </c>
      <c r="F3855" t="n">
        <v>3</v>
      </c>
      <c r="G3855" t="n">
        <v>4</v>
      </c>
      <c r="J3855" t="inlineStr">
        <is>
          <t>Moda</t>
        </is>
      </c>
      <c r="K3855" t="n">
        <v>3</v>
      </c>
      <c r="L3855" t="n">
        <v>2.556</v>
      </c>
      <c r="M3855" t="n">
        <v>0</v>
      </c>
      <c r="N3855" t="inlineStr">
        <is>
          <t>val</t>
        </is>
      </c>
      <c r="O3855">
        <f>HYPERLINK("3\1\marker_740_369113.png", "Ver Imagen")</f>
        <v/>
      </c>
      <c r="P3855">
        <f>HYPERLINK("SE\A-497\A-497__715.png", "Ver Imagen")</f>
        <v/>
      </c>
    </row>
    <row r="3856">
      <c r="A3856" t="n">
        <v>3372</v>
      </c>
      <c r="B3856" t="inlineStr">
        <is>
          <t>A-497_2C__192</t>
        </is>
      </c>
      <c r="C3856" t="n">
        <v>37.2646079295</v>
      </c>
      <c r="D3856" t="n">
        <v>-7.00112150581</v>
      </c>
      <c r="E3856" t="n">
        <v>4</v>
      </c>
      <c r="F3856" t="n">
        <v>3</v>
      </c>
      <c r="G3856" t="n">
        <v>3</v>
      </c>
      <c r="J3856" t="inlineStr">
        <is>
          <t>Moda</t>
        </is>
      </c>
      <c r="K3856" t="n">
        <v>3</v>
      </c>
      <c r="L3856" t="n">
        <v>2.981</v>
      </c>
      <c r="M3856" t="n">
        <v>0</v>
      </c>
      <c r="N3856" t="inlineStr">
        <is>
          <t>train</t>
        </is>
      </c>
      <c r="O3856">
        <f>HYPERLINK("3\1\marker_893_656445.png", "Ver Imagen")</f>
        <v/>
      </c>
      <c r="P3856">
        <f>HYPERLINK("SE\A-497_2C\A-497_2C__192.png", "Ver Imagen")</f>
        <v/>
      </c>
    </row>
    <row r="3857">
      <c r="A3857" t="n">
        <v>3373</v>
      </c>
      <c r="B3857" t="inlineStr">
        <is>
          <t>A-497_2C__193</t>
        </is>
      </c>
      <c r="C3857" t="n">
        <v>37.2645588037</v>
      </c>
      <c r="D3857" t="n">
        <v>-7.00139377519</v>
      </c>
      <c r="E3857" t="n">
        <v>3</v>
      </c>
      <c r="F3857" t="n">
        <v>3</v>
      </c>
      <c r="G3857" t="n">
        <v>2</v>
      </c>
      <c r="J3857" t="inlineStr">
        <is>
          <t>Moda</t>
        </is>
      </c>
      <c r="K3857" t="n">
        <v>3</v>
      </c>
      <c r="L3857" t="n">
        <v>2.965</v>
      </c>
      <c r="M3857" t="n">
        <v>0</v>
      </c>
      <c r="N3857" t="inlineStr">
        <is>
          <t>train</t>
        </is>
      </c>
      <c r="O3857">
        <f>HYPERLINK("3\1\marker_837_656454.png", "Ver Imagen")</f>
        <v/>
      </c>
      <c r="P3857">
        <f>HYPERLINK("SE\A-497_2C\A-497_2C__193.png", "Ver Imagen")</f>
        <v/>
      </c>
    </row>
    <row r="3858">
      <c r="A3858" t="n">
        <v>3374</v>
      </c>
      <c r="B3858" t="inlineStr">
        <is>
          <t>A-497__699</t>
        </is>
      </c>
      <c r="C3858" t="n">
        <v>37.1969503753</v>
      </c>
      <c r="D3858" t="n">
        <v>-6.97917792058</v>
      </c>
      <c r="E3858" t="n">
        <v>3</v>
      </c>
      <c r="F3858" t="n">
        <v>3</v>
      </c>
      <c r="G3858" t="n">
        <v>2</v>
      </c>
      <c r="J3858" t="inlineStr">
        <is>
          <t>Moda</t>
        </is>
      </c>
      <c r="K3858" t="n">
        <v>3</v>
      </c>
      <c r="L3858" t="n">
        <v>2.683</v>
      </c>
      <c r="M3858" t="n">
        <v>0</v>
      </c>
      <c r="N3858" t="inlineStr">
        <is>
          <t>train</t>
        </is>
      </c>
      <c r="O3858">
        <f>HYPERLINK("3\1\marker_891_370385.png", "Ver Imagen")</f>
        <v/>
      </c>
      <c r="P3858">
        <f>HYPERLINK("SE\A-497\A-497__699.png", "Ver Imagen")</f>
        <v/>
      </c>
    </row>
    <row r="3859">
      <c r="A3859" t="n">
        <v>3375</v>
      </c>
      <c r="B3859" t="inlineStr">
        <is>
          <t>A-497_2C__199</t>
        </is>
      </c>
      <c r="C3859" t="n">
        <v>37.264279895</v>
      </c>
      <c r="D3859" t="n">
        <v>-7.00294498895</v>
      </c>
      <c r="E3859" t="n">
        <v>2</v>
      </c>
      <c r="F3859" t="n">
        <v>3</v>
      </c>
      <c r="G3859" t="n">
        <v>3</v>
      </c>
      <c r="J3859" t="inlineStr">
        <is>
          <t>Moda</t>
        </is>
      </c>
      <c r="K3859" t="n">
        <v>3</v>
      </c>
      <c r="L3859" t="n">
        <v>2.995</v>
      </c>
      <c r="M3859" t="n">
        <v>0</v>
      </c>
      <c r="N3859" t="inlineStr">
        <is>
          <t>train</t>
        </is>
      </c>
      <c r="O3859">
        <f>HYPERLINK("3\1\marker_269_656515.png", "Ver Imagen")</f>
        <v/>
      </c>
      <c r="P3859">
        <f>HYPERLINK("SE\A-497_2C\A-497_2C__199.png", "Ver Imagen")</f>
        <v/>
      </c>
    </row>
    <row r="3860">
      <c r="A3860" t="n">
        <v>3376</v>
      </c>
      <c r="B3860" t="inlineStr">
        <is>
          <t>A-497_2C__200</t>
        </is>
      </c>
      <c r="C3860" t="n">
        <v>37.2642430853</v>
      </c>
      <c r="D3860" t="n">
        <v>-7.00315285925</v>
      </c>
      <c r="E3860" t="n">
        <v>2</v>
      </c>
      <c r="F3860" t="n">
        <v>3</v>
      </c>
      <c r="G3860" t="n">
        <v>3</v>
      </c>
      <c r="J3860" t="inlineStr">
        <is>
          <t>Moda</t>
        </is>
      </c>
      <c r="K3860" t="n">
        <v>3</v>
      </c>
      <c r="L3860" t="n">
        <v>3.026</v>
      </c>
      <c r="M3860" t="n">
        <v>0</v>
      </c>
      <c r="N3860" t="inlineStr">
        <is>
          <t>train</t>
        </is>
      </c>
      <c r="O3860">
        <f>HYPERLINK("3\1\marker_258_656525.png", "Ver Imagen")</f>
        <v/>
      </c>
      <c r="P3860">
        <f>HYPERLINK("SE\A-497_2C\A-497_2C__200.png", "Ver Imagen")</f>
        <v/>
      </c>
    </row>
    <row r="3861">
      <c r="A3861" t="n">
        <v>3377</v>
      </c>
      <c r="B3861" t="inlineStr">
        <is>
          <t>A-497_2C__201</t>
        </is>
      </c>
      <c r="C3861" t="n">
        <v>37.2641988666</v>
      </c>
      <c r="D3861" t="n">
        <v>-7.00340381306</v>
      </c>
      <c r="E3861" t="n">
        <v>2</v>
      </c>
      <c r="F3861" t="n">
        <v>3</v>
      </c>
      <c r="G3861" t="n">
        <v>3</v>
      </c>
      <c r="J3861" t="inlineStr">
        <is>
          <t>Moda</t>
        </is>
      </c>
      <c r="K3861" t="n">
        <v>3</v>
      </c>
      <c r="L3861" t="n">
        <v>3.148</v>
      </c>
      <c r="M3861" t="n">
        <v>0</v>
      </c>
      <c r="N3861" t="inlineStr">
        <is>
          <t>train</t>
        </is>
      </c>
      <c r="O3861">
        <f>HYPERLINK("3\1\marker_938_656534.png", "Ver Imagen")</f>
        <v/>
      </c>
      <c r="P3861">
        <f>HYPERLINK("SE\A-497_2C\A-497_2C__201.png", "Ver Imagen")</f>
        <v/>
      </c>
    </row>
    <row r="3862">
      <c r="A3862" t="n">
        <v>3378</v>
      </c>
      <c r="B3862" t="inlineStr">
        <is>
          <t>A-497_2C__202</t>
        </is>
      </c>
      <c r="C3862" t="n">
        <v>37.2641505599</v>
      </c>
      <c r="D3862" t="n">
        <v>-7.00367928708</v>
      </c>
      <c r="E3862" t="n">
        <v>2</v>
      </c>
      <c r="F3862" t="n">
        <v>3</v>
      </c>
      <c r="G3862" t="n">
        <v>3</v>
      </c>
      <c r="J3862" t="inlineStr">
        <is>
          <t>Moda</t>
        </is>
      </c>
      <c r="K3862" t="n">
        <v>3</v>
      </c>
      <c r="L3862" t="n">
        <v>2.853</v>
      </c>
      <c r="M3862" t="n">
        <v>0</v>
      </c>
      <c r="N3862" t="inlineStr">
        <is>
          <t>train</t>
        </is>
      </c>
      <c r="O3862">
        <f>HYPERLINK("3\1\marker_965_656550.png", "Ver Imagen")</f>
        <v/>
      </c>
      <c r="P3862">
        <f>HYPERLINK("SE\A-497_2C\A-497_2C__202.png", "Ver Imagen")</f>
        <v/>
      </c>
    </row>
    <row r="3863">
      <c r="A3863" t="n">
        <v>3379</v>
      </c>
      <c r="B3863" t="inlineStr">
        <is>
          <t>A-497_2C__203</t>
        </is>
      </c>
      <c r="C3863" t="n">
        <v>37.2641161655</v>
      </c>
      <c r="D3863" t="n">
        <v>-7.0038748008</v>
      </c>
      <c r="E3863" t="n">
        <v>2</v>
      </c>
      <c r="F3863" t="n">
        <v>3</v>
      </c>
      <c r="G3863" t="n">
        <v>3</v>
      </c>
      <c r="J3863" t="inlineStr">
        <is>
          <t>Moda</t>
        </is>
      </c>
      <c r="K3863" t="n">
        <v>3</v>
      </c>
      <c r="L3863" t="n">
        <v>3.054</v>
      </c>
      <c r="M3863" t="n">
        <v>0</v>
      </c>
      <c r="N3863" t="inlineStr">
        <is>
          <t>test</t>
        </is>
      </c>
      <c r="O3863">
        <f>HYPERLINK("3\1\marker_198_656579.png", "Ver Imagen")</f>
        <v/>
      </c>
      <c r="P3863">
        <f>HYPERLINK("SE\A-497_2C\A-497_2C__203.png", "Ver Imagen")</f>
        <v/>
      </c>
    </row>
    <row r="3864">
      <c r="A3864" t="n">
        <v>3380</v>
      </c>
      <c r="B3864" t="inlineStr">
        <is>
          <t>A-497_2C__204</t>
        </is>
      </c>
      <c r="C3864" t="n">
        <v>37.2640725687</v>
      </c>
      <c r="D3864" t="n">
        <v>-7.00411992732</v>
      </c>
      <c r="E3864" t="n">
        <v>2</v>
      </c>
      <c r="F3864" t="n">
        <v>3</v>
      </c>
      <c r="G3864" t="n">
        <v>3</v>
      </c>
      <c r="J3864" t="inlineStr">
        <is>
          <t>Moda</t>
        </is>
      </c>
      <c r="K3864" t="n">
        <v>3</v>
      </c>
      <c r="L3864" t="n">
        <v>2.693</v>
      </c>
      <c r="M3864" t="n">
        <v>0</v>
      </c>
      <c r="N3864" t="inlineStr">
        <is>
          <t>train</t>
        </is>
      </c>
      <c r="O3864">
        <f>HYPERLINK("3\1\marker_853_656589.png", "Ver Imagen")</f>
        <v/>
      </c>
      <c r="P3864">
        <f>HYPERLINK("SE\A-497_2C\A-497_2C__204.png", "Ver Imagen")</f>
        <v/>
      </c>
    </row>
    <row r="3865">
      <c r="A3865" t="n">
        <v>3381</v>
      </c>
      <c r="B3865" t="inlineStr">
        <is>
          <t>A-497_2C__205</t>
        </is>
      </c>
      <c r="C3865" t="n">
        <v>37.2640323783</v>
      </c>
      <c r="D3865" t="n">
        <v>-7.00434609335</v>
      </c>
      <c r="E3865" t="n">
        <v>4</v>
      </c>
      <c r="F3865" t="n">
        <v>3</v>
      </c>
      <c r="G3865" t="n">
        <v>3</v>
      </c>
      <c r="J3865" t="inlineStr">
        <is>
          <t>Moda</t>
        </is>
      </c>
      <c r="K3865" t="n">
        <v>3</v>
      </c>
      <c r="L3865" t="n">
        <v>2.832</v>
      </c>
      <c r="M3865" t="n">
        <v>0</v>
      </c>
      <c r="N3865" t="inlineStr">
        <is>
          <t>train</t>
        </is>
      </c>
      <c r="O3865">
        <f>HYPERLINK("3\1\marker_652_656600.png", "Ver Imagen")</f>
        <v/>
      </c>
      <c r="P3865">
        <f>HYPERLINK("SE\A-497_2C\A-497_2C__205.png", "Ver Imagen")</f>
        <v/>
      </c>
    </row>
    <row r="3866">
      <c r="A3866" t="n">
        <v>3382</v>
      </c>
      <c r="B3866" t="inlineStr">
        <is>
          <t>A-497_2C__207</t>
        </is>
      </c>
      <c r="C3866" t="n">
        <v>37.2639406302</v>
      </c>
      <c r="D3866" t="n">
        <v>-7.00486692448</v>
      </c>
      <c r="E3866" t="n">
        <v>2</v>
      </c>
      <c r="F3866" t="n">
        <v>3</v>
      </c>
      <c r="G3866" t="n">
        <v>3</v>
      </c>
      <c r="J3866" t="inlineStr">
        <is>
          <t>Moda</t>
        </is>
      </c>
      <c r="K3866" t="n">
        <v>3</v>
      </c>
      <c r="L3866" t="n">
        <v>2.604</v>
      </c>
      <c r="M3866" t="n">
        <v>0</v>
      </c>
      <c r="N3866" t="inlineStr">
        <is>
          <t>train</t>
        </is>
      </c>
      <c r="O3866">
        <f>HYPERLINK("3\1\marker_393_656619.png", "Ver Imagen")</f>
        <v/>
      </c>
      <c r="P3866">
        <f>HYPERLINK("SE\A-497_2C\A-497_2C__207.png", "Ver Imagen")</f>
        <v/>
      </c>
    </row>
    <row r="3867">
      <c r="A3867" t="n">
        <v>3383</v>
      </c>
      <c r="B3867" t="inlineStr">
        <is>
          <t>A-497_2C__208</t>
        </is>
      </c>
      <c r="C3867" t="n">
        <v>37.2639008486</v>
      </c>
      <c r="D3867" t="n">
        <v>-7.00509160783</v>
      </c>
      <c r="E3867" t="n">
        <v>2</v>
      </c>
      <c r="F3867" t="n">
        <v>3</v>
      </c>
      <c r="G3867" t="n">
        <v>3</v>
      </c>
      <c r="J3867" t="inlineStr">
        <is>
          <t>Moda</t>
        </is>
      </c>
      <c r="K3867" t="n">
        <v>3</v>
      </c>
      <c r="L3867" t="n">
        <v>2.59</v>
      </c>
      <c r="M3867" t="n">
        <v>0</v>
      </c>
      <c r="N3867" t="inlineStr">
        <is>
          <t>train</t>
        </is>
      </c>
      <c r="O3867">
        <f>HYPERLINK("3\1\marker_297_656630.png", "Ver Imagen")</f>
        <v/>
      </c>
      <c r="P3867">
        <f>HYPERLINK("SE\A-497_2C\A-497_2C__208.png", "Ver Imagen")</f>
        <v/>
      </c>
    </row>
    <row r="3868">
      <c r="A3868" t="n">
        <v>3384</v>
      </c>
      <c r="B3868" t="inlineStr">
        <is>
          <t>A-497_2C__209</t>
        </is>
      </c>
      <c r="C3868" t="n">
        <v>37.2638558089</v>
      </c>
      <c r="D3868" t="n">
        <v>-7.00534505515</v>
      </c>
      <c r="E3868" t="n">
        <v>2</v>
      </c>
      <c r="F3868" t="n">
        <v>3</v>
      </c>
      <c r="G3868" t="n">
        <v>3</v>
      </c>
      <c r="J3868" t="inlineStr">
        <is>
          <t>Moda</t>
        </is>
      </c>
      <c r="K3868" t="n">
        <v>3</v>
      </c>
      <c r="L3868" t="n">
        <v>2.971</v>
      </c>
      <c r="M3868" t="n">
        <v>0</v>
      </c>
      <c r="N3868" t="inlineStr">
        <is>
          <t>train</t>
        </is>
      </c>
      <c r="O3868">
        <f>HYPERLINK("3\1\marker_228_656639.png", "Ver Imagen")</f>
        <v/>
      </c>
      <c r="P3868">
        <f>HYPERLINK("SE\A-497_2C\A-497_2C__209.png", "Ver Imagen")</f>
        <v/>
      </c>
    </row>
    <row r="3869">
      <c r="A3869" t="n">
        <v>3385</v>
      </c>
      <c r="B3869" t="inlineStr">
        <is>
          <t>A-497_2C__210</t>
        </is>
      </c>
      <c r="C3869" t="n">
        <v>37.263809695</v>
      </c>
      <c r="D3869" t="n">
        <v>-7.00560533405</v>
      </c>
      <c r="E3869" t="n">
        <v>2</v>
      </c>
      <c r="F3869" t="n">
        <v>3</v>
      </c>
      <c r="G3869" t="n">
        <v>3</v>
      </c>
      <c r="J3869" t="inlineStr">
        <is>
          <t>Moda</t>
        </is>
      </c>
      <c r="K3869" t="n">
        <v>3</v>
      </c>
      <c r="L3869" t="n">
        <v>2.914</v>
      </c>
      <c r="M3869" t="n">
        <v>0</v>
      </c>
      <c r="N3869" t="inlineStr">
        <is>
          <t>train</t>
        </is>
      </c>
      <c r="O3869">
        <f>HYPERLINK("3\1\marker_143_656652.png", "Ver Imagen")</f>
        <v/>
      </c>
      <c r="P3869">
        <f>HYPERLINK("SE\A-497_2C\A-497_2C__210.png", "Ver Imagen")</f>
        <v/>
      </c>
    </row>
    <row r="3870">
      <c r="A3870" t="n">
        <v>3386</v>
      </c>
      <c r="B3870" t="inlineStr">
        <is>
          <t>A-497_2C__211</t>
        </is>
      </c>
      <c r="C3870" t="n">
        <v>37.2637690314</v>
      </c>
      <c r="D3870" t="n">
        <v>-7.00583402074</v>
      </c>
      <c r="E3870" t="n">
        <v>2</v>
      </c>
      <c r="F3870" t="n">
        <v>3</v>
      </c>
      <c r="G3870" t="n">
        <v>3</v>
      </c>
      <c r="J3870" t="inlineStr">
        <is>
          <t>Moda</t>
        </is>
      </c>
      <c r="K3870" t="n">
        <v>3</v>
      </c>
      <c r="L3870" t="n">
        <v>2.919</v>
      </c>
      <c r="M3870" t="n">
        <v>0</v>
      </c>
      <c r="N3870" t="inlineStr">
        <is>
          <t>train</t>
        </is>
      </c>
      <c r="O3870">
        <f>HYPERLINK("3\1\marker_305_656664.png", "Ver Imagen")</f>
        <v/>
      </c>
      <c r="P3870">
        <f>HYPERLINK("SE\A-497_2C\A-497_2C__211.png", "Ver Imagen")</f>
        <v/>
      </c>
    </row>
    <row r="3871">
      <c r="A3871" t="n">
        <v>3387</v>
      </c>
      <c r="B3871" t="inlineStr">
        <is>
          <t>A-497_2C__212</t>
        </is>
      </c>
      <c r="C3871" t="n">
        <v>37.2637146263</v>
      </c>
      <c r="D3871" t="n">
        <v>-7.00613698875</v>
      </c>
      <c r="E3871" t="n">
        <v>2</v>
      </c>
      <c r="F3871" t="n">
        <v>3</v>
      </c>
      <c r="G3871" t="n">
        <v>3</v>
      </c>
      <c r="J3871" t="inlineStr">
        <is>
          <t>Moda</t>
        </is>
      </c>
      <c r="K3871" t="n">
        <v>3</v>
      </c>
      <c r="L3871" t="n">
        <v>2.859</v>
      </c>
      <c r="M3871" t="n">
        <v>0</v>
      </c>
      <c r="N3871" t="inlineStr">
        <is>
          <t>val</t>
        </is>
      </c>
      <c r="O3871">
        <f>HYPERLINK("3\1\marker_152_656672.png", "Ver Imagen")</f>
        <v/>
      </c>
      <c r="P3871">
        <f>HYPERLINK("SE\A-497_2C\A-497_2C__212.png", "Ver Imagen")</f>
        <v/>
      </c>
    </row>
    <row r="3872">
      <c r="A3872" t="n">
        <v>3388</v>
      </c>
      <c r="B3872" t="inlineStr">
        <is>
          <t>A-497_2C__213</t>
        </is>
      </c>
      <c r="C3872" t="n">
        <v>37.2636764289</v>
      </c>
      <c r="D3872" t="n">
        <v>-7.00634926096</v>
      </c>
      <c r="E3872" t="n">
        <v>2</v>
      </c>
      <c r="F3872" t="n">
        <v>3</v>
      </c>
      <c r="G3872" t="n">
        <v>3</v>
      </c>
      <c r="J3872" t="inlineStr">
        <is>
          <t>Moda</t>
        </is>
      </c>
      <c r="K3872" t="n">
        <v>3</v>
      </c>
      <c r="L3872" t="n">
        <v>2.961</v>
      </c>
      <c r="M3872" t="n">
        <v>0</v>
      </c>
      <c r="N3872" t="inlineStr">
        <is>
          <t>train</t>
        </is>
      </c>
      <c r="O3872">
        <f>HYPERLINK("3\1\marker_950_656683.png", "Ver Imagen")</f>
        <v/>
      </c>
      <c r="P3872">
        <f>HYPERLINK("SE\A-497_2C\A-497_2C__213.png", "Ver Imagen")</f>
        <v/>
      </c>
    </row>
    <row r="3873">
      <c r="A3873" t="n">
        <v>3389</v>
      </c>
      <c r="B3873" t="inlineStr">
        <is>
          <t>A-497_2C__214</t>
        </is>
      </c>
      <c r="C3873" t="n">
        <v>37.2636336767</v>
      </c>
      <c r="D3873" t="n">
        <v>-7.00658579854</v>
      </c>
      <c r="E3873" t="n">
        <v>2</v>
      </c>
      <c r="F3873" t="n">
        <v>3</v>
      </c>
      <c r="G3873" t="n">
        <v>3</v>
      </c>
      <c r="J3873" t="inlineStr">
        <is>
          <t>Moda</t>
        </is>
      </c>
      <c r="K3873" t="n">
        <v>3</v>
      </c>
      <c r="L3873" t="n">
        <v>2.777</v>
      </c>
      <c r="M3873" t="n">
        <v>0</v>
      </c>
      <c r="N3873" t="inlineStr">
        <is>
          <t>train</t>
        </is>
      </c>
      <c r="O3873">
        <f>HYPERLINK("3\1\marker_519_656692.png", "Ver Imagen")</f>
        <v/>
      </c>
      <c r="P3873">
        <f>HYPERLINK("SE\A-497_2C\A-497_2C__214.png", "Ver Imagen")</f>
        <v/>
      </c>
    </row>
    <row r="3874">
      <c r="A3874" t="n">
        <v>3390</v>
      </c>
      <c r="B3874" t="inlineStr">
        <is>
          <t>A-497__697</t>
        </is>
      </c>
      <c r="C3874" t="n">
        <v>37.1972644501</v>
      </c>
      <c r="D3874" t="n">
        <v>-6.97949745795</v>
      </c>
      <c r="E3874" t="n">
        <v>3</v>
      </c>
      <c r="F3874" t="n">
        <v>3</v>
      </c>
      <c r="G3874" t="n">
        <v>4</v>
      </c>
      <c r="J3874" t="inlineStr">
        <is>
          <t>Moda</t>
        </is>
      </c>
      <c r="K3874" t="n">
        <v>3</v>
      </c>
      <c r="L3874" t="n">
        <v>2.857</v>
      </c>
      <c r="M3874" t="n">
        <v>0</v>
      </c>
      <c r="N3874" t="inlineStr">
        <is>
          <t>train</t>
        </is>
      </c>
      <c r="O3874">
        <f>HYPERLINK("3\1\marker_252_370406.png", "Ver Imagen")</f>
        <v/>
      </c>
      <c r="P3874">
        <f>HYPERLINK("SE\A-497\A-497__697.png", "Ver Imagen")</f>
        <v/>
      </c>
    </row>
    <row r="3875">
      <c r="A3875" t="n">
        <v>3391</v>
      </c>
      <c r="B3875" t="inlineStr">
        <is>
          <t>A-497__696</t>
        </is>
      </c>
      <c r="C3875" t="n">
        <v>37.1974331185</v>
      </c>
      <c r="D3875" t="n">
        <v>-6.97968439606</v>
      </c>
      <c r="E3875" t="n">
        <v>2</v>
      </c>
      <c r="F3875" t="n">
        <v>3</v>
      </c>
      <c r="G3875" t="n">
        <v>3</v>
      </c>
      <c r="J3875" t="inlineStr">
        <is>
          <t>Moda</t>
        </is>
      </c>
      <c r="K3875" t="n">
        <v>3</v>
      </c>
      <c r="L3875" t="n">
        <v>2.98</v>
      </c>
      <c r="M3875" t="n">
        <v>0</v>
      </c>
      <c r="N3875" t="inlineStr">
        <is>
          <t>val</t>
        </is>
      </c>
      <c r="O3875">
        <f>HYPERLINK("3\1\marker_473_370415.png", "Ver Imagen")</f>
        <v/>
      </c>
      <c r="P3875">
        <f>HYPERLINK("SE\A-497\A-497__696.png", "Ver Imagen")</f>
        <v/>
      </c>
    </row>
    <row r="3876">
      <c r="A3876" t="n">
        <v>3392</v>
      </c>
      <c r="B3876" t="inlineStr">
        <is>
          <t>A-497__695</t>
        </is>
      </c>
      <c r="C3876" t="n">
        <v>37.1975616677</v>
      </c>
      <c r="D3876" t="n">
        <v>-6.97983518793</v>
      </c>
      <c r="E3876" t="n">
        <v>2</v>
      </c>
      <c r="F3876" t="n">
        <v>3</v>
      </c>
      <c r="G3876" t="n">
        <v>3</v>
      </c>
      <c r="J3876" t="inlineStr">
        <is>
          <t>Moda</t>
        </is>
      </c>
      <c r="K3876" t="n">
        <v>3</v>
      </c>
      <c r="L3876" t="n">
        <v>2.814</v>
      </c>
      <c r="M3876" t="n">
        <v>0</v>
      </c>
      <c r="N3876" t="inlineStr">
        <is>
          <t>train</t>
        </is>
      </c>
      <c r="O3876">
        <f>HYPERLINK("3\1\marker_548_370430.png", "Ver Imagen")</f>
        <v/>
      </c>
      <c r="P3876">
        <f>HYPERLINK("SE\A-497\A-497__695.png", "Ver Imagen")</f>
        <v/>
      </c>
    </row>
    <row r="3877">
      <c r="A3877" t="n">
        <v>3393</v>
      </c>
      <c r="B3877" t="inlineStr">
        <is>
          <t>A-497__691</t>
        </is>
      </c>
      <c r="C3877" t="n">
        <v>37.1980824893</v>
      </c>
      <c r="D3877" t="n">
        <v>-6.98055069672</v>
      </c>
      <c r="E3877" t="n">
        <v>2</v>
      </c>
      <c r="F3877" t="n">
        <v>3</v>
      </c>
      <c r="G3877" t="n">
        <v>3</v>
      </c>
      <c r="J3877" t="inlineStr">
        <is>
          <t>Moda</t>
        </is>
      </c>
      <c r="K3877" t="n">
        <v>3</v>
      </c>
      <c r="L3877" t="n">
        <v>2.655</v>
      </c>
      <c r="M3877" t="n">
        <v>0</v>
      </c>
      <c r="N3877" t="inlineStr">
        <is>
          <t>train</t>
        </is>
      </c>
      <c r="O3877">
        <f>HYPERLINK("3\1\marker_959_370465.png", "Ver Imagen")</f>
        <v/>
      </c>
      <c r="P3877">
        <f>HYPERLINK("SE\A-497\A-497__691.png", "Ver Imagen")</f>
        <v/>
      </c>
    </row>
    <row r="3878">
      <c r="A3878" t="n">
        <v>3394</v>
      </c>
      <c r="B3878" t="inlineStr">
        <is>
          <t>A-497__685</t>
        </is>
      </c>
      <c r="C3878" t="n">
        <v>37.1987733923</v>
      </c>
      <c r="D3878" t="n">
        <v>-6.98184504528</v>
      </c>
      <c r="E3878" t="n">
        <v>2</v>
      </c>
      <c r="F3878" t="n">
        <v>3</v>
      </c>
      <c r="G3878" t="n">
        <v>3</v>
      </c>
      <c r="J3878" t="inlineStr">
        <is>
          <t>Moda</t>
        </is>
      </c>
      <c r="K3878" t="n">
        <v>3</v>
      </c>
      <c r="L3878" t="n">
        <v>2.707</v>
      </c>
      <c r="M3878" t="n">
        <v>0</v>
      </c>
      <c r="N3878" t="inlineStr">
        <is>
          <t>train</t>
        </is>
      </c>
      <c r="O3878">
        <f>HYPERLINK("3\1\marker_564_370521.png", "Ver Imagen")</f>
        <v/>
      </c>
      <c r="P3878">
        <f>HYPERLINK("SE\A-497\A-497__685.png", "Ver Imagen")</f>
        <v/>
      </c>
    </row>
    <row r="3879">
      <c r="A3879" t="n">
        <v>3395</v>
      </c>
      <c r="B3879" t="inlineStr">
        <is>
          <t>A-497__684</t>
        </is>
      </c>
      <c r="C3879" t="n">
        <v>37.1988582967</v>
      </c>
      <c r="D3879" t="n">
        <v>-6.98204425669</v>
      </c>
      <c r="E3879" t="n">
        <v>2</v>
      </c>
      <c r="F3879" t="n">
        <v>3</v>
      </c>
      <c r="G3879" t="n">
        <v>3</v>
      </c>
      <c r="J3879" t="inlineStr">
        <is>
          <t>Moda</t>
        </is>
      </c>
      <c r="K3879" t="n">
        <v>3</v>
      </c>
      <c r="L3879" t="n">
        <v>3.083</v>
      </c>
      <c r="M3879" t="n">
        <v>0</v>
      </c>
      <c r="N3879" t="inlineStr">
        <is>
          <t>train</t>
        </is>
      </c>
      <c r="O3879">
        <f>HYPERLINK("3\1\marker_873_370531.png", "Ver Imagen")</f>
        <v/>
      </c>
      <c r="P3879">
        <f>HYPERLINK("SE\A-497\A-497__684.png", "Ver Imagen")</f>
        <v/>
      </c>
    </row>
    <row r="3880">
      <c r="A3880" t="n">
        <v>3396</v>
      </c>
      <c r="B3880" t="inlineStr">
        <is>
          <t>A-497__683</t>
        </is>
      </c>
      <c r="C3880" t="n">
        <v>37.1989447827</v>
      </c>
      <c r="D3880" t="n">
        <v>-6.98225808402</v>
      </c>
      <c r="E3880" t="n">
        <v>2</v>
      </c>
      <c r="F3880" t="n">
        <v>3</v>
      </c>
      <c r="G3880" t="n">
        <v>3</v>
      </c>
      <c r="J3880" t="inlineStr">
        <is>
          <t>Moda</t>
        </is>
      </c>
      <c r="K3880" t="n">
        <v>3</v>
      </c>
      <c r="L3880" t="n">
        <v>2.736</v>
      </c>
      <c r="M3880" t="n">
        <v>0</v>
      </c>
      <c r="N3880" t="inlineStr">
        <is>
          <t>train</t>
        </is>
      </c>
      <c r="O3880">
        <f>HYPERLINK("3\1\marker_680_370541.png", "Ver Imagen")</f>
        <v/>
      </c>
      <c r="P3880">
        <f>HYPERLINK("SE\A-497\A-497__683.png", "Ver Imagen")</f>
        <v/>
      </c>
    </row>
    <row r="3881">
      <c r="A3881" t="n">
        <v>3397</v>
      </c>
      <c r="B3881" t="inlineStr">
        <is>
          <t>A-497_2C__222</t>
        </is>
      </c>
      <c r="C3881" t="n">
        <v>37.2631275277</v>
      </c>
      <c r="D3881" t="n">
        <v>-7.00849625261</v>
      </c>
      <c r="E3881" t="n">
        <v>2</v>
      </c>
      <c r="F3881" t="n">
        <v>3</v>
      </c>
      <c r="G3881" t="n">
        <v>3</v>
      </c>
      <c r="J3881" t="inlineStr">
        <is>
          <t>Moda</t>
        </is>
      </c>
      <c r="K3881" t="n">
        <v>3</v>
      </c>
      <c r="L3881" t="n">
        <v>3.201</v>
      </c>
      <c r="M3881" t="n">
        <v>0</v>
      </c>
      <c r="N3881" t="inlineStr">
        <is>
          <t>train</t>
        </is>
      </c>
      <c r="O3881">
        <f>HYPERLINK("3\1\marker_145_656784.png", "Ver Imagen")</f>
        <v/>
      </c>
      <c r="P3881">
        <f>HYPERLINK("SE\A-497_2C\A-497_2C__222.png", "Ver Imagen")</f>
        <v/>
      </c>
    </row>
    <row r="3882">
      <c r="A3882" t="n">
        <v>3398</v>
      </c>
      <c r="B3882" t="inlineStr">
        <is>
          <t>A-497__678</t>
        </is>
      </c>
      <c r="C3882" t="n">
        <v>37.199352613</v>
      </c>
      <c r="D3882" t="n">
        <v>-6.9834346155</v>
      </c>
      <c r="E3882" t="n">
        <v>2</v>
      </c>
      <c r="F3882" t="n">
        <v>3</v>
      </c>
      <c r="G3882" t="n">
        <v>3</v>
      </c>
      <c r="J3882" t="inlineStr">
        <is>
          <t>Moda</t>
        </is>
      </c>
      <c r="K3882" t="n">
        <v>3</v>
      </c>
      <c r="L3882" t="n">
        <v>2.895</v>
      </c>
      <c r="M3882" t="n">
        <v>0</v>
      </c>
      <c r="N3882" t="inlineStr">
        <is>
          <t>train</t>
        </is>
      </c>
      <c r="O3882">
        <f>HYPERLINK("3\1\marker_452_370591.png", "Ver Imagen")</f>
        <v/>
      </c>
      <c r="P3882">
        <f>HYPERLINK("SE\A-497\A-497__678.png", "Ver Imagen")</f>
        <v/>
      </c>
    </row>
    <row r="3883">
      <c r="A3883" t="n">
        <v>3399</v>
      </c>
      <c r="B3883" t="inlineStr">
        <is>
          <t>A-497__677</t>
        </is>
      </c>
      <c r="C3883" t="n">
        <v>37.1994306235</v>
      </c>
      <c r="D3883" t="n">
        <v>-6.98369139035</v>
      </c>
      <c r="E3883" t="n">
        <v>2</v>
      </c>
      <c r="F3883" t="n">
        <v>3</v>
      </c>
      <c r="G3883" t="n">
        <v>3</v>
      </c>
      <c r="J3883" t="inlineStr">
        <is>
          <t>Moda</t>
        </is>
      </c>
      <c r="K3883" t="n">
        <v>3</v>
      </c>
      <c r="L3883" t="n">
        <v>2.923</v>
      </c>
      <c r="M3883" t="n">
        <v>0</v>
      </c>
      <c r="N3883" t="inlineStr">
        <is>
          <t>train</t>
        </is>
      </c>
      <c r="O3883">
        <f>HYPERLINK("3\1\marker_619_370607.png", "Ver Imagen")</f>
        <v/>
      </c>
      <c r="P3883">
        <f>HYPERLINK("SE\A-497\A-497__677.png", "Ver Imagen")</f>
        <v/>
      </c>
    </row>
    <row r="3884">
      <c r="A3884" t="n">
        <v>3400</v>
      </c>
      <c r="B3884" t="inlineStr">
        <is>
          <t>A-497__676</t>
        </is>
      </c>
      <c r="C3884" t="n">
        <v>37.1994904913</v>
      </c>
      <c r="D3884" t="n">
        <v>-6.98389580977</v>
      </c>
      <c r="E3884" t="n">
        <v>2</v>
      </c>
      <c r="F3884" t="n">
        <v>3</v>
      </c>
      <c r="G3884" t="n">
        <v>3</v>
      </c>
      <c r="J3884" t="inlineStr">
        <is>
          <t>Moda</t>
        </is>
      </c>
      <c r="K3884" t="n">
        <v>3</v>
      </c>
      <c r="L3884" t="n">
        <v>3.058</v>
      </c>
      <c r="M3884" t="n">
        <v>0</v>
      </c>
      <c r="N3884" t="inlineStr">
        <is>
          <t>train</t>
        </is>
      </c>
      <c r="O3884">
        <f>HYPERLINK("3\1\marker_932_370615.png", "Ver Imagen")</f>
        <v/>
      </c>
      <c r="P3884">
        <f>HYPERLINK("SE\A-497\A-497__676.png", "Ver Imagen")</f>
        <v/>
      </c>
    </row>
    <row r="3885">
      <c r="A3885" t="n">
        <v>3401</v>
      </c>
      <c r="B3885" t="inlineStr">
        <is>
          <t>A-497_2C__236</t>
        </is>
      </c>
      <c r="C3885" t="n">
        <v>37.2611739149</v>
      </c>
      <c r="D3885" t="n">
        <v>-7.01095771569</v>
      </c>
      <c r="E3885" t="n">
        <v>2</v>
      </c>
      <c r="F3885" t="n">
        <v>3</v>
      </c>
      <c r="G3885" t="n">
        <v>3</v>
      </c>
      <c r="J3885" t="inlineStr">
        <is>
          <t>Moda</t>
        </is>
      </c>
      <c r="K3885" t="n">
        <v>3</v>
      </c>
      <c r="L3885" t="n">
        <v>3.258</v>
      </c>
      <c r="M3885" t="n">
        <v>0</v>
      </c>
      <c r="N3885" t="inlineStr">
        <is>
          <t>train</t>
        </is>
      </c>
      <c r="O3885">
        <f>HYPERLINK("3\1\marker_644_656934.png", "Ver Imagen")</f>
        <v/>
      </c>
      <c r="P3885">
        <f>HYPERLINK("SE\A-497_2C\A-497_2C__236.png", "Ver Imagen")</f>
        <v/>
      </c>
    </row>
    <row r="3886">
      <c r="A3886" t="n">
        <v>3402</v>
      </c>
      <c r="B3886" t="inlineStr">
        <is>
          <t>A-497__668</t>
        </is>
      </c>
      <c r="C3886" t="n">
        <v>37.2000074753</v>
      </c>
      <c r="D3886" t="n">
        <v>-6.98587057615</v>
      </c>
      <c r="E3886" t="n">
        <v>3</v>
      </c>
      <c r="F3886" t="n">
        <v>3</v>
      </c>
      <c r="G3886" t="n">
        <v>4</v>
      </c>
      <c r="J3886" t="inlineStr">
        <is>
          <t>Moda</t>
        </is>
      </c>
      <c r="K3886" t="n">
        <v>3</v>
      </c>
      <c r="L3886" t="n">
        <v>2.841</v>
      </c>
      <c r="M3886" t="n">
        <v>0</v>
      </c>
      <c r="N3886" t="inlineStr">
        <is>
          <t>train</t>
        </is>
      </c>
      <c r="O3886">
        <f>HYPERLINK("3\1\marker_117_371043.png", "Ver Imagen")</f>
        <v/>
      </c>
      <c r="P3886">
        <f>HYPERLINK("SE\A-497\A-497__668.png", "Ver Imagen")</f>
        <v/>
      </c>
    </row>
    <row r="3887">
      <c r="A3887" t="n">
        <v>3403</v>
      </c>
      <c r="B3887" t="inlineStr">
        <is>
          <t>A-497_2C__241</t>
        </is>
      </c>
      <c r="C3887" t="n">
        <v>37.2602637769</v>
      </c>
      <c r="D3887" t="n">
        <v>-7.01154047135</v>
      </c>
      <c r="E3887" t="n">
        <v>3</v>
      </c>
      <c r="F3887" t="n">
        <v>3</v>
      </c>
      <c r="G3887" t="n">
        <v>2</v>
      </c>
      <c r="J3887" t="inlineStr">
        <is>
          <t>Moda</t>
        </is>
      </c>
      <c r="K3887" t="n">
        <v>3</v>
      </c>
      <c r="L3887" t="n">
        <v>2.899</v>
      </c>
      <c r="M3887" t="n">
        <v>0</v>
      </c>
      <c r="N3887" t="inlineStr">
        <is>
          <t>train</t>
        </is>
      </c>
      <c r="O3887">
        <f>HYPERLINK("3\1\marker_345_657035.png", "Ver Imagen")</f>
        <v/>
      </c>
      <c r="P3887">
        <f>HYPERLINK("SE\A-497_2C\A-497_2C__241.png", "Ver Imagen")</f>
        <v/>
      </c>
    </row>
    <row r="3888">
      <c r="A3888" t="n">
        <v>3404</v>
      </c>
      <c r="B3888" t="inlineStr">
        <is>
          <t>A-497__665</t>
        </is>
      </c>
      <c r="C3888" t="n">
        <v>37.2001916113</v>
      </c>
      <c r="D3888" t="n">
        <v>-6.98662356722</v>
      </c>
      <c r="E3888" t="n">
        <v>2</v>
      </c>
      <c r="F3888" t="n">
        <v>3</v>
      </c>
      <c r="G3888" t="n">
        <v>3</v>
      </c>
      <c r="J3888" t="inlineStr">
        <is>
          <t>Moda</t>
        </is>
      </c>
      <c r="K3888" t="n">
        <v>3</v>
      </c>
      <c r="L3888" t="n">
        <v>3.302</v>
      </c>
      <c r="M3888" t="n">
        <v>0</v>
      </c>
      <c r="N3888" t="inlineStr">
        <is>
          <t>train</t>
        </is>
      </c>
      <c r="O3888">
        <f>HYPERLINK("3\1\marker_861_371069.png", "Ver Imagen")</f>
        <v/>
      </c>
      <c r="P3888">
        <f>HYPERLINK("SE\A-497\A-497__665.png", "Ver Imagen")</f>
        <v/>
      </c>
    </row>
    <row r="3889">
      <c r="A3889" t="n">
        <v>3405</v>
      </c>
      <c r="B3889" t="inlineStr">
        <is>
          <t>A-497_2C__243</t>
        </is>
      </c>
      <c r="C3889" t="n">
        <v>37.259881105</v>
      </c>
      <c r="D3889" t="n">
        <v>-7.01178334893</v>
      </c>
      <c r="E3889" t="n">
        <v>2</v>
      </c>
      <c r="F3889" t="n">
        <v>3</v>
      </c>
      <c r="G3889" t="n">
        <v>3</v>
      </c>
      <c r="J3889" t="inlineStr">
        <is>
          <t>Moda</t>
        </is>
      </c>
      <c r="K3889" t="n">
        <v>3</v>
      </c>
      <c r="L3889" t="n">
        <v>2.987</v>
      </c>
      <c r="M3889" t="n">
        <v>0</v>
      </c>
      <c r="N3889" t="inlineStr">
        <is>
          <t>train</t>
        </is>
      </c>
      <c r="O3889">
        <f>HYPERLINK("3\1\marker_316_657051.png", "Ver Imagen")</f>
        <v/>
      </c>
      <c r="P3889">
        <f>HYPERLINK("SE\A-497_2C\A-497_2C__243.png", "Ver Imagen")</f>
        <v/>
      </c>
    </row>
    <row r="3890">
      <c r="A3890" t="n">
        <v>3406</v>
      </c>
      <c r="B3890" t="inlineStr">
        <is>
          <t>A-497__663</t>
        </is>
      </c>
      <c r="C3890" t="n">
        <v>37.2002859192</v>
      </c>
      <c r="D3890" t="n">
        <v>-6.98701261832</v>
      </c>
      <c r="E3890" t="n">
        <v>2</v>
      </c>
      <c r="F3890" t="n">
        <v>3</v>
      </c>
      <c r="G3890" t="n">
        <v>3</v>
      </c>
      <c r="J3890" t="inlineStr">
        <is>
          <t>Moda</t>
        </is>
      </c>
      <c r="K3890" t="n">
        <v>3</v>
      </c>
      <c r="L3890" t="n">
        <v>2.927</v>
      </c>
      <c r="M3890" t="n">
        <v>0</v>
      </c>
      <c r="N3890" t="inlineStr">
        <is>
          <t>train</t>
        </is>
      </c>
      <c r="O3890">
        <f>HYPERLINK("3\1\marker_946_371124.png", "Ver Imagen")</f>
        <v/>
      </c>
      <c r="P3890">
        <f>HYPERLINK("SE\A-497\A-497__663.png", "Ver Imagen")</f>
        <v/>
      </c>
    </row>
    <row r="3891">
      <c r="A3891" t="n">
        <v>3408</v>
      </c>
      <c r="B3891" t="inlineStr">
        <is>
          <t>A-497__660</t>
        </is>
      </c>
      <c r="C3891" t="n">
        <v>37.2004639199</v>
      </c>
      <c r="D3891" t="n">
        <v>-6.98777691841</v>
      </c>
      <c r="E3891" t="n">
        <v>2</v>
      </c>
      <c r="F3891" t="n">
        <v>3</v>
      </c>
      <c r="G3891" t="n">
        <v>3</v>
      </c>
      <c r="J3891" t="inlineStr">
        <is>
          <t>Moda</t>
        </is>
      </c>
      <c r="K3891" t="n">
        <v>3</v>
      </c>
      <c r="L3891" t="n">
        <v>3.09</v>
      </c>
      <c r="M3891" t="n">
        <v>0</v>
      </c>
      <c r="N3891" t="inlineStr">
        <is>
          <t>train</t>
        </is>
      </c>
      <c r="O3891">
        <f>HYPERLINK("3\1\marker_172_371149.png", "Ver Imagen")</f>
        <v/>
      </c>
      <c r="P3891">
        <f>HYPERLINK("SE\A-497\A-497__660.png", "Ver Imagen")</f>
        <v/>
      </c>
    </row>
    <row r="3892">
      <c r="A3892" t="n">
        <v>3409</v>
      </c>
      <c r="B3892" t="inlineStr">
        <is>
          <t>A-497__658</t>
        </is>
      </c>
      <c r="C3892" t="n">
        <v>37.2005873859</v>
      </c>
      <c r="D3892" t="n">
        <v>-6.98832301619</v>
      </c>
      <c r="E3892" t="n">
        <v>2</v>
      </c>
      <c r="F3892" t="n">
        <v>3</v>
      </c>
      <c r="G3892" t="n">
        <v>3</v>
      </c>
      <c r="J3892" t="inlineStr">
        <is>
          <t>Moda</t>
        </is>
      </c>
      <c r="K3892" t="n">
        <v>3</v>
      </c>
      <c r="L3892" t="n">
        <v>2.996</v>
      </c>
      <c r="M3892" t="n">
        <v>0</v>
      </c>
      <c r="N3892" t="inlineStr">
        <is>
          <t>train</t>
        </is>
      </c>
      <c r="O3892">
        <f>HYPERLINK("3\1\marker_541_371165.png", "Ver Imagen")</f>
        <v/>
      </c>
      <c r="P3892">
        <f>HYPERLINK("SE\A-497\A-497__658.png", "Ver Imagen")</f>
        <v/>
      </c>
    </row>
    <row r="3893">
      <c r="A3893" t="n">
        <v>3411</v>
      </c>
      <c r="B3893" t="inlineStr">
        <is>
          <t>A-497__653</t>
        </is>
      </c>
      <c r="C3893" t="n">
        <v>37.2008457167</v>
      </c>
      <c r="D3893" t="n">
        <v>-6.98946053686</v>
      </c>
      <c r="E3893" t="n">
        <v>2</v>
      </c>
      <c r="F3893" t="n">
        <v>3</v>
      </c>
      <c r="G3893" t="n">
        <v>3</v>
      </c>
      <c r="J3893" t="inlineStr">
        <is>
          <t>Moda</t>
        </is>
      </c>
      <c r="K3893" t="n">
        <v>3</v>
      </c>
      <c r="L3893" t="n">
        <v>2.865</v>
      </c>
      <c r="M3893" t="n">
        <v>0</v>
      </c>
      <c r="N3893" t="inlineStr">
        <is>
          <t>train</t>
        </is>
      </c>
      <c r="O3893">
        <f>HYPERLINK("3\1\marker_726_371209.png", "Ver Imagen")</f>
        <v/>
      </c>
      <c r="P3893">
        <f>HYPERLINK("SE\A-497\A-497__653.png", "Ver Imagen")</f>
        <v/>
      </c>
    </row>
    <row r="3894">
      <c r="A3894" t="n">
        <v>3412</v>
      </c>
      <c r="B3894" t="inlineStr">
        <is>
          <t>A-497_2C__251</t>
        </is>
      </c>
      <c r="C3894" t="n">
        <v>37.2584249852</v>
      </c>
      <c r="D3894" t="n">
        <v>-7.01270972468</v>
      </c>
      <c r="E3894" t="n">
        <v>2</v>
      </c>
      <c r="F3894" t="n">
        <v>3</v>
      </c>
      <c r="G3894" t="n">
        <v>3</v>
      </c>
      <c r="J3894" t="inlineStr">
        <is>
          <t>Moda</t>
        </is>
      </c>
      <c r="K3894" t="n">
        <v>3</v>
      </c>
      <c r="L3894" t="n">
        <v>2.514</v>
      </c>
      <c r="M3894" t="n">
        <v>0</v>
      </c>
      <c r="N3894" t="inlineStr">
        <is>
          <t>test</t>
        </is>
      </c>
      <c r="O3894">
        <f>HYPERLINK("3\1\marker_913_319411.png", "Ver Imagen")</f>
        <v/>
      </c>
      <c r="P3894">
        <f>HYPERLINK("SE\A-497_2C\A-497_2C__251.png", "Ver Imagen")</f>
        <v/>
      </c>
    </row>
    <row r="3895">
      <c r="A3895" t="n">
        <v>3413</v>
      </c>
      <c r="B3895" t="inlineStr">
        <is>
          <t>A-497_2C__252</t>
        </is>
      </c>
      <c r="C3895" t="n">
        <v>37.2582445174</v>
      </c>
      <c r="D3895" t="n">
        <v>-7.01282533492</v>
      </c>
      <c r="E3895" t="n">
        <v>2</v>
      </c>
      <c r="F3895" t="n">
        <v>3</v>
      </c>
      <c r="G3895" t="n">
        <v>3</v>
      </c>
      <c r="J3895" t="inlineStr">
        <is>
          <t>Moda</t>
        </is>
      </c>
      <c r="K3895" t="n">
        <v>3</v>
      </c>
      <c r="L3895" t="n">
        <v>2.957</v>
      </c>
      <c r="M3895" t="n">
        <v>0</v>
      </c>
      <c r="N3895" t="inlineStr">
        <is>
          <t>train</t>
        </is>
      </c>
      <c r="O3895">
        <f>HYPERLINK("3\1\marker_456_319423.png", "Ver Imagen")</f>
        <v/>
      </c>
      <c r="P3895">
        <f>HYPERLINK("SE\A-497_2C\A-497_2C__252.png", "Ver Imagen")</f>
        <v/>
      </c>
    </row>
    <row r="3896">
      <c r="A3896" t="n">
        <v>3414</v>
      </c>
      <c r="B3896" t="inlineStr">
        <is>
          <t>A-497__649</t>
        </is>
      </c>
      <c r="C3896" t="n">
        <v>37.2010702046</v>
      </c>
      <c r="D3896" t="n">
        <v>-6.99049974382</v>
      </c>
      <c r="E3896" t="n">
        <v>2</v>
      </c>
      <c r="F3896" t="n">
        <v>3</v>
      </c>
      <c r="G3896" t="n">
        <v>3</v>
      </c>
      <c r="J3896" t="inlineStr">
        <is>
          <t>Moda</t>
        </is>
      </c>
      <c r="K3896" t="n">
        <v>3</v>
      </c>
      <c r="L3896" t="n">
        <v>2.905</v>
      </c>
      <c r="M3896" t="n">
        <v>0</v>
      </c>
      <c r="N3896" t="inlineStr">
        <is>
          <t>train</t>
        </is>
      </c>
      <c r="O3896">
        <f>HYPERLINK("3\1\marker_203_371245.png", "Ver Imagen")</f>
        <v/>
      </c>
      <c r="P3896">
        <f>HYPERLINK("SE\A-497\A-497__649.png", "Ver Imagen")</f>
        <v/>
      </c>
    </row>
    <row r="3897">
      <c r="A3897" t="n">
        <v>3415</v>
      </c>
      <c r="B3897" t="inlineStr">
        <is>
          <t>A-497__648</t>
        </is>
      </c>
      <c r="C3897" t="n">
        <v>37.2011175202</v>
      </c>
      <c r="D3897" t="n">
        <v>-6.99072926173</v>
      </c>
      <c r="E3897" t="n">
        <v>2</v>
      </c>
      <c r="F3897" t="n">
        <v>3</v>
      </c>
      <c r="G3897" t="n">
        <v>3</v>
      </c>
      <c r="J3897" t="inlineStr">
        <is>
          <t>Moda</t>
        </is>
      </c>
      <c r="K3897" t="n">
        <v>3</v>
      </c>
      <c r="L3897" t="n">
        <v>3.135</v>
      </c>
      <c r="M3897" t="n">
        <v>0</v>
      </c>
      <c r="N3897" t="inlineStr">
        <is>
          <t>train</t>
        </is>
      </c>
      <c r="O3897">
        <f>HYPERLINK("3\1\marker_805_371254.png", "Ver Imagen")</f>
        <v/>
      </c>
      <c r="P3897">
        <f>HYPERLINK("SE\A-497\A-497__648.png", "Ver Imagen")</f>
        <v/>
      </c>
    </row>
    <row r="3898">
      <c r="A3898" t="n">
        <v>3416</v>
      </c>
      <c r="B3898" t="inlineStr">
        <is>
          <t>A-497__647</t>
        </is>
      </c>
      <c r="C3898" t="n">
        <v>37.201160829</v>
      </c>
      <c r="D3898" t="n">
        <v>-6.99094161718</v>
      </c>
      <c r="E3898" t="n">
        <v>2</v>
      </c>
      <c r="F3898" t="n">
        <v>3</v>
      </c>
      <c r="G3898" t="n">
        <v>3</v>
      </c>
      <c r="J3898" t="inlineStr">
        <is>
          <t>Moda</t>
        </is>
      </c>
      <c r="K3898" t="n">
        <v>3</v>
      </c>
      <c r="L3898" t="n">
        <v>3.064</v>
      </c>
      <c r="M3898" t="n">
        <v>0</v>
      </c>
      <c r="N3898" t="inlineStr">
        <is>
          <t>train</t>
        </is>
      </c>
      <c r="O3898">
        <f>HYPERLINK("3\1\marker_934_371262.png", "Ver Imagen")</f>
        <v/>
      </c>
      <c r="P3898">
        <f>HYPERLINK("SE\A-497\A-497__647.png", "Ver Imagen")</f>
        <v/>
      </c>
    </row>
    <row r="3899">
      <c r="A3899" t="n">
        <v>3417</v>
      </c>
      <c r="B3899" t="inlineStr">
        <is>
          <t>A-497__646</t>
        </is>
      </c>
      <c r="C3899" t="n">
        <v>37.2012229726</v>
      </c>
      <c r="D3899" t="n">
        <v>-6.99125033548</v>
      </c>
      <c r="E3899" t="n">
        <v>2</v>
      </c>
      <c r="F3899" t="n">
        <v>3</v>
      </c>
      <c r="G3899" t="n">
        <v>3</v>
      </c>
      <c r="J3899" t="inlineStr">
        <is>
          <t>Moda</t>
        </is>
      </c>
      <c r="K3899" t="n">
        <v>3</v>
      </c>
      <c r="L3899" t="n">
        <v>2.659</v>
      </c>
      <c r="M3899" t="n">
        <v>0</v>
      </c>
      <c r="N3899" t="inlineStr">
        <is>
          <t>val</t>
        </is>
      </c>
      <c r="O3899">
        <f>HYPERLINK("3\1\marker_716_371270.png", "Ver Imagen")</f>
        <v/>
      </c>
      <c r="P3899">
        <f>HYPERLINK("SE\A-497\A-497__646.png", "Ver Imagen")</f>
        <v/>
      </c>
    </row>
    <row r="3900">
      <c r="A3900" t="n">
        <v>3418</v>
      </c>
      <c r="B3900" t="inlineStr">
        <is>
          <t>A-497__645</t>
        </is>
      </c>
      <c r="C3900" t="n">
        <v>37.2012649081</v>
      </c>
      <c r="D3900" t="n">
        <v>-6.99146096536</v>
      </c>
      <c r="E3900" t="n">
        <v>2</v>
      </c>
      <c r="F3900" t="n">
        <v>3</v>
      </c>
      <c r="G3900" t="n">
        <v>3</v>
      </c>
      <c r="J3900" t="inlineStr">
        <is>
          <t>Moda</t>
        </is>
      </c>
      <c r="K3900" t="n">
        <v>3</v>
      </c>
      <c r="L3900" t="n">
        <v>2.991</v>
      </c>
      <c r="M3900" t="n">
        <v>0</v>
      </c>
      <c r="N3900" t="inlineStr">
        <is>
          <t>train</t>
        </is>
      </c>
      <c r="O3900">
        <f>HYPERLINK("3\1\marker_586_371281.png", "Ver Imagen")</f>
        <v/>
      </c>
      <c r="P3900">
        <f>HYPERLINK("SE\A-497\A-497__645.png", "Ver Imagen")</f>
        <v/>
      </c>
    </row>
    <row r="3901">
      <c r="A3901" t="n">
        <v>3419</v>
      </c>
      <c r="B3901" t="inlineStr">
        <is>
          <t>A-497__644</t>
        </is>
      </c>
      <c r="C3901" t="n">
        <v>37.2013088232</v>
      </c>
      <c r="D3901" t="n">
        <v>-6.99168346636</v>
      </c>
      <c r="E3901" t="n">
        <v>2</v>
      </c>
      <c r="F3901" t="n">
        <v>3</v>
      </c>
      <c r="G3901" t="n">
        <v>3</v>
      </c>
      <c r="J3901" t="inlineStr">
        <is>
          <t>Moda</t>
        </is>
      </c>
      <c r="K3901" t="n">
        <v>3</v>
      </c>
      <c r="L3901" t="n">
        <v>3.089</v>
      </c>
      <c r="M3901" t="n">
        <v>0</v>
      </c>
      <c r="N3901" t="inlineStr">
        <is>
          <t>train</t>
        </is>
      </c>
      <c r="O3901">
        <f>HYPERLINK("3\1\marker_636_371290.png", "Ver Imagen")</f>
        <v/>
      </c>
      <c r="P3901">
        <f>HYPERLINK("SE\A-497\A-497__644.png", "Ver Imagen")</f>
        <v/>
      </c>
    </row>
    <row r="3902">
      <c r="A3902" t="n">
        <v>3422</v>
      </c>
      <c r="B3902" t="inlineStr">
        <is>
          <t>A-497_2C__258</t>
        </is>
      </c>
      <c r="C3902" t="n">
        <v>37.2571556124</v>
      </c>
      <c r="D3902" t="n">
        <v>-7.01351409695</v>
      </c>
      <c r="E3902" t="n">
        <v>2</v>
      </c>
      <c r="F3902" t="n">
        <v>3</v>
      </c>
      <c r="G3902" t="n">
        <v>3</v>
      </c>
      <c r="J3902" t="inlineStr">
        <is>
          <t>Moda</t>
        </is>
      </c>
      <c r="K3902" t="n">
        <v>3</v>
      </c>
      <c r="L3902" t="n">
        <v>3.368</v>
      </c>
      <c r="M3902" t="n">
        <v>0</v>
      </c>
      <c r="N3902" t="inlineStr">
        <is>
          <t>train</t>
        </is>
      </c>
      <c r="O3902">
        <f>HYPERLINK("3\1\marker_128_319571.png", "Ver Imagen")</f>
        <v/>
      </c>
      <c r="P3902">
        <f>HYPERLINK("SE\A-497_2C\A-497_2C__258.png", "Ver Imagen")</f>
        <v/>
      </c>
    </row>
    <row r="3903">
      <c r="A3903" t="n">
        <v>3423</v>
      </c>
      <c r="B3903" t="inlineStr">
        <is>
          <t>A-497_2C__259</t>
        </is>
      </c>
      <c r="C3903" t="n">
        <v>37.2569857317</v>
      </c>
      <c r="D3903" t="n">
        <v>-7.01362252851</v>
      </c>
      <c r="E3903" t="n">
        <v>2</v>
      </c>
      <c r="F3903" t="n">
        <v>3</v>
      </c>
      <c r="G3903" t="n">
        <v>3</v>
      </c>
      <c r="J3903" t="inlineStr">
        <is>
          <t>Moda</t>
        </is>
      </c>
      <c r="K3903" t="n">
        <v>3</v>
      </c>
      <c r="L3903" t="n">
        <v>2.755</v>
      </c>
      <c r="M3903" t="n">
        <v>0</v>
      </c>
      <c r="N3903" t="inlineStr">
        <is>
          <t>train</t>
        </is>
      </c>
      <c r="O3903">
        <f>HYPERLINK("3\1\marker_140_319581.png", "Ver Imagen")</f>
        <v/>
      </c>
      <c r="P3903">
        <f>HYPERLINK("SE\A-497_2C\A-497_2C__259.png", "Ver Imagen")</f>
        <v/>
      </c>
    </row>
    <row r="3904">
      <c r="A3904" t="n">
        <v>3424</v>
      </c>
      <c r="B3904" t="inlineStr">
        <is>
          <t>A-497__641</t>
        </is>
      </c>
      <c r="C3904" t="n">
        <v>37.2014432069</v>
      </c>
      <c r="D3904" t="n">
        <v>-6.9924021703</v>
      </c>
      <c r="E3904" t="n">
        <v>2</v>
      </c>
      <c r="F3904" t="n">
        <v>3</v>
      </c>
      <c r="G3904" t="n">
        <v>3</v>
      </c>
      <c r="J3904" t="inlineStr">
        <is>
          <t>Moda</t>
        </is>
      </c>
      <c r="K3904" t="n">
        <v>3</v>
      </c>
      <c r="L3904" t="n">
        <v>2.691</v>
      </c>
      <c r="M3904" t="n">
        <v>0</v>
      </c>
      <c r="N3904" t="inlineStr">
        <is>
          <t>train</t>
        </is>
      </c>
      <c r="O3904">
        <f>HYPERLINK("3\1\marker_253_371320.png", "Ver Imagen")</f>
        <v/>
      </c>
      <c r="P3904">
        <f>HYPERLINK("SE\A-497\A-497__641.png", "Ver Imagen")</f>
        <v/>
      </c>
    </row>
    <row r="3905">
      <c r="A3905" t="n">
        <v>3425</v>
      </c>
      <c r="B3905" t="inlineStr">
        <is>
          <t>A-497__636</t>
        </is>
      </c>
      <c r="C3905" t="n">
        <v>37.2016726638</v>
      </c>
      <c r="D3905" t="n">
        <v>-6.99363482599</v>
      </c>
      <c r="E3905" t="n">
        <v>2</v>
      </c>
      <c r="F3905" t="n">
        <v>3</v>
      </c>
      <c r="G3905" t="n">
        <v>3</v>
      </c>
      <c r="J3905" t="inlineStr">
        <is>
          <t>Moda</t>
        </is>
      </c>
      <c r="K3905" t="n">
        <v>3</v>
      </c>
      <c r="L3905" t="n">
        <v>3.37</v>
      </c>
      <c r="M3905" t="n">
        <v>0</v>
      </c>
      <c r="N3905" t="inlineStr">
        <is>
          <t>train</t>
        </is>
      </c>
      <c r="O3905">
        <f>HYPERLINK("3\1\marker_943_371371.png", "Ver Imagen")</f>
        <v/>
      </c>
      <c r="P3905">
        <f>HYPERLINK("SE\A-497\A-497__636.png", "Ver Imagen")</f>
        <v/>
      </c>
    </row>
    <row r="3906">
      <c r="A3906" t="n">
        <v>3426</v>
      </c>
      <c r="B3906" t="inlineStr">
        <is>
          <t>A-497__635</t>
        </is>
      </c>
      <c r="C3906" t="n">
        <v>37.2017193983</v>
      </c>
      <c r="D3906" t="n">
        <v>-6.9938823503</v>
      </c>
      <c r="E3906" t="n">
        <v>2</v>
      </c>
      <c r="F3906" t="n">
        <v>3</v>
      </c>
      <c r="G3906" t="n">
        <v>3</v>
      </c>
      <c r="J3906" t="inlineStr">
        <is>
          <t>Moda</t>
        </is>
      </c>
      <c r="K3906" t="n">
        <v>3</v>
      </c>
      <c r="L3906" t="n">
        <v>2.725</v>
      </c>
      <c r="M3906" t="n">
        <v>0</v>
      </c>
      <c r="N3906" t="inlineStr">
        <is>
          <t>val</t>
        </is>
      </c>
      <c r="O3906">
        <f>HYPERLINK("3\1\marker_895_371380.png", "Ver Imagen")</f>
        <v/>
      </c>
      <c r="P3906">
        <f>HYPERLINK("SE\A-497\A-497__635.png", "Ver Imagen")</f>
        <v/>
      </c>
    </row>
    <row r="3907">
      <c r="A3907" t="n">
        <v>3427</v>
      </c>
      <c r="B3907" t="inlineStr">
        <is>
          <t>A-497__634</t>
        </is>
      </c>
      <c r="C3907" t="n">
        <v>37.2017712273</v>
      </c>
      <c r="D3907" t="n">
        <v>-6.99416307202</v>
      </c>
      <c r="E3907" t="n">
        <v>2</v>
      </c>
      <c r="F3907" t="n">
        <v>3</v>
      </c>
      <c r="G3907" t="n">
        <v>3</v>
      </c>
      <c r="J3907" t="inlineStr">
        <is>
          <t>Moda</t>
        </is>
      </c>
      <c r="K3907" t="n">
        <v>3</v>
      </c>
      <c r="L3907" t="n">
        <v>3.035</v>
      </c>
      <c r="M3907" t="n">
        <v>0</v>
      </c>
      <c r="N3907" t="inlineStr">
        <is>
          <t>train</t>
        </is>
      </c>
      <c r="O3907">
        <f>HYPERLINK("3\1\marker_284_371394.png", "Ver Imagen")</f>
        <v/>
      </c>
      <c r="P3907">
        <f>HYPERLINK("SE\A-497\A-497__634.png", "Ver Imagen")</f>
        <v/>
      </c>
    </row>
    <row r="3908">
      <c r="A3908" t="n">
        <v>3428</v>
      </c>
      <c r="B3908" t="inlineStr">
        <is>
          <t>A-497__633</t>
        </is>
      </c>
      <c r="C3908" t="n">
        <v>37.2018103738</v>
      </c>
      <c r="D3908" t="n">
        <v>-6.99438191523</v>
      </c>
      <c r="E3908" t="n">
        <v>2</v>
      </c>
      <c r="F3908" t="n">
        <v>3</v>
      </c>
      <c r="G3908" t="n">
        <v>3</v>
      </c>
      <c r="J3908" t="inlineStr">
        <is>
          <t>Moda</t>
        </is>
      </c>
      <c r="K3908" t="n">
        <v>3</v>
      </c>
      <c r="L3908" t="n">
        <v>2.902</v>
      </c>
      <c r="M3908" t="n">
        <v>0</v>
      </c>
      <c r="N3908" t="inlineStr">
        <is>
          <t>val</t>
        </is>
      </c>
      <c r="O3908">
        <f>HYPERLINK("3\1\marker_575_371404.png", "Ver Imagen")</f>
        <v/>
      </c>
      <c r="P3908">
        <f>HYPERLINK("SE\A-497\A-497__633.png", "Ver Imagen")</f>
        <v/>
      </c>
    </row>
    <row r="3909">
      <c r="A3909" t="n">
        <v>3429</v>
      </c>
      <c r="B3909" t="inlineStr">
        <is>
          <t>A-497__631</t>
        </is>
      </c>
      <c r="C3909" t="n">
        <v>37.2019006981</v>
      </c>
      <c r="D3909" t="n">
        <v>-6.99489995768</v>
      </c>
      <c r="E3909" t="n">
        <v>2</v>
      </c>
      <c r="F3909" t="n">
        <v>3</v>
      </c>
      <c r="G3909" t="n">
        <v>3</v>
      </c>
      <c r="J3909" t="inlineStr">
        <is>
          <t>Moda</t>
        </is>
      </c>
      <c r="K3909" t="n">
        <v>3</v>
      </c>
      <c r="L3909" t="n">
        <v>3.19</v>
      </c>
      <c r="M3909" t="n">
        <v>0</v>
      </c>
      <c r="N3909" t="inlineStr">
        <is>
          <t>train</t>
        </is>
      </c>
      <c r="O3909">
        <f>HYPERLINK("3\1\marker_713_371424.png", "Ver Imagen")</f>
        <v/>
      </c>
      <c r="P3909">
        <f>HYPERLINK("SE\A-497\A-497__631.png", "Ver Imagen")</f>
        <v/>
      </c>
    </row>
    <row r="3910">
      <c r="A3910" t="n">
        <v>3430</v>
      </c>
      <c r="B3910" t="inlineStr">
        <is>
          <t>A-497__630</t>
        </is>
      </c>
      <c r="C3910" t="n">
        <v>37.2019370359</v>
      </c>
      <c r="D3910" t="n">
        <v>-6.99511350753</v>
      </c>
      <c r="E3910" t="n">
        <v>2</v>
      </c>
      <c r="F3910" t="n">
        <v>3</v>
      </c>
      <c r="G3910" t="n">
        <v>3</v>
      </c>
      <c r="J3910" t="inlineStr">
        <is>
          <t>Moda</t>
        </is>
      </c>
      <c r="K3910" t="n">
        <v>3</v>
      </c>
      <c r="L3910" t="n">
        <v>2.969</v>
      </c>
      <c r="M3910" t="n">
        <v>0</v>
      </c>
      <c r="N3910" t="inlineStr">
        <is>
          <t>train</t>
        </is>
      </c>
      <c r="O3910">
        <f>HYPERLINK("3\1\marker_925_371433.png", "Ver Imagen")</f>
        <v/>
      </c>
      <c r="P3910">
        <f>HYPERLINK("SE\A-497\A-497__630.png", "Ver Imagen")</f>
        <v/>
      </c>
    </row>
    <row r="3911">
      <c r="A3911" t="n">
        <v>3431</v>
      </c>
      <c r="B3911" t="inlineStr">
        <is>
          <t>A-497__629</t>
        </is>
      </c>
      <c r="C3911" t="n">
        <v>37.201981382</v>
      </c>
      <c r="D3911" t="n">
        <v>-6.9953786832</v>
      </c>
      <c r="E3911" t="n">
        <v>2</v>
      </c>
      <c r="F3911" t="n">
        <v>3</v>
      </c>
      <c r="G3911" t="n">
        <v>3</v>
      </c>
      <c r="J3911" t="inlineStr">
        <is>
          <t>Moda</t>
        </is>
      </c>
      <c r="K3911" t="n">
        <v>3</v>
      </c>
      <c r="L3911" t="n">
        <v>3.024</v>
      </c>
      <c r="M3911" t="n">
        <v>0</v>
      </c>
      <c r="N3911" t="inlineStr">
        <is>
          <t>train</t>
        </is>
      </c>
      <c r="O3911">
        <f>HYPERLINK("3\1\marker_976_371441.png", "Ver Imagen")</f>
        <v/>
      </c>
      <c r="P3911">
        <f>HYPERLINK("SE\A-497\A-497__629.png", "Ver Imagen")</f>
        <v/>
      </c>
    </row>
    <row r="3912">
      <c r="A3912" t="n">
        <v>3432</v>
      </c>
      <c r="B3912" t="inlineStr">
        <is>
          <t>A-497__626</t>
        </is>
      </c>
      <c r="C3912" t="n">
        <v>37.2021143255</v>
      </c>
      <c r="D3912" t="n">
        <v>-6.99619891623</v>
      </c>
      <c r="E3912" t="n">
        <v>2</v>
      </c>
      <c r="F3912" t="n">
        <v>3</v>
      </c>
      <c r="G3912" t="n">
        <v>3</v>
      </c>
      <c r="J3912" t="inlineStr">
        <is>
          <t>Moda</t>
        </is>
      </c>
      <c r="K3912" t="n">
        <v>3</v>
      </c>
      <c r="L3912" t="n">
        <v>3.119</v>
      </c>
      <c r="M3912" t="n">
        <v>0</v>
      </c>
      <c r="N3912" t="inlineStr">
        <is>
          <t>train</t>
        </is>
      </c>
      <c r="O3912">
        <f>HYPERLINK("3\1\marker_274_371467.png", "Ver Imagen")</f>
        <v/>
      </c>
      <c r="P3912">
        <f>HYPERLINK("SE\A-497\A-497__626.png", "Ver Imagen")</f>
        <v/>
      </c>
    </row>
    <row r="3913">
      <c r="A3913" t="n">
        <v>3433</v>
      </c>
      <c r="B3913" t="inlineStr">
        <is>
          <t>A-497__617</t>
        </is>
      </c>
      <c r="C3913" t="n">
        <v>37.202441104</v>
      </c>
      <c r="D3913" t="n">
        <v>-6.99839424501</v>
      </c>
      <c r="E3913" t="n">
        <v>4</v>
      </c>
      <c r="F3913" t="n">
        <v>3</v>
      </c>
      <c r="G3913" t="n">
        <v>3</v>
      </c>
      <c r="J3913" t="inlineStr">
        <is>
          <t>Moda</t>
        </is>
      </c>
      <c r="K3913" t="n">
        <v>3</v>
      </c>
      <c r="L3913" t="n">
        <v>2.922</v>
      </c>
      <c r="M3913" t="n">
        <v>0</v>
      </c>
      <c r="N3913" t="inlineStr">
        <is>
          <t>train</t>
        </is>
      </c>
      <c r="O3913">
        <f>HYPERLINK("3\1\marker_894_371555.png", "Ver Imagen")</f>
        <v/>
      </c>
      <c r="P3913">
        <f>HYPERLINK("SE\A-497\A-497__617.png", "Ver Imagen")</f>
        <v/>
      </c>
    </row>
    <row r="3914">
      <c r="A3914" t="n">
        <v>3434</v>
      </c>
      <c r="B3914" t="inlineStr">
        <is>
          <t>A-497__615</t>
        </is>
      </c>
      <c r="C3914" t="n">
        <v>37.2025121988</v>
      </c>
      <c r="D3914" t="n">
        <v>-6.99888957176</v>
      </c>
      <c r="E3914" t="n">
        <v>3</v>
      </c>
      <c r="F3914" t="n">
        <v>3</v>
      </c>
      <c r="G3914" t="n">
        <v>4</v>
      </c>
      <c r="J3914" t="inlineStr">
        <is>
          <t>Moda</t>
        </is>
      </c>
      <c r="K3914" t="n">
        <v>3</v>
      </c>
      <c r="L3914" t="n">
        <v>2.978</v>
      </c>
      <c r="M3914" t="n">
        <v>0</v>
      </c>
      <c r="N3914" t="inlineStr">
        <is>
          <t>test</t>
        </is>
      </c>
      <c r="O3914">
        <f>HYPERLINK("3\1\marker_391_371576.png", "Ver Imagen")</f>
        <v/>
      </c>
      <c r="P3914">
        <f>HYPERLINK("SE\A-497\A-497__615.png", "Ver Imagen")</f>
        <v/>
      </c>
    </row>
    <row r="3915">
      <c r="A3915" t="n">
        <v>3435</v>
      </c>
      <c r="B3915" t="inlineStr">
        <is>
          <t>A-497__613</t>
        </is>
      </c>
      <c r="C3915" t="n">
        <v>37.2025810938</v>
      </c>
      <c r="D3915" t="n">
        <v>-6.99940693255</v>
      </c>
      <c r="E3915" t="n">
        <v>4</v>
      </c>
      <c r="F3915" t="n">
        <v>3</v>
      </c>
      <c r="G3915" t="n">
        <v>3</v>
      </c>
      <c r="J3915" t="inlineStr">
        <is>
          <t>Moda</t>
        </is>
      </c>
      <c r="K3915" t="n">
        <v>3</v>
      </c>
      <c r="L3915" t="n">
        <v>2.803</v>
      </c>
      <c r="M3915" t="n">
        <v>0</v>
      </c>
      <c r="N3915" t="inlineStr">
        <is>
          <t>train</t>
        </is>
      </c>
      <c r="O3915">
        <f>HYPERLINK("3\1\marker_632_371593.png", "Ver Imagen")</f>
        <v/>
      </c>
      <c r="P3915">
        <f>HYPERLINK("SE\A-497\A-497__613.png", "Ver Imagen")</f>
        <v/>
      </c>
    </row>
    <row r="3916">
      <c r="A3916" t="n">
        <v>3436</v>
      </c>
      <c r="B3916" t="inlineStr">
        <is>
          <t>A-497__611</t>
        </is>
      </c>
      <c r="C3916" t="n">
        <v>37.2026475795</v>
      </c>
      <c r="D3916" t="n">
        <v>-6.99989528486</v>
      </c>
      <c r="E3916" t="n">
        <v>3</v>
      </c>
      <c r="F3916" t="n">
        <v>3</v>
      </c>
      <c r="G3916" t="n">
        <v>2</v>
      </c>
      <c r="J3916" t="inlineStr">
        <is>
          <t>Moda</t>
        </is>
      </c>
      <c r="K3916" t="n">
        <v>3</v>
      </c>
      <c r="L3916" t="n">
        <v>3.088</v>
      </c>
      <c r="M3916" t="n">
        <v>0</v>
      </c>
      <c r="N3916" t="inlineStr">
        <is>
          <t>train</t>
        </is>
      </c>
      <c r="O3916">
        <f>HYPERLINK("3\1\marker_594_371611.png", "Ver Imagen")</f>
        <v/>
      </c>
      <c r="P3916">
        <f>HYPERLINK("SE\A-497\A-497__611.png", "Ver Imagen")</f>
        <v/>
      </c>
    </row>
    <row r="3917">
      <c r="A3917" t="n">
        <v>3437</v>
      </c>
      <c r="B3917" t="inlineStr">
        <is>
          <t>A-497__610</t>
        </is>
      </c>
      <c r="C3917" t="n">
        <v>37.2026757577</v>
      </c>
      <c r="D3917" t="n">
        <v>-7.00011487016</v>
      </c>
      <c r="E3917" t="n">
        <v>3</v>
      </c>
      <c r="F3917" t="n">
        <v>3</v>
      </c>
      <c r="G3917" t="n">
        <v>2</v>
      </c>
      <c r="J3917" t="inlineStr">
        <is>
          <t>Moda</t>
        </is>
      </c>
      <c r="K3917" t="n">
        <v>3</v>
      </c>
      <c r="L3917" t="n">
        <v>2.988</v>
      </c>
      <c r="M3917" t="n">
        <v>0</v>
      </c>
      <c r="N3917" t="inlineStr">
        <is>
          <t>train</t>
        </is>
      </c>
      <c r="O3917">
        <f>HYPERLINK("3\1\marker_638_371619.png", "Ver Imagen")</f>
        <v/>
      </c>
      <c r="P3917">
        <f>HYPERLINK("SE\A-497\A-497__610.png", "Ver Imagen")</f>
        <v/>
      </c>
    </row>
    <row r="3918">
      <c r="A3918" t="n">
        <v>3438</v>
      </c>
      <c r="B3918" t="inlineStr">
        <is>
          <t>A-497__608</t>
        </is>
      </c>
      <c r="C3918" t="n">
        <v>37.2027343047</v>
      </c>
      <c r="D3918" t="n">
        <v>-7.00059921259</v>
      </c>
      <c r="E3918" t="n">
        <v>4</v>
      </c>
      <c r="F3918" t="n">
        <v>3</v>
      </c>
      <c r="G3918" t="n">
        <v>3</v>
      </c>
      <c r="J3918" t="inlineStr">
        <is>
          <t>Moda</t>
        </is>
      </c>
      <c r="K3918" t="n">
        <v>3</v>
      </c>
      <c r="L3918" t="n">
        <v>3.156</v>
      </c>
      <c r="M3918" t="n">
        <v>0</v>
      </c>
      <c r="N3918" t="inlineStr">
        <is>
          <t>train</t>
        </is>
      </c>
      <c r="O3918">
        <f>HYPERLINK("3\1\marker_223_371639.png", "Ver Imagen")</f>
        <v/>
      </c>
      <c r="P3918">
        <f>HYPERLINK("SE\A-497\A-497__608.png", "Ver Imagen")</f>
        <v/>
      </c>
    </row>
    <row r="3919">
      <c r="A3919" t="n">
        <v>3439</v>
      </c>
      <c r="B3919" t="inlineStr">
        <is>
          <t>A-497__606</t>
        </is>
      </c>
      <c r="C3919" t="n">
        <v>37.2027949305</v>
      </c>
      <c r="D3919" t="n">
        <v>-7.00112881373</v>
      </c>
      <c r="E3919" t="n">
        <v>4</v>
      </c>
      <c r="F3919" t="n">
        <v>3</v>
      </c>
      <c r="G3919" t="n">
        <v>3</v>
      </c>
      <c r="J3919" t="inlineStr">
        <is>
          <t>Moda</t>
        </is>
      </c>
      <c r="K3919" t="n">
        <v>3</v>
      </c>
      <c r="L3919" t="n">
        <v>3.348</v>
      </c>
      <c r="M3919" t="n">
        <v>0</v>
      </c>
      <c r="N3919" t="inlineStr">
        <is>
          <t>train</t>
        </is>
      </c>
      <c r="O3919">
        <f>HYPERLINK("3\1\marker_394_371659.png", "Ver Imagen")</f>
        <v/>
      </c>
      <c r="P3919">
        <f>HYPERLINK("SE\A-497\A-497__606.png", "Ver Imagen")</f>
        <v/>
      </c>
    </row>
    <row r="3920">
      <c r="A3920" t="n">
        <v>3440</v>
      </c>
      <c r="B3920" t="inlineStr">
        <is>
          <t>A-497__605</t>
        </is>
      </c>
      <c r="C3920" t="n">
        <v>37.2028225075</v>
      </c>
      <c r="D3920" t="n">
        <v>-7.00136085946</v>
      </c>
      <c r="E3920" t="n">
        <v>3</v>
      </c>
      <c r="F3920" t="n">
        <v>3</v>
      </c>
      <c r="G3920" t="n">
        <v>2</v>
      </c>
      <c r="J3920" t="inlineStr">
        <is>
          <t>Moda</t>
        </is>
      </c>
      <c r="K3920" t="n">
        <v>3</v>
      </c>
      <c r="L3920" t="n">
        <v>3.009</v>
      </c>
      <c r="M3920" t="n">
        <v>0</v>
      </c>
      <c r="N3920" t="inlineStr">
        <is>
          <t>train</t>
        </is>
      </c>
      <c r="O3920">
        <f>HYPERLINK("3\1\marker_352_371669.png", "Ver Imagen")</f>
        <v/>
      </c>
      <c r="P3920">
        <f>HYPERLINK("SE\A-497\A-497__605.png", "Ver Imagen")</f>
        <v/>
      </c>
    </row>
    <row r="3921">
      <c r="A3921" t="n">
        <v>3441</v>
      </c>
      <c r="B3921" t="inlineStr">
        <is>
          <t>A-497__597</t>
        </is>
      </c>
      <c r="C3921" t="n">
        <v>37.2030421097</v>
      </c>
      <c r="D3921" t="n">
        <v>-7.00333919732</v>
      </c>
      <c r="E3921" t="n">
        <v>3</v>
      </c>
      <c r="F3921" t="n">
        <v>3</v>
      </c>
      <c r="G3921" t="n">
        <v>4</v>
      </c>
      <c r="J3921" t="inlineStr">
        <is>
          <t>Moda</t>
        </is>
      </c>
      <c r="K3921" t="n">
        <v>3</v>
      </c>
      <c r="L3921" t="n">
        <v>2.975</v>
      </c>
      <c r="M3921" t="n">
        <v>0</v>
      </c>
      <c r="N3921" t="inlineStr">
        <is>
          <t>train</t>
        </is>
      </c>
      <c r="O3921">
        <f>HYPERLINK("3\1\marker_550_371739.png", "Ver Imagen")</f>
        <v/>
      </c>
      <c r="P3921">
        <f>HYPERLINK("SE\A-497\A-497__597.png", "Ver Imagen")</f>
        <v/>
      </c>
    </row>
    <row r="3922">
      <c r="A3922" t="n">
        <v>3442</v>
      </c>
      <c r="B3922" t="inlineStr">
        <is>
          <t>A-497_2C__262</t>
        </is>
      </c>
      <c r="C3922" t="n">
        <v>37.2564361318</v>
      </c>
      <c r="D3922" t="n">
        <v>-7.01397232186</v>
      </c>
      <c r="E3922" t="n">
        <v>2</v>
      </c>
      <c r="F3922" t="n">
        <v>3</v>
      </c>
      <c r="G3922" t="n">
        <v>3</v>
      </c>
      <c r="J3922" t="inlineStr">
        <is>
          <t>Moda</t>
        </is>
      </c>
      <c r="K3922" t="n">
        <v>3</v>
      </c>
      <c r="L3922" t="n">
        <v>3.185</v>
      </c>
      <c r="M3922" t="n">
        <v>0</v>
      </c>
      <c r="N3922" t="inlineStr">
        <is>
          <t>train</t>
        </is>
      </c>
      <c r="O3922">
        <f>HYPERLINK("3\1\marker_949_319611.png", "Ver Imagen")</f>
        <v/>
      </c>
      <c r="P3922">
        <f>HYPERLINK("SE\A-497_2C\A-497_2C__262.png", "Ver Imagen")</f>
        <v/>
      </c>
    </row>
    <row r="3923">
      <c r="A3923" t="n">
        <v>3443</v>
      </c>
      <c r="B3923" t="inlineStr">
        <is>
          <t>A-497__592</t>
        </is>
      </c>
      <c r="C3923" t="n">
        <v>37.203195514</v>
      </c>
      <c r="D3923" t="n">
        <v>-7.00464420072</v>
      </c>
      <c r="E3923" t="n">
        <v>4</v>
      </c>
      <c r="F3923" t="n">
        <v>3</v>
      </c>
      <c r="G3923" t="n">
        <v>3</v>
      </c>
      <c r="J3923" t="inlineStr">
        <is>
          <t>Moda</t>
        </is>
      </c>
      <c r="K3923" t="n">
        <v>3</v>
      </c>
      <c r="L3923" t="n">
        <v>3.052</v>
      </c>
      <c r="M3923" t="n">
        <v>0</v>
      </c>
      <c r="N3923" t="inlineStr">
        <is>
          <t>train</t>
        </is>
      </c>
      <c r="O3923">
        <f>HYPERLINK("3\1\marker_996_371803.png", "Ver Imagen")</f>
        <v/>
      </c>
      <c r="P3923">
        <f>HYPERLINK("SE\A-497\A-497__592.png", "Ver Imagen")</f>
        <v/>
      </c>
    </row>
    <row r="3924">
      <c r="A3924" t="n">
        <v>3444</v>
      </c>
      <c r="B3924" t="inlineStr">
        <is>
          <t>A-497__591</t>
        </is>
      </c>
      <c r="C3924" t="n">
        <v>37.2032262082</v>
      </c>
      <c r="D3924" t="n">
        <v>-7.00488951098</v>
      </c>
      <c r="E3924" t="n">
        <v>2</v>
      </c>
      <c r="F3924" t="n">
        <v>3</v>
      </c>
      <c r="G3924" t="n">
        <v>3</v>
      </c>
      <c r="J3924" t="inlineStr">
        <is>
          <t>Moda</t>
        </is>
      </c>
      <c r="K3924" t="n">
        <v>3</v>
      </c>
      <c r="L3924" t="n">
        <v>2.907</v>
      </c>
      <c r="M3924" t="n">
        <v>0</v>
      </c>
      <c r="N3924" t="inlineStr">
        <is>
          <t>train</t>
        </is>
      </c>
      <c r="O3924">
        <f>HYPERLINK("3\1\marker_587_371812.png", "Ver Imagen")</f>
        <v/>
      </c>
      <c r="P3924">
        <f>HYPERLINK("SE\A-497\A-497__591.png", "Ver Imagen")</f>
        <v/>
      </c>
    </row>
    <row r="3925">
      <c r="A3925" t="n">
        <v>3445</v>
      </c>
      <c r="B3925" t="inlineStr">
        <is>
          <t>A-497__590</t>
        </is>
      </c>
      <c r="C3925" t="n">
        <v>37.2032585077</v>
      </c>
      <c r="D3925" t="n">
        <v>-7.00514566664</v>
      </c>
      <c r="E3925" t="n">
        <v>2</v>
      </c>
      <c r="F3925" t="n">
        <v>3</v>
      </c>
      <c r="G3925" t="n">
        <v>3</v>
      </c>
      <c r="J3925" t="inlineStr">
        <is>
          <t>Moda</t>
        </is>
      </c>
      <c r="K3925" t="n">
        <v>3</v>
      </c>
      <c r="L3925" t="n">
        <v>2.935</v>
      </c>
      <c r="M3925" t="n">
        <v>0</v>
      </c>
      <c r="N3925" t="inlineStr">
        <is>
          <t>train</t>
        </is>
      </c>
      <c r="O3925">
        <f>HYPERLINK("3\1\marker_106_371820.png", "Ver Imagen")</f>
        <v/>
      </c>
      <c r="P3925">
        <f>HYPERLINK("SE\A-497\A-497__590.png", "Ver Imagen")</f>
        <v/>
      </c>
    </row>
    <row r="3926">
      <c r="A3926" t="n">
        <v>3446</v>
      </c>
      <c r="B3926" t="inlineStr">
        <is>
          <t>A-497__589</t>
        </is>
      </c>
      <c r="C3926" t="n">
        <v>37.2032929949</v>
      </c>
      <c r="D3926" t="n">
        <v>-7.00541756383</v>
      </c>
      <c r="E3926" t="n">
        <v>2</v>
      </c>
      <c r="F3926" t="n">
        <v>3</v>
      </c>
      <c r="G3926" t="n">
        <v>3</v>
      </c>
      <c r="J3926" t="inlineStr">
        <is>
          <t>Moda</t>
        </is>
      </c>
      <c r="K3926" t="n">
        <v>3</v>
      </c>
      <c r="L3926" t="n">
        <v>2.814</v>
      </c>
      <c r="M3926" t="n">
        <v>0</v>
      </c>
      <c r="N3926" t="inlineStr">
        <is>
          <t>train</t>
        </is>
      </c>
      <c r="O3926">
        <f>HYPERLINK("3\1\marker_593_371834.png", "Ver Imagen")</f>
        <v/>
      </c>
      <c r="P3926">
        <f>HYPERLINK("SE\A-497\A-497__589.png", "Ver Imagen")</f>
        <v/>
      </c>
    </row>
    <row r="3927">
      <c r="A3927" t="n">
        <v>3447</v>
      </c>
      <c r="B3927" t="inlineStr">
        <is>
          <t>A-497_2C__268</t>
        </is>
      </c>
      <c r="C3927" t="n">
        <v>37.2553528605</v>
      </c>
      <c r="D3927" t="n">
        <v>-7.01466613659</v>
      </c>
      <c r="E3927" t="n">
        <v>2</v>
      </c>
      <c r="F3927" t="n">
        <v>3</v>
      </c>
      <c r="G3927" t="n">
        <v>3</v>
      </c>
      <c r="J3927" t="inlineStr">
        <is>
          <t>Moda</t>
        </is>
      </c>
      <c r="K3927" t="n">
        <v>3</v>
      </c>
      <c r="L3927" t="n">
        <v>2.928</v>
      </c>
      <c r="M3927" t="n">
        <v>0</v>
      </c>
      <c r="N3927" t="inlineStr">
        <is>
          <t>train</t>
        </is>
      </c>
      <c r="O3927">
        <f>HYPERLINK("3\1\marker_309_319717.png", "Ver Imagen")</f>
        <v/>
      </c>
      <c r="P3927">
        <f>HYPERLINK("SE\A-497_2C\A-497_2C__268.png", "Ver Imagen")</f>
        <v/>
      </c>
    </row>
    <row r="3928">
      <c r="A3928" t="n">
        <v>3449</v>
      </c>
      <c r="B3928" t="inlineStr">
        <is>
          <t>A-497_2C__274</t>
        </is>
      </c>
      <c r="C3928" t="n">
        <v>37.2542652305</v>
      </c>
      <c r="D3928" t="n">
        <v>-7.0153632224</v>
      </c>
      <c r="E3928" t="n">
        <v>3</v>
      </c>
      <c r="F3928" t="n">
        <v>3</v>
      </c>
      <c r="G3928" t="n">
        <v>4</v>
      </c>
      <c r="J3928" t="inlineStr">
        <is>
          <t>Moda</t>
        </is>
      </c>
      <c r="K3928" t="n">
        <v>3</v>
      </c>
      <c r="L3928" t="n">
        <v>3.248</v>
      </c>
      <c r="M3928" t="n">
        <v>0</v>
      </c>
      <c r="N3928" t="inlineStr">
        <is>
          <t>train</t>
        </is>
      </c>
      <c r="O3928">
        <f>HYPERLINK("3\1\marker_629_319806.png", "Ver Imagen")</f>
        <v/>
      </c>
      <c r="P3928">
        <f>HYPERLINK("SE\A-497_2C\A-497_2C__274.png", "Ver Imagen")</f>
        <v/>
      </c>
    </row>
    <row r="3929">
      <c r="A3929" t="n">
        <v>3450</v>
      </c>
      <c r="B3929" t="inlineStr">
        <is>
          <t>A-497_2C__275</t>
        </is>
      </c>
      <c r="C3929" t="n">
        <v>37.2540835206</v>
      </c>
      <c r="D3929" t="n">
        <v>-7.01547948904</v>
      </c>
      <c r="E3929" t="n">
        <v>3</v>
      </c>
      <c r="F3929" t="n">
        <v>3</v>
      </c>
      <c r="G3929" t="n">
        <v>4</v>
      </c>
      <c r="J3929" t="inlineStr">
        <is>
          <t>Moda</t>
        </is>
      </c>
      <c r="K3929" t="n">
        <v>3</v>
      </c>
      <c r="L3929" t="n">
        <v>3.277</v>
      </c>
      <c r="M3929" t="n">
        <v>0</v>
      </c>
      <c r="N3929" t="inlineStr">
        <is>
          <t>train</t>
        </is>
      </c>
      <c r="O3929">
        <f>HYPERLINK("3\1\marker_297_319816.png", "Ver Imagen")</f>
        <v/>
      </c>
      <c r="P3929">
        <f>HYPERLINK("SE\A-497_2C\A-497_2C__275.png", "Ver Imagen")</f>
        <v/>
      </c>
    </row>
    <row r="3930">
      <c r="A3930" t="n">
        <v>3451</v>
      </c>
      <c r="B3930" t="inlineStr">
        <is>
          <t>A-497_2C__276</t>
        </is>
      </c>
      <c r="C3930" t="n">
        <v>37.2539031166</v>
      </c>
      <c r="D3930" t="n">
        <v>-7.01559569925</v>
      </c>
      <c r="E3930" t="n">
        <v>3</v>
      </c>
      <c r="F3930" t="n">
        <v>3</v>
      </c>
      <c r="G3930" t="n">
        <v>4</v>
      </c>
      <c r="J3930" t="inlineStr">
        <is>
          <t>Moda</t>
        </is>
      </c>
      <c r="K3930" t="n">
        <v>3</v>
      </c>
      <c r="L3930" t="n">
        <v>2.775</v>
      </c>
      <c r="M3930" t="n">
        <v>0</v>
      </c>
      <c r="N3930" t="inlineStr">
        <is>
          <t>train</t>
        </is>
      </c>
      <c r="O3930">
        <f>HYPERLINK("3\1\marker_798_319827.png", "Ver Imagen")</f>
        <v/>
      </c>
      <c r="P3930">
        <f>HYPERLINK("SE\A-497_2C\A-497_2C__276.png", "Ver Imagen")</f>
        <v/>
      </c>
    </row>
    <row r="3931">
      <c r="A3931" t="n">
        <v>3453</v>
      </c>
      <c r="B3931" t="inlineStr">
        <is>
          <t>A-497__581</t>
        </is>
      </c>
      <c r="C3931" t="n">
        <v>37.203555824</v>
      </c>
      <c r="D3931" t="n">
        <v>-7.00738339896</v>
      </c>
      <c r="E3931" t="n">
        <v>2</v>
      </c>
      <c r="F3931" t="n">
        <v>3</v>
      </c>
      <c r="G3931" t="n">
        <v>3</v>
      </c>
      <c r="J3931" t="inlineStr">
        <is>
          <t>Moda</t>
        </is>
      </c>
      <c r="K3931" t="n">
        <v>3</v>
      </c>
      <c r="L3931" t="n">
        <v>2.971</v>
      </c>
      <c r="M3931" t="n">
        <v>0</v>
      </c>
      <c r="N3931" t="inlineStr">
        <is>
          <t>train</t>
        </is>
      </c>
      <c r="O3931">
        <f>HYPERLINK("3\1\marker_517_371917.png", "Ver Imagen")</f>
        <v/>
      </c>
      <c r="P3931">
        <f>HYPERLINK("SE\A-497\A-497__581.png", "Ver Imagen")</f>
        <v/>
      </c>
    </row>
    <row r="3932">
      <c r="A3932" t="n">
        <v>3454</v>
      </c>
      <c r="B3932" t="inlineStr">
        <is>
          <t>A-497__579</t>
        </is>
      </c>
      <c r="C3932" t="n">
        <v>37.2036322248</v>
      </c>
      <c r="D3932" t="n">
        <v>-7.00789628389</v>
      </c>
      <c r="E3932" t="n">
        <v>2</v>
      </c>
      <c r="F3932" t="n">
        <v>3</v>
      </c>
      <c r="G3932" t="n">
        <v>3</v>
      </c>
      <c r="J3932" t="inlineStr">
        <is>
          <t>Moda</t>
        </is>
      </c>
      <c r="K3932" t="n">
        <v>3</v>
      </c>
      <c r="L3932" t="n">
        <v>2.908</v>
      </c>
      <c r="M3932" t="n">
        <v>0</v>
      </c>
      <c r="N3932" t="inlineStr">
        <is>
          <t>test</t>
        </is>
      </c>
      <c r="O3932">
        <f>HYPERLINK("3\1\marker_421_371935.png", "Ver Imagen")</f>
        <v/>
      </c>
      <c r="P3932">
        <f>HYPERLINK("SE\A-497\A-497__579.png", "Ver Imagen")</f>
        <v/>
      </c>
    </row>
    <row r="3933">
      <c r="A3933" t="n">
        <v>3455</v>
      </c>
      <c r="B3933" t="inlineStr">
        <is>
          <t>A-497__569</t>
        </is>
      </c>
      <c r="C3933" t="n">
        <v>37.2040131056</v>
      </c>
      <c r="D3933" t="n">
        <v>-7.01033268482</v>
      </c>
      <c r="E3933" t="n">
        <v>3</v>
      </c>
      <c r="F3933" t="n">
        <v>3</v>
      </c>
      <c r="G3933" t="n">
        <v>4</v>
      </c>
      <c r="J3933" t="inlineStr">
        <is>
          <t>Moda</t>
        </is>
      </c>
      <c r="K3933" t="n">
        <v>3</v>
      </c>
      <c r="L3933" t="n">
        <v>2.57</v>
      </c>
      <c r="M3933" t="n">
        <v>0</v>
      </c>
      <c r="N3933" t="inlineStr">
        <is>
          <t>train</t>
        </is>
      </c>
      <c r="O3933">
        <f>HYPERLINK("3\1\marker_637_372050.png", "Ver Imagen")</f>
        <v/>
      </c>
      <c r="P3933">
        <f>HYPERLINK("SE\A-497\A-497__569.png", "Ver Imagen")</f>
        <v/>
      </c>
    </row>
    <row r="3934">
      <c r="A3934" t="n">
        <v>3456</v>
      </c>
      <c r="B3934" t="inlineStr">
        <is>
          <t>A-497_2C__307</t>
        </is>
      </c>
      <c r="C3934" t="n">
        <v>37.2481128458</v>
      </c>
      <c r="D3934" t="n">
        <v>-7.01837397856</v>
      </c>
      <c r="E3934" t="n">
        <v>4</v>
      </c>
      <c r="F3934" t="n">
        <v>3</v>
      </c>
      <c r="G3934" t="n">
        <v>3</v>
      </c>
      <c r="J3934" t="inlineStr">
        <is>
          <t>Moda</t>
        </is>
      </c>
      <c r="K3934" t="n">
        <v>3</v>
      </c>
      <c r="L3934" t="n">
        <v>3.493</v>
      </c>
      <c r="M3934" t="n">
        <v>0</v>
      </c>
      <c r="N3934" t="inlineStr">
        <is>
          <t>train</t>
        </is>
      </c>
      <c r="O3934">
        <f>HYPERLINK("3\1\marker_959_361801.png", "Ver Imagen")</f>
        <v/>
      </c>
      <c r="P3934">
        <f>HYPERLINK("SE\A-497_2C\A-497_2C__307.png", "Ver Imagen")</f>
        <v/>
      </c>
    </row>
    <row r="3935">
      <c r="A3935" t="n">
        <v>3458</v>
      </c>
      <c r="B3935" t="inlineStr">
        <is>
          <t>A-497__558</t>
        </is>
      </c>
      <c r="C3935" t="n">
        <v>37.2044973156</v>
      </c>
      <c r="D3935" t="n">
        <v>-7.0130844794</v>
      </c>
      <c r="E3935" t="n">
        <v>4</v>
      </c>
      <c r="F3935" t="n">
        <v>3</v>
      </c>
      <c r="G3935" t="n">
        <v>3</v>
      </c>
      <c r="J3935" t="inlineStr">
        <is>
          <t>Moda</t>
        </is>
      </c>
      <c r="K3935" t="n">
        <v>3</v>
      </c>
      <c r="L3935" t="n">
        <v>2.931</v>
      </c>
      <c r="M3935" t="n">
        <v>0</v>
      </c>
      <c r="N3935" t="inlineStr">
        <is>
          <t>train</t>
        </is>
      </c>
      <c r="O3935">
        <f>HYPERLINK("3\1\marker_859_372163.png", "Ver Imagen")</f>
        <v/>
      </c>
      <c r="P3935">
        <f>HYPERLINK("SE\A-497\A-497__558.png", "Ver Imagen")</f>
        <v/>
      </c>
    </row>
    <row r="3936">
      <c r="A3936" t="n">
        <v>3459</v>
      </c>
      <c r="B3936" t="inlineStr">
        <is>
          <t>A-497__557</t>
        </is>
      </c>
      <c r="C3936" t="n">
        <v>37.2045454285</v>
      </c>
      <c r="D3936" t="n">
        <v>-7.01334031002</v>
      </c>
      <c r="E3936" t="n">
        <v>4</v>
      </c>
      <c r="F3936" t="n">
        <v>3</v>
      </c>
      <c r="G3936" t="n">
        <v>3</v>
      </c>
      <c r="J3936" t="inlineStr">
        <is>
          <t>Moda</t>
        </is>
      </c>
      <c r="K3936" t="n">
        <v>3</v>
      </c>
      <c r="L3936" t="n">
        <v>3.303</v>
      </c>
      <c r="M3936" t="n">
        <v>0</v>
      </c>
      <c r="N3936" t="inlineStr">
        <is>
          <t>train</t>
        </is>
      </c>
      <c r="O3936">
        <f>HYPERLINK("3\1\marker_177_372173.png", "Ver Imagen")</f>
        <v/>
      </c>
      <c r="P3936">
        <f>HYPERLINK("SE\A-497\A-497__557.png", "Ver Imagen")</f>
        <v/>
      </c>
    </row>
    <row r="3937">
      <c r="A3937" t="n">
        <v>3460</v>
      </c>
      <c r="B3937" t="inlineStr">
        <is>
          <t>A-497_2C__325</t>
        </is>
      </c>
      <c r="C3937" t="n">
        <v>37.2444458706</v>
      </c>
      <c r="D3937" t="n">
        <v>-7.01850625607</v>
      </c>
      <c r="E3937" t="n">
        <v>2</v>
      </c>
      <c r="F3937" t="n">
        <v>3</v>
      </c>
      <c r="G3937" t="n">
        <v>3</v>
      </c>
      <c r="J3937" t="inlineStr">
        <is>
          <t>Moda</t>
        </is>
      </c>
      <c r="K3937" t="n">
        <v>3</v>
      </c>
      <c r="L3937" t="n">
        <v>3.367</v>
      </c>
      <c r="M3937" t="n">
        <v>0</v>
      </c>
      <c r="N3937" t="inlineStr">
        <is>
          <t>val</t>
        </is>
      </c>
      <c r="O3937">
        <f>HYPERLINK("3\1\marker_938_361974.png", "Ver Imagen")</f>
        <v/>
      </c>
      <c r="P3937">
        <f>HYPERLINK("SE\A-497_2C\A-497_2C__325.png", "Ver Imagen")</f>
        <v/>
      </c>
    </row>
    <row r="3938">
      <c r="A3938" t="n">
        <v>3461</v>
      </c>
      <c r="B3938" t="inlineStr">
        <is>
          <t>A-497_2C__326</t>
        </is>
      </c>
      <c r="C3938" t="n">
        <v>37.2442451958</v>
      </c>
      <c r="D3938" t="n">
        <v>-7.01851494079</v>
      </c>
      <c r="E3938" t="n">
        <v>2</v>
      </c>
      <c r="F3938" t="n">
        <v>3</v>
      </c>
      <c r="G3938" t="n">
        <v>3</v>
      </c>
      <c r="J3938" t="inlineStr">
        <is>
          <t>Moda</t>
        </is>
      </c>
      <c r="K3938" t="n">
        <v>3</v>
      </c>
      <c r="L3938" t="n">
        <v>3.122</v>
      </c>
      <c r="M3938" t="n">
        <v>0</v>
      </c>
      <c r="N3938" t="inlineStr">
        <is>
          <t>train</t>
        </is>
      </c>
      <c r="O3938">
        <f>HYPERLINK("3\1\marker_698_361983.png", "Ver Imagen")</f>
        <v/>
      </c>
      <c r="P3938">
        <f>HYPERLINK("SE\A-497_2C\A-497_2C__326.png", "Ver Imagen")</f>
        <v/>
      </c>
    </row>
    <row r="3939">
      <c r="A3939" t="n">
        <v>3462</v>
      </c>
      <c r="B3939" t="inlineStr">
        <is>
          <t>A-497_2C__333</t>
        </is>
      </c>
      <c r="C3939" t="n">
        <v>37.2428355979</v>
      </c>
      <c r="D3939" t="n">
        <v>-7.01857194289</v>
      </c>
      <c r="E3939" t="n">
        <v>3</v>
      </c>
      <c r="F3939" t="n">
        <v>3</v>
      </c>
      <c r="G3939" t="n">
        <v>4</v>
      </c>
      <c r="J3939" t="inlineStr">
        <is>
          <t>Moda</t>
        </is>
      </c>
      <c r="K3939" t="n">
        <v>3</v>
      </c>
      <c r="L3939" t="n">
        <v>3.298</v>
      </c>
      <c r="M3939" t="n">
        <v>0</v>
      </c>
      <c r="N3939" t="inlineStr">
        <is>
          <t>train</t>
        </is>
      </c>
      <c r="O3939">
        <f>HYPERLINK("3\1\marker_420_362047.png", "Ver Imagen")</f>
        <v/>
      </c>
      <c r="P3939">
        <f>HYPERLINK("SE\A-497_2C\A-497_2C__333.png", "Ver Imagen")</f>
        <v/>
      </c>
    </row>
    <row r="3940">
      <c r="A3940" t="n">
        <v>3463</v>
      </c>
      <c r="B3940" t="inlineStr">
        <is>
          <t>A-497__538</t>
        </is>
      </c>
      <c r="C3940" t="n">
        <v>37.2055589837</v>
      </c>
      <c r="D3940" t="n">
        <v>-7.01797651647</v>
      </c>
      <c r="E3940" t="n">
        <v>3</v>
      </c>
      <c r="F3940" t="n">
        <v>3</v>
      </c>
      <c r="G3940" t="n">
        <v>4</v>
      </c>
      <c r="J3940" t="inlineStr">
        <is>
          <t>Moda</t>
        </is>
      </c>
      <c r="K3940" t="n">
        <v>3</v>
      </c>
      <c r="L3940" t="n">
        <v>2.954</v>
      </c>
      <c r="M3940" t="n">
        <v>0</v>
      </c>
      <c r="N3940" t="inlineStr">
        <is>
          <t>train</t>
        </is>
      </c>
      <c r="O3940">
        <f>HYPERLINK("3\1\marker_682_372395.png", "Ver Imagen")</f>
        <v/>
      </c>
      <c r="P3940">
        <f>HYPERLINK("SE\A-497\A-497__538.png", "Ver Imagen")</f>
        <v/>
      </c>
    </row>
    <row r="3941">
      <c r="A3941" t="n">
        <v>3464</v>
      </c>
      <c r="B3941" t="inlineStr">
        <is>
          <t>A-497__537</t>
        </is>
      </c>
      <c r="C3941" t="n">
        <v>37.2056300933</v>
      </c>
      <c r="D3941" t="n">
        <v>-7.01821194024</v>
      </c>
      <c r="E3941" t="n">
        <v>3</v>
      </c>
      <c r="F3941" t="n">
        <v>3</v>
      </c>
      <c r="G3941" t="n">
        <v>4</v>
      </c>
      <c r="J3941" t="inlineStr">
        <is>
          <t>Moda</t>
        </is>
      </c>
      <c r="K3941" t="n">
        <v>3</v>
      </c>
      <c r="L3941" t="n">
        <v>2.905</v>
      </c>
      <c r="M3941" t="n">
        <v>0</v>
      </c>
      <c r="N3941" t="inlineStr">
        <is>
          <t>train</t>
        </is>
      </c>
      <c r="O3941">
        <f>HYPERLINK("3\1\marker_692_372404.png", "Ver Imagen")</f>
        <v/>
      </c>
      <c r="P3941">
        <f>HYPERLINK("SE\A-497\A-497__537.png", "Ver Imagen")</f>
        <v/>
      </c>
    </row>
    <row r="3942">
      <c r="A3942" t="n">
        <v>3465</v>
      </c>
      <c r="B3942" t="inlineStr">
        <is>
          <t>A-497_2C__345</t>
        </is>
      </c>
      <c r="C3942" t="n">
        <v>37.2404230336</v>
      </c>
      <c r="D3942" t="n">
        <v>-7.01865992766</v>
      </c>
      <c r="E3942" t="n">
        <v>4</v>
      </c>
      <c r="F3942" t="n">
        <v>3</v>
      </c>
      <c r="G3942" t="n">
        <v>3</v>
      </c>
      <c r="J3942" t="inlineStr">
        <is>
          <t>Moda</t>
        </is>
      </c>
      <c r="K3942" t="n">
        <v>3</v>
      </c>
      <c r="L3942" t="n">
        <v>3.147</v>
      </c>
      <c r="M3942" t="n">
        <v>0</v>
      </c>
      <c r="N3942" t="inlineStr">
        <is>
          <t>train</t>
        </is>
      </c>
      <c r="O3942">
        <f>HYPERLINK("3\1\marker_593_362174.png", "Ver Imagen")</f>
        <v/>
      </c>
      <c r="P3942">
        <f>HYPERLINK("SE\A-497_2C\A-497_2C__345.png", "Ver Imagen")</f>
        <v/>
      </c>
    </row>
    <row r="3943">
      <c r="A3943" t="n">
        <v>3466</v>
      </c>
      <c r="B3943" t="inlineStr">
        <is>
          <t>A-497__533</t>
        </is>
      </c>
      <c r="C3943" t="n">
        <v>37.2059725628</v>
      </c>
      <c r="D3943" t="n">
        <v>-7.01918933</v>
      </c>
      <c r="E3943" t="n">
        <v>4</v>
      </c>
      <c r="F3943" t="n">
        <v>3</v>
      </c>
      <c r="G3943" t="n">
        <v>3</v>
      </c>
      <c r="J3943" t="inlineStr">
        <is>
          <t>Moda</t>
        </is>
      </c>
      <c r="K3943" t="n">
        <v>3</v>
      </c>
      <c r="L3943" t="n">
        <v>3.147</v>
      </c>
      <c r="M3943" t="n">
        <v>0</v>
      </c>
      <c r="N3943" t="inlineStr">
        <is>
          <t>train</t>
        </is>
      </c>
      <c r="O3943">
        <f>HYPERLINK("3\1\marker_922_372467.png", "Ver Imagen")</f>
        <v/>
      </c>
      <c r="P3943">
        <f>HYPERLINK("SE\A-497\A-497__533.png", "Ver Imagen")</f>
        <v/>
      </c>
    </row>
    <row r="3944">
      <c r="A3944" t="n">
        <v>3467</v>
      </c>
      <c r="B3944" t="inlineStr">
        <is>
          <t>A-497_2C__347</t>
        </is>
      </c>
      <c r="C3944" t="n">
        <v>37.2400233649</v>
      </c>
      <c r="D3944" t="n">
        <v>-7.0186756585</v>
      </c>
      <c r="E3944" t="n">
        <v>4</v>
      </c>
      <c r="F3944" t="n">
        <v>3</v>
      </c>
      <c r="G3944" t="n">
        <v>3</v>
      </c>
      <c r="J3944" t="inlineStr">
        <is>
          <t>Moda</t>
        </is>
      </c>
      <c r="K3944" t="n">
        <v>3</v>
      </c>
      <c r="L3944" t="n">
        <v>3.432</v>
      </c>
      <c r="M3944" t="n">
        <v>0</v>
      </c>
      <c r="N3944" t="inlineStr">
        <is>
          <t>train</t>
        </is>
      </c>
      <c r="O3944">
        <f>HYPERLINK("3\1\marker_245_362193.png", "Ver Imagen")</f>
        <v/>
      </c>
      <c r="P3944">
        <f>HYPERLINK("SE\A-497_2C\A-497_2C__347.png", "Ver Imagen")</f>
        <v/>
      </c>
    </row>
    <row r="3945">
      <c r="A3945" t="n">
        <v>3468</v>
      </c>
      <c r="B3945" t="inlineStr">
        <is>
          <t>A-497_2C__349</t>
        </is>
      </c>
      <c r="C3945" t="n">
        <v>37.2396224454</v>
      </c>
      <c r="D3945" t="n">
        <v>-7.01869192682</v>
      </c>
      <c r="E3945" t="n">
        <v>2</v>
      </c>
      <c r="F3945" t="n">
        <v>3</v>
      </c>
      <c r="G3945" t="n">
        <v>3</v>
      </c>
      <c r="J3945" t="inlineStr">
        <is>
          <t>Moda</t>
        </is>
      </c>
      <c r="K3945" t="n">
        <v>3</v>
      </c>
      <c r="L3945" t="n">
        <v>2.948</v>
      </c>
      <c r="M3945" t="n">
        <v>0</v>
      </c>
      <c r="N3945" t="inlineStr">
        <is>
          <t>train</t>
        </is>
      </c>
      <c r="O3945">
        <f>HYPERLINK("3\1\marker_924_362221.png", "Ver Imagen")</f>
        <v/>
      </c>
      <c r="P3945">
        <f>HYPERLINK("SE\A-497_2C\A-497_2C__349.png", "Ver Imagen")</f>
        <v/>
      </c>
    </row>
    <row r="3946">
      <c r="A3946" t="n">
        <v>3469</v>
      </c>
      <c r="B3946" t="inlineStr">
        <is>
          <t>A-497_2C__352</t>
        </is>
      </c>
      <c r="C3946" t="n">
        <v>37.2390071094</v>
      </c>
      <c r="D3946" t="n">
        <v>-7.01871882133</v>
      </c>
      <c r="E3946" t="n">
        <v>2</v>
      </c>
      <c r="F3946" t="n">
        <v>3</v>
      </c>
      <c r="G3946" t="n">
        <v>3</v>
      </c>
      <c r="J3946" t="inlineStr">
        <is>
          <t>Moda</t>
        </is>
      </c>
      <c r="K3946" t="n">
        <v>3</v>
      </c>
      <c r="L3946" t="n">
        <v>3.273</v>
      </c>
      <c r="M3946" t="n">
        <v>0</v>
      </c>
      <c r="N3946" t="inlineStr">
        <is>
          <t>train</t>
        </is>
      </c>
      <c r="O3946">
        <f>HYPERLINK("3\1\marker_857_362249.png", "Ver Imagen")</f>
        <v/>
      </c>
      <c r="P3946">
        <f>HYPERLINK("SE\A-497_2C\A-497_2C__352.png", "Ver Imagen")</f>
        <v/>
      </c>
    </row>
    <row r="3947">
      <c r="A3947" t="n">
        <v>3470</v>
      </c>
      <c r="B3947" t="inlineStr">
        <is>
          <t>A-497_2C__354</t>
        </is>
      </c>
      <c r="C3947" t="n">
        <v>37.2386290022</v>
      </c>
      <c r="D3947" t="n">
        <v>-7.01873493452</v>
      </c>
      <c r="E3947" t="n">
        <v>4</v>
      </c>
      <c r="F3947" t="n">
        <v>3</v>
      </c>
      <c r="G3947" t="n">
        <v>3</v>
      </c>
      <c r="J3947" t="inlineStr">
        <is>
          <t>Moda</t>
        </is>
      </c>
      <c r="K3947" t="n">
        <v>3</v>
      </c>
      <c r="L3947" t="n">
        <v>3.064</v>
      </c>
      <c r="M3947" t="n">
        <v>0</v>
      </c>
      <c r="N3947" t="inlineStr">
        <is>
          <t>train</t>
        </is>
      </c>
      <c r="O3947">
        <f>HYPERLINK("3\1\marker_367_362269.png", "Ver Imagen")</f>
        <v/>
      </c>
      <c r="P3947">
        <f>HYPERLINK("SE\A-497_2C\A-497_2C__354.png", "Ver Imagen")</f>
        <v/>
      </c>
    </row>
    <row r="3948">
      <c r="A3948" t="n">
        <v>3472</v>
      </c>
      <c r="B3948" t="inlineStr">
        <is>
          <t>A-497_2C__369</t>
        </is>
      </c>
      <c r="C3948" t="n">
        <v>37.2355597937</v>
      </c>
      <c r="D3948" t="n">
        <v>-7.01842451789</v>
      </c>
      <c r="E3948" t="n">
        <v>4</v>
      </c>
      <c r="F3948" t="n">
        <v>3</v>
      </c>
      <c r="G3948" t="n">
        <v>3</v>
      </c>
      <c r="J3948" t="inlineStr">
        <is>
          <t>Moda</t>
        </is>
      </c>
      <c r="K3948" t="n">
        <v>3</v>
      </c>
      <c r="L3948" t="n">
        <v>3.203</v>
      </c>
      <c r="M3948" t="n">
        <v>0</v>
      </c>
      <c r="N3948" t="inlineStr">
        <is>
          <t>train</t>
        </is>
      </c>
      <c r="O3948">
        <f>HYPERLINK("3\1\marker_969_362457.png", "Ver Imagen")</f>
        <v/>
      </c>
      <c r="P3948">
        <f>HYPERLINK("SE\A-497_2C\A-497_2C__369.png", "Ver Imagen")</f>
        <v/>
      </c>
    </row>
    <row r="3949">
      <c r="A3949" t="n">
        <v>3473</v>
      </c>
      <c r="B3949" t="inlineStr">
        <is>
          <t>A-497__510</t>
        </is>
      </c>
      <c r="C3949" t="n">
        <v>37.2091932696</v>
      </c>
      <c r="D3949" t="n">
        <v>-7.02313144298</v>
      </c>
      <c r="E3949" t="n">
        <v>4</v>
      </c>
      <c r="F3949" t="n">
        <v>3</v>
      </c>
      <c r="G3949" t="n">
        <v>3</v>
      </c>
      <c r="J3949" t="inlineStr">
        <is>
          <t>Moda</t>
        </is>
      </c>
      <c r="K3949" t="n">
        <v>3</v>
      </c>
      <c r="L3949" t="n">
        <v>2.842</v>
      </c>
      <c r="M3949" t="n">
        <v>0</v>
      </c>
      <c r="N3949" t="inlineStr">
        <is>
          <t>train</t>
        </is>
      </c>
      <c r="O3949">
        <f>HYPERLINK("3\1\marker_592_372691.png", "Ver Imagen")</f>
        <v/>
      </c>
      <c r="P3949">
        <f>HYPERLINK("SE\A-497\A-497__510.png", "Ver Imagen")</f>
        <v/>
      </c>
    </row>
    <row r="3950">
      <c r="A3950" t="n">
        <v>3475</v>
      </c>
      <c r="B3950" t="inlineStr">
        <is>
          <t>A-497_2C__397</t>
        </is>
      </c>
      <c r="C3950" t="n">
        <v>37.2302865297</v>
      </c>
      <c r="D3950" t="n">
        <v>-7.02024738575</v>
      </c>
      <c r="E3950" t="n">
        <v>4</v>
      </c>
      <c r="F3950" t="n">
        <v>3</v>
      </c>
      <c r="G3950" t="n">
        <v>3</v>
      </c>
      <c r="J3950" t="inlineStr">
        <is>
          <t>Moda</t>
        </is>
      </c>
      <c r="K3950" t="n">
        <v>3</v>
      </c>
      <c r="L3950" t="n">
        <v>2.982</v>
      </c>
      <c r="M3950" t="n">
        <v>0</v>
      </c>
      <c r="N3950" t="inlineStr">
        <is>
          <t>train</t>
        </is>
      </c>
      <c r="O3950">
        <f>HYPERLINK("3\1\marker_231_362876.png", "Ver Imagen")</f>
        <v/>
      </c>
      <c r="P3950">
        <f>HYPERLINK("SE\A-497_2C\A-497_2C__397.png", "Ver Imagen")</f>
        <v/>
      </c>
    </row>
    <row r="3951">
      <c r="A3951" t="n">
        <v>3476</v>
      </c>
      <c r="B3951" t="inlineStr">
        <is>
          <t>A-497_2C__399</t>
        </is>
      </c>
      <c r="C3951" t="n">
        <v>37.2299644525</v>
      </c>
      <c r="D3951" t="n">
        <v>-7.02049477745</v>
      </c>
      <c r="E3951" t="n">
        <v>2</v>
      </c>
      <c r="F3951" t="n">
        <v>3</v>
      </c>
      <c r="G3951" t="n">
        <v>3</v>
      </c>
      <c r="J3951" t="inlineStr">
        <is>
          <t>Moda</t>
        </is>
      </c>
      <c r="K3951" t="n">
        <v>3</v>
      </c>
      <c r="L3951" t="n">
        <v>3.039</v>
      </c>
      <c r="M3951" t="n">
        <v>0</v>
      </c>
      <c r="N3951" t="inlineStr">
        <is>
          <t>train</t>
        </is>
      </c>
      <c r="O3951">
        <f>HYPERLINK("3\1\marker_948_362897.png", "Ver Imagen")</f>
        <v/>
      </c>
      <c r="P3951">
        <f>HYPERLINK("SE\A-497_2C\A-497_2C__399.png", "Ver Imagen")</f>
        <v/>
      </c>
    </row>
    <row r="3952">
      <c r="A3952" t="n">
        <v>3477</v>
      </c>
      <c r="B3952" t="inlineStr">
        <is>
          <t>A-497_2C__400</t>
        </is>
      </c>
      <c r="C3952" t="n">
        <v>37.2297664202</v>
      </c>
      <c r="D3952" t="n">
        <v>-7.0206453873</v>
      </c>
      <c r="E3952" t="n">
        <v>4</v>
      </c>
      <c r="F3952" t="n">
        <v>3</v>
      </c>
      <c r="G3952" t="n">
        <v>3</v>
      </c>
      <c r="J3952" t="inlineStr">
        <is>
          <t>Moda</t>
        </is>
      </c>
      <c r="K3952" t="n">
        <v>3</v>
      </c>
      <c r="L3952" t="n">
        <v>2.58</v>
      </c>
      <c r="M3952" t="n">
        <v>0</v>
      </c>
      <c r="N3952" t="inlineStr">
        <is>
          <t>val</t>
        </is>
      </c>
      <c r="O3952">
        <f>HYPERLINK("3\1\marker_854_362906.png", "Ver Imagen")</f>
        <v/>
      </c>
      <c r="P3952">
        <f>HYPERLINK("SE\A-497_2C\A-497_2C__400.png", "Ver Imagen")</f>
        <v/>
      </c>
    </row>
    <row r="3953">
      <c r="A3953" t="n">
        <v>3478</v>
      </c>
      <c r="B3953" t="inlineStr">
        <is>
          <t>A-497_2C__401</t>
        </is>
      </c>
      <c r="C3953" t="n">
        <v>37.2295929697</v>
      </c>
      <c r="D3953" t="n">
        <v>-7.02077606714</v>
      </c>
      <c r="E3953" t="n">
        <v>4</v>
      </c>
      <c r="F3953" t="n">
        <v>3</v>
      </c>
      <c r="G3953" t="n">
        <v>3</v>
      </c>
      <c r="J3953" t="inlineStr">
        <is>
          <t>Moda</t>
        </is>
      </c>
      <c r="K3953" t="n">
        <v>3</v>
      </c>
      <c r="L3953" t="n">
        <v>2.674</v>
      </c>
      <c r="M3953" t="n">
        <v>0</v>
      </c>
      <c r="N3953" t="inlineStr">
        <is>
          <t>train</t>
        </is>
      </c>
      <c r="O3953">
        <f>HYPERLINK("3\1\marker_300_362915.png", "Ver Imagen")</f>
        <v/>
      </c>
      <c r="P3953">
        <f>HYPERLINK("SE\A-497_2C\A-497_2C__401.png", "Ver Imagen")</f>
        <v/>
      </c>
    </row>
    <row r="3954">
      <c r="A3954" t="n">
        <v>3479</v>
      </c>
      <c r="B3954" t="inlineStr">
        <is>
          <t>A-497_2C__402</t>
        </is>
      </c>
      <c r="C3954" t="n">
        <v>37.2294673064</v>
      </c>
      <c r="D3954" t="n">
        <v>-7.02087041269</v>
      </c>
      <c r="E3954" t="n">
        <v>4</v>
      </c>
      <c r="F3954" t="n">
        <v>3</v>
      </c>
      <c r="G3954" t="n">
        <v>3</v>
      </c>
      <c r="J3954" t="inlineStr">
        <is>
          <t>Moda</t>
        </is>
      </c>
      <c r="K3954" t="n">
        <v>3</v>
      </c>
      <c r="L3954" t="n">
        <v>2.834</v>
      </c>
      <c r="M3954" t="n">
        <v>0</v>
      </c>
      <c r="N3954" t="inlineStr">
        <is>
          <t>test</t>
        </is>
      </c>
      <c r="O3954">
        <f>HYPERLINK("3\1\marker_618_362925.png", "Ver Imagen")</f>
        <v/>
      </c>
      <c r="P3954">
        <f>HYPERLINK("SE\A-497_2C\A-497_2C__402.png", "Ver Imagen")</f>
        <v/>
      </c>
    </row>
    <row r="3955">
      <c r="A3955" t="n">
        <v>3481</v>
      </c>
      <c r="B3955" t="inlineStr">
        <is>
          <t>A-497_2C__416</t>
        </is>
      </c>
      <c r="C3955" t="n">
        <v>37.227038376</v>
      </c>
      <c r="D3955" t="n">
        <v>-7.02269010246</v>
      </c>
      <c r="E3955" t="n">
        <v>3</v>
      </c>
      <c r="F3955" t="n">
        <v>3</v>
      </c>
      <c r="G3955" t="n">
        <v>2</v>
      </c>
      <c r="J3955" t="inlineStr">
        <is>
          <t>Moda</t>
        </is>
      </c>
      <c r="K3955" t="n">
        <v>3</v>
      </c>
      <c r="L3955" t="n">
        <v>2.88</v>
      </c>
      <c r="M3955" t="n">
        <v>0</v>
      </c>
      <c r="N3955" t="inlineStr">
        <is>
          <t>train</t>
        </is>
      </c>
      <c r="O3955">
        <f>HYPERLINK("3\1\marker_777_363074.png", "Ver Imagen")</f>
        <v/>
      </c>
      <c r="P3955">
        <f>HYPERLINK("SE\A-497_2C\A-497_2C__416.png", "Ver Imagen")</f>
        <v/>
      </c>
    </row>
    <row r="3956">
      <c r="A3956" t="n">
        <v>3482</v>
      </c>
      <c r="B3956" t="inlineStr">
        <is>
          <t>A-497_2C__418</t>
        </is>
      </c>
      <c r="C3956" t="n">
        <v>37.2266550445</v>
      </c>
      <c r="D3956" t="n">
        <v>-7.0229163502</v>
      </c>
      <c r="E3956" t="n">
        <v>3</v>
      </c>
      <c r="F3956" t="n">
        <v>3</v>
      </c>
      <c r="G3956" t="n">
        <v>2</v>
      </c>
      <c r="J3956" t="inlineStr">
        <is>
          <t>Moda</t>
        </is>
      </c>
      <c r="K3956" t="n">
        <v>3</v>
      </c>
      <c r="L3956" t="n">
        <v>2.779</v>
      </c>
      <c r="M3956" t="n">
        <v>0</v>
      </c>
      <c r="N3956" t="inlineStr">
        <is>
          <t>train</t>
        </is>
      </c>
      <c r="O3956">
        <f>HYPERLINK("3\1\marker_693_363094.png", "Ver Imagen")</f>
        <v/>
      </c>
      <c r="P3956">
        <f>HYPERLINK("SE\A-497_2C\A-497_2C__418.png", "Ver Imagen")</f>
        <v/>
      </c>
    </row>
    <row r="3957">
      <c r="A3957" t="n">
        <v>3483</v>
      </c>
      <c r="B3957" t="inlineStr">
        <is>
          <t>A-497__480</t>
        </is>
      </c>
      <c r="C3957" t="n">
        <v>37.2151684347</v>
      </c>
      <c r="D3957" t="n">
        <v>-7.02338021865</v>
      </c>
      <c r="E3957" t="n">
        <v>2</v>
      </c>
      <c r="F3957" t="n">
        <v>3</v>
      </c>
      <c r="G3957" t="n">
        <v>3</v>
      </c>
      <c r="J3957" t="inlineStr">
        <is>
          <t>Moda</t>
        </is>
      </c>
      <c r="K3957" t="n">
        <v>3</v>
      </c>
      <c r="L3957" t="n">
        <v>2.823</v>
      </c>
      <c r="M3957" t="n">
        <v>0</v>
      </c>
      <c r="N3957" t="inlineStr">
        <is>
          <t>train</t>
        </is>
      </c>
      <c r="O3957">
        <f>HYPERLINK("3\1\marker_125_376309.png", "Ver Imagen")</f>
        <v/>
      </c>
      <c r="P3957">
        <f>HYPERLINK("SE\A-497\A-497__480.png", "Ver Imagen")</f>
        <v/>
      </c>
    </row>
    <row r="3958">
      <c r="A3958" t="n">
        <v>3484</v>
      </c>
      <c r="B3958" t="inlineStr">
        <is>
          <t>A-497__474</t>
        </is>
      </c>
      <c r="C3958" t="n">
        <v>37.2163913315</v>
      </c>
      <c r="D3958" t="n">
        <v>-7.02315989239</v>
      </c>
      <c r="E3958" t="n">
        <v>3</v>
      </c>
      <c r="F3958" t="n">
        <v>3</v>
      </c>
      <c r="G3958" t="n">
        <v>2</v>
      </c>
      <c r="J3958" t="inlineStr">
        <is>
          <t>Moda</t>
        </is>
      </c>
      <c r="K3958" t="n">
        <v>3</v>
      </c>
      <c r="L3958" t="n">
        <v>2.988</v>
      </c>
      <c r="M3958" t="n">
        <v>0</v>
      </c>
      <c r="N3958" t="inlineStr">
        <is>
          <t>train</t>
        </is>
      </c>
      <c r="O3958">
        <f>HYPERLINK("3\1\marker_364_376383.png", "Ver Imagen")</f>
        <v/>
      </c>
      <c r="P3958">
        <f>HYPERLINK("SE\A-497\A-497__474.png", "Ver Imagen")</f>
        <v/>
      </c>
    </row>
    <row r="3959">
      <c r="A3959" t="n">
        <v>3485</v>
      </c>
      <c r="B3959" t="inlineStr">
        <is>
          <t>A-497__472</t>
        </is>
      </c>
      <c r="C3959" t="n">
        <v>37.2168029492</v>
      </c>
      <c r="D3959" t="n">
        <v>-7.023084971</v>
      </c>
      <c r="E3959" t="n">
        <v>2</v>
      </c>
      <c r="F3959" t="n">
        <v>3</v>
      </c>
      <c r="G3959" t="n">
        <v>3</v>
      </c>
      <c r="J3959" t="inlineStr">
        <is>
          <t>Moda</t>
        </is>
      </c>
      <c r="K3959" t="n">
        <v>3</v>
      </c>
      <c r="L3959" t="n">
        <v>2.788</v>
      </c>
      <c r="M3959" t="n">
        <v>0</v>
      </c>
      <c r="N3959" t="inlineStr">
        <is>
          <t>train</t>
        </is>
      </c>
      <c r="O3959">
        <f>HYPERLINK("3\1\marker_263_376404.png", "Ver Imagen")</f>
        <v/>
      </c>
      <c r="P3959">
        <f>HYPERLINK("SE\A-497\A-497__472.png", "Ver Imagen")</f>
        <v/>
      </c>
    </row>
    <row r="3960">
      <c r="A3960" t="n">
        <v>3486</v>
      </c>
      <c r="B3960" t="inlineStr">
        <is>
          <t>A-497__470</t>
        </is>
      </c>
      <c r="C3960" t="n">
        <v>37.2171875591</v>
      </c>
      <c r="D3960" t="n">
        <v>-7.02301678805</v>
      </c>
      <c r="E3960" t="n">
        <v>2</v>
      </c>
      <c r="F3960" t="n">
        <v>3</v>
      </c>
      <c r="G3960" t="n">
        <v>3</v>
      </c>
      <c r="J3960" t="inlineStr">
        <is>
          <t>Moda</t>
        </is>
      </c>
      <c r="K3960" t="n">
        <v>3</v>
      </c>
      <c r="L3960" t="n">
        <v>3.232</v>
      </c>
      <c r="M3960" t="n">
        <v>0</v>
      </c>
      <c r="N3960" t="inlineStr">
        <is>
          <t>train</t>
        </is>
      </c>
      <c r="O3960">
        <f>HYPERLINK("3\1\marker_776_376472.png", "Ver Imagen")</f>
        <v/>
      </c>
      <c r="P3960">
        <f>HYPERLINK("SE\A-497\A-497__470.png", "Ver Imagen")</f>
        <v/>
      </c>
    </row>
    <row r="3961">
      <c r="A3961" t="n">
        <v>3487</v>
      </c>
      <c r="B3961" t="inlineStr">
        <is>
          <t>A-497__469</t>
        </is>
      </c>
      <c r="C3961" t="n">
        <v>37.2173580271</v>
      </c>
      <c r="D3961" t="n">
        <v>-7.02298729775</v>
      </c>
      <c r="E3961" t="n">
        <v>3</v>
      </c>
      <c r="F3961" t="n">
        <v>3</v>
      </c>
      <c r="G3961" t="n">
        <v>2</v>
      </c>
      <c r="J3961" t="inlineStr">
        <is>
          <t>Moda</t>
        </is>
      </c>
      <c r="K3961" t="n">
        <v>3</v>
      </c>
      <c r="L3961" t="n">
        <v>3.138</v>
      </c>
      <c r="M3961" t="n">
        <v>0</v>
      </c>
      <c r="N3961" t="inlineStr">
        <is>
          <t>train</t>
        </is>
      </c>
      <c r="O3961">
        <f>HYPERLINK("3\1\marker_646_376480.png", "Ver Imagen")</f>
        <v/>
      </c>
      <c r="P3961">
        <f>HYPERLINK("SE\A-497\A-497__469.png", "Ver Imagen")</f>
        <v/>
      </c>
    </row>
    <row r="3962">
      <c r="A3962" t="n">
        <v>3488</v>
      </c>
      <c r="B3962" t="inlineStr">
        <is>
          <t>A-497__468</t>
        </is>
      </c>
      <c r="C3962" t="n">
        <v>37.2175455213</v>
      </c>
      <c r="D3962" t="n">
        <v>-7.02295537561</v>
      </c>
      <c r="E3962" t="n">
        <v>4</v>
      </c>
      <c r="F3962" t="n">
        <v>3</v>
      </c>
      <c r="G3962" t="n">
        <v>3</v>
      </c>
      <c r="J3962" t="inlineStr">
        <is>
          <t>Moda</t>
        </is>
      </c>
      <c r="K3962" t="n">
        <v>3</v>
      </c>
      <c r="L3962" t="n">
        <v>2.889</v>
      </c>
      <c r="M3962" t="n">
        <v>0</v>
      </c>
      <c r="N3962" t="inlineStr">
        <is>
          <t>train</t>
        </is>
      </c>
      <c r="O3962">
        <f>HYPERLINK("3\1\marker_109_376489.png", "Ver Imagen")</f>
        <v/>
      </c>
      <c r="P3962">
        <f>HYPERLINK("SE\A-497\A-497__468.png", "Ver Imagen")</f>
        <v/>
      </c>
    </row>
    <row r="3963">
      <c r="A3963" t="n">
        <v>3489</v>
      </c>
      <c r="B3963" t="inlineStr">
        <is>
          <t>A-497_2C__435</t>
        </is>
      </c>
      <c r="C3963" t="n">
        <v>37.2232369122</v>
      </c>
      <c r="D3963" t="n">
        <v>-7.02327046562</v>
      </c>
      <c r="E3963" t="n">
        <v>2</v>
      </c>
      <c r="F3963" t="n">
        <v>3</v>
      </c>
      <c r="G3963" t="n">
        <v>3</v>
      </c>
      <c r="J3963" t="inlineStr">
        <is>
          <t>Moda</t>
        </is>
      </c>
      <c r="K3963" t="n">
        <v>3</v>
      </c>
      <c r="L3963" t="n">
        <v>2.948</v>
      </c>
      <c r="M3963" t="n">
        <v>0</v>
      </c>
      <c r="N3963" t="inlineStr">
        <is>
          <t>train</t>
        </is>
      </c>
      <c r="O3963">
        <f>HYPERLINK("3\1\marker_612_363258.png", "Ver Imagen")</f>
        <v/>
      </c>
      <c r="P3963">
        <f>HYPERLINK("SE\A-497_2C\A-497_2C__435.png", "Ver Imagen")</f>
        <v/>
      </c>
    </row>
    <row r="3964">
      <c r="A3964" t="n">
        <v>3490</v>
      </c>
      <c r="B3964" t="inlineStr">
        <is>
          <t>A-497_2C__439</t>
        </is>
      </c>
      <c r="C3964" t="n">
        <v>37.2224793118</v>
      </c>
      <c r="D3964" t="n">
        <v>-7.0231970096</v>
      </c>
      <c r="E3964" t="n">
        <v>2</v>
      </c>
      <c r="F3964" t="n">
        <v>3</v>
      </c>
      <c r="G3964" t="n">
        <v>3</v>
      </c>
      <c r="J3964" t="inlineStr">
        <is>
          <t>Moda</t>
        </is>
      </c>
      <c r="K3964" t="n">
        <v>3</v>
      </c>
      <c r="L3964" t="n">
        <v>3.3</v>
      </c>
      <c r="M3964" t="n">
        <v>0</v>
      </c>
      <c r="N3964" t="inlineStr">
        <is>
          <t>train</t>
        </is>
      </c>
      <c r="O3964">
        <f>HYPERLINK("3\1\marker_784_363299.png", "Ver Imagen")</f>
        <v/>
      </c>
      <c r="P3964">
        <f>HYPERLINK("SE\A-497_2C\A-497_2C__439.png", "Ver Imagen")</f>
        <v/>
      </c>
    </row>
    <row r="3965">
      <c r="A3965" t="n">
        <v>3492</v>
      </c>
      <c r="B3965" t="inlineStr">
        <is>
          <t>A-497_2C__451</t>
        </is>
      </c>
      <c r="C3965" t="n">
        <v>37.2200560991</v>
      </c>
      <c r="D3965" t="n">
        <v>-7.02297047112</v>
      </c>
      <c r="E3965" t="n">
        <v>4</v>
      </c>
      <c r="F3965" t="n">
        <v>3</v>
      </c>
      <c r="G3965" t="n">
        <v>3</v>
      </c>
      <c r="J3965" t="inlineStr">
        <is>
          <t>Moda</t>
        </is>
      </c>
      <c r="K3965" t="n">
        <v>3</v>
      </c>
      <c r="L3965" t="n">
        <v>3.297</v>
      </c>
      <c r="M3965" t="n">
        <v>0</v>
      </c>
      <c r="N3965" t="inlineStr">
        <is>
          <t>train</t>
        </is>
      </c>
      <c r="O3965">
        <f>HYPERLINK("3\1\marker_682_363428.png", "Ver Imagen")</f>
        <v/>
      </c>
      <c r="P3965">
        <f>HYPERLINK("SE\A-497_2C\A-497_2C__451.png", "Ver Imagen")</f>
        <v/>
      </c>
    </row>
    <row r="3966">
      <c r="A3966" t="n">
        <v>3493</v>
      </c>
      <c r="B3966" t="inlineStr">
        <is>
          <t>A-497_2C__452</t>
        </is>
      </c>
      <c r="C3966" t="n">
        <v>37.219847288</v>
      </c>
      <c r="D3966" t="n">
        <v>-7.02295762341</v>
      </c>
      <c r="E3966" t="n">
        <v>4</v>
      </c>
      <c r="F3966" t="n">
        <v>3</v>
      </c>
      <c r="G3966" t="n">
        <v>3</v>
      </c>
      <c r="J3966" t="inlineStr">
        <is>
          <t>Moda</t>
        </is>
      </c>
      <c r="K3966" t="n">
        <v>3</v>
      </c>
      <c r="L3966" t="n">
        <v>3.497</v>
      </c>
      <c r="M3966" t="n">
        <v>0</v>
      </c>
      <c r="N3966" t="inlineStr">
        <is>
          <t>test</t>
        </is>
      </c>
      <c r="O3966">
        <f>HYPERLINK("3\1\marker_409_363437.png", "Ver Imagen")</f>
        <v/>
      </c>
      <c r="P3966">
        <f>HYPERLINK("SE\A-497_2C\A-497_2C__452.png", "Ver Imagen")</f>
        <v/>
      </c>
    </row>
    <row r="3967">
      <c r="A3967" t="n">
        <v>3494</v>
      </c>
      <c r="B3967" t="inlineStr">
        <is>
          <t>A-497_2C__453</t>
        </is>
      </c>
      <c r="C3967" t="n">
        <v>37.2196459475</v>
      </c>
      <c r="D3967" t="n">
        <v>-7.02295048981</v>
      </c>
      <c r="E3967" t="n">
        <v>4</v>
      </c>
      <c r="F3967" t="n">
        <v>3</v>
      </c>
      <c r="G3967" t="n">
        <v>3</v>
      </c>
      <c r="J3967" t="inlineStr">
        <is>
          <t>Moda</t>
        </is>
      </c>
      <c r="K3967" t="n">
        <v>3</v>
      </c>
      <c r="L3967" t="n">
        <v>3.418</v>
      </c>
      <c r="M3967" t="n">
        <v>0</v>
      </c>
      <c r="N3967" t="inlineStr">
        <is>
          <t>test</t>
        </is>
      </c>
      <c r="O3967">
        <f>HYPERLINK("3\1\marker_336_363446.png", "Ver Imagen")</f>
        <v/>
      </c>
      <c r="P3967">
        <f>HYPERLINK("SE\A-497_2C\A-497_2C__453.png", "Ver Imagen")</f>
        <v/>
      </c>
    </row>
    <row r="3968">
      <c r="A3968" t="n">
        <v>3496</v>
      </c>
      <c r="B3968" t="inlineStr">
        <is>
          <t>A-497_2C__475</t>
        </is>
      </c>
      <c r="C3968" t="n">
        <v>37.2152265516</v>
      </c>
      <c r="D3968" t="n">
        <v>-7.02354554443</v>
      </c>
      <c r="E3968" t="n">
        <v>4</v>
      </c>
      <c r="F3968" t="n">
        <v>3</v>
      </c>
      <c r="G3968" t="n">
        <v>3</v>
      </c>
      <c r="J3968" t="inlineStr">
        <is>
          <t>Moda</t>
        </is>
      </c>
      <c r="K3968" t="n">
        <v>3</v>
      </c>
      <c r="L3968" t="n">
        <v>3.132</v>
      </c>
      <c r="M3968" t="n">
        <v>0</v>
      </c>
      <c r="N3968" t="inlineStr">
        <is>
          <t>train</t>
        </is>
      </c>
      <c r="O3968">
        <f>HYPERLINK("3\1\marker_414_363701.png", "Ver Imagen")</f>
        <v/>
      </c>
      <c r="P3968">
        <f>HYPERLINK("SE\A-497_2C\A-497_2C__475.png", "Ver Imagen")</f>
        <v/>
      </c>
    </row>
    <row r="3969">
      <c r="A3969" t="n">
        <v>3497</v>
      </c>
      <c r="B3969" t="inlineStr">
        <is>
          <t>A-497_2C__479</t>
        </is>
      </c>
      <c r="C3969" t="n">
        <v>37.21438888</v>
      </c>
      <c r="D3969" t="n">
        <v>-7.02369792884</v>
      </c>
      <c r="E3969" t="n">
        <v>4</v>
      </c>
      <c r="F3969" t="n">
        <v>3</v>
      </c>
      <c r="G3969" t="n">
        <v>3</v>
      </c>
      <c r="J3969" t="inlineStr">
        <is>
          <t>Moda</t>
        </is>
      </c>
      <c r="K3969" t="n">
        <v>3</v>
      </c>
      <c r="L3969" t="n">
        <v>3.024</v>
      </c>
      <c r="M3969" t="n">
        <v>0</v>
      </c>
      <c r="N3969" t="inlineStr">
        <is>
          <t>train</t>
        </is>
      </c>
      <c r="O3969">
        <f>HYPERLINK("3\1\marker_695_363746.png", "Ver Imagen")</f>
        <v/>
      </c>
      <c r="P3969">
        <f>HYPERLINK("SE\A-497_2C\A-497_2C__479.png", "Ver Imagen")</f>
        <v/>
      </c>
    </row>
    <row r="3970">
      <c r="A3970" t="n">
        <v>3498</v>
      </c>
      <c r="B3970" t="inlineStr">
        <is>
          <t>A-497_2C__488</t>
        </is>
      </c>
      <c r="C3970" t="n">
        <v>37.2126198364</v>
      </c>
      <c r="D3970" t="n">
        <v>-7.02399515171</v>
      </c>
      <c r="E3970" t="n">
        <v>4</v>
      </c>
      <c r="F3970" t="n">
        <v>3</v>
      </c>
      <c r="G3970" t="n">
        <v>3</v>
      </c>
      <c r="J3970" t="inlineStr">
        <is>
          <t>Moda</t>
        </is>
      </c>
      <c r="K3970" t="n">
        <v>3</v>
      </c>
      <c r="L3970" t="n">
        <v>2.98</v>
      </c>
      <c r="M3970" t="n">
        <v>0</v>
      </c>
      <c r="N3970" t="inlineStr">
        <is>
          <t>train</t>
        </is>
      </c>
      <c r="O3970">
        <f>HYPERLINK("3\1\marker_683_363855.png", "Ver Imagen")</f>
        <v/>
      </c>
      <c r="P3970">
        <f>HYPERLINK("SE\A-497_2C\A-497_2C__488.png", "Ver Imagen")</f>
        <v/>
      </c>
    </row>
    <row r="3971">
      <c r="A3971" t="n">
        <v>3499</v>
      </c>
      <c r="B3971" t="inlineStr">
        <is>
          <t>A-497_2C__492</t>
        </is>
      </c>
      <c r="C3971" t="n">
        <v>37.21175571</v>
      </c>
      <c r="D3971" t="n">
        <v>-7.02404934996</v>
      </c>
      <c r="E3971" t="n">
        <v>4</v>
      </c>
      <c r="F3971" t="n">
        <v>3</v>
      </c>
      <c r="G3971" t="n">
        <v>3</v>
      </c>
      <c r="J3971" t="inlineStr">
        <is>
          <t>Moda</t>
        </is>
      </c>
      <c r="K3971" t="n">
        <v>3</v>
      </c>
      <c r="L3971" t="n">
        <v>3.129</v>
      </c>
      <c r="M3971" t="n">
        <v>0</v>
      </c>
      <c r="N3971" t="inlineStr">
        <is>
          <t>train</t>
        </is>
      </c>
      <c r="O3971">
        <f>HYPERLINK("3\1\marker_894_363915.png", "Ver Imagen")</f>
        <v/>
      </c>
      <c r="P3971">
        <f>HYPERLINK("SE\A-497_2C\A-497_2C__492.png", "Ver Imagen")</f>
        <v/>
      </c>
    </row>
    <row r="3972">
      <c r="A3972" t="n">
        <v>3500</v>
      </c>
      <c r="B3972" t="inlineStr">
        <is>
          <t>A-497_2C__494</t>
        </is>
      </c>
      <c r="C3972" t="n">
        <v>37.2113713714</v>
      </c>
      <c r="D3972" t="n">
        <v>-7.02402966503</v>
      </c>
      <c r="E3972" t="n">
        <v>4</v>
      </c>
      <c r="F3972" t="n">
        <v>3</v>
      </c>
      <c r="G3972" t="n">
        <v>3</v>
      </c>
      <c r="J3972" t="inlineStr">
        <is>
          <t>Moda</t>
        </is>
      </c>
      <c r="K3972" t="n">
        <v>3</v>
      </c>
      <c r="L3972" t="n">
        <v>3.281</v>
      </c>
      <c r="M3972" t="n">
        <v>0</v>
      </c>
      <c r="N3972" t="inlineStr">
        <is>
          <t>train</t>
        </is>
      </c>
      <c r="O3972">
        <f>HYPERLINK("3\1\marker_207_363942.png", "Ver Imagen")</f>
        <v/>
      </c>
      <c r="P3972">
        <f>HYPERLINK("SE\A-497_2C\A-497_2C__494.png", "Ver Imagen")</f>
        <v/>
      </c>
    </row>
    <row r="3973">
      <c r="A3973" t="n">
        <v>3501</v>
      </c>
      <c r="B3973" t="inlineStr">
        <is>
          <t>A-497_2C__495</t>
        </is>
      </c>
      <c r="C3973" t="n">
        <v>37.2111775098</v>
      </c>
      <c r="D3973" t="n">
        <v>-7.02400987202</v>
      </c>
      <c r="E3973" t="n">
        <v>4</v>
      </c>
      <c r="F3973" t="n">
        <v>3</v>
      </c>
      <c r="G3973" t="n">
        <v>3</v>
      </c>
      <c r="J3973" t="inlineStr">
        <is>
          <t>Moda</t>
        </is>
      </c>
      <c r="K3973" t="n">
        <v>3</v>
      </c>
      <c r="L3973" t="n">
        <v>2.922</v>
      </c>
      <c r="M3973" t="n">
        <v>0</v>
      </c>
      <c r="N3973" t="inlineStr">
        <is>
          <t>train</t>
        </is>
      </c>
      <c r="O3973">
        <f>HYPERLINK("3\1\marker_503_363956.png", "Ver Imagen")</f>
        <v/>
      </c>
      <c r="P3973">
        <f>HYPERLINK("SE\A-497_2C\A-497_2C__495.png", "Ver Imagen")</f>
        <v/>
      </c>
    </row>
    <row r="3974">
      <c r="A3974" t="n">
        <v>3502</v>
      </c>
      <c r="B3974" t="inlineStr">
        <is>
          <t>A-497_2C__496</t>
        </is>
      </c>
      <c r="C3974" t="n">
        <v>37.2109886192</v>
      </c>
      <c r="D3974" t="n">
        <v>-7.02398335252</v>
      </c>
      <c r="E3974" t="n">
        <v>4</v>
      </c>
      <c r="F3974" t="n">
        <v>3</v>
      </c>
      <c r="G3974" t="n">
        <v>3</v>
      </c>
      <c r="J3974" t="inlineStr">
        <is>
          <t>Moda</t>
        </is>
      </c>
      <c r="K3974" t="n">
        <v>3</v>
      </c>
      <c r="L3974" t="n">
        <v>3.142</v>
      </c>
      <c r="M3974" t="n">
        <v>0</v>
      </c>
      <c r="N3974" t="inlineStr">
        <is>
          <t>train</t>
        </is>
      </c>
      <c r="O3974">
        <f>HYPERLINK("3\1\marker_898_363967.png", "Ver Imagen")</f>
        <v/>
      </c>
      <c r="P3974">
        <f>HYPERLINK("SE\A-497_2C\A-497_2C__496.png", "Ver Imagen")</f>
        <v/>
      </c>
    </row>
    <row r="3975">
      <c r="A3975" t="n">
        <v>3505</v>
      </c>
      <c r="B3975" t="inlineStr">
        <is>
          <t>A-497_2C__503</t>
        </is>
      </c>
      <c r="C3975" t="n">
        <v>37.2095945912</v>
      </c>
      <c r="D3975" t="n">
        <v>-7.02355479878</v>
      </c>
      <c r="E3975" t="n">
        <v>4</v>
      </c>
      <c r="F3975" t="n">
        <v>3</v>
      </c>
      <c r="G3975" t="n">
        <v>3</v>
      </c>
      <c r="J3975" t="inlineStr">
        <is>
          <t>Moda</t>
        </is>
      </c>
      <c r="K3975" t="n">
        <v>3</v>
      </c>
      <c r="L3975" t="n">
        <v>3.062</v>
      </c>
      <c r="M3975" t="n">
        <v>0</v>
      </c>
      <c r="N3975" t="inlineStr">
        <is>
          <t>train</t>
        </is>
      </c>
      <c r="O3975">
        <f>HYPERLINK("3\1\marker_175_364091.png", "Ver Imagen")</f>
        <v/>
      </c>
      <c r="P3975">
        <f>HYPERLINK("SE\A-497_2C\A-497_2C__503.png", "Ver Imagen")</f>
        <v/>
      </c>
    </row>
    <row r="3976">
      <c r="A3976" t="n">
        <v>3507</v>
      </c>
      <c r="B3976" t="inlineStr">
        <is>
          <t>A-497_2C__512</t>
        </is>
      </c>
      <c r="C3976" t="n">
        <v>37.2079938859</v>
      </c>
      <c r="D3976" t="n">
        <v>-7.02249790509</v>
      </c>
      <c r="E3976" t="n">
        <v>2</v>
      </c>
      <c r="F3976" t="n">
        <v>3</v>
      </c>
      <c r="G3976" t="n">
        <v>3</v>
      </c>
      <c r="J3976" t="inlineStr">
        <is>
          <t>Moda</t>
        </is>
      </c>
      <c r="K3976" t="n">
        <v>3</v>
      </c>
      <c r="L3976" t="n">
        <v>2.764</v>
      </c>
      <c r="M3976" t="n">
        <v>0</v>
      </c>
      <c r="N3976" t="inlineStr">
        <is>
          <t>train</t>
        </is>
      </c>
      <c r="O3976">
        <f>HYPERLINK("3\1\marker_507_364178.png", "Ver Imagen")</f>
        <v/>
      </c>
      <c r="P3976">
        <f>HYPERLINK("SE\A-497_2C\A-497_2C__512.png", "Ver Imagen")</f>
        <v/>
      </c>
    </row>
    <row r="3977">
      <c r="A3977" t="n">
        <v>3508</v>
      </c>
      <c r="B3977" t="inlineStr">
        <is>
          <t>A-497_2C__513</t>
        </is>
      </c>
      <c r="C3977" t="n">
        <v>37.2078393048</v>
      </c>
      <c r="D3977" t="n">
        <v>-7.02235454407</v>
      </c>
      <c r="E3977" t="n">
        <v>2</v>
      </c>
      <c r="F3977" t="n">
        <v>3</v>
      </c>
      <c r="G3977" t="n">
        <v>3</v>
      </c>
      <c r="J3977" t="inlineStr">
        <is>
          <t>Moda</t>
        </is>
      </c>
      <c r="K3977" t="n">
        <v>3</v>
      </c>
      <c r="L3977" t="n">
        <v>2.706</v>
      </c>
      <c r="M3977" t="n">
        <v>0</v>
      </c>
      <c r="N3977" t="inlineStr">
        <is>
          <t>train</t>
        </is>
      </c>
      <c r="O3977">
        <f>HYPERLINK("3\1\marker_737_364188.png", "Ver Imagen")</f>
        <v/>
      </c>
      <c r="P3977">
        <f>HYPERLINK("SE\A-497_2C\A-497_2C__513.png", "Ver Imagen")</f>
        <v/>
      </c>
    </row>
    <row r="3978">
      <c r="A3978" t="n">
        <v>3510</v>
      </c>
      <c r="B3978" t="inlineStr">
        <is>
          <t>A-497_2C__515</t>
        </is>
      </c>
      <c r="C3978" t="n">
        <v>37.2075236113</v>
      </c>
      <c r="D3978" t="n">
        <v>-7.02203312077</v>
      </c>
      <c r="E3978" t="n">
        <v>2</v>
      </c>
      <c r="F3978" t="n">
        <v>3</v>
      </c>
      <c r="G3978" t="n">
        <v>3</v>
      </c>
      <c r="J3978" t="inlineStr">
        <is>
          <t>Moda</t>
        </is>
      </c>
      <c r="K3978" t="n">
        <v>3</v>
      </c>
      <c r="L3978" t="n">
        <v>3</v>
      </c>
      <c r="M3978" t="n">
        <v>0</v>
      </c>
      <c r="N3978" t="inlineStr">
        <is>
          <t>train</t>
        </is>
      </c>
      <c r="O3978">
        <f>HYPERLINK("3\1\marker_277_364207.png", "Ver Imagen")</f>
        <v/>
      </c>
      <c r="P3978">
        <f>HYPERLINK("SE\A-497_2C\A-497_2C__515.png", "Ver Imagen")</f>
        <v/>
      </c>
    </row>
    <row r="3979">
      <c r="A3979" t="n">
        <v>3511</v>
      </c>
      <c r="B3979" t="inlineStr">
        <is>
          <t>A-497_2C__516</t>
        </is>
      </c>
      <c r="C3979" t="n">
        <v>37.2073648791</v>
      </c>
      <c r="D3979" t="n">
        <v>-7.0218572606</v>
      </c>
      <c r="E3979" t="n">
        <v>2</v>
      </c>
      <c r="F3979" t="n">
        <v>3</v>
      </c>
      <c r="G3979" t="n">
        <v>3</v>
      </c>
      <c r="J3979" t="inlineStr">
        <is>
          <t>Moda</t>
        </is>
      </c>
      <c r="K3979" t="n">
        <v>3</v>
      </c>
      <c r="L3979" t="n">
        <v>3.036</v>
      </c>
      <c r="M3979" t="n">
        <v>0</v>
      </c>
      <c r="N3979" t="inlineStr">
        <is>
          <t>train</t>
        </is>
      </c>
      <c r="O3979">
        <f>HYPERLINK("3\1\marker_529_364218.png", "Ver Imagen")</f>
        <v/>
      </c>
      <c r="P3979">
        <f>HYPERLINK("SE\A-497_2C\A-497_2C__516.png", "Ver Imagen")</f>
        <v/>
      </c>
    </row>
    <row r="3980">
      <c r="A3980" t="n">
        <v>3512</v>
      </c>
      <c r="B3980" t="inlineStr">
        <is>
          <t>A-497_2C__517</t>
        </is>
      </c>
      <c r="C3980" t="n">
        <v>37.20721844</v>
      </c>
      <c r="D3980" t="n">
        <v>-7.02168662116</v>
      </c>
      <c r="E3980" t="n">
        <v>2</v>
      </c>
      <c r="F3980" t="n">
        <v>3</v>
      </c>
      <c r="G3980" t="n">
        <v>3</v>
      </c>
      <c r="J3980" t="inlineStr">
        <is>
          <t>Moda</t>
        </is>
      </c>
      <c r="K3980" t="n">
        <v>3</v>
      </c>
      <c r="L3980" t="n">
        <v>3.122</v>
      </c>
      <c r="M3980" t="n">
        <v>0</v>
      </c>
      <c r="N3980" t="inlineStr">
        <is>
          <t>train</t>
        </is>
      </c>
      <c r="O3980">
        <f>HYPERLINK("3\1\marker_435_364234.png", "Ver Imagen")</f>
        <v/>
      </c>
      <c r="P3980">
        <f>HYPERLINK("SE\A-497_2C\A-497_2C__517.png", "Ver Imagen")</f>
        <v/>
      </c>
    </row>
    <row r="3981">
      <c r="A3981" t="n">
        <v>3513</v>
      </c>
      <c r="B3981" t="inlineStr">
        <is>
          <t>A-497_2C__518</t>
        </is>
      </c>
      <c r="C3981" t="n">
        <v>37.2070760786</v>
      </c>
      <c r="D3981" t="n">
        <v>-7.02151193781</v>
      </c>
      <c r="E3981" t="n">
        <v>3</v>
      </c>
      <c r="F3981" t="n">
        <v>3</v>
      </c>
      <c r="G3981" t="n">
        <v>4</v>
      </c>
      <c r="J3981" t="inlineStr">
        <is>
          <t>Moda</t>
        </is>
      </c>
      <c r="K3981" t="n">
        <v>3</v>
      </c>
      <c r="L3981" t="n">
        <v>3.19</v>
      </c>
      <c r="M3981" t="n">
        <v>0</v>
      </c>
      <c r="N3981" t="inlineStr">
        <is>
          <t>train</t>
        </is>
      </c>
      <c r="O3981">
        <f>HYPERLINK("3\1\marker_648_364244.png", "Ver Imagen")</f>
        <v/>
      </c>
      <c r="P3981">
        <f>HYPERLINK("SE\A-497_2C\A-497_2C__518.png", "Ver Imagen")</f>
        <v/>
      </c>
    </row>
    <row r="3982">
      <c r="A3982" t="n">
        <v>3514</v>
      </c>
      <c r="B3982" t="inlineStr">
        <is>
          <t>A-497_2C__519</t>
        </is>
      </c>
      <c r="C3982" t="n">
        <v>37.2069122072</v>
      </c>
      <c r="D3982" t="n">
        <v>-7.02129621282</v>
      </c>
      <c r="E3982" t="n">
        <v>2</v>
      </c>
      <c r="F3982" t="n">
        <v>3</v>
      </c>
      <c r="G3982" t="n">
        <v>3</v>
      </c>
      <c r="J3982" t="inlineStr">
        <is>
          <t>Moda</t>
        </is>
      </c>
      <c r="K3982" t="n">
        <v>3</v>
      </c>
      <c r="L3982" t="n">
        <v>3.132</v>
      </c>
      <c r="M3982" t="n">
        <v>0</v>
      </c>
      <c r="N3982" t="inlineStr">
        <is>
          <t>train</t>
        </is>
      </c>
      <c r="O3982">
        <f>HYPERLINK("3\1\marker_372_364265.png", "Ver Imagen")</f>
        <v/>
      </c>
      <c r="P3982">
        <f>HYPERLINK("SE\A-497_2C\A-497_2C__519.png", "Ver Imagen")</f>
        <v/>
      </c>
    </row>
    <row r="3983">
      <c r="A3983" t="n">
        <v>3515</v>
      </c>
      <c r="B3983" t="inlineStr">
        <is>
          <t>A-497_2C__551</t>
        </is>
      </c>
      <c r="C3983" t="n">
        <v>37.2045348036</v>
      </c>
      <c r="D3983" t="n">
        <v>-7.01405294458</v>
      </c>
      <c r="E3983" t="n">
        <v>2</v>
      </c>
      <c r="F3983" t="n">
        <v>3</v>
      </c>
      <c r="G3983" t="n">
        <v>3</v>
      </c>
      <c r="J3983" t="inlineStr">
        <is>
          <t>Moda</t>
        </is>
      </c>
      <c r="K3983" t="n">
        <v>3</v>
      </c>
      <c r="L3983" t="n">
        <v>2.97</v>
      </c>
      <c r="M3983" t="n">
        <v>0</v>
      </c>
      <c r="N3983" t="inlineStr">
        <is>
          <t>train</t>
        </is>
      </c>
      <c r="O3983">
        <f>HYPERLINK("3\1\marker_253_364693.png", "Ver Imagen")</f>
        <v/>
      </c>
      <c r="P3983">
        <f>HYPERLINK("SE\A-497_2C\A-497_2C__551.png", "Ver Imagen")</f>
        <v/>
      </c>
    </row>
    <row r="3984">
      <c r="A3984" t="n">
        <v>3516</v>
      </c>
      <c r="B3984" t="inlineStr">
        <is>
          <t>A-497_2C__576</t>
        </is>
      </c>
      <c r="C3984" t="n">
        <v>37.2034803561</v>
      </c>
      <c r="D3984" t="n">
        <v>-7.00785064269</v>
      </c>
      <c r="E3984" t="n">
        <v>2</v>
      </c>
      <c r="F3984" t="n">
        <v>3</v>
      </c>
      <c r="G3984" t="n">
        <v>3</v>
      </c>
      <c r="J3984" t="inlineStr">
        <is>
          <t>Moda</t>
        </is>
      </c>
      <c r="K3984" t="n">
        <v>3</v>
      </c>
      <c r="L3984" t="n">
        <v>3.008</v>
      </c>
      <c r="M3984" t="n">
        <v>0</v>
      </c>
      <c r="N3984" t="inlineStr">
        <is>
          <t>train</t>
        </is>
      </c>
      <c r="O3984">
        <f>HYPERLINK("3\1\marker_423_366538.png", "Ver Imagen")</f>
        <v/>
      </c>
      <c r="P3984">
        <f>HYPERLINK("SE\A-497_2C\A-497_2C__576.png", "Ver Imagen")</f>
        <v/>
      </c>
    </row>
    <row r="3985">
      <c r="A3985" t="n">
        <v>3517</v>
      </c>
      <c r="B3985" t="inlineStr">
        <is>
          <t>A-497_2C__592</t>
        </is>
      </c>
      <c r="C3985" t="n">
        <v>37.2029545525</v>
      </c>
      <c r="D3985" t="n">
        <v>-7.00386111523</v>
      </c>
      <c r="E3985" t="n">
        <v>3</v>
      </c>
      <c r="F3985" t="n">
        <v>3</v>
      </c>
      <c r="G3985" t="n">
        <v>4</v>
      </c>
      <c r="J3985" t="inlineStr">
        <is>
          <t>Moda</t>
        </is>
      </c>
      <c r="K3985" t="n">
        <v>3</v>
      </c>
      <c r="L3985" t="n">
        <v>3.084</v>
      </c>
      <c r="M3985" t="n">
        <v>0</v>
      </c>
      <c r="N3985" t="inlineStr">
        <is>
          <t>val</t>
        </is>
      </c>
      <c r="O3985">
        <f>HYPERLINK("3\1\marker_380_366689.png", "Ver Imagen")</f>
        <v/>
      </c>
      <c r="P3985">
        <f>HYPERLINK("SE\A-497_2C\A-497_2C__592.png", "Ver Imagen")</f>
        <v/>
      </c>
    </row>
    <row r="3986">
      <c r="A3986" t="n">
        <v>3518</v>
      </c>
      <c r="B3986" t="inlineStr">
        <is>
          <t>A-497_2C__615</t>
        </is>
      </c>
      <c r="C3986" t="n">
        <v>37.2022431792</v>
      </c>
      <c r="D3986" t="n">
        <v>-6.99807825992</v>
      </c>
      <c r="E3986" t="n">
        <v>2</v>
      </c>
      <c r="F3986" t="n">
        <v>3</v>
      </c>
      <c r="G3986" t="n">
        <v>3</v>
      </c>
      <c r="J3986" t="inlineStr">
        <is>
          <t>Moda</t>
        </is>
      </c>
      <c r="K3986" t="n">
        <v>3</v>
      </c>
      <c r="L3986" t="n">
        <v>2.997</v>
      </c>
      <c r="M3986" t="n">
        <v>0</v>
      </c>
      <c r="N3986" t="inlineStr">
        <is>
          <t>val</t>
        </is>
      </c>
      <c r="O3986">
        <f>HYPERLINK("3\1\marker_677_366919.png", "Ver Imagen")</f>
        <v/>
      </c>
      <c r="P3986">
        <f>HYPERLINK("SE\A-497_2C\A-497_2C__615.png", "Ver Imagen")</f>
        <v/>
      </c>
    </row>
    <row r="3987">
      <c r="A3987" t="n">
        <v>3519</v>
      </c>
      <c r="B3987" t="inlineStr">
        <is>
          <t>A-497_2C__649</t>
        </is>
      </c>
      <c r="C3987" t="n">
        <v>37.2007309643</v>
      </c>
      <c r="D3987" t="n">
        <v>-6.98964097547</v>
      </c>
      <c r="E3987" t="n">
        <v>2</v>
      </c>
      <c r="F3987" t="n">
        <v>3</v>
      </c>
      <c r="G3987" t="n">
        <v>3</v>
      </c>
      <c r="J3987" t="inlineStr">
        <is>
          <t>Moda</t>
        </is>
      </c>
      <c r="K3987" t="n">
        <v>3</v>
      </c>
      <c r="L3987" t="n">
        <v>2.896</v>
      </c>
      <c r="M3987" t="n">
        <v>0</v>
      </c>
      <c r="N3987" t="inlineStr">
        <is>
          <t>train</t>
        </is>
      </c>
      <c r="O3987">
        <f>HYPERLINK("3\1\marker_122_367270.png", "Ver Imagen")</f>
        <v/>
      </c>
      <c r="P3987">
        <f>HYPERLINK("SE\A-497_2C\A-497_2C__649.png", "Ver Imagen")</f>
        <v/>
      </c>
    </row>
    <row r="3988">
      <c r="A3988" t="n">
        <v>3521</v>
      </c>
      <c r="B3988" t="inlineStr">
        <is>
          <t>A-497__414</t>
        </is>
      </c>
      <c r="C3988" t="n">
        <v>37.2281970838</v>
      </c>
      <c r="D3988" t="n">
        <v>-7.02162910121</v>
      </c>
      <c r="E3988" t="n">
        <v>3</v>
      </c>
      <c r="F3988" t="n">
        <v>3</v>
      </c>
      <c r="G3988" t="n">
        <v>2</v>
      </c>
      <c r="J3988" t="inlineStr">
        <is>
          <t>Moda</t>
        </is>
      </c>
      <c r="K3988" t="n">
        <v>3</v>
      </c>
      <c r="L3988" t="n">
        <v>2.913</v>
      </c>
      <c r="M3988" t="n">
        <v>0</v>
      </c>
      <c r="N3988" t="inlineStr">
        <is>
          <t>train</t>
        </is>
      </c>
      <c r="O3988">
        <f>HYPERLINK("3\1\marker_115_377066.png", "Ver Imagen")</f>
        <v/>
      </c>
      <c r="P3988">
        <f>HYPERLINK("SE\A-497\A-497__414.png", "Ver Imagen")</f>
        <v/>
      </c>
    </row>
    <row r="3989">
      <c r="A3989" t="n">
        <v>3522</v>
      </c>
      <c r="B3989" t="inlineStr">
        <is>
          <t>A-497__394</t>
        </is>
      </c>
      <c r="C3989" t="n">
        <v>37.2316315596</v>
      </c>
      <c r="D3989" t="n">
        <v>-7.01900766005</v>
      </c>
      <c r="E3989" t="n">
        <v>3</v>
      </c>
      <c r="F3989" t="n">
        <v>3</v>
      </c>
      <c r="G3989" t="n">
        <v>4</v>
      </c>
      <c r="J3989" t="inlineStr">
        <is>
          <t>Moda</t>
        </is>
      </c>
      <c r="K3989" t="n">
        <v>3</v>
      </c>
      <c r="L3989" t="n">
        <v>3.353</v>
      </c>
      <c r="M3989" t="n">
        <v>0</v>
      </c>
      <c r="N3989" t="inlineStr">
        <is>
          <t>train</t>
        </is>
      </c>
      <c r="O3989">
        <f>HYPERLINK("3\1\marker_760_377246.png", "Ver Imagen")</f>
        <v/>
      </c>
      <c r="P3989">
        <f>HYPERLINK("SE\A-497\A-497__394.png", "Ver Imagen")</f>
        <v/>
      </c>
    </row>
    <row r="3990">
      <c r="A3990" t="n">
        <v>3523</v>
      </c>
      <c r="B3990" t="inlineStr">
        <is>
          <t>A-497__380</t>
        </is>
      </c>
      <c r="C3990" t="n">
        <v>37.2342919759</v>
      </c>
      <c r="D3990" t="n">
        <v>-7.0179998725</v>
      </c>
      <c r="E3990" t="n">
        <v>2</v>
      </c>
      <c r="F3990" t="n">
        <v>3</v>
      </c>
      <c r="G3990" t="n">
        <v>3</v>
      </c>
      <c r="J3990" t="inlineStr">
        <is>
          <t>Moda</t>
        </is>
      </c>
      <c r="K3990" t="n">
        <v>3</v>
      </c>
      <c r="L3990" t="n">
        <v>2.831</v>
      </c>
      <c r="M3990" t="n">
        <v>0</v>
      </c>
      <c r="N3990" t="inlineStr">
        <is>
          <t>train</t>
        </is>
      </c>
      <c r="O3990">
        <f>HYPERLINK("3\1\marker_920_377370.png", "Ver Imagen")</f>
        <v/>
      </c>
      <c r="P3990">
        <f>HYPERLINK("SE\A-497\A-497__380.png", "Ver Imagen")</f>
        <v/>
      </c>
    </row>
    <row r="3991">
      <c r="A3991" t="n">
        <v>3524</v>
      </c>
      <c r="B3991" t="inlineStr">
        <is>
          <t>A-497__374</t>
        </is>
      </c>
      <c r="C3991" t="n">
        <v>37.2355149564</v>
      </c>
      <c r="D3991" t="n">
        <v>-7.018239925</v>
      </c>
      <c r="E3991" t="n">
        <v>2</v>
      </c>
      <c r="F3991" t="n">
        <v>3</v>
      </c>
      <c r="G3991" t="n">
        <v>3</v>
      </c>
      <c r="J3991" t="inlineStr">
        <is>
          <t>Moda</t>
        </is>
      </c>
      <c r="K3991" t="n">
        <v>3</v>
      </c>
      <c r="L3991" t="n">
        <v>2.982</v>
      </c>
      <c r="M3991" t="n">
        <v>0</v>
      </c>
      <c r="N3991" t="inlineStr">
        <is>
          <t>train</t>
        </is>
      </c>
      <c r="O3991">
        <f>HYPERLINK("3\1\marker_289_377421.png", "Ver Imagen")</f>
        <v/>
      </c>
      <c r="P3991">
        <f>HYPERLINK("SE\A-497\A-497__374.png", "Ver Imagen")</f>
        <v/>
      </c>
    </row>
    <row r="3992">
      <c r="A3992" t="n">
        <v>3525</v>
      </c>
      <c r="B3992" t="inlineStr">
        <is>
          <t>A-497__348</t>
        </is>
      </c>
      <c r="C3992" t="n">
        <v>37.2407790967</v>
      </c>
      <c r="D3992" t="n">
        <v>-7.01845298153</v>
      </c>
      <c r="E3992" t="n">
        <v>4</v>
      </c>
      <c r="F3992" t="n">
        <v>3</v>
      </c>
      <c r="G3992" t="n">
        <v>3</v>
      </c>
      <c r="J3992" t="inlineStr">
        <is>
          <t>Moda</t>
        </is>
      </c>
      <c r="K3992" t="n">
        <v>3</v>
      </c>
      <c r="L3992" t="n">
        <v>3.404</v>
      </c>
      <c r="M3992" t="n">
        <v>0</v>
      </c>
      <c r="N3992" t="inlineStr">
        <is>
          <t>train</t>
        </is>
      </c>
      <c r="O3992">
        <f>HYPERLINK("3\1\marker_577_377681.png", "Ver Imagen")</f>
        <v/>
      </c>
      <c r="P3992">
        <f>HYPERLINK("SE\A-497\A-497__348.png", "Ver Imagen")</f>
        <v/>
      </c>
    </row>
    <row r="3993">
      <c r="A3993" t="n">
        <v>3526</v>
      </c>
      <c r="B3993" t="inlineStr">
        <is>
          <t>A-497__347</t>
        </is>
      </c>
      <c r="C3993" t="n">
        <v>37.2409502916</v>
      </c>
      <c r="D3993" t="n">
        <v>-7.01844785691</v>
      </c>
      <c r="E3993" t="n">
        <v>4</v>
      </c>
      <c r="F3993" t="n">
        <v>3</v>
      </c>
      <c r="G3993" t="n">
        <v>3</v>
      </c>
      <c r="J3993" t="inlineStr">
        <is>
          <t>Moda</t>
        </is>
      </c>
      <c r="K3993" t="n">
        <v>3</v>
      </c>
      <c r="L3993" t="n">
        <v>3.158</v>
      </c>
      <c r="M3993" t="n">
        <v>0</v>
      </c>
      <c r="N3993" t="inlineStr">
        <is>
          <t>test</t>
        </is>
      </c>
      <c r="O3993">
        <f>HYPERLINK("3\1\marker_268_377697.png", "Ver Imagen")</f>
        <v/>
      </c>
      <c r="P3993">
        <f>HYPERLINK("SE\A-497\A-497__347.png", "Ver Imagen")</f>
        <v/>
      </c>
    </row>
    <row r="3994">
      <c r="A3994" t="n">
        <v>3528</v>
      </c>
      <c r="B3994" t="inlineStr">
        <is>
          <t>A-497__344</t>
        </is>
      </c>
      <c r="C3994" t="n">
        <v>37.2415425096</v>
      </c>
      <c r="D3994" t="n">
        <v>-7.01842816451</v>
      </c>
      <c r="E3994" t="n">
        <v>4</v>
      </c>
      <c r="F3994" t="n">
        <v>3</v>
      </c>
      <c r="G3994" t="n">
        <v>3</v>
      </c>
      <c r="J3994" t="inlineStr">
        <is>
          <t>Moda</t>
        </is>
      </c>
      <c r="K3994" t="n">
        <v>3</v>
      </c>
      <c r="L3994" t="n">
        <v>3.15</v>
      </c>
      <c r="M3994" t="n">
        <v>0</v>
      </c>
      <c r="N3994" t="inlineStr">
        <is>
          <t>train</t>
        </is>
      </c>
      <c r="O3994">
        <f>HYPERLINK("3\1\marker_969_377729.png", "Ver Imagen")</f>
        <v/>
      </c>
      <c r="P3994">
        <f>HYPERLINK("SE\A-497\A-497__344.png", "Ver Imagen")</f>
        <v/>
      </c>
    </row>
    <row r="3995">
      <c r="A3995" t="n">
        <v>3530</v>
      </c>
      <c r="B3995" t="inlineStr">
        <is>
          <t>A-497__340</t>
        </is>
      </c>
      <c r="C3995" t="n">
        <v>37.2423479788</v>
      </c>
      <c r="D3995" t="n">
        <v>-7.01839697982</v>
      </c>
      <c r="E3995" t="n">
        <v>3</v>
      </c>
      <c r="F3995" t="n">
        <v>3</v>
      </c>
      <c r="G3995" t="n">
        <v>2</v>
      </c>
      <c r="J3995" t="inlineStr">
        <is>
          <t>Moda</t>
        </is>
      </c>
      <c r="K3995" t="n">
        <v>3</v>
      </c>
      <c r="L3995" t="n">
        <v>3.438</v>
      </c>
      <c r="M3995" t="n">
        <v>0</v>
      </c>
      <c r="N3995" t="inlineStr">
        <is>
          <t>val</t>
        </is>
      </c>
      <c r="O3995">
        <f>HYPERLINK("3\1\marker_527_377772.png", "Ver Imagen")</f>
        <v/>
      </c>
      <c r="P3995">
        <f>HYPERLINK("SE\A-497\A-497__340.png", "Ver Imagen")</f>
        <v/>
      </c>
    </row>
    <row r="3996">
      <c r="A3996" t="n">
        <v>3531</v>
      </c>
      <c r="B3996" t="inlineStr">
        <is>
          <t>A-497__339</t>
        </is>
      </c>
      <c r="C3996" t="n">
        <v>37.2425509784</v>
      </c>
      <c r="D3996" t="n">
        <v>-7.01838891157</v>
      </c>
      <c r="E3996" t="n">
        <v>3</v>
      </c>
      <c r="F3996" t="n">
        <v>3</v>
      </c>
      <c r="G3996" t="n">
        <v>4</v>
      </c>
      <c r="J3996" t="inlineStr">
        <is>
          <t>Moda</t>
        </is>
      </c>
      <c r="K3996" t="n">
        <v>3</v>
      </c>
      <c r="L3996" t="n">
        <v>3.422</v>
      </c>
      <c r="M3996" t="n">
        <v>0</v>
      </c>
      <c r="N3996" t="inlineStr">
        <is>
          <t>train</t>
        </is>
      </c>
      <c r="O3996">
        <f>HYPERLINK("3\1\marker_949_377780.png", "Ver Imagen")</f>
        <v/>
      </c>
      <c r="P3996">
        <f>HYPERLINK("SE\A-497\A-497__339.png", "Ver Imagen")</f>
        <v/>
      </c>
    </row>
    <row r="3997">
      <c r="A3997" t="n">
        <v>3532</v>
      </c>
      <c r="B3997" t="inlineStr">
        <is>
          <t>A-497__333</t>
        </is>
      </c>
      <c r="C3997" t="n">
        <v>37.2437762778</v>
      </c>
      <c r="D3997" t="n">
        <v>-7.01833798305</v>
      </c>
      <c r="E3997" t="n">
        <v>3</v>
      </c>
      <c r="F3997" t="n">
        <v>3</v>
      </c>
      <c r="G3997" t="n">
        <v>4</v>
      </c>
      <c r="J3997" t="inlineStr">
        <is>
          <t>Moda</t>
        </is>
      </c>
      <c r="K3997" t="n">
        <v>3</v>
      </c>
      <c r="L3997" t="n">
        <v>2.974</v>
      </c>
      <c r="M3997" t="n">
        <v>0</v>
      </c>
      <c r="N3997" t="inlineStr">
        <is>
          <t>train</t>
        </is>
      </c>
      <c r="O3997">
        <f>HYPERLINK("3\1\marker_978_377843.png", "Ver Imagen")</f>
        <v/>
      </c>
      <c r="P3997">
        <f>HYPERLINK("SE\A-497\A-497__333.png", "Ver Imagen")</f>
        <v/>
      </c>
    </row>
    <row r="3998">
      <c r="A3998" t="n">
        <v>3533</v>
      </c>
      <c r="B3998" t="inlineStr">
        <is>
          <t>A-497__332</t>
        </is>
      </c>
      <c r="C3998" t="n">
        <v>37.2439521647</v>
      </c>
      <c r="D3998" t="n">
        <v>-7.01833270172</v>
      </c>
      <c r="E3998" t="n">
        <v>3</v>
      </c>
      <c r="F3998" t="n">
        <v>3</v>
      </c>
      <c r="G3998" t="n">
        <v>4</v>
      </c>
      <c r="J3998" t="inlineStr">
        <is>
          <t>Moda</t>
        </is>
      </c>
      <c r="K3998" t="n">
        <v>3</v>
      </c>
      <c r="L3998" t="n">
        <v>2.611</v>
      </c>
      <c r="M3998" t="n">
        <v>0</v>
      </c>
      <c r="N3998" t="inlineStr">
        <is>
          <t>train</t>
        </is>
      </c>
      <c r="O3998">
        <f>HYPERLINK("3\1\marker_833_377853.png", "Ver Imagen")</f>
        <v/>
      </c>
      <c r="P3998">
        <f>HYPERLINK("SE\A-497\A-497__332.png", "Ver Imagen")</f>
        <v/>
      </c>
    </row>
    <row r="3999">
      <c r="A3999" t="n">
        <v>3534</v>
      </c>
      <c r="B3999" t="inlineStr">
        <is>
          <t>A-497__330</t>
        </is>
      </c>
      <c r="C3999" t="n">
        <v>37.2444029443</v>
      </c>
      <c r="D3999" t="n">
        <v>-7.01832065398</v>
      </c>
      <c r="E3999" t="n">
        <v>4</v>
      </c>
      <c r="F3999" t="n">
        <v>3</v>
      </c>
      <c r="G3999" t="n">
        <v>3</v>
      </c>
      <c r="J3999" t="inlineStr">
        <is>
          <t>Moda</t>
        </is>
      </c>
      <c r="K3999" t="n">
        <v>3</v>
      </c>
      <c r="L3999" t="n">
        <v>3.36</v>
      </c>
      <c r="M3999" t="n">
        <v>0</v>
      </c>
      <c r="N3999" t="inlineStr">
        <is>
          <t>train</t>
        </is>
      </c>
      <c r="O3999">
        <f>HYPERLINK("3\1\marker_973_377871.png", "Ver Imagen")</f>
        <v/>
      </c>
      <c r="P3999">
        <f>HYPERLINK("SE\A-497\A-497__330.png", "Ver Imagen")</f>
        <v/>
      </c>
    </row>
    <row r="4000">
      <c r="A4000" t="n">
        <v>3535</v>
      </c>
      <c r="B4000" t="inlineStr">
        <is>
          <t>A-497__327</t>
        </is>
      </c>
      <c r="C4000" t="n">
        <v>37.2449805113</v>
      </c>
      <c r="D4000" t="n">
        <v>-7.0182996025</v>
      </c>
      <c r="E4000" t="n">
        <v>3</v>
      </c>
      <c r="F4000" t="n">
        <v>3</v>
      </c>
      <c r="G4000" t="n">
        <v>4</v>
      </c>
      <c r="J4000" t="inlineStr">
        <is>
          <t>Moda</t>
        </is>
      </c>
      <c r="K4000" t="n">
        <v>3</v>
      </c>
      <c r="L4000" t="n">
        <v>2.78</v>
      </c>
      <c r="M4000" t="n">
        <v>0</v>
      </c>
      <c r="N4000" t="inlineStr">
        <is>
          <t>val</t>
        </is>
      </c>
      <c r="O4000">
        <f>HYPERLINK("3\1\marker_783_377899.png", "Ver Imagen")</f>
        <v/>
      </c>
      <c r="P4000">
        <f>HYPERLINK("SE\A-497\A-497__327.png", "Ver Imagen")</f>
        <v/>
      </c>
    </row>
    <row r="4001">
      <c r="A4001" t="n">
        <v>3536</v>
      </c>
      <c r="B4001" t="inlineStr">
        <is>
          <t>A-497__324</t>
        </is>
      </c>
      <c r="C4001" t="n">
        <v>37.2456088832</v>
      </c>
      <c r="D4001" t="n">
        <v>-7.01827357564</v>
      </c>
      <c r="E4001" t="n">
        <v>4</v>
      </c>
      <c r="F4001" t="n">
        <v>3</v>
      </c>
      <c r="G4001" t="n">
        <v>3</v>
      </c>
      <c r="J4001" t="inlineStr">
        <is>
          <t>Moda</t>
        </is>
      </c>
      <c r="K4001" t="n">
        <v>3</v>
      </c>
      <c r="L4001" t="n">
        <v>3.083</v>
      </c>
      <c r="M4001" t="n">
        <v>0</v>
      </c>
      <c r="N4001" t="inlineStr">
        <is>
          <t>test</t>
        </is>
      </c>
      <c r="O4001">
        <f>HYPERLINK("3\1\marker_651_377924.png", "Ver Imagen")</f>
        <v/>
      </c>
      <c r="P4001">
        <f>HYPERLINK("SE\A-497\A-497__324.png", "Ver Imagen")</f>
        <v/>
      </c>
    </row>
    <row r="4002">
      <c r="A4002" t="n">
        <v>3537</v>
      </c>
      <c r="B4002" t="inlineStr">
        <is>
          <t>A-497__319</t>
        </is>
      </c>
      <c r="C4002" t="n">
        <v>37.2466347366</v>
      </c>
      <c r="D4002" t="n">
        <v>-7.01823977314</v>
      </c>
      <c r="E4002" t="n">
        <v>3</v>
      </c>
      <c r="F4002" t="n">
        <v>3</v>
      </c>
      <c r="G4002" t="n">
        <v>4</v>
      </c>
      <c r="J4002" t="inlineStr">
        <is>
          <t>Moda</t>
        </is>
      </c>
      <c r="K4002" t="n">
        <v>3</v>
      </c>
      <c r="L4002" t="n">
        <v>2.93</v>
      </c>
      <c r="M4002" t="n">
        <v>0</v>
      </c>
      <c r="N4002" t="inlineStr">
        <is>
          <t>train</t>
        </is>
      </c>
      <c r="O4002">
        <f>HYPERLINK("3\1\marker_434_377976.png", "Ver Imagen")</f>
        <v/>
      </c>
      <c r="P4002">
        <f>HYPERLINK("SE\A-497\A-497__319.png", "Ver Imagen")</f>
        <v/>
      </c>
    </row>
    <row r="4003">
      <c r="A4003" t="n">
        <v>3538</v>
      </c>
      <c r="B4003" t="inlineStr">
        <is>
          <t>A-497__272</t>
        </is>
      </c>
      <c r="C4003" t="n">
        <v>37.2554320506</v>
      </c>
      <c r="D4003" t="n">
        <v>-7.01441960516</v>
      </c>
      <c r="E4003" t="n">
        <v>4</v>
      </c>
      <c r="F4003" t="n">
        <v>3</v>
      </c>
      <c r="G4003" t="n">
        <v>3</v>
      </c>
      <c r="J4003" t="inlineStr">
        <is>
          <t>Moda</t>
        </is>
      </c>
      <c r="K4003" t="n">
        <v>3</v>
      </c>
      <c r="L4003" t="n">
        <v>3.155</v>
      </c>
      <c r="M4003" t="n">
        <v>0</v>
      </c>
      <c r="N4003" t="inlineStr">
        <is>
          <t>train</t>
        </is>
      </c>
      <c r="O4003">
        <f>HYPERLINK("3\1\marker_820_378558.png", "Ver Imagen")</f>
        <v/>
      </c>
      <c r="P4003">
        <f>HYPERLINK("SE\A-497\A-497__272.png", "Ver Imagen")</f>
        <v/>
      </c>
    </row>
    <row r="4004">
      <c r="A4004" t="n">
        <v>3539</v>
      </c>
      <c r="B4004" t="inlineStr">
        <is>
          <t>A-497__271</t>
        </is>
      </c>
      <c r="C4004" t="n">
        <v>37.2556501878</v>
      </c>
      <c r="D4004" t="n">
        <v>-7.01428294916</v>
      </c>
      <c r="E4004" t="n">
        <v>3</v>
      </c>
      <c r="F4004" t="n">
        <v>3</v>
      </c>
      <c r="G4004" t="n">
        <v>4</v>
      </c>
      <c r="J4004" t="inlineStr">
        <is>
          <t>Moda</t>
        </is>
      </c>
      <c r="K4004" t="n">
        <v>3</v>
      </c>
      <c r="L4004" t="n">
        <v>3.175</v>
      </c>
      <c r="M4004" t="n">
        <v>0</v>
      </c>
      <c r="N4004" t="inlineStr">
        <is>
          <t>train</t>
        </is>
      </c>
      <c r="O4004">
        <f>HYPERLINK("3\1\marker_389_378572.png", "Ver Imagen")</f>
        <v/>
      </c>
      <c r="P4004">
        <f>HYPERLINK("SE\A-497\A-497__271.png", "Ver Imagen")</f>
        <v/>
      </c>
    </row>
    <row r="4005">
      <c r="A4005" t="n">
        <v>3540</v>
      </c>
      <c r="B4005" t="inlineStr">
        <is>
          <t>A-497__266</t>
        </is>
      </c>
      <c r="C4005" t="n">
        <v>37.2565079664</v>
      </c>
      <c r="D4005" t="n">
        <v>-7.01373410536</v>
      </c>
      <c r="E4005" t="n">
        <v>2</v>
      </c>
      <c r="F4005" t="n">
        <v>3</v>
      </c>
      <c r="G4005" t="n">
        <v>3</v>
      </c>
      <c r="J4005" t="inlineStr">
        <is>
          <t>Moda</t>
        </is>
      </c>
      <c r="K4005" t="n">
        <v>3</v>
      </c>
      <c r="L4005" t="n">
        <v>2.989</v>
      </c>
      <c r="M4005" t="n">
        <v>0</v>
      </c>
      <c r="N4005" t="inlineStr">
        <is>
          <t>train</t>
        </is>
      </c>
      <c r="O4005">
        <f>HYPERLINK("3\1\marker_923_378621.png", "Ver Imagen")</f>
        <v/>
      </c>
      <c r="P4005">
        <f>HYPERLINK("SE\A-497\A-497__266.png", "Ver Imagen")</f>
        <v/>
      </c>
    </row>
    <row r="4006">
      <c r="A4006" t="n">
        <v>3541</v>
      </c>
      <c r="B4006" t="inlineStr">
        <is>
          <t>A-497__265</t>
        </is>
      </c>
      <c r="C4006" t="n">
        <v>37.2566965295</v>
      </c>
      <c r="D4006" t="n">
        <v>-7.01361340926</v>
      </c>
      <c r="E4006" t="n">
        <v>2</v>
      </c>
      <c r="F4006" t="n">
        <v>3</v>
      </c>
      <c r="G4006" t="n">
        <v>3</v>
      </c>
      <c r="J4006" t="inlineStr">
        <is>
          <t>Moda</t>
        </is>
      </c>
      <c r="K4006" t="n">
        <v>3</v>
      </c>
      <c r="L4006" t="n">
        <v>2.548</v>
      </c>
      <c r="M4006" t="n">
        <v>0</v>
      </c>
      <c r="N4006" t="inlineStr">
        <is>
          <t>train</t>
        </is>
      </c>
      <c r="O4006">
        <f>HYPERLINK("3\1\marker_212_378631.png", "Ver Imagen")</f>
        <v/>
      </c>
      <c r="P4006">
        <f>HYPERLINK("SE\A-497\A-497__265.png", "Ver Imagen")</f>
        <v/>
      </c>
    </row>
    <row r="4007">
      <c r="A4007" t="n">
        <v>3542</v>
      </c>
      <c r="B4007" t="inlineStr">
        <is>
          <t>A-497__264</t>
        </is>
      </c>
      <c r="C4007" t="n">
        <v>37.256876784</v>
      </c>
      <c r="D4007" t="n">
        <v>-7.01349827739</v>
      </c>
      <c r="E4007" t="n">
        <v>2</v>
      </c>
      <c r="F4007" t="n">
        <v>3</v>
      </c>
      <c r="G4007" t="n">
        <v>3</v>
      </c>
      <c r="J4007" t="inlineStr">
        <is>
          <t>Moda</t>
        </is>
      </c>
      <c r="K4007" t="n">
        <v>3</v>
      </c>
      <c r="L4007" t="n">
        <v>2.78</v>
      </c>
      <c r="M4007" t="n">
        <v>0</v>
      </c>
      <c r="N4007" t="inlineStr">
        <is>
          <t>train</t>
        </is>
      </c>
      <c r="O4007">
        <f>HYPERLINK("3\1\marker_224_378639.png", "Ver Imagen")</f>
        <v/>
      </c>
      <c r="P4007">
        <f>HYPERLINK("SE\A-497\A-497__264.png", "Ver Imagen")</f>
        <v/>
      </c>
    </row>
    <row r="4008">
      <c r="A4008" t="n">
        <v>3543</v>
      </c>
      <c r="B4008" t="inlineStr">
        <is>
          <t>A-497__258</t>
        </is>
      </c>
      <c r="C4008" t="n">
        <v>37.2579538053</v>
      </c>
      <c r="D4008" t="n">
        <v>-7.01281196054</v>
      </c>
      <c r="E4008" t="n">
        <v>2</v>
      </c>
      <c r="F4008" t="n">
        <v>3</v>
      </c>
      <c r="G4008" t="n">
        <v>3</v>
      </c>
      <c r="J4008" t="inlineStr">
        <is>
          <t>Moda</t>
        </is>
      </c>
      <c r="K4008" t="n">
        <v>3</v>
      </c>
      <c r="L4008" t="n">
        <v>3.138</v>
      </c>
      <c r="M4008" t="n">
        <v>0</v>
      </c>
      <c r="N4008" t="inlineStr">
        <is>
          <t>train</t>
        </is>
      </c>
      <c r="O4008">
        <f>HYPERLINK("3\1\marker_802_378700.png", "Ver Imagen")</f>
        <v/>
      </c>
      <c r="P4008">
        <f>HYPERLINK("SE\A-497\A-497__258.png", "Ver Imagen")</f>
        <v/>
      </c>
    </row>
    <row r="4009">
      <c r="A4009" t="n">
        <v>3544</v>
      </c>
      <c r="B4009" t="inlineStr">
        <is>
          <t>A-497__257</t>
        </is>
      </c>
      <c r="C4009" t="n">
        <v>37.2581365474</v>
      </c>
      <c r="D4009" t="n">
        <v>-7.0126954148</v>
      </c>
      <c r="E4009" t="n">
        <v>2</v>
      </c>
      <c r="F4009" t="n">
        <v>3</v>
      </c>
      <c r="G4009" t="n">
        <v>3</v>
      </c>
      <c r="J4009" t="inlineStr">
        <is>
          <t>Moda</t>
        </is>
      </c>
      <c r="K4009" t="n">
        <v>3</v>
      </c>
      <c r="L4009" t="n">
        <v>3.236</v>
      </c>
      <c r="M4009" t="n">
        <v>0</v>
      </c>
      <c r="N4009" t="inlineStr">
        <is>
          <t>train</t>
        </is>
      </c>
      <c r="O4009">
        <f>HYPERLINK("3\1\marker_229_378710.png", "Ver Imagen")</f>
        <v/>
      </c>
      <c r="P4009">
        <f>HYPERLINK("SE\A-497\A-497__257.png", "Ver Imagen")</f>
        <v/>
      </c>
    </row>
    <row r="4010">
      <c r="A4010" t="n">
        <v>3545</v>
      </c>
      <c r="B4010" t="inlineStr">
        <is>
          <t>A-497__256</t>
        </is>
      </c>
      <c r="C4010" t="n">
        <v>37.2583715356</v>
      </c>
      <c r="D4010" t="n">
        <v>-7.01254605949</v>
      </c>
      <c r="E4010" t="n">
        <v>2</v>
      </c>
      <c r="F4010" t="n">
        <v>3</v>
      </c>
      <c r="G4010" t="n">
        <v>3</v>
      </c>
      <c r="J4010" t="inlineStr">
        <is>
          <t>Moda</t>
        </is>
      </c>
      <c r="K4010" t="n">
        <v>3</v>
      </c>
      <c r="L4010" t="n">
        <v>2.952</v>
      </c>
      <c r="M4010" t="n">
        <v>0</v>
      </c>
      <c r="N4010" t="inlineStr">
        <is>
          <t>test</t>
        </is>
      </c>
      <c r="O4010">
        <f>HYPERLINK("3\1\marker_470_378722.png", "Ver Imagen")</f>
        <v/>
      </c>
      <c r="P4010">
        <f>HYPERLINK("SE\A-497\A-497__256.png", "Ver Imagen")</f>
        <v/>
      </c>
    </row>
    <row r="4011">
      <c r="A4011" t="n">
        <v>3546</v>
      </c>
      <c r="B4011" t="inlineStr">
        <is>
          <t>A-497__253</t>
        </is>
      </c>
      <c r="C4011" t="n">
        <v>37.2588638125</v>
      </c>
      <c r="D4011" t="n">
        <v>-7.01223377738</v>
      </c>
      <c r="E4011" t="n">
        <v>2</v>
      </c>
      <c r="F4011" t="n">
        <v>3</v>
      </c>
      <c r="G4011" t="n">
        <v>3</v>
      </c>
      <c r="J4011" t="inlineStr">
        <is>
          <t>Moda</t>
        </is>
      </c>
      <c r="K4011" t="n">
        <v>3</v>
      </c>
      <c r="L4011" t="n">
        <v>3.133</v>
      </c>
      <c r="M4011" t="n">
        <v>0</v>
      </c>
      <c r="N4011" t="inlineStr">
        <is>
          <t>train</t>
        </is>
      </c>
      <c r="O4011">
        <f>HYPERLINK("3\1\marker_843_378753.png", "Ver Imagen")</f>
        <v/>
      </c>
      <c r="P4011">
        <f>HYPERLINK("SE\A-497\A-497__253.png", "Ver Imagen")</f>
        <v/>
      </c>
    </row>
    <row r="4012">
      <c r="A4012" t="n">
        <v>3547</v>
      </c>
      <c r="B4012" t="inlineStr">
        <is>
          <t>A-497__248</t>
        </is>
      </c>
      <c r="C4012" t="n">
        <v>37.2598006206</v>
      </c>
      <c r="D4012" t="n">
        <v>-7.01163248151</v>
      </c>
      <c r="E4012" t="n">
        <v>4</v>
      </c>
      <c r="F4012" t="n">
        <v>3</v>
      </c>
      <c r="G4012" t="n">
        <v>3</v>
      </c>
      <c r="J4012" t="inlineStr">
        <is>
          <t>Moda</t>
        </is>
      </c>
      <c r="K4012" t="n">
        <v>3</v>
      </c>
      <c r="L4012" t="n">
        <v>3.121</v>
      </c>
      <c r="M4012" t="n">
        <v>0</v>
      </c>
      <c r="N4012" t="inlineStr">
        <is>
          <t>train</t>
        </is>
      </c>
      <c r="O4012">
        <f>HYPERLINK("3\1\marker_434_378803.png", "Ver Imagen")</f>
        <v/>
      </c>
      <c r="P4012">
        <f>HYPERLINK("SE\A-497\A-497__248.png", "Ver Imagen")</f>
        <v/>
      </c>
    </row>
    <row r="4013">
      <c r="A4013" t="n">
        <v>3548</v>
      </c>
      <c r="B4013" t="inlineStr">
        <is>
          <t>A-497__231</t>
        </is>
      </c>
      <c r="C4013" t="n">
        <v>37.2625635097</v>
      </c>
      <c r="D4013" t="n">
        <v>-7.00929482683</v>
      </c>
      <c r="E4013" t="n">
        <v>2</v>
      </c>
      <c r="F4013" t="n">
        <v>3</v>
      </c>
      <c r="G4013" t="n">
        <v>3</v>
      </c>
      <c r="J4013" t="inlineStr">
        <is>
          <t>Moda</t>
        </is>
      </c>
      <c r="K4013" t="n">
        <v>3</v>
      </c>
      <c r="L4013" t="n">
        <v>2.974</v>
      </c>
      <c r="M4013" t="n">
        <v>0</v>
      </c>
      <c r="N4013" t="inlineStr">
        <is>
          <t>train</t>
        </is>
      </c>
      <c r="O4013">
        <f>HYPERLINK("3\1\marker_359_379028.png", "Ver Imagen")</f>
        <v/>
      </c>
      <c r="P4013">
        <f>HYPERLINK("SE\A-497\A-497__231.png", "Ver Imagen")</f>
        <v/>
      </c>
    </row>
    <row r="4014">
      <c r="A4014" t="n">
        <v>3549</v>
      </c>
      <c r="B4014" t="inlineStr">
        <is>
          <t>A-497__228</t>
        </is>
      </c>
      <c r="C4014" t="n">
        <v>37.2629101694</v>
      </c>
      <c r="D4014" t="n">
        <v>-7.00866669747</v>
      </c>
      <c r="E4014" t="n">
        <v>2</v>
      </c>
      <c r="F4014" t="n">
        <v>3</v>
      </c>
      <c r="G4014" t="n">
        <v>3</v>
      </c>
      <c r="J4014" t="inlineStr">
        <is>
          <t>Moda</t>
        </is>
      </c>
      <c r="K4014" t="n">
        <v>3</v>
      </c>
      <c r="L4014" t="n">
        <v>2.599</v>
      </c>
      <c r="M4014" t="n">
        <v>0</v>
      </c>
      <c r="N4014" t="inlineStr">
        <is>
          <t>train</t>
        </is>
      </c>
      <c r="O4014">
        <f>HYPERLINK("3\1\marker_339_379061.png", "Ver Imagen")</f>
        <v/>
      </c>
      <c r="P4014">
        <f>HYPERLINK("SE\A-497\A-497__228.png", "Ver Imagen")</f>
        <v/>
      </c>
    </row>
    <row r="4015">
      <c r="A4015" t="n">
        <v>3550</v>
      </c>
      <c r="B4015" t="inlineStr">
        <is>
          <t>A-497__222</t>
        </is>
      </c>
      <c r="C4015" t="n">
        <v>37.2633951571</v>
      </c>
      <c r="D4015" t="n">
        <v>-7.00720957755</v>
      </c>
      <c r="E4015" t="n">
        <v>3</v>
      </c>
      <c r="F4015" t="n">
        <v>3</v>
      </c>
      <c r="G4015" t="n">
        <v>4</v>
      </c>
      <c r="J4015" t="inlineStr">
        <is>
          <t>Moda</t>
        </is>
      </c>
      <c r="K4015" t="n">
        <v>3</v>
      </c>
      <c r="L4015" t="n">
        <v>2.991</v>
      </c>
      <c r="M4015" t="n">
        <v>0</v>
      </c>
      <c r="N4015" t="inlineStr">
        <is>
          <t>train</t>
        </is>
      </c>
      <c r="O4015">
        <f>HYPERLINK("3\1\marker_163_379123.png", "Ver Imagen")</f>
        <v/>
      </c>
      <c r="P4015">
        <f>HYPERLINK("SE\A-497\A-497__222.png", "Ver Imagen")</f>
        <v/>
      </c>
    </row>
    <row r="4016">
      <c r="A4016" t="n">
        <v>3551</v>
      </c>
      <c r="B4016" t="inlineStr">
        <is>
          <t>A-497__219</t>
        </is>
      </c>
      <c r="C4016" t="n">
        <v>37.2635282623</v>
      </c>
      <c r="D4016" t="n">
        <v>-7.00651933812</v>
      </c>
      <c r="E4016" t="n">
        <v>4</v>
      </c>
      <c r="F4016" t="n">
        <v>3</v>
      </c>
      <c r="G4016" t="n">
        <v>3</v>
      </c>
      <c r="J4016" t="inlineStr">
        <is>
          <t>Moda</t>
        </is>
      </c>
      <c r="K4016" t="n">
        <v>3</v>
      </c>
      <c r="L4016" t="n">
        <v>2.986</v>
      </c>
      <c r="M4016" t="n">
        <v>0</v>
      </c>
      <c r="N4016" t="inlineStr">
        <is>
          <t>train</t>
        </is>
      </c>
      <c r="O4016">
        <f>HYPERLINK("3\1\marker_843_379155.png", "Ver Imagen")</f>
        <v/>
      </c>
      <c r="P4016">
        <f>HYPERLINK("SE\A-497\A-497__219.png", "Ver Imagen")</f>
        <v/>
      </c>
    </row>
    <row r="4017">
      <c r="A4017" t="n">
        <v>3552</v>
      </c>
      <c r="B4017" t="inlineStr">
        <is>
          <t>A-497__140</t>
        </is>
      </c>
      <c r="C4017" t="n">
        <v>37.2700204404</v>
      </c>
      <c r="D4017" t="n">
        <v>-6.98945763916</v>
      </c>
      <c r="E4017" t="n">
        <v>4</v>
      </c>
      <c r="F4017" t="n">
        <v>3</v>
      </c>
      <c r="G4017" t="n">
        <v>3</v>
      </c>
      <c r="J4017" t="inlineStr">
        <is>
          <t>Moda</t>
        </is>
      </c>
      <c r="K4017" t="n">
        <v>3</v>
      </c>
      <c r="L4017" t="n">
        <v>2.737</v>
      </c>
      <c r="M4017" t="n">
        <v>0</v>
      </c>
      <c r="N4017" t="inlineStr">
        <is>
          <t>train</t>
        </is>
      </c>
      <c r="O4017">
        <f>HYPERLINK("3\1\marker_542_380441.png", "Ver Imagen")</f>
        <v/>
      </c>
      <c r="P4017">
        <f>HYPERLINK("SE\A-497\A-497__140.png", "Ver Imagen")</f>
        <v/>
      </c>
    </row>
    <row r="4018">
      <c r="A4018" t="n">
        <v>3553</v>
      </c>
      <c r="B4018" t="inlineStr">
        <is>
          <t>A-497__132</t>
        </is>
      </c>
      <c r="C4018" t="n">
        <v>37.2712789194</v>
      </c>
      <c r="D4018" t="n">
        <v>-6.98826148916</v>
      </c>
      <c r="E4018" t="n">
        <v>2</v>
      </c>
      <c r="F4018" t="n">
        <v>3</v>
      </c>
      <c r="G4018" t="n">
        <v>3</v>
      </c>
      <c r="J4018" t="inlineStr">
        <is>
          <t>Moda</t>
        </is>
      </c>
      <c r="K4018" t="n">
        <v>3</v>
      </c>
      <c r="L4018" t="n">
        <v>2.696</v>
      </c>
      <c r="M4018" t="n">
        <v>0</v>
      </c>
      <c r="N4018" t="inlineStr">
        <is>
          <t>train</t>
        </is>
      </c>
      <c r="O4018">
        <f>HYPERLINK("3\1\marker_745_380513.png", "Ver Imagen")</f>
        <v/>
      </c>
      <c r="P4018">
        <f>HYPERLINK("SE\A-497\A-497__132.png", "Ver Imagen")</f>
        <v/>
      </c>
    </row>
    <row r="4019">
      <c r="A4019" t="n">
        <v>3554</v>
      </c>
      <c r="B4019" t="inlineStr">
        <is>
          <t>A-497__131</t>
        </is>
      </c>
      <c r="C4019" t="n">
        <v>37.2713860742</v>
      </c>
      <c r="D4019" t="n">
        <v>-6.98805892199</v>
      </c>
      <c r="E4019" t="n">
        <v>2</v>
      </c>
      <c r="F4019" t="n">
        <v>3</v>
      </c>
      <c r="G4019" t="n">
        <v>3</v>
      </c>
      <c r="J4019" t="inlineStr">
        <is>
          <t>Moda</t>
        </is>
      </c>
      <c r="K4019" t="n">
        <v>3</v>
      </c>
      <c r="L4019" t="n">
        <v>3.15</v>
      </c>
      <c r="M4019" t="n">
        <v>0</v>
      </c>
      <c r="N4019" t="inlineStr">
        <is>
          <t>train</t>
        </is>
      </c>
      <c r="O4019">
        <f>HYPERLINK("3\1\marker_318_380523.png", "Ver Imagen")</f>
        <v/>
      </c>
      <c r="P4019">
        <f>HYPERLINK("SE\A-497\A-497__131.png", "Ver Imagen")</f>
        <v/>
      </c>
    </row>
    <row r="4020">
      <c r="A4020" t="n">
        <v>3555</v>
      </c>
      <c r="B4020" t="inlineStr">
        <is>
          <t>A-497__130</t>
        </is>
      </c>
      <c r="C4020" t="n">
        <v>37.2714837956</v>
      </c>
      <c r="D4020" t="n">
        <v>-6.98783734685</v>
      </c>
      <c r="E4020" t="n">
        <v>2</v>
      </c>
      <c r="F4020" t="n">
        <v>3</v>
      </c>
      <c r="G4020" t="n">
        <v>3</v>
      </c>
      <c r="J4020" t="inlineStr">
        <is>
          <t>Moda</t>
        </is>
      </c>
      <c r="K4020" t="n">
        <v>3</v>
      </c>
      <c r="L4020" t="n">
        <v>2.927</v>
      </c>
      <c r="M4020" t="n">
        <v>0</v>
      </c>
      <c r="N4020" t="inlineStr">
        <is>
          <t>train</t>
        </is>
      </c>
      <c r="O4020">
        <f>HYPERLINK("3\1\marker_687_380532.png", "Ver Imagen")</f>
        <v/>
      </c>
      <c r="P4020">
        <f>HYPERLINK("SE\A-497\A-497__130.png", "Ver Imagen")</f>
        <v/>
      </c>
    </row>
    <row r="4021">
      <c r="A4021" t="n">
        <v>3556</v>
      </c>
      <c r="B4021" t="inlineStr">
        <is>
          <t>A-497__129</t>
        </is>
      </c>
      <c r="C4021" t="n">
        <v>37.271571352</v>
      </c>
      <c r="D4021" t="n">
        <v>-6.98758829814</v>
      </c>
      <c r="E4021" t="n">
        <v>2</v>
      </c>
      <c r="F4021" t="n">
        <v>3</v>
      </c>
      <c r="G4021" t="n">
        <v>3</v>
      </c>
      <c r="J4021" t="inlineStr">
        <is>
          <t>Moda</t>
        </is>
      </c>
      <c r="K4021" t="n">
        <v>3</v>
      </c>
      <c r="L4021" t="n">
        <v>2.77</v>
      </c>
      <c r="M4021" t="n">
        <v>0</v>
      </c>
      <c r="N4021" t="inlineStr">
        <is>
          <t>train</t>
        </is>
      </c>
      <c r="O4021">
        <f>HYPERLINK("3\1\marker_902_380540.png", "Ver Imagen")</f>
        <v/>
      </c>
      <c r="P4021">
        <f>HYPERLINK("SE\A-497\A-497__129.png", "Ver Imagen")</f>
        <v/>
      </c>
    </row>
    <row r="4022">
      <c r="A4022" t="n">
        <v>3557</v>
      </c>
      <c r="B4022" t="inlineStr">
        <is>
          <t>A-497__128</t>
        </is>
      </c>
      <c r="C4022" t="n">
        <v>37.2716364748</v>
      </c>
      <c r="D4022" t="n">
        <v>-6.98734644449</v>
      </c>
      <c r="E4022" t="n">
        <v>2</v>
      </c>
      <c r="F4022" t="n">
        <v>3</v>
      </c>
      <c r="G4022" t="n">
        <v>3</v>
      </c>
      <c r="J4022" t="inlineStr">
        <is>
          <t>Moda</t>
        </is>
      </c>
      <c r="K4022" t="n">
        <v>3</v>
      </c>
      <c r="L4022" t="n">
        <v>2.938</v>
      </c>
      <c r="M4022" t="n">
        <v>0</v>
      </c>
      <c r="N4022" t="inlineStr">
        <is>
          <t>train</t>
        </is>
      </c>
      <c r="O4022">
        <f>HYPERLINK("3\1\marker_985_380550.png", "Ver Imagen")</f>
        <v/>
      </c>
      <c r="P4022">
        <f>HYPERLINK("SE\A-497\A-497__128.png", "Ver Imagen")</f>
        <v/>
      </c>
    </row>
    <row r="4023">
      <c r="A4023" t="n">
        <v>3558</v>
      </c>
      <c r="B4023" t="inlineStr">
        <is>
          <t>A-497__125</t>
        </is>
      </c>
      <c r="C4023" t="n">
        <v>37.2717339255</v>
      </c>
      <c r="D4023" t="n">
        <v>-6.98657461497</v>
      </c>
      <c r="E4023" t="n">
        <v>2</v>
      </c>
      <c r="F4023" t="n">
        <v>3</v>
      </c>
      <c r="G4023" t="n">
        <v>3</v>
      </c>
      <c r="J4023" t="inlineStr">
        <is>
          <t>Moda</t>
        </is>
      </c>
      <c r="K4023" t="n">
        <v>3</v>
      </c>
      <c r="L4023" t="n">
        <v>3.12</v>
      </c>
      <c r="M4023" t="n">
        <v>0</v>
      </c>
      <c r="N4023" t="inlineStr">
        <is>
          <t>train</t>
        </is>
      </c>
      <c r="O4023">
        <f>HYPERLINK("3\1\marker_896_380580.png", "Ver Imagen")</f>
        <v/>
      </c>
      <c r="P4023">
        <f>HYPERLINK("SE\A-497\A-497__125.png", "Ver Imagen")</f>
        <v/>
      </c>
    </row>
    <row r="4024">
      <c r="A4024" t="n">
        <v>3559</v>
      </c>
      <c r="B4024" t="inlineStr">
        <is>
          <t>A-497__124</t>
        </is>
      </c>
      <c r="C4024" t="n">
        <v>37.2717361411</v>
      </c>
      <c r="D4024" t="n">
        <v>-6.9863682066</v>
      </c>
      <c r="E4024" t="n">
        <v>2</v>
      </c>
      <c r="F4024" t="n">
        <v>3</v>
      </c>
      <c r="G4024" t="n">
        <v>3</v>
      </c>
      <c r="J4024" t="inlineStr">
        <is>
          <t>Moda</t>
        </is>
      </c>
      <c r="K4024" t="n">
        <v>3</v>
      </c>
      <c r="L4024" t="n">
        <v>2.942</v>
      </c>
      <c r="M4024" t="n">
        <v>0</v>
      </c>
      <c r="N4024" t="inlineStr">
        <is>
          <t>train</t>
        </is>
      </c>
      <c r="O4024">
        <f>HYPERLINK("3\1\marker_798_380589.png", "Ver Imagen")</f>
        <v/>
      </c>
      <c r="P4024">
        <f>HYPERLINK("SE\A-497\A-497__124.png", "Ver Imagen")</f>
        <v/>
      </c>
    </row>
    <row r="4025">
      <c r="A4025" t="n">
        <v>3560</v>
      </c>
      <c r="B4025" t="inlineStr">
        <is>
          <t>A-497__123</t>
        </is>
      </c>
      <c r="C4025" t="n">
        <v>37.27172528</v>
      </c>
      <c r="D4025" t="n">
        <v>-6.98608784304</v>
      </c>
      <c r="E4025" t="n">
        <v>2</v>
      </c>
      <c r="F4025" t="n">
        <v>3</v>
      </c>
      <c r="G4025" t="n">
        <v>3</v>
      </c>
      <c r="J4025" t="inlineStr">
        <is>
          <t>Moda</t>
        </is>
      </c>
      <c r="K4025" t="n">
        <v>3</v>
      </c>
      <c r="L4025" t="n">
        <v>3.116</v>
      </c>
      <c r="M4025" t="n">
        <v>0</v>
      </c>
      <c r="N4025" t="inlineStr">
        <is>
          <t>train</t>
        </is>
      </c>
      <c r="O4025">
        <f>HYPERLINK("3\1\marker_744_380599.png", "Ver Imagen")</f>
        <v/>
      </c>
      <c r="P4025">
        <f>HYPERLINK("SE\A-497\A-497__123.png", "Ver Imagen")</f>
        <v/>
      </c>
    </row>
    <row r="4026">
      <c r="A4026" t="n">
        <v>3561</v>
      </c>
      <c r="B4026" t="inlineStr">
        <is>
          <t>A-497__122</t>
        </is>
      </c>
      <c r="C4026" t="n">
        <v>37.271706189</v>
      </c>
      <c r="D4026" t="n">
        <v>-6.98586603763</v>
      </c>
      <c r="E4026" t="n">
        <v>2</v>
      </c>
      <c r="F4026" t="n">
        <v>3</v>
      </c>
      <c r="G4026" t="n">
        <v>3</v>
      </c>
      <c r="J4026" t="inlineStr">
        <is>
          <t>Moda</t>
        </is>
      </c>
      <c r="K4026" t="n">
        <v>3</v>
      </c>
      <c r="L4026" t="n">
        <v>3.042</v>
      </c>
      <c r="M4026" t="n">
        <v>0</v>
      </c>
      <c r="N4026" t="inlineStr">
        <is>
          <t>train</t>
        </is>
      </c>
      <c r="O4026">
        <f>HYPERLINK("3\1\marker_768_380607.png", "Ver Imagen")</f>
        <v/>
      </c>
      <c r="P4026">
        <f>HYPERLINK("SE\A-497\A-497__122.png", "Ver Imagen")</f>
        <v/>
      </c>
    </row>
    <row r="4027">
      <c r="A4027" t="n">
        <v>3562</v>
      </c>
      <c r="B4027" t="inlineStr">
        <is>
          <t>A-497__119</t>
        </is>
      </c>
      <c r="C4027" t="n">
        <v>37.2715914629</v>
      </c>
      <c r="D4027" t="n">
        <v>-6.98514600846</v>
      </c>
      <c r="E4027" t="n">
        <v>2</v>
      </c>
      <c r="F4027" t="n">
        <v>3</v>
      </c>
      <c r="G4027" t="n">
        <v>3</v>
      </c>
      <c r="J4027" t="inlineStr">
        <is>
          <t>Moda</t>
        </is>
      </c>
      <c r="K4027" t="n">
        <v>3</v>
      </c>
      <c r="L4027" t="n">
        <v>3.111</v>
      </c>
      <c r="M4027" t="n">
        <v>0</v>
      </c>
      <c r="N4027" t="inlineStr">
        <is>
          <t>train</t>
        </is>
      </c>
      <c r="O4027">
        <f>HYPERLINK("3\1\marker_173_380634.png", "Ver Imagen")</f>
        <v/>
      </c>
      <c r="P4027">
        <f>HYPERLINK("SE\A-497\A-497__119.png", "Ver Imagen")</f>
        <v/>
      </c>
    </row>
    <row r="4028">
      <c r="A4028" t="n">
        <v>3563</v>
      </c>
      <c r="B4028" t="inlineStr">
        <is>
          <t>A-497__118</t>
        </is>
      </c>
      <c r="C4028" t="n">
        <v>37.2715356004</v>
      </c>
      <c r="D4028" t="n">
        <v>-6.98489448133</v>
      </c>
      <c r="E4028" t="n">
        <v>2</v>
      </c>
      <c r="F4028" t="n">
        <v>3</v>
      </c>
      <c r="G4028" t="n">
        <v>3</v>
      </c>
      <c r="J4028" t="inlineStr">
        <is>
          <t>Moda</t>
        </is>
      </c>
      <c r="K4028" t="n">
        <v>3</v>
      </c>
      <c r="L4028" t="n">
        <v>2.759</v>
      </c>
      <c r="M4028" t="n">
        <v>0</v>
      </c>
      <c r="N4028" t="inlineStr">
        <is>
          <t>train</t>
        </is>
      </c>
      <c r="O4028">
        <f>HYPERLINK("3\1\marker_322_380642.png", "Ver Imagen")</f>
        <v/>
      </c>
      <c r="P4028">
        <f>HYPERLINK("SE\A-497\A-497__118.png", "Ver Imagen")</f>
        <v/>
      </c>
    </row>
    <row r="4029">
      <c r="A4029" t="n">
        <v>3564</v>
      </c>
      <c r="B4029" t="inlineStr">
        <is>
          <t>A-497__116</t>
        </is>
      </c>
      <c r="C4029" t="n">
        <v>37.2714101572</v>
      </c>
      <c r="D4029" t="n">
        <v>-6.98439656478</v>
      </c>
      <c r="E4029" t="n">
        <v>2</v>
      </c>
      <c r="F4029" t="n">
        <v>3</v>
      </c>
      <c r="G4029" t="n">
        <v>3</v>
      </c>
      <c r="J4029" t="inlineStr">
        <is>
          <t>Moda</t>
        </is>
      </c>
      <c r="K4029" t="n">
        <v>3</v>
      </c>
      <c r="L4029" t="n">
        <v>3.19</v>
      </c>
      <c r="M4029" t="n">
        <v>0</v>
      </c>
      <c r="N4029" t="inlineStr">
        <is>
          <t>val</t>
        </is>
      </c>
      <c r="O4029">
        <f>HYPERLINK("3\1\marker_329_380659.png", "Ver Imagen")</f>
        <v/>
      </c>
      <c r="P4029">
        <f>HYPERLINK("SE\A-497\A-497__116.png", "Ver Imagen")</f>
        <v/>
      </c>
    </row>
    <row r="4030">
      <c r="A4030" t="n">
        <v>3565</v>
      </c>
      <c r="B4030" t="inlineStr">
        <is>
          <t>A-490__2</t>
        </is>
      </c>
      <c r="C4030" t="n">
        <v>37.447329644</v>
      </c>
      <c r="D4030" t="n">
        <v>-7.12684714525</v>
      </c>
      <c r="E4030" t="n">
        <v>4</v>
      </c>
      <c r="F4030" t="n">
        <v>4</v>
      </c>
      <c r="G4030" t="n">
        <v>4</v>
      </c>
      <c r="J4030" t="inlineStr">
        <is>
          <t>Moda</t>
        </is>
      </c>
      <c r="K4030" t="n">
        <v>4</v>
      </c>
      <c r="L4030" t="n">
        <v>4.064</v>
      </c>
      <c r="M4030" t="n">
        <v>0</v>
      </c>
      <c r="N4030" t="inlineStr">
        <is>
          <t>train</t>
        </is>
      </c>
      <c r="O4030">
        <f>HYPERLINK("4\0\marker_920_817123.png", "Ver Imagen")</f>
        <v/>
      </c>
      <c r="P4030">
        <f>HYPERLINK("NE\A-490\A-490__2.png", "Ver Imagen")</f>
        <v/>
      </c>
    </row>
    <row r="4031">
      <c r="A4031" t="n">
        <v>3566</v>
      </c>
      <c r="B4031" t="inlineStr">
        <is>
          <t>A-490__4</t>
        </is>
      </c>
      <c r="C4031" t="n">
        <v>37.447221136</v>
      </c>
      <c r="D4031" t="n">
        <v>-7.12720990345</v>
      </c>
      <c r="E4031" t="n">
        <v>4</v>
      </c>
      <c r="F4031" t="n">
        <v>4</v>
      </c>
      <c r="G4031" t="n">
        <v>4</v>
      </c>
      <c r="J4031" t="inlineStr">
        <is>
          <t>Moda</t>
        </is>
      </c>
      <c r="K4031" t="n">
        <v>4</v>
      </c>
      <c r="L4031" t="n">
        <v>3.714</v>
      </c>
      <c r="M4031" t="n">
        <v>0</v>
      </c>
      <c r="N4031" t="inlineStr">
        <is>
          <t>train</t>
        </is>
      </c>
      <c r="O4031">
        <f>HYPERLINK("4\0\marker_658_724702.png", "Ver Imagen")</f>
        <v/>
      </c>
      <c r="P4031">
        <f>HYPERLINK("NE\A-490\A-490__4.png", "Ver Imagen")</f>
        <v/>
      </c>
    </row>
    <row r="4032">
      <c r="A4032" t="n">
        <v>3568</v>
      </c>
      <c r="B4032" t="inlineStr">
        <is>
          <t>A-490__225</t>
        </is>
      </c>
      <c r="C4032" t="n">
        <v>37.4629217014</v>
      </c>
      <c r="D4032" t="n">
        <v>-7.17663635809</v>
      </c>
      <c r="E4032" t="n">
        <v>4</v>
      </c>
      <c r="F4032" t="n">
        <v>4</v>
      </c>
      <c r="G4032" t="n">
        <v>4</v>
      </c>
      <c r="J4032" t="inlineStr">
        <is>
          <t>Moda</t>
        </is>
      </c>
      <c r="K4032" t="n">
        <v>4</v>
      </c>
      <c r="L4032" t="n">
        <v>3.783</v>
      </c>
      <c r="M4032" t="n">
        <v>0</v>
      </c>
      <c r="N4032" t="inlineStr">
        <is>
          <t>train</t>
        </is>
      </c>
      <c r="O4032">
        <f>HYPERLINK("4\0\marker_507_743712.png", "Ver Imagen")</f>
        <v/>
      </c>
      <c r="P4032">
        <f>HYPERLINK("NE\A-490\A-490__225.png", "Ver Imagen")</f>
        <v/>
      </c>
    </row>
    <row r="4033">
      <c r="A4033" t="n">
        <v>3569</v>
      </c>
      <c r="B4033" t="inlineStr">
        <is>
          <t>A-492__13</t>
        </is>
      </c>
      <c r="C4033" t="n">
        <v>37.273962745</v>
      </c>
      <c r="D4033" t="n">
        <v>-6.99130941286</v>
      </c>
      <c r="E4033" t="n">
        <v>4</v>
      </c>
      <c r="F4033" t="n">
        <v>4</v>
      </c>
      <c r="G4033" t="n">
        <v>4</v>
      </c>
      <c r="J4033" t="inlineStr">
        <is>
          <t>Moda</t>
        </is>
      </c>
      <c r="K4033" t="n">
        <v>4</v>
      </c>
      <c r="L4033" t="n">
        <v>3.723</v>
      </c>
      <c r="M4033" t="n">
        <v>0</v>
      </c>
      <c r="N4033" t="inlineStr">
        <is>
          <t>train</t>
        </is>
      </c>
      <c r="O4033">
        <f>HYPERLINK("4\0\marker_469_821934.png", "Ver Imagen")</f>
        <v/>
      </c>
      <c r="P4033">
        <f>HYPERLINK("SE\A-492\A-492__13.png", "Ver Imagen")</f>
        <v/>
      </c>
    </row>
    <row r="4034">
      <c r="A4034" t="n">
        <v>3570</v>
      </c>
      <c r="B4034" t="inlineStr">
        <is>
          <t>A-492__23</t>
        </is>
      </c>
      <c r="C4034" t="n">
        <v>37.2758245773</v>
      </c>
      <c r="D4034" t="n">
        <v>-6.99101125825</v>
      </c>
      <c r="E4034" t="n">
        <v>4</v>
      </c>
      <c r="F4034" t="n">
        <v>4</v>
      </c>
      <c r="G4034" t="n">
        <v>4</v>
      </c>
      <c r="J4034" t="inlineStr">
        <is>
          <t>Moda</t>
        </is>
      </c>
      <c r="K4034" t="n">
        <v>4</v>
      </c>
      <c r="L4034" t="n">
        <v>3.819</v>
      </c>
      <c r="M4034" t="n">
        <v>0</v>
      </c>
      <c r="N4034" t="inlineStr">
        <is>
          <t>train</t>
        </is>
      </c>
      <c r="O4034">
        <f>HYPERLINK("4\0\marker_251_822063.png", "Ver Imagen")</f>
        <v/>
      </c>
      <c r="P4034">
        <f>HYPERLINK("SE\A-492\A-492__23.png", "Ver Imagen")</f>
        <v/>
      </c>
    </row>
    <row r="4035">
      <c r="A4035" t="n">
        <v>3571</v>
      </c>
      <c r="B4035" t="inlineStr">
        <is>
          <t>A-492__33</t>
        </is>
      </c>
      <c r="C4035" t="n">
        <v>37.2774247351</v>
      </c>
      <c r="D4035" t="n">
        <v>-6.99212913578</v>
      </c>
      <c r="E4035" t="n">
        <v>4</v>
      </c>
      <c r="F4035" t="n">
        <v>4</v>
      </c>
      <c r="G4035" t="n">
        <v>4</v>
      </c>
      <c r="J4035" t="inlineStr">
        <is>
          <t>Moda</t>
        </is>
      </c>
      <c r="K4035" t="n">
        <v>4</v>
      </c>
      <c r="L4035" t="n">
        <v>3.864</v>
      </c>
      <c r="M4035" t="n">
        <v>0</v>
      </c>
      <c r="N4035" t="inlineStr">
        <is>
          <t>train</t>
        </is>
      </c>
      <c r="O4035">
        <f>HYPERLINK("4\0\marker_529_822628.png", "Ver Imagen")</f>
        <v/>
      </c>
      <c r="P4035">
        <f>HYPERLINK("SE\A-492\A-492__33.png", "Ver Imagen")</f>
        <v/>
      </c>
    </row>
    <row r="4036">
      <c r="A4036" t="n">
        <v>3574</v>
      </c>
      <c r="B4036" t="inlineStr">
        <is>
          <t>A-492__71</t>
        </is>
      </c>
      <c r="C4036" t="n">
        <v>37.2805802453</v>
      </c>
      <c r="D4036" t="n">
        <v>-7.00036742402</v>
      </c>
      <c r="E4036" t="n">
        <v>4</v>
      </c>
      <c r="F4036" t="n">
        <v>4</v>
      </c>
      <c r="G4036" t="n">
        <v>4</v>
      </c>
      <c r="J4036" t="inlineStr">
        <is>
          <t>Moda</t>
        </is>
      </c>
      <c r="K4036" t="n">
        <v>4</v>
      </c>
      <c r="L4036" t="n">
        <v>3.715</v>
      </c>
      <c r="M4036" t="n">
        <v>0</v>
      </c>
      <c r="N4036" t="inlineStr">
        <is>
          <t>train</t>
        </is>
      </c>
      <c r="O4036">
        <f>HYPERLINK("4\0\marker_213_823310.png", "Ver Imagen")</f>
        <v/>
      </c>
      <c r="P4036">
        <f>HYPERLINK("SE\A-492\A-492__71.png", "Ver Imagen")</f>
        <v/>
      </c>
    </row>
    <row r="4037">
      <c r="A4037" t="n">
        <v>3575</v>
      </c>
      <c r="B4037" t="inlineStr">
        <is>
          <t>A-495R__69</t>
        </is>
      </c>
      <c r="C4037" t="n">
        <v>37.457922639</v>
      </c>
      <c r="D4037" t="n">
        <v>-7.11425485116</v>
      </c>
      <c r="E4037" t="n">
        <v>4</v>
      </c>
      <c r="F4037" t="n">
        <v>4</v>
      </c>
      <c r="G4037" t="n">
        <v>4</v>
      </c>
      <c r="J4037" t="inlineStr">
        <is>
          <t>Moda</t>
        </is>
      </c>
      <c r="K4037" t="n">
        <v>4</v>
      </c>
      <c r="L4037" t="n">
        <v>3.826</v>
      </c>
      <c r="M4037" t="n">
        <v>0</v>
      </c>
      <c r="N4037" t="inlineStr">
        <is>
          <t>train</t>
        </is>
      </c>
      <c r="O4037">
        <f>HYPERLINK("4\0\marker_667_935244.png", "Ver Imagen")</f>
        <v/>
      </c>
      <c r="P4037">
        <f>HYPERLINK("NE\A-495R\A-495R__69.png", "Ver Imagen")</f>
        <v/>
      </c>
    </row>
    <row r="4038">
      <c r="A4038" t="n">
        <v>3576</v>
      </c>
      <c r="B4038" t="inlineStr">
        <is>
          <t>A-495R__63</t>
        </is>
      </c>
      <c r="C4038" t="n">
        <v>37.4567477625</v>
      </c>
      <c r="D4038" t="n">
        <v>-7.11381648884</v>
      </c>
      <c r="E4038" t="n">
        <v>4</v>
      </c>
      <c r="F4038" t="n">
        <v>4</v>
      </c>
      <c r="G4038" t="n">
        <v>4</v>
      </c>
      <c r="J4038" t="inlineStr">
        <is>
          <t>Moda</t>
        </is>
      </c>
      <c r="K4038" t="n">
        <v>4</v>
      </c>
      <c r="L4038" t="n">
        <v>4.143</v>
      </c>
      <c r="M4038" t="n">
        <v>0</v>
      </c>
      <c r="N4038" t="inlineStr">
        <is>
          <t>train</t>
        </is>
      </c>
      <c r="O4038">
        <f>HYPERLINK("4\0\marker_608_935407.png", "Ver Imagen")</f>
        <v/>
      </c>
      <c r="P4038">
        <f>HYPERLINK("NE\A-495R\A-495R__63.png", "Ver Imagen")</f>
        <v/>
      </c>
    </row>
    <row r="4039">
      <c r="A4039" t="n">
        <v>3577</v>
      </c>
      <c r="B4039" t="inlineStr">
        <is>
          <t>A-495R__62</t>
        </is>
      </c>
      <c r="C4039" t="n">
        <v>37.4565344423</v>
      </c>
      <c r="D4039" t="n">
        <v>-7.1137378207</v>
      </c>
      <c r="E4039" t="n">
        <v>4</v>
      </c>
      <c r="F4039" t="n">
        <v>4</v>
      </c>
      <c r="G4039" t="n">
        <v>4</v>
      </c>
      <c r="J4039" t="inlineStr">
        <is>
          <t>Moda</t>
        </is>
      </c>
      <c r="K4039" t="n">
        <v>4</v>
      </c>
      <c r="L4039" t="n">
        <v>4.126</v>
      </c>
      <c r="M4039" t="n">
        <v>0</v>
      </c>
      <c r="N4039" t="inlineStr">
        <is>
          <t>train</t>
        </is>
      </c>
      <c r="O4039">
        <f>HYPERLINK("4\0\marker_100_935419.png", "Ver Imagen")</f>
        <v/>
      </c>
      <c r="P4039">
        <f>HYPERLINK("NE\A-495R\A-495R__62.png", "Ver Imagen")</f>
        <v/>
      </c>
    </row>
    <row r="4040">
      <c r="A4040" t="n">
        <v>3578</v>
      </c>
      <c r="B4040" t="inlineStr">
        <is>
          <t>A-495R__52</t>
        </is>
      </c>
      <c r="C4040" t="n">
        <v>37.4546318531</v>
      </c>
      <c r="D4040" t="n">
        <v>-7.11294978586</v>
      </c>
      <c r="E4040" t="n">
        <v>4</v>
      </c>
      <c r="F4040" t="n">
        <v>4</v>
      </c>
      <c r="G4040" t="n">
        <v>4</v>
      </c>
      <c r="J4040" t="inlineStr">
        <is>
          <t>Moda</t>
        </is>
      </c>
      <c r="K4040" t="n">
        <v>4</v>
      </c>
      <c r="L4040" t="n">
        <v>4.225</v>
      </c>
      <c r="M4040" t="n">
        <v>0</v>
      </c>
      <c r="N4040" t="inlineStr">
        <is>
          <t>train</t>
        </is>
      </c>
      <c r="O4040">
        <f>HYPERLINK("4\0\marker_323_935642.png", "Ver Imagen")</f>
        <v/>
      </c>
      <c r="P4040">
        <f>HYPERLINK("NE\A-495R\A-495R__52.png", "Ver Imagen")</f>
        <v/>
      </c>
    </row>
    <row r="4041">
      <c r="A4041" t="n">
        <v>3579</v>
      </c>
      <c r="B4041" t="inlineStr">
        <is>
          <t>A-495R__41</t>
        </is>
      </c>
      <c r="C4041" t="n">
        <v>37.4525869958</v>
      </c>
      <c r="D4041" t="n">
        <v>-7.11184100213</v>
      </c>
      <c r="E4041" t="n">
        <v>4</v>
      </c>
      <c r="F4041" t="n">
        <v>4</v>
      </c>
      <c r="G4041" t="n">
        <v>4</v>
      </c>
      <c r="J4041" t="inlineStr">
        <is>
          <t>Moda</t>
        </is>
      </c>
      <c r="K4041" t="n">
        <v>4</v>
      </c>
      <c r="L4041" t="n">
        <v>3.816</v>
      </c>
      <c r="M4041" t="n">
        <v>0</v>
      </c>
      <c r="N4041" t="inlineStr">
        <is>
          <t>train</t>
        </is>
      </c>
      <c r="O4041">
        <f>HYPERLINK("4\0\marker_794_936512.png", "Ver Imagen")</f>
        <v/>
      </c>
      <c r="P4041">
        <f>HYPERLINK("NE\A-495R\A-495R__41.png", "Ver Imagen")</f>
        <v/>
      </c>
    </row>
    <row r="4042">
      <c r="A4042" t="n">
        <v>3580</v>
      </c>
      <c r="B4042" t="inlineStr">
        <is>
          <t>A-495R__36</t>
        </is>
      </c>
      <c r="C4042" t="n">
        <v>37.4516352442</v>
      </c>
      <c r="D4042" t="n">
        <v>-7.11130771493</v>
      </c>
      <c r="E4042" t="n">
        <v>4</v>
      </c>
      <c r="F4042" t="n">
        <v>4</v>
      </c>
      <c r="G4042" t="n">
        <v>4</v>
      </c>
      <c r="J4042" t="inlineStr">
        <is>
          <t>Moda</t>
        </is>
      </c>
      <c r="K4042" t="n">
        <v>4</v>
      </c>
      <c r="L4042" t="n">
        <v>4.269</v>
      </c>
      <c r="M4042" t="n">
        <v>0</v>
      </c>
      <c r="O4042">
        <f>HYPERLINK("4\0\marker_384_936563.png", "Ver Imagen")</f>
        <v/>
      </c>
      <c r="P4042">
        <f>HYPERLINK("NE\A-495R\A-495R__36.png", "Ver Imagen")</f>
        <v/>
      </c>
    </row>
    <row r="4043">
      <c r="A4043" t="n">
        <v>3581</v>
      </c>
      <c r="B4043" t="inlineStr">
        <is>
          <t>A-495R__32</t>
        </is>
      </c>
      <c r="C4043" t="n">
        <v>37.4509651124</v>
      </c>
      <c r="D4043" t="n">
        <v>-7.1107934761</v>
      </c>
      <c r="E4043" t="n">
        <v>4</v>
      </c>
      <c r="F4043" t="n">
        <v>4</v>
      </c>
      <c r="G4043" t="n">
        <v>4</v>
      </c>
      <c r="J4043" t="inlineStr">
        <is>
          <t>Moda</t>
        </is>
      </c>
      <c r="K4043" t="n">
        <v>4</v>
      </c>
      <c r="L4043" t="n">
        <v>3.741</v>
      </c>
      <c r="M4043" t="n">
        <v>0</v>
      </c>
      <c r="N4043" t="inlineStr">
        <is>
          <t>test</t>
        </is>
      </c>
      <c r="O4043">
        <f>HYPERLINK("4\0\marker_239_936601.png", "Ver Imagen")</f>
        <v/>
      </c>
      <c r="P4043">
        <f>HYPERLINK("NE\A-495R\A-495R__32.png", "Ver Imagen")</f>
        <v/>
      </c>
    </row>
    <row r="4044">
      <c r="A4044" t="n">
        <v>3583</v>
      </c>
      <c r="B4044" t="inlineStr">
        <is>
          <t>A-5050__24</t>
        </is>
      </c>
      <c r="C4044" t="n">
        <v>37.2072569677</v>
      </c>
      <c r="D4044" t="n">
        <v>-7.02191093123</v>
      </c>
      <c r="E4044" t="n">
        <v>4</v>
      </c>
      <c r="F4044" t="n">
        <v>4</v>
      </c>
      <c r="G4044" t="n">
        <v>4</v>
      </c>
      <c r="J4044" t="inlineStr">
        <is>
          <t>Moda</t>
        </is>
      </c>
      <c r="K4044" t="n">
        <v>4</v>
      </c>
      <c r="L4044" t="n">
        <v>4.151</v>
      </c>
      <c r="M4044" t="n">
        <v>0</v>
      </c>
      <c r="N4044" t="inlineStr">
        <is>
          <t>train</t>
        </is>
      </c>
      <c r="O4044">
        <f>HYPERLINK("4\0\marker_338_949421.png", "Ver Imagen")</f>
        <v/>
      </c>
      <c r="P4044">
        <f>HYPERLINK("SE\A-5050\A-5050__24.png", "Ver Imagen")</f>
        <v/>
      </c>
    </row>
    <row r="4045">
      <c r="A4045" t="n">
        <v>3584</v>
      </c>
      <c r="B4045" t="inlineStr">
        <is>
          <t>A-5053__328</t>
        </is>
      </c>
      <c r="C4045" t="n">
        <v>37.2794772709</v>
      </c>
      <c r="D4045" t="n">
        <v>-7.14501996021</v>
      </c>
      <c r="E4045" t="n">
        <v>4</v>
      </c>
      <c r="F4045" t="n">
        <v>4</v>
      </c>
      <c r="G4045" t="n">
        <v>4</v>
      </c>
      <c r="J4045" t="inlineStr">
        <is>
          <t>Moda</t>
        </is>
      </c>
      <c r="K4045" t="n">
        <v>4</v>
      </c>
      <c r="L4045" t="n">
        <v>4.13</v>
      </c>
      <c r="M4045" t="n">
        <v>0</v>
      </c>
      <c r="N4045" t="inlineStr">
        <is>
          <t>train</t>
        </is>
      </c>
      <c r="O4045">
        <f>HYPERLINK("4\0\marker_709_964486.png", "Ver Imagen")</f>
        <v/>
      </c>
      <c r="P4045">
        <f>HYPERLINK("SO\A-5053\A-5053__328.png", "Ver Imagen")</f>
        <v/>
      </c>
    </row>
    <row r="4046">
      <c r="A4046" t="n">
        <v>3585</v>
      </c>
      <c r="B4046" t="inlineStr">
        <is>
          <t>A-5053__324</t>
        </is>
      </c>
      <c r="C4046" t="n">
        <v>37.2788119643</v>
      </c>
      <c r="D4046" t="n">
        <v>-7.14446947696</v>
      </c>
      <c r="E4046" t="n">
        <v>4</v>
      </c>
      <c r="F4046" t="n">
        <v>4</v>
      </c>
      <c r="G4046" t="n">
        <v>4</v>
      </c>
      <c r="J4046" t="inlineStr">
        <is>
          <t>Moda</t>
        </is>
      </c>
      <c r="K4046" t="n">
        <v>4</v>
      </c>
      <c r="L4046" t="n">
        <v>4.072</v>
      </c>
      <c r="M4046" t="n">
        <v>0</v>
      </c>
      <c r="N4046" t="inlineStr">
        <is>
          <t>train</t>
        </is>
      </c>
      <c r="O4046">
        <f>HYPERLINK("4\0\marker_360_964533.png", "Ver Imagen")</f>
        <v/>
      </c>
      <c r="P4046">
        <f>HYPERLINK("SO\A-5053\A-5053__324.png", "Ver Imagen")</f>
        <v/>
      </c>
    </row>
    <row r="4047">
      <c r="A4047" t="n">
        <v>3587</v>
      </c>
      <c r="B4047" t="inlineStr">
        <is>
          <t>A-5053__257</t>
        </is>
      </c>
      <c r="C4047" t="n">
        <v>37.2682073279</v>
      </c>
      <c r="D4047" t="n">
        <v>-7.13548693532</v>
      </c>
      <c r="E4047" t="n">
        <v>4</v>
      </c>
      <c r="F4047" t="n">
        <v>4</v>
      </c>
      <c r="G4047" t="n">
        <v>4</v>
      </c>
      <c r="J4047" t="inlineStr">
        <is>
          <t>Moda</t>
        </is>
      </c>
      <c r="K4047" t="n">
        <v>4</v>
      </c>
      <c r="L4047" t="n">
        <v>3.677</v>
      </c>
      <c r="M4047" t="n">
        <v>0</v>
      </c>
      <c r="N4047" t="inlineStr">
        <is>
          <t>train</t>
        </is>
      </c>
      <c r="O4047">
        <f>HYPERLINK("4\0\marker_256_965287.png", "Ver Imagen")</f>
        <v/>
      </c>
      <c r="P4047">
        <f>HYPERLINK("SO\A-5053\A-5053__257.png", "Ver Imagen")</f>
        <v/>
      </c>
    </row>
    <row r="4048">
      <c r="A4048" t="n">
        <v>3589</v>
      </c>
      <c r="B4048" t="inlineStr">
        <is>
          <t>A-5058__287</t>
        </is>
      </c>
      <c r="C4048" t="n">
        <v>37.2448170308</v>
      </c>
      <c r="D4048" t="n">
        <v>-7.09158589456</v>
      </c>
      <c r="E4048" t="n">
        <v>4</v>
      </c>
      <c r="F4048" t="n">
        <v>4</v>
      </c>
      <c r="G4048" t="n">
        <v>4</v>
      </c>
      <c r="J4048" t="inlineStr">
        <is>
          <t>Moda</t>
        </is>
      </c>
      <c r="K4048" t="n">
        <v>4</v>
      </c>
      <c r="L4048" t="n">
        <v>3.644</v>
      </c>
      <c r="M4048" t="n">
        <v>0</v>
      </c>
      <c r="N4048" t="inlineStr">
        <is>
          <t>train</t>
        </is>
      </c>
      <c r="O4048">
        <f>HYPERLINK("4\0\marker_551_384116.png", "Ver Imagen")</f>
        <v/>
      </c>
      <c r="P4048">
        <f>HYPERLINK("SE\A-5058\A-5058__287.png", "Ver Imagen")</f>
        <v/>
      </c>
    </row>
    <row r="4049">
      <c r="A4049" t="n">
        <v>3590</v>
      </c>
      <c r="B4049" t="inlineStr">
        <is>
          <t>A-5058__289</t>
        </is>
      </c>
      <c r="C4049" t="n">
        <v>37.2450282207</v>
      </c>
      <c r="D4049" t="n">
        <v>-7.09204151454</v>
      </c>
      <c r="E4049" t="n">
        <v>4</v>
      </c>
      <c r="F4049" t="n">
        <v>4</v>
      </c>
      <c r="G4049" t="n">
        <v>4</v>
      </c>
      <c r="J4049" t="inlineStr">
        <is>
          <t>Moda</t>
        </is>
      </c>
      <c r="K4049" t="n">
        <v>4</v>
      </c>
      <c r="L4049" t="n">
        <v>3.699</v>
      </c>
      <c r="M4049" t="n">
        <v>0</v>
      </c>
      <c r="N4049" t="inlineStr">
        <is>
          <t>test</t>
        </is>
      </c>
      <c r="O4049">
        <f>HYPERLINK("4\0\marker_650_384135.png", "Ver Imagen")</f>
        <v/>
      </c>
      <c r="P4049">
        <f>HYPERLINK("SO\A-5058\A-5058__289.png", "Ver Imagen")</f>
        <v/>
      </c>
    </row>
    <row r="4050">
      <c r="A4050" t="n">
        <v>3591</v>
      </c>
      <c r="B4050" t="inlineStr">
        <is>
          <t>A-5058__294</t>
        </is>
      </c>
      <c r="C4050" t="n">
        <v>37.2453484423</v>
      </c>
      <c r="D4050" t="n">
        <v>-7.09319484727</v>
      </c>
      <c r="E4050" t="n">
        <v>4</v>
      </c>
      <c r="F4050" t="n">
        <v>4</v>
      </c>
      <c r="G4050" t="n">
        <v>4</v>
      </c>
      <c r="J4050" t="inlineStr">
        <is>
          <t>Moda</t>
        </is>
      </c>
      <c r="K4050" t="n">
        <v>4</v>
      </c>
      <c r="L4050" t="n">
        <v>3.97</v>
      </c>
      <c r="M4050" t="n">
        <v>0</v>
      </c>
      <c r="N4050" t="inlineStr">
        <is>
          <t>train</t>
        </is>
      </c>
      <c r="O4050">
        <f>HYPERLINK("4\0\marker_215_384197.png", "Ver Imagen")</f>
        <v/>
      </c>
      <c r="P4050">
        <f>HYPERLINK("SE\A-5058\A-5058__294.png", "Ver Imagen")</f>
        <v/>
      </c>
    </row>
    <row r="4051">
      <c r="A4051" t="n">
        <v>3591</v>
      </c>
      <c r="B4051" t="inlineStr">
        <is>
          <t>A-5058__294</t>
        </is>
      </c>
      <c r="C4051" t="n">
        <v>37.2453484423</v>
      </c>
      <c r="D4051" t="n">
        <v>-7.09319484727</v>
      </c>
      <c r="E4051" t="n">
        <v>4</v>
      </c>
      <c r="F4051" t="n">
        <v>4</v>
      </c>
      <c r="G4051" t="n">
        <v>4</v>
      </c>
      <c r="J4051" t="inlineStr">
        <is>
          <t>Moda</t>
        </is>
      </c>
      <c r="K4051" t="n">
        <v>4</v>
      </c>
      <c r="L4051" t="n">
        <v>4.101</v>
      </c>
      <c r="M4051" t="n">
        <v>0</v>
      </c>
      <c r="N4051" t="inlineStr">
        <is>
          <t>train</t>
        </is>
      </c>
      <c r="O4051">
        <f>HYPERLINK("4\0\marker_215_384197.png", "Ver Imagen")</f>
        <v/>
      </c>
      <c r="P4051">
        <f>HYPERLINK("SO\A-5058\A-5058__294.png", "Ver Imagen")</f>
        <v/>
      </c>
    </row>
    <row r="4052">
      <c r="A4052" t="n">
        <v>3592</v>
      </c>
      <c r="B4052" t="inlineStr">
        <is>
          <t>A-5058__295</t>
        </is>
      </c>
      <c r="C4052" t="n">
        <v>37.2453826881</v>
      </c>
      <c r="D4052" t="n">
        <v>-7.09347062485</v>
      </c>
      <c r="E4052" t="n">
        <v>4</v>
      </c>
      <c r="F4052" t="n">
        <v>4</v>
      </c>
      <c r="G4052" t="n">
        <v>4</v>
      </c>
      <c r="J4052" t="inlineStr">
        <is>
          <t>Moda</t>
        </is>
      </c>
      <c r="K4052" t="n">
        <v>4</v>
      </c>
      <c r="L4052" t="n">
        <v>3.881</v>
      </c>
      <c r="M4052" t="n">
        <v>0</v>
      </c>
      <c r="N4052" t="inlineStr">
        <is>
          <t>test</t>
        </is>
      </c>
      <c r="O4052">
        <f>HYPERLINK("4\0\marker_492_384205.png", "Ver Imagen")</f>
        <v/>
      </c>
      <c r="P4052">
        <f>HYPERLINK("SO\A-5058\A-5058__295.png", "Ver Imagen")</f>
        <v/>
      </c>
    </row>
    <row r="4053">
      <c r="A4053" t="n">
        <v>3594</v>
      </c>
      <c r="B4053" t="inlineStr">
        <is>
          <t>A-495_1__159</t>
        </is>
      </c>
      <c r="C4053" t="n">
        <v>37.4782194652</v>
      </c>
      <c r="D4053" t="n">
        <v>-7.12753317984</v>
      </c>
      <c r="E4053" t="n">
        <v>4</v>
      </c>
      <c r="F4053" t="n">
        <v>4</v>
      </c>
      <c r="G4053" t="n">
        <v>4</v>
      </c>
      <c r="J4053" t="inlineStr">
        <is>
          <t>Moda</t>
        </is>
      </c>
      <c r="K4053" t="n">
        <v>4</v>
      </c>
      <c r="L4053" t="n">
        <v>3.913</v>
      </c>
      <c r="M4053" t="n">
        <v>0</v>
      </c>
      <c r="N4053" t="inlineStr">
        <is>
          <t>train</t>
        </is>
      </c>
      <c r="O4053">
        <f>HYPERLINK("4\0\marker_832_384103.png", "Ver Imagen")</f>
        <v/>
      </c>
      <c r="P4053">
        <f>HYPERLINK("NE\A-495_1\A-495_1__159.png", "Ver Imagen")</f>
        <v/>
      </c>
    </row>
    <row r="4054">
      <c r="A4054" t="n">
        <v>3595</v>
      </c>
      <c r="B4054" t="inlineStr">
        <is>
          <t>A-495_1__128</t>
        </is>
      </c>
      <c r="C4054" t="n">
        <v>37.4725468378</v>
      </c>
      <c r="D4054" t="n">
        <v>-7.12640045403</v>
      </c>
      <c r="E4054" t="n">
        <v>4</v>
      </c>
      <c r="F4054" t="n">
        <v>4</v>
      </c>
      <c r="G4054" t="n">
        <v>4</v>
      </c>
      <c r="J4054" t="inlineStr">
        <is>
          <t>Moda</t>
        </is>
      </c>
      <c r="K4054" t="n">
        <v>4</v>
      </c>
      <c r="L4054" t="n">
        <v>3.912</v>
      </c>
      <c r="M4054" t="n">
        <v>0</v>
      </c>
      <c r="N4054" t="inlineStr">
        <is>
          <t>train</t>
        </is>
      </c>
      <c r="O4054">
        <f>HYPERLINK("4\0\marker_276_384493.png", "Ver Imagen")</f>
        <v/>
      </c>
      <c r="P4054">
        <f>HYPERLINK("NE\A-495_1\A-495_1__128.png", "Ver Imagen")</f>
        <v/>
      </c>
    </row>
    <row r="4055">
      <c r="A4055" t="n">
        <v>3596</v>
      </c>
      <c r="B4055" t="inlineStr">
        <is>
          <t>A-495_1__104</t>
        </is>
      </c>
      <c r="C4055" t="n">
        <v>37.4683074051</v>
      </c>
      <c r="D4055" t="n">
        <v>-7.12348801904</v>
      </c>
      <c r="E4055" t="n">
        <v>4</v>
      </c>
      <c r="F4055" t="n">
        <v>4</v>
      </c>
      <c r="G4055" t="n">
        <v>4</v>
      </c>
      <c r="J4055" t="inlineStr">
        <is>
          <t>Moda</t>
        </is>
      </c>
      <c r="K4055" t="n">
        <v>4</v>
      </c>
      <c r="L4055" t="n">
        <v>3.763</v>
      </c>
      <c r="M4055" t="n">
        <v>0</v>
      </c>
      <c r="N4055" t="inlineStr">
        <is>
          <t>train</t>
        </is>
      </c>
      <c r="O4055">
        <f>HYPERLINK("4\0\marker_757_384959.png", "Ver Imagen")</f>
        <v/>
      </c>
      <c r="P4055">
        <f>HYPERLINK("NE\A-495_1\A-495_1__104.png", "Ver Imagen")</f>
        <v/>
      </c>
    </row>
    <row r="4056">
      <c r="A4056" t="n">
        <v>3597</v>
      </c>
      <c r="B4056" t="inlineStr">
        <is>
          <t>A-499__70</t>
        </is>
      </c>
      <c r="C4056" t="n">
        <v>37.495447051</v>
      </c>
      <c r="D4056" t="n">
        <v>-7.27025930428</v>
      </c>
      <c r="E4056" t="n">
        <v>4</v>
      </c>
      <c r="F4056" t="n">
        <v>4</v>
      </c>
      <c r="G4056" t="n">
        <v>4</v>
      </c>
      <c r="J4056" t="inlineStr">
        <is>
          <t>Moda</t>
        </is>
      </c>
      <c r="K4056" t="n">
        <v>4</v>
      </c>
      <c r="L4056" t="n">
        <v>4.083</v>
      </c>
      <c r="M4056" t="n">
        <v>0</v>
      </c>
      <c r="N4056" t="inlineStr">
        <is>
          <t>train</t>
        </is>
      </c>
      <c r="O4056">
        <f>HYPERLINK("4\0\marker_540_535178.png", "Ver Imagen")</f>
        <v/>
      </c>
      <c r="P4056">
        <f>HYPERLINK("NO\A-499\A-499__70.png", "Ver Imagen")</f>
        <v/>
      </c>
    </row>
    <row r="4057">
      <c r="A4057" t="n">
        <v>3598</v>
      </c>
      <c r="B4057" t="inlineStr">
        <is>
          <t>A-499__75</t>
        </is>
      </c>
      <c r="C4057" t="n">
        <v>37.4954274256</v>
      </c>
      <c r="D4057" t="n">
        <v>-7.26895732536</v>
      </c>
      <c r="E4057" t="n">
        <v>4</v>
      </c>
      <c r="F4057" t="n">
        <v>4</v>
      </c>
      <c r="G4057" t="n">
        <v>4</v>
      </c>
      <c r="J4057" t="inlineStr">
        <is>
          <t>Moda</t>
        </is>
      </c>
      <c r="K4057" t="n">
        <v>4</v>
      </c>
      <c r="L4057" t="n">
        <v>4.011</v>
      </c>
      <c r="M4057" t="n">
        <v>0</v>
      </c>
      <c r="N4057" t="inlineStr">
        <is>
          <t>train</t>
        </is>
      </c>
      <c r="O4057">
        <f>HYPERLINK("4\0\marker_906_789143.png", "Ver Imagen")</f>
        <v/>
      </c>
      <c r="P4057">
        <f>HYPERLINK("NO\A-499\A-499__75.png", "Ver Imagen")</f>
        <v/>
      </c>
    </row>
    <row r="4058">
      <c r="A4058" t="n">
        <v>3599</v>
      </c>
      <c r="B4058" t="inlineStr">
        <is>
          <t>A-497__834</t>
        </is>
      </c>
      <c r="C4058" t="n">
        <v>37.1988149762</v>
      </c>
      <c r="D4058" t="n">
        <v>-6.98236193708</v>
      </c>
      <c r="E4058" t="n">
        <v>4</v>
      </c>
      <c r="F4058" t="n">
        <v>4</v>
      </c>
      <c r="G4058" t="n">
        <v>4</v>
      </c>
      <c r="J4058" t="inlineStr">
        <is>
          <t>Moda</t>
        </is>
      </c>
      <c r="K4058" t="n">
        <v>4</v>
      </c>
      <c r="L4058" t="n">
        <v>4.02</v>
      </c>
      <c r="M4058" t="n">
        <v>0</v>
      </c>
      <c r="N4058" t="inlineStr">
        <is>
          <t>train</t>
        </is>
      </c>
      <c r="O4058">
        <f>HYPERLINK("4\0\marker_584_367606.png", "Ver Imagen")</f>
        <v/>
      </c>
      <c r="P4058">
        <f>HYPERLINK("SE\A-497\A-497__834.png", "Ver Imagen")</f>
        <v/>
      </c>
    </row>
    <row r="4059">
      <c r="A4059" t="n">
        <v>3600</v>
      </c>
      <c r="B4059" t="inlineStr">
        <is>
          <t>A-497__770</t>
        </is>
      </c>
      <c r="C4059" t="n">
        <v>37.1876023696</v>
      </c>
      <c r="D4059" t="n">
        <v>-6.97910448656</v>
      </c>
      <c r="E4059" t="n">
        <v>4</v>
      </c>
      <c r="F4059" t="n">
        <v>4</v>
      </c>
      <c r="G4059" t="n">
        <v>4</v>
      </c>
      <c r="J4059" t="inlineStr">
        <is>
          <t>Moda</t>
        </is>
      </c>
      <c r="K4059" t="n">
        <v>4</v>
      </c>
      <c r="L4059" t="n">
        <v>3.592</v>
      </c>
      <c r="M4059" t="n">
        <v>0</v>
      </c>
      <c r="N4059" t="inlineStr">
        <is>
          <t>train</t>
        </is>
      </c>
      <c r="O4059">
        <f>HYPERLINK("4\0\marker_583_368305.png", "Ver Imagen")</f>
        <v/>
      </c>
      <c r="P4059">
        <f>HYPERLINK("SE\A-497\A-497__770.png", "Ver Imagen")</f>
        <v/>
      </c>
    </row>
    <row r="4060">
      <c r="A4060" t="n">
        <v>3601</v>
      </c>
      <c r="B4060" t="inlineStr">
        <is>
          <t>A-497__757</t>
        </is>
      </c>
      <c r="C4060" t="n">
        <v>37.1859783337</v>
      </c>
      <c r="D4060" t="n">
        <v>-6.97982040685</v>
      </c>
      <c r="E4060" t="n">
        <v>4</v>
      </c>
      <c r="F4060" t="n">
        <v>4</v>
      </c>
      <c r="G4060" t="n">
        <v>4</v>
      </c>
      <c r="J4060" t="inlineStr">
        <is>
          <t>Moda</t>
        </is>
      </c>
      <c r="K4060" t="n">
        <v>4</v>
      </c>
      <c r="L4060" t="n">
        <v>3.57</v>
      </c>
      <c r="M4060" t="n">
        <v>0</v>
      </c>
      <c r="N4060" t="inlineStr">
        <is>
          <t>train</t>
        </is>
      </c>
      <c r="O4060">
        <f>HYPERLINK("4\0\marker_400_368602.png", "Ver Imagen")</f>
        <v/>
      </c>
      <c r="P4060">
        <f>HYPERLINK("SE\A-497\A-497__757.png", "Ver Imagen")</f>
        <v/>
      </c>
    </row>
    <row r="4061">
      <c r="A4061" t="n">
        <v>3602</v>
      </c>
      <c r="B4061" t="inlineStr">
        <is>
          <t>A-497__756</t>
        </is>
      </c>
      <c r="C4061" t="n">
        <v>37.1861620631</v>
      </c>
      <c r="D4061" t="n">
        <v>-6.97973852747</v>
      </c>
      <c r="E4061" t="n">
        <v>4</v>
      </c>
      <c r="F4061" t="n">
        <v>4</v>
      </c>
      <c r="G4061" t="n">
        <v>4</v>
      </c>
      <c r="J4061" t="inlineStr">
        <is>
          <t>Moda</t>
        </is>
      </c>
      <c r="K4061" t="n">
        <v>4</v>
      </c>
      <c r="L4061" t="n">
        <v>3.79</v>
      </c>
      <c r="M4061" t="n">
        <v>0</v>
      </c>
      <c r="N4061" t="inlineStr">
        <is>
          <t>train</t>
        </is>
      </c>
      <c r="O4061">
        <f>HYPERLINK("4\0\marker_556_368614.png", "Ver Imagen")</f>
        <v/>
      </c>
      <c r="P4061">
        <f>HYPERLINK("SE\A-497\A-497__756.png", "Ver Imagen")</f>
        <v/>
      </c>
    </row>
    <row r="4062">
      <c r="A4062" t="n">
        <v>3603</v>
      </c>
      <c r="B4062" t="inlineStr">
        <is>
          <t>A-497__675</t>
        </is>
      </c>
      <c r="C4062" t="n">
        <v>37.1995658232</v>
      </c>
      <c r="D4062" t="n">
        <v>-6.98416312692</v>
      </c>
      <c r="E4062" t="n">
        <v>4</v>
      </c>
      <c r="F4062" t="n">
        <v>4</v>
      </c>
      <c r="G4062" t="n">
        <v>4</v>
      </c>
      <c r="J4062" t="inlineStr">
        <is>
          <t>Moda</t>
        </is>
      </c>
      <c r="K4062" t="n">
        <v>4</v>
      </c>
      <c r="L4062" t="n">
        <v>3.783</v>
      </c>
      <c r="M4062" t="n">
        <v>0</v>
      </c>
      <c r="N4062" t="inlineStr">
        <is>
          <t>train</t>
        </is>
      </c>
      <c r="O4062">
        <f>HYPERLINK("4\0\marker_820_370730.png", "Ver Imagen")</f>
        <v/>
      </c>
      <c r="P4062">
        <f>HYPERLINK("SE\A-497\A-497__675.png", "Ver Imagen")</f>
        <v/>
      </c>
    </row>
    <row r="4063">
      <c r="A4063" t="n">
        <v>3604</v>
      </c>
      <c r="B4063" t="inlineStr">
        <is>
          <t>A-497__604</t>
        </is>
      </c>
      <c r="C4063" t="n">
        <v>37.2028552088</v>
      </c>
      <c r="D4063" t="n">
        <v>-7.00162537277</v>
      </c>
      <c r="E4063" t="n">
        <v>4</v>
      </c>
      <c r="F4063" t="n">
        <v>4</v>
      </c>
      <c r="G4063" t="n">
        <v>4</v>
      </c>
      <c r="J4063" t="inlineStr">
        <is>
          <t>Moda</t>
        </is>
      </c>
      <c r="K4063" t="n">
        <v>4</v>
      </c>
      <c r="L4063" t="n">
        <v>3.722</v>
      </c>
      <c r="M4063" t="n">
        <v>0</v>
      </c>
      <c r="N4063" t="inlineStr">
        <is>
          <t>train</t>
        </is>
      </c>
      <c r="O4063">
        <f>HYPERLINK("4\0\marker_994_371678.png", "Ver Imagen")</f>
        <v/>
      </c>
      <c r="P4063">
        <f>HYPERLINK("SE\A-497\A-497__604.png", "Ver Imagen")</f>
        <v/>
      </c>
    </row>
    <row r="4064">
      <c r="A4064" t="n">
        <v>3605</v>
      </c>
      <c r="B4064" t="inlineStr">
        <is>
          <t>A-497_2C__283</t>
        </is>
      </c>
      <c r="C4064" t="n">
        <v>37.252677315</v>
      </c>
      <c r="D4064" t="n">
        <v>-7.01638212154</v>
      </c>
      <c r="E4064" t="n">
        <v>4</v>
      </c>
      <c r="F4064" t="n">
        <v>4</v>
      </c>
      <c r="G4064" t="n">
        <v>4</v>
      </c>
      <c r="J4064" t="inlineStr">
        <is>
          <t>Moda</t>
        </is>
      </c>
      <c r="K4064" t="n">
        <v>4</v>
      </c>
      <c r="L4064" t="n">
        <v>3.519</v>
      </c>
      <c r="M4064" t="n">
        <v>0</v>
      </c>
      <c r="N4064" t="inlineStr">
        <is>
          <t>train</t>
        </is>
      </c>
      <c r="O4064">
        <f>HYPERLINK("4\0\marker_122_319917.png", "Ver Imagen")</f>
        <v/>
      </c>
      <c r="P4064">
        <f>HYPERLINK("SE\A-497_2C\A-497_2C__283.png", "Ver Imagen")</f>
        <v/>
      </c>
    </row>
    <row r="4065">
      <c r="A4065" t="n">
        <v>3606</v>
      </c>
      <c r="B4065" t="inlineStr">
        <is>
          <t>A-497_2C__309</t>
        </is>
      </c>
      <c r="C4065" t="n">
        <v>37.2476981663</v>
      </c>
      <c r="D4065" t="n">
        <v>-7.01838923454</v>
      </c>
      <c r="E4065" t="n">
        <v>4</v>
      </c>
      <c r="F4065" t="n">
        <v>4</v>
      </c>
      <c r="G4065" t="n">
        <v>4</v>
      </c>
      <c r="J4065" t="inlineStr">
        <is>
          <t>Moda</t>
        </is>
      </c>
      <c r="K4065" t="n">
        <v>4</v>
      </c>
      <c r="L4065" t="n">
        <v>4.186</v>
      </c>
      <c r="M4065" t="n">
        <v>0</v>
      </c>
      <c r="N4065" t="inlineStr">
        <is>
          <t>train</t>
        </is>
      </c>
      <c r="O4065">
        <f>HYPERLINK("4\0\marker_367_361819.png", "Ver Imagen")</f>
        <v/>
      </c>
      <c r="P4065">
        <f>HYPERLINK("SE\A-497_2C\A-497_2C__309.png", "Ver Imagen")</f>
        <v/>
      </c>
    </row>
    <row r="4066">
      <c r="A4066" t="n">
        <v>3608</v>
      </c>
      <c r="B4066" t="inlineStr">
        <is>
          <t>A-497_2C__539</t>
        </is>
      </c>
      <c r="C4066" t="n">
        <v>37.2051010206</v>
      </c>
      <c r="D4066" t="n">
        <v>-7.01680024119</v>
      </c>
      <c r="E4066" t="n">
        <v>4</v>
      </c>
      <c r="F4066" t="n">
        <v>4</v>
      </c>
      <c r="G4066" t="n">
        <v>4</v>
      </c>
      <c r="J4066" t="inlineStr">
        <is>
          <t>Moda</t>
        </is>
      </c>
      <c r="K4066" t="n">
        <v>4</v>
      </c>
      <c r="L4066" t="n">
        <v>3.812</v>
      </c>
      <c r="M4066" t="n">
        <v>0</v>
      </c>
      <c r="N4066" t="inlineStr">
        <is>
          <t>train</t>
        </is>
      </c>
      <c r="O4066">
        <f>HYPERLINK("4\0\marker_333_364531.png", "Ver Imagen")</f>
        <v/>
      </c>
      <c r="P4066">
        <f>HYPERLINK("SE\A-497_2C\A-497_2C__539.png", "Ver Imagen")</f>
        <v/>
      </c>
    </row>
    <row r="4067">
      <c r="A4067" t="n">
        <v>3609</v>
      </c>
      <c r="B4067" t="inlineStr">
        <is>
          <t>A-497__292</t>
        </is>
      </c>
      <c r="C4067" t="n">
        <v>37.2518188091</v>
      </c>
      <c r="D4067" t="n">
        <v>-7.01671723351</v>
      </c>
      <c r="E4067" t="n">
        <v>4</v>
      </c>
      <c r="F4067" t="n">
        <v>4</v>
      </c>
      <c r="G4067" t="n">
        <v>4</v>
      </c>
      <c r="J4067" t="inlineStr">
        <is>
          <t>Moda</t>
        </is>
      </c>
      <c r="K4067" t="n">
        <v>4</v>
      </c>
      <c r="L4067" t="n">
        <v>3.812</v>
      </c>
      <c r="M4067" t="n">
        <v>0</v>
      </c>
      <c r="N4067" t="inlineStr">
        <is>
          <t>train</t>
        </is>
      </c>
      <c r="O4067">
        <f>HYPERLINK("4\0\marker_778_378331.png", "Ver Imagen")</f>
        <v/>
      </c>
      <c r="P4067">
        <f>HYPERLINK("SE\A-497\A-497__292.png", "Ver Imagen")</f>
        <v/>
      </c>
    </row>
    <row r="4068">
      <c r="A4068" t="n">
        <v>3610</v>
      </c>
      <c r="B4068" t="inlineStr">
        <is>
          <t>A-497__223</t>
        </is>
      </c>
      <c r="C4068" t="n">
        <v>37.2633407578</v>
      </c>
      <c r="D4068" t="n">
        <v>-7.00745223531</v>
      </c>
      <c r="E4068" t="n">
        <v>4</v>
      </c>
      <c r="F4068" t="n">
        <v>4</v>
      </c>
      <c r="G4068" t="n">
        <v>4</v>
      </c>
      <c r="J4068" t="inlineStr">
        <is>
          <t>Moda</t>
        </is>
      </c>
      <c r="K4068" t="n">
        <v>4</v>
      </c>
      <c r="L4068" t="n">
        <v>3.807</v>
      </c>
      <c r="M4068" t="n">
        <v>0</v>
      </c>
      <c r="N4068" t="inlineStr">
        <is>
          <t>train</t>
        </is>
      </c>
      <c r="O4068">
        <f>HYPERLINK("4\0\marker_976_379110.png", "Ver Imagen")</f>
        <v/>
      </c>
      <c r="P4068">
        <f>HYPERLINK("SE\A-497\A-497__223.png", "Ver Imagen")</f>
        <v/>
      </c>
    </row>
    <row r="4069">
      <c r="A4069" t="n">
        <v>3611</v>
      </c>
      <c r="B4069" t="inlineStr">
        <is>
          <t>A-497__113</t>
        </is>
      </c>
      <c r="C4069" t="n">
        <v>37.2712180556</v>
      </c>
      <c r="D4069" t="n">
        <v>-6.98370896043</v>
      </c>
      <c r="E4069" t="n">
        <v>4</v>
      </c>
      <c r="F4069" t="n">
        <v>4</v>
      </c>
      <c r="G4069" t="n">
        <v>4</v>
      </c>
      <c r="J4069" t="inlineStr">
        <is>
          <t>Moda</t>
        </is>
      </c>
      <c r="K4069" t="n">
        <v>4</v>
      </c>
      <c r="L4069" t="n">
        <v>4.034</v>
      </c>
      <c r="M4069" t="n">
        <v>0</v>
      </c>
      <c r="N4069" t="inlineStr">
        <is>
          <t>train</t>
        </is>
      </c>
      <c r="O4069">
        <f>HYPERLINK("4\0\marker_451_380688.png", "Ver Imagen")</f>
        <v/>
      </c>
      <c r="P4069">
        <f>HYPERLINK("SE\A-497\A-497__113.png", "Ver Imagen")</f>
        <v/>
      </c>
    </row>
    <row r="4070">
      <c r="A4070" t="n">
        <v>3613</v>
      </c>
      <c r="B4070" t="inlineStr">
        <is>
          <t>A-497__110</t>
        </is>
      </c>
      <c r="C4070" t="n">
        <v>37.271006868</v>
      </c>
      <c r="D4070" t="n">
        <v>-6.9829789587</v>
      </c>
      <c r="E4070" t="n">
        <v>4</v>
      </c>
      <c r="F4070" t="n">
        <v>4</v>
      </c>
      <c r="G4070" t="n">
        <v>4</v>
      </c>
      <c r="J4070" t="inlineStr">
        <is>
          <t>Moda</t>
        </is>
      </c>
      <c r="K4070" t="n">
        <v>4</v>
      </c>
      <c r="L4070" t="n">
        <v>3.827</v>
      </c>
      <c r="M4070" t="n">
        <v>0</v>
      </c>
      <c r="N4070" t="inlineStr">
        <is>
          <t>train</t>
        </is>
      </c>
      <c r="O4070">
        <f>HYPERLINK("4\0\marker_350_380724.png", "Ver Imagen")</f>
        <v/>
      </c>
      <c r="P4070">
        <f>HYPERLINK("SE\A-497\A-497__110.png", "Ver Imagen")</f>
        <v/>
      </c>
    </row>
    <row r="4071">
      <c r="A4071" t="n">
        <v>3615</v>
      </c>
      <c r="B4071" t="inlineStr">
        <is>
          <t>A-497__92</t>
        </is>
      </c>
      <c r="C4071" t="n">
        <v>37.269757612</v>
      </c>
      <c r="D4071" t="n">
        <v>-6.97861932231</v>
      </c>
      <c r="E4071" t="n">
        <v>4</v>
      </c>
      <c r="F4071" t="n">
        <v>4</v>
      </c>
      <c r="G4071" t="n">
        <v>4</v>
      </c>
      <c r="J4071" t="inlineStr">
        <is>
          <t>Moda</t>
        </is>
      </c>
      <c r="K4071" t="n">
        <v>4</v>
      </c>
      <c r="L4071" t="n">
        <v>3.697</v>
      </c>
      <c r="M4071" t="n">
        <v>0</v>
      </c>
      <c r="N4071" t="inlineStr">
        <is>
          <t>train</t>
        </is>
      </c>
      <c r="O4071">
        <f>HYPERLINK("4\0\marker_117_380920.png", "Ver Imagen")</f>
        <v/>
      </c>
      <c r="P4071">
        <f>HYPERLINK("SE\A-497\A-497__92.png", "Ver Imagen")</f>
        <v/>
      </c>
    </row>
    <row r="4072">
      <c r="A4072" t="n">
        <v>3616</v>
      </c>
      <c r="B4072" t="inlineStr">
        <is>
          <t>A-5052__2</t>
        </is>
      </c>
      <c r="C4072" t="n">
        <v>37.2186166692</v>
      </c>
      <c r="D4072" t="n">
        <v>-7.12543685262</v>
      </c>
      <c r="E4072" t="n">
        <v>3</v>
      </c>
      <c r="F4072" t="n">
        <v>4</v>
      </c>
      <c r="G4072" t="n">
        <v>4</v>
      </c>
      <c r="J4072" t="inlineStr">
        <is>
          <t>Moda</t>
        </is>
      </c>
      <c r="K4072" t="n">
        <v>4</v>
      </c>
      <c r="L4072" t="n">
        <v>3.619</v>
      </c>
      <c r="M4072" t="n">
        <v>0</v>
      </c>
      <c r="N4072" t="inlineStr">
        <is>
          <t>train</t>
        </is>
      </c>
      <c r="O4072">
        <f>HYPERLINK("4\1\marker_116_949875.png", "Ver Imagen")</f>
        <v/>
      </c>
      <c r="P4072">
        <f>HYPERLINK("SO\A-5052\A-5052__2.png", "Ver Imagen")</f>
        <v/>
      </c>
    </row>
    <row r="4073">
      <c r="A4073" t="n">
        <v>3617</v>
      </c>
      <c r="B4073" t="inlineStr">
        <is>
          <t>A-5052__285</t>
        </is>
      </c>
      <c r="C4073" t="n">
        <v>37.2111367101</v>
      </c>
      <c r="D4073" t="n">
        <v>-7.05531387567</v>
      </c>
      <c r="E4073" t="n">
        <v>3</v>
      </c>
      <c r="F4073" t="n">
        <v>4</v>
      </c>
      <c r="G4073" t="n">
        <v>4</v>
      </c>
      <c r="J4073" t="inlineStr">
        <is>
          <t>Moda</t>
        </is>
      </c>
      <c r="K4073" t="n">
        <v>4</v>
      </c>
      <c r="L4073" t="n">
        <v>3.936</v>
      </c>
      <c r="M4073" t="n">
        <v>0</v>
      </c>
      <c r="N4073" t="inlineStr">
        <is>
          <t>train</t>
        </is>
      </c>
      <c r="O4073">
        <f>HYPERLINK("4\1\marker_581_960583.png", "Ver Imagen")</f>
        <v/>
      </c>
      <c r="P4073">
        <f>HYPERLINK("SE\A-5052\A-5052__285.png", "Ver Imagen")</f>
        <v/>
      </c>
    </row>
    <row r="4074">
      <c r="A4074" t="n">
        <v>3618</v>
      </c>
      <c r="B4074" t="inlineStr">
        <is>
          <t>A-5052__298</t>
        </is>
      </c>
      <c r="C4074" t="n">
        <v>37.2108006529</v>
      </c>
      <c r="D4074" t="n">
        <v>-7.05205756681</v>
      </c>
      <c r="E4074" t="n">
        <v>3</v>
      </c>
      <c r="F4074" t="n">
        <v>4</v>
      </c>
      <c r="G4074" t="n">
        <v>4</v>
      </c>
      <c r="J4074" t="inlineStr">
        <is>
          <t>Moda</t>
        </is>
      </c>
      <c r="K4074" t="n">
        <v>4</v>
      </c>
      <c r="L4074" t="n">
        <v>3.84</v>
      </c>
      <c r="M4074" t="n">
        <v>0</v>
      </c>
      <c r="N4074" t="inlineStr">
        <is>
          <t>train</t>
        </is>
      </c>
      <c r="O4074">
        <f>HYPERLINK("4\1\marker_832_960887.png", "Ver Imagen")</f>
        <v/>
      </c>
      <c r="P4074">
        <f>HYPERLINK("SE\A-5052\A-5052__298.png", "Ver Imagen")</f>
        <v/>
      </c>
    </row>
    <row r="4075">
      <c r="A4075" t="n">
        <v>3620</v>
      </c>
      <c r="B4075" t="inlineStr">
        <is>
          <t>A-5053__321</t>
        </is>
      </c>
      <c r="C4075" t="n">
        <v>37.2782469886</v>
      </c>
      <c r="D4075" t="n">
        <v>-7.14404515523</v>
      </c>
      <c r="E4075" t="n">
        <v>4</v>
      </c>
      <c r="F4075" t="n">
        <v>4</v>
      </c>
      <c r="G4075" t="n">
        <v>3</v>
      </c>
      <c r="J4075" t="inlineStr">
        <is>
          <t>Moda</t>
        </is>
      </c>
      <c r="K4075" t="n">
        <v>4</v>
      </c>
      <c r="L4075" t="n">
        <v>3.591</v>
      </c>
      <c r="M4075" t="n">
        <v>0</v>
      </c>
      <c r="N4075" t="inlineStr">
        <is>
          <t>train</t>
        </is>
      </c>
      <c r="O4075">
        <f>HYPERLINK("4\1\marker_996_964564.png", "Ver Imagen")</f>
        <v/>
      </c>
      <c r="P4075">
        <f>HYPERLINK("SO\A-5053\A-5053__321.png", "Ver Imagen")</f>
        <v/>
      </c>
    </row>
    <row r="4076">
      <c r="A4076" t="n">
        <v>3621</v>
      </c>
      <c r="B4076" t="inlineStr">
        <is>
          <t>A-5053__319</t>
        </is>
      </c>
      <c r="C4076" t="n">
        <v>37.2779222981</v>
      </c>
      <c r="D4076" t="n">
        <v>-7.14378532086</v>
      </c>
      <c r="E4076" t="n">
        <v>3</v>
      </c>
      <c r="F4076" t="n">
        <v>4</v>
      </c>
      <c r="G4076" t="n">
        <v>4</v>
      </c>
      <c r="J4076" t="inlineStr">
        <is>
          <t>Moda</t>
        </is>
      </c>
      <c r="K4076" t="n">
        <v>4</v>
      </c>
      <c r="L4076" t="n">
        <v>3.747</v>
      </c>
      <c r="M4076" t="n">
        <v>0</v>
      </c>
      <c r="N4076" t="inlineStr">
        <is>
          <t>train</t>
        </is>
      </c>
      <c r="O4076">
        <f>HYPERLINK("4\1\marker_110_964583.png", "Ver Imagen")</f>
        <v/>
      </c>
      <c r="P4076">
        <f>HYPERLINK("SO\A-5053\A-5053__319.png", "Ver Imagen")</f>
        <v/>
      </c>
    </row>
    <row r="4077">
      <c r="A4077" t="n">
        <v>3622</v>
      </c>
      <c r="B4077" t="inlineStr">
        <is>
          <t>A-5053__296</t>
        </is>
      </c>
      <c r="C4077" t="n">
        <v>37.2735207844</v>
      </c>
      <c r="D4077" t="n">
        <v>-7.14201963082</v>
      </c>
      <c r="E4077" t="n">
        <v>4</v>
      </c>
      <c r="F4077" t="n">
        <v>4</v>
      </c>
      <c r="G4077" t="n">
        <v>3</v>
      </c>
      <c r="J4077" t="inlineStr">
        <is>
          <t>Moda</t>
        </is>
      </c>
      <c r="K4077" t="n">
        <v>4</v>
      </c>
      <c r="L4077" t="n">
        <v>4.126</v>
      </c>
      <c r="M4077" t="n">
        <v>0</v>
      </c>
      <c r="N4077" t="inlineStr">
        <is>
          <t>train</t>
        </is>
      </c>
      <c r="O4077">
        <f>HYPERLINK("4\1\marker_470_964901.png", "Ver Imagen")</f>
        <v/>
      </c>
      <c r="P4077">
        <f>HYPERLINK("SO\A-5053\A-5053__296.png", "Ver Imagen")</f>
        <v/>
      </c>
    </row>
    <row r="4078">
      <c r="A4078" t="n">
        <v>3623</v>
      </c>
      <c r="B4078" t="inlineStr">
        <is>
          <t>A-5053__273</t>
        </is>
      </c>
      <c r="C4078" t="n">
        <v>37.2694579381</v>
      </c>
      <c r="D4078" t="n">
        <v>-7.13911819895</v>
      </c>
      <c r="E4078" t="n">
        <v>3</v>
      </c>
      <c r="F4078" t="n">
        <v>4</v>
      </c>
      <c r="G4078" t="n">
        <v>4</v>
      </c>
      <c r="J4078" t="inlineStr">
        <is>
          <t>Moda</t>
        </is>
      </c>
      <c r="K4078" t="n">
        <v>4</v>
      </c>
      <c r="L4078" t="n">
        <v>3.948</v>
      </c>
      <c r="M4078" t="n">
        <v>0</v>
      </c>
      <c r="N4078" t="inlineStr">
        <is>
          <t>train</t>
        </is>
      </c>
      <c r="O4078">
        <f>HYPERLINK("4\1\marker_492_965122.png", "Ver Imagen")</f>
        <v/>
      </c>
      <c r="P4078">
        <f>HYPERLINK("SO\A-5053\A-5053__273.png", "Ver Imagen")</f>
        <v/>
      </c>
    </row>
    <row r="4079">
      <c r="A4079" t="n">
        <v>3624</v>
      </c>
      <c r="B4079" t="inlineStr">
        <is>
          <t>A-5053__269</t>
        </is>
      </c>
      <c r="C4079" t="n">
        <v>37.2689908164</v>
      </c>
      <c r="D4079" t="n">
        <v>-7.13840834803</v>
      </c>
      <c r="E4079" t="n">
        <v>4</v>
      </c>
      <c r="F4079" t="n">
        <v>4</v>
      </c>
      <c r="G4079" t="n">
        <v>3</v>
      </c>
      <c r="J4079" t="inlineStr">
        <is>
          <t>Moda</t>
        </is>
      </c>
      <c r="K4079" t="n">
        <v>4</v>
      </c>
      <c r="L4079" t="n">
        <v>4.027</v>
      </c>
      <c r="M4079" t="n">
        <v>0</v>
      </c>
      <c r="N4079" t="inlineStr">
        <is>
          <t>train</t>
        </is>
      </c>
      <c r="O4079">
        <f>HYPERLINK("4\1\marker_647_965155.png", "Ver Imagen")</f>
        <v/>
      </c>
      <c r="P4079">
        <f>HYPERLINK("SO\A-5053\A-5053__269.png", "Ver Imagen")</f>
        <v/>
      </c>
    </row>
    <row r="4080">
      <c r="A4080" t="n">
        <v>3626</v>
      </c>
      <c r="B4080" t="inlineStr">
        <is>
          <t>A-5053__26</t>
        </is>
      </c>
      <c r="C4080" t="n">
        <v>37.2239659841</v>
      </c>
      <c r="D4080" t="n">
        <v>-7.12527181822</v>
      </c>
      <c r="E4080" t="n">
        <v>4</v>
      </c>
      <c r="F4080" t="n">
        <v>4</v>
      </c>
      <c r="G4080" t="n">
        <v>3</v>
      </c>
      <c r="J4080" t="inlineStr">
        <is>
          <t>Moda</t>
        </is>
      </c>
      <c r="K4080" t="n">
        <v>4</v>
      </c>
      <c r="L4080" t="n">
        <v>3.801</v>
      </c>
      <c r="M4080" t="n">
        <v>0</v>
      </c>
      <c r="N4080" t="inlineStr">
        <is>
          <t>train</t>
        </is>
      </c>
      <c r="O4080">
        <f>HYPERLINK("4\1\marker_508_022405.png", "Ver Imagen")</f>
        <v/>
      </c>
      <c r="P4080">
        <f>HYPERLINK("SO\A-5053\A-5053__26.png", "Ver Imagen")</f>
        <v/>
      </c>
    </row>
    <row r="4081">
      <c r="A4081" t="n">
        <v>3627</v>
      </c>
      <c r="B4081" t="inlineStr">
        <is>
          <t>A-499__71</t>
        </is>
      </c>
      <c r="C4081" t="n">
        <v>37.4954714666</v>
      </c>
      <c r="D4081" t="n">
        <v>-7.27002868798</v>
      </c>
      <c r="E4081" t="n">
        <v>3</v>
      </c>
      <c r="F4081" t="n">
        <v>4</v>
      </c>
      <c r="G4081" t="n">
        <v>4</v>
      </c>
      <c r="J4081" t="inlineStr">
        <is>
          <t>Moda</t>
        </is>
      </c>
      <c r="K4081" t="n">
        <v>4</v>
      </c>
      <c r="L4081" t="n">
        <v>4.292</v>
      </c>
      <c r="M4081" t="n">
        <v>0</v>
      </c>
      <c r="N4081" t="inlineStr">
        <is>
          <t>train</t>
        </is>
      </c>
      <c r="O4081">
        <f>HYPERLINK("4\1\marker_758_535187.png", "Ver Imagen")</f>
        <v/>
      </c>
      <c r="P4081">
        <f>HYPERLINK("NO\A-499\A-499__71.png", "Ver Imagen")</f>
        <v/>
      </c>
    </row>
    <row r="4082">
      <c r="A4082" t="n">
        <v>3628</v>
      </c>
      <c r="B4082" t="inlineStr">
        <is>
          <t>A-497_2C__152</t>
        </is>
      </c>
      <c r="C4082" t="n">
        <v>37.2671720942</v>
      </c>
      <c r="D4082" t="n">
        <v>-6.99173229313</v>
      </c>
      <c r="E4082" t="n">
        <v>4</v>
      </c>
      <c r="F4082" t="n">
        <v>4</v>
      </c>
      <c r="G4082" t="n">
        <v>3</v>
      </c>
      <c r="J4082" t="inlineStr">
        <is>
          <t>Moda</t>
        </is>
      </c>
      <c r="K4082" t="n">
        <v>4</v>
      </c>
      <c r="L4082" t="n">
        <v>3.832</v>
      </c>
      <c r="M4082" t="n">
        <v>0</v>
      </c>
      <c r="N4082" t="inlineStr">
        <is>
          <t>train</t>
        </is>
      </c>
      <c r="O4082">
        <f>HYPERLINK("4\1\marker_383_656021.png", "Ver Imagen")</f>
        <v/>
      </c>
      <c r="P4082">
        <f>HYPERLINK("SE\A-497_2C\A-497_2C__152.png", "Ver Imagen")</f>
        <v/>
      </c>
    </row>
    <row r="4083">
      <c r="A4083" t="n">
        <v>3630</v>
      </c>
      <c r="B4083" t="inlineStr">
        <is>
          <t>A-497_2C__559</t>
        </is>
      </c>
      <c r="C4083" t="n">
        <v>37.2041660832</v>
      </c>
      <c r="D4083" t="n">
        <v>-7.01206556294</v>
      </c>
      <c r="E4083" t="n">
        <v>3</v>
      </c>
      <c r="F4083" t="n">
        <v>4</v>
      </c>
      <c r="G4083" t="n">
        <v>4</v>
      </c>
      <c r="J4083" t="inlineStr">
        <is>
          <t>Moda</t>
        </is>
      </c>
      <c r="K4083" t="n">
        <v>4</v>
      </c>
      <c r="L4083" t="n">
        <v>3.817</v>
      </c>
      <c r="M4083" t="n">
        <v>0</v>
      </c>
      <c r="N4083" t="inlineStr">
        <is>
          <t>train</t>
        </is>
      </c>
      <c r="O4083">
        <f>HYPERLINK("4\1\marker_785_366367.png", "Ver Imagen")</f>
        <v/>
      </c>
      <c r="P4083">
        <f>HYPERLINK("SE\A-497_2C\A-497_2C__559.png", "Ver Imagen")</f>
        <v/>
      </c>
    </row>
    <row r="4084">
      <c r="A4084" t="n">
        <v>3631</v>
      </c>
      <c r="B4084" t="inlineStr">
        <is>
          <t>A-490__23</t>
        </is>
      </c>
      <c r="C4084" t="n">
        <v>37.4466132952</v>
      </c>
      <c r="D4084" t="n">
        <v>-7.13201701077</v>
      </c>
      <c r="E4084" t="n">
        <v>3</v>
      </c>
      <c r="F4084" t="n">
        <v>4</v>
      </c>
      <c r="G4084" t="n">
        <v>4</v>
      </c>
      <c r="J4084" t="inlineStr">
        <is>
          <t>Moda</t>
        </is>
      </c>
      <c r="K4084" t="n">
        <v>4</v>
      </c>
      <c r="L4084" t="n">
        <v>4.026</v>
      </c>
      <c r="M4084" t="n">
        <v>0</v>
      </c>
      <c r="N4084" t="inlineStr">
        <is>
          <t>train</t>
        </is>
      </c>
      <c r="O4084">
        <f>HYPERLINK("4\1\marker_137_730734.png", "Ver Imagen")</f>
        <v/>
      </c>
      <c r="P4084">
        <f>HYPERLINK("NE\A-490\A-490__23.png", "Ver Imagen")</f>
        <v/>
      </c>
    </row>
    <row r="4085">
      <c r="A4085" t="n">
        <v>3633</v>
      </c>
      <c r="B4085" t="inlineStr">
        <is>
          <t>A-490__5</t>
        </is>
      </c>
      <c r="C4085" t="n">
        <v>37.4471879349</v>
      </c>
      <c r="D4085" t="n">
        <v>-7.1274658401</v>
      </c>
      <c r="E4085" t="n">
        <v>4</v>
      </c>
      <c r="F4085" t="n">
        <v>5</v>
      </c>
      <c r="G4085" t="n">
        <v>4</v>
      </c>
      <c r="J4085" t="inlineStr">
        <is>
          <t>Moda</t>
        </is>
      </c>
      <c r="K4085" t="n">
        <v>4</v>
      </c>
      <c r="L4085" t="n">
        <v>3.634</v>
      </c>
      <c r="M4085" t="n">
        <v>0</v>
      </c>
      <c r="N4085" t="inlineStr">
        <is>
          <t>train</t>
        </is>
      </c>
      <c r="O4085">
        <f>HYPERLINK("4\1\marker_303_667472.png", "Ver Imagen")</f>
        <v/>
      </c>
      <c r="P4085">
        <f>HYPERLINK("NE\A-490\A-490__5.png", "Ver Imagen")</f>
        <v/>
      </c>
    </row>
    <row r="4086">
      <c r="A4086" t="n">
        <v>3634</v>
      </c>
      <c r="B4086" t="inlineStr">
        <is>
          <t>A-490__6</t>
        </is>
      </c>
      <c r="C4086" t="n">
        <v>37.4471589601</v>
      </c>
      <c r="D4086" t="n">
        <v>-7.12774900447</v>
      </c>
      <c r="E4086" t="n">
        <v>4</v>
      </c>
      <c r="F4086" t="n">
        <v>4</v>
      </c>
      <c r="G4086" t="n">
        <v>3</v>
      </c>
      <c r="J4086" t="inlineStr">
        <is>
          <t>Moda</t>
        </is>
      </c>
      <c r="K4086" t="n">
        <v>4</v>
      </c>
      <c r="L4086" t="n">
        <v>3.629</v>
      </c>
      <c r="M4086" t="n">
        <v>0</v>
      </c>
      <c r="N4086" t="inlineStr">
        <is>
          <t>train</t>
        </is>
      </c>
      <c r="O4086">
        <f>HYPERLINK("4\1\marker_462_724787.png", "Ver Imagen")</f>
        <v/>
      </c>
      <c r="P4086">
        <f>HYPERLINK("NE\A-490\A-490__6.png", "Ver Imagen")</f>
        <v/>
      </c>
    </row>
    <row r="4087">
      <c r="A4087" t="n">
        <v>3635</v>
      </c>
      <c r="B4087" t="inlineStr">
        <is>
          <t>A-490__11</t>
        </is>
      </c>
      <c r="C4087" t="n">
        <v>37.4471450717</v>
      </c>
      <c r="D4087" t="n">
        <v>-7.12896618092</v>
      </c>
      <c r="E4087" t="n">
        <v>4</v>
      </c>
      <c r="F4087" t="n">
        <v>5</v>
      </c>
      <c r="G4087" t="n">
        <v>4</v>
      </c>
      <c r="J4087" t="inlineStr">
        <is>
          <t>Moda</t>
        </is>
      </c>
      <c r="K4087" t="n">
        <v>4</v>
      </c>
      <c r="L4087" t="n">
        <v>3.515</v>
      </c>
      <c r="M4087" t="n">
        <v>0</v>
      </c>
      <c r="N4087" t="inlineStr">
        <is>
          <t>train</t>
        </is>
      </c>
      <c r="O4087">
        <f>HYPERLINK("4\1\marker_481_726083.png", "Ver Imagen")</f>
        <v/>
      </c>
      <c r="P4087">
        <f>HYPERLINK("NE\A-490\A-490__11.png", "Ver Imagen")</f>
        <v/>
      </c>
    </row>
    <row r="4088">
      <c r="A4088" t="n">
        <v>3637</v>
      </c>
      <c r="B4088" t="inlineStr">
        <is>
          <t>A-490__16</t>
        </is>
      </c>
      <c r="C4088" t="n">
        <v>37.4469835928</v>
      </c>
      <c r="D4088" t="n">
        <v>-7.13023226812</v>
      </c>
      <c r="E4088" t="n">
        <v>4</v>
      </c>
      <c r="F4088" t="n">
        <v>5</v>
      </c>
      <c r="G4088" t="n">
        <v>4</v>
      </c>
      <c r="J4088" t="inlineStr">
        <is>
          <t>Moda</t>
        </is>
      </c>
      <c r="K4088" t="n">
        <v>4</v>
      </c>
      <c r="L4088" t="n">
        <v>3.73</v>
      </c>
      <c r="M4088" t="n">
        <v>0</v>
      </c>
      <c r="N4088" t="inlineStr">
        <is>
          <t>train</t>
        </is>
      </c>
      <c r="O4088">
        <f>HYPERLINK("4\1\marker_333_728175.png", "Ver Imagen")</f>
        <v/>
      </c>
      <c r="P4088">
        <f>HYPERLINK("NE\A-490\A-490__16.png", "Ver Imagen")</f>
        <v/>
      </c>
    </row>
    <row r="4089">
      <c r="A4089" t="n">
        <v>3638</v>
      </c>
      <c r="B4089" t="inlineStr">
        <is>
          <t>A-490__72</t>
        </is>
      </c>
      <c r="C4089" t="n">
        <v>37.4485094024</v>
      </c>
      <c r="D4089" t="n">
        <v>-7.14374260633</v>
      </c>
      <c r="E4089" t="n">
        <v>3</v>
      </c>
      <c r="F4089" t="n">
        <v>4</v>
      </c>
      <c r="G4089" t="n">
        <v>4</v>
      </c>
      <c r="J4089" t="inlineStr">
        <is>
          <t>Moda</t>
        </is>
      </c>
      <c r="K4089" t="n">
        <v>4</v>
      </c>
      <c r="L4089" t="n">
        <v>3.635</v>
      </c>
      <c r="M4089" t="n">
        <v>0</v>
      </c>
      <c r="N4089" t="inlineStr">
        <is>
          <t>train</t>
        </is>
      </c>
      <c r="O4089">
        <f>HYPERLINK("4\1\marker_983_738217.png", "Ver Imagen")</f>
        <v/>
      </c>
      <c r="P4089">
        <f>HYPERLINK("NE\A-490\A-490__72.png", "Ver Imagen")</f>
        <v/>
      </c>
    </row>
    <row r="4090">
      <c r="A4090" t="n">
        <v>3639</v>
      </c>
      <c r="B4090" t="inlineStr">
        <is>
          <t>A-490__77</t>
        </is>
      </c>
      <c r="C4090" t="n">
        <v>37.4485810968</v>
      </c>
      <c r="D4090" t="n">
        <v>-7.14497038354</v>
      </c>
      <c r="E4090" t="n">
        <v>3</v>
      </c>
      <c r="F4090" t="n">
        <v>4</v>
      </c>
      <c r="G4090" t="n">
        <v>4</v>
      </c>
      <c r="J4090" t="inlineStr">
        <is>
          <t>Moda</t>
        </is>
      </c>
      <c r="K4090" t="n">
        <v>4</v>
      </c>
      <c r="L4090" t="n">
        <v>3.846</v>
      </c>
      <c r="M4090" t="n">
        <v>0</v>
      </c>
      <c r="N4090" t="inlineStr">
        <is>
          <t>val</t>
        </is>
      </c>
      <c r="O4090">
        <f>HYPERLINK("4\1\marker_197_738520.png", "Ver Imagen")</f>
        <v/>
      </c>
      <c r="P4090">
        <f>HYPERLINK("NE\A-490\A-490__77.png", "Ver Imagen")</f>
        <v/>
      </c>
    </row>
    <row r="4091">
      <c r="A4091" t="n">
        <v>3640</v>
      </c>
      <c r="B4091" t="inlineStr">
        <is>
          <t>A-490__78</t>
        </is>
      </c>
      <c r="C4091" t="n">
        <v>37.44859407</v>
      </c>
      <c r="D4091" t="n">
        <v>-7.14518579622</v>
      </c>
      <c r="E4091" t="n">
        <v>3</v>
      </c>
      <c r="F4091" t="n">
        <v>4</v>
      </c>
      <c r="G4091" t="n">
        <v>4</v>
      </c>
      <c r="J4091" t="inlineStr">
        <is>
          <t>Moda</t>
        </is>
      </c>
      <c r="K4091" t="n">
        <v>4</v>
      </c>
      <c r="L4091" t="n">
        <v>3.654</v>
      </c>
      <c r="M4091" t="n">
        <v>0</v>
      </c>
      <c r="N4091" t="inlineStr">
        <is>
          <t>train</t>
        </is>
      </c>
      <c r="O4091">
        <f>HYPERLINK("4\1\marker_771_738559.png", "Ver Imagen")</f>
        <v/>
      </c>
      <c r="P4091">
        <f>HYPERLINK("NE\A-490\A-490__78.png", "Ver Imagen")</f>
        <v/>
      </c>
    </row>
    <row r="4092">
      <c r="A4092" t="n">
        <v>3641</v>
      </c>
      <c r="B4092" t="inlineStr">
        <is>
          <t>A-490__102</t>
        </is>
      </c>
      <c r="C4092" t="n">
        <v>37.4493572669</v>
      </c>
      <c r="D4092" t="n">
        <v>-7.15114186203</v>
      </c>
      <c r="E4092" t="n">
        <v>3</v>
      </c>
      <c r="F4092" t="n">
        <v>4</v>
      </c>
      <c r="G4092" t="n">
        <v>4</v>
      </c>
      <c r="J4092" t="inlineStr">
        <is>
          <t>Moda</t>
        </is>
      </c>
      <c r="K4092" t="n">
        <v>4</v>
      </c>
      <c r="L4092" t="n">
        <v>3.701</v>
      </c>
      <c r="M4092" t="n">
        <v>0</v>
      </c>
      <c r="N4092" t="inlineStr">
        <is>
          <t>train</t>
        </is>
      </c>
      <c r="O4092">
        <f>HYPERLINK("4\1\marker_726_739592.png", "Ver Imagen")</f>
        <v/>
      </c>
      <c r="P4092">
        <f>HYPERLINK("NE\A-490\A-490__102.png", "Ver Imagen")</f>
        <v/>
      </c>
    </row>
    <row r="4093">
      <c r="A4093" t="n">
        <v>3642</v>
      </c>
      <c r="B4093" t="inlineStr">
        <is>
          <t>A-490__103</t>
        </is>
      </c>
      <c r="C4093" t="n">
        <v>37.4494601518</v>
      </c>
      <c r="D4093" t="n">
        <v>-7.15135952432</v>
      </c>
      <c r="E4093" t="n">
        <v>3</v>
      </c>
      <c r="F4093" t="n">
        <v>4</v>
      </c>
      <c r="G4093" t="n">
        <v>4</v>
      </c>
      <c r="J4093" t="inlineStr">
        <is>
          <t>Moda</t>
        </is>
      </c>
      <c r="K4093" t="n">
        <v>4</v>
      </c>
      <c r="L4093" t="n">
        <v>3.647</v>
      </c>
      <c r="M4093" t="n">
        <v>0</v>
      </c>
      <c r="N4093" t="inlineStr">
        <is>
          <t>train</t>
        </is>
      </c>
      <c r="O4093">
        <f>HYPERLINK("4\1\marker_840_739608.png", "Ver Imagen")</f>
        <v/>
      </c>
      <c r="P4093">
        <f>HYPERLINK("NE\A-490\A-490__103.png", "Ver Imagen")</f>
        <v/>
      </c>
    </row>
    <row r="4094">
      <c r="A4094" t="n">
        <v>3643</v>
      </c>
      <c r="B4094" t="inlineStr">
        <is>
          <t>A-490__104</t>
        </is>
      </c>
      <c r="C4094" t="n">
        <v>37.4495751308</v>
      </c>
      <c r="D4094" t="n">
        <v>-7.15156447309</v>
      </c>
      <c r="E4094" t="n">
        <v>4</v>
      </c>
      <c r="F4094" t="n">
        <v>4</v>
      </c>
      <c r="G4094" t="n">
        <v>5</v>
      </c>
      <c r="J4094" t="inlineStr">
        <is>
          <t>Moda</t>
        </is>
      </c>
      <c r="K4094" t="n">
        <v>4</v>
      </c>
      <c r="L4094" t="n">
        <v>3.755</v>
      </c>
      <c r="M4094" t="n">
        <v>0</v>
      </c>
      <c r="N4094" t="inlineStr">
        <is>
          <t>train</t>
        </is>
      </c>
      <c r="O4094">
        <f>HYPERLINK("4\1\marker_695_739634.png", "Ver Imagen")</f>
        <v/>
      </c>
      <c r="P4094">
        <f>HYPERLINK("NE\A-490\A-490__104.png", "Ver Imagen")</f>
        <v/>
      </c>
    </row>
    <row r="4095">
      <c r="A4095" t="n">
        <v>3644</v>
      </c>
      <c r="B4095" t="inlineStr">
        <is>
          <t>A-490__221</t>
        </is>
      </c>
      <c r="C4095" t="n">
        <v>37.4624328424</v>
      </c>
      <c r="D4095" t="n">
        <v>-7.17583827658</v>
      </c>
      <c r="E4095" t="n">
        <v>3</v>
      </c>
      <c r="F4095" t="n">
        <v>4</v>
      </c>
      <c r="G4095" t="n">
        <v>4</v>
      </c>
      <c r="J4095" t="inlineStr">
        <is>
          <t>Moda</t>
        </is>
      </c>
      <c r="K4095" t="n">
        <v>4</v>
      </c>
      <c r="L4095" t="n">
        <v>3.756</v>
      </c>
      <c r="M4095" t="n">
        <v>0</v>
      </c>
      <c r="N4095" t="inlineStr">
        <is>
          <t>train</t>
        </is>
      </c>
      <c r="O4095">
        <f>HYPERLINK("4\1\marker_761_743400.png", "Ver Imagen")</f>
        <v/>
      </c>
      <c r="P4095">
        <f>HYPERLINK("NE\A-490\A-490__221.png", "Ver Imagen")</f>
        <v/>
      </c>
    </row>
    <row r="4096">
      <c r="A4096" t="n">
        <v>3646</v>
      </c>
      <c r="B4096" t="inlineStr">
        <is>
          <t>A-490__206</t>
        </is>
      </c>
      <c r="C4096" t="n">
        <v>37.4606036355</v>
      </c>
      <c r="D4096" t="n">
        <v>-7.17282770506</v>
      </c>
      <c r="E4096" t="n">
        <v>3</v>
      </c>
      <c r="F4096" t="n">
        <v>4</v>
      </c>
      <c r="G4096" t="n">
        <v>4</v>
      </c>
      <c r="J4096" t="inlineStr">
        <is>
          <t>Moda</t>
        </is>
      </c>
      <c r="K4096" t="n">
        <v>4</v>
      </c>
      <c r="L4096" t="n">
        <v>3.59</v>
      </c>
      <c r="M4096" t="n">
        <v>0</v>
      </c>
      <c r="N4096" t="inlineStr">
        <is>
          <t>train</t>
        </is>
      </c>
      <c r="O4096">
        <f>HYPERLINK("4\1\marker_943_742505.png", "Ver Imagen")</f>
        <v/>
      </c>
      <c r="P4096">
        <f>HYPERLINK("NE\A-490\A-490__206.png", "Ver Imagen")</f>
        <v/>
      </c>
    </row>
    <row r="4097">
      <c r="A4097" t="n">
        <v>3647</v>
      </c>
      <c r="B4097" t="inlineStr">
        <is>
          <t>A-490__222</t>
        </is>
      </c>
      <c r="C4097" t="n">
        <v>37.462543341</v>
      </c>
      <c r="D4097" t="n">
        <v>-7.17601807431</v>
      </c>
      <c r="E4097" t="n">
        <v>3</v>
      </c>
      <c r="F4097" t="n">
        <v>4</v>
      </c>
      <c r="G4097" t="n">
        <v>4</v>
      </c>
      <c r="J4097" t="inlineStr">
        <is>
          <t>Moda</t>
        </is>
      </c>
      <c r="K4097" t="n">
        <v>4</v>
      </c>
      <c r="L4097" t="n">
        <v>3.88</v>
      </c>
      <c r="M4097" t="n">
        <v>0</v>
      </c>
      <c r="N4097" t="inlineStr">
        <is>
          <t>train</t>
        </is>
      </c>
      <c r="O4097">
        <f>HYPERLINK("4\1\marker_501_743597.png", "Ver Imagen")</f>
        <v/>
      </c>
      <c r="P4097">
        <f>HYPERLINK("NE\A-490\A-490__222.png", "Ver Imagen")</f>
        <v/>
      </c>
    </row>
    <row r="4098">
      <c r="A4098" t="n">
        <v>3648</v>
      </c>
      <c r="B4098" t="inlineStr">
        <is>
          <t>A-490__233</t>
        </is>
      </c>
      <c r="C4098" t="n">
        <v>37.4638844926</v>
      </c>
      <c r="D4098" t="n">
        <v>-7.17829651647</v>
      </c>
      <c r="E4098" t="n">
        <v>3</v>
      </c>
      <c r="F4098" t="n">
        <v>4</v>
      </c>
      <c r="G4098" t="n">
        <v>4</v>
      </c>
      <c r="J4098" t="inlineStr">
        <is>
          <t>Moda</t>
        </is>
      </c>
      <c r="K4098" t="n">
        <v>4</v>
      </c>
      <c r="L4098" t="n">
        <v>3.546</v>
      </c>
      <c r="M4098" t="n">
        <v>0</v>
      </c>
      <c r="N4098" t="inlineStr">
        <is>
          <t>train</t>
        </is>
      </c>
      <c r="O4098">
        <f>HYPERLINK("4\1\marker_447_743903.png", "Ver Imagen")</f>
        <v/>
      </c>
      <c r="P4098">
        <f>HYPERLINK("NE\A-490\A-490__233.png", "Ver Imagen")</f>
        <v/>
      </c>
    </row>
    <row r="4099">
      <c r="A4099" t="n">
        <v>3650</v>
      </c>
      <c r="B4099" t="inlineStr">
        <is>
          <t>A-490__239</t>
        </is>
      </c>
      <c r="C4099" t="n">
        <v>37.4645842024</v>
      </c>
      <c r="D4099" t="n">
        <v>-7.1795713624</v>
      </c>
      <c r="E4099" t="n">
        <v>3</v>
      </c>
      <c r="F4099" t="n">
        <v>4</v>
      </c>
      <c r="G4099" t="n">
        <v>4</v>
      </c>
      <c r="J4099" t="inlineStr">
        <is>
          <t>Moda</t>
        </is>
      </c>
      <c r="K4099" t="n">
        <v>4</v>
      </c>
      <c r="L4099" t="n">
        <v>4.041</v>
      </c>
      <c r="M4099" t="n">
        <v>0</v>
      </c>
      <c r="N4099" t="inlineStr">
        <is>
          <t>train</t>
        </is>
      </c>
      <c r="O4099">
        <f>HYPERLINK("4\1\marker_264_744128.png", "Ver Imagen")</f>
        <v/>
      </c>
      <c r="P4099">
        <f>HYPERLINK("NE\A-490\A-490__239.png", "Ver Imagen")</f>
        <v/>
      </c>
    </row>
    <row r="4100">
      <c r="A4100" t="n">
        <v>3651</v>
      </c>
      <c r="B4100" t="inlineStr">
        <is>
          <t>A-490__241</t>
        </is>
      </c>
      <c r="C4100" t="n">
        <v>37.4648406133</v>
      </c>
      <c r="D4100" t="n">
        <v>-7.18001521949</v>
      </c>
      <c r="E4100" t="n">
        <v>4</v>
      </c>
      <c r="F4100" t="n">
        <v>4</v>
      </c>
      <c r="G4100" t="n">
        <v>5</v>
      </c>
      <c r="J4100" t="inlineStr">
        <is>
          <t>Moda</t>
        </is>
      </c>
      <c r="K4100" t="n">
        <v>4</v>
      </c>
      <c r="L4100" t="n">
        <v>3.977</v>
      </c>
      <c r="M4100" t="n">
        <v>0</v>
      </c>
      <c r="N4100" t="inlineStr">
        <is>
          <t>train</t>
        </is>
      </c>
      <c r="O4100">
        <f>HYPERLINK("4\1\marker_109_749198.png", "Ver Imagen")</f>
        <v/>
      </c>
      <c r="P4100">
        <f>HYPERLINK("NE\A-490\A-490__241.png", "Ver Imagen")</f>
        <v/>
      </c>
    </row>
    <row r="4101">
      <c r="A4101" t="n">
        <v>3652</v>
      </c>
      <c r="B4101" t="inlineStr">
        <is>
          <t>A-490__242</t>
        </is>
      </c>
      <c r="C4101" t="n">
        <v>37.4649700932</v>
      </c>
      <c r="D4101" t="n">
        <v>-7.18025145709</v>
      </c>
      <c r="E4101" t="n">
        <v>4</v>
      </c>
      <c r="F4101" t="n">
        <v>4</v>
      </c>
      <c r="G4101" t="n">
        <v>5</v>
      </c>
      <c r="J4101" t="inlineStr">
        <is>
          <t>Moda</t>
        </is>
      </c>
      <c r="K4101" t="n">
        <v>4</v>
      </c>
      <c r="L4101" t="n">
        <v>3.865</v>
      </c>
      <c r="M4101" t="n">
        <v>0</v>
      </c>
      <c r="N4101" t="inlineStr">
        <is>
          <t>test</t>
        </is>
      </c>
      <c r="O4101">
        <f>HYPERLINK("4\1\marker_740_749219.png", "Ver Imagen")</f>
        <v/>
      </c>
      <c r="P4101">
        <f>HYPERLINK("NE\A-490\A-490__242.png", "Ver Imagen")</f>
        <v/>
      </c>
    </row>
    <row r="4102">
      <c r="A4102" t="n">
        <v>3653</v>
      </c>
      <c r="B4102" t="inlineStr">
        <is>
          <t>A-490__254</t>
        </is>
      </c>
      <c r="C4102" t="n">
        <v>37.4663056453</v>
      </c>
      <c r="D4102" t="n">
        <v>-7.18274046835</v>
      </c>
      <c r="E4102" t="n">
        <v>3</v>
      </c>
      <c r="F4102" t="n">
        <v>4</v>
      </c>
      <c r="G4102" t="n">
        <v>4</v>
      </c>
      <c r="J4102" t="inlineStr">
        <is>
          <t>Moda</t>
        </is>
      </c>
      <c r="K4102" t="n">
        <v>4</v>
      </c>
      <c r="L4102" t="n">
        <v>3.72</v>
      </c>
      <c r="M4102" t="n">
        <v>0</v>
      </c>
      <c r="N4102" t="inlineStr">
        <is>
          <t>val</t>
        </is>
      </c>
      <c r="O4102">
        <f>HYPERLINK("4\1\marker_451_749584.png", "Ver Imagen")</f>
        <v/>
      </c>
      <c r="P4102">
        <f>HYPERLINK("NE\A-490\A-490__254.png", "Ver Imagen")</f>
        <v/>
      </c>
    </row>
    <row r="4103">
      <c r="A4103" t="n">
        <v>3653</v>
      </c>
      <c r="B4103" t="inlineStr">
        <is>
          <t>A-490__254</t>
        </is>
      </c>
      <c r="C4103" t="n">
        <v>37.4663056453</v>
      </c>
      <c r="D4103" t="n">
        <v>-7.18274046835</v>
      </c>
      <c r="E4103" t="n">
        <v>3</v>
      </c>
      <c r="F4103" t="n">
        <v>4</v>
      </c>
      <c r="G4103" t="n">
        <v>4</v>
      </c>
      <c r="J4103" t="inlineStr">
        <is>
          <t>Moda</t>
        </is>
      </c>
      <c r="K4103" t="n">
        <v>4</v>
      </c>
      <c r="L4103" t="n">
        <v>3.523</v>
      </c>
      <c r="M4103" t="n">
        <v>0</v>
      </c>
      <c r="N4103" t="inlineStr">
        <is>
          <t>val</t>
        </is>
      </c>
      <c r="O4103">
        <f>HYPERLINK("4\1\marker_451_749584.png", "Ver Imagen")</f>
        <v/>
      </c>
      <c r="P4103">
        <f>HYPERLINK("NO\A-490\A-490__254.png", "Ver Imagen")</f>
        <v/>
      </c>
    </row>
    <row r="4104">
      <c r="A4104" t="n">
        <v>3654</v>
      </c>
      <c r="B4104" t="inlineStr">
        <is>
          <t>A-490__259</t>
        </is>
      </c>
      <c r="C4104" t="n">
        <v>37.4668474219</v>
      </c>
      <c r="D4104" t="n">
        <v>-7.1837829048</v>
      </c>
      <c r="E4104" t="n">
        <v>3</v>
      </c>
      <c r="F4104" t="n">
        <v>4</v>
      </c>
      <c r="G4104" t="n">
        <v>4</v>
      </c>
      <c r="J4104" t="inlineStr">
        <is>
          <t>Moda</t>
        </is>
      </c>
      <c r="K4104" t="n">
        <v>4</v>
      </c>
      <c r="L4104" t="n">
        <v>3.956</v>
      </c>
      <c r="M4104" t="n">
        <v>0</v>
      </c>
      <c r="N4104" t="inlineStr">
        <is>
          <t>train</t>
        </is>
      </c>
      <c r="O4104">
        <f>HYPERLINK("4\1\marker_787_749682.png", "Ver Imagen")</f>
        <v/>
      </c>
      <c r="P4104">
        <f>HYPERLINK("NE\A-490\A-490__259.png", "Ver Imagen")</f>
        <v/>
      </c>
    </row>
    <row r="4105">
      <c r="A4105" t="n">
        <v>3654</v>
      </c>
      <c r="B4105" t="inlineStr">
        <is>
          <t>A-490__259</t>
        </is>
      </c>
      <c r="C4105" t="n">
        <v>37.4668474219</v>
      </c>
      <c r="D4105" t="n">
        <v>-7.1837829048</v>
      </c>
      <c r="E4105" t="n">
        <v>3</v>
      </c>
      <c r="F4105" t="n">
        <v>4</v>
      </c>
      <c r="G4105" t="n">
        <v>4</v>
      </c>
      <c r="J4105" t="inlineStr">
        <is>
          <t>Moda</t>
        </is>
      </c>
      <c r="K4105" t="n">
        <v>4</v>
      </c>
      <c r="L4105" t="n">
        <v>4.46</v>
      </c>
      <c r="M4105" t="n">
        <v>0</v>
      </c>
      <c r="N4105" t="inlineStr">
        <is>
          <t>train</t>
        </is>
      </c>
      <c r="O4105">
        <f>HYPERLINK("4\1\marker_787_749682.png", "Ver Imagen")</f>
        <v/>
      </c>
      <c r="P4105">
        <f>HYPERLINK("NO\A-490\A-490__259.png", "Ver Imagen")</f>
        <v/>
      </c>
    </row>
    <row r="4106">
      <c r="A4106" t="n">
        <v>3655</v>
      </c>
      <c r="B4106" t="inlineStr">
        <is>
          <t>A-490__261</t>
        </is>
      </c>
      <c r="C4106" t="n">
        <v>37.4670499443</v>
      </c>
      <c r="D4106" t="n">
        <v>-7.18419336941</v>
      </c>
      <c r="E4106" t="n">
        <v>3</v>
      </c>
      <c r="F4106" t="n">
        <v>4</v>
      </c>
      <c r="G4106" t="n">
        <v>4</v>
      </c>
      <c r="J4106" t="inlineStr">
        <is>
          <t>Moda</t>
        </is>
      </c>
      <c r="K4106" t="n">
        <v>4</v>
      </c>
      <c r="L4106" t="n">
        <v>4.247</v>
      </c>
      <c r="M4106" t="n">
        <v>0</v>
      </c>
      <c r="N4106" t="inlineStr">
        <is>
          <t>val</t>
        </is>
      </c>
      <c r="O4106">
        <f>HYPERLINK("4\1\marker_244_749729.png", "Ver Imagen")</f>
        <v/>
      </c>
      <c r="P4106">
        <f>HYPERLINK("NO\A-490\A-490__261.png", "Ver Imagen")</f>
        <v/>
      </c>
    </row>
    <row r="4107">
      <c r="A4107" t="n">
        <v>3658</v>
      </c>
      <c r="B4107" t="inlineStr">
        <is>
          <t>A-492__32</t>
        </is>
      </c>
      <c r="C4107" t="n">
        <v>37.2772526837</v>
      </c>
      <c r="D4107" t="n">
        <v>-6.99197857082</v>
      </c>
      <c r="E4107" t="n">
        <v>3</v>
      </c>
      <c r="F4107" t="n">
        <v>4</v>
      </c>
      <c r="G4107" t="n">
        <v>4</v>
      </c>
      <c r="J4107" t="inlineStr">
        <is>
          <t>Moda</t>
        </is>
      </c>
      <c r="K4107" t="n">
        <v>4</v>
      </c>
      <c r="L4107" t="n">
        <v>3.642</v>
      </c>
      <c r="M4107" t="n">
        <v>0</v>
      </c>
      <c r="N4107" t="inlineStr">
        <is>
          <t>train</t>
        </is>
      </c>
      <c r="O4107">
        <f>HYPERLINK("4\1\marker_834_822576.png", "Ver Imagen")</f>
        <v/>
      </c>
      <c r="P4107">
        <f>HYPERLINK("SE\A-492\A-492__32.png", "Ver Imagen")</f>
        <v/>
      </c>
    </row>
    <row r="4108">
      <c r="A4108" t="n">
        <v>3659</v>
      </c>
      <c r="B4108" t="inlineStr">
        <is>
          <t>A-492__34</t>
        </is>
      </c>
      <c r="C4108" t="n">
        <v>37.2775633947</v>
      </c>
      <c r="D4108" t="n">
        <v>-6.99225258973</v>
      </c>
      <c r="E4108" t="n">
        <v>4</v>
      </c>
      <c r="F4108" t="n">
        <v>4</v>
      </c>
      <c r="G4108" t="n">
        <v>3</v>
      </c>
      <c r="J4108" t="inlineStr">
        <is>
          <t>Moda</t>
        </is>
      </c>
      <c r="K4108" t="n">
        <v>4</v>
      </c>
      <c r="L4108" t="n">
        <v>3.635</v>
      </c>
      <c r="M4108" t="n">
        <v>0</v>
      </c>
      <c r="N4108" t="inlineStr">
        <is>
          <t>train</t>
        </is>
      </c>
      <c r="O4108">
        <f>HYPERLINK("4\1\marker_516_822642.png", "Ver Imagen")</f>
        <v/>
      </c>
      <c r="P4108">
        <f>HYPERLINK("SE\A-492\A-492__34.png", "Ver Imagen")</f>
        <v/>
      </c>
    </row>
    <row r="4109">
      <c r="A4109" t="n">
        <v>3660</v>
      </c>
      <c r="B4109" t="inlineStr">
        <is>
          <t>A-492__36</t>
        </is>
      </c>
      <c r="C4109" t="n">
        <v>37.2778885213</v>
      </c>
      <c r="D4109" t="n">
        <v>-6.99255555898</v>
      </c>
      <c r="E4109" t="n">
        <v>4</v>
      </c>
      <c r="F4109" t="n">
        <v>5</v>
      </c>
      <c r="G4109" t="n">
        <v>4</v>
      </c>
      <c r="J4109" t="inlineStr">
        <is>
          <t>Moda</t>
        </is>
      </c>
      <c r="K4109" t="n">
        <v>4</v>
      </c>
      <c r="L4109" t="n">
        <v>3.868</v>
      </c>
      <c r="M4109" t="n">
        <v>0</v>
      </c>
      <c r="N4109" t="inlineStr">
        <is>
          <t>train</t>
        </is>
      </c>
      <c r="O4109">
        <f>HYPERLINK("4\1\marker_314_822805.png", "Ver Imagen")</f>
        <v/>
      </c>
      <c r="P4109">
        <f>HYPERLINK("SE\A-492\A-492__36.png", "Ver Imagen")</f>
        <v/>
      </c>
    </row>
    <row r="4110">
      <c r="A4110" t="n">
        <v>3663</v>
      </c>
      <c r="B4110" t="inlineStr">
        <is>
          <t>A-492__70</t>
        </is>
      </c>
      <c r="C4110" t="n">
        <v>37.2804510363</v>
      </c>
      <c r="D4110" t="n">
        <v>-7.00013812526</v>
      </c>
      <c r="E4110" t="n">
        <v>3</v>
      </c>
      <c r="F4110" t="n">
        <v>4</v>
      </c>
      <c r="G4110" t="n">
        <v>4</v>
      </c>
      <c r="J4110" t="inlineStr">
        <is>
          <t>Moda</t>
        </is>
      </c>
      <c r="K4110" t="n">
        <v>4</v>
      </c>
      <c r="L4110" t="n">
        <v>3.89</v>
      </c>
      <c r="M4110" t="n">
        <v>0</v>
      </c>
      <c r="N4110" t="inlineStr">
        <is>
          <t>train</t>
        </is>
      </c>
      <c r="O4110">
        <f>HYPERLINK("4\1\marker_637_823288.png", "Ver Imagen")</f>
        <v/>
      </c>
      <c r="P4110">
        <f>HYPERLINK("SE\A-492\A-492__70.png", "Ver Imagen")</f>
        <v/>
      </c>
    </row>
    <row r="4111">
      <c r="A4111" t="n">
        <v>3664</v>
      </c>
      <c r="B4111" t="inlineStr">
        <is>
          <t>A-492__73</t>
        </is>
      </c>
      <c r="C4111" t="n">
        <v>37.2805234715</v>
      </c>
      <c r="D4111" t="n">
        <v>-7.00091844939</v>
      </c>
      <c r="E4111" t="n">
        <v>3</v>
      </c>
      <c r="F4111" t="n">
        <v>4</v>
      </c>
      <c r="G4111" t="n">
        <v>4</v>
      </c>
      <c r="J4111" t="inlineStr">
        <is>
          <t>Moda</t>
        </is>
      </c>
      <c r="K4111" t="n">
        <v>4</v>
      </c>
      <c r="L4111" t="n">
        <v>3.684</v>
      </c>
      <c r="M4111" t="n">
        <v>0</v>
      </c>
      <c r="N4111" t="inlineStr">
        <is>
          <t>train</t>
        </is>
      </c>
      <c r="O4111">
        <f>HYPERLINK("4\1\marker_272_823376.png", "Ver Imagen")</f>
        <v/>
      </c>
      <c r="P4111">
        <f>HYPERLINK("SE\A-492\A-492__73.png", "Ver Imagen")</f>
        <v/>
      </c>
    </row>
    <row r="4112">
      <c r="A4112" t="n">
        <v>3665</v>
      </c>
      <c r="B4112" t="inlineStr">
        <is>
          <t>A-492__114</t>
        </is>
      </c>
      <c r="C4112" t="n">
        <v>37.2781881874</v>
      </c>
      <c r="D4112" t="n">
        <v>-7.01038253316</v>
      </c>
      <c r="E4112" t="n">
        <v>3</v>
      </c>
      <c r="F4112" t="n">
        <v>4</v>
      </c>
      <c r="G4112" t="n">
        <v>4</v>
      </c>
      <c r="J4112" t="inlineStr">
        <is>
          <t>Moda</t>
        </is>
      </c>
      <c r="K4112" t="n">
        <v>4</v>
      </c>
      <c r="L4112" t="n">
        <v>3.916</v>
      </c>
      <c r="M4112" t="n">
        <v>0</v>
      </c>
      <c r="N4112" t="inlineStr">
        <is>
          <t>train</t>
        </is>
      </c>
      <c r="O4112">
        <f>HYPERLINK("4\1\marker_580_824337.png", "Ver Imagen")</f>
        <v/>
      </c>
      <c r="P4112">
        <f>HYPERLINK("SE\A-492\A-492__114.png", "Ver Imagen")</f>
        <v/>
      </c>
    </row>
    <row r="4113">
      <c r="A4113" t="n">
        <v>3666</v>
      </c>
      <c r="B4113" t="inlineStr">
        <is>
          <t>A-492__126</t>
        </is>
      </c>
      <c r="C4113" t="n">
        <v>37.276816647</v>
      </c>
      <c r="D4113" t="n">
        <v>-7.01288939979</v>
      </c>
      <c r="E4113" t="n">
        <v>3</v>
      </c>
      <c r="F4113" t="n">
        <v>4</v>
      </c>
      <c r="G4113" t="n">
        <v>4</v>
      </c>
      <c r="J4113" t="inlineStr">
        <is>
          <t>Moda</t>
        </is>
      </c>
      <c r="K4113" t="n">
        <v>4</v>
      </c>
      <c r="L4113" t="n">
        <v>3.759</v>
      </c>
      <c r="M4113" t="n">
        <v>0</v>
      </c>
      <c r="N4113" t="inlineStr">
        <is>
          <t>train</t>
        </is>
      </c>
      <c r="O4113">
        <f>HYPERLINK("4\1\marker_211_824490.png", "Ver Imagen")</f>
        <v/>
      </c>
      <c r="P4113">
        <f>HYPERLINK("SE\A-492\A-492__126.png", "Ver Imagen")</f>
        <v/>
      </c>
    </row>
    <row r="4114">
      <c r="A4114" t="n">
        <v>3667</v>
      </c>
      <c r="B4114" t="inlineStr">
        <is>
          <t>A-492__480</t>
        </is>
      </c>
      <c r="C4114" t="n">
        <v>37.3193613742</v>
      </c>
      <c r="D4114" t="n">
        <v>-7.07149589041</v>
      </c>
      <c r="E4114" t="n">
        <v>3</v>
      </c>
      <c r="F4114" t="n">
        <v>4</v>
      </c>
      <c r="G4114" t="n">
        <v>4</v>
      </c>
      <c r="J4114" t="inlineStr">
        <is>
          <t>Moda</t>
        </is>
      </c>
      <c r="K4114" t="n">
        <v>4</v>
      </c>
      <c r="L4114" t="n">
        <v>3.56</v>
      </c>
      <c r="M4114" t="n">
        <v>0</v>
      </c>
      <c r="N4114" t="inlineStr">
        <is>
          <t>train</t>
        </is>
      </c>
      <c r="O4114">
        <f>HYPERLINK("4\1\marker_564_840158.png", "Ver Imagen")</f>
        <v/>
      </c>
      <c r="P4114">
        <f>HYPERLINK("SE\A-492\A-492__480.png", "Ver Imagen")</f>
        <v/>
      </c>
    </row>
    <row r="4115">
      <c r="A4115" t="n">
        <v>3668</v>
      </c>
      <c r="B4115" t="inlineStr">
        <is>
          <t>A-495R__55</t>
        </is>
      </c>
      <c r="C4115" t="n">
        <v>37.4552028892</v>
      </c>
      <c r="D4115" t="n">
        <v>-7.11321969714</v>
      </c>
      <c r="E4115" t="n">
        <v>4</v>
      </c>
      <c r="F4115" t="n">
        <v>4</v>
      </c>
      <c r="G4115" t="n">
        <v>5</v>
      </c>
      <c r="J4115" t="inlineStr">
        <is>
          <t>Moda</t>
        </is>
      </c>
      <c r="K4115" t="n">
        <v>4</v>
      </c>
      <c r="L4115" t="n">
        <v>3.925</v>
      </c>
      <c r="M4115" t="n">
        <v>0</v>
      </c>
      <c r="N4115" t="inlineStr">
        <is>
          <t>train</t>
        </is>
      </c>
      <c r="O4115">
        <f>HYPERLINK("4\1\marker_786_935610.png", "Ver Imagen")</f>
        <v/>
      </c>
      <c r="P4115">
        <f>HYPERLINK("NE\A-495R\A-495R__55.png", "Ver Imagen")</f>
        <v/>
      </c>
    </row>
    <row r="4116">
      <c r="A4116" t="n">
        <v>3669</v>
      </c>
      <c r="B4116" t="inlineStr">
        <is>
          <t>A-495R__31</t>
        </is>
      </c>
      <c r="C4116" t="n">
        <v>37.4507956766</v>
      </c>
      <c r="D4116" t="n">
        <v>-7.11068402267</v>
      </c>
      <c r="E4116" t="n">
        <v>4</v>
      </c>
      <c r="F4116" t="n">
        <v>5</v>
      </c>
      <c r="G4116" t="n">
        <v>4</v>
      </c>
      <c r="J4116" t="inlineStr">
        <is>
          <t>Moda</t>
        </is>
      </c>
      <c r="K4116" t="n">
        <v>4</v>
      </c>
      <c r="L4116" t="n">
        <v>4.252</v>
      </c>
      <c r="M4116" t="n">
        <v>0</v>
      </c>
      <c r="O4116">
        <f>HYPERLINK("4\1\marker_184_936610.png", "Ver Imagen")</f>
        <v/>
      </c>
      <c r="P4116">
        <f>HYPERLINK("NE\A-495R\A-495R__31.png", "Ver Imagen")</f>
        <v/>
      </c>
    </row>
    <row r="4117">
      <c r="A4117" t="n">
        <v>3670</v>
      </c>
      <c r="B4117" t="inlineStr">
        <is>
          <t>A-495R__29</t>
        </is>
      </c>
      <c r="C4117" t="n">
        <v>37.4504184705</v>
      </c>
      <c r="D4117" t="n">
        <v>-7.11051606353</v>
      </c>
      <c r="E4117" t="n">
        <v>4</v>
      </c>
      <c r="F4117" t="n">
        <v>3</v>
      </c>
      <c r="G4117" t="n">
        <v>4</v>
      </c>
      <c r="J4117" t="inlineStr">
        <is>
          <t>Moda</t>
        </is>
      </c>
      <c r="K4117" t="n">
        <v>4</v>
      </c>
      <c r="L4117" t="n">
        <v>4.101</v>
      </c>
      <c r="M4117" t="n">
        <v>0</v>
      </c>
      <c r="N4117" t="inlineStr">
        <is>
          <t>train</t>
        </is>
      </c>
      <c r="O4117">
        <f>HYPERLINK("4\1\marker_565_936632.png", "Ver Imagen")</f>
        <v/>
      </c>
      <c r="P4117">
        <f>HYPERLINK("NE\A-495R\A-495R__29.png", "Ver Imagen")</f>
        <v/>
      </c>
    </row>
    <row r="4118">
      <c r="A4118" t="n">
        <v>3672</v>
      </c>
      <c r="B4118" t="inlineStr">
        <is>
          <t>A-497__24</t>
        </is>
      </c>
      <c r="C4118" t="n">
        <v>37.2674724111</v>
      </c>
      <c r="D4118" t="n">
        <v>-6.96177595187</v>
      </c>
      <c r="E4118" t="n">
        <v>4</v>
      </c>
      <c r="F4118" t="n">
        <v>3</v>
      </c>
      <c r="G4118" t="n">
        <v>4</v>
      </c>
      <c r="J4118" t="inlineStr">
        <is>
          <t>Moda</t>
        </is>
      </c>
      <c r="K4118" t="n">
        <v>4</v>
      </c>
      <c r="L4118" t="n">
        <v>3.836</v>
      </c>
      <c r="M4118" t="n">
        <v>0</v>
      </c>
      <c r="N4118" t="inlineStr">
        <is>
          <t>train</t>
        </is>
      </c>
      <c r="O4118">
        <f>HYPERLINK("4\1\marker_965_943730.png", "Ver Imagen")</f>
        <v/>
      </c>
      <c r="P4118">
        <f>HYPERLINK("SE\A-497\A-497__24.png", "Ver Imagen")</f>
        <v/>
      </c>
    </row>
    <row r="4119">
      <c r="A4119" t="n">
        <v>3673</v>
      </c>
      <c r="B4119" t="inlineStr">
        <is>
          <t>A-497__9</t>
        </is>
      </c>
      <c r="C4119" t="n">
        <v>37.2667590309</v>
      </c>
      <c r="D4119" t="n">
        <v>-6.95815092892</v>
      </c>
      <c r="E4119" t="n">
        <v>3</v>
      </c>
      <c r="F4119" t="n">
        <v>4</v>
      </c>
      <c r="G4119" t="n">
        <v>4</v>
      </c>
      <c r="J4119" t="inlineStr">
        <is>
          <t>Moda</t>
        </is>
      </c>
      <c r="K4119" t="n">
        <v>4</v>
      </c>
      <c r="L4119" t="n">
        <v>4.036</v>
      </c>
      <c r="M4119" t="n">
        <v>0</v>
      </c>
      <c r="N4119" t="inlineStr">
        <is>
          <t>train</t>
        </is>
      </c>
      <c r="O4119">
        <f>HYPERLINK("4\1\marker_105_943986.png", "Ver Imagen")</f>
        <v/>
      </c>
      <c r="P4119">
        <f>HYPERLINK("SE\A-497\A-497__9.png", "Ver Imagen")</f>
        <v/>
      </c>
    </row>
    <row r="4120">
      <c r="A4120" t="n">
        <v>3674</v>
      </c>
      <c r="B4120" t="inlineStr">
        <is>
          <t>A-5050__59</t>
        </is>
      </c>
      <c r="C4120" t="n">
        <v>37.2027895701</v>
      </c>
      <c r="D4120" t="n">
        <v>-7.01503379167</v>
      </c>
      <c r="E4120" t="n">
        <v>3</v>
      </c>
      <c r="F4120" t="n">
        <v>4</v>
      </c>
      <c r="G4120" t="n">
        <v>4</v>
      </c>
      <c r="J4120" t="inlineStr">
        <is>
          <t>Moda</t>
        </is>
      </c>
      <c r="K4120" t="n">
        <v>4</v>
      </c>
      <c r="L4120" t="n">
        <v>3.933</v>
      </c>
      <c r="M4120" t="n">
        <v>0</v>
      </c>
      <c r="N4120" t="inlineStr">
        <is>
          <t>train</t>
        </is>
      </c>
      <c r="O4120">
        <f>HYPERLINK("4\1\marker_457_949050.png", "Ver Imagen")</f>
        <v/>
      </c>
      <c r="P4120">
        <f>HYPERLINK("SE\A-5050\A-5050__59.png", "Ver Imagen")</f>
        <v/>
      </c>
    </row>
    <row r="4121">
      <c r="A4121" t="n">
        <v>3675</v>
      </c>
      <c r="B4121" t="inlineStr">
        <is>
          <t>A-5050__25</t>
        </is>
      </c>
      <c r="C4121" t="n">
        <v>37.2071010481</v>
      </c>
      <c r="D4121" t="n">
        <v>-7.02173370082</v>
      </c>
      <c r="E4121" t="n">
        <v>4</v>
      </c>
      <c r="F4121" t="n">
        <v>3</v>
      </c>
      <c r="G4121" t="n">
        <v>4</v>
      </c>
      <c r="J4121" t="inlineStr">
        <is>
          <t>Moda</t>
        </is>
      </c>
      <c r="K4121" t="n">
        <v>4</v>
      </c>
      <c r="L4121" t="n">
        <v>3.63</v>
      </c>
      <c r="M4121" t="n">
        <v>0</v>
      </c>
      <c r="N4121" t="inlineStr">
        <is>
          <t>train</t>
        </is>
      </c>
      <c r="O4121">
        <f>HYPERLINK("4\1\marker_353_949407.png", "Ver Imagen")</f>
        <v/>
      </c>
      <c r="P4121">
        <f>HYPERLINK("SE\A-5050\A-5050__25.png", "Ver Imagen")</f>
        <v/>
      </c>
    </row>
    <row r="4122">
      <c r="A4122" t="n">
        <v>3676</v>
      </c>
      <c r="B4122" t="inlineStr">
        <is>
          <t>A-5050__23</t>
        </is>
      </c>
      <c r="C4122" t="n">
        <v>37.2074366388</v>
      </c>
      <c r="D4122" t="n">
        <v>-7.0220961505</v>
      </c>
      <c r="E4122" t="n">
        <v>4</v>
      </c>
      <c r="F4122" t="n">
        <v>3</v>
      </c>
      <c r="G4122" t="n">
        <v>4</v>
      </c>
      <c r="J4122" t="inlineStr">
        <is>
          <t>Moda</t>
        </is>
      </c>
      <c r="K4122" t="n">
        <v>4</v>
      </c>
      <c r="L4122" t="n">
        <v>4.462</v>
      </c>
      <c r="M4122" t="n">
        <v>0</v>
      </c>
      <c r="N4122" t="inlineStr">
        <is>
          <t>train</t>
        </is>
      </c>
      <c r="O4122">
        <f>HYPERLINK("4\1\marker_202_949429.png", "Ver Imagen")</f>
        <v/>
      </c>
      <c r="P4122">
        <f>HYPERLINK("SE\A-5050\A-5050__23.png", "Ver Imagen")</f>
        <v/>
      </c>
    </row>
    <row r="4123">
      <c r="A4123" t="n">
        <v>3677</v>
      </c>
      <c r="B4123" t="inlineStr">
        <is>
          <t>A-5052__328</t>
        </is>
      </c>
      <c r="C4123" t="n">
        <v>37.2111248981</v>
      </c>
      <c r="D4123" t="n">
        <v>-7.04477278746</v>
      </c>
      <c r="E4123" t="n">
        <v>4</v>
      </c>
      <c r="F4123" t="n">
        <v>4</v>
      </c>
      <c r="G4123" t="n">
        <v>3</v>
      </c>
      <c r="J4123" t="inlineStr">
        <is>
          <t>Moda</t>
        </is>
      </c>
      <c r="K4123" t="n">
        <v>4</v>
      </c>
      <c r="L4123" t="n">
        <v>3.832</v>
      </c>
      <c r="M4123" t="n">
        <v>0</v>
      </c>
      <c r="N4123" t="inlineStr">
        <is>
          <t>train</t>
        </is>
      </c>
      <c r="O4123">
        <f>HYPERLINK("4\1\marker_261_961477.png", "Ver Imagen")</f>
        <v/>
      </c>
      <c r="P4123">
        <f>HYPERLINK("SE\A-5052\A-5052__328.png", "Ver Imagen")</f>
        <v/>
      </c>
    </row>
    <row r="4124">
      <c r="A4124" t="n">
        <v>3678</v>
      </c>
      <c r="B4124" t="inlineStr">
        <is>
          <t>A-5052__403</t>
        </is>
      </c>
      <c r="C4124" t="n">
        <v>37.2044683541</v>
      </c>
      <c r="D4124" t="n">
        <v>-7.02778881811</v>
      </c>
      <c r="E4124" t="n">
        <v>4</v>
      </c>
      <c r="F4124" t="n">
        <v>3</v>
      </c>
      <c r="G4124" t="n">
        <v>4</v>
      </c>
      <c r="J4124" t="inlineStr">
        <is>
          <t>Moda</t>
        </is>
      </c>
      <c r="K4124" t="n">
        <v>4</v>
      </c>
      <c r="L4124" t="n">
        <v>3.607</v>
      </c>
      <c r="M4124" t="n">
        <v>0</v>
      </c>
      <c r="N4124" t="inlineStr">
        <is>
          <t>train</t>
        </is>
      </c>
      <c r="O4124">
        <f>HYPERLINK("4\1\marker_736_962700.png", "Ver Imagen")</f>
        <v/>
      </c>
      <c r="P4124">
        <f>HYPERLINK("SE\A-5052\A-5052__403.png", "Ver Imagen")</f>
        <v/>
      </c>
    </row>
    <row r="4125">
      <c r="A4125" t="n">
        <v>3679</v>
      </c>
      <c r="B4125" t="inlineStr">
        <is>
          <t>A-5053__323</t>
        </is>
      </c>
      <c r="C4125" t="n">
        <v>37.2786209156</v>
      </c>
      <c r="D4125" t="n">
        <v>-7.14432713007</v>
      </c>
      <c r="E4125" t="n">
        <v>4</v>
      </c>
      <c r="F4125" t="n">
        <v>3</v>
      </c>
      <c r="G4125" t="n">
        <v>4</v>
      </c>
      <c r="J4125" t="inlineStr">
        <is>
          <t>Moda</t>
        </is>
      </c>
      <c r="K4125" t="n">
        <v>4</v>
      </c>
      <c r="L4125" t="n">
        <v>3.784</v>
      </c>
      <c r="M4125" t="n">
        <v>0</v>
      </c>
      <c r="N4125" t="inlineStr">
        <is>
          <t>train</t>
        </is>
      </c>
      <c r="O4125">
        <f>HYPERLINK("4\1\marker_877_964544.png", "Ver Imagen")</f>
        <v/>
      </c>
      <c r="P4125">
        <f>HYPERLINK("SO\A-5053\A-5053__323.png", "Ver Imagen")</f>
        <v/>
      </c>
    </row>
    <row r="4126">
      <c r="A4126" t="n">
        <v>3680</v>
      </c>
      <c r="B4126" t="inlineStr">
        <is>
          <t>A-5053__297</t>
        </is>
      </c>
      <c r="C4126" t="n">
        <v>37.2737077745</v>
      </c>
      <c r="D4126" t="n">
        <v>-7.14209916746</v>
      </c>
      <c r="E4126" t="n">
        <v>5</v>
      </c>
      <c r="F4126" t="n">
        <v>4</v>
      </c>
      <c r="G4126" t="n">
        <v>4</v>
      </c>
      <c r="J4126" t="inlineStr">
        <is>
          <t>Moda</t>
        </is>
      </c>
      <c r="K4126" t="n">
        <v>4</v>
      </c>
      <c r="L4126" t="n">
        <v>3.956</v>
      </c>
      <c r="M4126" t="n">
        <v>0</v>
      </c>
      <c r="N4126" t="inlineStr">
        <is>
          <t>train</t>
        </is>
      </c>
      <c r="O4126">
        <f>HYPERLINK("4\1\marker_790_964893.png", "Ver Imagen")</f>
        <v/>
      </c>
      <c r="P4126">
        <f>HYPERLINK("SO\A-5053\A-5053__297.png", "Ver Imagen")</f>
        <v/>
      </c>
    </row>
    <row r="4127">
      <c r="A4127" t="n">
        <v>3681</v>
      </c>
      <c r="B4127" t="inlineStr">
        <is>
          <t>A-5053__295</t>
        </is>
      </c>
      <c r="C4127" t="n">
        <v>37.2733295304</v>
      </c>
      <c r="D4127" t="n">
        <v>-7.14193572633</v>
      </c>
      <c r="E4127" t="n">
        <v>5</v>
      </c>
      <c r="F4127" t="n">
        <v>4</v>
      </c>
      <c r="G4127" t="n">
        <v>4</v>
      </c>
      <c r="J4127" t="inlineStr">
        <is>
          <t>Moda</t>
        </is>
      </c>
      <c r="K4127" t="n">
        <v>4</v>
      </c>
      <c r="L4127" t="n">
        <v>4.064</v>
      </c>
      <c r="M4127" t="n">
        <v>0</v>
      </c>
      <c r="N4127" t="inlineStr">
        <is>
          <t>train</t>
        </is>
      </c>
      <c r="O4127">
        <f>HYPERLINK("4\1\marker_920_964912.png", "Ver Imagen")</f>
        <v/>
      </c>
      <c r="P4127">
        <f>HYPERLINK("SO\A-5053\A-5053__295.png", "Ver Imagen")</f>
        <v/>
      </c>
    </row>
    <row r="4128">
      <c r="A4128" t="n">
        <v>3682</v>
      </c>
      <c r="B4128" t="inlineStr">
        <is>
          <t>A-5053__292</t>
        </is>
      </c>
      <c r="C4128" t="n">
        <v>37.272770215</v>
      </c>
      <c r="D4128" t="n">
        <v>-7.14165876865</v>
      </c>
      <c r="E4128" t="n">
        <v>5</v>
      </c>
      <c r="F4128" t="n">
        <v>4</v>
      </c>
      <c r="G4128" t="n">
        <v>4</v>
      </c>
      <c r="J4128" t="inlineStr">
        <is>
          <t>Moda</t>
        </is>
      </c>
      <c r="K4128" t="n">
        <v>4</v>
      </c>
      <c r="L4128" t="n">
        <v>3.734</v>
      </c>
      <c r="M4128" t="n">
        <v>0</v>
      </c>
      <c r="N4128" t="inlineStr">
        <is>
          <t>train</t>
        </is>
      </c>
      <c r="O4128">
        <f>HYPERLINK("4\1\marker_387_964939.png", "Ver Imagen")</f>
        <v/>
      </c>
      <c r="P4128">
        <f>HYPERLINK("SO\A-5053\A-5053__292.png", "Ver Imagen")</f>
        <v/>
      </c>
    </row>
    <row r="4129">
      <c r="A4129" t="n">
        <v>3687</v>
      </c>
      <c r="B4129" t="inlineStr">
        <is>
          <t>A-5053__265</t>
        </is>
      </c>
      <c r="C4129" t="n">
        <v>37.2686520945</v>
      </c>
      <c r="D4129" t="n">
        <v>-7.13742501325</v>
      </c>
      <c r="E4129" t="n">
        <v>5</v>
      </c>
      <c r="F4129" t="n">
        <v>4</v>
      </c>
      <c r="G4129" t="n">
        <v>4</v>
      </c>
      <c r="J4129" t="inlineStr">
        <is>
          <t>Moda</t>
        </is>
      </c>
      <c r="K4129" t="n">
        <v>4</v>
      </c>
      <c r="L4129" t="n">
        <v>3.583</v>
      </c>
      <c r="M4129" t="n">
        <v>0</v>
      </c>
      <c r="N4129" t="inlineStr">
        <is>
          <t>train</t>
        </is>
      </c>
      <c r="O4129">
        <f>HYPERLINK("4\1\marker_465_965190.png", "Ver Imagen")</f>
        <v/>
      </c>
      <c r="P4129">
        <f>HYPERLINK("SO\A-5053\A-5053__265.png", "Ver Imagen")</f>
        <v/>
      </c>
    </row>
    <row r="4130">
      <c r="A4130" t="n">
        <v>3688</v>
      </c>
      <c r="B4130" t="inlineStr">
        <is>
          <t>A-5053__253</t>
        </is>
      </c>
      <c r="C4130" t="n">
        <v>37.2678439073</v>
      </c>
      <c r="D4130" t="n">
        <v>-7.13457816139</v>
      </c>
      <c r="E4130" t="n">
        <v>5</v>
      </c>
      <c r="F4130" t="n">
        <v>4</v>
      </c>
      <c r="G4130" t="n">
        <v>4</v>
      </c>
      <c r="J4130" t="inlineStr">
        <is>
          <t>Moda</t>
        </is>
      </c>
      <c r="K4130" t="n">
        <v>4</v>
      </c>
      <c r="L4130" t="n">
        <v>3.727</v>
      </c>
      <c r="M4130" t="n">
        <v>0</v>
      </c>
      <c r="N4130" t="inlineStr">
        <is>
          <t>train</t>
        </is>
      </c>
      <c r="O4130">
        <f>HYPERLINK("4\1\marker_715_965323.png", "Ver Imagen")</f>
        <v/>
      </c>
      <c r="P4130">
        <f>HYPERLINK("SO\A-5053\A-5053__253.png", "Ver Imagen")</f>
        <v/>
      </c>
    </row>
    <row r="4131">
      <c r="A4131" t="n">
        <v>3689</v>
      </c>
      <c r="B4131" t="inlineStr">
        <is>
          <t>A-5053__233</t>
        </is>
      </c>
      <c r="C4131" t="n">
        <v>37.2644738723</v>
      </c>
      <c r="D4131" t="n">
        <v>-7.1318905156</v>
      </c>
      <c r="E4131" t="n">
        <v>5</v>
      </c>
      <c r="F4131" t="n">
        <v>4</v>
      </c>
      <c r="G4131" t="n">
        <v>4</v>
      </c>
      <c r="J4131" t="inlineStr">
        <is>
          <t>Moda</t>
        </is>
      </c>
      <c r="K4131" t="n">
        <v>4</v>
      </c>
      <c r="L4131" t="n">
        <v>3.779</v>
      </c>
      <c r="M4131" t="n">
        <v>0</v>
      </c>
      <c r="N4131" t="inlineStr">
        <is>
          <t>train</t>
        </is>
      </c>
      <c r="O4131">
        <f>HYPERLINK("4\1\marker_483_965567.png", "Ver Imagen")</f>
        <v/>
      </c>
      <c r="P4131">
        <f>HYPERLINK("SO\A-5053\A-5053__233.png", "Ver Imagen")</f>
        <v/>
      </c>
    </row>
    <row r="4132">
      <c r="A4132" t="n">
        <v>3690</v>
      </c>
      <c r="B4132" t="inlineStr">
        <is>
          <t>A-5053__221</t>
        </is>
      </c>
      <c r="C4132" t="n">
        <v>37.2623146538</v>
      </c>
      <c r="D4132" t="n">
        <v>-7.13053945859</v>
      </c>
      <c r="E4132" t="n">
        <v>5</v>
      </c>
      <c r="F4132" t="n">
        <v>4</v>
      </c>
      <c r="G4132" t="n">
        <v>4</v>
      </c>
      <c r="J4132" t="inlineStr">
        <is>
          <t>Moda</t>
        </is>
      </c>
      <c r="K4132" t="n">
        <v>4</v>
      </c>
      <c r="L4132" t="n">
        <v>3.798</v>
      </c>
      <c r="M4132" t="n">
        <v>0</v>
      </c>
      <c r="N4132" t="inlineStr">
        <is>
          <t>train</t>
        </is>
      </c>
      <c r="O4132">
        <f>HYPERLINK("4\1\marker_546_965679.png", "Ver Imagen")</f>
        <v/>
      </c>
      <c r="P4132">
        <f>HYPERLINK("SO\A-5053\A-5053__221.png", "Ver Imagen")</f>
        <v/>
      </c>
    </row>
    <row r="4133">
      <c r="A4133" t="n">
        <v>3691</v>
      </c>
      <c r="B4133" t="inlineStr">
        <is>
          <t>A-5053__45</t>
        </is>
      </c>
      <c r="C4133" t="n">
        <v>37.2276657865</v>
      </c>
      <c r="D4133" t="n">
        <v>-7.12658033033</v>
      </c>
      <c r="E4133" t="n">
        <v>4</v>
      </c>
      <c r="F4133" t="n">
        <v>3</v>
      </c>
      <c r="G4133" t="n">
        <v>4</v>
      </c>
      <c r="J4133" t="inlineStr">
        <is>
          <t>Moda</t>
        </is>
      </c>
      <c r="K4133" t="n">
        <v>4</v>
      </c>
      <c r="L4133" t="n">
        <v>3.64</v>
      </c>
      <c r="M4133" t="n">
        <v>0</v>
      </c>
      <c r="N4133" t="inlineStr">
        <is>
          <t>train</t>
        </is>
      </c>
      <c r="O4133">
        <f>HYPERLINK("4\1\marker_820_021652.png", "Ver Imagen")</f>
        <v/>
      </c>
      <c r="P4133">
        <f>HYPERLINK("SO\A-5053\A-5053__45.png", "Ver Imagen")</f>
        <v/>
      </c>
    </row>
    <row r="4134">
      <c r="A4134" t="n">
        <v>3692</v>
      </c>
      <c r="B4134" t="inlineStr">
        <is>
          <t>A-495__53</t>
        </is>
      </c>
      <c r="C4134" t="n">
        <v>37.4402433745</v>
      </c>
      <c r="D4134" t="n">
        <v>-7.08815555196</v>
      </c>
      <c r="E4134" t="n">
        <v>4</v>
      </c>
      <c r="F4134" t="n">
        <v>3</v>
      </c>
      <c r="G4134" t="n">
        <v>4</v>
      </c>
      <c r="J4134" t="inlineStr">
        <is>
          <t>Moda</t>
        </is>
      </c>
      <c r="K4134" t="n">
        <v>4</v>
      </c>
      <c r="L4134" t="n">
        <v>3.793</v>
      </c>
      <c r="M4134" t="n">
        <v>0</v>
      </c>
      <c r="N4134" t="inlineStr">
        <is>
          <t>train</t>
        </is>
      </c>
      <c r="O4134">
        <f>HYPERLINK("4\1\marker_516_381643.png", "Ver Imagen")</f>
        <v/>
      </c>
      <c r="P4134">
        <f>HYPERLINK("NE\A-495\A-495__53.png", "Ver Imagen")</f>
        <v/>
      </c>
    </row>
    <row r="4135">
      <c r="A4135" t="n">
        <v>3693</v>
      </c>
      <c r="B4135" t="inlineStr">
        <is>
          <t>A-495__57</t>
        </is>
      </c>
      <c r="C4135" t="n">
        <v>37.4398203267</v>
      </c>
      <c r="D4135" t="n">
        <v>-7.08728118302</v>
      </c>
      <c r="E4135" t="n">
        <v>4</v>
      </c>
      <c r="F4135" t="n">
        <v>3</v>
      </c>
      <c r="G4135" t="n">
        <v>4</v>
      </c>
      <c r="J4135" t="inlineStr">
        <is>
          <t>Moda</t>
        </is>
      </c>
      <c r="K4135" t="n">
        <v>4</v>
      </c>
      <c r="L4135" t="n">
        <v>3.977</v>
      </c>
      <c r="M4135" t="n">
        <v>0</v>
      </c>
      <c r="N4135" t="inlineStr">
        <is>
          <t>train</t>
        </is>
      </c>
      <c r="O4135">
        <f>HYPERLINK("4\1\marker_111_381678.png", "Ver Imagen")</f>
        <v/>
      </c>
      <c r="P4135">
        <f>HYPERLINK("NE\A-495\A-495__57.png", "Ver Imagen")</f>
        <v/>
      </c>
    </row>
    <row r="4136">
      <c r="A4136" t="n">
        <v>3694</v>
      </c>
      <c r="B4136" t="inlineStr">
        <is>
          <t>A-495__78</t>
        </is>
      </c>
      <c r="C4136" t="n">
        <v>37.4379170592</v>
      </c>
      <c r="D4136" t="n">
        <v>-7.08247495347</v>
      </c>
      <c r="E4136" t="n">
        <v>4</v>
      </c>
      <c r="F4136" t="n">
        <v>3</v>
      </c>
      <c r="G4136" t="n">
        <v>4</v>
      </c>
      <c r="J4136" t="inlineStr">
        <is>
          <t>Moda</t>
        </is>
      </c>
      <c r="K4136" t="n">
        <v>4</v>
      </c>
      <c r="L4136" t="n">
        <v>3.585</v>
      </c>
      <c r="M4136" t="n">
        <v>0</v>
      </c>
      <c r="N4136" t="inlineStr">
        <is>
          <t>train</t>
        </is>
      </c>
      <c r="O4136">
        <f>HYPERLINK("4\1\marker_722_381910.png", "Ver Imagen")</f>
        <v/>
      </c>
      <c r="P4136">
        <f>HYPERLINK("NE\A-495\A-495__78.png", "Ver Imagen")</f>
        <v/>
      </c>
    </row>
    <row r="4137">
      <c r="A4137" t="n">
        <v>3695</v>
      </c>
      <c r="B4137" t="inlineStr">
        <is>
          <t>A-495__85</t>
        </is>
      </c>
      <c r="C4137" t="n">
        <v>37.4373648897</v>
      </c>
      <c r="D4137" t="n">
        <v>-7.08092268144</v>
      </c>
      <c r="E4137" t="n">
        <v>4</v>
      </c>
      <c r="F4137" t="n">
        <v>3</v>
      </c>
      <c r="G4137" t="n">
        <v>4</v>
      </c>
      <c r="J4137" t="inlineStr">
        <is>
          <t>Moda</t>
        </is>
      </c>
      <c r="K4137" t="n">
        <v>4</v>
      </c>
      <c r="L4137" t="n">
        <v>3.939</v>
      </c>
      <c r="M4137" t="n">
        <v>0</v>
      </c>
      <c r="N4137" t="inlineStr">
        <is>
          <t>train</t>
        </is>
      </c>
      <c r="O4137">
        <f>HYPERLINK("4\1\marker_829_381988.png", "Ver Imagen")</f>
        <v/>
      </c>
      <c r="P4137">
        <f>HYPERLINK("NE\A-495\A-495__85.png", "Ver Imagen")</f>
        <v/>
      </c>
    </row>
    <row r="4138">
      <c r="A4138" t="n">
        <v>3696</v>
      </c>
      <c r="B4138" t="inlineStr">
        <is>
          <t>A-495__115</t>
        </is>
      </c>
      <c r="C4138" t="n">
        <v>37.4355203234</v>
      </c>
      <c r="D4138" t="n">
        <v>-7.07429308228</v>
      </c>
      <c r="E4138" t="n">
        <v>4</v>
      </c>
      <c r="F4138" t="n">
        <v>4</v>
      </c>
      <c r="G4138" t="n">
        <v>5</v>
      </c>
      <c r="J4138" t="inlineStr">
        <is>
          <t>Moda</t>
        </is>
      </c>
      <c r="K4138" t="n">
        <v>4</v>
      </c>
      <c r="L4138" t="n">
        <v>3.983</v>
      </c>
      <c r="M4138" t="n">
        <v>0</v>
      </c>
      <c r="N4138" t="inlineStr">
        <is>
          <t>train</t>
        </is>
      </c>
      <c r="O4138">
        <f>HYPERLINK("4\1\marker_545_382320.png", "Ver Imagen")</f>
        <v/>
      </c>
      <c r="P4138">
        <f>HYPERLINK("NE\A-495\A-495__115.png", "Ver Imagen")</f>
        <v/>
      </c>
    </row>
    <row r="4139">
      <c r="A4139" t="n">
        <v>3699</v>
      </c>
      <c r="B4139" t="inlineStr">
        <is>
          <t>A-5058__170</t>
        </is>
      </c>
      <c r="C4139" t="n">
        <v>37.233872883</v>
      </c>
      <c r="D4139" t="n">
        <v>-7.06627680406</v>
      </c>
      <c r="E4139" t="n">
        <v>4</v>
      </c>
      <c r="F4139" t="n">
        <v>3</v>
      </c>
      <c r="G4139" t="n">
        <v>4</v>
      </c>
      <c r="J4139" t="inlineStr">
        <is>
          <t>Moda</t>
        </is>
      </c>
      <c r="K4139" t="n">
        <v>4</v>
      </c>
      <c r="L4139" t="n">
        <v>3.621</v>
      </c>
      <c r="M4139" t="n">
        <v>0</v>
      </c>
      <c r="N4139" t="inlineStr">
        <is>
          <t>train</t>
        </is>
      </c>
      <c r="O4139">
        <f>HYPERLINK("4\1\marker_207_382387.png", "Ver Imagen")</f>
        <v/>
      </c>
      <c r="P4139">
        <f>HYPERLINK("SE\A-5058\A-5058__170.png", "Ver Imagen")</f>
        <v/>
      </c>
    </row>
    <row r="4140">
      <c r="A4140" t="n">
        <v>3700</v>
      </c>
      <c r="B4140" t="inlineStr">
        <is>
          <t>A-5058__171</t>
        </is>
      </c>
      <c r="C4140" t="n">
        <v>37.2339203454</v>
      </c>
      <c r="D4140" t="n">
        <v>-7.06645397409</v>
      </c>
      <c r="E4140" t="n">
        <v>4</v>
      </c>
      <c r="F4140" t="n">
        <v>3</v>
      </c>
      <c r="G4140" t="n">
        <v>4</v>
      </c>
      <c r="J4140" t="inlineStr">
        <is>
          <t>Moda</t>
        </is>
      </c>
      <c r="K4140" t="n">
        <v>4</v>
      </c>
      <c r="L4140" t="n">
        <v>3.876</v>
      </c>
      <c r="M4140" t="n">
        <v>0</v>
      </c>
      <c r="N4140" t="inlineStr">
        <is>
          <t>train</t>
        </is>
      </c>
      <c r="O4140">
        <f>HYPERLINK("4\1\marker_692_382403.png", "Ver Imagen")</f>
        <v/>
      </c>
      <c r="P4140">
        <f>HYPERLINK("SE\A-5058\A-5058__171.png", "Ver Imagen")</f>
        <v/>
      </c>
    </row>
    <row r="4141">
      <c r="A4141" t="n">
        <v>3704</v>
      </c>
      <c r="B4141" t="inlineStr">
        <is>
          <t>A-5058__209</t>
        </is>
      </c>
      <c r="C4141" t="n">
        <v>37.2362112436</v>
      </c>
      <c r="D4141" t="n">
        <v>-7.07518088868</v>
      </c>
      <c r="E4141" t="n">
        <v>4</v>
      </c>
      <c r="F4141" t="n">
        <v>3</v>
      </c>
      <c r="G4141" t="n">
        <v>4</v>
      </c>
      <c r="J4141" t="inlineStr">
        <is>
          <t>Moda</t>
        </is>
      </c>
      <c r="K4141" t="n">
        <v>4</v>
      </c>
      <c r="L4141" t="n">
        <v>3.515</v>
      </c>
      <c r="M4141" t="n">
        <v>0</v>
      </c>
      <c r="N4141" t="inlineStr">
        <is>
          <t>train</t>
        </is>
      </c>
      <c r="O4141">
        <f>HYPERLINK("4\1\marker_411_383010.png", "Ver Imagen")</f>
        <v/>
      </c>
      <c r="P4141">
        <f>HYPERLINK("SE\A-5058\A-5058__209.png", "Ver Imagen")</f>
        <v/>
      </c>
    </row>
    <row r="4142">
      <c r="A4142" t="n">
        <v>3704</v>
      </c>
      <c r="B4142" t="inlineStr">
        <is>
          <t>A-5058__209</t>
        </is>
      </c>
      <c r="C4142" t="n">
        <v>37.2362112436</v>
      </c>
      <c r="D4142" t="n">
        <v>-7.07518088868</v>
      </c>
      <c r="E4142" t="n">
        <v>4</v>
      </c>
      <c r="F4142" t="n">
        <v>3</v>
      </c>
      <c r="G4142" t="n">
        <v>4</v>
      </c>
      <c r="J4142" t="inlineStr">
        <is>
          <t>Moda</t>
        </is>
      </c>
      <c r="K4142" t="n">
        <v>4</v>
      </c>
      <c r="L4142" t="n">
        <v>3.792</v>
      </c>
      <c r="M4142" t="n">
        <v>0</v>
      </c>
      <c r="N4142" t="inlineStr">
        <is>
          <t>train</t>
        </is>
      </c>
      <c r="O4142">
        <f>HYPERLINK("4\1\marker_411_383010.png", "Ver Imagen")</f>
        <v/>
      </c>
      <c r="P4142">
        <f>HYPERLINK("SO\A-5058\A-5058__209.png", "Ver Imagen")</f>
        <v/>
      </c>
    </row>
    <row r="4143">
      <c r="A4143" t="n">
        <v>3705</v>
      </c>
      <c r="B4143" t="inlineStr">
        <is>
          <t>A-5058__216</t>
        </is>
      </c>
      <c r="C4143" t="n">
        <v>37.2370287539</v>
      </c>
      <c r="D4143" t="n">
        <v>-7.07664457148</v>
      </c>
      <c r="E4143" t="n">
        <v>4</v>
      </c>
      <c r="F4143" t="n">
        <v>3</v>
      </c>
      <c r="G4143" t="n">
        <v>4</v>
      </c>
      <c r="J4143" t="inlineStr">
        <is>
          <t>Moda</t>
        </is>
      </c>
      <c r="K4143" t="n">
        <v>4</v>
      </c>
      <c r="L4143" t="n">
        <v>4.083</v>
      </c>
      <c r="M4143" t="n">
        <v>0</v>
      </c>
      <c r="N4143" t="inlineStr">
        <is>
          <t>test</t>
        </is>
      </c>
      <c r="O4143">
        <f>HYPERLINK("4\1\marker_305_383080.png", "Ver Imagen")</f>
        <v/>
      </c>
      <c r="P4143">
        <f>HYPERLINK("SO\A-5058\A-5058__216.png", "Ver Imagen")</f>
        <v/>
      </c>
    </row>
    <row r="4144">
      <c r="A4144" t="n">
        <v>3706</v>
      </c>
      <c r="B4144" t="inlineStr">
        <is>
          <t>A-5058__269</t>
        </is>
      </c>
      <c r="C4144" t="n">
        <v>37.2429603009</v>
      </c>
      <c r="D4144" t="n">
        <v>-7.08766895197</v>
      </c>
      <c r="E4144" t="n">
        <v>4</v>
      </c>
      <c r="F4144" t="n">
        <v>3</v>
      </c>
      <c r="G4144" t="n">
        <v>4</v>
      </c>
      <c r="J4144" t="inlineStr">
        <is>
          <t>Moda</t>
        </is>
      </c>
      <c r="K4144" t="n">
        <v>4</v>
      </c>
      <c r="L4144" t="n">
        <v>3.61</v>
      </c>
      <c r="M4144" t="n">
        <v>0</v>
      </c>
      <c r="N4144" t="inlineStr">
        <is>
          <t>train</t>
        </is>
      </c>
      <c r="O4144">
        <f>HYPERLINK("4\1\marker_660_383911.png", "Ver Imagen")</f>
        <v/>
      </c>
      <c r="P4144">
        <f>HYPERLINK("SE\A-5058\A-5058__269.png", "Ver Imagen")</f>
        <v/>
      </c>
    </row>
    <row r="4145">
      <c r="A4145" t="n">
        <v>3706</v>
      </c>
      <c r="B4145" t="inlineStr">
        <is>
          <t>A-5058__269</t>
        </is>
      </c>
      <c r="C4145" t="n">
        <v>37.2429603009</v>
      </c>
      <c r="D4145" t="n">
        <v>-7.08766895197</v>
      </c>
      <c r="E4145" t="n">
        <v>4</v>
      </c>
      <c r="F4145" t="n">
        <v>3</v>
      </c>
      <c r="G4145" t="n">
        <v>4</v>
      </c>
      <c r="J4145" t="inlineStr">
        <is>
          <t>Moda</t>
        </is>
      </c>
      <c r="K4145" t="n">
        <v>4</v>
      </c>
      <c r="L4145" t="n">
        <v>3.68</v>
      </c>
      <c r="M4145" t="n">
        <v>0</v>
      </c>
      <c r="N4145" t="inlineStr">
        <is>
          <t>train</t>
        </is>
      </c>
      <c r="O4145">
        <f>HYPERLINK("4\1\marker_660_383911.png", "Ver Imagen")</f>
        <v/>
      </c>
      <c r="P4145">
        <f>HYPERLINK("SO\A-5058\A-5058__269.png", "Ver Imagen")</f>
        <v/>
      </c>
    </row>
    <row r="4146">
      <c r="A4146" t="n">
        <v>3707</v>
      </c>
      <c r="B4146" t="inlineStr">
        <is>
          <t>A-5058__274</t>
        </is>
      </c>
      <c r="C4146" t="n">
        <v>37.2434142799</v>
      </c>
      <c r="D4146" t="n">
        <v>-7.0888017166</v>
      </c>
      <c r="E4146" t="n">
        <v>4</v>
      </c>
      <c r="F4146" t="n">
        <v>3</v>
      </c>
      <c r="G4146" t="n">
        <v>4</v>
      </c>
      <c r="J4146" t="inlineStr">
        <is>
          <t>Moda</t>
        </is>
      </c>
      <c r="K4146" t="n">
        <v>4</v>
      </c>
      <c r="L4146" t="n">
        <v>3.7</v>
      </c>
      <c r="M4146" t="n">
        <v>0</v>
      </c>
      <c r="N4146" t="inlineStr">
        <is>
          <t>val</t>
        </is>
      </c>
      <c r="O4146">
        <f>HYPERLINK("4\1\marker_828_383964.png", "Ver Imagen")</f>
        <v/>
      </c>
      <c r="P4146">
        <f>HYPERLINK("SE\A-5058\A-5058__274.png", "Ver Imagen")</f>
        <v/>
      </c>
    </row>
    <row r="4147">
      <c r="A4147" t="n">
        <v>3707</v>
      </c>
      <c r="B4147" t="inlineStr">
        <is>
          <t>A-5058__274</t>
        </is>
      </c>
      <c r="C4147" t="n">
        <v>37.2434142799</v>
      </c>
      <c r="D4147" t="n">
        <v>-7.0888017166</v>
      </c>
      <c r="E4147" t="n">
        <v>4</v>
      </c>
      <c r="F4147" t="n">
        <v>3</v>
      </c>
      <c r="G4147" t="n">
        <v>4</v>
      </c>
      <c r="J4147" t="inlineStr">
        <is>
          <t>Moda</t>
        </is>
      </c>
      <c r="K4147" t="n">
        <v>4</v>
      </c>
      <c r="L4147" t="n">
        <v>3.614</v>
      </c>
      <c r="M4147" t="n">
        <v>0</v>
      </c>
      <c r="N4147" t="inlineStr">
        <is>
          <t>val</t>
        </is>
      </c>
      <c r="O4147">
        <f>HYPERLINK("4\1\marker_828_383964.png", "Ver Imagen")</f>
        <v/>
      </c>
      <c r="P4147">
        <f>HYPERLINK("SO\A-5058\A-5058__274.png", "Ver Imagen")</f>
        <v/>
      </c>
    </row>
    <row r="4148">
      <c r="A4148" t="n">
        <v>3708</v>
      </c>
      <c r="B4148" t="inlineStr">
        <is>
          <t>A-5058__278</t>
        </is>
      </c>
      <c r="C4148" t="n">
        <v>37.2438328629</v>
      </c>
      <c r="D4148" t="n">
        <v>-7.08963289939</v>
      </c>
      <c r="E4148" t="n">
        <v>4</v>
      </c>
      <c r="F4148" t="n">
        <v>3</v>
      </c>
      <c r="G4148" t="n">
        <v>4</v>
      </c>
      <c r="J4148" t="inlineStr">
        <is>
          <t>Moda</t>
        </is>
      </c>
      <c r="K4148" t="n">
        <v>4</v>
      </c>
      <c r="L4148" t="n">
        <v>3.562</v>
      </c>
      <c r="M4148" t="n">
        <v>0</v>
      </c>
      <c r="N4148" t="inlineStr">
        <is>
          <t>val</t>
        </is>
      </c>
      <c r="O4148">
        <f>HYPERLINK("4\1\marker_976_384014.png", "Ver Imagen")</f>
        <v/>
      </c>
      <c r="P4148">
        <f>HYPERLINK("SE\A-5058\A-5058__278.png", "Ver Imagen")</f>
        <v/>
      </c>
    </row>
    <row r="4149">
      <c r="A4149" t="n">
        <v>3708</v>
      </c>
      <c r="B4149" t="inlineStr">
        <is>
          <t>A-5058__278</t>
        </is>
      </c>
      <c r="C4149" t="n">
        <v>37.2438328629</v>
      </c>
      <c r="D4149" t="n">
        <v>-7.08963289939</v>
      </c>
      <c r="E4149" t="n">
        <v>4</v>
      </c>
      <c r="F4149" t="n">
        <v>3</v>
      </c>
      <c r="G4149" t="n">
        <v>4</v>
      </c>
      <c r="J4149" t="inlineStr">
        <is>
          <t>Moda</t>
        </is>
      </c>
      <c r="K4149" t="n">
        <v>4</v>
      </c>
      <c r="L4149" t="n">
        <v>3.849</v>
      </c>
      <c r="M4149" t="n">
        <v>0</v>
      </c>
      <c r="N4149" t="inlineStr">
        <is>
          <t>val</t>
        </is>
      </c>
      <c r="O4149">
        <f>HYPERLINK("4\1\marker_976_384014.png", "Ver Imagen")</f>
        <v/>
      </c>
      <c r="P4149">
        <f>HYPERLINK("SO\A-5058\A-5058__278.png", "Ver Imagen")</f>
        <v/>
      </c>
    </row>
    <row r="4150">
      <c r="A4150" t="n">
        <v>3709</v>
      </c>
      <c r="B4150" t="inlineStr">
        <is>
          <t>A-5058__280</t>
        </is>
      </c>
      <c r="C4150" t="n">
        <v>37.2440529468</v>
      </c>
      <c r="D4150" t="n">
        <v>-7.09006975312</v>
      </c>
      <c r="E4150" t="n">
        <v>4</v>
      </c>
      <c r="F4150" t="n">
        <v>3</v>
      </c>
      <c r="G4150" t="n">
        <v>4</v>
      </c>
      <c r="J4150" t="inlineStr">
        <is>
          <t>Moda</t>
        </is>
      </c>
      <c r="K4150" t="n">
        <v>4</v>
      </c>
      <c r="L4150" t="n">
        <v>4.067</v>
      </c>
      <c r="M4150" t="n">
        <v>0</v>
      </c>
      <c r="N4150" t="inlineStr">
        <is>
          <t>test</t>
        </is>
      </c>
      <c r="O4150">
        <f>HYPERLINK("4\1\marker_371_384033.png", "Ver Imagen")</f>
        <v/>
      </c>
      <c r="P4150">
        <f>HYPERLINK("SE\A-5058\A-5058__280.png", "Ver Imagen")</f>
        <v/>
      </c>
    </row>
    <row r="4151">
      <c r="A4151" t="n">
        <v>3709</v>
      </c>
      <c r="B4151" t="inlineStr">
        <is>
          <t>A-5058__280</t>
        </is>
      </c>
      <c r="C4151" t="n">
        <v>37.2440529468</v>
      </c>
      <c r="D4151" t="n">
        <v>-7.09006975312</v>
      </c>
      <c r="E4151" t="n">
        <v>4</v>
      </c>
      <c r="F4151" t="n">
        <v>3</v>
      </c>
      <c r="G4151" t="n">
        <v>4</v>
      </c>
      <c r="J4151" t="inlineStr">
        <is>
          <t>Moda</t>
        </is>
      </c>
      <c r="K4151" t="n">
        <v>4</v>
      </c>
      <c r="L4151" t="n">
        <v>3.983</v>
      </c>
      <c r="M4151" t="n">
        <v>0</v>
      </c>
      <c r="N4151" t="inlineStr">
        <is>
          <t>test</t>
        </is>
      </c>
      <c r="O4151">
        <f>HYPERLINK("4\1\marker_371_384033.png", "Ver Imagen")</f>
        <v/>
      </c>
      <c r="P4151">
        <f>HYPERLINK("SO\A-5058\A-5058__280.png", "Ver Imagen")</f>
        <v/>
      </c>
    </row>
    <row r="4152">
      <c r="A4152" t="n">
        <v>3710</v>
      </c>
      <c r="B4152" t="inlineStr">
        <is>
          <t>A-5058__281</t>
        </is>
      </c>
      <c r="C4152" t="n">
        <v>37.2441605618</v>
      </c>
      <c r="D4152" t="n">
        <v>-7.09028495702</v>
      </c>
      <c r="E4152" t="n">
        <v>4</v>
      </c>
      <c r="F4152" t="n">
        <v>3</v>
      </c>
      <c r="G4152" t="n">
        <v>4</v>
      </c>
      <c r="J4152" t="inlineStr">
        <is>
          <t>Moda</t>
        </is>
      </c>
      <c r="K4152" t="n">
        <v>4</v>
      </c>
      <c r="L4152" t="n">
        <v>3.531</v>
      </c>
      <c r="M4152" t="n">
        <v>0</v>
      </c>
      <c r="N4152" t="inlineStr">
        <is>
          <t>val</t>
        </is>
      </c>
      <c r="O4152">
        <f>HYPERLINK("4\1\marker_167_384042.png", "Ver Imagen")</f>
        <v/>
      </c>
      <c r="P4152">
        <f>HYPERLINK("SE\A-5058\A-5058__281.png", "Ver Imagen")</f>
        <v/>
      </c>
    </row>
    <row r="4153">
      <c r="A4153" t="n">
        <v>3710</v>
      </c>
      <c r="B4153" t="inlineStr">
        <is>
          <t>A-5058__281</t>
        </is>
      </c>
      <c r="C4153" t="n">
        <v>37.2441605618</v>
      </c>
      <c r="D4153" t="n">
        <v>-7.09028495702</v>
      </c>
      <c r="E4153" t="n">
        <v>4</v>
      </c>
      <c r="F4153" t="n">
        <v>3</v>
      </c>
      <c r="G4153" t="n">
        <v>4</v>
      </c>
      <c r="J4153" t="inlineStr">
        <is>
          <t>Moda</t>
        </is>
      </c>
      <c r="K4153" t="n">
        <v>4</v>
      </c>
      <c r="L4153" t="n">
        <v>3.988</v>
      </c>
      <c r="M4153" t="n">
        <v>0</v>
      </c>
      <c r="N4153" t="inlineStr">
        <is>
          <t>val</t>
        </is>
      </c>
      <c r="O4153">
        <f>HYPERLINK("4\1\marker_167_384042.png", "Ver Imagen")</f>
        <v/>
      </c>
      <c r="P4153">
        <f>HYPERLINK("SO\A-5058\A-5058__281.png", "Ver Imagen")</f>
        <v/>
      </c>
    </row>
    <row r="4154">
      <c r="A4154" t="n">
        <v>3711</v>
      </c>
      <c r="B4154" t="inlineStr">
        <is>
          <t>A-5058__282</t>
        </is>
      </c>
      <c r="C4154" t="n">
        <v>37.2442685525</v>
      </c>
      <c r="D4154" t="n">
        <v>-7.09049949022</v>
      </c>
      <c r="E4154" t="n">
        <v>4</v>
      </c>
      <c r="F4154" t="n">
        <v>3</v>
      </c>
      <c r="G4154" t="n">
        <v>4</v>
      </c>
      <c r="J4154" t="inlineStr">
        <is>
          <t>Moda</t>
        </is>
      </c>
      <c r="K4154" t="n">
        <v>4</v>
      </c>
      <c r="L4154" t="n">
        <v>3.987</v>
      </c>
      <c r="M4154" t="n">
        <v>0</v>
      </c>
      <c r="N4154" t="inlineStr">
        <is>
          <t>train</t>
        </is>
      </c>
      <c r="O4154">
        <f>HYPERLINK("4\1\marker_887_384051.png", "Ver Imagen")</f>
        <v/>
      </c>
      <c r="P4154">
        <f>HYPERLINK("SE\A-5058\A-5058__282.png", "Ver Imagen")</f>
        <v/>
      </c>
    </row>
    <row r="4155">
      <c r="A4155" t="n">
        <v>3711</v>
      </c>
      <c r="B4155" t="inlineStr">
        <is>
          <t>A-5058__282</t>
        </is>
      </c>
      <c r="C4155" t="n">
        <v>37.2442685525</v>
      </c>
      <c r="D4155" t="n">
        <v>-7.09049949022</v>
      </c>
      <c r="E4155" t="n">
        <v>4</v>
      </c>
      <c r="F4155" t="n">
        <v>3</v>
      </c>
      <c r="G4155" t="n">
        <v>4</v>
      </c>
      <c r="J4155" t="inlineStr">
        <is>
          <t>Moda</t>
        </is>
      </c>
      <c r="K4155" t="n">
        <v>4</v>
      </c>
      <c r="L4155" t="n">
        <v>3.98</v>
      </c>
      <c r="M4155" t="n">
        <v>0</v>
      </c>
      <c r="N4155" t="inlineStr">
        <is>
          <t>train</t>
        </is>
      </c>
      <c r="O4155">
        <f>HYPERLINK("4\1\marker_887_384051.png", "Ver Imagen")</f>
        <v/>
      </c>
      <c r="P4155">
        <f>HYPERLINK("SO\A-5058\A-5058__282.png", "Ver Imagen")</f>
        <v/>
      </c>
    </row>
    <row r="4156">
      <c r="A4156" t="n">
        <v>3712</v>
      </c>
      <c r="B4156" t="inlineStr">
        <is>
          <t>A-5058__283</t>
        </is>
      </c>
      <c r="C4156" t="n">
        <v>37.2443754496</v>
      </c>
      <c r="D4156" t="n">
        <v>-7.09071293762</v>
      </c>
      <c r="E4156" t="n">
        <v>4</v>
      </c>
      <c r="F4156" t="n">
        <v>3</v>
      </c>
      <c r="G4156" t="n">
        <v>4</v>
      </c>
      <c r="J4156" t="inlineStr">
        <is>
          <t>Moda</t>
        </is>
      </c>
      <c r="K4156" t="n">
        <v>4</v>
      </c>
      <c r="L4156" t="n">
        <v>3.748</v>
      </c>
      <c r="M4156" t="n">
        <v>0</v>
      </c>
      <c r="N4156" t="inlineStr">
        <is>
          <t>train</t>
        </is>
      </c>
      <c r="O4156">
        <f>HYPERLINK("4\1\marker_594_384061.png", "Ver Imagen")</f>
        <v/>
      </c>
      <c r="P4156">
        <f>HYPERLINK("SE\A-5058\A-5058__283.png", "Ver Imagen")</f>
        <v/>
      </c>
    </row>
    <row r="4157">
      <c r="A4157" t="n">
        <v>3712</v>
      </c>
      <c r="B4157" t="inlineStr">
        <is>
          <t>A-5058__283</t>
        </is>
      </c>
      <c r="C4157" t="n">
        <v>37.2443754496</v>
      </c>
      <c r="D4157" t="n">
        <v>-7.09071293762</v>
      </c>
      <c r="E4157" t="n">
        <v>4</v>
      </c>
      <c r="F4157" t="n">
        <v>3</v>
      </c>
      <c r="G4157" t="n">
        <v>4</v>
      </c>
      <c r="J4157" t="inlineStr">
        <is>
          <t>Moda</t>
        </is>
      </c>
      <c r="K4157" t="n">
        <v>4</v>
      </c>
      <c r="L4157" t="n">
        <v>3.725</v>
      </c>
      <c r="M4157" t="n">
        <v>0</v>
      </c>
      <c r="N4157" t="inlineStr">
        <is>
          <t>train</t>
        </is>
      </c>
      <c r="O4157">
        <f>HYPERLINK("4\1\marker_594_384061.png", "Ver Imagen")</f>
        <v/>
      </c>
      <c r="P4157">
        <f>HYPERLINK("SO\A-5058\A-5058__283.png", "Ver Imagen")</f>
        <v/>
      </c>
    </row>
    <row r="4158">
      <c r="A4158" t="n">
        <v>3714</v>
      </c>
      <c r="B4158" t="inlineStr">
        <is>
          <t>A-5058__291</t>
        </is>
      </c>
      <c r="C4158" t="n">
        <v>37.2451808787</v>
      </c>
      <c r="D4158" t="n">
        <v>-7.09246419013</v>
      </c>
      <c r="E4158" t="n">
        <v>4</v>
      </c>
      <c r="F4158" t="n">
        <v>3</v>
      </c>
      <c r="G4158" t="n">
        <v>4</v>
      </c>
      <c r="J4158" t="inlineStr">
        <is>
          <t>Moda</t>
        </is>
      </c>
      <c r="K4158" t="n">
        <v>4</v>
      </c>
      <c r="L4158" t="n">
        <v>3.828</v>
      </c>
      <c r="M4158" t="n">
        <v>0</v>
      </c>
      <c r="N4158" t="inlineStr">
        <is>
          <t>train</t>
        </is>
      </c>
      <c r="O4158">
        <f>HYPERLINK("4\1\marker_579_384159.png", "Ver Imagen")</f>
        <v/>
      </c>
      <c r="P4158">
        <f>HYPERLINK("SE\A-5058\A-5058__291.png", "Ver Imagen")</f>
        <v/>
      </c>
    </row>
    <row r="4159">
      <c r="A4159" t="n">
        <v>3715</v>
      </c>
      <c r="B4159" t="inlineStr">
        <is>
          <t>A-5058__296</t>
        </is>
      </c>
      <c r="C4159" t="n">
        <v>37.2454067041</v>
      </c>
      <c r="D4159" t="n">
        <v>-7.09370971925</v>
      </c>
      <c r="E4159" t="n">
        <v>4</v>
      </c>
      <c r="F4159" t="n">
        <v>3</v>
      </c>
      <c r="G4159" t="n">
        <v>4</v>
      </c>
      <c r="J4159" t="inlineStr">
        <is>
          <t>Moda</t>
        </is>
      </c>
      <c r="K4159" t="n">
        <v>4</v>
      </c>
      <c r="L4159" t="n">
        <v>4.026</v>
      </c>
      <c r="M4159" t="n">
        <v>0</v>
      </c>
      <c r="N4159" t="inlineStr">
        <is>
          <t>test</t>
        </is>
      </c>
      <c r="O4159">
        <f>HYPERLINK("4\1\marker_916_384224.png", "Ver Imagen")</f>
        <v/>
      </c>
      <c r="P4159">
        <f>HYPERLINK("SO\A-5058\A-5058__296.png", "Ver Imagen")</f>
        <v/>
      </c>
    </row>
    <row r="4160">
      <c r="A4160" t="n">
        <v>3717</v>
      </c>
      <c r="B4160" t="inlineStr">
        <is>
          <t>A-5058__316</t>
        </is>
      </c>
      <c r="C4160" t="n">
        <v>37.2461656194</v>
      </c>
      <c r="D4160" t="n">
        <v>-7.09862371752</v>
      </c>
      <c r="E4160" t="n">
        <v>4</v>
      </c>
      <c r="F4160" t="n">
        <v>3</v>
      </c>
      <c r="G4160" t="n">
        <v>4</v>
      </c>
      <c r="J4160" t="inlineStr">
        <is>
          <t>Moda</t>
        </is>
      </c>
      <c r="K4160" t="n">
        <v>4</v>
      </c>
      <c r="L4160" t="n">
        <v>3.778</v>
      </c>
      <c r="M4160" t="n">
        <v>0</v>
      </c>
      <c r="N4160" t="inlineStr">
        <is>
          <t>train</t>
        </is>
      </c>
      <c r="O4160">
        <f>HYPERLINK("4\1\marker_609_384460.png", "Ver Imagen")</f>
        <v/>
      </c>
      <c r="P4160">
        <f>HYPERLINK("SE\A-5058\A-5058__316.png", "Ver Imagen")</f>
        <v/>
      </c>
    </row>
    <row r="4161">
      <c r="A4161" t="n">
        <v>3717</v>
      </c>
      <c r="B4161" t="inlineStr">
        <is>
          <t>A-5058__316</t>
        </is>
      </c>
      <c r="C4161" t="n">
        <v>37.2461656194</v>
      </c>
      <c r="D4161" t="n">
        <v>-7.09862371752</v>
      </c>
      <c r="E4161" t="n">
        <v>4</v>
      </c>
      <c r="F4161" t="n">
        <v>3</v>
      </c>
      <c r="G4161" t="n">
        <v>4</v>
      </c>
      <c r="J4161" t="inlineStr">
        <is>
          <t>Moda</t>
        </is>
      </c>
      <c r="K4161" t="n">
        <v>4</v>
      </c>
      <c r="L4161" t="n">
        <v>3.856</v>
      </c>
      <c r="M4161" t="n">
        <v>0</v>
      </c>
      <c r="N4161" t="inlineStr">
        <is>
          <t>train</t>
        </is>
      </c>
      <c r="O4161">
        <f>HYPERLINK("4\1\marker_609_384460.png", "Ver Imagen")</f>
        <v/>
      </c>
      <c r="P4161">
        <f>HYPERLINK("SO\A-5058\A-5058__316.png", "Ver Imagen")</f>
        <v/>
      </c>
    </row>
    <row r="4162">
      <c r="A4162" t="n">
        <v>3718</v>
      </c>
      <c r="B4162" t="inlineStr">
        <is>
          <t>A-5058__317</t>
        </is>
      </c>
      <c r="C4162" t="n">
        <v>37.2462844842</v>
      </c>
      <c r="D4162" t="n">
        <v>-7.09883330519</v>
      </c>
      <c r="E4162" t="n">
        <v>4</v>
      </c>
      <c r="F4162" t="n">
        <v>3</v>
      </c>
      <c r="G4162" t="n">
        <v>4</v>
      </c>
      <c r="J4162" t="inlineStr">
        <is>
          <t>Moda</t>
        </is>
      </c>
      <c r="K4162" t="n">
        <v>4</v>
      </c>
      <c r="L4162" t="n">
        <v>3.746</v>
      </c>
      <c r="M4162" t="n">
        <v>0</v>
      </c>
      <c r="N4162" t="inlineStr">
        <is>
          <t>train</t>
        </is>
      </c>
      <c r="O4162">
        <f>HYPERLINK("4\1\marker_965_384468.png", "Ver Imagen")</f>
        <v/>
      </c>
      <c r="P4162">
        <f>HYPERLINK("SE\A-5058\A-5058__317.png", "Ver Imagen")</f>
        <v/>
      </c>
    </row>
    <row r="4163">
      <c r="A4163" t="n">
        <v>3719</v>
      </c>
      <c r="B4163" t="inlineStr">
        <is>
          <t>A-5058__321</t>
        </is>
      </c>
      <c r="C4163" t="n">
        <v>37.2467951901</v>
      </c>
      <c r="D4163" t="n">
        <v>-7.09963555975</v>
      </c>
      <c r="E4163" t="n">
        <v>4</v>
      </c>
      <c r="F4163" t="n">
        <v>3</v>
      </c>
      <c r="G4163" t="n">
        <v>4</v>
      </c>
      <c r="J4163" t="inlineStr">
        <is>
          <t>Moda</t>
        </is>
      </c>
      <c r="K4163" t="n">
        <v>4</v>
      </c>
      <c r="L4163" t="n">
        <v>3.636</v>
      </c>
      <c r="M4163" t="n">
        <v>0</v>
      </c>
      <c r="N4163" t="inlineStr">
        <is>
          <t>train</t>
        </is>
      </c>
      <c r="O4163">
        <f>HYPERLINK("4\1\marker_892_384511.png", "Ver Imagen")</f>
        <v/>
      </c>
      <c r="P4163">
        <f>HYPERLINK("SE\A-5058\A-5058__321.png", "Ver Imagen")</f>
        <v/>
      </c>
    </row>
    <row r="4164">
      <c r="A4164" t="n">
        <v>3720</v>
      </c>
      <c r="B4164" t="inlineStr">
        <is>
          <t>A-5058__323</t>
        </is>
      </c>
      <c r="C4164" t="n">
        <v>37.2470496804</v>
      </c>
      <c r="D4164" t="n">
        <v>-7.10002070127</v>
      </c>
      <c r="E4164" t="n">
        <v>4</v>
      </c>
      <c r="F4164" t="n">
        <v>3</v>
      </c>
      <c r="G4164" t="n">
        <v>4</v>
      </c>
      <c r="J4164" t="inlineStr">
        <is>
          <t>Moda</t>
        </is>
      </c>
      <c r="K4164" t="n">
        <v>4</v>
      </c>
      <c r="L4164" t="n">
        <v>3.888</v>
      </c>
      <c r="M4164" t="n">
        <v>0</v>
      </c>
      <c r="N4164" t="inlineStr">
        <is>
          <t>train</t>
        </is>
      </c>
      <c r="O4164">
        <f>HYPERLINK("4\1\marker_683_384540.png", "Ver Imagen")</f>
        <v/>
      </c>
      <c r="P4164">
        <f>HYPERLINK("SE\A-5058\A-5058__323.png", "Ver Imagen")</f>
        <v/>
      </c>
    </row>
    <row r="4165">
      <c r="A4165" t="n">
        <v>3720</v>
      </c>
      <c r="B4165" t="inlineStr">
        <is>
          <t>A-5058__323</t>
        </is>
      </c>
      <c r="C4165" t="n">
        <v>37.2470496804</v>
      </c>
      <c r="D4165" t="n">
        <v>-7.10002070127</v>
      </c>
      <c r="E4165" t="n">
        <v>4</v>
      </c>
      <c r="F4165" t="n">
        <v>3</v>
      </c>
      <c r="G4165" t="n">
        <v>4</v>
      </c>
      <c r="J4165" t="inlineStr">
        <is>
          <t>Moda</t>
        </is>
      </c>
      <c r="K4165" t="n">
        <v>4</v>
      </c>
      <c r="L4165" t="n">
        <v>3.916</v>
      </c>
      <c r="M4165" t="n">
        <v>0</v>
      </c>
      <c r="N4165" t="inlineStr">
        <is>
          <t>train</t>
        </is>
      </c>
      <c r="O4165">
        <f>HYPERLINK("4\1\marker_683_384540.png", "Ver Imagen")</f>
        <v/>
      </c>
      <c r="P4165">
        <f>HYPERLINK("SO\A-5058\A-5058__323.png", "Ver Imagen")</f>
        <v/>
      </c>
    </row>
    <row r="4166">
      <c r="A4166" t="n">
        <v>3721</v>
      </c>
      <c r="B4166" t="inlineStr">
        <is>
          <t>A-5058__333</t>
        </is>
      </c>
      <c r="C4166" t="n">
        <v>37.2484226202</v>
      </c>
      <c r="D4166" t="n">
        <v>-7.10188068823</v>
      </c>
      <c r="E4166" t="n">
        <v>4</v>
      </c>
      <c r="F4166" t="n">
        <v>3</v>
      </c>
      <c r="G4166" t="n">
        <v>4</v>
      </c>
      <c r="J4166" t="inlineStr">
        <is>
          <t>Moda</t>
        </is>
      </c>
      <c r="K4166" t="n">
        <v>4</v>
      </c>
      <c r="L4166" t="n">
        <v>4.099</v>
      </c>
      <c r="M4166" t="n">
        <v>0</v>
      </c>
      <c r="N4166" t="inlineStr">
        <is>
          <t>test</t>
        </is>
      </c>
      <c r="O4166">
        <f>HYPERLINK("4\1\marker_630_384667.png", "Ver Imagen")</f>
        <v/>
      </c>
      <c r="P4166">
        <f>HYPERLINK("SO\A-5058\A-5058__333.png", "Ver Imagen")</f>
        <v/>
      </c>
    </row>
    <row r="4167">
      <c r="A4167" t="n">
        <v>3722</v>
      </c>
      <c r="B4167" t="inlineStr">
        <is>
          <t>A-5058__335</t>
        </is>
      </c>
      <c r="C4167" t="n">
        <v>37.2487868944</v>
      </c>
      <c r="D4167" t="n">
        <v>-7.10212826679</v>
      </c>
      <c r="E4167" t="n">
        <v>4</v>
      </c>
      <c r="F4167" t="n">
        <v>3</v>
      </c>
      <c r="G4167" t="n">
        <v>4</v>
      </c>
      <c r="J4167" t="inlineStr">
        <is>
          <t>Moda</t>
        </is>
      </c>
      <c r="K4167" t="n">
        <v>4</v>
      </c>
      <c r="L4167" t="n">
        <v>4.099</v>
      </c>
      <c r="M4167" t="n">
        <v>0</v>
      </c>
      <c r="N4167" t="inlineStr">
        <is>
          <t>val</t>
        </is>
      </c>
      <c r="O4167">
        <f>HYPERLINK("4\1\marker_294_384704.png", "Ver Imagen")</f>
        <v/>
      </c>
      <c r="P4167">
        <f>HYPERLINK("SE\A-5058\A-5058__335.png", "Ver Imagen")</f>
        <v/>
      </c>
    </row>
    <row r="4168">
      <c r="A4168" t="n">
        <v>3723</v>
      </c>
      <c r="B4168" t="inlineStr">
        <is>
          <t>A-5058__444</t>
        </is>
      </c>
      <c r="C4168" t="n">
        <v>37.2588574033</v>
      </c>
      <c r="D4168" t="n">
        <v>-7.12306661919</v>
      </c>
      <c r="E4168" t="n">
        <v>4</v>
      </c>
      <c r="F4168" t="n">
        <v>3</v>
      </c>
      <c r="G4168" t="n">
        <v>4</v>
      </c>
      <c r="J4168" t="inlineStr">
        <is>
          <t>Moda</t>
        </is>
      </c>
      <c r="K4168" t="n">
        <v>4</v>
      </c>
      <c r="L4168" t="n">
        <v>3.627</v>
      </c>
      <c r="M4168" t="n">
        <v>0</v>
      </c>
      <c r="N4168" t="inlineStr">
        <is>
          <t>train</t>
        </is>
      </c>
      <c r="O4168">
        <f>HYPERLINK("4\1\marker_615_389020.png", "Ver Imagen")</f>
        <v/>
      </c>
      <c r="P4168">
        <f>HYPERLINK("SO\A-5058\A-5058__444.png", "Ver Imagen")</f>
        <v/>
      </c>
    </row>
    <row r="4169">
      <c r="A4169" t="n">
        <v>3724</v>
      </c>
      <c r="B4169" t="inlineStr">
        <is>
          <t>A-5058__452</t>
        </is>
      </c>
      <c r="C4169" t="n">
        <v>37.2590788672</v>
      </c>
      <c r="D4169" t="n">
        <v>-7.12505438223</v>
      </c>
      <c r="E4169" t="n">
        <v>4</v>
      </c>
      <c r="F4169" t="n">
        <v>3</v>
      </c>
      <c r="G4169" t="n">
        <v>4</v>
      </c>
      <c r="J4169" t="inlineStr">
        <is>
          <t>Moda</t>
        </is>
      </c>
      <c r="K4169" t="n">
        <v>4</v>
      </c>
      <c r="L4169" t="n">
        <v>3.91</v>
      </c>
      <c r="M4169" t="n">
        <v>0</v>
      </c>
      <c r="N4169" t="inlineStr">
        <is>
          <t>train</t>
        </is>
      </c>
      <c r="O4169">
        <f>HYPERLINK("4\1\marker_128_389094.png", "Ver Imagen")</f>
        <v/>
      </c>
      <c r="P4169">
        <f>HYPERLINK("SO\A-5058\A-5058__452.png", "Ver Imagen")</f>
        <v/>
      </c>
    </row>
    <row r="4170">
      <c r="A4170" t="n">
        <v>3726</v>
      </c>
      <c r="B4170" t="inlineStr">
        <is>
          <t>A-495_1__161</t>
        </is>
      </c>
      <c r="C4170" t="n">
        <v>37.4785505685</v>
      </c>
      <c r="D4170" t="n">
        <v>-7.12779311015</v>
      </c>
      <c r="E4170" t="n">
        <v>4</v>
      </c>
      <c r="F4170" t="n">
        <v>3</v>
      </c>
      <c r="G4170" t="n">
        <v>4</v>
      </c>
      <c r="J4170" t="inlineStr">
        <is>
          <t>Moda</t>
        </is>
      </c>
      <c r="K4170" t="n">
        <v>4</v>
      </c>
      <c r="L4170" t="n">
        <v>3.635</v>
      </c>
      <c r="M4170" t="n">
        <v>0</v>
      </c>
      <c r="N4170" t="inlineStr">
        <is>
          <t>train</t>
        </is>
      </c>
      <c r="O4170">
        <f>HYPERLINK("4\1\marker_990_384086.png", "Ver Imagen")</f>
        <v/>
      </c>
      <c r="P4170">
        <f>HYPERLINK("NE\A-495_1\A-495_1__161.png", "Ver Imagen")</f>
        <v/>
      </c>
    </row>
    <row r="4171">
      <c r="A4171" t="n">
        <v>3728</v>
      </c>
      <c r="B4171" t="inlineStr">
        <is>
          <t>A-495_1__154</t>
        </is>
      </c>
      <c r="C4171" t="n">
        <v>37.4775219923</v>
      </c>
      <c r="D4171" t="n">
        <v>-7.12662701503</v>
      </c>
      <c r="E4171" t="n">
        <v>4</v>
      </c>
      <c r="F4171" t="n">
        <v>3</v>
      </c>
      <c r="G4171" t="n">
        <v>4</v>
      </c>
      <c r="J4171" t="inlineStr">
        <is>
          <t>Moda</t>
        </is>
      </c>
      <c r="K4171" t="n">
        <v>4</v>
      </c>
      <c r="L4171" t="n">
        <v>3.758</v>
      </c>
      <c r="M4171" t="n">
        <v>0</v>
      </c>
      <c r="N4171" t="inlineStr">
        <is>
          <t>train</t>
        </is>
      </c>
      <c r="O4171">
        <f>HYPERLINK("4\1\marker_823_384176.png", "Ver Imagen")</f>
        <v/>
      </c>
      <c r="P4171">
        <f>HYPERLINK("NE\A-495_1\A-495_1__154.png", "Ver Imagen")</f>
        <v/>
      </c>
    </row>
    <row r="4172">
      <c r="A4172" t="n">
        <v>3729</v>
      </c>
      <c r="B4172" t="inlineStr">
        <is>
          <t>A-495_1__153</t>
        </is>
      </c>
      <c r="C4172" t="n">
        <v>37.4773831975</v>
      </c>
      <c r="D4172" t="n">
        <v>-7.12641831009</v>
      </c>
      <c r="E4172" t="n">
        <v>4</v>
      </c>
      <c r="F4172" t="n">
        <v>3</v>
      </c>
      <c r="G4172" t="n">
        <v>4</v>
      </c>
      <c r="J4172" t="inlineStr">
        <is>
          <t>Moda</t>
        </is>
      </c>
      <c r="K4172" t="n">
        <v>4</v>
      </c>
      <c r="L4172" t="n">
        <v>3.804</v>
      </c>
      <c r="M4172" t="n">
        <v>0</v>
      </c>
      <c r="N4172" t="inlineStr">
        <is>
          <t>train</t>
        </is>
      </c>
      <c r="O4172">
        <f>HYPERLINK("4\1\marker_521_384184.png", "Ver Imagen")</f>
        <v/>
      </c>
      <c r="P4172">
        <f>HYPERLINK("NE\A-495_1\A-495_1__153.png", "Ver Imagen")</f>
        <v/>
      </c>
    </row>
    <row r="4173">
      <c r="A4173" t="n">
        <v>3730</v>
      </c>
      <c r="B4173" t="inlineStr">
        <is>
          <t>A-495_1__146</t>
        </is>
      </c>
      <c r="C4173" t="n">
        <v>37.4761471628</v>
      </c>
      <c r="D4173" t="n">
        <v>-7.1257753463</v>
      </c>
      <c r="E4173" t="n">
        <v>4</v>
      </c>
      <c r="F4173" t="n">
        <v>3</v>
      </c>
      <c r="G4173" t="n">
        <v>4</v>
      </c>
      <c r="J4173" t="inlineStr">
        <is>
          <t>Moda</t>
        </is>
      </c>
      <c r="K4173" t="n">
        <v>4</v>
      </c>
      <c r="L4173" t="n">
        <v>4.13</v>
      </c>
      <c r="M4173" t="n">
        <v>0</v>
      </c>
      <c r="N4173" t="inlineStr">
        <is>
          <t>train</t>
        </is>
      </c>
      <c r="O4173">
        <f>HYPERLINK("4\1\marker_484_384283.png", "Ver Imagen")</f>
        <v/>
      </c>
      <c r="P4173">
        <f>HYPERLINK("NE\A-495_1\A-495_1__146.png", "Ver Imagen")</f>
        <v/>
      </c>
    </row>
    <row r="4174">
      <c r="A4174" t="n">
        <v>3731</v>
      </c>
      <c r="B4174" t="inlineStr">
        <is>
          <t>A-495_1__142</t>
        </is>
      </c>
      <c r="C4174" t="n">
        <v>37.4753720166</v>
      </c>
      <c r="D4174" t="n">
        <v>-7.1259228748</v>
      </c>
      <c r="E4174" t="n">
        <v>4</v>
      </c>
      <c r="F4174" t="n">
        <v>3</v>
      </c>
      <c r="G4174" t="n">
        <v>4</v>
      </c>
      <c r="J4174" t="inlineStr">
        <is>
          <t>Moda</t>
        </is>
      </c>
      <c r="K4174" t="n">
        <v>4</v>
      </c>
      <c r="L4174" t="n">
        <v>3.723</v>
      </c>
      <c r="M4174" t="n">
        <v>0</v>
      </c>
      <c r="N4174" t="inlineStr">
        <is>
          <t>train</t>
        </is>
      </c>
      <c r="O4174">
        <f>HYPERLINK("4\1\marker_872_384340.png", "Ver Imagen")</f>
        <v/>
      </c>
      <c r="P4174">
        <f>HYPERLINK("NE\A-495_1\A-495_1__142.png", "Ver Imagen")</f>
        <v/>
      </c>
    </row>
    <row r="4175">
      <c r="A4175" t="n">
        <v>3732</v>
      </c>
      <c r="B4175" t="inlineStr">
        <is>
          <t>A-495_1__139</t>
        </is>
      </c>
      <c r="C4175" t="n">
        <v>37.4747654015</v>
      </c>
      <c r="D4175" t="n">
        <v>-7.12605674407</v>
      </c>
      <c r="E4175" t="n">
        <v>4</v>
      </c>
      <c r="F4175" t="n">
        <v>3</v>
      </c>
      <c r="G4175" t="n">
        <v>4</v>
      </c>
      <c r="J4175" t="inlineStr">
        <is>
          <t>Moda</t>
        </is>
      </c>
      <c r="K4175" t="n">
        <v>4</v>
      </c>
      <c r="L4175" t="n">
        <v>3.842</v>
      </c>
      <c r="M4175" t="n">
        <v>0</v>
      </c>
      <c r="N4175" t="inlineStr">
        <is>
          <t>train</t>
        </is>
      </c>
      <c r="O4175">
        <f>HYPERLINK("4\1\marker_483_384382.png", "Ver Imagen")</f>
        <v/>
      </c>
      <c r="P4175">
        <f>HYPERLINK("NE\A-495_1\A-495_1__139.png", "Ver Imagen")</f>
        <v/>
      </c>
    </row>
    <row r="4176">
      <c r="A4176" t="n">
        <v>3733</v>
      </c>
      <c r="B4176" t="inlineStr">
        <is>
          <t>A-495_1__134</t>
        </is>
      </c>
      <c r="C4176" t="n">
        <v>37.4737552169</v>
      </c>
      <c r="D4176" t="n">
        <v>-7.12627689842</v>
      </c>
      <c r="E4176" t="n">
        <v>4</v>
      </c>
      <c r="F4176" t="n">
        <v>3</v>
      </c>
      <c r="G4176" t="n">
        <v>4</v>
      </c>
      <c r="J4176" t="inlineStr">
        <is>
          <t>Moda</t>
        </is>
      </c>
      <c r="K4176" t="n">
        <v>4</v>
      </c>
      <c r="L4176" t="n">
        <v>3.907</v>
      </c>
      <c r="M4176" t="n">
        <v>0</v>
      </c>
      <c r="N4176" t="inlineStr">
        <is>
          <t>train</t>
        </is>
      </c>
      <c r="O4176">
        <f>HYPERLINK("4\1\marker_282_384431.png", "Ver Imagen")</f>
        <v/>
      </c>
      <c r="P4176">
        <f>HYPERLINK("NE\A-495_1\A-495_1__134.png", "Ver Imagen")</f>
        <v/>
      </c>
    </row>
    <row r="4177">
      <c r="A4177" t="n">
        <v>3734</v>
      </c>
      <c r="B4177" t="inlineStr">
        <is>
          <t>A-495_1__130</t>
        </is>
      </c>
      <c r="C4177" t="n">
        <v>37.472965358</v>
      </c>
      <c r="D4177" t="n">
        <v>-7.12640699039</v>
      </c>
      <c r="E4177" t="n">
        <v>4</v>
      </c>
      <c r="F4177" t="n">
        <v>3</v>
      </c>
      <c r="G4177" t="n">
        <v>4</v>
      </c>
      <c r="J4177" t="inlineStr">
        <is>
          <t>Moda</t>
        </is>
      </c>
      <c r="K4177" t="n">
        <v>4</v>
      </c>
      <c r="L4177" t="n">
        <v>3.811</v>
      </c>
      <c r="M4177" t="n">
        <v>0</v>
      </c>
      <c r="N4177" t="inlineStr">
        <is>
          <t>train</t>
        </is>
      </c>
      <c r="O4177">
        <f>HYPERLINK("4\1\marker_905_384476.png", "Ver Imagen")</f>
        <v/>
      </c>
      <c r="P4177">
        <f>HYPERLINK("NE\A-495_1\A-495_1__130.png", "Ver Imagen")</f>
        <v/>
      </c>
    </row>
    <row r="4178">
      <c r="A4178" t="n">
        <v>3735</v>
      </c>
      <c r="B4178" t="inlineStr">
        <is>
          <t>A-495_1__127</t>
        </is>
      </c>
      <c r="C4178" t="n">
        <v>37.4723440989</v>
      </c>
      <c r="D4178" t="n">
        <v>-7.12635947036</v>
      </c>
      <c r="E4178" t="n">
        <v>4</v>
      </c>
      <c r="F4178" t="n">
        <v>3</v>
      </c>
      <c r="G4178" t="n">
        <v>4</v>
      </c>
      <c r="J4178" t="inlineStr">
        <is>
          <t>Moda</t>
        </is>
      </c>
      <c r="K4178" t="n">
        <v>4</v>
      </c>
      <c r="L4178" t="n">
        <v>3.664</v>
      </c>
      <c r="M4178" t="n">
        <v>0</v>
      </c>
      <c r="N4178" t="inlineStr">
        <is>
          <t>train</t>
        </is>
      </c>
      <c r="O4178">
        <f>HYPERLINK("4\1\marker_437_384502.png", "Ver Imagen")</f>
        <v/>
      </c>
      <c r="P4178">
        <f>HYPERLINK("NE\A-495_1\A-495_1__127.png", "Ver Imagen")</f>
        <v/>
      </c>
    </row>
    <row r="4179">
      <c r="A4179" t="n">
        <v>3736</v>
      </c>
      <c r="B4179" t="inlineStr">
        <is>
          <t>A-495_1__125</t>
        </is>
      </c>
      <c r="C4179" t="n">
        <v>37.4719894459</v>
      </c>
      <c r="D4179" t="n">
        <v>-7.12618764286</v>
      </c>
      <c r="E4179" t="n">
        <v>4</v>
      </c>
      <c r="F4179" t="n">
        <v>3</v>
      </c>
      <c r="G4179" t="n">
        <v>4</v>
      </c>
      <c r="J4179" t="inlineStr">
        <is>
          <t>Moda</t>
        </is>
      </c>
      <c r="K4179" t="n">
        <v>4</v>
      </c>
      <c r="L4179" t="n">
        <v>3.843</v>
      </c>
      <c r="M4179" t="n">
        <v>0</v>
      </c>
      <c r="N4179" t="inlineStr">
        <is>
          <t>val</t>
        </is>
      </c>
      <c r="O4179">
        <f>HYPERLINK("4\1\marker_635_384521.png", "Ver Imagen")</f>
        <v/>
      </c>
      <c r="P4179">
        <f>HYPERLINK("NE\A-495_1\A-495_1__125.png", "Ver Imagen")</f>
        <v/>
      </c>
    </row>
    <row r="4180">
      <c r="A4180" t="n">
        <v>3737</v>
      </c>
      <c r="B4180" t="inlineStr">
        <is>
          <t>A-495_1__122</t>
        </is>
      </c>
      <c r="C4180" t="n">
        <v>37.4714726086</v>
      </c>
      <c r="D4180" t="n">
        <v>-7.1257911239</v>
      </c>
      <c r="E4180" t="n">
        <v>4</v>
      </c>
      <c r="F4180" t="n">
        <v>3</v>
      </c>
      <c r="G4180" t="n">
        <v>4</v>
      </c>
      <c r="J4180" t="inlineStr">
        <is>
          <t>Moda</t>
        </is>
      </c>
      <c r="K4180" t="n">
        <v>4</v>
      </c>
      <c r="L4180" t="n">
        <v>3.846</v>
      </c>
      <c r="M4180" t="n">
        <v>0</v>
      </c>
      <c r="N4180" t="inlineStr">
        <is>
          <t>train</t>
        </is>
      </c>
      <c r="O4180">
        <f>HYPERLINK("4\1\marker_439_384550.png", "Ver Imagen")</f>
        <v/>
      </c>
      <c r="P4180">
        <f>HYPERLINK("NE\A-495_1\A-495_1__122.png", "Ver Imagen")</f>
        <v/>
      </c>
    </row>
    <row r="4181">
      <c r="A4181" t="n">
        <v>3739</v>
      </c>
      <c r="B4181" t="inlineStr">
        <is>
          <t>A-495_1__110</t>
        </is>
      </c>
      <c r="C4181" t="n">
        <v>37.4693838788</v>
      </c>
      <c r="D4181" t="n">
        <v>-7.12420481671</v>
      </c>
      <c r="E4181" t="n">
        <v>5</v>
      </c>
      <c r="F4181" t="n">
        <v>4</v>
      </c>
      <c r="G4181" t="n">
        <v>4</v>
      </c>
      <c r="J4181" t="inlineStr">
        <is>
          <t>Moda</t>
        </is>
      </c>
      <c r="K4181" t="n">
        <v>4</v>
      </c>
      <c r="L4181" t="n">
        <v>3.881</v>
      </c>
      <c r="M4181" t="n">
        <v>0</v>
      </c>
      <c r="N4181" t="inlineStr">
        <is>
          <t>train</t>
        </is>
      </c>
      <c r="O4181">
        <f>HYPERLINK("4\1\marker_792_384721.png", "Ver Imagen")</f>
        <v/>
      </c>
      <c r="P4181">
        <f>HYPERLINK("NE\A-495_1\A-495_1__110.png", "Ver Imagen")</f>
        <v/>
      </c>
    </row>
    <row r="4182">
      <c r="A4182" t="n">
        <v>3740</v>
      </c>
      <c r="B4182" t="inlineStr">
        <is>
          <t>A-495_1__101</t>
        </is>
      </c>
      <c r="C4182" t="n">
        <v>37.4677541383</v>
      </c>
      <c r="D4182" t="n">
        <v>-7.12314355761</v>
      </c>
      <c r="E4182" t="n">
        <v>4</v>
      </c>
      <c r="F4182" t="n">
        <v>3</v>
      </c>
      <c r="G4182" t="n">
        <v>4</v>
      </c>
      <c r="J4182" t="inlineStr">
        <is>
          <t>Moda</t>
        </is>
      </c>
      <c r="K4182" t="n">
        <v>4</v>
      </c>
      <c r="L4182" t="n">
        <v>4.04</v>
      </c>
      <c r="M4182" t="n">
        <v>0</v>
      </c>
      <c r="N4182" t="inlineStr">
        <is>
          <t>train</t>
        </is>
      </c>
      <c r="O4182">
        <f>HYPERLINK("4\1\marker_748_385013.png", "Ver Imagen")</f>
        <v/>
      </c>
      <c r="P4182">
        <f>HYPERLINK("NE\A-495_1\A-495_1__101.png", "Ver Imagen")</f>
        <v/>
      </c>
    </row>
    <row r="4183">
      <c r="A4183" t="n">
        <v>3741</v>
      </c>
      <c r="B4183" t="inlineStr">
        <is>
          <t>A-497__828</t>
        </is>
      </c>
      <c r="C4183" t="n">
        <v>37.1981880542</v>
      </c>
      <c r="D4183" t="n">
        <v>-6.98103060481</v>
      </c>
      <c r="E4183" t="n">
        <v>4</v>
      </c>
      <c r="F4183" t="n">
        <v>3</v>
      </c>
      <c r="G4183" t="n">
        <v>4</v>
      </c>
      <c r="J4183" t="inlineStr">
        <is>
          <t>Moda</t>
        </is>
      </c>
      <c r="K4183" t="n">
        <v>4</v>
      </c>
      <c r="L4183" t="n">
        <v>3.747</v>
      </c>
      <c r="M4183" t="n">
        <v>0</v>
      </c>
      <c r="N4183" t="inlineStr">
        <is>
          <t>train</t>
        </is>
      </c>
      <c r="O4183">
        <f>HYPERLINK("4\1\marker_640_367666.png", "Ver Imagen")</f>
        <v/>
      </c>
      <c r="P4183">
        <f>HYPERLINK("SE\A-497\A-497__828.png", "Ver Imagen")</f>
        <v/>
      </c>
    </row>
    <row r="4184">
      <c r="A4184" t="n">
        <v>3742</v>
      </c>
      <c r="B4184" t="inlineStr">
        <is>
          <t>A-497__808</t>
        </is>
      </c>
      <c r="C4184" t="n">
        <v>37.194966547</v>
      </c>
      <c r="D4184" t="n">
        <v>-6.97805880952</v>
      </c>
      <c r="E4184" t="n">
        <v>4</v>
      </c>
      <c r="F4184" t="n">
        <v>3</v>
      </c>
      <c r="G4184" t="n">
        <v>4</v>
      </c>
      <c r="J4184" t="inlineStr">
        <is>
          <t>Moda</t>
        </is>
      </c>
      <c r="K4184" t="n">
        <v>4</v>
      </c>
      <c r="L4184" t="n">
        <v>3.838</v>
      </c>
      <c r="M4184" t="n">
        <v>0</v>
      </c>
      <c r="N4184" t="inlineStr">
        <is>
          <t>train</t>
        </is>
      </c>
      <c r="O4184">
        <f>HYPERLINK("4\1\marker_841_367868.png", "Ver Imagen")</f>
        <v/>
      </c>
      <c r="P4184">
        <f>HYPERLINK("SE\A-497\A-497__808.png", "Ver Imagen")</f>
        <v/>
      </c>
    </row>
    <row r="4185">
      <c r="A4185" t="n">
        <v>3743</v>
      </c>
      <c r="B4185" t="inlineStr">
        <is>
          <t>A-497__799</t>
        </is>
      </c>
      <c r="C4185" t="n">
        <v>37.1932584219</v>
      </c>
      <c r="D4185" t="n">
        <v>-6.97765189223</v>
      </c>
      <c r="E4185" t="n">
        <v>4</v>
      </c>
      <c r="F4185" t="n">
        <v>3</v>
      </c>
      <c r="G4185" t="n">
        <v>4</v>
      </c>
      <c r="J4185" t="inlineStr">
        <is>
          <t>Moda</t>
        </is>
      </c>
      <c r="K4185" t="n">
        <v>4</v>
      </c>
      <c r="L4185" t="n">
        <v>3.825</v>
      </c>
      <c r="M4185" t="n">
        <v>0</v>
      </c>
      <c r="N4185" t="inlineStr">
        <is>
          <t>train</t>
        </is>
      </c>
      <c r="O4185">
        <f>HYPERLINK("4\1\marker_683_367959.png", "Ver Imagen")</f>
        <v/>
      </c>
      <c r="P4185">
        <f>HYPERLINK("SE\A-497\A-497__799.png", "Ver Imagen")</f>
        <v/>
      </c>
    </row>
    <row r="4186">
      <c r="A4186" t="n">
        <v>3744</v>
      </c>
      <c r="B4186" t="inlineStr">
        <is>
          <t>A-497__795</t>
        </is>
      </c>
      <c r="C4186" t="n">
        <v>37.1924060034</v>
      </c>
      <c r="D4186" t="n">
        <v>-6.97765814461</v>
      </c>
      <c r="E4186" t="n">
        <v>4</v>
      </c>
      <c r="F4186" t="n">
        <v>3</v>
      </c>
      <c r="G4186" t="n">
        <v>4</v>
      </c>
      <c r="J4186" t="inlineStr">
        <is>
          <t>Moda</t>
        </is>
      </c>
      <c r="K4186" t="n">
        <v>4</v>
      </c>
      <c r="L4186" t="n">
        <v>3.964</v>
      </c>
      <c r="M4186" t="n">
        <v>0</v>
      </c>
      <c r="N4186" t="inlineStr">
        <is>
          <t>train</t>
        </is>
      </c>
      <c r="O4186">
        <f>HYPERLINK("4\1\marker_675_368006.png", "Ver Imagen")</f>
        <v/>
      </c>
      <c r="P4186">
        <f>HYPERLINK("SE\A-497\A-497__795.png", "Ver Imagen")</f>
        <v/>
      </c>
    </row>
    <row r="4187">
      <c r="A4187" t="n">
        <v>3745</v>
      </c>
      <c r="B4187" t="inlineStr">
        <is>
          <t>A-497__792</t>
        </is>
      </c>
      <c r="C4187" t="n">
        <v>37.1917832033</v>
      </c>
      <c r="D4187" t="n">
        <v>-6.97772981146</v>
      </c>
      <c r="E4187" t="n">
        <v>4</v>
      </c>
      <c r="F4187" t="n">
        <v>3</v>
      </c>
      <c r="G4187" t="n">
        <v>4</v>
      </c>
      <c r="J4187" t="inlineStr">
        <is>
          <t>Moda</t>
        </is>
      </c>
      <c r="K4187" t="n">
        <v>4</v>
      </c>
      <c r="L4187" t="n">
        <v>3.562</v>
      </c>
      <c r="M4187" t="n">
        <v>0</v>
      </c>
      <c r="N4187" t="inlineStr">
        <is>
          <t>train</t>
        </is>
      </c>
      <c r="O4187">
        <f>HYPERLINK("4\1\marker_520_368040.png", "Ver Imagen")</f>
        <v/>
      </c>
      <c r="P4187">
        <f>HYPERLINK("SE\A-497\A-497__792.png", "Ver Imagen")</f>
        <v/>
      </c>
    </row>
    <row r="4188">
      <c r="A4188" t="n">
        <v>3746</v>
      </c>
      <c r="B4188" t="inlineStr">
        <is>
          <t>A-497__783</t>
        </is>
      </c>
      <c r="C4188" t="n">
        <v>37.1899925614</v>
      </c>
      <c r="D4188" t="n">
        <v>-6.97813783844</v>
      </c>
      <c r="E4188" t="n">
        <v>4</v>
      </c>
      <c r="F4188" t="n">
        <v>3</v>
      </c>
      <c r="G4188" t="n">
        <v>4</v>
      </c>
      <c r="J4188" t="inlineStr">
        <is>
          <t>Moda</t>
        </is>
      </c>
      <c r="K4188" t="n">
        <v>4</v>
      </c>
      <c r="L4188" t="n">
        <v>4.116</v>
      </c>
      <c r="M4188" t="n">
        <v>0</v>
      </c>
      <c r="N4188" t="inlineStr">
        <is>
          <t>train</t>
        </is>
      </c>
      <c r="O4188">
        <f>HYPERLINK("4\1\marker_741_368132.png", "Ver Imagen")</f>
        <v/>
      </c>
      <c r="P4188">
        <f>HYPERLINK("SE\A-497\A-497__783.png", "Ver Imagen")</f>
        <v/>
      </c>
    </row>
    <row r="4189">
      <c r="A4189" t="n">
        <v>3747</v>
      </c>
      <c r="B4189" t="inlineStr">
        <is>
          <t>A-497_2C__20</t>
        </is>
      </c>
      <c r="C4189" t="n">
        <v>37.2675938963</v>
      </c>
      <c r="D4189" t="n">
        <v>-6.96203319018</v>
      </c>
      <c r="E4189" t="n">
        <v>4</v>
      </c>
      <c r="F4189" t="n">
        <v>3</v>
      </c>
      <c r="G4189" t="n">
        <v>4</v>
      </c>
      <c r="J4189" t="inlineStr">
        <is>
          <t>Moda</t>
        </is>
      </c>
      <c r="K4189" t="n">
        <v>4</v>
      </c>
      <c r="L4189" t="n">
        <v>3.852</v>
      </c>
      <c r="M4189" t="n">
        <v>0</v>
      </c>
      <c r="N4189" t="inlineStr">
        <is>
          <t>val</t>
        </is>
      </c>
      <c r="O4189">
        <f>HYPERLINK("4\1\marker_694_654388.png", "Ver Imagen")</f>
        <v/>
      </c>
      <c r="P4189">
        <f>HYPERLINK("SE\A-497_2C\A-497_2C__20.png", "Ver Imagen")</f>
        <v/>
      </c>
    </row>
    <row r="4190">
      <c r="A4190" t="n">
        <v>3748</v>
      </c>
      <c r="B4190" t="inlineStr">
        <is>
          <t>A-497_2C__21</t>
        </is>
      </c>
      <c r="C4190" t="n">
        <v>37.2675998387</v>
      </c>
      <c r="D4190" t="n">
        <v>-6.96224729898</v>
      </c>
      <c r="E4190" t="n">
        <v>4</v>
      </c>
      <c r="F4190" t="n">
        <v>3</v>
      </c>
      <c r="G4190" t="n">
        <v>4</v>
      </c>
      <c r="J4190" t="inlineStr">
        <is>
          <t>Moda</t>
        </is>
      </c>
      <c r="K4190" t="n">
        <v>4</v>
      </c>
      <c r="L4190" t="n">
        <v>3.516</v>
      </c>
      <c r="M4190" t="n">
        <v>0</v>
      </c>
      <c r="N4190" t="inlineStr">
        <is>
          <t>train</t>
        </is>
      </c>
      <c r="O4190">
        <f>HYPERLINK("4\1\marker_418_654398.png", "Ver Imagen")</f>
        <v/>
      </c>
      <c r="P4190">
        <f>HYPERLINK("SE\A-497_2C\A-497_2C__21.png", "Ver Imagen")</f>
        <v/>
      </c>
    </row>
    <row r="4191">
      <c r="A4191" t="n">
        <v>3749</v>
      </c>
      <c r="B4191" t="inlineStr">
        <is>
          <t>A-497_2C__25</t>
        </is>
      </c>
      <c r="C4191" t="n">
        <v>37.2676286602</v>
      </c>
      <c r="D4191" t="n">
        <v>-6.96327324032</v>
      </c>
      <c r="E4191" t="n">
        <v>4</v>
      </c>
      <c r="F4191" t="n">
        <v>3</v>
      </c>
      <c r="G4191" t="n">
        <v>4</v>
      </c>
      <c r="J4191" t="inlineStr">
        <is>
          <t>Moda</t>
        </is>
      </c>
      <c r="K4191" t="n">
        <v>4</v>
      </c>
      <c r="L4191" t="n">
        <v>3.902</v>
      </c>
      <c r="M4191" t="n">
        <v>0</v>
      </c>
      <c r="N4191" t="inlineStr">
        <is>
          <t>train</t>
        </is>
      </c>
      <c r="O4191">
        <f>HYPERLINK("4\1\marker_629_654435.png", "Ver Imagen")</f>
        <v/>
      </c>
      <c r="P4191">
        <f>HYPERLINK("SE\A-497_2C\A-497_2C__25.png", "Ver Imagen")</f>
        <v/>
      </c>
    </row>
    <row r="4192">
      <c r="A4192" t="n">
        <v>3751</v>
      </c>
      <c r="B4192" t="inlineStr">
        <is>
          <t>A-497_2C__154</t>
        </is>
      </c>
      <c r="C4192" t="n">
        <v>37.2668707558</v>
      </c>
      <c r="D4192" t="n">
        <v>-6.99206999673</v>
      </c>
      <c r="E4192" t="n">
        <v>5</v>
      </c>
      <c r="F4192" t="n">
        <v>4</v>
      </c>
      <c r="G4192" t="n">
        <v>4</v>
      </c>
      <c r="J4192" t="inlineStr">
        <is>
          <t>Moda</t>
        </is>
      </c>
      <c r="K4192" t="n">
        <v>4</v>
      </c>
      <c r="L4192" t="n">
        <v>4.004</v>
      </c>
      <c r="M4192" t="n">
        <v>0</v>
      </c>
      <c r="N4192" t="inlineStr">
        <is>
          <t>train</t>
        </is>
      </c>
      <c r="O4192">
        <f>HYPERLINK("4\1\marker_742_656044.png", "Ver Imagen")</f>
        <v/>
      </c>
      <c r="P4192">
        <f>HYPERLINK("SE\A-497_2C\A-497_2C__154.png", "Ver Imagen")</f>
        <v/>
      </c>
    </row>
    <row r="4193">
      <c r="A4193" t="n">
        <v>3754</v>
      </c>
      <c r="B4193" t="inlineStr">
        <is>
          <t>A-497_2C__186</t>
        </is>
      </c>
      <c r="C4193" t="n">
        <v>37.2648651269</v>
      </c>
      <c r="D4193" t="n">
        <v>-6.99965627353</v>
      </c>
      <c r="E4193" t="n">
        <v>4</v>
      </c>
      <c r="F4193" t="n">
        <v>5</v>
      </c>
      <c r="G4193" t="n">
        <v>4</v>
      </c>
      <c r="J4193" t="inlineStr">
        <is>
          <t>Moda</t>
        </is>
      </c>
      <c r="K4193" t="n">
        <v>4</v>
      </c>
      <c r="L4193" t="n">
        <v>3.941</v>
      </c>
      <c r="M4193" t="n">
        <v>0</v>
      </c>
      <c r="N4193" t="inlineStr">
        <is>
          <t>train</t>
        </is>
      </c>
      <c r="O4193">
        <f>HYPERLINK("4\1\marker_841_656382.png", "Ver Imagen")</f>
        <v/>
      </c>
      <c r="P4193">
        <f>HYPERLINK("SE\A-497_2C\A-497_2C__186.png", "Ver Imagen")</f>
        <v/>
      </c>
    </row>
    <row r="4194">
      <c r="A4194" t="n">
        <v>3755</v>
      </c>
      <c r="B4194" t="inlineStr">
        <is>
          <t>A-497__706</t>
        </is>
      </c>
      <c r="C4194" t="n">
        <v>37.195697733</v>
      </c>
      <c r="D4194" t="n">
        <v>-6.97823113593</v>
      </c>
      <c r="E4194" t="n">
        <v>4</v>
      </c>
      <c r="F4194" t="n">
        <v>3</v>
      </c>
      <c r="G4194" t="n">
        <v>4</v>
      </c>
      <c r="J4194" t="inlineStr">
        <is>
          <t>Moda</t>
        </is>
      </c>
      <c r="K4194" t="n">
        <v>4</v>
      </c>
      <c r="L4194" t="n">
        <v>3.566</v>
      </c>
      <c r="M4194" t="n">
        <v>0</v>
      </c>
      <c r="N4194" t="inlineStr">
        <is>
          <t>train</t>
        </is>
      </c>
      <c r="O4194">
        <f>HYPERLINK("4\1\marker_679_370319.png", "Ver Imagen")</f>
        <v/>
      </c>
      <c r="P4194">
        <f>HYPERLINK("SE\A-497\A-497__706.png", "Ver Imagen")</f>
        <v/>
      </c>
    </row>
    <row r="4195">
      <c r="A4195" t="n">
        <v>3757</v>
      </c>
      <c r="B4195" t="inlineStr">
        <is>
          <t>A-497_2C__282</t>
        </is>
      </c>
      <c r="C4195" t="n">
        <v>37.2528578446</v>
      </c>
      <c r="D4195" t="n">
        <v>-7.01626654604</v>
      </c>
      <c r="E4195" t="n">
        <v>4</v>
      </c>
      <c r="F4195" t="n">
        <v>3</v>
      </c>
      <c r="G4195" t="n">
        <v>4</v>
      </c>
      <c r="J4195" t="inlineStr">
        <is>
          <t>Moda</t>
        </is>
      </c>
      <c r="K4195" t="n">
        <v>4</v>
      </c>
      <c r="L4195" t="n">
        <v>3.777</v>
      </c>
      <c r="M4195" t="n">
        <v>0</v>
      </c>
      <c r="N4195" t="inlineStr">
        <is>
          <t>train</t>
        </is>
      </c>
      <c r="O4195">
        <f>HYPERLINK("4\1\marker_868_319908.png", "Ver Imagen")</f>
        <v/>
      </c>
      <c r="P4195">
        <f>HYPERLINK("SE\A-497_2C\A-497_2C__282.png", "Ver Imagen")</f>
        <v/>
      </c>
    </row>
    <row r="4196">
      <c r="A4196" t="n">
        <v>3758</v>
      </c>
      <c r="B4196" t="inlineStr">
        <is>
          <t>A-497__575</t>
        </is>
      </c>
      <c r="C4196" t="n">
        <v>37.2037807865</v>
      </c>
      <c r="D4196" t="n">
        <v>-7.00887384021</v>
      </c>
      <c r="E4196" t="n">
        <v>4</v>
      </c>
      <c r="F4196" t="n">
        <v>3</v>
      </c>
      <c r="G4196" t="n">
        <v>4</v>
      </c>
      <c r="J4196" t="inlineStr">
        <is>
          <t>Moda</t>
        </is>
      </c>
      <c r="K4196" t="n">
        <v>4</v>
      </c>
      <c r="L4196" t="n">
        <v>3.592</v>
      </c>
      <c r="M4196" t="n">
        <v>0</v>
      </c>
      <c r="N4196" t="inlineStr">
        <is>
          <t>train</t>
        </is>
      </c>
      <c r="O4196">
        <f>HYPERLINK("4\1\marker_213_371973.png", "Ver Imagen")</f>
        <v/>
      </c>
      <c r="P4196">
        <f>HYPERLINK("SE\A-497\A-497__575.png", "Ver Imagen")</f>
        <v/>
      </c>
    </row>
    <row r="4197">
      <c r="A4197" t="n">
        <v>3759</v>
      </c>
      <c r="B4197" t="inlineStr">
        <is>
          <t>A-497_2C__295</t>
        </is>
      </c>
      <c r="C4197" t="n">
        <v>37.2504889931</v>
      </c>
      <c r="D4197" t="n">
        <v>-7.01776372206</v>
      </c>
      <c r="E4197" t="n">
        <v>4</v>
      </c>
      <c r="F4197" t="n">
        <v>3</v>
      </c>
      <c r="G4197" t="n">
        <v>4</v>
      </c>
      <c r="J4197" t="inlineStr">
        <is>
          <t>Moda</t>
        </is>
      </c>
      <c r="K4197" t="n">
        <v>4</v>
      </c>
      <c r="L4197" t="n">
        <v>4.409</v>
      </c>
      <c r="M4197" t="n">
        <v>0</v>
      </c>
      <c r="N4197" t="inlineStr">
        <is>
          <t>train</t>
        </is>
      </c>
      <c r="O4197">
        <f>HYPERLINK("4\1\marker_392_320120.png", "Ver Imagen")</f>
        <v/>
      </c>
      <c r="P4197">
        <f>HYPERLINK("SE\A-497_2C\A-497_2C__295.png", "Ver Imagen")</f>
        <v/>
      </c>
    </row>
    <row r="4198">
      <c r="A4198" t="n">
        <v>3760</v>
      </c>
      <c r="B4198" t="inlineStr">
        <is>
          <t>A-497_2C__310</t>
        </is>
      </c>
      <c r="C4198" t="n">
        <v>37.2475041476</v>
      </c>
      <c r="D4198" t="n">
        <v>-7.01839624823</v>
      </c>
      <c r="E4198" t="n">
        <v>4</v>
      </c>
      <c r="F4198" t="n">
        <v>3</v>
      </c>
      <c r="G4198" t="n">
        <v>4</v>
      </c>
      <c r="J4198" t="inlineStr">
        <is>
          <t>Moda</t>
        </is>
      </c>
      <c r="K4198" t="n">
        <v>4</v>
      </c>
      <c r="L4198" t="n">
        <v>3.989</v>
      </c>
      <c r="M4198" t="n">
        <v>0</v>
      </c>
      <c r="N4198" t="inlineStr">
        <is>
          <t>train</t>
        </is>
      </c>
      <c r="O4198">
        <f>HYPERLINK("4\1\marker_509_361833.png", "Ver Imagen")</f>
        <v/>
      </c>
      <c r="P4198">
        <f>HYPERLINK("SE\A-497_2C\A-497_2C__310.png", "Ver Imagen")</f>
        <v/>
      </c>
    </row>
    <row r="4199">
      <c r="A4199" t="n">
        <v>3761</v>
      </c>
      <c r="B4199" t="inlineStr">
        <is>
          <t>A-497_2C__314</t>
        </is>
      </c>
      <c r="C4199" t="n">
        <v>37.2467122794</v>
      </c>
      <c r="D4199" t="n">
        <v>-7.01842592946</v>
      </c>
      <c r="E4199" t="n">
        <v>4</v>
      </c>
      <c r="F4199" t="n">
        <v>3</v>
      </c>
      <c r="G4199" t="n">
        <v>4</v>
      </c>
      <c r="J4199" t="inlineStr">
        <is>
          <t>Moda</t>
        </is>
      </c>
      <c r="K4199" t="n">
        <v>4</v>
      </c>
      <c r="L4199" t="n">
        <v>4.134</v>
      </c>
      <c r="M4199" t="n">
        <v>0</v>
      </c>
      <c r="N4199" t="inlineStr">
        <is>
          <t>train</t>
        </is>
      </c>
      <c r="O4199">
        <f>HYPERLINK("4\1\marker_539_361871.png", "Ver Imagen")</f>
        <v/>
      </c>
      <c r="P4199">
        <f>HYPERLINK("SE\A-497_2C\A-497_2C__314.png", "Ver Imagen")</f>
        <v/>
      </c>
    </row>
    <row r="4200">
      <c r="A4200" t="n">
        <v>3762</v>
      </c>
      <c r="B4200" t="inlineStr">
        <is>
          <t>A-497_2C__331</t>
        </is>
      </c>
      <c r="C4200" t="n">
        <v>37.2432474318</v>
      </c>
      <c r="D4200" t="n">
        <v>-7.0185583439</v>
      </c>
      <c r="E4200" t="n">
        <v>4</v>
      </c>
      <c r="F4200" t="n">
        <v>3</v>
      </c>
      <c r="G4200" t="n">
        <v>4</v>
      </c>
      <c r="J4200" t="inlineStr">
        <is>
          <t>Moda</t>
        </is>
      </c>
      <c r="K4200" t="n">
        <v>4</v>
      </c>
      <c r="L4200" t="n">
        <v>4.006</v>
      </c>
      <c r="M4200" t="n">
        <v>0</v>
      </c>
      <c r="N4200" t="inlineStr">
        <is>
          <t>train</t>
        </is>
      </c>
      <c r="O4200">
        <f>HYPERLINK("4\1\marker_627_362029.png", "Ver Imagen")</f>
        <v/>
      </c>
      <c r="P4200">
        <f>HYPERLINK("SE\A-497_2C\A-497_2C__331.png", "Ver Imagen")</f>
        <v/>
      </c>
    </row>
    <row r="4201">
      <c r="A4201" t="n">
        <v>3764</v>
      </c>
      <c r="B4201" t="inlineStr">
        <is>
          <t>A-497_2C__362</t>
        </is>
      </c>
      <c r="C4201" t="n">
        <v>37.2369685557</v>
      </c>
      <c r="D4201" t="n">
        <v>-7.01872087628</v>
      </c>
      <c r="E4201" t="n">
        <v>4</v>
      </c>
      <c r="F4201" t="n">
        <v>3</v>
      </c>
      <c r="G4201" t="n">
        <v>4</v>
      </c>
      <c r="J4201" t="inlineStr">
        <is>
          <t>Moda</t>
        </is>
      </c>
      <c r="K4201" t="n">
        <v>4</v>
      </c>
      <c r="L4201" t="n">
        <v>3.678</v>
      </c>
      <c r="M4201" t="n">
        <v>0</v>
      </c>
      <c r="N4201" t="inlineStr">
        <is>
          <t>train</t>
        </is>
      </c>
      <c r="O4201">
        <f>HYPERLINK("4\1\marker_389_362365.png", "Ver Imagen")</f>
        <v/>
      </c>
      <c r="P4201">
        <f>HYPERLINK("SE\A-497_2C\A-497_2C__362.png", "Ver Imagen")</f>
        <v/>
      </c>
    </row>
    <row r="4202">
      <c r="A4202" t="n">
        <v>3765</v>
      </c>
      <c r="B4202" t="inlineStr">
        <is>
          <t>A-497_2C__363</t>
        </is>
      </c>
      <c r="C4202" t="n">
        <v>37.2367755522</v>
      </c>
      <c r="D4202" t="n">
        <v>-7.01869679411</v>
      </c>
      <c r="E4202" t="n">
        <v>4</v>
      </c>
      <c r="F4202" t="n">
        <v>3</v>
      </c>
      <c r="G4202" t="n">
        <v>4</v>
      </c>
      <c r="J4202" t="inlineStr">
        <is>
          <t>Moda</t>
        </is>
      </c>
      <c r="K4202" t="n">
        <v>4</v>
      </c>
      <c r="L4202" t="n">
        <v>3.972</v>
      </c>
      <c r="M4202" t="n">
        <v>0</v>
      </c>
      <c r="N4202" t="inlineStr">
        <is>
          <t>train</t>
        </is>
      </c>
      <c r="O4202">
        <f>HYPERLINK("4\1\marker_423_362376.png", "Ver Imagen")</f>
        <v/>
      </c>
      <c r="P4202">
        <f>HYPERLINK("SE\A-497_2C\A-497_2C__363.png", "Ver Imagen")</f>
        <v/>
      </c>
    </row>
    <row r="4203">
      <c r="A4203" t="n">
        <v>3766</v>
      </c>
      <c r="B4203" t="inlineStr">
        <is>
          <t>A-497_2C__364</t>
        </is>
      </c>
      <c r="C4203" t="n">
        <v>37.2365798428</v>
      </c>
      <c r="D4203" t="n">
        <v>-7.01866611852</v>
      </c>
      <c r="E4203" t="n">
        <v>4</v>
      </c>
      <c r="F4203" t="n">
        <v>3</v>
      </c>
      <c r="G4203" t="n">
        <v>4</v>
      </c>
      <c r="J4203" t="inlineStr">
        <is>
          <t>Moda</t>
        </is>
      </c>
      <c r="K4203" t="n">
        <v>4</v>
      </c>
      <c r="L4203" t="n">
        <v>4.163</v>
      </c>
      <c r="M4203" t="n">
        <v>0</v>
      </c>
      <c r="N4203" t="inlineStr">
        <is>
          <t>train</t>
        </is>
      </c>
      <c r="O4203">
        <f>HYPERLINK("4\1\marker_661_362385.png", "Ver Imagen")</f>
        <v/>
      </c>
      <c r="P4203">
        <f>HYPERLINK("SE\A-497_2C\A-497_2C__364.png", "Ver Imagen")</f>
        <v/>
      </c>
    </row>
    <row r="4204">
      <c r="A4204" t="n">
        <v>3767</v>
      </c>
      <c r="B4204" t="inlineStr">
        <is>
          <t>A-497_2C__442</t>
        </is>
      </c>
      <c r="C4204" t="n">
        <v>37.2218688481</v>
      </c>
      <c r="D4204" t="n">
        <v>-7.02313398483</v>
      </c>
      <c r="E4204" t="n">
        <v>4</v>
      </c>
      <c r="F4204" t="n">
        <v>3</v>
      </c>
      <c r="G4204" t="n">
        <v>4</v>
      </c>
      <c r="J4204" t="inlineStr">
        <is>
          <t>Moda</t>
        </is>
      </c>
      <c r="K4204" t="n">
        <v>4</v>
      </c>
      <c r="L4204" t="n">
        <v>3.554</v>
      </c>
      <c r="M4204" t="n">
        <v>0</v>
      </c>
      <c r="N4204" t="inlineStr">
        <is>
          <t>test</t>
        </is>
      </c>
      <c r="O4204">
        <f>HYPERLINK("4\1\marker_847_363328.png", "Ver Imagen")</f>
        <v/>
      </c>
      <c r="P4204">
        <f>HYPERLINK("SE\A-497_2C\A-497_2C__442.png", "Ver Imagen")</f>
        <v/>
      </c>
    </row>
    <row r="4205">
      <c r="A4205" t="n">
        <v>3768</v>
      </c>
      <c r="B4205" t="inlineStr">
        <is>
          <t>A-497_2C__443</t>
        </is>
      </c>
      <c r="C4205" t="n">
        <v>37.2216462312</v>
      </c>
      <c r="D4205" t="n">
        <v>-7.02311207856</v>
      </c>
      <c r="E4205" t="n">
        <v>4</v>
      </c>
      <c r="F4205" t="n">
        <v>3</v>
      </c>
      <c r="G4205" t="n">
        <v>4</v>
      </c>
      <c r="J4205" t="inlineStr">
        <is>
          <t>Moda</t>
        </is>
      </c>
      <c r="K4205" t="n">
        <v>4</v>
      </c>
      <c r="L4205" t="n">
        <v>4.011</v>
      </c>
      <c r="M4205" t="n">
        <v>0</v>
      </c>
      <c r="N4205" t="inlineStr">
        <is>
          <t>train</t>
        </is>
      </c>
      <c r="O4205">
        <f>HYPERLINK("4\1\marker_737_363346.png", "Ver Imagen")</f>
        <v/>
      </c>
      <c r="P4205">
        <f>HYPERLINK("SE\A-497_2C\A-497_2C__443.png", "Ver Imagen")</f>
        <v/>
      </c>
    </row>
    <row r="4206">
      <c r="A4206" t="n">
        <v>3769</v>
      </c>
      <c r="B4206" t="inlineStr">
        <is>
          <t>A-497_2C__445</t>
        </is>
      </c>
      <c r="C4206" t="n">
        <v>37.2212146738</v>
      </c>
      <c r="D4206" t="n">
        <v>-7.02307142575</v>
      </c>
      <c r="E4206" t="n">
        <v>4</v>
      </c>
      <c r="F4206" t="n">
        <v>3</v>
      </c>
      <c r="G4206" t="n">
        <v>4</v>
      </c>
      <c r="J4206" t="inlineStr">
        <is>
          <t>Moda</t>
        </is>
      </c>
      <c r="K4206" t="n">
        <v>4</v>
      </c>
      <c r="L4206" t="n">
        <v>4.27</v>
      </c>
      <c r="M4206" t="n">
        <v>0</v>
      </c>
      <c r="N4206" t="inlineStr">
        <is>
          <t>train</t>
        </is>
      </c>
      <c r="O4206">
        <f>HYPERLINK("4\1\marker_758_363362.png", "Ver Imagen")</f>
        <v/>
      </c>
      <c r="P4206">
        <f>HYPERLINK("SE\A-497_2C\A-497_2C__445.png", "Ver Imagen")</f>
        <v/>
      </c>
    </row>
    <row r="4207">
      <c r="A4207" t="n">
        <v>3770</v>
      </c>
      <c r="B4207" t="inlineStr">
        <is>
          <t>A-497_2C__446</t>
        </is>
      </c>
      <c r="C4207" t="n">
        <v>37.2210234223</v>
      </c>
      <c r="D4207" t="n">
        <v>-7.02305423711</v>
      </c>
      <c r="E4207" t="n">
        <v>4</v>
      </c>
      <c r="F4207" t="n">
        <v>3</v>
      </c>
      <c r="G4207" t="n">
        <v>4</v>
      </c>
      <c r="J4207" t="inlineStr">
        <is>
          <t>Moda</t>
        </is>
      </c>
      <c r="K4207" t="n">
        <v>4</v>
      </c>
      <c r="L4207" t="n">
        <v>3.795</v>
      </c>
      <c r="M4207" t="n">
        <v>0</v>
      </c>
      <c r="N4207" t="inlineStr">
        <is>
          <t>train</t>
        </is>
      </c>
      <c r="O4207">
        <f>HYPERLINK("4\1\marker_422_363372.png", "Ver Imagen")</f>
        <v/>
      </c>
      <c r="P4207">
        <f>HYPERLINK("SE\A-497_2C\A-497_2C__446.png", "Ver Imagen")</f>
        <v/>
      </c>
    </row>
    <row r="4208">
      <c r="A4208" t="n">
        <v>3771</v>
      </c>
      <c r="B4208" t="inlineStr">
        <is>
          <t>A-497_2C__448</t>
        </is>
      </c>
      <c r="C4208" t="n">
        <v>37.2206346457</v>
      </c>
      <c r="D4208" t="n">
        <v>-7.0230199342</v>
      </c>
      <c r="E4208" t="n">
        <v>4</v>
      </c>
      <c r="F4208" t="n">
        <v>3</v>
      </c>
      <c r="G4208" t="n">
        <v>4</v>
      </c>
      <c r="J4208" t="inlineStr">
        <is>
          <t>Moda</t>
        </is>
      </c>
      <c r="K4208" t="n">
        <v>4</v>
      </c>
      <c r="L4208" t="n">
        <v>4.33</v>
      </c>
      <c r="M4208" t="n">
        <v>0</v>
      </c>
      <c r="N4208" t="inlineStr">
        <is>
          <t>train</t>
        </is>
      </c>
      <c r="O4208">
        <f>HYPERLINK("4\1\marker_889_363392.png", "Ver Imagen")</f>
        <v/>
      </c>
      <c r="P4208">
        <f>HYPERLINK("SE\A-497_2C\A-497_2C__448.png", "Ver Imagen")</f>
        <v/>
      </c>
    </row>
    <row r="4209">
      <c r="A4209" t="n">
        <v>3772</v>
      </c>
      <c r="B4209" t="inlineStr">
        <is>
          <t>A-497_2C__450</t>
        </is>
      </c>
      <c r="C4209" t="n">
        <v>37.2202424958</v>
      </c>
      <c r="D4209" t="n">
        <v>-7.02298528105</v>
      </c>
      <c r="E4209" t="n">
        <v>4</v>
      </c>
      <c r="F4209" t="n">
        <v>3</v>
      </c>
      <c r="G4209" t="n">
        <v>4</v>
      </c>
      <c r="J4209" t="inlineStr">
        <is>
          <t>Moda</t>
        </is>
      </c>
      <c r="K4209" t="n">
        <v>4</v>
      </c>
      <c r="L4209" t="n">
        <v>4.001</v>
      </c>
      <c r="M4209" t="n">
        <v>0</v>
      </c>
      <c r="N4209" t="inlineStr">
        <is>
          <t>train</t>
        </is>
      </c>
      <c r="O4209">
        <f>HYPERLINK("4\1\marker_705_363419.png", "Ver Imagen")</f>
        <v/>
      </c>
      <c r="P4209">
        <f>HYPERLINK("SE\A-497_2C\A-497_2C__450.png", "Ver Imagen")</f>
        <v/>
      </c>
    </row>
    <row r="4210">
      <c r="A4210" t="n">
        <v>3774</v>
      </c>
      <c r="B4210" t="inlineStr">
        <is>
          <t>A-497_2C__465</t>
        </is>
      </c>
      <c r="C4210" t="n">
        <v>37.2171841384</v>
      </c>
      <c r="D4210" t="n">
        <v>-7.02320473567</v>
      </c>
      <c r="E4210" t="n">
        <v>4</v>
      </c>
      <c r="F4210" t="n">
        <v>3</v>
      </c>
      <c r="G4210" t="n">
        <v>4</v>
      </c>
      <c r="J4210" t="inlineStr">
        <is>
          <t>Moda</t>
        </is>
      </c>
      <c r="K4210" t="n">
        <v>4</v>
      </c>
      <c r="L4210" t="n">
        <v>3.633</v>
      </c>
      <c r="M4210" t="n">
        <v>0</v>
      </c>
      <c r="N4210" t="inlineStr">
        <is>
          <t>train</t>
        </is>
      </c>
      <c r="O4210">
        <f>HYPERLINK("4\1\marker_251_363588.png", "Ver Imagen")</f>
        <v/>
      </c>
      <c r="P4210">
        <f>HYPERLINK("SE\A-497_2C\A-497_2C__465.png", "Ver Imagen")</f>
        <v/>
      </c>
    </row>
    <row r="4211">
      <c r="A4211" t="n">
        <v>3775</v>
      </c>
      <c r="B4211" t="inlineStr">
        <is>
          <t>A-497_2C__471</t>
        </is>
      </c>
      <c r="C4211" t="n">
        <v>37.2159887285</v>
      </c>
      <c r="D4211" t="n">
        <v>-7.02341668934</v>
      </c>
      <c r="E4211" t="n">
        <v>4</v>
      </c>
      <c r="F4211" t="n">
        <v>3</v>
      </c>
      <c r="G4211" t="n">
        <v>4</v>
      </c>
      <c r="J4211" t="inlineStr">
        <is>
          <t>Moda</t>
        </is>
      </c>
      <c r="K4211" t="n">
        <v>4</v>
      </c>
      <c r="L4211" t="n">
        <v>4.118</v>
      </c>
      <c r="M4211" t="n">
        <v>0</v>
      </c>
      <c r="N4211" t="inlineStr">
        <is>
          <t>train</t>
        </is>
      </c>
      <c r="O4211">
        <f>HYPERLINK("4\1\marker_504_363657.png", "Ver Imagen")</f>
        <v/>
      </c>
      <c r="P4211">
        <f>HYPERLINK("SE\A-497_2C\A-497_2C__471.png", "Ver Imagen")</f>
        <v/>
      </c>
    </row>
    <row r="4212">
      <c r="A4212" t="n">
        <v>3776</v>
      </c>
      <c r="B4212" t="inlineStr">
        <is>
          <t>A-497_2C__472</t>
        </is>
      </c>
      <c r="C4212" t="n">
        <v>37.2157914368</v>
      </c>
      <c r="D4212" t="n">
        <v>-7.02345028941</v>
      </c>
      <c r="E4212" t="n">
        <v>4</v>
      </c>
      <c r="F4212" t="n">
        <v>3</v>
      </c>
      <c r="G4212" t="n">
        <v>4</v>
      </c>
      <c r="J4212" t="inlineStr">
        <is>
          <t>Moda</t>
        </is>
      </c>
      <c r="K4212" t="n">
        <v>4</v>
      </c>
      <c r="L4212" t="n">
        <v>4.227</v>
      </c>
      <c r="M4212" t="n">
        <v>0</v>
      </c>
      <c r="N4212" t="inlineStr">
        <is>
          <t>train</t>
        </is>
      </c>
      <c r="O4212">
        <f>HYPERLINK("4\1\marker_682_363668.png", "Ver Imagen")</f>
        <v/>
      </c>
      <c r="P4212">
        <f>HYPERLINK("SE\A-497_2C\A-497_2C__472.png", "Ver Imagen")</f>
        <v/>
      </c>
    </row>
    <row r="4213">
      <c r="A4213" t="n">
        <v>3777</v>
      </c>
      <c r="B4213" t="inlineStr">
        <is>
          <t>A-497_2C__477</t>
        </is>
      </c>
      <c r="C4213" t="n">
        <v>37.2147908874</v>
      </c>
      <c r="D4213" t="n">
        <v>-7.02362230439</v>
      </c>
      <c r="E4213" t="n">
        <v>4</v>
      </c>
      <c r="F4213" t="n">
        <v>3</v>
      </c>
      <c r="G4213" t="n">
        <v>4</v>
      </c>
      <c r="J4213" t="inlineStr">
        <is>
          <t>Moda</t>
        </is>
      </c>
      <c r="K4213" t="n">
        <v>4</v>
      </c>
      <c r="L4213" t="n">
        <v>3.725</v>
      </c>
      <c r="M4213" t="n">
        <v>0</v>
      </c>
      <c r="N4213" t="inlineStr">
        <is>
          <t>train</t>
        </is>
      </c>
      <c r="O4213">
        <f>HYPERLINK("4\1\marker_427_363727.png", "Ver Imagen")</f>
        <v/>
      </c>
      <c r="P4213">
        <f>HYPERLINK("SE\A-497_2C\A-497_2C__477.png", "Ver Imagen")</f>
        <v/>
      </c>
    </row>
    <row r="4214">
      <c r="A4214" t="n">
        <v>3778</v>
      </c>
      <c r="B4214" t="inlineStr">
        <is>
          <t>A-497_2C__478</t>
        </is>
      </c>
      <c r="C4214" t="n">
        <v>37.2145465284</v>
      </c>
      <c r="D4214" t="n">
        <v>-7.0236677941</v>
      </c>
      <c r="E4214" t="n">
        <v>4</v>
      </c>
      <c r="F4214" t="n">
        <v>3</v>
      </c>
      <c r="G4214" t="n">
        <v>4</v>
      </c>
      <c r="J4214" t="inlineStr">
        <is>
          <t>Moda</t>
        </is>
      </c>
      <c r="K4214" t="n">
        <v>4</v>
      </c>
      <c r="L4214" t="n">
        <v>4.26</v>
      </c>
      <c r="M4214" t="n">
        <v>0</v>
      </c>
      <c r="N4214" t="inlineStr">
        <is>
          <t>train</t>
        </is>
      </c>
      <c r="O4214">
        <f>HYPERLINK("4\1\marker_135_363736.png", "Ver Imagen")</f>
        <v/>
      </c>
      <c r="P4214">
        <f>HYPERLINK("SE\A-497_2C\A-497_2C__478.png", "Ver Imagen")</f>
        <v/>
      </c>
    </row>
    <row r="4215">
      <c r="A4215" t="n">
        <v>3779</v>
      </c>
      <c r="B4215" t="inlineStr">
        <is>
          <t>A-497_2C__480</t>
        </is>
      </c>
      <c r="C4215" t="n">
        <v>37.2142006211</v>
      </c>
      <c r="D4215" t="n">
        <v>-7.02373417593</v>
      </c>
      <c r="E4215" t="n">
        <v>4</v>
      </c>
      <c r="F4215" t="n">
        <v>3</v>
      </c>
      <c r="G4215" t="n">
        <v>4</v>
      </c>
      <c r="J4215" t="inlineStr">
        <is>
          <t>Moda</t>
        </is>
      </c>
      <c r="K4215" t="n">
        <v>4</v>
      </c>
      <c r="L4215" t="n">
        <v>4.137</v>
      </c>
      <c r="M4215" t="n">
        <v>0</v>
      </c>
      <c r="N4215" t="inlineStr">
        <is>
          <t>train</t>
        </is>
      </c>
      <c r="O4215">
        <f>HYPERLINK("4\1\marker_490_363758.png", "Ver Imagen")</f>
        <v/>
      </c>
      <c r="P4215">
        <f>HYPERLINK("SE\A-497_2C\A-497_2C__480.png", "Ver Imagen")</f>
        <v/>
      </c>
    </row>
    <row r="4216">
      <c r="A4216" t="n">
        <v>3780</v>
      </c>
      <c r="B4216" t="inlineStr">
        <is>
          <t>A-497_2C__484</t>
        </is>
      </c>
      <c r="C4216" t="n">
        <v>37.2133716959</v>
      </c>
      <c r="D4216" t="n">
        <v>-7.02388180745</v>
      </c>
      <c r="E4216" t="n">
        <v>4</v>
      </c>
      <c r="F4216" t="n">
        <v>3</v>
      </c>
      <c r="G4216" t="n">
        <v>4</v>
      </c>
      <c r="J4216" t="inlineStr">
        <is>
          <t>Moda</t>
        </is>
      </c>
      <c r="K4216" t="n">
        <v>4</v>
      </c>
      <c r="L4216" t="n">
        <v>3.673</v>
      </c>
      <c r="M4216" t="n">
        <v>0</v>
      </c>
      <c r="N4216" t="inlineStr">
        <is>
          <t>train</t>
        </is>
      </c>
      <c r="O4216">
        <f>HYPERLINK("4\1\marker_993_363813.png", "Ver Imagen")</f>
        <v/>
      </c>
      <c r="P4216">
        <f>HYPERLINK("SE\A-497_2C\A-497_2C__484.png", "Ver Imagen")</f>
        <v/>
      </c>
    </row>
    <row r="4217">
      <c r="A4217" t="n">
        <v>3781</v>
      </c>
      <c r="B4217" t="inlineStr">
        <is>
          <t>A-497_2C__489</t>
        </is>
      </c>
      <c r="C4217" t="n">
        <v>37.2124193086</v>
      </c>
      <c r="D4217" t="n">
        <v>-7.0240180262</v>
      </c>
      <c r="E4217" t="n">
        <v>4</v>
      </c>
      <c r="F4217" t="n">
        <v>3</v>
      </c>
      <c r="G4217" t="n">
        <v>4</v>
      </c>
      <c r="J4217" t="inlineStr">
        <is>
          <t>Moda</t>
        </is>
      </c>
      <c r="K4217" t="n">
        <v>4</v>
      </c>
      <c r="L4217" t="n">
        <v>3.88</v>
      </c>
      <c r="M4217" t="n">
        <v>0</v>
      </c>
      <c r="N4217" t="inlineStr">
        <is>
          <t>train</t>
        </is>
      </c>
      <c r="O4217">
        <f>HYPERLINK("4\1\marker_223_363867.png", "Ver Imagen")</f>
        <v/>
      </c>
      <c r="P4217">
        <f>HYPERLINK("SE\A-497_2C\A-497_2C__489.png", "Ver Imagen")</f>
        <v/>
      </c>
    </row>
    <row r="4218">
      <c r="A4218" t="n">
        <v>3783</v>
      </c>
      <c r="B4218" t="inlineStr">
        <is>
          <t>A-497__345</t>
        </is>
      </c>
      <c r="C4218" t="n">
        <v>37.2413525785</v>
      </c>
      <c r="D4218" t="n">
        <v>-7.01843492303</v>
      </c>
      <c r="E4218" t="n">
        <v>4</v>
      </c>
      <c r="F4218" t="n">
        <v>3</v>
      </c>
      <c r="G4218" t="n">
        <v>4</v>
      </c>
      <c r="J4218" t="inlineStr">
        <is>
          <t>Moda</t>
        </is>
      </c>
      <c r="K4218" t="n">
        <v>4</v>
      </c>
      <c r="L4218" t="n">
        <v>4.222</v>
      </c>
      <c r="M4218" t="n">
        <v>0</v>
      </c>
      <c r="N4218" t="inlineStr">
        <is>
          <t>train</t>
        </is>
      </c>
      <c r="O4218">
        <f>HYPERLINK("4\1\marker_420_377718.png", "Ver Imagen")</f>
        <v/>
      </c>
      <c r="P4218">
        <f>HYPERLINK("SE\A-497\A-497__345.png", "Ver Imagen")</f>
        <v/>
      </c>
    </row>
    <row r="4219">
      <c r="A4219" t="n">
        <v>3784</v>
      </c>
      <c r="B4219" t="inlineStr">
        <is>
          <t>A-497__343</t>
        </is>
      </c>
      <c r="C4219" t="n">
        <v>37.2417574658</v>
      </c>
      <c r="D4219" t="n">
        <v>-7.01842034197</v>
      </c>
      <c r="E4219" t="n">
        <v>4</v>
      </c>
      <c r="F4219" t="n">
        <v>3</v>
      </c>
      <c r="G4219" t="n">
        <v>4</v>
      </c>
      <c r="J4219" t="inlineStr">
        <is>
          <t>Moda</t>
        </is>
      </c>
      <c r="K4219" t="n">
        <v>4</v>
      </c>
      <c r="L4219" t="n">
        <v>4.183</v>
      </c>
      <c r="M4219" t="n">
        <v>0</v>
      </c>
      <c r="N4219" t="inlineStr">
        <is>
          <t>train</t>
        </is>
      </c>
      <c r="O4219">
        <f>HYPERLINK("4\1\marker_876_377740.png", "Ver Imagen")</f>
        <v/>
      </c>
      <c r="P4219">
        <f>HYPERLINK("SE\A-497\A-497__343.png", "Ver Imagen")</f>
        <v/>
      </c>
    </row>
    <row r="4220">
      <c r="A4220" t="n">
        <v>3785</v>
      </c>
      <c r="B4220" t="inlineStr">
        <is>
          <t>A-497__336</t>
        </is>
      </c>
      <c r="C4220" t="n">
        <v>37.2431585286</v>
      </c>
      <c r="D4220" t="n">
        <v>-7.01836345727</v>
      </c>
      <c r="E4220" t="n">
        <v>4</v>
      </c>
      <c r="F4220" t="n">
        <v>3</v>
      </c>
      <c r="G4220" t="n">
        <v>4</v>
      </c>
      <c r="J4220" t="inlineStr">
        <is>
          <t>Moda</t>
        </is>
      </c>
      <c r="K4220" t="n">
        <v>4</v>
      </c>
      <c r="L4220" t="n">
        <v>3.896</v>
      </c>
      <c r="M4220" t="n">
        <v>0</v>
      </c>
      <c r="N4220" t="inlineStr">
        <is>
          <t>train</t>
        </is>
      </c>
      <c r="O4220">
        <f>HYPERLINK("4\1\marker_452_377808.png", "Ver Imagen")</f>
        <v/>
      </c>
      <c r="P4220">
        <f>HYPERLINK("SE\A-497\A-497__336.png", "Ver Imagen")</f>
        <v/>
      </c>
    </row>
    <row r="4221">
      <c r="A4221" t="n">
        <v>3786</v>
      </c>
      <c r="B4221" t="inlineStr">
        <is>
          <t>A-497__335</t>
        </is>
      </c>
      <c r="C4221" t="n">
        <v>37.2433532511</v>
      </c>
      <c r="D4221" t="n">
        <v>-7.01835491121</v>
      </c>
      <c r="E4221" t="n">
        <v>4</v>
      </c>
      <c r="F4221" t="n">
        <v>3</v>
      </c>
      <c r="G4221" t="n">
        <v>4</v>
      </c>
      <c r="J4221" t="inlineStr">
        <is>
          <t>Moda</t>
        </is>
      </c>
      <c r="K4221" t="n">
        <v>4</v>
      </c>
      <c r="L4221" t="n">
        <v>4.036</v>
      </c>
      <c r="M4221" t="n">
        <v>0</v>
      </c>
      <c r="N4221" t="inlineStr">
        <is>
          <t>train</t>
        </is>
      </c>
      <c r="O4221">
        <f>HYPERLINK("4\1\marker_243_377817.png", "Ver Imagen")</f>
        <v/>
      </c>
      <c r="P4221">
        <f>HYPERLINK("SE\A-497\A-497__335.png", "Ver Imagen")</f>
        <v/>
      </c>
    </row>
    <row r="4222">
      <c r="A4222" t="n">
        <v>3787</v>
      </c>
      <c r="B4222" t="inlineStr">
        <is>
          <t>A-497__325</t>
        </is>
      </c>
      <c r="C4222" t="n">
        <v>37.2454211674</v>
      </c>
      <c r="D4222" t="n">
        <v>-7.01828085637</v>
      </c>
      <c r="E4222" t="n">
        <v>4</v>
      </c>
      <c r="F4222" t="n">
        <v>3</v>
      </c>
      <c r="G4222" t="n">
        <v>4</v>
      </c>
      <c r="J4222" t="inlineStr">
        <is>
          <t>Moda</t>
        </is>
      </c>
      <c r="K4222" t="n">
        <v>4</v>
      </c>
      <c r="L4222" t="n">
        <v>3.88</v>
      </c>
      <c r="M4222" t="n">
        <v>0</v>
      </c>
      <c r="N4222" t="inlineStr">
        <is>
          <t>train</t>
        </is>
      </c>
      <c r="O4222">
        <f>HYPERLINK("4\1\marker_210_377916.png", "Ver Imagen")</f>
        <v/>
      </c>
      <c r="P4222">
        <f>HYPERLINK("SE\A-497\A-497__325.png", "Ver Imagen")</f>
        <v/>
      </c>
    </row>
    <row r="4223">
      <c r="A4223" t="n">
        <v>3788</v>
      </c>
      <c r="B4223" t="inlineStr">
        <is>
          <t>A-497__293</t>
        </is>
      </c>
      <c r="C4223" t="n">
        <v>37.251642301</v>
      </c>
      <c r="D4223" t="n">
        <v>-7.01682977869</v>
      </c>
      <c r="E4223" t="n">
        <v>4</v>
      </c>
      <c r="F4223" t="n">
        <v>3</v>
      </c>
      <c r="G4223" t="n">
        <v>4</v>
      </c>
      <c r="J4223" t="inlineStr">
        <is>
          <t>Moda</t>
        </is>
      </c>
      <c r="K4223" t="n">
        <v>4</v>
      </c>
      <c r="L4223" t="n">
        <v>3.935</v>
      </c>
      <c r="M4223" t="n">
        <v>0</v>
      </c>
      <c r="N4223" t="inlineStr">
        <is>
          <t>train</t>
        </is>
      </c>
      <c r="O4223">
        <f>HYPERLINK("4\1\marker_670_378314.png", "Ver Imagen")</f>
        <v/>
      </c>
      <c r="P4223">
        <f>HYPERLINK("SE\A-497\A-497__293.png", "Ver Imagen")</f>
        <v/>
      </c>
    </row>
    <row r="4224">
      <c r="A4224" t="n">
        <v>3789</v>
      </c>
      <c r="B4224" t="inlineStr">
        <is>
          <t>A-497__273</t>
        </is>
      </c>
      <c r="C4224" t="n">
        <v>37.2552460765</v>
      </c>
      <c r="D4224" t="n">
        <v>-7.01453548443</v>
      </c>
      <c r="E4224" t="n">
        <v>4</v>
      </c>
      <c r="F4224" t="n">
        <v>3</v>
      </c>
      <c r="G4224" t="n">
        <v>4</v>
      </c>
      <c r="J4224" t="inlineStr">
        <is>
          <t>Moda</t>
        </is>
      </c>
      <c r="K4224" t="n">
        <v>4</v>
      </c>
      <c r="L4224" t="n">
        <v>4.114</v>
      </c>
      <c r="M4224" t="n">
        <v>0</v>
      </c>
      <c r="N4224" t="inlineStr">
        <is>
          <t>train</t>
        </is>
      </c>
      <c r="O4224">
        <f>HYPERLINK("4\1\marker_490_378549.png", "Ver Imagen")</f>
        <v/>
      </c>
      <c r="P4224">
        <f>HYPERLINK("SE\A-497\A-497__273.png", "Ver Imagen")</f>
        <v/>
      </c>
    </row>
    <row r="4225">
      <c r="A4225" t="n">
        <v>3790</v>
      </c>
      <c r="B4225" t="inlineStr">
        <is>
          <t>A-497__270</t>
        </is>
      </c>
      <c r="C4225" t="n">
        <v>37.2557963503</v>
      </c>
      <c r="D4225" t="n">
        <v>-7.01419036311</v>
      </c>
      <c r="E4225" t="n">
        <v>4</v>
      </c>
      <c r="F4225" t="n">
        <v>3</v>
      </c>
      <c r="G4225" t="n">
        <v>4</v>
      </c>
      <c r="J4225" t="inlineStr">
        <is>
          <t>Moda</t>
        </is>
      </c>
      <c r="K4225" t="n">
        <v>4</v>
      </c>
      <c r="L4225" t="n">
        <v>3.786</v>
      </c>
      <c r="M4225" t="n">
        <v>0</v>
      </c>
      <c r="N4225" t="inlineStr">
        <is>
          <t>train</t>
        </is>
      </c>
      <c r="O4225">
        <f>HYPERLINK("4\1\marker_613_378583.png", "Ver Imagen")</f>
        <v/>
      </c>
      <c r="P4225">
        <f>HYPERLINK("SE\A-497\A-497__270.png", "Ver Imagen")</f>
        <v/>
      </c>
    </row>
    <row r="4226">
      <c r="A4226" t="n">
        <v>3795</v>
      </c>
      <c r="B4226" t="inlineStr">
        <is>
          <t>A-497__114</t>
        </is>
      </c>
      <c r="C4226" t="n">
        <v>37.2712822839</v>
      </c>
      <c r="D4226" t="n">
        <v>-6.9839323386</v>
      </c>
      <c r="E4226" t="n">
        <v>5</v>
      </c>
      <c r="F4226" t="n">
        <v>4</v>
      </c>
      <c r="G4226" t="n">
        <v>4</v>
      </c>
      <c r="J4226" t="inlineStr">
        <is>
          <t>Moda</t>
        </is>
      </c>
      <c r="K4226" t="n">
        <v>4</v>
      </c>
      <c r="L4226" t="n">
        <v>4.018</v>
      </c>
      <c r="M4226" t="n">
        <v>0</v>
      </c>
      <c r="N4226" t="inlineStr">
        <is>
          <t>train</t>
        </is>
      </c>
      <c r="O4226">
        <f>HYPERLINK("4\1\marker_878_380677.png", "Ver Imagen")</f>
        <v/>
      </c>
      <c r="P4226">
        <f>HYPERLINK("SE\A-497\A-497__114.png", "Ver Imagen")</f>
        <v/>
      </c>
    </row>
    <row r="4227">
      <c r="A4227" t="n">
        <v>3799</v>
      </c>
      <c r="B4227" t="inlineStr">
        <is>
          <t>A-490__79</t>
        </is>
      </c>
      <c r="C4227" t="n">
        <v>37.4486083589</v>
      </c>
      <c r="D4227" t="n">
        <v>-7.14546780626</v>
      </c>
      <c r="E4227" t="n">
        <v>4</v>
      </c>
      <c r="F4227" t="n">
        <v>4</v>
      </c>
      <c r="G4227" t="n">
        <v>5</v>
      </c>
      <c r="J4227" t="inlineStr">
        <is>
          <t>Moda</t>
        </is>
      </c>
      <c r="K4227" t="n">
        <v>4</v>
      </c>
      <c r="L4227" t="n">
        <v>3.889</v>
      </c>
      <c r="M4227" t="n">
        <v>0</v>
      </c>
      <c r="N4227" t="inlineStr">
        <is>
          <t>test</t>
        </is>
      </c>
      <c r="O4227">
        <f>HYPERLINK("4\1\marker_856_738579.png", "Ver Imagen")</f>
        <v/>
      </c>
      <c r="P4227">
        <f>HYPERLINK("NE\A-490\A-490__79.png", "Ver Imagen")</f>
        <v/>
      </c>
    </row>
    <row r="4228">
      <c r="A4228" t="n">
        <v>3800</v>
      </c>
      <c r="B4228" t="inlineStr">
        <is>
          <t>A-490__238</t>
        </is>
      </c>
      <c r="C4228" t="n">
        <v>37.4644937922</v>
      </c>
      <c r="D4228" t="n">
        <v>-7.17941913043</v>
      </c>
      <c r="E4228" t="n">
        <v>4</v>
      </c>
      <c r="F4228" t="n">
        <v>4</v>
      </c>
      <c r="G4228" t="n">
        <v>5</v>
      </c>
      <c r="J4228" t="inlineStr">
        <is>
          <t>Moda</t>
        </is>
      </c>
      <c r="K4228" t="n">
        <v>4</v>
      </c>
      <c r="L4228" t="n">
        <v>3.992</v>
      </c>
      <c r="M4228" t="n">
        <v>0</v>
      </c>
      <c r="N4228" t="inlineStr">
        <is>
          <t>train</t>
        </is>
      </c>
      <c r="O4228">
        <f>HYPERLINK("4\1\marker_196_744109.png", "Ver Imagen")</f>
        <v/>
      </c>
      <c r="P4228">
        <f>HYPERLINK("NE\A-490\A-490__238.png", "Ver Imagen")</f>
        <v/>
      </c>
    </row>
    <row r="4229">
      <c r="A4229" t="n">
        <v>3801</v>
      </c>
      <c r="B4229" t="inlineStr">
        <is>
          <t>A-490__258</t>
        </is>
      </c>
      <c r="C4229" t="n">
        <v>37.4667297685</v>
      </c>
      <c r="D4229" t="n">
        <v>-7.18354670103</v>
      </c>
      <c r="E4229" t="n">
        <v>4</v>
      </c>
      <c r="F4229" t="n">
        <v>4</v>
      </c>
      <c r="G4229" t="n">
        <v>5</v>
      </c>
      <c r="J4229" t="inlineStr">
        <is>
          <t>Moda</t>
        </is>
      </c>
      <c r="K4229" t="n">
        <v>4</v>
      </c>
      <c r="L4229" t="n">
        <v>4.128</v>
      </c>
      <c r="M4229" t="n">
        <v>0</v>
      </c>
      <c r="N4229" t="inlineStr">
        <is>
          <t>val</t>
        </is>
      </c>
      <c r="O4229">
        <f>HYPERLINK("4\1\marker_577_749660.png", "Ver Imagen")</f>
        <v/>
      </c>
      <c r="P4229">
        <f>HYPERLINK("NE\A-490\A-490__258.png", "Ver Imagen")</f>
        <v/>
      </c>
    </row>
    <row r="4230">
      <c r="A4230" t="n">
        <v>3801</v>
      </c>
      <c r="B4230" t="inlineStr">
        <is>
          <t>A-490__258</t>
        </is>
      </c>
      <c r="C4230" t="n">
        <v>37.4667297685</v>
      </c>
      <c r="D4230" t="n">
        <v>-7.18354670103</v>
      </c>
      <c r="E4230" t="n">
        <v>4</v>
      </c>
      <c r="F4230" t="n">
        <v>4</v>
      </c>
      <c r="G4230" t="n">
        <v>5</v>
      </c>
      <c r="J4230" t="inlineStr">
        <is>
          <t>Moda</t>
        </is>
      </c>
      <c r="K4230" t="n">
        <v>4</v>
      </c>
      <c r="L4230" t="n">
        <v>4.012</v>
      </c>
      <c r="M4230" t="n">
        <v>0</v>
      </c>
      <c r="N4230" t="inlineStr">
        <is>
          <t>val</t>
        </is>
      </c>
      <c r="O4230">
        <f>HYPERLINK("4\1\marker_577_749660.png", "Ver Imagen")</f>
        <v/>
      </c>
      <c r="P4230">
        <f>HYPERLINK("NO\A-490\A-490__258.png", "Ver Imagen")</f>
        <v/>
      </c>
    </row>
    <row r="4231">
      <c r="A4231" t="n">
        <v>3802</v>
      </c>
      <c r="B4231" t="inlineStr">
        <is>
          <t>A-490__586</t>
        </is>
      </c>
      <c r="C4231" t="n">
        <v>37.4901030557</v>
      </c>
      <c r="D4231" t="n">
        <v>-7.2592219177</v>
      </c>
      <c r="E4231" t="n">
        <v>4</v>
      </c>
      <c r="F4231" t="n">
        <v>4</v>
      </c>
      <c r="G4231" t="n">
        <v>5</v>
      </c>
      <c r="J4231" t="inlineStr">
        <is>
          <t>Moda</t>
        </is>
      </c>
      <c r="K4231" t="n">
        <v>4</v>
      </c>
      <c r="L4231" t="n">
        <v>4.021</v>
      </c>
      <c r="M4231" t="n">
        <v>0</v>
      </c>
      <c r="N4231" t="inlineStr">
        <is>
          <t>train</t>
        </is>
      </c>
      <c r="O4231">
        <f>HYPERLINK("4\1\marker_178_819564.png", "Ver Imagen")</f>
        <v/>
      </c>
      <c r="P4231">
        <f>HYPERLINK("NO\A-490\A-490__586.png", "Ver Imagen")</f>
        <v/>
      </c>
    </row>
    <row r="4232">
      <c r="A4232" t="n">
        <v>3803</v>
      </c>
      <c r="B4232" t="inlineStr">
        <is>
          <t>A-492__11</t>
        </is>
      </c>
      <c r="C4232" t="n">
        <v>37.2735645812</v>
      </c>
      <c r="D4232" t="n">
        <v>-6.99126632705</v>
      </c>
      <c r="E4232" t="n">
        <v>4</v>
      </c>
      <c r="F4232" t="n">
        <v>4</v>
      </c>
      <c r="G4232" t="n">
        <v>5</v>
      </c>
      <c r="J4232" t="inlineStr">
        <is>
          <t>Moda</t>
        </is>
      </c>
      <c r="K4232" t="n">
        <v>4</v>
      </c>
      <c r="L4232" t="n">
        <v>3.711</v>
      </c>
      <c r="M4232" t="n">
        <v>0</v>
      </c>
      <c r="N4232" t="inlineStr">
        <is>
          <t>train</t>
        </is>
      </c>
      <c r="O4232">
        <f>HYPERLINK("4\1\marker_311_821901.png", "Ver Imagen")</f>
        <v/>
      </c>
      <c r="P4232">
        <f>HYPERLINK("SE\A-492\A-492__11.png", "Ver Imagen")</f>
        <v/>
      </c>
    </row>
    <row r="4233">
      <c r="A4233" t="n">
        <v>3804</v>
      </c>
      <c r="B4233" t="inlineStr">
        <is>
          <t>A-492__24</t>
        </is>
      </c>
      <c r="C4233" t="n">
        <v>37.2760551646</v>
      </c>
      <c r="D4233" t="n">
        <v>-6.99084671106</v>
      </c>
      <c r="E4233" t="n">
        <v>4</v>
      </c>
      <c r="F4233" t="n">
        <v>4</v>
      </c>
      <c r="G4233" t="n">
        <v>5</v>
      </c>
      <c r="J4233" t="inlineStr">
        <is>
          <t>Moda</t>
        </is>
      </c>
      <c r="K4233" t="n">
        <v>4</v>
      </c>
      <c r="L4233" t="n">
        <v>3.61</v>
      </c>
      <c r="M4233" t="n">
        <v>0</v>
      </c>
      <c r="N4233" t="inlineStr">
        <is>
          <t>train</t>
        </is>
      </c>
      <c r="O4233">
        <f>HYPERLINK("4\1\marker_631_822082.png", "Ver Imagen")</f>
        <v/>
      </c>
      <c r="P4233">
        <f>HYPERLINK("SE\A-492\A-492__24.png", "Ver Imagen")</f>
        <v/>
      </c>
    </row>
    <row r="4234">
      <c r="A4234" t="n">
        <v>3805</v>
      </c>
      <c r="B4234" t="inlineStr">
        <is>
          <t>A-492__66</t>
        </is>
      </c>
      <c r="C4234" t="n">
        <v>37.2800869984</v>
      </c>
      <c r="D4234" t="n">
        <v>-6.99947813654</v>
      </c>
      <c r="E4234" t="n">
        <v>5</v>
      </c>
      <c r="F4234" t="n">
        <v>4</v>
      </c>
      <c r="G4234" t="n">
        <v>4</v>
      </c>
      <c r="J4234" t="inlineStr">
        <is>
          <t>Moda</t>
        </is>
      </c>
      <c r="K4234" t="n">
        <v>4</v>
      </c>
      <c r="L4234" t="n">
        <v>3.594</v>
      </c>
      <c r="M4234" t="n">
        <v>0</v>
      </c>
      <c r="N4234" t="inlineStr">
        <is>
          <t>train</t>
        </is>
      </c>
      <c r="O4234">
        <f>HYPERLINK("4\1\marker_769_823218.png", "Ver Imagen")</f>
        <v/>
      </c>
      <c r="P4234">
        <f>HYPERLINK("SE\A-492\A-492__66.png", "Ver Imagen")</f>
        <v/>
      </c>
    </row>
    <row r="4235">
      <c r="A4235" t="n">
        <v>3806</v>
      </c>
      <c r="B4235" t="inlineStr">
        <is>
          <t>A-492__68</t>
        </is>
      </c>
      <c r="C4235" t="n">
        <v>37.2802182378</v>
      </c>
      <c r="D4235" t="n">
        <v>-6.99992570128</v>
      </c>
      <c r="E4235" t="n">
        <v>5</v>
      </c>
      <c r="F4235" t="n">
        <v>4</v>
      </c>
      <c r="G4235" t="n">
        <v>4</v>
      </c>
      <c r="J4235" t="inlineStr">
        <is>
          <t>Moda</t>
        </is>
      </c>
      <c r="K4235" t="n">
        <v>4</v>
      </c>
      <c r="L4235" t="n">
        <v>4.069</v>
      </c>
      <c r="M4235" t="n">
        <v>0</v>
      </c>
      <c r="N4235" t="inlineStr">
        <is>
          <t>val</t>
        </is>
      </c>
      <c r="O4235">
        <f>HYPERLINK("4\1\marker_622_823261.png", "Ver Imagen")</f>
        <v/>
      </c>
      <c r="P4235">
        <f>HYPERLINK("SE\A-492\A-492__68.png", "Ver Imagen")</f>
        <v/>
      </c>
    </row>
    <row r="4236">
      <c r="A4236" t="n">
        <v>3807</v>
      </c>
      <c r="B4236" t="inlineStr">
        <is>
          <t>A-495R__48</t>
        </is>
      </c>
      <c r="C4236" t="n">
        <v>37.4539103177</v>
      </c>
      <c r="D4236" t="n">
        <v>-7.11255780295</v>
      </c>
      <c r="E4236" t="n">
        <v>5</v>
      </c>
      <c r="F4236" t="n">
        <v>4</v>
      </c>
      <c r="G4236" t="n">
        <v>4</v>
      </c>
      <c r="J4236" t="inlineStr">
        <is>
          <t>Moda</t>
        </is>
      </c>
      <c r="K4236" t="n">
        <v>4</v>
      </c>
      <c r="L4236" t="n">
        <v>4.308</v>
      </c>
      <c r="M4236" t="n">
        <v>0</v>
      </c>
      <c r="N4236" t="inlineStr">
        <is>
          <t>test</t>
        </is>
      </c>
      <c r="O4236">
        <f>HYPERLINK("4\1\marker_553_935683.png", "Ver Imagen")</f>
        <v/>
      </c>
      <c r="P4236">
        <f>HYPERLINK("NE\A-495R\A-495R__48.png", "Ver Imagen")</f>
        <v/>
      </c>
    </row>
    <row r="4237">
      <c r="A4237" t="n">
        <v>3808</v>
      </c>
      <c r="B4237" t="inlineStr">
        <is>
          <t>A-495R__46</t>
        </is>
      </c>
      <c r="C4237" t="n">
        <v>37.453527905</v>
      </c>
      <c r="D4237" t="n">
        <v>-7.1123490304</v>
      </c>
      <c r="E4237" t="n">
        <v>4</v>
      </c>
      <c r="F4237" t="n">
        <v>4</v>
      </c>
      <c r="G4237" t="n">
        <v>5</v>
      </c>
      <c r="J4237" t="inlineStr">
        <is>
          <t>Moda</t>
        </is>
      </c>
      <c r="K4237" t="n">
        <v>4</v>
      </c>
      <c r="L4237" t="n">
        <v>4.221</v>
      </c>
      <c r="M4237" t="n">
        <v>0</v>
      </c>
      <c r="O4237">
        <f>HYPERLINK("4\1\marker_710_935703.png", "Ver Imagen")</f>
        <v/>
      </c>
      <c r="P4237">
        <f>HYPERLINK("NE\A-495R\A-495R__46.png", "Ver Imagen")</f>
        <v/>
      </c>
    </row>
    <row r="4238">
      <c r="A4238" t="n">
        <v>3809</v>
      </c>
      <c r="B4238" t="inlineStr">
        <is>
          <t>A-495R__27</t>
        </is>
      </c>
      <c r="C4238" t="n">
        <v>37.4500185539</v>
      </c>
      <c r="D4238" t="n">
        <v>-7.11038754454</v>
      </c>
      <c r="E4238" t="n">
        <v>4</v>
      </c>
      <c r="F4238" t="n">
        <v>4</v>
      </c>
      <c r="G4238" t="n">
        <v>5</v>
      </c>
      <c r="J4238" t="inlineStr">
        <is>
          <t>Moda</t>
        </is>
      </c>
      <c r="K4238" t="n">
        <v>4</v>
      </c>
      <c r="L4238" t="n">
        <v>3.798</v>
      </c>
      <c r="M4238" t="n">
        <v>0</v>
      </c>
      <c r="N4238" t="inlineStr">
        <is>
          <t>train</t>
        </is>
      </c>
      <c r="O4238">
        <f>HYPERLINK("4\1\marker_662_936653.png", "Ver Imagen")</f>
        <v/>
      </c>
      <c r="P4238">
        <f>HYPERLINK("NE\A-495R\A-495R__27.png", "Ver Imagen")</f>
        <v/>
      </c>
    </row>
    <row r="4239">
      <c r="A4239" t="n">
        <v>3810</v>
      </c>
      <c r="B4239" t="inlineStr">
        <is>
          <t>A-495R__26</t>
        </is>
      </c>
      <c r="C4239" t="n">
        <v>37.4498299835</v>
      </c>
      <c r="D4239" t="n">
        <v>-7.11031897976</v>
      </c>
      <c r="E4239" t="n">
        <v>4</v>
      </c>
      <c r="F4239" t="n">
        <v>4</v>
      </c>
      <c r="G4239" t="n">
        <v>5</v>
      </c>
      <c r="J4239" t="inlineStr">
        <is>
          <t>Moda</t>
        </is>
      </c>
      <c r="K4239" t="n">
        <v>4</v>
      </c>
      <c r="L4239" t="n">
        <v>3.668</v>
      </c>
      <c r="M4239" t="n">
        <v>0</v>
      </c>
      <c r="N4239" t="inlineStr">
        <is>
          <t>train</t>
        </is>
      </c>
      <c r="O4239">
        <f>HYPERLINK("4\1\marker_716_936668.png", "Ver Imagen")</f>
        <v/>
      </c>
      <c r="P4239">
        <f>HYPERLINK("NE\A-495R\A-495R__26.png", "Ver Imagen")</f>
        <v/>
      </c>
    </row>
    <row r="4240">
      <c r="A4240" t="n">
        <v>3811</v>
      </c>
      <c r="B4240" t="inlineStr">
        <is>
          <t>A-495R__25</t>
        </is>
      </c>
      <c r="C4240" t="n">
        <v>37.4496353845</v>
      </c>
      <c r="D4240" t="n">
        <v>-7.11022557972</v>
      </c>
      <c r="E4240" t="n">
        <v>4</v>
      </c>
      <c r="F4240" t="n">
        <v>4</v>
      </c>
      <c r="G4240" t="n">
        <v>5</v>
      </c>
      <c r="J4240" t="inlineStr">
        <is>
          <t>Moda</t>
        </is>
      </c>
      <c r="K4240" t="n">
        <v>4</v>
      </c>
      <c r="L4240" t="n">
        <v>3.841</v>
      </c>
      <c r="M4240" t="n">
        <v>0</v>
      </c>
      <c r="N4240" t="inlineStr">
        <is>
          <t>train</t>
        </is>
      </c>
      <c r="O4240">
        <f>HYPERLINK("4\1\marker_770_936677.png", "Ver Imagen")</f>
        <v/>
      </c>
      <c r="P4240">
        <f>HYPERLINK("NE\A-495R\A-495R__25.png", "Ver Imagen")</f>
        <v/>
      </c>
    </row>
    <row r="4241">
      <c r="A4241" t="n">
        <v>3813</v>
      </c>
      <c r="B4241" t="inlineStr">
        <is>
          <t>A-497__69</t>
        </is>
      </c>
      <c r="C4241" t="n">
        <v>37.2683783591</v>
      </c>
      <c r="D4241" t="n">
        <v>-6.9730776348</v>
      </c>
      <c r="E4241" t="n">
        <v>4</v>
      </c>
      <c r="F4241" t="n">
        <v>4</v>
      </c>
      <c r="G4241" t="n">
        <v>5</v>
      </c>
      <c r="J4241" t="inlineStr">
        <is>
          <t>Moda</t>
        </is>
      </c>
      <c r="K4241" t="n">
        <v>4</v>
      </c>
      <c r="L4241" t="n">
        <v>3.729</v>
      </c>
      <c r="M4241" t="n">
        <v>0</v>
      </c>
      <c r="N4241" t="inlineStr">
        <is>
          <t>train</t>
        </is>
      </c>
      <c r="O4241">
        <f>HYPERLINK("4\1\marker_449_938053.png", "Ver Imagen")</f>
        <v/>
      </c>
      <c r="P4241">
        <f>HYPERLINK("SE\A-497\A-497__69.png", "Ver Imagen")</f>
        <v/>
      </c>
    </row>
    <row r="4242">
      <c r="A4242" t="n">
        <v>3814</v>
      </c>
      <c r="B4242" t="inlineStr">
        <is>
          <t>A-499__74</t>
        </is>
      </c>
      <c r="C4242" t="n">
        <v>37.4954627367</v>
      </c>
      <c r="D4242" t="n">
        <v>-7.26922765775</v>
      </c>
      <c r="E4242" t="n">
        <v>4</v>
      </c>
      <c r="F4242" t="n">
        <v>4</v>
      </c>
      <c r="G4242" t="n">
        <v>5</v>
      </c>
      <c r="J4242" t="inlineStr">
        <is>
          <t>Moda</t>
        </is>
      </c>
      <c r="K4242" t="n">
        <v>4</v>
      </c>
      <c r="L4242" t="n">
        <v>4.081</v>
      </c>
      <c r="M4242" t="n">
        <v>0</v>
      </c>
      <c r="N4242" t="inlineStr">
        <is>
          <t>train</t>
        </is>
      </c>
      <c r="O4242">
        <f>HYPERLINK("4\1\marker_832_789085.png", "Ver Imagen")</f>
        <v/>
      </c>
      <c r="P4242">
        <f>HYPERLINK("NO\A-499\A-499__74.png", "Ver Imagen")</f>
        <v/>
      </c>
    </row>
    <row r="4243">
      <c r="A4243" t="n">
        <v>3816</v>
      </c>
      <c r="B4243" t="inlineStr">
        <is>
          <t>A-490__260</t>
        </is>
      </c>
      <c r="C4243" t="n">
        <v>37.4669439113</v>
      </c>
      <c r="D4243" t="n">
        <v>-7.18398060366</v>
      </c>
      <c r="E4243" t="n">
        <v>3</v>
      </c>
      <c r="F4243" t="n">
        <v>4</v>
      </c>
      <c r="G4243" t="n">
        <v>4</v>
      </c>
      <c r="J4243" t="inlineStr">
        <is>
          <t>Moda</t>
        </is>
      </c>
      <c r="K4243" t="n">
        <v>4</v>
      </c>
      <c r="L4243" t="n">
        <v>3.813</v>
      </c>
      <c r="M4243" t="n">
        <v>0</v>
      </c>
      <c r="N4243" t="inlineStr">
        <is>
          <t>train</t>
        </is>
      </c>
      <c r="O4243">
        <f>HYPERLINK("4\1\marker_466_749698.png", "Ver Imagen")</f>
        <v/>
      </c>
      <c r="P4243">
        <f>HYPERLINK("NE\A-490\A-490__260.png", "Ver Imagen")</f>
        <v/>
      </c>
    </row>
    <row r="4244">
      <c r="A4244" t="n">
        <v>3816</v>
      </c>
      <c r="B4244" t="inlineStr">
        <is>
          <t>A-490__260</t>
        </is>
      </c>
      <c r="C4244" t="n">
        <v>37.4669439113</v>
      </c>
      <c r="D4244" t="n">
        <v>-7.18398060366</v>
      </c>
      <c r="E4244" t="n">
        <v>3</v>
      </c>
      <c r="F4244" t="n">
        <v>4</v>
      </c>
      <c r="G4244" t="n">
        <v>4</v>
      </c>
      <c r="J4244" t="inlineStr">
        <is>
          <t>Moda</t>
        </is>
      </c>
      <c r="K4244" t="n">
        <v>4</v>
      </c>
      <c r="L4244" t="n">
        <v>4.435</v>
      </c>
      <c r="M4244" t="n">
        <v>0</v>
      </c>
      <c r="N4244" t="inlineStr">
        <is>
          <t>train</t>
        </is>
      </c>
      <c r="O4244">
        <f>HYPERLINK("4\1\marker_466_749698.png", "Ver Imagen")</f>
        <v/>
      </c>
      <c r="P4244">
        <f>HYPERLINK("NO\A-490\A-490__260.png", "Ver Imagen")</f>
        <v/>
      </c>
    </row>
    <row r="4245">
      <c r="A4245" t="n">
        <v>3817</v>
      </c>
      <c r="B4245" t="inlineStr">
        <is>
          <t>A-492__10</t>
        </is>
      </c>
      <c r="C4245" t="n">
        <v>37.2734104405</v>
      </c>
      <c r="D4245" t="n">
        <v>-6.99135378517</v>
      </c>
      <c r="E4245" t="n">
        <v>3</v>
      </c>
      <c r="F4245" t="n">
        <v>4</v>
      </c>
      <c r="G4245" t="n">
        <v>4</v>
      </c>
      <c r="J4245" t="inlineStr">
        <is>
          <t>Moda</t>
        </is>
      </c>
      <c r="K4245" t="n">
        <v>4</v>
      </c>
      <c r="L4245" t="n">
        <v>3.788</v>
      </c>
      <c r="M4245" t="n">
        <v>0</v>
      </c>
      <c r="N4245" t="inlineStr">
        <is>
          <t>train</t>
        </is>
      </c>
      <c r="O4245">
        <f>HYPERLINK("4\1\marker_861_821884.png", "Ver Imagen")</f>
        <v/>
      </c>
      <c r="P4245">
        <f>HYPERLINK("SE\A-492\A-492__10.png", "Ver Imagen")</f>
        <v/>
      </c>
    </row>
    <row r="4246">
      <c r="A4246" t="n">
        <v>3818</v>
      </c>
      <c r="B4246" t="inlineStr">
        <is>
          <t>A-492__18</t>
        </is>
      </c>
      <c r="C4246" t="n">
        <v>37.2749636274</v>
      </c>
      <c r="D4246" t="n">
        <v>-6.99119850761</v>
      </c>
      <c r="E4246" t="n">
        <v>3</v>
      </c>
      <c r="F4246" t="n">
        <v>4</v>
      </c>
      <c r="G4246" t="n">
        <v>4</v>
      </c>
      <c r="J4246" t="inlineStr">
        <is>
          <t>Moda</t>
        </is>
      </c>
      <c r="K4246" t="n">
        <v>4</v>
      </c>
      <c r="L4246" t="n">
        <v>3.745</v>
      </c>
      <c r="M4246" t="n">
        <v>0</v>
      </c>
      <c r="N4246" t="inlineStr">
        <is>
          <t>train</t>
        </is>
      </c>
      <c r="O4246">
        <f>HYPERLINK("4\1\marker_494_821998.png", "Ver Imagen")</f>
        <v/>
      </c>
      <c r="P4246">
        <f>HYPERLINK("SE\A-492\A-492__18.png", "Ver Imagen")</f>
        <v/>
      </c>
    </row>
    <row r="4247">
      <c r="A4247" t="n">
        <v>3820</v>
      </c>
      <c r="B4247" t="inlineStr">
        <is>
          <t>A-492__28</t>
        </is>
      </c>
      <c r="C4247" t="n">
        <v>37.2765366614</v>
      </c>
      <c r="D4247" t="n">
        <v>-6.99138595047</v>
      </c>
      <c r="E4247" t="n">
        <v>3</v>
      </c>
      <c r="F4247" t="n">
        <v>4</v>
      </c>
      <c r="G4247" t="n">
        <v>4</v>
      </c>
      <c r="J4247" t="inlineStr">
        <is>
          <t>Moda</t>
        </is>
      </c>
      <c r="K4247" t="n">
        <v>4</v>
      </c>
      <c r="L4247" t="n">
        <v>3.707</v>
      </c>
      <c r="M4247" t="n">
        <v>0</v>
      </c>
      <c r="N4247" t="inlineStr">
        <is>
          <t>train</t>
        </is>
      </c>
      <c r="O4247">
        <f>HYPERLINK("4\1\marker_328_822262.png", "Ver Imagen")</f>
        <v/>
      </c>
      <c r="P4247">
        <f>HYPERLINK("SE\A-492\A-492__28.png", "Ver Imagen")</f>
        <v/>
      </c>
    </row>
    <row r="4248">
      <c r="A4248" t="n">
        <v>3821</v>
      </c>
      <c r="B4248" t="inlineStr">
        <is>
          <t>A-492__30</t>
        </is>
      </c>
      <c r="C4248" t="n">
        <v>37.2769009565</v>
      </c>
      <c r="D4248" t="n">
        <v>-6.99167233082</v>
      </c>
      <c r="E4248" t="n">
        <v>3</v>
      </c>
      <c r="F4248" t="n">
        <v>4</v>
      </c>
      <c r="G4248" t="n">
        <v>4</v>
      </c>
      <c r="J4248" t="inlineStr">
        <is>
          <t>Moda</t>
        </is>
      </c>
      <c r="K4248" t="n">
        <v>4</v>
      </c>
      <c r="L4248" t="n">
        <v>3.949</v>
      </c>
      <c r="M4248" t="n">
        <v>0</v>
      </c>
      <c r="N4248" t="inlineStr">
        <is>
          <t>train</t>
        </is>
      </c>
      <c r="O4248">
        <f>HYPERLINK("4\1\marker_630_822310.png", "Ver Imagen")</f>
        <v/>
      </c>
      <c r="P4248">
        <f>HYPERLINK("SE\A-492\A-492__30.png", "Ver Imagen")</f>
        <v/>
      </c>
    </row>
    <row r="4249">
      <c r="A4249" t="n">
        <v>3822</v>
      </c>
      <c r="B4249" t="inlineStr">
        <is>
          <t>A-492__35</t>
        </is>
      </c>
      <c r="C4249" t="n">
        <v>37.2777309876</v>
      </c>
      <c r="D4249" t="n">
        <v>-6.99240258006</v>
      </c>
      <c r="E4249" t="n">
        <v>4</v>
      </c>
      <c r="F4249" t="n">
        <v>4</v>
      </c>
      <c r="G4249" t="n">
        <v>3</v>
      </c>
      <c r="J4249" t="inlineStr">
        <is>
          <t>Moda</t>
        </is>
      </c>
      <c r="K4249" t="n">
        <v>4</v>
      </c>
      <c r="L4249" t="n">
        <v>3.725</v>
      </c>
      <c r="M4249" t="n">
        <v>0</v>
      </c>
      <c r="N4249" t="inlineStr">
        <is>
          <t>train</t>
        </is>
      </c>
      <c r="O4249">
        <f>HYPERLINK("4\1\marker_888_822655.png", "Ver Imagen")</f>
        <v/>
      </c>
      <c r="P4249">
        <f>HYPERLINK("SE\A-492\A-492__35.png", "Ver Imagen")</f>
        <v/>
      </c>
    </row>
    <row r="4250">
      <c r="A4250" t="n">
        <v>3823</v>
      </c>
      <c r="B4250" t="inlineStr">
        <is>
          <t>A-492__90</t>
        </is>
      </c>
      <c r="C4250" t="n">
        <v>37.2803935102</v>
      </c>
      <c r="D4250" t="n">
        <v>-7.00499591228</v>
      </c>
      <c r="E4250" t="n">
        <v>3</v>
      </c>
      <c r="F4250" t="n">
        <v>4</v>
      </c>
      <c r="G4250" t="n">
        <v>4</v>
      </c>
      <c r="J4250" t="inlineStr">
        <is>
          <t>Moda</t>
        </is>
      </c>
      <c r="K4250" t="n">
        <v>4</v>
      </c>
      <c r="L4250" t="n">
        <v>3.82</v>
      </c>
      <c r="M4250" t="n">
        <v>0</v>
      </c>
      <c r="N4250" t="inlineStr">
        <is>
          <t>train</t>
        </is>
      </c>
      <c r="O4250">
        <f>HYPERLINK("4\1\marker_503_823617.png", "Ver Imagen")</f>
        <v/>
      </c>
      <c r="P4250">
        <f>HYPERLINK("SE\A-492\A-492__90.png", "Ver Imagen")</f>
        <v/>
      </c>
    </row>
    <row r="4251">
      <c r="A4251" t="n">
        <v>3826</v>
      </c>
      <c r="B4251" t="inlineStr">
        <is>
          <t>A-495R__64</t>
        </is>
      </c>
      <c r="C4251" t="n">
        <v>37.4569414453</v>
      </c>
      <c r="D4251" t="n">
        <v>-7.11388767003</v>
      </c>
      <c r="E4251" t="n">
        <v>3</v>
      </c>
      <c r="F4251" t="n">
        <v>4</v>
      </c>
      <c r="G4251" t="n">
        <v>4</v>
      </c>
      <c r="J4251" t="inlineStr">
        <is>
          <t>Moda</t>
        </is>
      </c>
      <c r="K4251" t="n">
        <v>4</v>
      </c>
      <c r="L4251" t="n">
        <v>4.048</v>
      </c>
      <c r="M4251" t="n">
        <v>0</v>
      </c>
      <c r="N4251" t="inlineStr">
        <is>
          <t>train</t>
        </is>
      </c>
      <c r="O4251">
        <f>HYPERLINK("4\1\marker_576_935397.png", "Ver Imagen")</f>
        <v/>
      </c>
      <c r="P4251">
        <f>HYPERLINK("NE\A-495R\A-495R__64.png", "Ver Imagen")</f>
        <v/>
      </c>
    </row>
    <row r="4252">
      <c r="A4252" t="n">
        <v>3827</v>
      </c>
      <c r="B4252" t="inlineStr">
        <is>
          <t>A-495R__61</t>
        </is>
      </c>
      <c r="C4252" t="n">
        <v>37.4563646879</v>
      </c>
      <c r="D4252" t="n">
        <v>-7.11367709812</v>
      </c>
      <c r="E4252" t="n">
        <v>4</v>
      </c>
      <c r="F4252" t="n">
        <v>4</v>
      </c>
      <c r="G4252" t="n">
        <v>3</v>
      </c>
      <c r="J4252" t="inlineStr">
        <is>
          <t>Moda</t>
        </is>
      </c>
      <c r="K4252" t="n">
        <v>4</v>
      </c>
      <c r="L4252" t="n">
        <v>4.321</v>
      </c>
      <c r="M4252" t="n">
        <v>0</v>
      </c>
      <c r="O4252">
        <f>HYPERLINK("4\1\marker_725_935511.png", "Ver Imagen")</f>
        <v/>
      </c>
      <c r="P4252">
        <f>HYPERLINK("NE\A-495R\A-495R__61.png", "Ver Imagen")</f>
        <v/>
      </c>
    </row>
    <row r="4253">
      <c r="A4253" t="n">
        <v>3828</v>
      </c>
      <c r="B4253" t="inlineStr">
        <is>
          <t>A-495R__59</t>
        </is>
      </c>
      <c r="C4253" t="n">
        <v>37.4559509523</v>
      </c>
      <c r="D4253" t="n">
        <v>-7.11352607637</v>
      </c>
      <c r="E4253" t="n">
        <v>4</v>
      </c>
      <c r="F4253" t="n">
        <v>4</v>
      </c>
      <c r="G4253" t="n">
        <v>3</v>
      </c>
      <c r="J4253" t="inlineStr">
        <is>
          <t>Moda</t>
        </is>
      </c>
      <c r="K4253" t="n">
        <v>4</v>
      </c>
      <c r="L4253" t="n">
        <v>4.124</v>
      </c>
      <c r="M4253" t="n">
        <v>0</v>
      </c>
      <c r="N4253" t="inlineStr">
        <is>
          <t>train</t>
        </is>
      </c>
      <c r="O4253">
        <f>HYPERLINK("4\1\marker_778_935563.png", "Ver Imagen")</f>
        <v/>
      </c>
      <c r="P4253">
        <f>HYPERLINK("NE\A-495R\A-495R__59.png", "Ver Imagen")</f>
        <v/>
      </c>
    </row>
    <row r="4254">
      <c r="A4254" t="n">
        <v>3829</v>
      </c>
      <c r="B4254" t="inlineStr">
        <is>
          <t>A-495R__45</t>
        </is>
      </c>
      <c r="C4254" t="n">
        <v>37.4533164702</v>
      </c>
      <c r="D4254" t="n">
        <v>-7.11223601262</v>
      </c>
      <c r="E4254" t="n">
        <v>3</v>
      </c>
      <c r="F4254" t="n">
        <v>4</v>
      </c>
      <c r="G4254" t="n">
        <v>4</v>
      </c>
      <c r="J4254" t="inlineStr">
        <is>
          <t>Moda</t>
        </is>
      </c>
      <c r="K4254" t="n">
        <v>4</v>
      </c>
      <c r="L4254" t="n">
        <v>4.001</v>
      </c>
      <c r="M4254" t="n">
        <v>0</v>
      </c>
      <c r="O4254">
        <f>HYPERLINK("4\1\marker_611_935713.png", "Ver Imagen")</f>
        <v/>
      </c>
      <c r="P4254">
        <f>HYPERLINK("NE\A-495R\A-495R__45.png", "Ver Imagen")</f>
        <v/>
      </c>
    </row>
    <row r="4255">
      <c r="A4255" t="n">
        <v>3830</v>
      </c>
      <c r="B4255" t="inlineStr">
        <is>
          <t>A-495R__43</t>
        </is>
      </c>
      <c r="C4255" t="n">
        <v>37.4529610856</v>
      </c>
      <c r="D4255" t="n">
        <v>-7.11204652218</v>
      </c>
      <c r="E4255" t="n">
        <v>3</v>
      </c>
      <c r="F4255" t="n">
        <v>4</v>
      </c>
      <c r="G4255" t="n">
        <v>4</v>
      </c>
      <c r="J4255" t="inlineStr">
        <is>
          <t>Moda</t>
        </is>
      </c>
      <c r="K4255" t="n">
        <v>4</v>
      </c>
      <c r="L4255" t="n">
        <v>3.613</v>
      </c>
      <c r="M4255" t="n">
        <v>0</v>
      </c>
      <c r="N4255" t="inlineStr">
        <is>
          <t>train</t>
        </is>
      </c>
      <c r="O4255">
        <f>HYPERLINK("4\1\marker_117_935730.png", "Ver Imagen")</f>
        <v/>
      </c>
      <c r="P4255">
        <f>HYPERLINK("NE\A-495R\A-495R__43.png", "Ver Imagen")</f>
        <v/>
      </c>
    </row>
    <row r="4256">
      <c r="A4256" t="n">
        <v>3831</v>
      </c>
      <c r="B4256" t="inlineStr">
        <is>
          <t>A-495R__39</t>
        </is>
      </c>
      <c r="C4256" t="n">
        <v>37.4522129715</v>
      </c>
      <c r="D4256" t="n">
        <v>-7.11163461714</v>
      </c>
      <c r="E4256" t="n">
        <v>3</v>
      </c>
      <c r="F4256" t="n">
        <v>4</v>
      </c>
      <c r="G4256" t="n">
        <v>4</v>
      </c>
      <c r="J4256" t="inlineStr">
        <is>
          <t>Moda</t>
        </is>
      </c>
      <c r="K4256" t="n">
        <v>4</v>
      </c>
      <c r="L4256" t="n">
        <v>3.794</v>
      </c>
      <c r="M4256" t="n">
        <v>0</v>
      </c>
      <c r="N4256" t="inlineStr">
        <is>
          <t>train</t>
        </is>
      </c>
      <c r="O4256">
        <f>HYPERLINK("4\1\marker_931_936532.png", "Ver Imagen")</f>
        <v/>
      </c>
      <c r="P4256">
        <f>HYPERLINK("NE\A-495R\A-495R__39.png", "Ver Imagen")</f>
        <v/>
      </c>
    </row>
    <row r="4257">
      <c r="A4257" t="n">
        <v>3832</v>
      </c>
      <c r="B4257" t="inlineStr">
        <is>
          <t>A-495R__22</t>
        </is>
      </c>
      <c r="C4257" t="n">
        <v>37.4490810563</v>
      </c>
      <c r="D4257" t="n">
        <v>-7.10991962383</v>
      </c>
      <c r="E4257" t="n">
        <v>3</v>
      </c>
      <c r="F4257" t="n">
        <v>4</v>
      </c>
      <c r="G4257" t="n">
        <v>4</v>
      </c>
      <c r="J4257" t="inlineStr">
        <is>
          <t>Moda</t>
        </is>
      </c>
      <c r="K4257" t="n">
        <v>4</v>
      </c>
      <c r="L4257" t="n">
        <v>3.75</v>
      </c>
      <c r="M4257" t="n">
        <v>0</v>
      </c>
      <c r="O4257">
        <f>HYPERLINK("4\1\marker_940_936708.png", "Ver Imagen")</f>
        <v/>
      </c>
      <c r="P4257">
        <f>HYPERLINK("NE\A-495R\A-495R__22.png", "Ver Imagen")</f>
        <v/>
      </c>
    </row>
    <row r="4258">
      <c r="A4258" t="n">
        <v>3833</v>
      </c>
      <c r="B4258" t="inlineStr">
        <is>
          <t>A-497__64</t>
        </is>
      </c>
      <c r="C4258" t="n">
        <v>37.2681638795</v>
      </c>
      <c r="D4258" t="n">
        <v>-6.9718693588</v>
      </c>
      <c r="E4258" t="n">
        <v>4</v>
      </c>
      <c r="F4258" t="n">
        <v>4</v>
      </c>
      <c r="G4258" t="n">
        <v>3</v>
      </c>
      <c r="J4258" t="inlineStr">
        <is>
          <t>Moda</t>
        </is>
      </c>
      <c r="K4258" t="n">
        <v>4</v>
      </c>
      <c r="L4258" t="n">
        <v>3.813</v>
      </c>
      <c r="M4258" t="n">
        <v>0</v>
      </c>
      <c r="N4258" t="inlineStr">
        <is>
          <t>train</t>
        </is>
      </c>
      <c r="O4258">
        <f>HYPERLINK("4\1\marker_960_938215.png", "Ver Imagen")</f>
        <v/>
      </c>
      <c r="P4258">
        <f>HYPERLINK("SE\A-497\A-497__64.png", "Ver Imagen")</f>
        <v/>
      </c>
    </row>
    <row r="4259">
      <c r="A4259" t="n">
        <v>3834</v>
      </c>
      <c r="B4259" t="inlineStr">
        <is>
          <t>A-497__6</t>
        </is>
      </c>
      <c r="C4259" t="n">
        <v>37.2666553983</v>
      </c>
      <c r="D4259" t="n">
        <v>-6.95746328455</v>
      </c>
      <c r="E4259" t="n">
        <v>3</v>
      </c>
      <c r="F4259" t="n">
        <v>4</v>
      </c>
      <c r="G4259" t="n">
        <v>4</v>
      </c>
      <c r="J4259" t="inlineStr">
        <is>
          <t>Moda</t>
        </is>
      </c>
      <c r="K4259" t="n">
        <v>4</v>
      </c>
      <c r="L4259" t="n">
        <v>3.915</v>
      </c>
      <c r="M4259" t="n">
        <v>0</v>
      </c>
      <c r="N4259" t="inlineStr">
        <is>
          <t>train</t>
        </is>
      </c>
      <c r="O4259">
        <f>HYPERLINK("4\1\marker_854_944017.png", "Ver Imagen")</f>
        <v/>
      </c>
      <c r="P4259">
        <f>HYPERLINK("SE\A-497\A-497__6.png", "Ver Imagen")</f>
        <v/>
      </c>
    </row>
    <row r="4260">
      <c r="A4260" t="n">
        <v>3835</v>
      </c>
      <c r="B4260" t="inlineStr">
        <is>
          <t>A-5052__402</t>
        </is>
      </c>
      <c r="C4260" t="n">
        <v>37.2045801263</v>
      </c>
      <c r="D4260" t="n">
        <v>-7.02800256004</v>
      </c>
      <c r="E4260" t="n">
        <v>5</v>
      </c>
      <c r="F4260" t="n">
        <v>4</v>
      </c>
      <c r="G4260" t="n">
        <v>4</v>
      </c>
      <c r="J4260" t="inlineStr">
        <is>
          <t>Moda</t>
        </is>
      </c>
      <c r="K4260" t="n">
        <v>4</v>
      </c>
      <c r="L4260" t="n">
        <v>3.649</v>
      </c>
      <c r="M4260" t="n">
        <v>0</v>
      </c>
      <c r="N4260" t="inlineStr">
        <is>
          <t>train</t>
        </is>
      </c>
      <c r="O4260">
        <f>HYPERLINK("4\1\marker_683_962690.png", "Ver Imagen")</f>
        <v/>
      </c>
      <c r="P4260">
        <f>HYPERLINK("SE\A-5052\A-5052__402.png", "Ver Imagen")</f>
        <v/>
      </c>
    </row>
    <row r="4261">
      <c r="A4261" t="n">
        <v>3836</v>
      </c>
      <c r="B4261" t="inlineStr">
        <is>
          <t>A-5053__263</t>
        </is>
      </c>
      <c r="C4261" t="n">
        <v>37.2685462403</v>
      </c>
      <c r="D4261" t="n">
        <v>-7.13695997312</v>
      </c>
      <c r="E4261" t="n">
        <v>5</v>
      </c>
      <c r="F4261" t="n">
        <v>4</v>
      </c>
      <c r="G4261" t="n">
        <v>4</v>
      </c>
      <c r="J4261" t="inlineStr">
        <is>
          <t>Moda</t>
        </is>
      </c>
      <c r="K4261" t="n">
        <v>4</v>
      </c>
      <c r="L4261" t="n">
        <v>3.633</v>
      </c>
      <c r="M4261" t="n">
        <v>0</v>
      </c>
      <c r="N4261" t="inlineStr">
        <is>
          <t>train</t>
        </is>
      </c>
      <c r="O4261">
        <f>HYPERLINK("4\1\marker_142_965225.png", "Ver Imagen")</f>
        <v/>
      </c>
      <c r="P4261">
        <f>HYPERLINK("SO\A-5053\A-5053__263.png", "Ver Imagen")</f>
        <v/>
      </c>
    </row>
    <row r="4262">
      <c r="A4262" t="n">
        <v>3837</v>
      </c>
      <c r="B4262" t="inlineStr">
        <is>
          <t>A-5053__259</t>
        </is>
      </c>
      <c r="C4262" t="n">
        <v>37.2683262556</v>
      </c>
      <c r="D4262" t="n">
        <v>-7.1359682189</v>
      </c>
      <c r="E4262" t="n">
        <v>5</v>
      </c>
      <c r="F4262" t="n">
        <v>4</v>
      </c>
      <c r="G4262" t="n">
        <v>4</v>
      </c>
      <c r="J4262" t="inlineStr">
        <is>
          <t>Moda</t>
        </is>
      </c>
      <c r="K4262" t="n">
        <v>4</v>
      </c>
      <c r="L4262" t="n">
        <v>3.709</v>
      </c>
      <c r="M4262" t="n">
        <v>0</v>
      </c>
      <c r="N4262" t="inlineStr">
        <is>
          <t>train</t>
        </is>
      </c>
      <c r="O4262">
        <f>HYPERLINK("4\1\marker_461_965265.png", "Ver Imagen")</f>
        <v/>
      </c>
      <c r="P4262">
        <f>HYPERLINK("SO\A-5053\A-5053__259.png", "Ver Imagen")</f>
        <v/>
      </c>
    </row>
    <row r="4263">
      <c r="A4263" t="n">
        <v>3838</v>
      </c>
      <c r="B4263" t="inlineStr">
        <is>
          <t>A-5053__255</t>
        </is>
      </c>
      <c r="C4263" t="n">
        <v>37.2680536866</v>
      </c>
      <c r="D4263" t="n">
        <v>-7.13502918714</v>
      </c>
      <c r="E4263" t="n">
        <v>5</v>
      </c>
      <c r="F4263" t="n">
        <v>4</v>
      </c>
      <c r="G4263" t="n">
        <v>4</v>
      </c>
      <c r="J4263" t="inlineStr">
        <is>
          <t>Moda</t>
        </is>
      </c>
      <c r="K4263" t="n">
        <v>4</v>
      </c>
      <c r="L4263" t="n">
        <v>3.727</v>
      </c>
      <c r="M4263" t="n">
        <v>0</v>
      </c>
      <c r="N4263" t="inlineStr">
        <is>
          <t>train</t>
        </is>
      </c>
      <c r="O4263">
        <f>HYPERLINK("4\1\marker_986_965305.png", "Ver Imagen")</f>
        <v/>
      </c>
      <c r="P4263">
        <f>HYPERLINK("SO\A-5053\A-5053__255.png", "Ver Imagen")</f>
        <v/>
      </c>
    </row>
    <row r="4264">
      <c r="A4264" t="n">
        <v>3839</v>
      </c>
      <c r="B4264" t="inlineStr">
        <is>
          <t>A-5053__234</t>
        </is>
      </c>
      <c r="C4264" t="n">
        <v>37.2646664241</v>
      </c>
      <c r="D4264" t="n">
        <v>-7.13200912549</v>
      </c>
      <c r="E4264" t="n">
        <v>5</v>
      </c>
      <c r="F4264" t="n">
        <v>4</v>
      </c>
      <c r="G4264" t="n">
        <v>4</v>
      </c>
      <c r="J4264" t="inlineStr">
        <is>
          <t>Moda</t>
        </is>
      </c>
      <c r="K4264" t="n">
        <v>4</v>
      </c>
      <c r="L4264" t="n">
        <v>3.711</v>
      </c>
      <c r="M4264" t="n">
        <v>0</v>
      </c>
      <c r="N4264" t="inlineStr">
        <is>
          <t>train</t>
        </is>
      </c>
      <c r="O4264">
        <f>HYPERLINK("4\1\marker_831_965557.png", "Ver Imagen")</f>
        <v/>
      </c>
      <c r="P4264">
        <f>HYPERLINK("SO\A-5053\A-5053__234.png", "Ver Imagen")</f>
        <v/>
      </c>
    </row>
    <row r="4265">
      <c r="A4265" t="n">
        <v>3840</v>
      </c>
      <c r="B4265" t="inlineStr">
        <is>
          <t>A-5059__82</t>
        </is>
      </c>
      <c r="C4265" t="n">
        <v>37.2212295051</v>
      </c>
      <c r="D4265" t="n">
        <v>-7.05390429255</v>
      </c>
      <c r="E4265" t="n">
        <v>4</v>
      </c>
      <c r="F4265" t="n">
        <v>4</v>
      </c>
      <c r="G4265" t="n">
        <v>3</v>
      </c>
      <c r="J4265" t="inlineStr">
        <is>
          <t>Moda</t>
        </is>
      </c>
      <c r="K4265" t="n">
        <v>4</v>
      </c>
      <c r="L4265" t="n">
        <v>3.893</v>
      </c>
      <c r="M4265" t="n">
        <v>0</v>
      </c>
      <c r="N4265" t="inlineStr">
        <is>
          <t>train</t>
        </is>
      </c>
      <c r="O4265">
        <f>HYPERLINK("4\1\marker_387_378708.png", "Ver Imagen")</f>
        <v/>
      </c>
      <c r="P4265">
        <f>HYPERLINK("SE\A-5059\A-5059__82.png", "Ver Imagen")</f>
        <v/>
      </c>
    </row>
    <row r="4266">
      <c r="A4266" t="n">
        <v>3842</v>
      </c>
      <c r="B4266" t="inlineStr">
        <is>
          <t>A-495__124</t>
        </is>
      </c>
      <c r="C4266" t="n">
        <v>37.435318247</v>
      </c>
      <c r="D4266" t="n">
        <v>-7.07198944997</v>
      </c>
      <c r="E4266" t="n">
        <v>4</v>
      </c>
      <c r="F4266" t="n">
        <v>4</v>
      </c>
      <c r="G4266" t="n">
        <v>3</v>
      </c>
      <c r="J4266" t="inlineStr">
        <is>
          <t>Moda</t>
        </is>
      </c>
      <c r="K4266" t="n">
        <v>4</v>
      </c>
      <c r="L4266" t="n">
        <v>3.569</v>
      </c>
      <c r="M4266" t="n">
        <v>0</v>
      </c>
      <c r="N4266" t="inlineStr">
        <is>
          <t>train</t>
        </is>
      </c>
      <c r="O4266">
        <f>HYPERLINK("4\1\marker_385_382412.png", "Ver Imagen")</f>
        <v/>
      </c>
      <c r="P4266">
        <f>HYPERLINK("NE\A-495\A-495__124.png", "Ver Imagen")</f>
        <v/>
      </c>
    </row>
    <row r="4267">
      <c r="A4267" t="n">
        <v>3844</v>
      </c>
      <c r="B4267" t="inlineStr">
        <is>
          <t>A-5058__279</t>
        </is>
      </c>
      <c r="C4267" t="n">
        <v>37.2439486782</v>
      </c>
      <c r="D4267" t="n">
        <v>-7.08986265266</v>
      </c>
      <c r="E4267" t="n">
        <v>3</v>
      </c>
      <c r="F4267" t="n">
        <v>4</v>
      </c>
      <c r="G4267" t="n">
        <v>4</v>
      </c>
      <c r="J4267" t="inlineStr">
        <is>
          <t>Moda</t>
        </is>
      </c>
      <c r="K4267" t="n">
        <v>4</v>
      </c>
      <c r="L4267" t="n">
        <v>3.73</v>
      </c>
      <c r="M4267" t="n">
        <v>0</v>
      </c>
      <c r="N4267" t="inlineStr">
        <is>
          <t>val</t>
        </is>
      </c>
      <c r="O4267">
        <f>HYPERLINK("4\1\marker_656_384024.png", "Ver Imagen")</f>
        <v/>
      </c>
      <c r="P4267">
        <f>HYPERLINK("SE\A-5058\A-5058__279.png", "Ver Imagen")</f>
        <v/>
      </c>
    </row>
    <row r="4268">
      <c r="A4268" t="n">
        <v>3844</v>
      </c>
      <c r="B4268" t="inlineStr">
        <is>
          <t>A-5058__279</t>
        </is>
      </c>
      <c r="C4268" t="n">
        <v>37.2439486782</v>
      </c>
      <c r="D4268" t="n">
        <v>-7.08986265266</v>
      </c>
      <c r="E4268" t="n">
        <v>3</v>
      </c>
      <c r="F4268" t="n">
        <v>4</v>
      </c>
      <c r="G4268" t="n">
        <v>4</v>
      </c>
      <c r="J4268" t="inlineStr">
        <is>
          <t>Moda</t>
        </is>
      </c>
      <c r="K4268" t="n">
        <v>4</v>
      </c>
      <c r="L4268" t="n">
        <v>4.09</v>
      </c>
      <c r="M4268" t="n">
        <v>0</v>
      </c>
      <c r="N4268" t="inlineStr">
        <is>
          <t>val</t>
        </is>
      </c>
      <c r="O4268">
        <f>HYPERLINK("4\1\marker_656_384024.png", "Ver Imagen")</f>
        <v/>
      </c>
      <c r="P4268">
        <f>HYPERLINK("SO\A-5058\A-5058__279.png", "Ver Imagen")</f>
        <v/>
      </c>
    </row>
    <row r="4269">
      <c r="A4269" t="n">
        <v>3845</v>
      </c>
      <c r="B4269" t="inlineStr">
        <is>
          <t>A-5058__297</t>
        </is>
      </c>
      <c r="C4269" t="n">
        <v>37.2454287709</v>
      </c>
      <c r="D4269" t="n">
        <v>-7.09396760725</v>
      </c>
      <c r="E4269" t="n">
        <v>5</v>
      </c>
      <c r="F4269" t="n">
        <v>4</v>
      </c>
      <c r="G4269" t="n">
        <v>4</v>
      </c>
      <c r="J4269" t="inlineStr">
        <is>
          <t>Moda</t>
        </is>
      </c>
      <c r="K4269" t="n">
        <v>4</v>
      </c>
      <c r="L4269" t="n">
        <v>3.635</v>
      </c>
      <c r="M4269" t="n">
        <v>0</v>
      </c>
      <c r="N4269" t="inlineStr">
        <is>
          <t>test</t>
        </is>
      </c>
      <c r="O4269">
        <f>HYPERLINK("4\1\marker_508_384233.png", "Ver Imagen")</f>
        <v/>
      </c>
      <c r="P4269">
        <f>HYPERLINK("SE\A-5058\A-5058__297.png", "Ver Imagen")</f>
        <v/>
      </c>
    </row>
    <row r="4270">
      <c r="A4270" t="n">
        <v>3845</v>
      </c>
      <c r="B4270" t="inlineStr">
        <is>
          <t>A-5058__297</t>
        </is>
      </c>
      <c r="C4270" t="n">
        <v>37.2454287709</v>
      </c>
      <c r="D4270" t="n">
        <v>-7.09396760725</v>
      </c>
      <c r="E4270" t="n">
        <v>5</v>
      </c>
      <c r="F4270" t="n">
        <v>4</v>
      </c>
      <c r="G4270" t="n">
        <v>4</v>
      </c>
      <c r="J4270" t="inlineStr">
        <is>
          <t>Moda</t>
        </is>
      </c>
      <c r="K4270" t="n">
        <v>4</v>
      </c>
      <c r="L4270" t="n">
        <v>3.946</v>
      </c>
      <c r="M4270" t="n">
        <v>0</v>
      </c>
      <c r="N4270" t="inlineStr">
        <is>
          <t>test</t>
        </is>
      </c>
      <c r="O4270">
        <f>HYPERLINK("4\1\marker_508_384233.png", "Ver Imagen")</f>
        <v/>
      </c>
      <c r="P4270">
        <f>HYPERLINK("SO\A-5058\A-5058__297.png", "Ver Imagen")</f>
        <v/>
      </c>
    </row>
    <row r="4271">
      <c r="A4271" t="n">
        <v>3846</v>
      </c>
      <c r="B4271" t="inlineStr">
        <is>
          <t>A-5058__338</t>
        </is>
      </c>
      <c r="C4271" t="n">
        <v>37.2493200073</v>
      </c>
      <c r="D4271" t="n">
        <v>-7.10243882414</v>
      </c>
      <c r="E4271" t="n">
        <v>3</v>
      </c>
      <c r="F4271" t="n">
        <v>4</v>
      </c>
      <c r="G4271" t="n">
        <v>4</v>
      </c>
      <c r="J4271" t="inlineStr">
        <is>
          <t>Moda</t>
        </is>
      </c>
      <c r="K4271" t="n">
        <v>4</v>
      </c>
      <c r="L4271" t="n">
        <v>3.727</v>
      </c>
      <c r="M4271" t="n">
        <v>0</v>
      </c>
      <c r="N4271" t="inlineStr">
        <is>
          <t>val</t>
        </is>
      </c>
      <c r="O4271">
        <f>HYPERLINK("4\1\marker_735_384731.png", "Ver Imagen")</f>
        <v/>
      </c>
      <c r="P4271">
        <f>HYPERLINK("SO\A-5058\A-5058__338.png", "Ver Imagen")</f>
        <v/>
      </c>
    </row>
    <row r="4272">
      <c r="A4272" t="n">
        <v>3848</v>
      </c>
      <c r="B4272" t="inlineStr">
        <is>
          <t>A-5058__449</t>
        </is>
      </c>
      <c r="C4272" t="n">
        <v>37.2589613378</v>
      </c>
      <c r="D4272" t="n">
        <v>-7.12431966954</v>
      </c>
      <c r="E4272" t="n">
        <v>4</v>
      </c>
      <c r="F4272" t="n">
        <v>4</v>
      </c>
      <c r="G4272" t="n">
        <v>5</v>
      </c>
      <c r="J4272" t="inlineStr">
        <is>
          <t>Moda</t>
        </is>
      </c>
      <c r="K4272" t="n">
        <v>4</v>
      </c>
      <c r="L4272" t="n">
        <v>3.753</v>
      </c>
      <c r="M4272" t="n">
        <v>0</v>
      </c>
      <c r="N4272" t="inlineStr">
        <is>
          <t>train</t>
        </is>
      </c>
      <c r="O4272">
        <f>HYPERLINK("4\1\marker_529_389065.png", "Ver Imagen")</f>
        <v/>
      </c>
      <c r="P4272">
        <f>HYPERLINK("SO\A-5058\A-5058__449.png", "Ver Imagen")</f>
        <v/>
      </c>
    </row>
    <row r="4273">
      <c r="A4273" t="n">
        <v>3851</v>
      </c>
      <c r="B4273" t="inlineStr">
        <is>
          <t>A-495_1__151</t>
        </is>
      </c>
      <c r="C4273" t="n">
        <v>37.4771065766</v>
      </c>
      <c r="D4273" t="n">
        <v>-7.12607088869</v>
      </c>
      <c r="E4273" t="n">
        <v>5</v>
      </c>
      <c r="F4273" t="n">
        <v>4</v>
      </c>
      <c r="G4273" t="n">
        <v>4</v>
      </c>
      <c r="J4273" t="inlineStr">
        <is>
          <t>Moda</t>
        </is>
      </c>
      <c r="K4273" t="n">
        <v>4</v>
      </c>
      <c r="L4273" t="n">
        <v>3.706</v>
      </c>
      <c r="M4273" t="n">
        <v>0</v>
      </c>
      <c r="N4273" t="inlineStr">
        <is>
          <t>test</t>
        </is>
      </c>
      <c r="O4273">
        <f>HYPERLINK("4\1\marker_780_384231.png", "Ver Imagen")</f>
        <v/>
      </c>
      <c r="P4273">
        <f>HYPERLINK("NE\A-495_1\A-495_1__151.png", "Ver Imagen")</f>
        <v/>
      </c>
    </row>
    <row r="4274">
      <c r="A4274" t="n">
        <v>3852</v>
      </c>
      <c r="B4274" t="inlineStr">
        <is>
          <t>A-495_1__150</t>
        </is>
      </c>
      <c r="C4274" t="n">
        <v>37.4769483503</v>
      </c>
      <c r="D4274" t="n">
        <v>-7.12593729707</v>
      </c>
      <c r="E4274" t="n">
        <v>4</v>
      </c>
      <c r="F4274" t="n">
        <v>4</v>
      </c>
      <c r="G4274" t="n">
        <v>5</v>
      </c>
      <c r="J4274" t="inlineStr">
        <is>
          <t>Moda</t>
        </is>
      </c>
      <c r="K4274" t="n">
        <v>4</v>
      </c>
      <c r="L4274" t="n">
        <v>3.813</v>
      </c>
      <c r="M4274" t="n">
        <v>0</v>
      </c>
      <c r="N4274" t="inlineStr">
        <is>
          <t>train</t>
        </is>
      </c>
      <c r="O4274">
        <f>HYPERLINK("4\1\marker_148_384242.png", "Ver Imagen")</f>
        <v/>
      </c>
      <c r="P4274">
        <f>HYPERLINK("NE\A-495_1\A-495_1__150.png", "Ver Imagen")</f>
        <v/>
      </c>
    </row>
    <row r="4275">
      <c r="A4275" t="n">
        <v>3853</v>
      </c>
      <c r="B4275" t="inlineStr">
        <is>
          <t>A-495_1__105</t>
        </is>
      </c>
      <c r="C4275" t="n">
        <v>37.4684876089</v>
      </c>
      <c r="D4275" t="n">
        <v>-7.12360349118</v>
      </c>
      <c r="E4275" t="n">
        <v>4</v>
      </c>
      <c r="F4275" t="n">
        <v>4</v>
      </c>
      <c r="G4275" t="n">
        <v>5</v>
      </c>
      <c r="J4275" t="inlineStr">
        <is>
          <t>Moda</t>
        </is>
      </c>
      <c r="K4275" t="n">
        <v>4</v>
      </c>
      <c r="L4275" t="n">
        <v>3.669</v>
      </c>
      <c r="M4275" t="n">
        <v>0</v>
      </c>
      <c r="N4275" t="inlineStr">
        <is>
          <t>train</t>
        </is>
      </c>
      <c r="O4275">
        <f>HYPERLINK("4\1\marker_208_384950.png", "Ver Imagen")</f>
        <v/>
      </c>
      <c r="P4275">
        <f>HYPERLINK("NE\A-495_1\A-495_1__105.png", "Ver Imagen")</f>
        <v/>
      </c>
    </row>
    <row r="4276">
      <c r="A4276" t="n">
        <v>3854</v>
      </c>
      <c r="B4276" t="inlineStr">
        <is>
          <t>A-499__66</t>
        </is>
      </c>
      <c r="C4276" t="n">
        <v>37.4953476361</v>
      </c>
      <c r="D4276" t="n">
        <v>-7.27119608156</v>
      </c>
      <c r="E4276" t="n">
        <v>5</v>
      </c>
      <c r="F4276" t="n">
        <v>4</v>
      </c>
      <c r="G4276" t="n">
        <v>4</v>
      </c>
      <c r="J4276" t="inlineStr">
        <is>
          <t>Moda</t>
        </is>
      </c>
      <c r="K4276" t="n">
        <v>4</v>
      </c>
      <c r="L4276" t="n">
        <v>4.013</v>
      </c>
      <c r="M4276" t="n">
        <v>0</v>
      </c>
      <c r="N4276" t="inlineStr">
        <is>
          <t>train</t>
        </is>
      </c>
      <c r="O4276">
        <f>HYPERLINK("4\1\marker_122_535135.png", "Ver Imagen")</f>
        <v/>
      </c>
      <c r="P4276">
        <f>HYPERLINK("NO\A-499\A-499__66.png", "Ver Imagen")</f>
        <v/>
      </c>
    </row>
    <row r="4277">
      <c r="A4277" t="n">
        <v>3855</v>
      </c>
      <c r="B4277" t="inlineStr">
        <is>
          <t>A-497__800</t>
        </is>
      </c>
      <c r="C4277" t="n">
        <v>37.1934198331</v>
      </c>
      <c r="D4277" t="n">
        <v>-6.97766425678</v>
      </c>
      <c r="E4277" t="n">
        <v>3</v>
      </c>
      <c r="F4277" t="n">
        <v>4</v>
      </c>
      <c r="G4277" t="n">
        <v>4</v>
      </c>
      <c r="J4277" t="inlineStr">
        <is>
          <t>Moda</t>
        </is>
      </c>
      <c r="K4277" t="n">
        <v>4</v>
      </c>
      <c r="L4277" t="n">
        <v>3.994</v>
      </c>
      <c r="M4277" t="n">
        <v>0</v>
      </c>
      <c r="N4277" t="inlineStr">
        <is>
          <t>train</t>
        </is>
      </c>
      <c r="O4277">
        <f>HYPERLINK("4\1\marker_120_367949.png", "Ver Imagen")</f>
        <v/>
      </c>
      <c r="P4277">
        <f>HYPERLINK("SE\A-497\A-497__800.png", "Ver Imagen")</f>
        <v/>
      </c>
    </row>
    <row r="4278">
      <c r="A4278" t="n">
        <v>3856</v>
      </c>
      <c r="B4278" t="inlineStr">
        <is>
          <t>A-497__754</t>
        </is>
      </c>
      <c r="C4278" t="n">
        <v>37.1866084647</v>
      </c>
      <c r="D4278" t="n">
        <v>-6.97960093742</v>
      </c>
      <c r="E4278" t="n">
        <v>4</v>
      </c>
      <c r="F4278" t="n">
        <v>4</v>
      </c>
      <c r="G4278" t="n">
        <v>5</v>
      </c>
      <c r="J4278" t="inlineStr">
        <is>
          <t>Moda</t>
        </is>
      </c>
      <c r="K4278" t="n">
        <v>4</v>
      </c>
      <c r="L4278" t="n">
        <v>3.804</v>
      </c>
      <c r="M4278" t="n">
        <v>0</v>
      </c>
      <c r="N4278" t="inlineStr">
        <is>
          <t>train</t>
        </is>
      </c>
      <c r="O4278">
        <f>HYPERLINK("4\1\marker_563_368640.png", "Ver Imagen")</f>
        <v/>
      </c>
      <c r="P4278">
        <f>HYPERLINK("SE\A-497\A-497__754.png", "Ver Imagen")</f>
        <v/>
      </c>
    </row>
    <row r="4279">
      <c r="A4279" t="n">
        <v>3858</v>
      </c>
      <c r="B4279" t="inlineStr">
        <is>
          <t>A-497_2C__80</t>
        </is>
      </c>
      <c r="C4279" t="n">
        <v>37.2694174667</v>
      </c>
      <c r="D4279" t="n">
        <v>-6.97699777016</v>
      </c>
      <c r="E4279" t="n">
        <v>4</v>
      </c>
      <c r="F4279" t="n">
        <v>4</v>
      </c>
      <c r="G4279" t="n">
        <v>3</v>
      </c>
      <c r="J4279" t="inlineStr">
        <is>
          <t>Moda</t>
        </is>
      </c>
      <c r="K4279" t="n">
        <v>4</v>
      </c>
      <c r="L4279" t="n">
        <v>3.792</v>
      </c>
      <c r="M4279" t="n">
        <v>0</v>
      </c>
      <c r="N4279" t="inlineStr">
        <is>
          <t>train</t>
        </is>
      </c>
      <c r="O4279">
        <f>HYPERLINK("4\1\marker_772_655127.png", "Ver Imagen")</f>
        <v/>
      </c>
      <c r="P4279">
        <f>HYPERLINK("SE\A-497_2C\A-497_2C__80.png", "Ver Imagen")</f>
        <v/>
      </c>
    </row>
    <row r="4280">
      <c r="A4280" t="n">
        <v>3859</v>
      </c>
      <c r="B4280" t="inlineStr">
        <is>
          <t>A-497_2C__92</t>
        </is>
      </c>
      <c r="C4280" t="n">
        <v>37.2702384876</v>
      </c>
      <c r="D4280" t="n">
        <v>-6.97987233802</v>
      </c>
      <c r="E4280" t="n">
        <v>5</v>
      </c>
      <c r="F4280" t="n">
        <v>4</v>
      </c>
      <c r="G4280" t="n">
        <v>4</v>
      </c>
      <c r="J4280" t="inlineStr">
        <is>
          <t>Moda</t>
        </is>
      </c>
      <c r="K4280" t="n">
        <v>4</v>
      </c>
      <c r="L4280" t="n">
        <v>3.606</v>
      </c>
      <c r="M4280" t="n">
        <v>0</v>
      </c>
      <c r="N4280" t="inlineStr">
        <is>
          <t>train</t>
        </is>
      </c>
      <c r="O4280">
        <f>HYPERLINK("4\1\marker_254_655301.png", "Ver Imagen")</f>
        <v/>
      </c>
      <c r="P4280">
        <f>HYPERLINK("SE\A-497_2C\A-497_2C__92.png", "Ver Imagen")</f>
        <v/>
      </c>
    </row>
    <row r="4281">
      <c r="A4281" t="n">
        <v>3860</v>
      </c>
      <c r="B4281" t="inlineStr">
        <is>
          <t>A-497_2C__93</t>
        </is>
      </c>
      <c r="C4281" t="n">
        <v>37.2703058868</v>
      </c>
      <c r="D4281" t="n">
        <v>-6.98010637156</v>
      </c>
      <c r="E4281" t="n">
        <v>3</v>
      </c>
      <c r="F4281" t="n">
        <v>4</v>
      </c>
      <c r="G4281" t="n">
        <v>4</v>
      </c>
      <c r="J4281" t="inlineStr">
        <is>
          <t>Moda</t>
        </is>
      </c>
      <c r="K4281" t="n">
        <v>4</v>
      </c>
      <c r="L4281" t="n">
        <v>3.784</v>
      </c>
      <c r="M4281" t="n">
        <v>0</v>
      </c>
      <c r="N4281" t="inlineStr">
        <is>
          <t>train</t>
        </is>
      </c>
      <c r="O4281">
        <f>HYPERLINK("4\1\marker_498_655312.png", "Ver Imagen")</f>
        <v/>
      </c>
      <c r="P4281">
        <f>HYPERLINK("SE\A-497_2C\A-497_2C__93.png", "Ver Imagen")</f>
        <v/>
      </c>
    </row>
    <row r="4282">
      <c r="A4282" t="n">
        <v>3861</v>
      </c>
      <c r="B4282" t="inlineStr">
        <is>
          <t>A-497_2C__107</t>
        </is>
      </c>
      <c r="C4282" t="n">
        <v>37.2712600561</v>
      </c>
      <c r="D4282" t="n">
        <v>-6.98341649019</v>
      </c>
      <c r="E4282" t="n">
        <v>4</v>
      </c>
      <c r="F4282" t="n">
        <v>4</v>
      </c>
      <c r="G4282" t="n">
        <v>3</v>
      </c>
      <c r="J4282" t="inlineStr">
        <is>
          <t>Moda</t>
        </is>
      </c>
      <c r="K4282" t="n">
        <v>4</v>
      </c>
      <c r="L4282" t="n">
        <v>3.537</v>
      </c>
      <c r="M4282" t="n">
        <v>0</v>
      </c>
      <c r="N4282" t="inlineStr">
        <is>
          <t>train</t>
        </is>
      </c>
      <c r="O4282">
        <f>HYPERLINK("4\1\marker_826_655509.png", "Ver Imagen")</f>
        <v/>
      </c>
      <c r="P4282">
        <f>HYPERLINK("SE\A-497_2C\A-497_2C__107.png", "Ver Imagen")</f>
        <v/>
      </c>
    </row>
    <row r="4283">
      <c r="A4283" t="n">
        <v>3862</v>
      </c>
      <c r="B4283" t="inlineStr">
        <is>
          <t>A-497_2C__155</t>
        </is>
      </c>
      <c r="C4283" t="n">
        <v>37.2667270689</v>
      </c>
      <c r="D4283" t="n">
        <v>-6.99225815459</v>
      </c>
      <c r="E4283" t="n">
        <v>4</v>
      </c>
      <c r="F4283" t="n">
        <v>4</v>
      </c>
      <c r="G4283" t="n">
        <v>3</v>
      </c>
      <c r="J4283" t="inlineStr">
        <is>
          <t>Moda</t>
        </is>
      </c>
      <c r="K4283" t="n">
        <v>4</v>
      </c>
      <c r="L4283" t="n">
        <v>4.064</v>
      </c>
      <c r="M4283" t="n">
        <v>0</v>
      </c>
      <c r="N4283" t="inlineStr">
        <is>
          <t>train</t>
        </is>
      </c>
      <c r="O4283">
        <f>HYPERLINK("4\1\marker_369_656056.png", "Ver Imagen")</f>
        <v/>
      </c>
      <c r="P4283">
        <f>HYPERLINK("SE\A-497_2C\A-497_2C__155.png", "Ver Imagen")</f>
        <v/>
      </c>
    </row>
    <row r="4284">
      <c r="A4284" t="n">
        <v>3864</v>
      </c>
      <c r="B4284" t="inlineStr">
        <is>
          <t>A-497_2C__179</t>
        </is>
      </c>
      <c r="C4284" t="n">
        <v>37.2651416119</v>
      </c>
      <c r="D4284" t="n">
        <v>-6.99795070149</v>
      </c>
      <c r="E4284" t="n">
        <v>4</v>
      </c>
      <c r="F4284" t="n">
        <v>4</v>
      </c>
      <c r="G4284" t="n">
        <v>3</v>
      </c>
      <c r="J4284" t="inlineStr">
        <is>
          <t>Moda</t>
        </is>
      </c>
      <c r="K4284" t="n">
        <v>4</v>
      </c>
      <c r="L4284" t="n">
        <v>3.618</v>
      </c>
      <c r="M4284" t="n">
        <v>0</v>
      </c>
      <c r="N4284" t="inlineStr">
        <is>
          <t>train</t>
        </is>
      </c>
      <c r="O4284">
        <f>HYPERLINK("4\1\marker_922_656320.png", "Ver Imagen")</f>
        <v/>
      </c>
      <c r="P4284">
        <f>HYPERLINK("SE\A-497_2C\A-497_2C__179.png", "Ver Imagen")</f>
        <v/>
      </c>
    </row>
    <row r="4285">
      <c r="A4285" t="n">
        <v>3865</v>
      </c>
      <c r="B4285" t="inlineStr">
        <is>
          <t>A-497__714</t>
        </is>
      </c>
      <c r="C4285" t="n">
        <v>37.194192453</v>
      </c>
      <c r="D4285" t="n">
        <v>-6.97762783153</v>
      </c>
      <c r="E4285" t="n">
        <v>3</v>
      </c>
      <c r="F4285" t="n">
        <v>4</v>
      </c>
      <c r="G4285" t="n">
        <v>4</v>
      </c>
      <c r="J4285" t="inlineStr">
        <is>
          <t>Moda</t>
        </is>
      </c>
      <c r="K4285" t="n">
        <v>4</v>
      </c>
      <c r="L4285" t="n">
        <v>3.949</v>
      </c>
      <c r="M4285" t="n">
        <v>0</v>
      </c>
      <c r="N4285" t="inlineStr">
        <is>
          <t>train</t>
        </is>
      </c>
      <c r="O4285">
        <f>HYPERLINK("4\1\marker_347_369124.png", "Ver Imagen")</f>
        <v/>
      </c>
      <c r="P4285">
        <f>HYPERLINK("SE\A-497\A-497__714.png", "Ver Imagen")</f>
        <v/>
      </c>
    </row>
    <row r="4286">
      <c r="A4286" t="n">
        <v>3866</v>
      </c>
      <c r="B4286" t="inlineStr">
        <is>
          <t>A-497_2C__184</t>
        </is>
      </c>
      <c r="C4286" t="n">
        <v>37.2649514332</v>
      </c>
      <c r="D4286" t="n">
        <v>-6.99916067735</v>
      </c>
      <c r="E4286" t="n">
        <v>4</v>
      </c>
      <c r="F4286" t="n">
        <v>4</v>
      </c>
      <c r="G4286" t="n">
        <v>3</v>
      </c>
      <c r="J4286" t="inlineStr">
        <is>
          <t>Moda</t>
        </is>
      </c>
      <c r="K4286" t="n">
        <v>4</v>
      </c>
      <c r="L4286" t="n">
        <v>3.729</v>
      </c>
      <c r="M4286" t="n">
        <v>0</v>
      </c>
      <c r="N4286" t="inlineStr">
        <is>
          <t>train</t>
        </is>
      </c>
      <c r="O4286">
        <f>HYPERLINK("4\1\marker_401_656364.png", "Ver Imagen")</f>
        <v/>
      </c>
      <c r="P4286">
        <f>HYPERLINK("SE\A-497_2C\A-497_2C__184.png", "Ver Imagen")</f>
        <v/>
      </c>
    </row>
    <row r="4287">
      <c r="A4287" t="n">
        <v>3870</v>
      </c>
      <c r="B4287" t="inlineStr">
        <is>
          <t>A-497__702</t>
        </is>
      </c>
      <c r="C4287" t="n">
        <v>37.1964770025</v>
      </c>
      <c r="D4287" t="n">
        <v>-6.97876180569</v>
      </c>
      <c r="E4287" t="n">
        <v>3</v>
      </c>
      <c r="F4287" t="n">
        <v>4</v>
      </c>
      <c r="G4287" t="n">
        <v>4</v>
      </c>
      <c r="J4287" t="inlineStr">
        <is>
          <t>Moda</t>
        </is>
      </c>
      <c r="K4287" t="n">
        <v>4</v>
      </c>
      <c r="L4287" t="n">
        <v>3.562</v>
      </c>
      <c r="M4287" t="n">
        <v>0</v>
      </c>
      <c r="N4287" t="inlineStr">
        <is>
          <t>train</t>
        </is>
      </c>
      <c r="O4287">
        <f>HYPERLINK("4\1\marker_822_370360.png", "Ver Imagen")</f>
        <v/>
      </c>
      <c r="P4287">
        <f>HYPERLINK("SE\A-497\A-497__702.png", "Ver Imagen")</f>
        <v/>
      </c>
    </row>
    <row r="4288">
      <c r="A4288" t="n">
        <v>3877</v>
      </c>
      <c r="B4288" t="inlineStr">
        <is>
          <t>A-497__622</t>
        </is>
      </c>
      <c r="C4288" t="n">
        <v>37.2022587128</v>
      </c>
      <c r="D4288" t="n">
        <v>-6.997128499</v>
      </c>
      <c r="E4288" t="n">
        <v>5</v>
      </c>
      <c r="F4288" t="n">
        <v>4</v>
      </c>
      <c r="G4288" t="n">
        <v>4</v>
      </c>
      <c r="J4288" t="inlineStr">
        <is>
          <t>Moda</t>
        </is>
      </c>
      <c r="K4288" t="n">
        <v>4</v>
      </c>
      <c r="L4288" t="n">
        <v>3.606</v>
      </c>
      <c r="M4288" t="n">
        <v>0</v>
      </c>
      <c r="N4288" t="inlineStr">
        <is>
          <t>train</t>
        </is>
      </c>
      <c r="O4288">
        <f>HYPERLINK("4\1\marker_524_371508.png", "Ver Imagen")</f>
        <v/>
      </c>
      <c r="P4288">
        <f>HYPERLINK("SE\A-497\A-497__622.png", "Ver Imagen")</f>
        <v/>
      </c>
    </row>
    <row r="4289">
      <c r="A4289" t="n">
        <v>3880</v>
      </c>
      <c r="B4289" t="inlineStr">
        <is>
          <t>A-497__593</t>
        </is>
      </c>
      <c r="C4289" t="n">
        <v>37.2031630887</v>
      </c>
      <c r="D4289" t="n">
        <v>-7.00438188692</v>
      </c>
      <c r="E4289" t="n">
        <v>5</v>
      </c>
      <c r="F4289" t="n">
        <v>4</v>
      </c>
      <c r="G4289" t="n">
        <v>4</v>
      </c>
      <c r="J4289" t="inlineStr">
        <is>
          <t>Moda</t>
        </is>
      </c>
      <c r="K4289" t="n">
        <v>4</v>
      </c>
      <c r="L4289" t="n">
        <v>3.522</v>
      </c>
      <c r="M4289" t="n">
        <v>0</v>
      </c>
      <c r="N4289" t="inlineStr">
        <is>
          <t>train</t>
        </is>
      </c>
      <c r="O4289">
        <f>HYPERLINK("4\1\marker_700_371793.png", "Ver Imagen")</f>
        <v/>
      </c>
      <c r="P4289">
        <f>HYPERLINK("SE\A-497\A-497__593.png", "Ver Imagen")</f>
        <v/>
      </c>
    </row>
    <row r="4290">
      <c r="A4290" t="n">
        <v>3882</v>
      </c>
      <c r="B4290" t="inlineStr">
        <is>
          <t>A-497_2C__272</t>
        </is>
      </c>
      <c r="C4290" t="n">
        <v>37.2546491606</v>
      </c>
      <c r="D4290" t="n">
        <v>-7.01511905054</v>
      </c>
      <c r="E4290" t="n">
        <v>4</v>
      </c>
      <c r="F4290" t="n">
        <v>4</v>
      </c>
      <c r="G4290" t="n">
        <v>5</v>
      </c>
      <c r="J4290" t="inlineStr">
        <is>
          <t>Moda</t>
        </is>
      </c>
      <c r="K4290" t="n">
        <v>4</v>
      </c>
      <c r="L4290" t="n">
        <v>4.044</v>
      </c>
      <c r="M4290" t="n">
        <v>0</v>
      </c>
      <c r="N4290" t="inlineStr">
        <is>
          <t>train</t>
        </is>
      </c>
      <c r="O4290">
        <f>HYPERLINK("4\1\marker_537_319763.png", "Ver Imagen")</f>
        <v/>
      </c>
      <c r="P4290">
        <f>HYPERLINK("SE\A-497_2C\A-497_2C__272.png", "Ver Imagen")</f>
        <v/>
      </c>
    </row>
    <row r="4291">
      <c r="A4291" t="n">
        <v>3883</v>
      </c>
      <c r="B4291" t="inlineStr">
        <is>
          <t>A-497__586</t>
        </is>
      </c>
      <c r="C4291" t="n">
        <v>37.2033804899</v>
      </c>
      <c r="D4291" t="n">
        <v>-7.0060937805</v>
      </c>
      <c r="E4291" t="n">
        <v>5</v>
      </c>
      <c r="F4291" t="n">
        <v>4</v>
      </c>
      <c r="G4291" t="n">
        <v>4</v>
      </c>
      <c r="J4291" t="inlineStr">
        <is>
          <t>Moda</t>
        </is>
      </c>
      <c r="K4291" t="n">
        <v>4</v>
      </c>
      <c r="L4291" t="n">
        <v>3.617</v>
      </c>
      <c r="M4291" t="n">
        <v>0</v>
      </c>
      <c r="N4291" t="inlineStr">
        <is>
          <t>train</t>
        </is>
      </c>
      <c r="O4291">
        <f>HYPERLINK("4\1\marker_701_371869.png", "Ver Imagen")</f>
        <v/>
      </c>
      <c r="P4291">
        <f>HYPERLINK("SE\A-497\A-497__586.png", "Ver Imagen")</f>
        <v/>
      </c>
    </row>
    <row r="4292">
      <c r="A4292" t="n">
        <v>3884</v>
      </c>
      <c r="B4292" t="inlineStr">
        <is>
          <t>A-497__584</t>
        </is>
      </c>
      <c r="C4292" t="n">
        <v>37.2034478418</v>
      </c>
      <c r="D4292" t="n">
        <v>-7.00660567027</v>
      </c>
      <c r="E4292" t="n">
        <v>5</v>
      </c>
      <c r="F4292" t="n">
        <v>4</v>
      </c>
      <c r="G4292" t="n">
        <v>4</v>
      </c>
      <c r="J4292" t="inlineStr">
        <is>
          <t>Moda</t>
        </is>
      </c>
      <c r="K4292" t="n">
        <v>4</v>
      </c>
      <c r="L4292" t="n">
        <v>3.65</v>
      </c>
      <c r="M4292" t="n">
        <v>0</v>
      </c>
      <c r="N4292" t="inlineStr">
        <is>
          <t>train</t>
        </is>
      </c>
      <c r="O4292">
        <f>HYPERLINK("4\1\marker_954_371888.png", "Ver Imagen")</f>
        <v/>
      </c>
      <c r="P4292">
        <f>HYPERLINK("SE\A-497\A-497__584.png", "Ver Imagen")</f>
        <v/>
      </c>
    </row>
    <row r="4293">
      <c r="A4293" t="n">
        <v>3885</v>
      </c>
      <c r="B4293" t="inlineStr">
        <is>
          <t>A-497_2C__290</t>
        </is>
      </c>
      <c r="C4293" t="n">
        <v>37.2514005286</v>
      </c>
      <c r="D4293" t="n">
        <v>-7.01720120953</v>
      </c>
      <c r="E4293" t="n">
        <v>3</v>
      </c>
      <c r="F4293" t="n">
        <v>4</v>
      </c>
      <c r="G4293" t="n">
        <v>4</v>
      </c>
      <c r="J4293" t="inlineStr">
        <is>
          <t>Moda</t>
        </is>
      </c>
      <c r="K4293" t="n">
        <v>4</v>
      </c>
      <c r="L4293" t="n">
        <v>3.801</v>
      </c>
      <c r="M4293" t="n">
        <v>0</v>
      </c>
      <c r="N4293" t="inlineStr">
        <is>
          <t>train</t>
        </is>
      </c>
      <c r="O4293">
        <f>HYPERLINK("4\1\marker_280_320073.png", "Ver Imagen")</f>
        <v/>
      </c>
      <c r="P4293">
        <f>HYPERLINK("SE\A-497_2C\A-497_2C__290.png", "Ver Imagen")</f>
        <v/>
      </c>
    </row>
    <row r="4294">
      <c r="A4294" t="n">
        <v>3886</v>
      </c>
      <c r="B4294" t="inlineStr">
        <is>
          <t>A-497__572</t>
        </is>
      </c>
      <c r="C4294" t="n">
        <v>37.2039026878</v>
      </c>
      <c r="D4294" t="n">
        <v>-7.00964958046</v>
      </c>
      <c r="E4294" t="n">
        <v>3</v>
      </c>
      <c r="F4294" t="n">
        <v>4</v>
      </c>
      <c r="G4294" t="n">
        <v>4</v>
      </c>
      <c r="J4294" t="inlineStr">
        <is>
          <t>Moda</t>
        </is>
      </c>
      <c r="K4294" t="n">
        <v>4</v>
      </c>
      <c r="L4294" t="n">
        <v>3.702</v>
      </c>
      <c r="M4294" t="n">
        <v>0</v>
      </c>
      <c r="N4294" t="inlineStr">
        <is>
          <t>train</t>
        </is>
      </c>
      <c r="O4294">
        <f>HYPERLINK("4\1\marker_138_372005.png", "Ver Imagen")</f>
        <v/>
      </c>
      <c r="P4294">
        <f>HYPERLINK("SE\A-497\A-497__572.png", "Ver Imagen")</f>
        <v/>
      </c>
    </row>
    <row r="4295">
      <c r="A4295" t="n">
        <v>3887</v>
      </c>
      <c r="B4295" t="inlineStr">
        <is>
          <t>A-497_2C__294</t>
        </is>
      </c>
      <c r="C4295" t="n">
        <v>37.2506610056</v>
      </c>
      <c r="D4295" t="n">
        <v>-7.01766063636</v>
      </c>
      <c r="E4295" t="n">
        <v>5</v>
      </c>
      <c r="F4295" t="n">
        <v>4</v>
      </c>
      <c r="G4295" t="n">
        <v>4</v>
      </c>
      <c r="J4295" t="inlineStr">
        <is>
          <t>Moda</t>
        </is>
      </c>
      <c r="K4295" t="n">
        <v>4</v>
      </c>
      <c r="L4295" t="n">
        <v>4.339</v>
      </c>
      <c r="M4295" t="n">
        <v>0</v>
      </c>
      <c r="N4295" t="inlineStr">
        <is>
          <t>train</t>
        </is>
      </c>
      <c r="O4295">
        <f>HYPERLINK("4\1\marker_924_320110.png", "Ver Imagen")</f>
        <v/>
      </c>
      <c r="P4295">
        <f>HYPERLINK("SE\A-497_2C\A-497_2C__294.png", "Ver Imagen")</f>
        <v/>
      </c>
    </row>
    <row r="4296">
      <c r="A4296" t="n">
        <v>3888</v>
      </c>
      <c r="B4296" t="inlineStr">
        <is>
          <t>A-497_2C__305</t>
        </is>
      </c>
      <c r="C4296" t="n">
        <v>37.2485064146</v>
      </c>
      <c r="D4296" t="n">
        <v>-7.01835469695</v>
      </c>
      <c r="E4296" t="n">
        <v>5</v>
      </c>
      <c r="F4296" t="n">
        <v>4</v>
      </c>
      <c r="G4296" t="n">
        <v>4</v>
      </c>
      <c r="J4296" t="inlineStr">
        <is>
          <t>Moda</t>
        </is>
      </c>
      <c r="K4296" t="n">
        <v>4</v>
      </c>
      <c r="L4296" t="n">
        <v>3.935</v>
      </c>
      <c r="M4296" t="n">
        <v>0</v>
      </c>
      <c r="N4296" t="inlineStr">
        <is>
          <t>train</t>
        </is>
      </c>
      <c r="O4296">
        <f>HYPERLINK("4\1\marker_425_320220.png", "Ver Imagen")</f>
        <v/>
      </c>
      <c r="P4296">
        <f>HYPERLINK("SE\A-497_2C\A-497_2C__305.png", "Ver Imagen")</f>
        <v/>
      </c>
    </row>
    <row r="4297">
      <c r="A4297" t="n">
        <v>3889</v>
      </c>
      <c r="B4297" t="inlineStr">
        <is>
          <t>A-497_2C__306</t>
        </is>
      </c>
      <c r="C4297" t="n">
        <v>37.2482702196</v>
      </c>
      <c r="D4297" t="n">
        <v>-7.01836769614</v>
      </c>
      <c r="E4297" t="n">
        <v>5</v>
      </c>
      <c r="F4297" t="n">
        <v>4</v>
      </c>
      <c r="G4297" t="n">
        <v>4</v>
      </c>
      <c r="J4297" t="inlineStr">
        <is>
          <t>Moda</t>
        </is>
      </c>
      <c r="K4297" t="n">
        <v>4</v>
      </c>
      <c r="L4297" t="n">
        <v>3.595</v>
      </c>
      <c r="M4297" t="n">
        <v>0</v>
      </c>
      <c r="N4297" t="inlineStr">
        <is>
          <t>train</t>
        </is>
      </c>
      <c r="O4297">
        <f>HYPERLINK("4\1\marker_827_361784.png", "Ver Imagen")</f>
        <v/>
      </c>
      <c r="P4297">
        <f>HYPERLINK("SE\A-497_2C\A-497_2C__306.png", "Ver Imagen")</f>
        <v/>
      </c>
    </row>
    <row r="4298">
      <c r="A4298" t="n">
        <v>3890</v>
      </c>
      <c r="B4298" t="inlineStr">
        <is>
          <t>A-497_2C__313</t>
        </is>
      </c>
      <c r="C4298" t="n">
        <v>37.2468993783</v>
      </c>
      <c r="D4298" t="n">
        <v>-7.01841949338</v>
      </c>
      <c r="E4298" t="n">
        <v>4</v>
      </c>
      <c r="F4298" t="n">
        <v>4</v>
      </c>
      <c r="G4298" t="n">
        <v>5</v>
      </c>
      <c r="J4298" t="inlineStr">
        <is>
          <t>Moda</t>
        </is>
      </c>
      <c r="K4298" t="n">
        <v>4</v>
      </c>
      <c r="L4298" t="n">
        <v>4.035</v>
      </c>
      <c r="M4298" t="n">
        <v>0</v>
      </c>
      <c r="N4298" t="inlineStr">
        <is>
          <t>train</t>
        </is>
      </c>
      <c r="O4298">
        <f>HYPERLINK("4\1\marker_835_361860.png", "Ver Imagen")</f>
        <v/>
      </c>
      <c r="P4298">
        <f>HYPERLINK("SE\A-497_2C\A-497_2C__313.png", "Ver Imagen")</f>
        <v/>
      </c>
    </row>
    <row r="4299">
      <c r="A4299" t="n">
        <v>3891</v>
      </c>
      <c r="B4299" t="inlineStr">
        <is>
          <t>A-497__559</t>
        </is>
      </c>
      <c r="C4299" t="n">
        <v>37.2044608168</v>
      </c>
      <c r="D4299" t="n">
        <v>-7.01288810136</v>
      </c>
      <c r="E4299" t="n">
        <v>4</v>
      </c>
      <c r="F4299" t="n">
        <v>4</v>
      </c>
      <c r="G4299" t="n">
        <v>5</v>
      </c>
      <c r="J4299" t="inlineStr">
        <is>
          <t>Moda</t>
        </is>
      </c>
      <c r="K4299" t="n">
        <v>4</v>
      </c>
      <c r="L4299" t="n">
        <v>3.839</v>
      </c>
      <c r="M4299" t="n">
        <v>0</v>
      </c>
      <c r="N4299" t="inlineStr">
        <is>
          <t>train</t>
        </is>
      </c>
      <c r="O4299">
        <f>HYPERLINK("4\1\marker_362_372153.png", "Ver Imagen")</f>
        <v/>
      </c>
      <c r="P4299">
        <f>HYPERLINK("SE\A-497\A-497__559.png", "Ver Imagen")</f>
        <v/>
      </c>
    </row>
    <row r="4300">
      <c r="A4300" t="n">
        <v>3892</v>
      </c>
      <c r="B4300" t="inlineStr">
        <is>
          <t>A-497_2C__321</t>
        </is>
      </c>
      <c r="C4300" t="n">
        <v>37.2452947912</v>
      </c>
      <c r="D4300" t="n">
        <v>-7.01847500828</v>
      </c>
      <c r="E4300" t="n">
        <v>3</v>
      </c>
      <c r="F4300" t="n">
        <v>4</v>
      </c>
      <c r="G4300" t="n">
        <v>4</v>
      </c>
      <c r="J4300" t="inlineStr">
        <is>
          <t>Moda</t>
        </is>
      </c>
      <c r="K4300" t="n">
        <v>4</v>
      </c>
      <c r="L4300" t="n">
        <v>3.955</v>
      </c>
      <c r="M4300" t="n">
        <v>0</v>
      </c>
      <c r="N4300" t="inlineStr">
        <is>
          <t>train</t>
        </is>
      </c>
      <c r="O4300">
        <f>HYPERLINK("4\1\marker_128_361940.png", "Ver Imagen")</f>
        <v/>
      </c>
      <c r="P4300">
        <f>HYPERLINK("SE\A-497_2C\A-497_2C__321.png", "Ver Imagen")</f>
        <v/>
      </c>
    </row>
    <row r="4301">
      <c r="A4301" t="n">
        <v>3893</v>
      </c>
      <c r="B4301" t="inlineStr">
        <is>
          <t>A-497_2C__322</t>
        </is>
      </c>
      <c r="C4301" t="n">
        <v>37.2450581308</v>
      </c>
      <c r="D4301" t="n">
        <v>-7.0184824288</v>
      </c>
      <c r="E4301" t="n">
        <v>5</v>
      </c>
      <c r="F4301" t="n">
        <v>4</v>
      </c>
      <c r="G4301" t="n">
        <v>4</v>
      </c>
      <c r="J4301" t="inlineStr">
        <is>
          <t>Moda</t>
        </is>
      </c>
      <c r="K4301" t="n">
        <v>4</v>
      </c>
      <c r="L4301" t="n">
        <v>3.953</v>
      </c>
      <c r="M4301" t="n">
        <v>0</v>
      </c>
      <c r="N4301" t="inlineStr">
        <is>
          <t>train</t>
        </is>
      </c>
      <c r="O4301">
        <f>HYPERLINK("4\1\marker_337_361949.png", "Ver Imagen")</f>
        <v/>
      </c>
      <c r="P4301">
        <f>HYPERLINK("SE\A-497_2C\A-497_2C__322.png", "Ver Imagen")</f>
        <v/>
      </c>
    </row>
    <row r="4302">
      <c r="A4302" t="n">
        <v>3894</v>
      </c>
      <c r="B4302" t="inlineStr">
        <is>
          <t>A-497_2C__324</t>
        </is>
      </c>
      <c r="C4302" t="n">
        <v>37.2446478764</v>
      </c>
      <c r="D4302" t="n">
        <v>-7.01849803004</v>
      </c>
      <c r="E4302" t="n">
        <v>4</v>
      </c>
      <c r="F4302" t="n">
        <v>4</v>
      </c>
      <c r="G4302" t="n">
        <v>3</v>
      </c>
      <c r="J4302" t="inlineStr">
        <is>
          <t>Moda</t>
        </is>
      </c>
      <c r="K4302" t="n">
        <v>4</v>
      </c>
      <c r="L4302" t="n">
        <v>3.841</v>
      </c>
      <c r="M4302" t="n">
        <v>0</v>
      </c>
      <c r="N4302" t="inlineStr">
        <is>
          <t>train</t>
        </is>
      </c>
      <c r="O4302">
        <f>HYPERLINK("4\1\marker_832_361966.png", "Ver Imagen")</f>
        <v/>
      </c>
      <c r="P4302">
        <f>HYPERLINK("SE\A-497_2C\A-497_2C__324.png", "Ver Imagen")</f>
        <v/>
      </c>
    </row>
    <row r="4303">
      <c r="A4303" t="n">
        <v>3896</v>
      </c>
      <c r="B4303" t="inlineStr">
        <is>
          <t>A-497_2C__330</t>
        </is>
      </c>
      <c r="C4303" t="n">
        <v>37.2434466511</v>
      </c>
      <c r="D4303" t="n">
        <v>-7.01855032305</v>
      </c>
      <c r="E4303" t="n">
        <v>5</v>
      </c>
      <c r="F4303" t="n">
        <v>4</v>
      </c>
      <c r="G4303" t="n">
        <v>4</v>
      </c>
      <c r="J4303" t="inlineStr">
        <is>
          <t>Moda</t>
        </is>
      </c>
      <c r="K4303" t="n">
        <v>4</v>
      </c>
      <c r="L4303" t="n">
        <v>3.651</v>
      </c>
      <c r="M4303" t="n">
        <v>0</v>
      </c>
      <c r="N4303" t="inlineStr">
        <is>
          <t>test</t>
        </is>
      </c>
      <c r="O4303">
        <f>HYPERLINK("4\1\marker_981_362021.png", "Ver Imagen")</f>
        <v/>
      </c>
      <c r="P4303">
        <f>HYPERLINK("SE\A-497_2C\A-497_2C__330.png", "Ver Imagen")</f>
        <v/>
      </c>
    </row>
    <row r="4304">
      <c r="A4304" t="n">
        <v>3898</v>
      </c>
      <c r="B4304" t="inlineStr">
        <is>
          <t>A-497_2C__336</t>
        </is>
      </c>
      <c r="C4304" t="n">
        <v>37.2422195309</v>
      </c>
      <c r="D4304" t="n">
        <v>-7.01858804116</v>
      </c>
      <c r="E4304" t="n">
        <v>5</v>
      </c>
      <c r="F4304" t="n">
        <v>4</v>
      </c>
      <c r="G4304" t="n">
        <v>4</v>
      </c>
      <c r="J4304" t="inlineStr">
        <is>
          <t>Moda</t>
        </is>
      </c>
      <c r="K4304" t="n">
        <v>4</v>
      </c>
      <c r="L4304" t="n">
        <v>4.256</v>
      </c>
      <c r="M4304" t="n">
        <v>0</v>
      </c>
      <c r="N4304" t="inlineStr">
        <is>
          <t>train</t>
        </is>
      </c>
      <c r="O4304">
        <f>HYPERLINK("4\1\marker_659_362080.png", "Ver Imagen")</f>
        <v/>
      </c>
      <c r="P4304">
        <f>HYPERLINK("SE\A-497_2C\A-497_2C__336.png", "Ver Imagen")</f>
        <v/>
      </c>
    </row>
    <row r="4305">
      <c r="A4305" t="n">
        <v>3899</v>
      </c>
      <c r="B4305" t="inlineStr">
        <is>
          <t>A-497_2C__340</t>
        </is>
      </c>
      <c r="C4305" t="n">
        <v>37.241425613</v>
      </c>
      <c r="D4305" t="n">
        <v>-7.01861884965</v>
      </c>
      <c r="E4305" t="n">
        <v>4</v>
      </c>
      <c r="F4305" t="n">
        <v>4</v>
      </c>
      <c r="G4305" t="n">
        <v>3</v>
      </c>
      <c r="J4305" t="inlineStr">
        <is>
          <t>Moda</t>
        </is>
      </c>
      <c r="K4305" t="n">
        <v>4</v>
      </c>
      <c r="L4305" t="n">
        <v>3.773</v>
      </c>
      <c r="M4305" t="n">
        <v>0</v>
      </c>
      <c r="N4305" t="inlineStr">
        <is>
          <t>train</t>
        </is>
      </c>
      <c r="O4305">
        <f>HYPERLINK("4\1\marker_267_362128.png", "Ver Imagen")</f>
        <v/>
      </c>
      <c r="P4305">
        <f>HYPERLINK("SE\A-497_2C\A-497_2C__340.png", "Ver Imagen")</f>
        <v/>
      </c>
    </row>
    <row r="4306">
      <c r="A4306" t="n">
        <v>3900</v>
      </c>
      <c r="B4306" t="inlineStr">
        <is>
          <t>A-497_2C__343</t>
        </is>
      </c>
      <c r="C4306" t="n">
        <v>37.2408271656</v>
      </c>
      <c r="D4306" t="n">
        <v>-7.01864422326</v>
      </c>
      <c r="E4306" t="n">
        <v>4</v>
      </c>
      <c r="F4306" t="n">
        <v>4</v>
      </c>
      <c r="G4306" t="n">
        <v>3</v>
      </c>
      <c r="J4306" t="inlineStr">
        <is>
          <t>Moda</t>
        </is>
      </c>
      <c r="K4306" t="n">
        <v>4</v>
      </c>
      <c r="L4306" t="n">
        <v>3.829</v>
      </c>
      <c r="M4306" t="n">
        <v>0</v>
      </c>
      <c r="N4306" t="inlineStr">
        <is>
          <t>train</t>
        </is>
      </c>
      <c r="O4306">
        <f>HYPERLINK("4\1\marker_188_362155.png", "Ver Imagen")</f>
        <v/>
      </c>
      <c r="P4306">
        <f>HYPERLINK("SE\A-497_2C\A-497_2C__343.png", "Ver Imagen")</f>
        <v/>
      </c>
    </row>
    <row r="4307">
      <c r="A4307" t="n">
        <v>3901</v>
      </c>
      <c r="B4307" t="inlineStr">
        <is>
          <t>A-497_2C__365</t>
        </is>
      </c>
      <c r="C4307" t="n">
        <v>37.2364061554</v>
      </c>
      <c r="D4307" t="n">
        <v>-7.0186341511</v>
      </c>
      <c r="E4307" t="n">
        <v>5</v>
      </c>
      <c r="F4307" t="n">
        <v>4</v>
      </c>
      <c r="G4307" t="n">
        <v>4</v>
      </c>
      <c r="J4307" t="inlineStr">
        <is>
          <t>Moda</t>
        </is>
      </c>
      <c r="K4307" t="n">
        <v>4</v>
      </c>
      <c r="L4307" t="n">
        <v>4.341</v>
      </c>
      <c r="M4307" t="n">
        <v>0</v>
      </c>
      <c r="N4307" t="inlineStr">
        <is>
          <t>train</t>
        </is>
      </c>
      <c r="O4307">
        <f>HYPERLINK("4\1\marker_102_362414.png", "Ver Imagen")</f>
        <v/>
      </c>
      <c r="P4307">
        <f>HYPERLINK("SE\A-497_2C\A-497_2C__365.png", "Ver Imagen")</f>
        <v/>
      </c>
    </row>
    <row r="4308">
      <c r="A4308" t="n">
        <v>3903</v>
      </c>
      <c r="B4308" t="inlineStr">
        <is>
          <t>A-497_2C__392</t>
        </is>
      </c>
      <c r="C4308" t="n">
        <v>37.2311675343</v>
      </c>
      <c r="D4308" t="n">
        <v>-7.01957425097</v>
      </c>
      <c r="E4308" t="n">
        <v>5</v>
      </c>
      <c r="F4308" t="n">
        <v>4</v>
      </c>
      <c r="G4308" t="n">
        <v>4</v>
      </c>
      <c r="J4308" t="inlineStr">
        <is>
          <t>Moda</t>
        </is>
      </c>
      <c r="K4308" t="n">
        <v>4</v>
      </c>
      <c r="L4308" t="n">
        <v>3.881</v>
      </c>
      <c r="M4308" t="n">
        <v>0</v>
      </c>
      <c r="N4308" t="inlineStr">
        <is>
          <t>train</t>
        </is>
      </c>
      <c r="O4308">
        <f>HYPERLINK("4\1\marker_377_362827.png", "Ver Imagen")</f>
        <v/>
      </c>
      <c r="P4308">
        <f>HYPERLINK("SE\A-497_2C\A-497_2C__392.png", "Ver Imagen")</f>
        <v/>
      </c>
    </row>
    <row r="4309">
      <c r="A4309" t="n">
        <v>3904</v>
      </c>
      <c r="B4309" t="inlineStr">
        <is>
          <t>A-497_2C__444</t>
        </is>
      </c>
      <c r="C4309" t="n">
        <v>37.2214178002</v>
      </c>
      <c r="D4309" t="n">
        <v>-7.0230902978</v>
      </c>
      <c r="E4309" t="n">
        <v>4</v>
      </c>
      <c r="F4309" t="n">
        <v>4</v>
      </c>
      <c r="G4309" t="n">
        <v>5</v>
      </c>
      <c r="J4309" t="inlineStr">
        <is>
          <t>Moda</t>
        </is>
      </c>
      <c r="K4309" t="n">
        <v>4</v>
      </c>
      <c r="L4309" t="n">
        <v>4.015</v>
      </c>
      <c r="M4309" t="n">
        <v>0</v>
      </c>
      <c r="N4309" t="inlineStr">
        <is>
          <t>train</t>
        </is>
      </c>
      <c r="O4309">
        <f>HYPERLINK("4\1\marker_127_363355.png", "Ver Imagen")</f>
        <v/>
      </c>
      <c r="P4309">
        <f>HYPERLINK("SE\A-497_2C\A-497_2C__444.png", "Ver Imagen")</f>
        <v/>
      </c>
    </row>
    <row r="4310">
      <c r="A4310" t="n">
        <v>3905</v>
      </c>
      <c r="B4310" t="inlineStr">
        <is>
          <t>A-497_2C__447</t>
        </is>
      </c>
      <c r="C4310" t="n">
        <v>37.2208186965</v>
      </c>
      <c r="D4310" t="n">
        <v>-7.02303618688</v>
      </c>
      <c r="E4310" t="n">
        <v>4</v>
      </c>
      <c r="F4310" t="n">
        <v>4</v>
      </c>
      <c r="G4310" t="n">
        <v>5</v>
      </c>
      <c r="J4310" t="inlineStr">
        <is>
          <t>Moda</t>
        </is>
      </c>
      <c r="K4310" t="n">
        <v>4</v>
      </c>
      <c r="L4310" t="n">
        <v>3.903</v>
      </c>
      <c r="M4310" t="n">
        <v>0</v>
      </c>
      <c r="N4310" t="inlineStr">
        <is>
          <t>train</t>
        </is>
      </c>
      <c r="O4310">
        <f>HYPERLINK("4\1\marker_534_363382.png", "Ver Imagen")</f>
        <v/>
      </c>
      <c r="P4310">
        <f>HYPERLINK("SE\A-497_2C\A-497_2C__447.png", "Ver Imagen")</f>
        <v/>
      </c>
    </row>
    <row r="4311">
      <c r="A4311" t="n">
        <v>3906</v>
      </c>
      <c r="B4311" t="inlineStr">
        <is>
          <t>A-497_2C__463</t>
        </is>
      </c>
      <c r="C4311" t="n">
        <v>37.2176143825</v>
      </c>
      <c r="D4311" t="n">
        <v>-7.02313007094</v>
      </c>
      <c r="E4311" t="n">
        <v>4</v>
      </c>
      <c r="F4311" t="n">
        <v>4</v>
      </c>
      <c r="G4311" t="n">
        <v>3</v>
      </c>
      <c r="J4311" t="inlineStr">
        <is>
          <t>Moda</t>
        </is>
      </c>
      <c r="K4311" t="n">
        <v>4</v>
      </c>
      <c r="L4311" t="n">
        <v>4.055</v>
      </c>
      <c r="M4311" t="n">
        <v>0</v>
      </c>
      <c r="N4311" t="inlineStr">
        <is>
          <t>train</t>
        </is>
      </c>
      <c r="O4311">
        <f>HYPERLINK("4\1\marker_330_363567.png", "Ver Imagen")</f>
        <v/>
      </c>
      <c r="P4311">
        <f>HYPERLINK("SE\A-497_2C\A-497_2C__463.png", "Ver Imagen")</f>
        <v/>
      </c>
    </row>
    <row r="4312">
      <c r="A4312" t="n">
        <v>3907</v>
      </c>
      <c r="B4312" t="inlineStr">
        <is>
          <t>A-497_2C__464</t>
        </is>
      </c>
      <c r="C4312" t="n">
        <v>37.2173934795</v>
      </c>
      <c r="D4312" t="n">
        <v>-7.0231676533</v>
      </c>
      <c r="E4312" t="n">
        <v>3</v>
      </c>
      <c r="F4312" t="n">
        <v>4</v>
      </c>
      <c r="G4312" t="n">
        <v>4</v>
      </c>
      <c r="J4312" t="inlineStr">
        <is>
          <t>Moda</t>
        </is>
      </c>
      <c r="K4312" t="n">
        <v>4</v>
      </c>
      <c r="L4312" t="n">
        <v>3.931</v>
      </c>
      <c r="M4312" t="n">
        <v>0</v>
      </c>
      <c r="N4312" t="inlineStr">
        <is>
          <t>train</t>
        </is>
      </c>
      <c r="O4312">
        <f>HYPERLINK("4\1\marker_775_363576.png", "Ver Imagen")</f>
        <v/>
      </c>
      <c r="P4312">
        <f>HYPERLINK("SE\A-497_2C\A-497_2C__464.png", "Ver Imagen")</f>
        <v/>
      </c>
    </row>
    <row r="4313">
      <c r="A4313" t="n">
        <v>3908</v>
      </c>
      <c r="B4313" t="inlineStr">
        <is>
          <t>A-497_2C__467</t>
        </is>
      </c>
      <c r="C4313" t="n">
        <v>37.2168246019</v>
      </c>
      <c r="D4313" t="n">
        <v>-7.02327013019</v>
      </c>
      <c r="E4313" t="n">
        <v>3</v>
      </c>
      <c r="F4313" t="n">
        <v>4</v>
      </c>
      <c r="G4313" t="n">
        <v>4</v>
      </c>
      <c r="J4313" t="inlineStr">
        <is>
          <t>Moda</t>
        </is>
      </c>
      <c r="K4313" t="n">
        <v>4</v>
      </c>
      <c r="L4313" t="n">
        <v>3.642</v>
      </c>
      <c r="M4313" t="n">
        <v>0</v>
      </c>
      <c r="N4313" t="inlineStr">
        <is>
          <t>test</t>
        </is>
      </c>
      <c r="O4313">
        <f>HYPERLINK("4\1\marker_100_363609.png", "Ver Imagen")</f>
        <v/>
      </c>
      <c r="P4313">
        <f>HYPERLINK("SE\A-497_2C\A-497_2C__467.png", "Ver Imagen")</f>
        <v/>
      </c>
    </row>
    <row r="4314">
      <c r="A4314" t="n">
        <v>3909</v>
      </c>
      <c r="B4314" t="inlineStr">
        <is>
          <t>A-497_2C__474</t>
        </is>
      </c>
      <c r="C4314" t="n">
        <v>37.2153990825</v>
      </c>
      <c r="D4314" t="n">
        <v>-7.02351660609</v>
      </c>
      <c r="E4314" t="n">
        <v>4</v>
      </c>
      <c r="F4314" t="n">
        <v>4</v>
      </c>
      <c r="G4314" t="n">
        <v>3</v>
      </c>
      <c r="J4314" t="inlineStr">
        <is>
          <t>Moda</t>
        </is>
      </c>
      <c r="K4314" t="n">
        <v>4</v>
      </c>
      <c r="L4314" t="n">
        <v>4.16</v>
      </c>
      <c r="M4314" t="n">
        <v>0</v>
      </c>
      <c r="N4314" t="inlineStr">
        <is>
          <t>train</t>
        </is>
      </c>
      <c r="O4314">
        <f>HYPERLINK("4\1\marker_267_363686.png", "Ver Imagen")</f>
        <v/>
      </c>
      <c r="P4314">
        <f>HYPERLINK("SE\A-497_2C\A-497_2C__474.png", "Ver Imagen")</f>
        <v/>
      </c>
    </row>
    <row r="4315">
      <c r="A4315" t="n">
        <v>3910</v>
      </c>
      <c r="B4315" t="inlineStr">
        <is>
          <t>A-497_2C__553</t>
        </is>
      </c>
      <c r="C4315" t="n">
        <v>37.2044343071</v>
      </c>
      <c r="D4315" t="n">
        <v>-7.0135300114</v>
      </c>
      <c r="E4315" t="n">
        <v>3</v>
      </c>
      <c r="F4315" t="n">
        <v>4</v>
      </c>
      <c r="G4315" t="n">
        <v>4</v>
      </c>
      <c r="J4315" t="inlineStr">
        <is>
          <t>Moda</t>
        </is>
      </c>
      <c r="K4315" t="n">
        <v>4</v>
      </c>
      <c r="L4315" t="n">
        <v>3.793</v>
      </c>
      <c r="M4315" t="n">
        <v>0</v>
      </c>
      <c r="N4315" t="inlineStr">
        <is>
          <t>train</t>
        </is>
      </c>
      <c r="O4315">
        <f>HYPERLINK("4\1\marker_652_364718.png", "Ver Imagen")</f>
        <v/>
      </c>
      <c r="P4315">
        <f>HYPERLINK("SE\A-497_2C\A-497_2C__553.png", "Ver Imagen")</f>
        <v/>
      </c>
    </row>
    <row r="4316">
      <c r="A4316" t="n">
        <v>3911</v>
      </c>
      <c r="B4316" t="inlineStr">
        <is>
          <t>A-497_2C__554</t>
        </is>
      </c>
      <c r="C4316" t="n">
        <v>37.2043921865</v>
      </c>
      <c r="D4316" t="n">
        <v>-7.01330361938</v>
      </c>
      <c r="E4316" t="n">
        <v>3</v>
      </c>
      <c r="F4316" t="n">
        <v>4</v>
      </c>
      <c r="G4316" t="n">
        <v>4</v>
      </c>
      <c r="J4316" t="inlineStr">
        <is>
          <t>Moda</t>
        </is>
      </c>
      <c r="K4316" t="n">
        <v>4</v>
      </c>
      <c r="L4316" t="n">
        <v>4.03</v>
      </c>
      <c r="M4316" t="n">
        <v>0</v>
      </c>
      <c r="N4316" t="inlineStr">
        <is>
          <t>train</t>
        </is>
      </c>
      <c r="O4316">
        <f>HYPERLINK("4\1\marker_737_366317.png", "Ver Imagen")</f>
        <v/>
      </c>
      <c r="P4316">
        <f>HYPERLINK("SE\A-497_2C\A-497_2C__554.png", "Ver Imagen")</f>
        <v/>
      </c>
    </row>
    <row r="4317">
      <c r="A4317" t="n">
        <v>3912</v>
      </c>
      <c r="B4317" t="inlineStr">
        <is>
          <t>A-497_2C__555</t>
        </is>
      </c>
      <c r="C4317" t="n">
        <v>37.2043518257</v>
      </c>
      <c r="D4317" t="n">
        <v>-7.01308419638</v>
      </c>
      <c r="E4317" t="n">
        <v>3</v>
      </c>
      <c r="F4317" t="n">
        <v>4</v>
      </c>
      <c r="G4317" t="n">
        <v>4</v>
      </c>
      <c r="J4317" t="inlineStr">
        <is>
          <t>Moda</t>
        </is>
      </c>
      <c r="K4317" t="n">
        <v>4</v>
      </c>
      <c r="L4317" t="n">
        <v>3.752</v>
      </c>
      <c r="M4317" t="n">
        <v>0</v>
      </c>
      <c r="N4317" t="inlineStr">
        <is>
          <t>train</t>
        </is>
      </c>
      <c r="O4317">
        <f>HYPERLINK("4\1\marker_556_366327.png", "Ver Imagen")</f>
        <v/>
      </c>
      <c r="P4317">
        <f>HYPERLINK("SE\A-497_2C\A-497_2C__555.png", "Ver Imagen")</f>
        <v/>
      </c>
    </row>
    <row r="4318">
      <c r="A4318" t="n">
        <v>3913</v>
      </c>
      <c r="B4318" t="inlineStr">
        <is>
          <t>A-497_2C__565</t>
        </is>
      </c>
      <c r="C4318" t="n">
        <v>37.203905348</v>
      </c>
      <c r="D4318" t="n">
        <v>-7.0105494081</v>
      </c>
      <c r="E4318" t="n">
        <v>4</v>
      </c>
      <c r="F4318" t="n">
        <v>4</v>
      </c>
      <c r="G4318" t="n">
        <v>3</v>
      </c>
      <c r="J4318" t="inlineStr">
        <is>
          <t>Moda</t>
        </is>
      </c>
      <c r="K4318" t="n">
        <v>4</v>
      </c>
      <c r="L4318" t="n">
        <v>3.536</v>
      </c>
      <c r="M4318" t="n">
        <v>0</v>
      </c>
      <c r="N4318" t="inlineStr">
        <is>
          <t>train</t>
        </is>
      </c>
      <c r="O4318">
        <f>HYPERLINK("4\1\marker_224_366432.png", "Ver Imagen")</f>
        <v/>
      </c>
      <c r="P4318">
        <f>HYPERLINK("SE\A-497_2C\A-497_2C__565.png", "Ver Imagen")</f>
        <v/>
      </c>
    </row>
    <row r="4319">
      <c r="A4319" t="n">
        <v>3915</v>
      </c>
      <c r="B4319" t="inlineStr">
        <is>
          <t>A-497_2C__585</t>
        </is>
      </c>
      <c r="C4319" t="n">
        <v>37.2031694468</v>
      </c>
      <c r="D4319" t="n">
        <v>-7.00559488429</v>
      </c>
      <c r="E4319" t="n">
        <v>4</v>
      </c>
      <c r="F4319" t="n">
        <v>4</v>
      </c>
      <c r="G4319" t="n">
        <v>3</v>
      </c>
      <c r="J4319" t="inlineStr">
        <is>
          <t>Moda</t>
        </is>
      </c>
      <c r="K4319" t="n">
        <v>4</v>
      </c>
      <c r="L4319" t="n">
        <v>3.899</v>
      </c>
      <c r="M4319" t="n">
        <v>0</v>
      </c>
      <c r="N4319" t="inlineStr">
        <is>
          <t>train</t>
        </is>
      </c>
      <c r="O4319">
        <f>HYPERLINK("4\1\marker_871_366616.png", "Ver Imagen")</f>
        <v/>
      </c>
      <c r="P4319">
        <f>HYPERLINK("SE\A-497_2C\A-497_2C__585.png", "Ver Imagen")</f>
        <v/>
      </c>
    </row>
    <row r="4320">
      <c r="A4320" t="n">
        <v>3917</v>
      </c>
      <c r="B4320" t="inlineStr">
        <is>
          <t>A-497_2C__600</t>
        </is>
      </c>
      <c r="C4320" t="n">
        <v>37.2027357431</v>
      </c>
      <c r="D4320" t="n">
        <v>-7.00189216967</v>
      </c>
      <c r="E4320" t="n">
        <v>3</v>
      </c>
      <c r="F4320" t="n">
        <v>4</v>
      </c>
      <c r="G4320" t="n">
        <v>4</v>
      </c>
      <c r="J4320" t="inlineStr">
        <is>
          <t>Moda</t>
        </is>
      </c>
      <c r="K4320" t="n">
        <v>4</v>
      </c>
      <c r="L4320" t="n">
        <v>4.04</v>
      </c>
      <c r="M4320" t="n">
        <v>0</v>
      </c>
      <c r="N4320" t="inlineStr">
        <is>
          <t>train</t>
        </is>
      </c>
      <c r="O4320">
        <f>HYPERLINK("4\1\marker_460_366763.png", "Ver Imagen")</f>
        <v/>
      </c>
      <c r="P4320">
        <f>HYPERLINK("SE\A-497_2C\A-497_2C__600.png", "Ver Imagen")</f>
        <v/>
      </c>
    </row>
    <row r="4321">
      <c r="A4321" t="n">
        <v>3919</v>
      </c>
      <c r="B4321" t="inlineStr">
        <is>
          <t>A-497__404</t>
        </is>
      </c>
      <c r="C4321" t="n">
        <v>37.2298792412</v>
      </c>
      <c r="D4321" t="n">
        <v>-7.02035050843</v>
      </c>
      <c r="E4321" t="n">
        <v>4</v>
      </c>
      <c r="F4321" t="n">
        <v>4</v>
      </c>
      <c r="G4321" t="n">
        <v>3</v>
      </c>
      <c r="J4321" t="inlineStr">
        <is>
          <t>Moda</t>
        </is>
      </c>
      <c r="K4321" t="n">
        <v>4</v>
      </c>
      <c r="L4321" t="n">
        <v>3.615</v>
      </c>
      <c r="M4321" t="n">
        <v>0</v>
      </c>
      <c r="N4321" t="inlineStr">
        <is>
          <t>train</t>
        </is>
      </c>
      <c r="O4321">
        <f>HYPERLINK("4\1\marker_107_377155.png", "Ver Imagen")</f>
        <v/>
      </c>
      <c r="P4321">
        <f>HYPERLINK("SE\A-497\A-497__404.png", "Ver Imagen")</f>
        <v/>
      </c>
    </row>
    <row r="4322">
      <c r="A4322" t="n">
        <v>3920</v>
      </c>
      <c r="B4322" t="inlineStr">
        <is>
          <t>A-497__403</t>
        </is>
      </c>
      <c r="C4322" t="n">
        <v>37.2300584112</v>
      </c>
      <c r="D4322" t="n">
        <v>-7.02021279608</v>
      </c>
      <c r="E4322" t="n">
        <v>4</v>
      </c>
      <c r="F4322" t="n">
        <v>4</v>
      </c>
      <c r="G4322" t="n">
        <v>3</v>
      </c>
      <c r="J4322" t="inlineStr">
        <is>
          <t>Moda</t>
        </is>
      </c>
      <c r="K4322" t="n">
        <v>4</v>
      </c>
      <c r="L4322" t="n">
        <v>3.591</v>
      </c>
      <c r="M4322" t="n">
        <v>0</v>
      </c>
      <c r="N4322" t="inlineStr">
        <is>
          <t>train</t>
        </is>
      </c>
      <c r="O4322">
        <f>HYPERLINK("4\1\marker_899_377164.png", "Ver Imagen")</f>
        <v/>
      </c>
      <c r="P4322">
        <f>HYPERLINK("SE\A-497\A-497__403.png", "Ver Imagen")</f>
        <v/>
      </c>
    </row>
    <row r="4323">
      <c r="A4323" t="n">
        <v>3923</v>
      </c>
      <c r="B4323" t="inlineStr">
        <is>
          <t>A-497__399</t>
        </is>
      </c>
      <c r="C4323" t="n">
        <v>37.2307795533</v>
      </c>
      <c r="D4323" t="n">
        <v>-7.01965744619</v>
      </c>
      <c r="E4323" t="n">
        <v>4</v>
      </c>
      <c r="F4323" t="n">
        <v>4</v>
      </c>
      <c r="G4323" t="n">
        <v>3</v>
      </c>
      <c r="J4323" t="inlineStr">
        <is>
          <t>Moda</t>
        </is>
      </c>
      <c r="K4323" t="n">
        <v>4</v>
      </c>
      <c r="L4323" t="n">
        <v>3.739</v>
      </c>
      <c r="M4323" t="n">
        <v>0</v>
      </c>
      <c r="N4323" t="inlineStr">
        <is>
          <t>train</t>
        </is>
      </c>
      <c r="O4323">
        <f>HYPERLINK("4\1\marker_411_377202.png", "Ver Imagen")</f>
        <v/>
      </c>
      <c r="P4323">
        <f>HYPERLINK("SE\A-497\A-497__399.png", "Ver Imagen")</f>
        <v/>
      </c>
    </row>
    <row r="4324">
      <c r="A4324" t="n">
        <v>3924</v>
      </c>
      <c r="B4324" t="inlineStr">
        <is>
          <t>A-497__398</t>
        </is>
      </c>
      <c r="C4324" t="n">
        <v>37.2309272163</v>
      </c>
      <c r="D4324" t="n">
        <v>-7.01954404792</v>
      </c>
      <c r="E4324" t="n">
        <v>4</v>
      </c>
      <c r="F4324" t="n">
        <v>4</v>
      </c>
      <c r="G4324" t="n">
        <v>3</v>
      </c>
      <c r="J4324" t="inlineStr">
        <is>
          <t>Moda</t>
        </is>
      </c>
      <c r="K4324" t="n">
        <v>4</v>
      </c>
      <c r="L4324" t="n">
        <v>3.929</v>
      </c>
      <c r="M4324" t="n">
        <v>0</v>
      </c>
      <c r="N4324" t="inlineStr">
        <is>
          <t>train</t>
        </is>
      </c>
      <c r="O4324">
        <f>HYPERLINK("4\1\marker_112_377211.png", "Ver Imagen")</f>
        <v/>
      </c>
      <c r="P4324">
        <f>HYPERLINK("SE\A-497\A-497__398.png", "Ver Imagen")</f>
        <v/>
      </c>
    </row>
    <row r="4325">
      <c r="A4325" t="n">
        <v>3925</v>
      </c>
      <c r="B4325" t="inlineStr">
        <is>
          <t>A-497__310</t>
        </is>
      </c>
      <c r="C4325" t="n">
        <v>37.2484489821</v>
      </c>
      <c r="D4325" t="n">
        <v>-7.01816099673</v>
      </c>
      <c r="E4325" t="n">
        <v>4</v>
      </c>
      <c r="F4325" t="n">
        <v>4</v>
      </c>
      <c r="G4325" t="n">
        <v>3</v>
      </c>
      <c r="J4325" t="inlineStr">
        <is>
          <t>Moda</t>
        </is>
      </c>
      <c r="K4325" t="n">
        <v>4</v>
      </c>
      <c r="L4325" t="n">
        <v>3.972</v>
      </c>
      <c r="M4325" t="n">
        <v>0</v>
      </c>
      <c r="N4325" t="inlineStr">
        <is>
          <t>train</t>
        </is>
      </c>
      <c r="O4325">
        <f>HYPERLINK("4\1\marker_344_378099.png", "Ver Imagen")</f>
        <v/>
      </c>
      <c r="P4325">
        <f>HYPERLINK("SE\A-497\A-497__310.png", "Ver Imagen")</f>
        <v/>
      </c>
    </row>
    <row r="4326">
      <c r="A4326" t="n">
        <v>3926</v>
      </c>
      <c r="B4326" t="inlineStr">
        <is>
          <t>A-497__304</t>
        </is>
      </c>
      <c r="C4326" t="n">
        <v>37.2496339506</v>
      </c>
      <c r="D4326" t="n">
        <v>-7.01796018659</v>
      </c>
      <c r="E4326" t="n">
        <v>3</v>
      </c>
      <c r="F4326" t="n">
        <v>4</v>
      </c>
      <c r="G4326" t="n">
        <v>4</v>
      </c>
      <c r="J4326" t="inlineStr">
        <is>
          <t>Moda</t>
        </is>
      </c>
      <c r="K4326" t="n">
        <v>4</v>
      </c>
      <c r="L4326" t="n">
        <v>4.027</v>
      </c>
      <c r="M4326" t="n">
        <v>0</v>
      </c>
      <c r="N4326" t="inlineStr">
        <is>
          <t>train</t>
        </is>
      </c>
      <c r="O4326">
        <f>HYPERLINK("4\1\marker_726_378162.png", "Ver Imagen")</f>
        <v/>
      </c>
      <c r="P4326">
        <f>HYPERLINK("SE\A-497\A-497__304.png", "Ver Imagen")</f>
        <v/>
      </c>
    </row>
    <row r="4327">
      <c r="A4327" t="n">
        <v>3927</v>
      </c>
      <c r="B4327" t="inlineStr">
        <is>
          <t>A-497__279</t>
        </is>
      </c>
      <c r="C4327" t="n">
        <v>37.2541926003</v>
      </c>
      <c r="D4327" t="n">
        <v>-7.01520826389</v>
      </c>
      <c r="E4327" t="n">
        <v>3</v>
      </c>
      <c r="F4327" t="n">
        <v>4</v>
      </c>
      <c r="G4327" t="n">
        <v>4</v>
      </c>
      <c r="J4327" t="inlineStr">
        <is>
          <t>Moda</t>
        </is>
      </c>
      <c r="K4327" t="n">
        <v>4</v>
      </c>
      <c r="L4327" t="n">
        <v>3.907</v>
      </c>
      <c r="M4327" t="n">
        <v>0</v>
      </c>
      <c r="N4327" t="inlineStr">
        <is>
          <t>train</t>
        </is>
      </c>
      <c r="O4327">
        <f>HYPERLINK("4\1\marker_745_378487.png", "Ver Imagen")</f>
        <v/>
      </c>
      <c r="P4327">
        <f>HYPERLINK("SE\A-497\A-497__279.png", "Ver Imagen")</f>
        <v/>
      </c>
    </row>
    <row r="4328">
      <c r="A4328" t="n">
        <v>3928</v>
      </c>
      <c r="B4328" t="inlineStr">
        <is>
          <t>A-497__277</t>
        </is>
      </c>
      <c r="C4328" t="n">
        <v>37.2545212772</v>
      </c>
      <c r="D4328" t="n">
        <v>-7.01499693507</v>
      </c>
      <c r="E4328" t="n">
        <v>4</v>
      </c>
      <c r="F4328" t="n">
        <v>4</v>
      </c>
      <c r="G4328" t="n">
        <v>3</v>
      </c>
      <c r="J4328" t="inlineStr">
        <is>
          <t>Moda</t>
        </is>
      </c>
      <c r="K4328" t="n">
        <v>4</v>
      </c>
      <c r="L4328" t="n">
        <v>3.894</v>
      </c>
      <c r="M4328" t="n">
        <v>0</v>
      </c>
      <c r="N4328" t="inlineStr">
        <is>
          <t>train</t>
        </is>
      </c>
      <c r="O4328">
        <f>HYPERLINK("4\1\marker_670_378505.png", "Ver Imagen")</f>
        <v/>
      </c>
      <c r="P4328">
        <f>HYPERLINK("SE\A-497\A-497__277.png", "Ver Imagen")</f>
        <v/>
      </c>
    </row>
    <row r="4329">
      <c r="A4329" t="n">
        <v>3929</v>
      </c>
      <c r="B4329" t="inlineStr">
        <is>
          <t>A-497__226</t>
        </is>
      </c>
      <c r="C4329" t="n">
        <v>37.2631178044</v>
      </c>
      <c r="D4329" t="n">
        <v>-7.00817947003</v>
      </c>
      <c r="E4329" t="n">
        <v>4</v>
      </c>
      <c r="F4329" t="n">
        <v>4</v>
      </c>
      <c r="G4329" t="n">
        <v>3</v>
      </c>
      <c r="J4329" t="inlineStr">
        <is>
          <t>Moda</t>
        </is>
      </c>
      <c r="K4329" t="n">
        <v>4</v>
      </c>
      <c r="L4329" t="n">
        <v>3.777</v>
      </c>
      <c r="M4329" t="n">
        <v>0</v>
      </c>
      <c r="N4329" t="inlineStr">
        <is>
          <t>train</t>
        </is>
      </c>
      <c r="O4329">
        <f>HYPERLINK("4\1\marker_453_379079.png", "Ver Imagen")</f>
        <v/>
      </c>
      <c r="P4329">
        <f>HYPERLINK("SE\A-497\A-497__226.png", "Ver Imagen")</f>
        <v/>
      </c>
    </row>
    <row r="4330">
      <c r="A4330" t="n">
        <v>3931</v>
      </c>
      <c r="B4330" t="inlineStr">
        <is>
          <t>A-497__107</t>
        </is>
      </c>
      <c r="C4330" t="n">
        <v>37.2708002845</v>
      </c>
      <c r="D4330" t="n">
        <v>-6.98225503994</v>
      </c>
      <c r="E4330" t="n">
        <v>3</v>
      </c>
      <c r="F4330" t="n">
        <v>4</v>
      </c>
      <c r="G4330" t="n">
        <v>4</v>
      </c>
      <c r="J4330" t="inlineStr">
        <is>
          <t>Moda</t>
        </is>
      </c>
      <c r="K4330" t="n">
        <v>4</v>
      </c>
      <c r="L4330" t="n">
        <v>3.87</v>
      </c>
      <c r="M4330" t="n">
        <v>0</v>
      </c>
      <c r="N4330" t="inlineStr">
        <is>
          <t>train</t>
        </is>
      </c>
      <c r="O4330">
        <f>HYPERLINK("4\1\marker_245_380758.png", "Ver Imagen")</f>
        <v/>
      </c>
      <c r="P4330">
        <f>HYPERLINK("SE\A-497\A-497__107.png", "Ver Imagen")</f>
        <v/>
      </c>
    </row>
    <row r="4331">
      <c r="A4331" t="n">
        <v>3932</v>
      </c>
      <c r="B4331" t="inlineStr">
        <is>
          <t>A-495R__60</t>
        </is>
      </c>
      <c r="C4331" t="n">
        <v>37.4561766676</v>
      </c>
      <c r="D4331" t="n">
        <v>-7.11361057975</v>
      </c>
      <c r="E4331" t="n">
        <v>5</v>
      </c>
      <c r="F4331" t="n">
        <v>5</v>
      </c>
      <c r="G4331" t="n">
        <v>5</v>
      </c>
      <c r="J4331" t="inlineStr">
        <is>
          <t>Moda</t>
        </is>
      </c>
      <c r="K4331" t="n">
        <v>5</v>
      </c>
      <c r="L4331" t="n">
        <v>4.587</v>
      </c>
      <c r="M4331" t="n">
        <v>0</v>
      </c>
      <c r="N4331" t="inlineStr">
        <is>
          <t>test</t>
        </is>
      </c>
      <c r="O4331">
        <f>HYPERLINK("5\0\marker_232_935520.png", "Ver Imagen")</f>
        <v/>
      </c>
      <c r="P4331">
        <f>HYPERLINK("NE\A-495R\A-495R__60.png", "Ver Imagen")</f>
        <v/>
      </c>
    </row>
    <row r="4332">
      <c r="A4332" t="n">
        <v>3933</v>
      </c>
      <c r="B4332" t="inlineStr">
        <is>
          <t>A-495R__57</t>
        </is>
      </c>
      <c r="C4332" t="n">
        <v>37.4556044734</v>
      </c>
      <c r="D4332" t="n">
        <v>-7.11338785144</v>
      </c>
      <c r="E4332" t="n">
        <v>5</v>
      </c>
      <c r="F4332" t="n">
        <v>5</v>
      </c>
      <c r="G4332" t="n">
        <v>5</v>
      </c>
      <c r="J4332" t="inlineStr">
        <is>
          <t>Moda</t>
        </is>
      </c>
      <c r="K4332" t="n">
        <v>5</v>
      </c>
      <c r="L4332" t="n">
        <v>4.634</v>
      </c>
      <c r="M4332" t="n">
        <v>0</v>
      </c>
      <c r="N4332" t="inlineStr">
        <is>
          <t>val</t>
        </is>
      </c>
      <c r="O4332">
        <f>HYPERLINK("5\0\marker_140_935590.png", "Ver Imagen")</f>
        <v/>
      </c>
      <c r="P4332">
        <f>HYPERLINK("NE\A-495R\A-495R__57.png", "Ver Imagen")</f>
        <v/>
      </c>
    </row>
    <row r="4333">
      <c r="A4333" t="n">
        <v>3934</v>
      </c>
      <c r="B4333" t="inlineStr">
        <is>
          <t>A-495R__53</t>
        </is>
      </c>
      <c r="C4333" t="n">
        <v>37.4548087986</v>
      </c>
      <c r="D4333" t="n">
        <v>-7.11303736306</v>
      </c>
      <c r="E4333" t="n">
        <v>5</v>
      </c>
      <c r="F4333" t="n">
        <v>5</v>
      </c>
      <c r="G4333" t="n">
        <v>5</v>
      </c>
      <c r="J4333" t="inlineStr">
        <is>
          <t>Moda</t>
        </is>
      </c>
      <c r="K4333" t="n">
        <v>5</v>
      </c>
      <c r="L4333" t="n">
        <v>5</v>
      </c>
      <c r="M4333" t="n">
        <v>0</v>
      </c>
      <c r="N4333" t="inlineStr">
        <is>
          <t>train</t>
        </is>
      </c>
      <c r="O4333">
        <f>HYPERLINK("5\0\marker_515_935632.png", "Ver Imagen")</f>
        <v/>
      </c>
      <c r="P4333">
        <f>HYPERLINK("NE\A-495R\A-495R__53.png", "Ver Imagen")</f>
        <v/>
      </c>
    </row>
    <row r="4334">
      <c r="A4334" t="n">
        <v>3936</v>
      </c>
      <c r="B4334" t="inlineStr">
        <is>
          <t>A-495R__50</t>
        </is>
      </c>
      <c r="C4334" t="n">
        <v>37.4542758234</v>
      </c>
      <c r="D4334" t="n">
        <v>-7.11275764423</v>
      </c>
      <c r="E4334" t="n">
        <v>5</v>
      </c>
      <c r="F4334" t="n">
        <v>5</v>
      </c>
      <c r="G4334" t="n">
        <v>5</v>
      </c>
      <c r="J4334" t="inlineStr">
        <is>
          <t>Moda</t>
        </is>
      </c>
      <c r="K4334" t="n">
        <v>5</v>
      </c>
      <c r="L4334" t="n">
        <v>4.942</v>
      </c>
      <c r="M4334" t="n">
        <v>0</v>
      </c>
      <c r="N4334" t="inlineStr">
        <is>
          <t>train</t>
        </is>
      </c>
      <c r="O4334">
        <f>HYPERLINK("5\0\marker_597_935661.png", "Ver Imagen")</f>
        <v/>
      </c>
      <c r="P4334">
        <f>HYPERLINK("NE\A-495R\A-495R__50.png", "Ver Imagen")</f>
        <v/>
      </c>
    </row>
    <row r="4335">
      <c r="A4335" t="n">
        <v>3938</v>
      </c>
      <c r="B4335" t="inlineStr">
        <is>
          <t>A-495R__28</t>
        </is>
      </c>
      <c r="C4335" t="n">
        <v>37.4502390912</v>
      </c>
      <c r="D4335" t="n">
        <v>-7.11045798668</v>
      </c>
      <c r="E4335" t="n">
        <v>5</v>
      </c>
      <c r="F4335" t="n">
        <v>5</v>
      </c>
      <c r="G4335" t="n">
        <v>5</v>
      </c>
      <c r="J4335" t="inlineStr">
        <is>
          <t>Moda</t>
        </is>
      </c>
      <c r="K4335" t="n">
        <v>5</v>
      </c>
      <c r="L4335" t="n">
        <v>5</v>
      </c>
      <c r="M4335" t="n">
        <v>0</v>
      </c>
      <c r="N4335" t="inlineStr">
        <is>
          <t>train</t>
        </is>
      </c>
      <c r="O4335">
        <f>HYPERLINK("5\0\marker_276_936642.png", "Ver Imagen")</f>
        <v/>
      </c>
      <c r="P4335">
        <f>HYPERLINK("NE\A-495R\A-495R__28.png", "Ver Imagen")</f>
        <v/>
      </c>
    </row>
    <row r="4336">
      <c r="A4336" t="n">
        <v>3940</v>
      </c>
      <c r="B4336" t="inlineStr">
        <is>
          <t>A-5052__246</t>
        </is>
      </c>
      <c r="C4336" t="n">
        <v>37.213161532</v>
      </c>
      <c r="D4336" t="n">
        <v>-7.06464761865</v>
      </c>
      <c r="E4336" t="n">
        <v>5</v>
      </c>
      <c r="F4336" t="n">
        <v>5</v>
      </c>
      <c r="G4336" t="n">
        <v>5</v>
      </c>
      <c r="J4336" t="inlineStr">
        <is>
          <t>Moda</t>
        </is>
      </c>
      <c r="K4336" t="n">
        <v>5</v>
      </c>
      <c r="L4336" t="n">
        <v>4.992</v>
      </c>
      <c r="M4336" t="n">
        <v>0</v>
      </c>
      <c r="N4336" t="inlineStr">
        <is>
          <t>train</t>
        </is>
      </c>
      <c r="O4336">
        <f>HYPERLINK("5\0\marker_772_960041.png", "Ver Imagen")</f>
        <v/>
      </c>
      <c r="P4336">
        <f>HYPERLINK("SE\A-5052\A-5052__246.png", "Ver Imagen")</f>
        <v/>
      </c>
    </row>
    <row r="4337">
      <c r="A4337" t="n">
        <v>3941</v>
      </c>
      <c r="B4337" t="inlineStr">
        <is>
          <t>A-495_1__107</t>
        </is>
      </c>
      <c r="C4337" t="n">
        <v>37.4688526374</v>
      </c>
      <c r="D4337" t="n">
        <v>-7.12384619063</v>
      </c>
      <c r="E4337" t="n">
        <v>5</v>
      </c>
      <c r="F4337" t="n">
        <v>5</v>
      </c>
      <c r="G4337" t="n">
        <v>5</v>
      </c>
      <c r="J4337" t="inlineStr">
        <is>
          <t>Moda</t>
        </is>
      </c>
      <c r="K4337" t="n">
        <v>5</v>
      </c>
      <c r="L4337" t="n">
        <v>4.579</v>
      </c>
      <c r="M4337" t="n">
        <v>0</v>
      </c>
      <c r="N4337" t="inlineStr">
        <is>
          <t>train</t>
        </is>
      </c>
      <c r="O4337">
        <f>HYPERLINK("5\0\marker_252_384926.png", "Ver Imagen")</f>
        <v/>
      </c>
      <c r="P4337">
        <f>HYPERLINK("NE\A-495_1\A-495_1__107.png", "Ver Imagen")</f>
        <v/>
      </c>
    </row>
    <row r="4338">
      <c r="A4338" t="n">
        <v>3942</v>
      </c>
      <c r="B4338" t="inlineStr">
        <is>
          <t>A-497__767</t>
        </is>
      </c>
      <c r="C4338" t="n">
        <v>37.1870366616</v>
      </c>
      <c r="D4338" t="n">
        <v>-6.97946428297</v>
      </c>
      <c r="E4338" t="n">
        <v>5</v>
      </c>
      <c r="F4338" t="n">
        <v>5</v>
      </c>
      <c r="G4338" t="n">
        <v>5</v>
      </c>
      <c r="J4338" t="inlineStr">
        <is>
          <t>Moda</t>
        </is>
      </c>
      <c r="K4338" t="n">
        <v>5</v>
      </c>
      <c r="L4338" t="n">
        <v>5</v>
      </c>
      <c r="M4338" t="n">
        <v>0</v>
      </c>
      <c r="N4338" t="inlineStr">
        <is>
          <t>train</t>
        </is>
      </c>
      <c r="O4338">
        <f>HYPERLINK("5\0\marker_277_368480.png", "Ver Imagen")</f>
        <v/>
      </c>
      <c r="P4338">
        <f>HYPERLINK("SE\A-497\A-497__767.png", "Ver Imagen")</f>
        <v/>
      </c>
    </row>
    <row r="4339">
      <c r="A4339" t="n">
        <v>3943</v>
      </c>
      <c r="B4339" t="inlineStr">
        <is>
          <t>A-497__566</t>
        </is>
      </c>
      <c r="C4339" t="n">
        <v>37.2041482346</v>
      </c>
      <c r="D4339" t="n">
        <v>-7.01111974447</v>
      </c>
      <c r="E4339" t="n">
        <v>5</v>
      </c>
      <c r="F4339" t="n">
        <v>5</v>
      </c>
      <c r="G4339" t="n">
        <v>5</v>
      </c>
      <c r="J4339" t="inlineStr">
        <is>
          <t>Moda</t>
        </is>
      </c>
      <c r="K4339" t="n">
        <v>5</v>
      </c>
      <c r="L4339" t="n">
        <v>4.951</v>
      </c>
      <c r="M4339" t="n">
        <v>0</v>
      </c>
      <c r="N4339" t="inlineStr">
        <is>
          <t>train</t>
        </is>
      </c>
      <c r="O4339">
        <f>HYPERLINK("5\0\marker_120_372080.png", "Ver Imagen")</f>
        <v/>
      </c>
      <c r="P4339">
        <f>HYPERLINK("SE\A-497\A-497__566.png", "Ver Imagen")</f>
        <v/>
      </c>
    </row>
    <row r="4340">
      <c r="A4340" t="n">
        <v>3944</v>
      </c>
      <c r="B4340" t="inlineStr">
        <is>
          <t>A-497_2C__337</t>
        </is>
      </c>
      <c r="C4340" t="n">
        <v>37.2420370047</v>
      </c>
      <c r="D4340" t="n">
        <v>-7.01859406358</v>
      </c>
      <c r="E4340" t="n">
        <v>5</v>
      </c>
      <c r="F4340" t="n">
        <v>5</v>
      </c>
      <c r="G4340" t="n">
        <v>5</v>
      </c>
      <c r="J4340" t="inlineStr">
        <is>
          <t>Moda</t>
        </is>
      </c>
      <c r="K4340" t="n">
        <v>5</v>
      </c>
      <c r="L4340" t="n">
        <v>5</v>
      </c>
      <c r="M4340" t="n">
        <v>0</v>
      </c>
      <c r="N4340" t="inlineStr">
        <is>
          <t>train</t>
        </is>
      </c>
      <c r="O4340">
        <f>HYPERLINK("5\0\marker_838_362098.png", "Ver Imagen")</f>
        <v/>
      </c>
      <c r="P4340">
        <f>HYPERLINK("SE\A-497_2C\A-497_2C__337.png", "Ver Imagen")</f>
        <v/>
      </c>
    </row>
    <row r="4341">
      <c r="A4341" t="n">
        <v>3945</v>
      </c>
      <c r="B4341" t="inlineStr">
        <is>
          <t>A-497__280</t>
        </is>
      </c>
      <c r="C4341" t="n">
        <v>37.2539758185</v>
      </c>
      <c r="D4341" t="n">
        <v>-7.01534660371</v>
      </c>
      <c r="E4341" t="n">
        <v>5</v>
      </c>
      <c r="F4341" t="n">
        <v>5</v>
      </c>
      <c r="G4341" t="n">
        <v>5</v>
      </c>
      <c r="J4341" t="inlineStr">
        <is>
          <t>Moda</t>
        </is>
      </c>
      <c r="K4341" t="n">
        <v>5</v>
      </c>
      <c r="L4341" t="n">
        <v>5</v>
      </c>
      <c r="M4341" t="n">
        <v>0</v>
      </c>
      <c r="N4341" t="inlineStr">
        <is>
          <t>train</t>
        </is>
      </c>
      <c r="O4341">
        <f>HYPERLINK("5\0\marker_349_378467.png", "Ver Imagen")</f>
        <v/>
      </c>
      <c r="P4341">
        <f>HYPERLINK("SE\A-497\A-497__280.png", "Ver Imagen")</f>
        <v/>
      </c>
    </row>
    <row r="4342">
      <c r="A4342" t="n">
        <v>3946</v>
      </c>
      <c r="B4342" t="inlineStr">
        <is>
          <t>A-490__117</t>
        </is>
      </c>
      <c r="C4342" t="n">
        <v>37.4511161873</v>
      </c>
      <c r="D4342" t="n">
        <v>-7.15422705687</v>
      </c>
      <c r="E4342" t="n">
        <v>4</v>
      </c>
      <c r="F4342" t="n">
        <v>5</v>
      </c>
      <c r="G4342" t="n">
        <v>5</v>
      </c>
      <c r="J4342" t="inlineStr">
        <is>
          <t>Moda</t>
        </is>
      </c>
      <c r="K4342" t="n">
        <v>5</v>
      </c>
      <c r="L4342" t="n">
        <v>5</v>
      </c>
      <c r="M4342" t="n">
        <v>0</v>
      </c>
      <c r="N4342" t="inlineStr">
        <is>
          <t>train</t>
        </is>
      </c>
      <c r="O4342">
        <f>HYPERLINK("5\1\marker_505_739928.png", "Ver Imagen")</f>
        <v/>
      </c>
      <c r="P4342">
        <f>HYPERLINK("NE\A-490\A-490__117.png", "Ver Imagen")</f>
        <v/>
      </c>
    </row>
    <row r="4343">
      <c r="A4343" t="n">
        <v>3947</v>
      </c>
      <c r="B4343" t="inlineStr">
        <is>
          <t>A-490__248</t>
        </is>
      </c>
      <c r="C4343" t="n">
        <v>37.4656401736</v>
      </c>
      <c r="D4343" t="n">
        <v>-7.18150942565</v>
      </c>
      <c r="E4343" t="n">
        <v>4</v>
      </c>
      <c r="F4343" t="n">
        <v>5</v>
      </c>
      <c r="G4343" t="n">
        <v>5</v>
      </c>
      <c r="J4343" t="inlineStr">
        <is>
          <t>Moda</t>
        </is>
      </c>
      <c r="K4343" t="n">
        <v>5</v>
      </c>
      <c r="L4343" t="n">
        <v>4.975</v>
      </c>
      <c r="M4343" t="n">
        <v>0</v>
      </c>
      <c r="N4343" t="inlineStr">
        <is>
          <t>train</t>
        </is>
      </c>
      <c r="O4343">
        <f>HYPERLINK("5\1\marker_353_749460.png", "Ver Imagen")</f>
        <v/>
      </c>
      <c r="P4343">
        <f>HYPERLINK("NE\A-490\A-490__248.png", "Ver Imagen")</f>
        <v/>
      </c>
    </row>
    <row r="4344">
      <c r="A4344" t="n">
        <v>3948</v>
      </c>
      <c r="B4344" t="inlineStr">
        <is>
          <t>A-495R__70</t>
        </is>
      </c>
      <c r="C4344" t="n">
        <v>37.4581166464</v>
      </c>
      <c r="D4344" t="n">
        <v>-7.11434482668</v>
      </c>
      <c r="E4344" t="n">
        <v>5</v>
      </c>
      <c r="F4344" t="n">
        <v>5</v>
      </c>
      <c r="G4344" t="n">
        <v>4</v>
      </c>
      <c r="J4344" t="inlineStr">
        <is>
          <t>Moda</t>
        </is>
      </c>
      <c r="K4344" t="n">
        <v>5</v>
      </c>
      <c r="L4344" t="n">
        <v>4.96</v>
      </c>
      <c r="M4344" t="n">
        <v>0</v>
      </c>
      <c r="N4344" t="inlineStr">
        <is>
          <t>train</t>
        </is>
      </c>
      <c r="O4344">
        <f>HYPERLINK("5\1\marker_114_935234.png", "Ver Imagen")</f>
        <v/>
      </c>
      <c r="P4344">
        <f>HYPERLINK("NE\A-495R\A-495R__70.png", "Ver Imagen")</f>
        <v/>
      </c>
    </row>
    <row r="4345">
      <c r="A4345" t="n">
        <v>3949</v>
      </c>
      <c r="B4345" t="inlineStr">
        <is>
          <t>A-497_2C__156</t>
        </is>
      </c>
      <c r="C4345" t="n">
        <v>37.2666018326</v>
      </c>
      <c r="D4345" t="n">
        <v>-6.99243714496</v>
      </c>
      <c r="E4345" t="n">
        <v>5</v>
      </c>
      <c r="F4345" t="n">
        <v>5</v>
      </c>
      <c r="G4345" t="n">
        <v>4</v>
      </c>
      <c r="J4345" t="inlineStr">
        <is>
          <t>Moda</t>
        </is>
      </c>
      <c r="K4345" t="n">
        <v>5</v>
      </c>
      <c r="L4345" t="n">
        <v>5</v>
      </c>
      <c r="M4345" t="n">
        <v>0</v>
      </c>
      <c r="N4345" t="inlineStr">
        <is>
          <t>train</t>
        </is>
      </c>
      <c r="O4345">
        <f>HYPERLINK("5\1\marker_164_656065.png", "Ver Imagen")</f>
        <v/>
      </c>
      <c r="P4345">
        <f>HYPERLINK("SE\A-497_2C\A-497_2C__156.png", "Ver Imagen")</f>
        <v/>
      </c>
    </row>
    <row r="4346">
      <c r="A4346" t="n">
        <v>3950</v>
      </c>
      <c r="B4346" t="inlineStr">
        <is>
          <t>A-490__96</t>
        </is>
      </c>
      <c r="C4346" t="n">
        <v>37.4489341427</v>
      </c>
      <c r="D4346" t="n">
        <v>-7.14969086288</v>
      </c>
      <c r="E4346" t="n">
        <v>4</v>
      </c>
      <c r="F4346" t="n">
        <v>5</v>
      </c>
      <c r="G4346" t="n">
        <v>5</v>
      </c>
      <c r="J4346" t="inlineStr">
        <is>
          <t>Moda</t>
        </is>
      </c>
      <c r="K4346" t="n">
        <v>5</v>
      </c>
      <c r="L4346" t="n">
        <v>4.895</v>
      </c>
      <c r="M4346" t="n">
        <v>0</v>
      </c>
      <c r="N4346" t="inlineStr">
        <is>
          <t>train</t>
        </is>
      </c>
      <c r="O4346">
        <f>HYPERLINK("5\1\marker_343_739088.png", "Ver Imagen")</f>
        <v/>
      </c>
      <c r="P4346">
        <f>HYPERLINK("NE\A-490\A-490__96.png", "Ver Imagen")</f>
        <v/>
      </c>
    </row>
    <row r="4347">
      <c r="A4347" t="n">
        <v>3951</v>
      </c>
      <c r="B4347" t="inlineStr">
        <is>
          <t>A-490__628</t>
        </is>
      </c>
      <c r="C4347" t="n">
        <v>37.4950890833</v>
      </c>
      <c r="D4347" t="n">
        <v>-7.26752364622</v>
      </c>
      <c r="E4347" t="n">
        <v>4</v>
      </c>
      <c r="F4347" t="n">
        <v>5</v>
      </c>
      <c r="G4347" t="n">
        <v>5</v>
      </c>
      <c r="J4347" t="inlineStr">
        <is>
          <t>Moda</t>
        </is>
      </c>
      <c r="K4347" t="n">
        <v>5</v>
      </c>
      <c r="L4347" t="n">
        <v>4.876</v>
      </c>
      <c r="M4347" t="n">
        <v>0</v>
      </c>
      <c r="N4347" t="inlineStr">
        <is>
          <t>train</t>
        </is>
      </c>
      <c r="O4347">
        <f>HYPERLINK("5\1\marker_873_820402.png", "Ver Imagen")</f>
        <v/>
      </c>
      <c r="P4347">
        <f>HYPERLINK("NO\A-490\A-490__628.png", "Ver Imagen")</f>
        <v/>
      </c>
    </row>
    <row r="4348">
      <c r="A4348" t="n">
        <v>3952</v>
      </c>
      <c r="B4348" t="inlineStr">
        <is>
          <t>A-495R__58</t>
        </is>
      </c>
      <c r="C4348" t="n">
        <v>37.4557771523</v>
      </c>
      <c r="D4348" t="n">
        <v>-7.11345746509</v>
      </c>
      <c r="E4348" t="n">
        <v>5</v>
      </c>
      <c r="F4348" t="n">
        <v>5</v>
      </c>
      <c r="G4348" t="n">
        <v>4</v>
      </c>
      <c r="J4348" t="inlineStr">
        <is>
          <t>Moda</t>
        </is>
      </c>
      <c r="K4348" t="n">
        <v>5</v>
      </c>
      <c r="L4348" t="n">
        <v>5</v>
      </c>
      <c r="M4348" t="n">
        <v>0</v>
      </c>
      <c r="N4348" t="inlineStr">
        <is>
          <t>train</t>
        </is>
      </c>
      <c r="O4348">
        <f>HYPERLINK("5\1\marker_807_935573.png", "Ver Imagen")</f>
        <v/>
      </c>
      <c r="P4348">
        <f>HYPERLINK("NE\A-495R\A-495R__58.png", "Ver Imagen")</f>
        <v/>
      </c>
    </row>
    <row r="4349">
      <c r="A4349" t="n">
        <v>3953</v>
      </c>
      <c r="B4349" t="inlineStr">
        <is>
          <t>A-495R__56</t>
        </is>
      </c>
      <c r="C4349" t="n">
        <v>37.4554134794</v>
      </c>
      <c r="D4349" t="n">
        <v>-7.11330988791</v>
      </c>
      <c r="E4349" t="n">
        <v>5</v>
      </c>
      <c r="F4349" t="n">
        <v>4</v>
      </c>
      <c r="G4349" t="n">
        <v>5</v>
      </c>
      <c r="J4349" t="inlineStr">
        <is>
          <t>Moda</t>
        </is>
      </c>
      <c r="K4349" t="n">
        <v>5</v>
      </c>
      <c r="L4349" t="n">
        <v>4.87</v>
      </c>
      <c r="M4349" t="n">
        <v>0</v>
      </c>
      <c r="N4349" t="inlineStr">
        <is>
          <t>train</t>
        </is>
      </c>
      <c r="O4349">
        <f>HYPERLINK("5\1\marker_948_935601.png", "Ver Imagen")</f>
        <v/>
      </c>
      <c r="P4349">
        <f>HYPERLINK("NE\A-495R\A-495R__56.png", "Ver Imagen")</f>
        <v/>
      </c>
    </row>
    <row r="4350">
      <c r="A4350" t="n">
        <v>3954</v>
      </c>
      <c r="B4350" t="inlineStr">
        <is>
          <t>A-495R__49</t>
        </is>
      </c>
      <c r="C4350" t="n">
        <v>37.4540721138</v>
      </c>
      <c r="D4350" t="n">
        <v>-7.11264594571</v>
      </c>
      <c r="E4350" t="n">
        <v>5</v>
      </c>
      <c r="F4350" t="n">
        <v>4</v>
      </c>
      <c r="G4350" t="n">
        <v>5</v>
      </c>
      <c r="J4350" t="inlineStr">
        <is>
          <t>Moda</t>
        </is>
      </c>
      <c r="K4350" t="n">
        <v>5</v>
      </c>
      <c r="L4350" t="n">
        <v>5</v>
      </c>
      <c r="M4350" t="n">
        <v>0</v>
      </c>
      <c r="N4350" t="inlineStr">
        <is>
          <t>train</t>
        </is>
      </c>
      <c r="O4350">
        <f>HYPERLINK("5\1\marker_542_935673.png", "Ver Imagen")</f>
        <v/>
      </c>
      <c r="P4350">
        <f>HYPERLINK("NE\A-495R\A-495R__49.png", "Ver Imagen")</f>
        <v/>
      </c>
    </row>
    <row r="4351">
      <c r="A4351" t="n">
        <v>3955</v>
      </c>
      <c r="B4351" t="inlineStr">
        <is>
          <t>A-495R__42</t>
        </is>
      </c>
      <c r="C4351" t="n">
        <v>37.452772306</v>
      </c>
      <c r="D4351" t="n">
        <v>-7.111942699</v>
      </c>
      <c r="E4351" t="n">
        <v>4</v>
      </c>
      <c r="F4351" t="n">
        <v>5</v>
      </c>
      <c r="G4351" t="n">
        <v>5</v>
      </c>
      <c r="J4351" t="inlineStr">
        <is>
          <t>Moda</t>
        </is>
      </c>
      <c r="K4351" t="n">
        <v>5</v>
      </c>
      <c r="L4351" t="n">
        <v>4.895</v>
      </c>
      <c r="M4351" t="n">
        <v>0</v>
      </c>
      <c r="N4351" t="inlineStr">
        <is>
          <t>train</t>
        </is>
      </c>
      <c r="O4351">
        <f>HYPERLINK("5\1\marker_109_935739.png", "Ver Imagen")</f>
        <v/>
      </c>
      <c r="P4351">
        <f>HYPERLINK("NE\A-495R\A-495R__42.png", "Ver Imagen")</f>
        <v/>
      </c>
    </row>
    <row r="4352">
      <c r="A4352" t="n">
        <v>3957</v>
      </c>
      <c r="B4352" t="inlineStr">
        <is>
          <t>A-495R__34</t>
        </is>
      </c>
      <c r="C4352" t="n">
        <v>37.4513203614</v>
      </c>
      <c r="D4352" t="n">
        <v>-7.11107371124</v>
      </c>
      <c r="E4352" t="n">
        <v>5</v>
      </c>
      <c r="F4352" t="n">
        <v>4</v>
      </c>
      <c r="G4352" t="n">
        <v>5</v>
      </c>
      <c r="J4352" t="inlineStr">
        <is>
          <t>Moda</t>
        </is>
      </c>
      <c r="K4352" t="n">
        <v>5</v>
      </c>
      <c r="L4352" t="n">
        <v>4.699</v>
      </c>
      <c r="M4352" t="n">
        <v>0</v>
      </c>
      <c r="N4352" t="inlineStr">
        <is>
          <t>train</t>
        </is>
      </c>
      <c r="O4352">
        <f>HYPERLINK("5\1\marker_481_936582.png", "Ver Imagen")</f>
        <v/>
      </c>
      <c r="P4352">
        <f>HYPERLINK("NE\A-495R\A-495R__34.png", "Ver Imagen")</f>
        <v/>
      </c>
    </row>
    <row r="4353">
      <c r="A4353" t="n">
        <v>3958</v>
      </c>
      <c r="B4353" t="inlineStr">
        <is>
          <t>A-5052__247</t>
        </is>
      </c>
      <c r="C4353" t="n">
        <v>37.2130622059</v>
      </c>
      <c r="D4353" t="n">
        <v>-7.06438116209</v>
      </c>
      <c r="E4353" t="n">
        <v>5</v>
      </c>
      <c r="F4353" t="n">
        <v>4</v>
      </c>
      <c r="G4353" t="n">
        <v>5</v>
      </c>
      <c r="J4353" t="inlineStr">
        <is>
          <t>Moda</t>
        </is>
      </c>
      <c r="K4353" t="n">
        <v>5</v>
      </c>
      <c r="L4353" t="n">
        <v>4.986</v>
      </c>
      <c r="M4353" t="n">
        <v>0</v>
      </c>
      <c r="N4353" t="inlineStr">
        <is>
          <t>train</t>
        </is>
      </c>
      <c r="O4353">
        <f>HYPERLINK("5\1\marker_124_960057.png", "Ver Imagen")</f>
        <v/>
      </c>
      <c r="P4353">
        <f>HYPERLINK("SE\A-5052\A-5052__247.png", "Ver Imagen")</f>
        <v/>
      </c>
    </row>
    <row r="4354">
      <c r="A4354" t="n">
        <v>3959</v>
      </c>
      <c r="B4354" t="inlineStr">
        <is>
          <t>A-5052__248</t>
        </is>
      </c>
      <c r="C4354" t="n">
        <v>37.2131247389</v>
      </c>
      <c r="D4354" t="n">
        <v>-7.06414315069</v>
      </c>
      <c r="E4354" t="n">
        <v>5</v>
      </c>
      <c r="F4354" t="n">
        <v>4</v>
      </c>
      <c r="G4354" t="n">
        <v>5</v>
      </c>
      <c r="J4354" t="inlineStr">
        <is>
          <t>Moda</t>
        </is>
      </c>
      <c r="K4354" t="n">
        <v>5</v>
      </c>
      <c r="L4354" t="n">
        <v>4.902</v>
      </c>
      <c r="M4354" t="n">
        <v>0</v>
      </c>
      <c r="N4354" t="inlineStr">
        <is>
          <t>train</t>
        </is>
      </c>
      <c r="O4354">
        <f>HYPERLINK("5\1\marker_491_960069.png", "Ver Imagen")</f>
        <v/>
      </c>
      <c r="P4354">
        <f>HYPERLINK("SE\A-5052\A-5052__248.png", "Ver Imagen")</f>
        <v/>
      </c>
    </row>
    <row r="4355">
      <c r="A4355" t="n">
        <v>3961</v>
      </c>
      <c r="B4355" t="inlineStr">
        <is>
          <t>A-5053__44</t>
        </is>
      </c>
      <c r="C4355" t="n">
        <v>37.2274707703</v>
      </c>
      <c r="D4355" t="n">
        <v>-7.12652285918</v>
      </c>
      <c r="E4355" t="n">
        <v>5</v>
      </c>
      <c r="F4355" t="n">
        <v>4</v>
      </c>
      <c r="G4355" t="n">
        <v>5</v>
      </c>
      <c r="J4355" t="inlineStr">
        <is>
          <t>Moda</t>
        </is>
      </c>
      <c r="K4355" t="n">
        <v>5</v>
      </c>
      <c r="L4355" t="n">
        <v>4.914</v>
      </c>
      <c r="M4355" t="n">
        <v>0</v>
      </c>
      <c r="N4355" t="inlineStr">
        <is>
          <t>train</t>
        </is>
      </c>
      <c r="O4355">
        <f>HYPERLINK("5\1\marker_798_021670.png", "Ver Imagen")</f>
        <v/>
      </c>
      <c r="P4355">
        <f>HYPERLINK("SO\A-5053\A-5053__44.png", "Ver Imagen")</f>
        <v/>
      </c>
    </row>
    <row r="4356">
      <c r="A4356" t="n">
        <v>3962</v>
      </c>
      <c r="B4356" t="inlineStr">
        <is>
          <t>A-5053__43</t>
        </is>
      </c>
      <c r="C4356" t="n">
        <v>37.2272731773</v>
      </c>
      <c r="D4356" t="n">
        <v>-7.12646463955</v>
      </c>
      <c r="E4356" t="n">
        <v>5</v>
      </c>
      <c r="F4356" t="n">
        <v>4</v>
      </c>
      <c r="G4356" t="n">
        <v>5</v>
      </c>
      <c r="J4356" t="inlineStr">
        <is>
          <t>Moda</t>
        </is>
      </c>
      <c r="K4356" t="n">
        <v>5</v>
      </c>
      <c r="L4356" t="n">
        <v>4.956</v>
      </c>
      <c r="M4356" t="n">
        <v>0</v>
      </c>
      <c r="N4356" t="inlineStr">
        <is>
          <t>train</t>
        </is>
      </c>
      <c r="O4356">
        <f>HYPERLINK("5\1\marker_605_021684.png", "Ver Imagen")</f>
        <v/>
      </c>
      <c r="P4356">
        <f>HYPERLINK("SO\A-5053\A-5053__43.png", "Ver Imagen")</f>
        <v/>
      </c>
    </row>
    <row r="4357">
      <c r="A4357" t="n">
        <v>3963</v>
      </c>
      <c r="B4357" t="inlineStr">
        <is>
          <t>A-495__112</t>
        </is>
      </c>
      <c r="C4357" t="n">
        <v>37.4355517003</v>
      </c>
      <c r="D4357" t="n">
        <v>-7.07505461838</v>
      </c>
      <c r="E4357" t="n">
        <v>5</v>
      </c>
      <c r="F4357" t="n">
        <v>4</v>
      </c>
      <c r="G4357" t="n">
        <v>5</v>
      </c>
      <c r="J4357" t="inlineStr">
        <is>
          <t>Moda</t>
        </is>
      </c>
      <c r="K4357" t="n">
        <v>5</v>
      </c>
      <c r="L4357" t="n">
        <v>4.953</v>
      </c>
      <c r="M4357" t="n">
        <v>0</v>
      </c>
      <c r="N4357" t="inlineStr">
        <is>
          <t>train</t>
        </is>
      </c>
      <c r="O4357">
        <f>HYPERLINK("5\1\marker_487_382293.png", "Ver Imagen")</f>
        <v/>
      </c>
      <c r="P4357">
        <f>HYPERLINK("NE\A-495\A-495__112.png", "Ver Imagen")</f>
        <v/>
      </c>
    </row>
    <row r="4358">
      <c r="A4358" t="n">
        <v>3964</v>
      </c>
      <c r="B4358" t="inlineStr">
        <is>
          <t>A-495__117</t>
        </is>
      </c>
      <c r="C4358" t="n">
        <v>37.4354710024</v>
      </c>
      <c r="D4358" t="n">
        <v>-7.073773565</v>
      </c>
      <c r="E4358" t="n">
        <v>5</v>
      </c>
      <c r="F4358" t="n">
        <v>4</v>
      </c>
      <c r="G4358" t="n">
        <v>5</v>
      </c>
      <c r="J4358" t="inlineStr">
        <is>
          <t>Moda</t>
        </is>
      </c>
      <c r="K4358" t="n">
        <v>5</v>
      </c>
      <c r="L4358" t="n">
        <v>5</v>
      </c>
      <c r="M4358" t="n">
        <v>0</v>
      </c>
      <c r="N4358" t="inlineStr">
        <is>
          <t>train</t>
        </is>
      </c>
      <c r="O4358">
        <f>HYPERLINK("5\1\marker_554_382339.png", "Ver Imagen")</f>
        <v/>
      </c>
      <c r="P4358">
        <f>HYPERLINK("NE\A-495\A-495__117.png", "Ver Imagen")</f>
        <v/>
      </c>
    </row>
    <row r="4359">
      <c r="A4359" t="n">
        <v>3965</v>
      </c>
      <c r="B4359" t="inlineStr">
        <is>
          <t>A-495__118</t>
        </is>
      </c>
      <c r="C4359" t="n">
        <v>37.4354473682</v>
      </c>
      <c r="D4359" t="n">
        <v>-7.0734994035</v>
      </c>
      <c r="E4359" t="n">
        <v>5</v>
      </c>
      <c r="F4359" t="n">
        <v>4</v>
      </c>
      <c r="G4359" t="n">
        <v>5</v>
      </c>
      <c r="J4359" t="inlineStr">
        <is>
          <t>Moda</t>
        </is>
      </c>
      <c r="K4359" t="n">
        <v>5</v>
      </c>
      <c r="L4359" t="n">
        <v>5</v>
      </c>
      <c r="M4359" t="n">
        <v>0</v>
      </c>
      <c r="N4359" t="inlineStr">
        <is>
          <t>train</t>
        </is>
      </c>
      <c r="O4359">
        <f>HYPERLINK("5\1\marker_722_382348.png", "Ver Imagen")</f>
        <v/>
      </c>
      <c r="P4359">
        <f>HYPERLINK("NE\A-495\A-495__118.png", "Ver Imagen")</f>
        <v/>
      </c>
    </row>
    <row r="4360">
      <c r="A4360" t="n">
        <v>3966</v>
      </c>
      <c r="B4360" t="inlineStr">
        <is>
          <t>A-495__122</t>
        </is>
      </c>
      <c r="C4360" t="n">
        <v>37.4353660848</v>
      </c>
      <c r="D4360" t="n">
        <v>-7.07251959766</v>
      </c>
      <c r="E4360" t="n">
        <v>5</v>
      </c>
      <c r="F4360" t="n">
        <v>4</v>
      </c>
      <c r="G4360" t="n">
        <v>5</v>
      </c>
      <c r="J4360" t="inlineStr">
        <is>
          <t>Moda</t>
        </is>
      </c>
      <c r="K4360" t="n">
        <v>5</v>
      </c>
      <c r="L4360" t="n">
        <v>4.816</v>
      </c>
      <c r="M4360" t="n">
        <v>0</v>
      </c>
      <c r="N4360" t="inlineStr">
        <is>
          <t>train</t>
        </is>
      </c>
      <c r="O4360">
        <f>HYPERLINK("5\1\marker_410_382390.png", "Ver Imagen")</f>
        <v/>
      </c>
      <c r="P4360">
        <f>HYPERLINK("NE\A-495\A-495__122.png", "Ver Imagen")</f>
        <v/>
      </c>
    </row>
    <row r="4361">
      <c r="A4361" t="n">
        <v>3967</v>
      </c>
      <c r="B4361" t="inlineStr">
        <is>
          <t>A-5058__284</t>
        </is>
      </c>
      <c r="C4361" t="n">
        <v>37.2444932145</v>
      </c>
      <c r="D4361" t="n">
        <v>-7.0909456555</v>
      </c>
      <c r="E4361" t="n">
        <v>5</v>
      </c>
      <c r="F4361" t="n">
        <v>4</v>
      </c>
      <c r="G4361" t="n">
        <v>5</v>
      </c>
      <c r="J4361" t="inlineStr">
        <is>
          <t>Moda</t>
        </is>
      </c>
      <c r="K4361" t="n">
        <v>5</v>
      </c>
      <c r="L4361" t="n">
        <v>4.796</v>
      </c>
      <c r="M4361" t="n">
        <v>0</v>
      </c>
      <c r="N4361" t="inlineStr">
        <is>
          <t>train</t>
        </is>
      </c>
      <c r="O4361">
        <f>HYPERLINK("5\1\marker_235_384070.png", "Ver Imagen")</f>
        <v/>
      </c>
      <c r="P4361">
        <f>HYPERLINK("SE\A-5058\A-5058__284.png", "Ver Imagen")</f>
        <v/>
      </c>
    </row>
    <row r="4362">
      <c r="A4362" t="n">
        <v>3967</v>
      </c>
      <c r="B4362" t="inlineStr">
        <is>
          <t>A-5058__284</t>
        </is>
      </c>
      <c r="C4362" t="n">
        <v>37.2444932145</v>
      </c>
      <c r="D4362" t="n">
        <v>-7.0909456555</v>
      </c>
      <c r="E4362" t="n">
        <v>5</v>
      </c>
      <c r="F4362" t="n">
        <v>4</v>
      </c>
      <c r="G4362" t="n">
        <v>5</v>
      </c>
      <c r="J4362" t="inlineStr">
        <is>
          <t>Moda</t>
        </is>
      </c>
      <c r="K4362" t="n">
        <v>5</v>
      </c>
      <c r="L4362" t="n">
        <v>5</v>
      </c>
      <c r="M4362" t="n">
        <v>0</v>
      </c>
      <c r="N4362" t="inlineStr">
        <is>
          <t>train</t>
        </is>
      </c>
      <c r="O4362">
        <f>HYPERLINK("5\1\marker_235_384070.png", "Ver Imagen")</f>
        <v/>
      </c>
      <c r="P4362">
        <f>HYPERLINK("SO\A-5058\A-5058__284.png", "Ver Imagen")</f>
        <v/>
      </c>
    </row>
    <row r="4363">
      <c r="A4363" t="n">
        <v>3968</v>
      </c>
      <c r="B4363" t="inlineStr">
        <is>
          <t>A-5058__285</t>
        </is>
      </c>
      <c r="C4363" t="n">
        <v>37.2445909587</v>
      </c>
      <c r="D4363" t="n">
        <v>-7.09113909939</v>
      </c>
      <c r="E4363" t="n">
        <v>5</v>
      </c>
      <c r="F4363" t="n">
        <v>4</v>
      </c>
      <c r="G4363" t="n">
        <v>5</v>
      </c>
      <c r="J4363" t="inlineStr">
        <is>
          <t>Moda</t>
        </is>
      </c>
      <c r="K4363" t="n">
        <v>5</v>
      </c>
      <c r="L4363" t="n">
        <v>5</v>
      </c>
      <c r="M4363" t="n">
        <v>0</v>
      </c>
      <c r="N4363" t="inlineStr">
        <is>
          <t>train</t>
        </is>
      </c>
      <c r="O4363">
        <f>HYPERLINK("5\1\marker_551_384084.png", "Ver Imagen")</f>
        <v/>
      </c>
      <c r="P4363">
        <f>HYPERLINK("SE\A-5058\A-5058__285.png", "Ver Imagen")</f>
        <v/>
      </c>
    </row>
    <row r="4364">
      <c r="A4364" t="n">
        <v>3968</v>
      </c>
      <c r="B4364" t="inlineStr">
        <is>
          <t>A-5058__285</t>
        </is>
      </c>
      <c r="C4364" t="n">
        <v>37.2445909587</v>
      </c>
      <c r="D4364" t="n">
        <v>-7.09113909939</v>
      </c>
      <c r="E4364" t="n">
        <v>5</v>
      </c>
      <c r="F4364" t="n">
        <v>4</v>
      </c>
      <c r="G4364" t="n">
        <v>5</v>
      </c>
      <c r="J4364" t="inlineStr">
        <is>
          <t>Moda</t>
        </is>
      </c>
      <c r="K4364" t="n">
        <v>5</v>
      </c>
      <c r="L4364" t="n">
        <v>5</v>
      </c>
      <c r="M4364" t="n">
        <v>0</v>
      </c>
      <c r="N4364" t="inlineStr">
        <is>
          <t>train</t>
        </is>
      </c>
      <c r="O4364">
        <f>HYPERLINK("5\1\marker_551_384084.png", "Ver Imagen")</f>
        <v/>
      </c>
      <c r="P4364">
        <f>HYPERLINK("SO\A-5058\A-5058__285.png", "Ver Imagen")</f>
        <v/>
      </c>
    </row>
    <row r="4365">
      <c r="A4365" t="n">
        <v>3969</v>
      </c>
      <c r="B4365" t="inlineStr">
        <is>
          <t>A-495_1__109</t>
        </is>
      </c>
      <c r="C4365" t="n">
        <v>37.4692039809</v>
      </c>
      <c r="D4365" t="n">
        <v>-7.12408284347</v>
      </c>
      <c r="E4365" t="n">
        <v>5</v>
      </c>
      <c r="F4365" t="n">
        <v>4</v>
      </c>
      <c r="G4365" t="n">
        <v>5</v>
      </c>
      <c r="J4365" t="inlineStr">
        <is>
          <t>Moda</t>
        </is>
      </c>
      <c r="K4365" t="n">
        <v>5</v>
      </c>
      <c r="L4365" t="n">
        <v>4.974</v>
      </c>
      <c r="M4365" t="n">
        <v>0</v>
      </c>
      <c r="N4365" t="inlineStr">
        <is>
          <t>train</t>
        </is>
      </c>
      <c r="O4365">
        <f>HYPERLINK("5\1\marker_580_384735.png", "Ver Imagen")</f>
        <v/>
      </c>
      <c r="P4365">
        <f>HYPERLINK("NE\A-495_1\A-495_1__109.png", "Ver Imagen")</f>
        <v/>
      </c>
    </row>
    <row r="4366">
      <c r="A4366" t="n">
        <v>3970</v>
      </c>
      <c r="B4366" t="inlineStr">
        <is>
          <t>A-495_1__108</t>
        </is>
      </c>
      <c r="C4366" t="n">
        <v>37.4690202311</v>
      </c>
      <c r="D4366" t="n">
        <v>-7.12395899319</v>
      </c>
      <c r="E4366" t="n">
        <v>5</v>
      </c>
      <c r="F4366" t="n">
        <v>4</v>
      </c>
      <c r="G4366" t="n">
        <v>5</v>
      </c>
      <c r="J4366" t="inlineStr">
        <is>
          <t>Moda</t>
        </is>
      </c>
      <c r="K4366" t="n">
        <v>5</v>
      </c>
      <c r="L4366" t="n">
        <v>4.882</v>
      </c>
      <c r="M4366" t="n">
        <v>0</v>
      </c>
      <c r="N4366" t="inlineStr">
        <is>
          <t>train</t>
        </is>
      </c>
      <c r="O4366">
        <f>HYPERLINK("5\1\marker_376_384755.png", "Ver Imagen")</f>
        <v/>
      </c>
      <c r="P4366">
        <f>HYPERLINK("NE\A-495_1\A-495_1__108.png", "Ver Imagen")</f>
        <v/>
      </c>
    </row>
    <row r="4367">
      <c r="A4367" t="n">
        <v>3971</v>
      </c>
      <c r="B4367" t="inlineStr">
        <is>
          <t>A-495_1__106</t>
        </is>
      </c>
      <c r="C4367" t="n">
        <v>37.4686576836</v>
      </c>
      <c r="D4367" t="n">
        <v>-7.12371555394</v>
      </c>
      <c r="E4367" t="n">
        <v>5</v>
      </c>
      <c r="F4367" t="n">
        <v>4</v>
      </c>
      <c r="G4367" t="n">
        <v>5</v>
      </c>
      <c r="J4367" t="inlineStr">
        <is>
          <t>Moda</t>
        </is>
      </c>
      <c r="K4367" t="n">
        <v>5</v>
      </c>
      <c r="L4367" t="n">
        <v>5</v>
      </c>
      <c r="M4367" t="n">
        <v>0</v>
      </c>
      <c r="N4367" t="inlineStr">
        <is>
          <t>train</t>
        </is>
      </c>
      <c r="O4367">
        <f>HYPERLINK("5\1\marker_586_384941.png", "Ver Imagen")</f>
        <v/>
      </c>
      <c r="P4367">
        <f>HYPERLINK("NE\A-495_1\A-495_1__106.png", "Ver Imagen")</f>
        <v/>
      </c>
    </row>
    <row r="4368">
      <c r="A4368" t="n">
        <v>3972</v>
      </c>
      <c r="B4368" t="inlineStr">
        <is>
          <t>A-499__79</t>
        </is>
      </c>
      <c r="C4368" t="n">
        <v>37.4951935253</v>
      </c>
      <c r="D4368" t="n">
        <v>-7.2680698097</v>
      </c>
      <c r="E4368" t="n">
        <v>5</v>
      </c>
      <c r="F4368" t="n">
        <v>4</v>
      </c>
      <c r="G4368" t="n">
        <v>5</v>
      </c>
      <c r="J4368" t="inlineStr">
        <is>
          <t>Moda</t>
        </is>
      </c>
      <c r="K4368" t="n">
        <v>5</v>
      </c>
      <c r="L4368" t="n">
        <v>4.971</v>
      </c>
      <c r="M4368" t="n">
        <v>0</v>
      </c>
      <c r="N4368" t="inlineStr">
        <is>
          <t>train</t>
        </is>
      </c>
      <c r="O4368">
        <f>HYPERLINK("5\1\marker_329_789245.png", "Ver Imagen")</f>
        <v/>
      </c>
      <c r="P4368">
        <f>HYPERLINK("NO\A-499\A-499__79.png", "Ver Imagen")</f>
        <v/>
      </c>
    </row>
    <row r="4369">
      <c r="A4369" t="n">
        <v>3973</v>
      </c>
      <c r="B4369" t="inlineStr">
        <is>
          <t>A-499__80</t>
        </is>
      </c>
      <c r="C4369" t="n">
        <v>37.4951088692</v>
      </c>
      <c r="D4369" t="n">
        <v>-7.26782247347</v>
      </c>
      <c r="E4369" t="n">
        <v>5</v>
      </c>
      <c r="F4369" t="n">
        <v>4</v>
      </c>
      <c r="G4369" t="n">
        <v>5</v>
      </c>
      <c r="J4369" t="inlineStr">
        <is>
          <t>Moda</t>
        </is>
      </c>
      <c r="K4369" t="n">
        <v>5</v>
      </c>
      <c r="L4369" t="n">
        <v>5</v>
      </c>
      <c r="M4369" t="n">
        <v>0</v>
      </c>
      <c r="N4369" t="inlineStr">
        <is>
          <t>train</t>
        </is>
      </c>
      <c r="O4369">
        <f>HYPERLINK("5\1\marker_924_789270.png", "Ver Imagen")</f>
        <v/>
      </c>
      <c r="P4369">
        <f>HYPERLINK("NO\A-499\A-499__80.png", "Ver Imagen")</f>
        <v/>
      </c>
    </row>
    <row r="4370">
      <c r="A4370" t="n">
        <v>3974</v>
      </c>
      <c r="B4370" t="inlineStr">
        <is>
          <t>A-499__83</t>
        </is>
      </c>
      <c r="C4370" t="n">
        <v>37.4955189336</v>
      </c>
      <c r="D4370" t="n">
        <v>-7.26790009598</v>
      </c>
      <c r="E4370" t="n">
        <v>5</v>
      </c>
      <c r="F4370" t="n">
        <v>4</v>
      </c>
      <c r="G4370" t="n">
        <v>5</v>
      </c>
      <c r="J4370" t="inlineStr">
        <is>
          <t>Moda</t>
        </is>
      </c>
      <c r="K4370" t="n">
        <v>5</v>
      </c>
      <c r="L4370" t="n">
        <v>5</v>
      </c>
      <c r="M4370" t="n">
        <v>0</v>
      </c>
      <c r="N4370" t="inlineStr">
        <is>
          <t>train</t>
        </is>
      </c>
      <c r="O4370">
        <f>HYPERLINK("5\1\marker_975_789355.png", "Ver Imagen")</f>
        <v/>
      </c>
      <c r="P4370">
        <f>HYPERLINK("NO\A-499\A-499__83.png", "Ver Imagen")</f>
        <v/>
      </c>
    </row>
    <row r="4371">
      <c r="A4371" t="n">
        <v>3976</v>
      </c>
      <c r="B4371" t="inlineStr">
        <is>
          <t>A-497__765</t>
        </is>
      </c>
      <c r="C4371" t="n">
        <v>37.1867365645</v>
      </c>
      <c r="D4371" t="n">
        <v>-6.97975153524</v>
      </c>
      <c r="E4371" t="n">
        <v>5</v>
      </c>
      <c r="F4371" t="n">
        <v>4</v>
      </c>
      <c r="G4371" t="n">
        <v>5</v>
      </c>
      <c r="J4371" t="inlineStr">
        <is>
          <t>Moda</t>
        </is>
      </c>
      <c r="K4371" t="n">
        <v>5</v>
      </c>
      <c r="L4371" t="n">
        <v>5</v>
      </c>
      <c r="M4371" t="n">
        <v>0</v>
      </c>
      <c r="N4371" t="inlineStr">
        <is>
          <t>train</t>
        </is>
      </c>
      <c r="O4371">
        <f>HYPERLINK("5\1\marker_620_368503.png", "Ver Imagen")</f>
        <v/>
      </c>
      <c r="P4371">
        <f>HYPERLINK("SE\A-497\A-497__765.png", "Ver Imagen")</f>
        <v/>
      </c>
    </row>
    <row r="4372">
      <c r="A4372" t="n">
        <v>3977</v>
      </c>
      <c r="B4372" t="inlineStr">
        <is>
          <t>A-497__760</t>
        </is>
      </c>
      <c r="C4372" t="n">
        <v>37.1859954945</v>
      </c>
      <c r="D4372" t="n">
        <v>-6.98045211276</v>
      </c>
      <c r="E4372" t="n">
        <v>5</v>
      </c>
      <c r="F4372" t="n">
        <v>4</v>
      </c>
      <c r="G4372" t="n">
        <v>5</v>
      </c>
      <c r="J4372" t="inlineStr">
        <is>
          <t>Moda</t>
        </is>
      </c>
      <c r="K4372" t="n">
        <v>5</v>
      </c>
      <c r="L4372" t="n">
        <v>5</v>
      </c>
      <c r="M4372" t="n">
        <v>0</v>
      </c>
      <c r="N4372" t="inlineStr">
        <is>
          <t>train</t>
        </is>
      </c>
      <c r="O4372">
        <f>HYPERLINK("5\1\marker_368_368568.png", "Ver Imagen")</f>
        <v/>
      </c>
      <c r="P4372">
        <f>HYPERLINK("SE\A-497\A-497__760.png", "Ver Imagen")</f>
        <v/>
      </c>
    </row>
    <row r="4373">
      <c r="A4373" t="n">
        <v>3978</v>
      </c>
      <c r="B4373" t="inlineStr">
        <is>
          <t>A-497_2C__109</t>
        </is>
      </c>
      <c r="C4373" t="n">
        <v>37.2714017634</v>
      </c>
      <c r="D4373" t="n">
        <v>-6.98391294032</v>
      </c>
      <c r="E4373" t="n">
        <v>5</v>
      </c>
      <c r="F4373" t="n">
        <v>4</v>
      </c>
      <c r="G4373" t="n">
        <v>5</v>
      </c>
      <c r="J4373" t="inlineStr">
        <is>
          <t>Moda</t>
        </is>
      </c>
      <c r="K4373" t="n">
        <v>5</v>
      </c>
      <c r="L4373" t="n">
        <v>4.885</v>
      </c>
      <c r="M4373" t="n">
        <v>0</v>
      </c>
      <c r="N4373" t="inlineStr">
        <is>
          <t>train</t>
        </is>
      </c>
      <c r="O4373">
        <f>HYPERLINK("5\1\marker_975_655526.png", "Ver Imagen")</f>
        <v/>
      </c>
      <c r="P4373">
        <f>HYPERLINK("SE\A-497_2C\A-497_2C__109.png", "Ver Imagen")</f>
        <v/>
      </c>
    </row>
    <row r="4374">
      <c r="A4374" t="n">
        <v>3979</v>
      </c>
      <c r="B4374" t="inlineStr">
        <is>
          <t>A-497__752</t>
        </is>
      </c>
      <c r="C4374" t="n">
        <v>37.186930418</v>
      </c>
      <c r="D4374" t="n">
        <v>-6.97936056147</v>
      </c>
      <c r="E4374" t="n">
        <v>5</v>
      </c>
      <c r="F4374" t="n">
        <v>4</v>
      </c>
      <c r="G4374" t="n">
        <v>5</v>
      </c>
      <c r="J4374" t="inlineStr">
        <is>
          <t>Moda</t>
        </is>
      </c>
      <c r="K4374" t="n">
        <v>5</v>
      </c>
      <c r="L4374" t="n">
        <v>5</v>
      </c>
      <c r="M4374" t="n">
        <v>0</v>
      </c>
      <c r="N4374" t="inlineStr">
        <is>
          <t>train</t>
        </is>
      </c>
      <c r="O4374">
        <f>HYPERLINK("5\1\marker_915_368662.png", "Ver Imagen")</f>
        <v/>
      </c>
      <c r="P4374">
        <f>HYPERLINK("SE\A-497\A-497__752.png", "Ver Imagen")</f>
        <v/>
      </c>
    </row>
    <row r="4375">
      <c r="A4375" t="n">
        <v>3980</v>
      </c>
      <c r="B4375" t="inlineStr">
        <is>
          <t>A-497__751</t>
        </is>
      </c>
      <c r="C4375" t="n">
        <v>37.1870717731</v>
      </c>
      <c r="D4375" t="n">
        <v>-6.97923386231</v>
      </c>
      <c r="E4375" t="n">
        <v>5</v>
      </c>
      <c r="F4375" t="n">
        <v>4</v>
      </c>
      <c r="G4375" t="n">
        <v>5</v>
      </c>
      <c r="J4375" t="inlineStr">
        <is>
          <t>Moda</t>
        </is>
      </c>
      <c r="K4375" t="n">
        <v>5</v>
      </c>
      <c r="L4375" t="n">
        <v>4.856</v>
      </c>
      <c r="M4375" t="n">
        <v>0</v>
      </c>
      <c r="N4375" t="inlineStr">
        <is>
          <t>train</t>
        </is>
      </c>
      <c r="O4375">
        <f>HYPERLINK("5\1\marker_142_368676.png", "Ver Imagen")</f>
        <v/>
      </c>
      <c r="P4375">
        <f>HYPERLINK("SE\A-497\A-497__751.png", "Ver Imagen")</f>
        <v/>
      </c>
    </row>
    <row r="4376">
      <c r="A4376" t="n">
        <v>3981</v>
      </c>
      <c r="B4376" t="inlineStr">
        <is>
          <t>A-497__638</t>
        </is>
      </c>
      <c r="C4376" t="n">
        <v>37.2015916894</v>
      </c>
      <c r="D4376" t="n">
        <v>-6.99320601267</v>
      </c>
      <c r="E4376" t="n">
        <v>5</v>
      </c>
      <c r="F4376" t="n">
        <v>4</v>
      </c>
      <c r="G4376" t="n">
        <v>5</v>
      </c>
      <c r="J4376" t="inlineStr">
        <is>
          <t>Moda</t>
        </is>
      </c>
      <c r="K4376" t="n">
        <v>5</v>
      </c>
      <c r="L4376" t="n">
        <v>5</v>
      </c>
      <c r="M4376" t="n">
        <v>0</v>
      </c>
      <c r="N4376" t="inlineStr">
        <is>
          <t>train</t>
        </is>
      </c>
      <c r="O4376">
        <f>HYPERLINK("5\1\marker_438_371349.png", "Ver Imagen")</f>
        <v/>
      </c>
      <c r="P4376">
        <f>HYPERLINK("SE\A-497\A-497__638.png", "Ver Imagen")</f>
        <v/>
      </c>
    </row>
    <row r="4377">
      <c r="A4377" t="n">
        <v>3982</v>
      </c>
      <c r="B4377" t="inlineStr">
        <is>
          <t>A-497__621</t>
        </is>
      </c>
      <c r="C4377" t="n">
        <v>37.2023002557</v>
      </c>
      <c r="D4377" t="n">
        <v>-6.99742741103</v>
      </c>
      <c r="E4377" t="n">
        <v>5</v>
      </c>
      <c r="F4377" t="n">
        <v>4</v>
      </c>
      <c r="G4377" t="n">
        <v>5</v>
      </c>
      <c r="J4377" t="inlineStr">
        <is>
          <t>Moda</t>
        </is>
      </c>
      <c r="K4377" t="n">
        <v>5</v>
      </c>
      <c r="L4377" t="n">
        <v>5</v>
      </c>
      <c r="M4377" t="n">
        <v>0</v>
      </c>
      <c r="N4377" t="inlineStr">
        <is>
          <t>train</t>
        </is>
      </c>
      <c r="O4377">
        <f>HYPERLINK("5\1\marker_338_371517.png", "Ver Imagen")</f>
        <v/>
      </c>
      <c r="P4377">
        <f>HYPERLINK("SE\A-497\A-497__621.png", "Ver Imagen")</f>
        <v/>
      </c>
    </row>
    <row r="4378">
      <c r="A4378" t="n">
        <v>3985</v>
      </c>
      <c r="B4378" t="inlineStr">
        <is>
          <t>A-497_2C__284</t>
        </is>
      </c>
      <c r="C4378" t="n">
        <v>37.2524841244</v>
      </c>
      <c r="D4378" t="n">
        <v>-7.01650618047</v>
      </c>
      <c r="E4378" t="n">
        <v>5</v>
      </c>
      <c r="F4378" t="n">
        <v>4</v>
      </c>
      <c r="G4378" t="n">
        <v>5</v>
      </c>
      <c r="J4378" t="inlineStr">
        <is>
          <t>Moda</t>
        </is>
      </c>
      <c r="K4378" t="n">
        <v>5</v>
      </c>
      <c r="L4378" t="n">
        <v>5</v>
      </c>
      <c r="M4378" t="n">
        <v>0</v>
      </c>
      <c r="N4378" t="inlineStr">
        <is>
          <t>train</t>
        </is>
      </c>
      <c r="O4378">
        <f>HYPERLINK("5\1\marker_763_319925.png", "Ver Imagen")</f>
        <v/>
      </c>
      <c r="P4378">
        <f>HYPERLINK("SE\A-497_2C\A-497_2C__284.png", "Ver Imagen")</f>
        <v/>
      </c>
    </row>
    <row r="4379">
      <c r="A4379" t="n">
        <v>3986</v>
      </c>
      <c r="B4379" t="inlineStr">
        <is>
          <t>A-497_2C__286</t>
        </is>
      </c>
      <c r="C4379" t="n">
        <v>37.2521142363</v>
      </c>
      <c r="D4379" t="n">
        <v>-7.01674220439</v>
      </c>
      <c r="E4379" t="n">
        <v>5</v>
      </c>
      <c r="F4379" t="n">
        <v>4</v>
      </c>
      <c r="G4379" t="n">
        <v>5</v>
      </c>
      <c r="J4379" t="inlineStr">
        <is>
          <t>Moda</t>
        </is>
      </c>
      <c r="K4379" t="n">
        <v>5</v>
      </c>
      <c r="L4379" t="n">
        <v>5</v>
      </c>
      <c r="M4379" t="n">
        <v>0</v>
      </c>
      <c r="N4379" t="inlineStr">
        <is>
          <t>train</t>
        </is>
      </c>
      <c r="O4379">
        <f>HYPERLINK("5\1\marker_423_320016.png", "Ver Imagen")</f>
        <v/>
      </c>
      <c r="P4379">
        <f>HYPERLINK("SE\A-497_2C\A-497_2C__286.png", "Ver Imagen")</f>
        <v/>
      </c>
    </row>
    <row r="4380">
      <c r="A4380" t="n">
        <v>3987</v>
      </c>
      <c r="B4380" t="inlineStr">
        <is>
          <t>A-497__562</t>
        </is>
      </c>
      <c r="C4380" t="n">
        <v>37.204318274</v>
      </c>
      <c r="D4380" t="n">
        <v>-7.01209915062</v>
      </c>
      <c r="E4380" t="n">
        <v>5</v>
      </c>
      <c r="F4380" t="n">
        <v>4</v>
      </c>
      <c r="G4380" t="n">
        <v>5</v>
      </c>
      <c r="J4380" t="inlineStr">
        <is>
          <t>Moda</t>
        </is>
      </c>
      <c r="K4380" t="n">
        <v>5</v>
      </c>
      <c r="L4380" t="n">
        <v>4.803</v>
      </c>
      <c r="M4380" t="n">
        <v>0</v>
      </c>
      <c r="N4380" t="inlineStr">
        <is>
          <t>train</t>
        </is>
      </c>
      <c r="O4380">
        <f>HYPERLINK("5\1\marker_704_372126.png", "Ver Imagen")</f>
        <v/>
      </c>
      <c r="P4380">
        <f>HYPERLINK("SE\A-497\A-497__562.png", "Ver Imagen")</f>
        <v/>
      </c>
    </row>
    <row r="4381">
      <c r="A4381" t="n">
        <v>3988</v>
      </c>
      <c r="B4381" t="inlineStr">
        <is>
          <t>A-497_2C__312</t>
        </is>
      </c>
      <c r="C4381" t="n">
        <v>37.2470794041</v>
      </c>
      <c r="D4381" t="n">
        <v>-7.01841326557</v>
      </c>
      <c r="E4381" t="n">
        <v>5</v>
      </c>
      <c r="F4381" t="n">
        <v>4</v>
      </c>
      <c r="G4381" t="n">
        <v>5</v>
      </c>
      <c r="J4381" t="inlineStr">
        <is>
          <t>Moda</t>
        </is>
      </c>
      <c r="K4381" t="n">
        <v>5</v>
      </c>
      <c r="L4381" t="n">
        <v>5</v>
      </c>
      <c r="M4381" t="n">
        <v>0</v>
      </c>
      <c r="N4381" t="inlineStr">
        <is>
          <t>train</t>
        </is>
      </c>
      <c r="O4381">
        <f>HYPERLINK("5\1\marker_962_361850.png", "Ver Imagen")</f>
        <v/>
      </c>
      <c r="P4381">
        <f>HYPERLINK("SE\A-497_2C\A-497_2C__312.png", "Ver Imagen")</f>
        <v/>
      </c>
    </row>
    <row r="4382">
      <c r="A4382" t="n">
        <v>3990</v>
      </c>
      <c r="B4382" t="inlineStr">
        <is>
          <t>A-497_2C__395</t>
        </is>
      </c>
      <c r="C4382" t="n">
        <v>37.2306998346</v>
      </c>
      <c r="D4382" t="n">
        <v>-7.01993366873</v>
      </c>
      <c r="E4382" t="n">
        <v>5</v>
      </c>
      <c r="F4382" t="n">
        <v>4</v>
      </c>
      <c r="G4382" t="n">
        <v>5</v>
      </c>
      <c r="J4382" t="inlineStr">
        <is>
          <t>Moda</t>
        </is>
      </c>
      <c r="K4382" t="n">
        <v>5</v>
      </c>
      <c r="L4382" t="n">
        <v>5</v>
      </c>
      <c r="M4382" t="n">
        <v>0</v>
      </c>
      <c r="N4382" t="inlineStr">
        <is>
          <t>train</t>
        </is>
      </c>
      <c r="O4382">
        <f>HYPERLINK("5\1\marker_378_362857.png", "Ver Imagen")</f>
        <v/>
      </c>
      <c r="P4382">
        <f>HYPERLINK("SE\A-497_2C\A-497_2C__395.png", "Ver Imagen")</f>
        <v/>
      </c>
    </row>
    <row r="4383">
      <c r="A4383" t="n">
        <v>3994</v>
      </c>
      <c r="B4383" t="inlineStr">
        <is>
          <t>A-497__769</t>
        </is>
      </c>
      <c r="C4383" t="n">
        <v>37.1873817395</v>
      </c>
      <c r="D4383" t="n">
        <v>-6.97920491697</v>
      </c>
      <c r="E4383" t="n">
        <v>4</v>
      </c>
      <c r="F4383" t="n">
        <v>5</v>
      </c>
      <c r="G4383" t="n">
        <v>5</v>
      </c>
      <c r="J4383" t="inlineStr">
        <is>
          <t>Moda</t>
        </is>
      </c>
      <c r="K4383" t="n">
        <v>5</v>
      </c>
      <c r="L4383" t="n">
        <v>4.935</v>
      </c>
      <c r="M4383" t="n">
        <v>0</v>
      </c>
      <c r="N4383" t="inlineStr">
        <is>
          <t>train</t>
        </is>
      </c>
      <c r="O4383">
        <f>HYPERLINK("5\1\marker_797_368320.png", "Ver Imagen")</f>
        <v/>
      </c>
      <c r="P4383">
        <f>HYPERLINK("SE\A-497\A-497__769.png", "Ver Imagen")</f>
        <v/>
      </c>
    </row>
    <row r="4384">
      <c r="A4384" t="n">
        <v>3996</v>
      </c>
      <c r="B4384" t="inlineStr">
        <is>
          <t>A-497_2C__394</t>
        </is>
      </c>
      <c r="C4384" t="n">
        <v>37.230860533</v>
      </c>
      <c r="D4384" t="n">
        <v>-7.01981149596</v>
      </c>
      <c r="E4384" t="n">
        <v>5</v>
      </c>
      <c r="F4384" t="n">
        <v>5</v>
      </c>
      <c r="G4384" t="n">
        <v>4</v>
      </c>
      <c r="J4384" t="inlineStr">
        <is>
          <t>Moda</t>
        </is>
      </c>
      <c r="K4384" t="n">
        <v>5</v>
      </c>
      <c r="L4384" t="n">
        <v>5</v>
      </c>
      <c r="M4384" t="n">
        <v>0</v>
      </c>
      <c r="N4384" t="inlineStr">
        <is>
          <t>train</t>
        </is>
      </c>
      <c r="O4384">
        <f>HYPERLINK("5\1\marker_416_362846.png", "Ver Imagen")</f>
        <v/>
      </c>
      <c r="P4384">
        <f>HYPERLINK("SE\A-497_2C\A-497_2C__394.png", "Ver Imagen")</f>
        <v/>
      </c>
    </row>
    <row r="4385">
      <c r="A4385" t="n">
        <v>3997</v>
      </c>
      <c r="B4385" t="inlineStr">
        <is>
          <t>A-490__423</t>
        </is>
      </c>
      <c r="C4385" t="n">
        <v>37.4829433326</v>
      </c>
      <c r="D4385" t="n">
        <v>-7.21989853498</v>
      </c>
      <c r="E4385" t="n">
        <v>1</v>
      </c>
      <c r="F4385" t="n">
        <v>3</v>
      </c>
      <c r="G4385" t="n">
        <v>1</v>
      </c>
      <c r="H4385" t="n">
        <v>2</v>
      </c>
      <c r="I4385" t="n">
        <v>2</v>
      </c>
      <c r="J4385" t="inlineStr">
        <is>
          <t>Mediana</t>
        </is>
      </c>
      <c r="K4385" t="n">
        <v>2</v>
      </c>
      <c r="L4385" t="n">
        <v>2.068</v>
      </c>
      <c r="M4385" t="n">
        <v>0</v>
      </c>
      <c r="N4385" t="inlineStr">
        <is>
          <t>train</t>
        </is>
      </c>
      <c r="O4385">
        <f>HYPERLINK("NoConsenso\marker_539_754345.png", "Ver Imagen")</f>
        <v/>
      </c>
      <c r="P4385">
        <f>HYPERLINK("NO\A-490\A-490__423.png", "Ver Imagen")</f>
        <v/>
      </c>
    </row>
    <row r="4386">
      <c r="A4386" t="n">
        <v>3998</v>
      </c>
      <c r="B4386" t="inlineStr">
        <is>
          <t>A-490__426</t>
        </is>
      </c>
      <c r="C4386" t="n">
        <v>37.4831108117</v>
      </c>
      <c r="D4386" t="n">
        <v>-7.22074436463</v>
      </c>
      <c r="E4386" t="n">
        <v>1</v>
      </c>
      <c r="F4386" t="n">
        <v>3</v>
      </c>
      <c r="G4386" t="n">
        <v>1</v>
      </c>
      <c r="H4386" t="n">
        <v>2</v>
      </c>
      <c r="I4386" t="n">
        <v>2</v>
      </c>
      <c r="J4386" t="inlineStr">
        <is>
          <t>Mediana</t>
        </is>
      </c>
      <c r="K4386" t="n">
        <v>2</v>
      </c>
      <c r="L4386" t="n">
        <v>2.245</v>
      </c>
      <c r="M4386" t="n">
        <v>0</v>
      </c>
      <c r="N4386" t="inlineStr">
        <is>
          <t>train</t>
        </is>
      </c>
      <c r="O4386">
        <f>HYPERLINK("NoConsenso\marker_436_754397.png", "Ver Imagen")</f>
        <v/>
      </c>
      <c r="P4386">
        <f>HYPERLINK("NO\A-490\A-490__426.png", "Ver Imagen")</f>
        <v/>
      </c>
    </row>
    <row r="4387">
      <c r="A4387" t="n">
        <v>3999</v>
      </c>
      <c r="B4387" t="inlineStr">
        <is>
          <t>A-490__435</t>
        </is>
      </c>
      <c r="C4387" t="n">
        <v>37.4835373335</v>
      </c>
      <c r="D4387" t="n">
        <v>-7.22290859607</v>
      </c>
      <c r="E4387" t="n">
        <v>1</v>
      </c>
      <c r="F4387" t="n">
        <v>3</v>
      </c>
      <c r="G4387" t="n">
        <v>1</v>
      </c>
      <c r="H4387" t="n">
        <v>1</v>
      </c>
      <c r="I4387" t="n">
        <v>2</v>
      </c>
      <c r="J4387" t="inlineStr">
        <is>
          <t>Mediana</t>
        </is>
      </c>
      <c r="K4387" t="n">
        <v>1</v>
      </c>
      <c r="L4387" t="n">
        <v>1.164</v>
      </c>
      <c r="M4387" t="n">
        <v>0</v>
      </c>
      <c r="N4387" t="inlineStr">
        <is>
          <t>train</t>
        </is>
      </c>
      <c r="O4387">
        <f>HYPERLINK("NoConsenso\marker_737_754574.png", "Ver Imagen")</f>
        <v/>
      </c>
      <c r="P4387">
        <f>HYPERLINK("NO\A-490\A-490__435.png", "Ver Imagen")</f>
        <v/>
      </c>
    </row>
    <row r="4388">
      <c r="A4388" t="n">
        <v>4000</v>
      </c>
      <c r="B4388" t="inlineStr">
        <is>
          <t>A-490__466</t>
        </is>
      </c>
      <c r="C4388" t="n">
        <v>37.4850222112</v>
      </c>
      <c r="D4388" t="n">
        <v>-7.23056489623</v>
      </c>
      <c r="E4388" t="n">
        <v>1</v>
      </c>
      <c r="F4388" t="n">
        <v>3</v>
      </c>
      <c r="G4388" t="n">
        <v>1</v>
      </c>
      <c r="H4388" t="n">
        <v>2</v>
      </c>
      <c r="I4388" t="n">
        <v>3</v>
      </c>
      <c r="J4388" t="inlineStr">
        <is>
          <t>Mediana</t>
        </is>
      </c>
      <c r="K4388" t="n">
        <v>2</v>
      </c>
      <c r="L4388" t="n">
        <v>1.904</v>
      </c>
      <c r="M4388" t="n">
        <v>0</v>
      </c>
      <c r="N4388" t="inlineStr">
        <is>
          <t>train</t>
        </is>
      </c>
      <c r="O4388">
        <f>HYPERLINK("NoConsenso\marker_781_755321.png", "Ver Imagen")</f>
        <v/>
      </c>
      <c r="P4388">
        <f>HYPERLINK("NO\A-490\A-490__466.png", "Ver Imagen")</f>
        <v/>
      </c>
    </row>
    <row r="4389">
      <c r="A4389" t="n">
        <v>4001</v>
      </c>
      <c r="B4389" t="inlineStr">
        <is>
          <t>A-490__479</t>
        </is>
      </c>
      <c r="C4389" t="n">
        <v>37.4856379921</v>
      </c>
      <c r="D4389" t="n">
        <v>-7.23379292194</v>
      </c>
      <c r="E4389" t="n">
        <v>1</v>
      </c>
      <c r="F4389" t="n">
        <v>3</v>
      </c>
      <c r="G4389" t="n">
        <v>1</v>
      </c>
      <c r="H4389" t="n">
        <v>2</v>
      </c>
      <c r="I4389" t="n">
        <v>2</v>
      </c>
      <c r="J4389" t="inlineStr">
        <is>
          <t>Mediana</t>
        </is>
      </c>
      <c r="K4389" t="n">
        <v>2</v>
      </c>
      <c r="L4389" t="n">
        <v>1.695</v>
      </c>
      <c r="M4389" t="n">
        <v>0</v>
      </c>
      <c r="N4389" t="inlineStr">
        <is>
          <t>test</t>
        </is>
      </c>
      <c r="O4389">
        <f>HYPERLINK("NoConsenso\marker_677_755566.png", "Ver Imagen")</f>
        <v/>
      </c>
      <c r="P4389">
        <f>HYPERLINK("NO\A-490\A-490__479.png", "Ver Imagen")</f>
        <v/>
      </c>
    </row>
    <row r="4390">
      <c r="A4390" t="n">
        <v>4002</v>
      </c>
      <c r="B4390" t="inlineStr">
        <is>
          <t>A-490__509</t>
        </is>
      </c>
      <c r="C4390" t="n">
        <v>37.4870108807</v>
      </c>
      <c r="D4390" t="n">
        <v>-7.24118307763</v>
      </c>
      <c r="E4390" t="n">
        <v>1</v>
      </c>
      <c r="F4390" t="n">
        <v>3</v>
      </c>
      <c r="G4390" t="n">
        <v>1</v>
      </c>
      <c r="H4390" t="n">
        <v>2</v>
      </c>
      <c r="I4390" t="n">
        <v>2</v>
      </c>
      <c r="J4390" t="inlineStr">
        <is>
          <t>Mediana</t>
        </is>
      </c>
      <c r="K4390" t="n">
        <v>2</v>
      </c>
      <c r="L4390" t="n">
        <v>2.019</v>
      </c>
      <c r="M4390" t="n">
        <v>0</v>
      </c>
      <c r="N4390" t="inlineStr">
        <is>
          <t>train</t>
        </is>
      </c>
      <c r="O4390">
        <f>HYPERLINK("NoConsenso\marker_233_817756.png", "Ver Imagen")</f>
        <v/>
      </c>
      <c r="P4390">
        <f>HYPERLINK("NO\A-490\A-490__509.png", "Ver Imagen")</f>
        <v/>
      </c>
    </row>
    <row r="4391">
      <c r="A4391" t="n">
        <v>4003</v>
      </c>
      <c r="B4391" t="inlineStr">
        <is>
          <t>A-490__516</t>
        </is>
      </c>
      <c r="C4391" t="n">
        <v>37.4871743328</v>
      </c>
      <c r="D4391" t="n">
        <v>-7.24296249462</v>
      </c>
      <c r="E4391" t="n">
        <v>1</v>
      </c>
      <c r="F4391" t="n">
        <v>3</v>
      </c>
      <c r="G4391" t="n">
        <v>1</v>
      </c>
      <c r="H4391" t="n">
        <v>2</v>
      </c>
      <c r="I4391" t="n">
        <v>2</v>
      </c>
      <c r="J4391" t="inlineStr">
        <is>
          <t>Mediana</t>
        </is>
      </c>
      <c r="K4391" t="n">
        <v>2</v>
      </c>
      <c r="L4391" t="n">
        <v>1.968</v>
      </c>
      <c r="M4391" t="n">
        <v>0</v>
      </c>
      <c r="N4391" t="inlineStr">
        <is>
          <t>train</t>
        </is>
      </c>
      <c r="O4391">
        <f>HYPERLINK("NoConsenso\marker_213_817917.png", "Ver Imagen")</f>
        <v/>
      </c>
      <c r="P4391">
        <f>HYPERLINK("NO\A-490\A-490__516.png", "Ver Imagen")</f>
        <v/>
      </c>
    </row>
    <row r="4392">
      <c r="A4392" t="n">
        <v>4004</v>
      </c>
      <c r="B4392" t="inlineStr">
        <is>
          <t>A-492__57</t>
        </is>
      </c>
      <c r="C4392" t="n">
        <v>37.2796695829</v>
      </c>
      <c r="D4392" t="n">
        <v>-6.9972994238</v>
      </c>
      <c r="E4392" t="n">
        <v>1</v>
      </c>
      <c r="F4392" t="n">
        <v>1</v>
      </c>
      <c r="G4392" t="n">
        <v>3</v>
      </c>
      <c r="H4392" t="n">
        <v>2</v>
      </c>
      <c r="I4392" t="n">
        <v>1</v>
      </c>
      <c r="J4392" t="inlineStr">
        <is>
          <t>Mediana</t>
        </is>
      </c>
      <c r="K4392" t="n">
        <v>1</v>
      </c>
      <c r="L4392" t="n">
        <v>1.297</v>
      </c>
      <c r="M4392" t="n">
        <v>0</v>
      </c>
      <c r="N4392" t="inlineStr">
        <is>
          <t>train</t>
        </is>
      </c>
      <c r="O4392">
        <f>HYPERLINK("NoConsenso\marker_906_823095.png", "Ver Imagen")</f>
        <v/>
      </c>
      <c r="P4392">
        <f>HYPERLINK("SE\A-492\A-492__57.png", "Ver Imagen")</f>
        <v/>
      </c>
    </row>
    <row r="4393">
      <c r="A4393" t="n">
        <v>4005</v>
      </c>
      <c r="B4393" t="inlineStr">
        <is>
          <t>A-497__19</t>
        </is>
      </c>
      <c r="C4393" t="n">
        <v>37.2673694265</v>
      </c>
      <c r="D4393" t="n">
        <v>-6.9604849482</v>
      </c>
      <c r="E4393" t="n">
        <v>1</v>
      </c>
      <c r="F4393" t="n">
        <v>3</v>
      </c>
      <c r="G4393" t="n">
        <v>1</v>
      </c>
      <c r="H4393" t="n">
        <v>2</v>
      </c>
      <c r="I4393" t="n">
        <v>2</v>
      </c>
      <c r="J4393" t="inlineStr">
        <is>
          <t>Mediana</t>
        </is>
      </c>
      <c r="K4393" t="n">
        <v>2</v>
      </c>
      <c r="L4393" t="n">
        <v>1.66</v>
      </c>
      <c r="M4393" t="n">
        <v>0</v>
      </c>
      <c r="N4393" t="inlineStr">
        <is>
          <t>train</t>
        </is>
      </c>
      <c r="O4393">
        <f>HYPERLINK("NoConsenso\marker_891_943786.png", "Ver Imagen")</f>
        <v/>
      </c>
      <c r="P4393">
        <f>HYPERLINK("SE\A-497\A-497__19.png", "Ver Imagen")</f>
        <v/>
      </c>
    </row>
    <row r="4394">
      <c r="A4394" t="n">
        <v>4006</v>
      </c>
      <c r="B4394" t="inlineStr">
        <is>
          <t>A-5050__184</t>
        </is>
      </c>
      <c r="C4394" t="n">
        <v>37.1896719951</v>
      </c>
      <c r="D4394" t="n">
        <v>-6.98808154766</v>
      </c>
      <c r="E4394" t="n">
        <v>1</v>
      </c>
      <c r="F4394" t="n">
        <v>3</v>
      </c>
      <c r="G4394" t="n">
        <v>3</v>
      </c>
      <c r="H4394" t="n">
        <v>2</v>
      </c>
      <c r="I4394" t="n">
        <v>1</v>
      </c>
      <c r="J4394" t="inlineStr">
        <is>
          <t>Mediana</t>
        </is>
      </c>
      <c r="K4394" t="n">
        <v>2</v>
      </c>
      <c r="L4394" t="n">
        <v>2.003</v>
      </c>
      <c r="M4394" t="n">
        <v>0</v>
      </c>
      <c r="N4394" t="inlineStr">
        <is>
          <t>train</t>
        </is>
      </c>
      <c r="O4394">
        <f>HYPERLINK("NoConsenso\marker_440_944116.png", "Ver Imagen")</f>
        <v/>
      </c>
      <c r="P4394">
        <f>HYPERLINK("SE\A-5050\A-5050__184.png", "Ver Imagen")</f>
        <v/>
      </c>
    </row>
    <row r="4395">
      <c r="A4395" t="n">
        <v>4007</v>
      </c>
      <c r="B4395" t="inlineStr">
        <is>
          <t>A-5050__168</t>
        </is>
      </c>
      <c r="C4395" t="n">
        <v>37.191302991</v>
      </c>
      <c r="D4395" t="n">
        <v>-6.991618101</v>
      </c>
      <c r="E4395" t="n">
        <v>1</v>
      </c>
      <c r="F4395" t="n">
        <v>2</v>
      </c>
      <c r="G4395" t="n">
        <v>3</v>
      </c>
      <c r="H4395" t="n">
        <v>1</v>
      </c>
      <c r="I4395" t="n">
        <v>2</v>
      </c>
      <c r="J4395" t="inlineStr">
        <is>
          <t>Mediana</t>
        </is>
      </c>
      <c r="K4395" t="n">
        <v>2</v>
      </c>
      <c r="L4395" t="n">
        <v>1.854</v>
      </c>
      <c r="M4395" t="n">
        <v>0</v>
      </c>
      <c r="N4395" t="inlineStr">
        <is>
          <t>train</t>
        </is>
      </c>
      <c r="O4395">
        <f>HYPERLINK("NoConsenso\marker_973_944309.png", "Ver Imagen")</f>
        <v/>
      </c>
      <c r="P4395">
        <f>HYPERLINK("SE\A-5050\A-5050__168.png", "Ver Imagen")</f>
        <v/>
      </c>
    </row>
    <row r="4396">
      <c r="A4396" t="n">
        <v>4009</v>
      </c>
      <c r="B4396" t="inlineStr">
        <is>
          <t>A-5052__12</t>
        </is>
      </c>
      <c r="C4396" t="n">
        <v>37.2182086114</v>
      </c>
      <c r="D4396" t="n">
        <v>-7.12298624689</v>
      </c>
      <c r="E4396" t="n">
        <v>1</v>
      </c>
      <c r="F4396" t="n">
        <v>2</v>
      </c>
      <c r="G4396" t="n">
        <v>3</v>
      </c>
      <c r="H4396" t="n">
        <v>1</v>
      </c>
      <c r="I4396" t="n">
        <v>1</v>
      </c>
      <c r="J4396" t="inlineStr">
        <is>
          <t>Mediana</t>
        </is>
      </c>
      <c r="K4396" t="n">
        <v>1</v>
      </c>
      <c r="L4396" t="n">
        <v>1.25</v>
      </c>
      <c r="M4396" t="n">
        <v>0</v>
      </c>
      <c r="N4396" t="inlineStr">
        <is>
          <t>train</t>
        </is>
      </c>
      <c r="O4396">
        <f>HYPERLINK("NoConsenso\marker_604_950124.png", "Ver Imagen")</f>
        <v/>
      </c>
      <c r="P4396">
        <f>HYPERLINK("SO\A-5052\A-5052__12.png", "Ver Imagen")</f>
        <v/>
      </c>
    </row>
    <row r="4397">
      <c r="A4397" t="n">
        <v>4010</v>
      </c>
      <c r="B4397" t="inlineStr">
        <is>
          <t>A-5052__29</t>
        </is>
      </c>
      <c r="C4397" t="n">
        <v>37.218126983</v>
      </c>
      <c r="D4397" t="n">
        <v>-7.11875052399</v>
      </c>
      <c r="E4397" t="n">
        <v>1</v>
      </c>
      <c r="F4397" t="n">
        <v>3</v>
      </c>
      <c r="G4397" t="n">
        <v>3</v>
      </c>
      <c r="H4397" t="n">
        <v>2</v>
      </c>
      <c r="I4397" t="n">
        <v>2</v>
      </c>
      <c r="J4397" t="inlineStr">
        <is>
          <t>Mediana</t>
        </is>
      </c>
      <c r="K4397" t="n">
        <v>2</v>
      </c>
      <c r="L4397" t="n">
        <v>2.408</v>
      </c>
      <c r="M4397" t="n">
        <v>0</v>
      </c>
      <c r="N4397" t="inlineStr">
        <is>
          <t>val</t>
        </is>
      </c>
      <c r="O4397">
        <f>HYPERLINK("NoConsenso\marker_656_951586.png", "Ver Imagen")</f>
        <v/>
      </c>
      <c r="P4397">
        <f>HYPERLINK("SO\A-5052\A-5052__29.png", "Ver Imagen")</f>
        <v/>
      </c>
    </row>
    <row r="4398">
      <c r="A4398" t="n">
        <v>4011</v>
      </c>
      <c r="B4398" t="inlineStr">
        <is>
          <t>A-5052__67</t>
        </is>
      </c>
      <c r="C4398" t="n">
        <v>37.2176260676</v>
      </c>
      <c r="D4398" t="n">
        <v>-7.1092040251</v>
      </c>
      <c r="E4398" t="n">
        <v>1</v>
      </c>
      <c r="F4398" t="n">
        <v>1</v>
      </c>
      <c r="G4398" t="n">
        <v>3</v>
      </c>
      <c r="H4398" t="n">
        <v>1</v>
      </c>
      <c r="I4398" t="n">
        <v>1</v>
      </c>
      <c r="J4398" t="inlineStr">
        <is>
          <t>Mediana</t>
        </is>
      </c>
      <c r="K4398" t="n">
        <v>1</v>
      </c>
      <c r="L4398" t="n">
        <v>1.033</v>
      </c>
      <c r="M4398" t="n">
        <v>0</v>
      </c>
      <c r="N4398" t="inlineStr">
        <is>
          <t>train</t>
        </is>
      </c>
      <c r="O4398">
        <f>HYPERLINK("NoConsenso\marker_838_957138.png", "Ver Imagen")</f>
        <v/>
      </c>
      <c r="P4398">
        <f>HYPERLINK("SO\A-5052\A-5052__67.png", "Ver Imagen")</f>
        <v/>
      </c>
    </row>
    <row r="4399">
      <c r="A4399" t="n">
        <v>4012</v>
      </c>
      <c r="B4399" t="inlineStr">
        <is>
          <t>A-5052__71</t>
        </is>
      </c>
      <c r="C4399" t="n">
        <v>37.2174913772</v>
      </c>
      <c r="D4399" t="n">
        <v>-7.10821089914</v>
      </c>
      <c r="E4399" t="n">
        <v>1</v>
      </c>
      <c r="F4399" t="n">
        <v>2</v>
      </c>
      <c r="G4399" t="n">
        <v>3</v>
      </c>
      <c r="H4399" t="n">
        <v>2</v>
      </c>
      <c r="I4399" t="n">
        <v>2</v>
      </c>
      <c r="J4399" t="inlineStr">
        <is>
          <t>Mediana</t>
        </is>
      </c>
      <c r="K4399" t="n">
        <v>2</v>
      </c>
      <c r="L4399" t="n">
        <v>1.934</v>
      </c>
      <c r="M4399" t="n">
        <v>0</v>
      </c>
      <c r="N4399" t="inlineStr">
        <is>
          <t>train</t>
        </is>
      </c>
      <c r="O4399">
        <f>HYPERLINK("NoConsenso\marker_901_957188.png", "Ver Imagen")</f>
        <v/>
      </c>
      <c r="P4399">
        <f>HYPERLINK("SO\A-5052\A-5052__71.png", "Ver Imagen")</f>
        <v/>
      </c>
    </row>
    <row r="4400">
      <c r="A4400" t="n">
        <v>4013</v>
      </c>
      <c r="B4400" t="inlineStr">
        <is>
          <t>A-5052__108</t>
        </is>
      </c>
      <c r="C4400" t="n">
        <v>37.216979223</v>
      </c>
      <c r="D4400" t="n">
        <v>-7.09889918638</v>
      </c>
      <c r="E4400" t="n">
        <v>1</v>
      </c>
      <c r="F4400" t="n">
        <v>1</v>
      </c>
      <c r="G4400" t="n">
        <v>3</v>
      </c>
      <c r="H4400" t="n">
        <v>1</v>
      </c>
      <c r="I4400" t="n">
        <v>1</v>
      </c>
      <c r="J4400" t="inlineStr">
        <is>
          <t>Mediana</t>
        </is>
      </c>
      <c r="K4400" t="n">
        <v>1</v>
      </c>
      <c r="L4400" t="n">
        <v>1</v>
      </c>
      <c r="M4400" t="n">
        <v>0</v>
      </c>
      <c r="N4400" t="inlineStr">
        <is>
          <t>train</t>
        </is>
      </c>
      <c r="O4400">
        <f>HYPERLINK("NoConsenso\marker_856_957765.png", "Ver Imagen")</f>
        <v/>
      </c>
      <c r="P4400">
        <f>HYPERLINK("SE\A-5052\A-5052__108.png", "Ver Imagen")</f>
        <v/>
      </c>
    </row>
    <row r="4401">
      <c r="A4401" t="n">
        <v>4013</v>
      </c>
      <c r="B4401" t="inlineStr">
        <is>
          <t>A-5052__108</t>
        </is>
      </c>
      <c r="C4401" t="n">
        <v>37.216979223</v>
      </c>
      <c r="D4401" t="n">
        <v>-7.09889918638</v>
      </c>
      <c r="E4401" t="n">
        <v>1</v>
      </c>
      <c r="F4401" t="n">
        <v>1</v>
      </c>
      <c r="G4401" t="n">
        <v>3</v>
      </c>
      <c r="H4401" t="n">
        <v>1</v>
      </c>
      <c r="I4401" t="n">
        <v>1</v>
      </c>
      <c r="J4401" t="inlineStr">
        <is>
          <t>Mediana</t>
        </is>
      </c>
      <c r="K4401" t="n">
        <v>1</v>
      </c>
      <c r="L4401" t="n">
        <v>1.025</v>
      </c>
      <c r="M4401" t="n">
        <v>0</v>
      </c>
      <c r="N4401" t="inlineStr">
        <is>
          <t>train</t>
        </is>
      </c>
      <c r="O4401">
        <f>HYPERLINK("NoConsenso\marker_856_957765.png", "Ver Imagen")</f>
        <v/>
      </c>
      <c r="P4401">
        <f>HYPERLINK("SO\A-5052\A-5052__108.png", "Ver Imagen")</f>
        <v/>
      </c>
    </row>
    <row r="4402">
      <c r="A4402" t="n">
        <v>4014</v>
      </c>
      <c r="B4402" t="inlineStr">
        <is>
          <t>A-5052__158</t>
        </is>
      </c>
      <c r="C4402" t="n">
        <v>37.2160334253</v>
      </c>
      <c r="D4402" t="n">
        <v>-7.08637142532</v>
      </c>
      <c r="E4402" t="n">
        <v>1</v>
      </c>
      <c r="F4402" t="n">
        <v>2</v>
      </c>
      <c r="G4402" t="n">
        <v>3</v>
      </c>
      <c r="H4402" t="n">
        <v>1</v>
      </c>
      <c r="I4402" t="n">
        <v>1</v>
      </c>
      <c r="J4402" t="inlineStr">
        <is>
          <t>Mediana</t>
        </is>
      </c>
      <c r="K4402" t="n">
        <v>1</v>
      </c>
      <c r="L4402" t="n">
        <v>1.437</v>
      </c>
      <c r="M4402" t="n">
        <v>0</v>
      </c>
      <c r="N4402" t="inlineStr">
        <is>
          <t>val</t>
        </is>
      </c>
      <c r="O4402">
        <f>HYPERLINK("NoConsenso\marker_226_958647.png", "Ver Imagen")</f>
        <v/>
      </c>
      <c r="P4402">
        <f>HYPERLINK("SE\A-5052\A-5052__158.png", "Ver Imagen")</f>
        <v/>
      </c>
    </row>
    <row r="4403">
      <c r="A4403" t="n">
        <v>4014</v>
      </c>
      <c r="B4403" t="inlineStr">
        <is>
          <t>A-5052__158</t>
        </is>
      </c>
      <c r="C4403" t="n">
        <v>37.2160334253</v>
      </c>
      <c r="D4403" t="n">
        <v>-7.08637142532</v>
      </c>
      <c r="E4403" t="n">
        <v>1</v>
      </c>
      <c r="F4403" t="n">
        <v>2</v>
      </c>
      <c r="G4403" t="n">
        <v>3</v>
      </c>
      <c r="H4403" t="n">
        <v>1</v>
      </c>
      <c r="I4403" t="n">
        <v>1</v>
      </c>
      <c r="J4403" t="inlineStr">
        <is>
          <t>Mediana</t>
        </is>
      </c>
      <c r="K4403" t="n">
        <v>1</v>
      </c>
      <c r="L4403" t="n">
        <v>1.253</v>
      </c>
      <c r="M4403" t="n">
        <v>0</v>
      </c>
      <c r="N4403" t="inlineStr">
        <is>
          <t>val</t>
        </is>
      </c>
      <c r="O4403">
        <f>HYPERLINK("NoConsenso\marker_226_958647.png", "Ver Imagen")</f>
        <v/>
      </c>
      <c r="P4403">
        <f>HYPERLINK("SO\A-5052\A-5052__158.png", "Ver Imagen")</f>
        <v/>
      </c>
    </row>
    <row r="4404">
      <c r="A4404" t="n">
        <v>4015</v>
      </c>
      <c r="B4404" t="inlineStr">
        <is>
          <t>A-5052__179</t>
        </is>
      </c>
      <c r="C4404" t="n">
        <v>37.2154544654</v>
      </c>
      <c r="D4404" t="n">
        <v>-7.08124272801</v>
      </c>
      <c r="E4404" t="n">
        <v>1</v>
      </c>
      <c r="F4404" t="n">
        <v>2</v>
      </c>
      <c r="G4404" t="n">
        <v>3</v>
      </c>
      <c r="H4404" t="n">
        <v>2</v>
      </c>
      <c r="I4404" t="n">
        <v>2</v>
      </c>
      <c r="J4404" t="inlineStr">
        <is>
          <t>Mediana</t>
        </is>
      </c>
      <c r="K4404" t="n">
        <v>2</v>
      </c>
      <c r="L4404" t="n">
        <v>1.822</v>
      </c>
      <c r="M4404" t="n">
        <v>0</v>
      </c>
      <c r="N4404" t="inlineStr">
        <is>
          <t>test</t>
        </is>
      </c>
      <c r="O4404">
        <f>HYPERLINK("NoConsenso\marker_597_959071.png", "Ver Imagen")</f>
        <v/>
      </c>
      <c r="P4404">
        <f>HYPERLINK("SE\A-5052\A-5052__179.png", "Ver Imagen")</f>
        <v/>
      </c>
    </row>
    <row r="4405">
      <c r="A4405" t="n">
        <v>4015</v>
      </c>
      <c r="B4405" t="inlineStr">
        <is>
          <t>A-5052__179</t>
        </is>
      </c>
      <c r="C4405" t="n">
        <v>37.2154544654</v>
      </c>
      <c r="D4405" t="n">
        <v>-7.08124272801</v>
      </c>
      <c r="E4405" t="n">
        <v>1</v>
      </c>
      <c r="F4405" t="n">
        <v>2</v>
      </c>
      <c r="G4405" t="n">
        <v>3</v>
      </c>
      <c r="H4405" t="n">
        <v>2</v>
      </c>
      <c r="I4405" t="n">
        <v>2</v>
      </c>
      <c r="J4405" t="inlineStr">
        <is>
          <t>Mediana</t>
        </is>
      </c>
      <c r="K4405" t="n">
        <v>2</v>
      </c>
      <c r="L4405" t="n">
        <v>2.247</v>
      </c>
      <c r="M4405" t="n">
        <v>0</v>
      </c>
      <c r="N4405" t="inlineStr">
        <is>
          <t>test</t>
        </is>
      </c>
      <c r="O4405">
        <f>HYPERLINK("NoConsenso\marker_597_959071.png", "Ver Imagen")</f>
        <v/>
      </c>
      <c r="P4405">
        <f>HYPERLINK("SO\A-5052\A-5052__179.png", "Ver Imagen")</f>
        <v/>
      </c>
    </row>
    <row r="4406">
      <c r="A4406" t="n">
        <v>4016</v>
      </c>
      <c r="B4406" t="inlineStr">
        <is>
          <t>A-5052__180</t>
        </is>
      </c>
      <c r="C4406" t="n">
        <v>37.2153834325</v>
      </c>
      <c r="D4406" t="n">
        <v>-7.08100035181</v>
      </c>
      <c r="E4406" t="n">
        <v>1</v>
      </c>
      <c r="F4406" t="n">
        <v>2</v>
      </c>
      <c r="G4406" t="n">
        <v>3</v>
      </c>
      <c r="H4406" t="n">
        <v>1</v>
      </c>
      <c r="I4406" t="n">
        <v>2</v>
      </c>
      <c r="J4406" t="inlineStr">
        <is>
          <t>Mediana</t>
        </is>
      </c>
      <c r="K4406" t="n">
        <v>2</v>
      </c>
      <c r="L4406" t="n">
        <v>2.008</v>
      </c>
      <c r="M4406" t="n">
        <v>0</v>
      </c>
      <c r="N4406" t="inlineStr">
        <is>
          <t>val</t>
        </is>
      </c>
      <c r="O4406">
        <f>HYPERLINK("NoConsenso\marker_821_959081.png", "Ver Imagen")</f>
        <v/>
      </c>
      <c r="P4406">
        <f>HYPERLINK("SE\A-5052\A-5052__180.png", "Ver Imagen")</f>
        <v/>
      </c>
    </row>
    <row r="4407">
      <c r="A4407" t="n">
        <v>4016</v>
      </c>
      <c r="B4407" t="inlineStr">
        <is>
          <t>A-5052__180</t>
        </is>
      </c>
      <c r="C4407" t="n">
        <v>37.2153834325</v>
      </c>
      <c r="D4407" t="n">
        <v>-7.08100035181</v>
      </c>
      <c r="E4407" t="n">
        <v>1</v>
      </c>
      <c r="F4407" t="n">
        <v>2</v>
      </c>
      <c r="G4407" t="n">
        <v>3</v>
      </c>
      <c r="H4407" t="n">
        <v>1</v>
      </c>
      <c r="I4407" t="n">
        <v>2</v>
      </c>
      <c r="J4407" t="inlineStr">
        <is>
          <t>Mediana</t>
        </is>
      </c>
      <c r="K4407" t="n">
        <v>2</v>
      </c>
      <c r="L4407" t="n">
        <v>2.278</v>
      </c>
      <c r="M4407" t="n">
        <v>0</v>
      </c>
      <c r="N4407" t="inlineStr">
        <is>
          <t>val</t>
        </is>
      </c>
      <c r="O4407">
        <f>HYPERLINK("NoConsenso\marker_821_959081.png", "Ver Imagen")</f>
        <v/>
      </c>
      <c r="P4407">
        <f>HYPERLINK("SO\A-5052\A-5052__180.png", "Ver Imagen")</f>
        <v/>
      </c>
    </row>
    <row r="4408">
      <c r="A4408" t="n">
        <v>4017</v>
      </c>
      <c r="B4408" t="inlineStr">
        <is>
          <t>A-5052__181</t>
        </is>
      </c>
      <c r="C4408" t="n">
        <v>37.2153049625</v>
      </c>
      <c r="D4408" t="n">
        <v>-7.08073415139</v>
      </c>
      <c r="E4408" t="n">
        <v>1</v>
      </c>
      <c r="F4408" t="n">
        <v>2</v>
      </c>
      <c r="G4408" t="n">
        <v>3</v>
      </c>
      <c r="H4408" t="n">
        <v>1</v>
      </c>
      <c r="I4408" t="n">
        <v>1</v>
      </c>
      <c r="J4408" t="inlineStr">
        <is>
          <t>Mediana</t>
        </is>
      </c>
      <c r="K4408" t="n">
        <v>1</v>
      </c>
      <c r="L4408" t="n">
        <v>1.266</v>
      </c>
      <c r="M4408" t="n">
        <v>0</v>
      </c>
      <c r="N4408" t="inlineStr">
        <is>
          <t>val</t>
        </is>
      </c>
      <c r="O4408">
        <f>HYPERLINK("NoConsenso\marker_905_959094.png", "Ver Imagen")</f>
        <v/>
      </c>
      <c r="P4408">
        <f>HYPERLINK("SO\A-5052\A-5052__181.png", "Ver Imagen")</f>
        <v/>
      </c>
    </row>
    <row r="4409">
      <c r="A4409" t="n">
        <v>4018</v>
      </c>
      <c r="B4409" t="inlineStr">
        <is>
          <t>A-5052__196</t>
        </is>
      </c>
      <c r="C4409" t="n">
        <v>37.2145141631</v>
      </c>
      <c r="D4409" t="n">
        <v>-7.07711094751</v>
      </c>
      <c r="E4409" t="n">
        <v>1</v>
      </c>
      <c r="F4409" t="n">
        <v>1</v>
      </c>
      <c r="G4409" t="n">
        <v>3</v>
      </c>
      <c r="H4409" t="n">
        <v>1</v>
      </c>
      <c r="I4409" t="n">
        <v>1</v>
      </c>
      <c r="J4409" t="inlineStr">
        <is>
          <t>Mediana</t>
        </is>
      </c>
      <c r="K4409" t="n">
        <v>1</v>
      </c>
      <c r="L4409" t="n">
        <v>1.049</v>
      </c>
      <c r="M4409" t="n">
        <v>0</v>
      </c>
      <c r="N4409" t="inlineStr">
        <is>
          <t>train</t>
        </is>
      </c>
      <c r="O4409">
        <f>HYPERLINK("NoConsenso\marker_681_959411.png", "Ver Imagen")</f>
        <v/>
      </c>
      <c r="P4409">
        <f>HYPERLINK("SE\A-5052\A-5052__196.png", "Ver Imagen")</f>
        <v/>
      </c>
    </row>
    <row r="4410">
      <c r="A4410" t="n">
        <v>4018</v>
      </c>
      <c r="B4410" t="inlineStr">
        <is>
          <t>A-5052__196</t>
        </is>
      </c>
      <c r="C4410" t="n">
        <v>37.2145141631</v>
      </c>
      <c r="D4410" t="n">
        <v>-7.07711094751</v>
      </c>
      <c r="E4410" t="n">
        <v>1</v>
      </c>
      <c r="F4410" t="n">
        <v>1</v>
      </c>
      <c r="G4410" t="n">
        <v>3</v>
      </c>
      <c r="H4410" t="n">
        <v>1</v>
      </c>
      <c r="I4410" t="n">
        <v>1</v>
      </c>
      <c r="J4410" t="inlineStr">
        <is>
          <t>Mediana</t>
        </is>
      </c>
      <c r="K4410" t="n">
        <v>1</v>
      </c>
      <c r="L4410" t="n">
        <v>1</v>
      </c>
      <c r="M4410" t="n">
        <v>0</v>
      </c>
      <c r="N4410" t="inlineStr">
        <is>
          <t>train</t>
        </is>
      </c>
      <c r="O4410">
        <f>HYPERLINK("NoConsenso\marker_681_959411.png", "Ver Imagen")</f>
        <v/>
      </c>
      <c r="P4410">
        <f>HYPERLINK("SO\A-5052\A-5052__196.png", "Ver Imagen")</f>
        <v/>
      </c>
    </row>
    <row r="4411">
      <c r="A4411" t="n">
        <v>4019</v>
      </c>
      <c r="B4411" t="inlineStr">
        <is>
          <t>A-5052__214</t>
        </is>
      </c>
      <c r="C4411" t="n">
        <v>37.213782198</v>
      </c>
      <c r="D4411" t="n">
        <v>-7.07266645893</v>
      </c>
      <c r="E4411" t="n">
        <v>1</v>
      </c>
      <c r="F4411" t="n">
        <v>2</v>
      </c>
      <c r="G4411" t="n">
        <v>3</v>
      </c>
      <c r="H4411" t="n">
        <v>2</v>
      </c>
      <c r="I4411" t="n">
        <v>2</v>
      </c>
      <c r="J4411" t="inlineStr">
        <is>
          <t>Mediana</t>
        </is>
      </c>
      <c r="K4411" t="n">
        <v>2</v>
      </c>
      <c r="L4411" t="n">
        <v>1.971</v>
      </c>
      <c r="M4411" t="n">
        <v>0</v>
      </c>
      <c r="N4411" t="inlineStr">
        <is>
          <t>train</t>
        </is>
      </c>
      <c r="O4411">
        <f>HYPERLINK("NoConsenso\marker_586_959632.png", "Ver Imagen")</f>
        <v/>
      </c>
      <c r="P4411">
        <f>HYPERLINK("SE\A-5052\A-5052__214.png", "Ver Imagen")</f>
        <v/>
      </c>
    </row>
    <row r="4412">
      <c r="A4412" t="n">
        <v>4020</v>
      </c>
      <c r="B4412" t="inlineStr">
        <is>
          <t>A-5052__257</t>
        </is>
      </c>
      <c r="C4412" t="n">
        <v>37.2130330677</v>
      </c>
      <c r="D4412" t="n">
        <v>-7.06193158915</v>
      </c>
      <c r="E4412" t="n">
        <v>1</v>
      </c>
      <c r="F4412" t="n">
        <v>2</v>
      </c>
      <c r="G4412" t="n">
        <v>3</v>
      </c>
      <c r="H4412" t="n">
        <v>2</v>
      </c>
      <c r="I4412" t="n">
        <v>3</v>
      </c>
      <c r="J4412" t="inlineStr">
        <is>
          <t>Modificada</t>
        </is>
      </c>
      <c r="K4412" t="n">
        <v>3</v>
      </c>
      <c r="L4412" t="n">
        <v>2.974</v>
      </c>
      <c r="M4412" t="n">
        <v>0</v>
      </c>
      <c r="N4412" t="inlineStr">
        <is>
          <t>train</t>
        </is>
      </c>
      <c r="O4412">
        <f>HYPERLINK("NoConsenso\marker_336_960166.png", "Ver Imagen")</f>
        <v/>
      </c>
      <c r="P4412">
        <f>HYPERLINK("SE\A-5052\A-5052__257.png", "Ver Imagen")</f>
        <v/>
      </c>
    </row>
    <row r="4413">
      <c r="A4413" t="n">
        <v>4021</v>
      </c>
      <c r="B4413" t="inlineStr">
        <is>
          <t>A-5052__438</t>
        </is>
      </c>
      <c r="C4413" t="n">
        <v>37.2015397707</v>
      </c>
      <c r="D4413" t="n">
        <v>-7.01970437567</v>
      </c>
      <c r="E4413" t="n">
        <v>1</v>
      </c>
      <c r="F4413" t="n">
        <v>2</v>
      </c>
      <c r="G4413" t="n">
        <v>3</v>
      </c>
      <c r="H4413" t="n">
        <v>2</v>
      </c>
      <c r="I4413" t="n">
        <v>2</v>
      </c>
      <c r="J4413" t="inlineStr">
        <is>
          <t>Mediana</t>
        </is>
      </c>
      <c r="K4413" t="n">
        <v>2</v>
      </c>
      <c r="L4413" t="n">
        <v>1.771</v>
      </c>
      <c r="M4413" t="n">
        <v>0</v>
      </c>
      <c r="N4413" t="inlineStr">
        <is>
          <t>train</t>
        </is>
      </c>
      <c r="O4413">
        <f>HYPERLINK("NoConsenso\marker_475_963057.png", "Ver Imagen")</f>
        <v/>
      </c>
      <c r="P4413">
        <f>HYPERLINK("SE\A-5052\A-5052__438.png", "Ver Imagen")</f>
        <v/>
      </c>
    </row>
    <row r="4414">
      <c r="A4414" t="n">
        <v>4022</v>
      </c>
      <c r="B4414" t="inlineStr">
        <is>
          <t>A-5053__376</t>
        </is>
      </c>
      <c r="C4414" t="n">
        <v>37.2876639037</v>
      </c>
      <c r="D4414" t="n">
        <v>-7.14124621731</v>
      </c>
      <c r="E4414" t="n">
        <v>1</v>
      </c>
      <c r="F4414" t="n">
        <v>2</v>
      </c>
      <c r="G4414" t="n">
        <v>3</v>
      </c>
      <c r="H4414" t="n">
        <v>2</v>
      </c>
      <c r="I4414" t="n">
        <v>2</v>
      </c>
      <c r="J4414" t="inlineStr">
        <is>
          <t>Mediana</t>
        </is>
      </c>
      <c r="K4414" t="n">
        <v>2</v>
      </c>
      <c r="L4414" t="n">
        <v>2.092</v>
      </c>
      <c r="M4414" t="n">
        <v>0</v>
      </c>
      <c r="N4414" t="inlineStr">
        <is>
          <t>train</t>
        </is>
      </c>
      <c r="O4414">
        <f>HYPERLINK("NoConsenso\marker_644_963898.png", "Ver Imagen")</f>
        <v/>
      </c>
      <c r="P4414">
        <f>HYPERLINK("SO\A-5053\A-5053__376.png", "Ver Imagen")</f>
        <v/>
      </c>
    </row>
    <row r="4415">
      <c r="A4415" t="n">
        <v>4023</v>
      </c>
      <c r="B4415" t="inlineStr">
        <is>
          <t>A-5053__364</t>
        </is>
      </c>
      <c r="C4415" t="n">
        <v>37.2854720663</v>
      </c>
      <c r="D4415" t="n">
        <v>-7.14233774282</v>
      </c>
      <c r="E4415" t="n">
        <v>1</v>
      </c>
      <c r="F4415" t="n">
        <v>2</v>
      </c>
      <c r="G4415" t="n">
        <v>3</v>
      </c>
      <c r="H4415" t="n">
        <v>2</v>
      </c>
      <c r="I4415" t="n">
        <v>2</v>
      </c>
      <c r="J4415" t="inlineStr">
        <is>
          <t>Mediana</t>
        </is>
      </c>
      <c r="K4415" t="n">
        <v>2</v>
      </c>
      <c r="L4415" t="n">
        <v>1.838</v>
      </c>
      <c r="M4415" t="n">
        <v>0</v>
      </c>
      <c r="N4415" t="inlineStr">
        <is>
          <t>train</t>
        </is>
      </c>
      <c r="O4415">
        <f>HYPERLINK("NoConsenso\marker_993_964018.png", "Ver Imagen")</f>
        <v/>
      </c>
      <c r="P4415">
        <f>HYPERLINK("SO\A-5053\A-5053__364.png", "Ver Imagen")</f>
        <v/>
      </c>
    </row>
    <row r="4416">
      <c r="A4416" t="n">
        <v>4024</v>
      </c>
      <c r="B4416" t="inlineStr">
        <is>
          <t>A-5053__332</t>
        </is>
      </c>
      <c r="C4416" t="n">
        <v>37.2799097948</v>
      </c>
      <c r="D4416" t="n">
        <v>-7.14584596925</v>
      </c>
      <c r="E4416" t="n">
        <v>1</v>
      </c>
      <c r="F4416" t="n">
        <v>3</v>
      </c>
      <c r="G4416" t="n">
        <v>3</v>
      </c>
      <c r="H4416" t="n">
        <v>2</v>
      </c>
      <c r="I4416" t="n">
        <v>2</v>
      </c>
      <c r="J4416" t="inlineStr">
        <is>
          <t>Mediana</t>
        </is>
      </c>
      <c r="K4416" t="n">
        <v>2</v>
      </c>
      <c r="L4416" t="n">
        <v>2.103</v>
      </c>
      <c r="M4416" t="n">
        <v>0</v>
      </c>
      <c r="N4416" t="inlineStr">
        <is>
          <t>train</t>
        </is>
      </c>
      <c r="O4416">
        <f>HYPERLINK("NoConsenso\marker_496_964437.png", "Ver Imagen")</f>
        <v/>
      </c>
      <c r="P4416">
        <f>HYPERLINK("SO\A-5053\A-5053__332.png", "Ver Imagen")</f>
        <v/>
      </c>
    </row>
    <row r="4417">
      <c r="A4417" t="n">
        <v>4025</v>
      </c>
      <c r="B4417" t="inlineStr">
        <is>
          <t>A-5053__65</t>
        </is>
      </c>
      <c r="C4417" t="n">
        <v>37.2316676353</v>
      </c>
      <c r="D4417" t="n">
        <v>-7.12711182125</v>
      </c>
      <c r="E4417" t="n">
        <v>1</v>
      </c>
      <c r="F4417" t="n">
        <v>2</v>
      </c>
      <c r="G4417" t="n">
        <v>3</v>
      </c>
      <c r="H4417" t="n">
        <v>1</v>
      </c>
      <c r="I4417" t="n">
        <v>2</v>
      </c>
      <c r="J4417" t="inlineStr">
        <is>
          <t>Mediana</t>
        </is>
      </c>
      <c r="K4417" t="n">
        <v>2</v>
      </c>
      <c r="L4417" t="n">
        <v>2.103</v>
      </c>
      <c r="M4417" t="n">
        <v>0</v>
      </c>
      <c r="N4417" t="inlineStr">
        <is>
          <t>train</t>
        </is>
      </c>
      <c r="O4417">
        <f>HYPERLINK("NoConsenso\marker_982_020755.png", "Ver Imagen")</f>
        <v/>
      </c>
      <c r="P4417">
        <f>HYPERLINK("SO\A-5053\A-5053__65.png", "Ver Imagen")</f>
        <v/>
      </c>
    </row>
    <row r="4418">
      <c r="A4418" t="n">
        <v>4027</v>
      </c>
      <c r="B4418" t="inlineStr">
        <is>
          <t>A-495__111</t>
        </is>
      </c>
      <c r="C4418" t="n">
        <v>37.4355430817</v>
      </c>
      <c r="D4418" t="n">
        <v>-7.07530421706</v>
      </c>
      <c r="E4418" t="n">
        <v>3</v>
      </c>
      <c r="F4418" t="n">
        <v>3</v>
      </c>
      <c r="G4418" t="n">
        <v>1</v>
      </c>
      <c r="H4418" t="n">
        <v>2</v>
      </c>
      <c r="I4418" t="n">
        <v>3</v>
      </c>
      <c r="J4418" t="inlineStr">
        <is>
          <t>Mediana</t>
        </is>
      </c>
      <c r="K4418" t="n">
        <v>3</v>
      </c>
      <c r="L4418" t="n">
        <v>2.96</v>
      </c>
      <c r="M4418" t="n">
        <v>0</v>
      </c>
      <c r="N4418" t="inlineStr">
        <is>
          <t>train</t>
        </is>
      </c>
      <c r="O4418">
        <f>HYPERLINK("NoConsenso\marker_336_382284.png", "Ver Imagen")</f>
        <v/>
      </c>
      <c r="P4418">
        <f>HYPERLINK("NE\A-495\A-495__111.png", "Ver Imagen")</f>
        <v/>
      </c>
    </row>
    <row r="4419">
      <c r="A4419" t="n">
        <v>4028</v>
      </c>
      <c r="B4419" t="inlineStr">
        <is>
          <t>A-5059__79</t>
        </is>
      </c>
      <c r="C4419" t="n">
        <v>37.2215401282</v>
      </c>
      <c r="D4419" t="n">
        <v>-7.05456802011</v>
      </c>
      <c r="E4419" t="n">
        <v>3</v>
      </c>
      <c r="F4419" t="n">
        <v>2</v>
      </c>
      <c r="G4419" t="n">
        <v>1</v>
      </c>
      <c r="H4419" t="n">
        <v>2</v>
      </c>
      <c r="I4419" t="n">
        <v>2</v>
      </c>
      <c r="J4419" t="inlineStr">
        <is>
          <t>Mediana</t>
        </is>
      </c>
      <c r="K4419" t="n">
        <v>2</v>
      </c>
      <c r="L4419" t="n">
        <v>1.987</v>
      </c>
      <c r="M4419" t="n">
        <v>0</v>
      </c>
      <c r="N4419" t="inlineStr">
        <is>
          <t>train</t>
        </is>
      </c>
      <c r="O4419">
        <f>HYPERLINK("NoConsenso\marker_995_378750.png", "Ver Imagen")</f>
        <v/>
      </c>
      <c r="P4419">
        <f>HYPERLINK("SE\A-5059\A-5059__79.png", "Ver Imagen")</f>
        <v/>
      </c>
    </row>
    <row r="4420">
      <c r="A4420" t="n">
        <v>4029</v>
      </c>
      <c r="B4420" t="inlineStr">
        <is>
          <t>A-495__128</t>
        </is>
      </c>
      <c r="C4420" t="n">
        <v>37.4352097004</v>
      </c>
      <c r="D4420" t="n">
        <v>-7.07098271716</v>
      </c>
      <c r="E4420" t="n">
        <v>3</v>
      </c>
      <c r="F4420" t="n">
        <v>2</v>
      </c>
      <c r="G4420" t="n">
        <v>1</v>
      </c>
      <c r="H4420" t="n">
        <v>2</v>
      </c>
      <c r="I4420" t="n">
        <v>1</v>
      </c>
      <c r="J4420" t="inlineStr">
        <is>
          <t>Mediana</t>
        </is>
      </c>
      <c r="K4420" t="n">
        <v>2</v>
      </c>
      <c r="L4420" t="n">
        <v>1.819</v>
      </c>
      <c r="M4420" t="n">
        <v>0</v>
      </c>
      <c r="N4420" t="inlineStr">
        <is>
          <t>train</t>
        </is>
      </c>
      <c r="O4420">
        <f>HYPERLINK("NoConsenso\marker_881_382454.png", "Ver Imagen")</f>
        <v/>
      </c>
      <c r="P4420">
        <f>HYPERLINK("NE\A-495\A-495__128.png", "Ver Imagen")</f>
        <v/>
      </c>
    </row>
    <row r="4421">
      <c r="A4421" t="n">
        <v>4030</v>
      </c>
      <c r="B4421" t="inlineStr">
        <is>
          <t>A-495__151</t>
        </is>
      </c>
      <c r="C4421" t="n">
        <v>37.4333164193</v>
      </c>
      <c r="D4421" t="n">
        <v>-7.06570817326</v>
      </c>
      <c r="E4421" t="n">
        <v>3</v>
      </c>
      <c r="F4421" t="n">
        <v>3</v>
      </c>
      <c r="G4421" t="n">
        <v>1</v>
      </c>
      <c r="H4421" t="n">
        <v>1</v>
      </c>
      <c r="I4421" t="n">
        <v>1</v>
      </c>
      <c r="J4421" t="inlineStr">
        <is>
          <t>Modificada</t>
        </is>
      </c>
      <c r="K4421" t="n">
        <v>2</v>
      </c>
      <c r="L4421" t="n">
        <v>2.181</v>
      </c>
      <c r="M4421" t="n">
        <v>0</v>
      </c>
      <c r="N4421" t="inlineStr">
        <is>
          <t>train</t>
        </is>
      </c>
      <c r="O4421">
        <f>HYPERLINK("NoConsenso\marker_579_382696.png", "Ver Imagen")</f>
        <v/>
      </c>
      <c r="P4421">
        <f>HYPERLINK("NE\A-495\A-495__151.png", "Ver Imagen")</f>
        <v/>
      </c>
    </row>
    <row r="4422">
      <c r="A4422" t="n">
        <v>4031</v>
      </c>
      <c r="B4422" t="inlineStr">
        <is>
          <t>A-495__153</t>
        </is>
      </c>
      <c r="C4422" t="n">
        <v>37.4331258747</v>
      </c>
      <c r="D4422" t="n">
        <v>-7.06529395992</v>
      </c>
      <c r="E4422" t="n">
        <v>2</v>
      </c>
      <c r="F4422" t="n">
        <v>3</v>
      </c>
      <c r="G4422" t="n">
        <v>1</v>
      </c>
      <c r="H4422" t="n">
        <v>3</v>
      </c>
      <c r="I4422" t="n">
        <v>2</v>
      </c>
      <c r="J4422" t="inlineStr">
        <is>
          <t>Mediana</t>
        </is>
      </c>
      <c r="K4422" t="n">
        <v>2</v>
      </c>
      <c r="L4422" t="n">
        <v>2.031</v>
      </c>
      <c r="M4422" t="n">
        <v>0</v>
      </c>
      <c r="N4422" t="inlineStr">
        <is>
          <t>train</t>
        </is>
      </c>
      <c r="O4422">
        <f>HYPERLINK("NoConsenso\marker_795_382714.png", "Ver Imagen")</f>
        <v/>
      </c>
      <c r="P4422">
        <f>HYPERLINK("NE\A-495\A-495__153.png", "Ver Imagen")</f>
        <v/>
      </c>
    </row>
    <row r="4423">
      <c r="A4423" t="n">
        <v>4032</v>
      </c>
      <c r="B4423" t="inlineStr">
        <is>
          <t>A-497_2C__135</t>
        </is>
      </c>
      <c r="C4423" t="n">
        <v>37.2701342705</v>
      </c>
      <c r="D4423" t="n">
        <v>-6.98955356037</v>
      </c>
      <c r="E4423" t="n">
        <v>1</v>
      </c>
      <c r="F4423" t="n">
        <v>2</v>
      </c>
      <c r="G4423" t="n">
        <v>3</v>
      </c>
      <c r="H4423" t="n">
        <v>2</v>
      </c>
      <c r="I4423" t="n">
        <v>1</v>
      </c>
      <c r="J4423" t="inlineStr">
        <is>
          <t>Mediana</t>
        </is>
      </c>
      <c r="K4423" t="n">
        <v>2</v>
      </c>
      <c r="L4423" t="n">
        <v>1.738</v>
      </c>
      <c r="M4423" t="n">
        <v>0</v>
      </c>
      <c r="N4423" t="inlineStr">
        <is>
          <t>train</t>
        </is>
      </c>
      <c r="O4423">
        <f>HYPERLINK("NoConsenso\marker_642_655817.png", "Ver Imagen")</f>
        <v/>
      </c>
      <c r="P4423">
        <f>HYPERLINK("SE\A-497_2C\A-497_2C__135.png", "Ver Imagen")</f>
        <v/>
      </c>
    </row>
    <row r="4424">
      <c r="A4424" t="n">
        <v>4033</v>
      </c>
      <c r="B4424" t="inlineStr">
        <is>
          <t>A-497_2C__219</t>
        </is>
      </c>
      <c r="C4424" t="n">
        <v>37.2633517626</v>
      </c>
      <c r="D4424" t="n">
        <v>-7.00784774486</v>
      </c>
      <c r="E4424" t="n">
        <v>1</v>
      </c>
      <c r="F4424" t="n">
        <v>2</v>
      </c>
      <c r="G4424" t="n">
        <v>3</v>
      </c>
      <c r="H4424" t="n">
        <v>1</v>
      </c>
      <c r="I4424" t="n">
        <v>3</v>
      </c>
      <c r="J4424" t="inlineStr">
        <is>
          <t>Modificada</t>
        </is>
      </c>
      <c r="K4424" t="n">
        <v>3</v>
      </c>
      <c r="L4424" t="n">
        <v>3.299</v>
      </c>
      <c r="M4424" t="n">
        <v>0</v>
      </c>
      <c r="N4424" t="inlineStr">
        <is>
          <t>train</t>
        </is>
      </c>
      <c r="O4424">
        <f>HYPERLINK("NoConsenso\marker_526_656757.png", "Ver Imagen")</f>
        <v/>
      </c>
      <c r="P4424">
        <f>HYPERLINK("SE\A-497_2C\A-497_2C__219.png", "Ver Imagen")</f>
        <v/>
      </c>
    </row>
    <row r="4425">
      <c r="A4425" t="n">
        <v>4034</v>
      </c>
      <c r="B4425" t="inlineStr">
        <is>
          <t>A-497_2C__220</t>
        </is>
      </c>
      <c r="C4425" t="n">
        <v>37.2632936953</v>
      </c>
      <c r="D4425" t="n">
        <v>-7.00803584559</v>
      </c>
      <c r="E4425" t="n">
        <v>1</v>
      </c>
      <c r="F4425" t="n">
        <v>2</v>
      </c>
      <c r="G4425" t="n">
        <v>3</v>
      </c>
      <c r="H4425" t="n">
        <v>2</v>
      </c>
      <c r="I4425" t="n">
        <v>1</v>
      </c>
      <c r="J4425" t="inlineStr">
        <is>
          <t>Mediana</t>
        </is>
      </c>
      <c r="K4425" t="n">
        <v>2</v>
      </c>
      <c r="L4425" t="n">
        <v>2.274</v>
      </c>
      <c r="M4425" t="n">
        <v>0</v>
      </c>
      <c r="N4425" t="inlineStr">
        <is>
          <t>train</t>
        </is>
      </c>
      <c r="O4425">
        <f>HYPERLINK("NoConsenso\marker_251_656766.png", "Ver Imagen")</f>
        <v/>
      </c>
      <c r="P4425">
        <f>HYPERLINK("SE\A-497_2C\A-497_2C__220.png", "Ver Imagen")</f>
        <v/>
      </c>
    </row>
    <row r="4426">
      <c r="A4426" t="n">
        <v>4035</v>
      </c>
      <c r="B4426" t="inlineStr">
        <is>
          <t>A-497_2C__221</t>
        </is>
      </c>
      <c r="C4426" t="n">
        <v>37.2632086226</v>
      </c>
      <c r="D4426" t="n">
        <v>-7.00828428954</v>
      </c>
      <c r="E4426" t="n">
        <v>1</v>
      </c>
      <c r="F4426" t="n">
        <v>2</v>
      </c>
      <c r="G4426" t="n">
        <v>3</v>
      </c>
      <c r="H4426" t="n">
        <v>2</v>
      </c>
      <c r="I4426" t="n">
        <v>2</v>
      </c>
      <c r="J4426" t="inlineStr">
        <is>
          <t>Mediana</t>
        </is>
      </c>
      <c r="K4426" t="n">
        <v>2</v>
      </c>
      <c r="L4426" t="n">
        <v>2.186</v>
      </c>
      <c r="M4426" t="n">
        <v>0</v>
      </c>
      <c r="N4426" t="inlineStr">
        <is>
          <t>train</t>
        </is>
      </c>
      <c r="O4426">
        <f>HYPERLINK("NoConsenso\marker_162_656775.png", "Ver Imagen")</f>
        <v/>
      </c>
      <c r="P4426">
        <f>HYPERLINK("SE\A-497_2C\A-497_2C__221.png", "Ver Imagen")</f>
        <v/>
      </c>
    </row>
    <row r="4427">
      <c r="A4427" t="n">
        <v>4036</v>
      </c>
      <c r="B4427" t="inlineStr">
        <is>
          <t>A-497_2C__223</t>
        </is>
      </c>
      <c r="C4427" t="n">
        <v>37.263022368</v>
      </c>
      <c r="D4427" t="n">
        <v>-7.0087419856</v>
      </c>
      <c r="E4427" t="n">
        <v>1</v>
      </c>
      <c r="F4427" t="n">
        <v>2</v>
      </c>
      <c r="G4427" t="n">
        <v>3</v>
      </c>
      <c r="H4427" t="n">
        <v>2</v>
      </c>
      <c r="I4427" t="n">
        <v>2</v>
      </c>
      <c r="J4427" t="inlineStr">
        <is>
          <t>Mediana</t>
        </is>
      </c>
      <c r="K4427" t="n">
        <v>2</v>
      </c>
      <c r="L4427" t="n">
        <v>2.366</v>
      </c>
      <c r="M4427" t="n">
        <v>0</v>
      </c>
      <c r="N4427" t="inlineStr">
        <is>
          <t>train</t>
        </is>
      </c>
      <c r="O4427">
        <f>HYPERLINK("NoConsenso\marker_989_656793.png", "Ver Imagen")</f>
        <v/>
      </c>
      <c r="P4427">
        <f>HYPERLINK("SE\A-497_2C\A-497_2C__223.png", "Ver Imagen")</f>
        <v/>
      </c>
    </row>
    <row r="4428">
      <c r="A4428" t="n">
        <v>4037</v>
      </c>
      <c r="B4428" t="inlineStr">
        <is>
          <t>A-497__628</t>
        </is>
      </c>
      <c r="C4428" t="n">
        <v>37.2020165346</v>
      </c>
      <c r="D4428" t="n">
        <v>-6.99559220415</v>
      </c>
      <c r="E4428" t="n">
        <v>1</v>
      </c>
      <c r="F4428" t="n">
        <v>2</v>
      </c>
      <c r="G4428" t="n">
        <v>3</v>
      </c>
      <c r="H4428" t="n">
        <v>2</v>
      </c>
      <c r="I4428" t="n">
        <v>2</v>
      </c>
      <c r="J4428" t="inlineStr">
        <is>
          <t>Mediana</t>
        </is>
      </c>
      <c r="K4428" t="n">
        <v>2</v>
      </c>
      <c r="L4428" t="n">
        <v>2.219</v>
      </c>
      <c r="M4428" t="n">
        <v>0</v>
      </c>
      <c r="N4428" t="inlineStr">
        <is>
          <t>train</t>
        </is>
      </c>
      <c r="O4428">
        <f>HYPERLINK("NoConsenso\marker_953_371449.png", "Ver Imagen")</f>
        <v/>
      </c>
      <c r="P4428">
        <f>HYPERLINK("SE\A-497\A-497__628.png", "Ver Imagen")</f>
        <v/>
      </c>
    </row>
    <row r="4429">
      <c r="A4429" t="n">
        <v>4038</v>
      </c>
      <c r="B4429" t="inlineStr">
        <is>
          <t>A-497__627</t>
        </is>
      </c>
      <c r="C4429" t="n">
        <v>37.2020703752</v>
      </c>
      <c r="D4429" t="n">
        <v>-6.99592415545</v>
      </c>
      <c r="E4429" t="n">
        <v>1</v>
      </c>
      <c r="F4429" t="n">
        <v>2</v>
      </c>
      <c r="G4429" t="n">
        <v>3</v>
      </c>
      <c r="H4429" t="n">
        <v>2</v>
      </c>
      <c r="I4429" t="n">
        <v>2</v>
      </c>
      <c r="J4429" t="inlineStr">
        <is>
          <t>Mediana</t>
        </is>
      </c>
      <c r="K4429" t="n">
        <v>2</v>
      </c>
      <c r="L4429" t="n">
        <v>2.267</v>
      </c>
      <c r="M4429" t="n">
        <v>0</v>
      </c>
      <c r="N4429" t="inlineStr">
        <is>
          <t>train</t>
        </is>
      </c>
      <c r="O4429">
        <f>HYPERLINK("NoConsenso\marker_268_371459.png", "Ver Imagen")</f>
        <v/>
      </c>
      <c r="P4429">
        <f>HYPERLINK("SE\A-497\A-497__627.png", "Ver Imagen")</f>
        <v/>
      </c>
    </row>
    <row r="4430">
      <c r="A4430" t="n">
        <v>4039</v>
      </c>
      <c r="B4430" t="inlineStr">
        <is>
          <t>A-497__552</t>
        </is>
      </c>
      <c r="C4430" t="n">
        <v>37.2047901697</v>
      </c>
      <c r="D4430" t="n">
        <v>-7.01456583926</v>
      </c>
      <c r="E4430" t="n">
        <v>1</v>
      </c>
      <c r="F4430" t="n">
        <v>2</v>
      </c>
      <c r="G4430" t="n">
        <v>3</v>
      </c>
      <c r="H4430" t="n">
        <v>2</v>
      </c>
      <c r="I4430" t="n">
        <v>1</v>
      </c>
      <c r="J4430" t="inlineStr">
        <is>
          <t>Mediana</t>
        </is>
      </c>
      <c r="K4430" t="n">
        <v>2</v>
      </c>
      <c r="L4430" t="n">
        <v>1.959</v>
      </c>
      <c r="M4430" t="n">
        <v>0</v>
      </c>
      <c r="N4430" t="inlineStr">
        <is>
          <t>train</t>
        </is>
      </c>
      <c r="O4430">
        <f>HYPERLINK("NoConsenso\marker_763_372242.png", "Ver Imagen")</f>
        <v/>
      </c>
      <c r="P4430">
        <f>HYPERLINK("SE\A-497\A-497__552.png", "Ver Imagen")</f>
        <v/>
      </c>
    </row>
    <row r="4431">
      <c r="A4431" t="n">
        <v>4040</v>
      </c>
      <c r="B4431" t="inlineStr">
        <is>
          <t>A-497__550</t>
        </is>
      </c>
      <c r="C4431" t="n">
        <v>37.2048840052</v>
      </c>
      <c r="D4431" t="n">
        <v>-7.01504154567</v>
      </c>
      <c r="E4431" t="n">
        <v>1</v>
      </c>
      <c r="F4431" t="n">
        <v>2</v>
      </c>
      <c r="G4431" t="n">
        <v>3</v>
      </c>
      <c r="H4431" t="n">
        <v>2</v>
      </c>
      <c r="I4431" t="n">
        <v>1</v>
      </c>
      <c r="J4431" t="inlineStr">
        <is>
          <t>Mediana</t>
        </is>
      </c>
      <c r="K4431" t="n">
        <v>2</v>
      </c>
      <c r="L4431" t="n">
        <v>2.153</v>
      </c>
      <c r="M4431" t="n">
        <v>0</v>
      </c>
      <c r="N4431" t="inlineStr">
        <is>
          <t>train</t>
        </is>
      </c>
      <c r="O4431">
        <f>HYPERLINK("NoConsenso\marker_415_372264.png", "Ver Imagen")</f>
        <v/>
      </c>
      <c r="P4431">
        <f>HYPERLINK("SE\A-497\A-497__550.png", "Ver Imagen")</f>
        <v/>
      </c>
    </row>
    <row r="4432">
      <c r="A4432" t="n">
        <v>4041</v>
      </c>
      <c r="B4432" t="inlineStr">
        <is>
          <t>A-497__547</t>
        </is>
      </c>
      <c r="C4432" t="n">
        <v>37.205027984</v>
      </c>
      <c r="D4432" t="n">
        <v>-7.01577203718</v>
      </c>
      <c r="E4432" t="n">
        <v>1</v>
      </c>
      <c r="F4432" t="n">
        <v>2</v>
      </c>
      <c r="G4432" t="n">
        <v>3</v>
      </c>
      <c r="H4432" t="n">
        <v>2</v>
      </c>
      <c r="I4432" t="n">
        <v>1</v>
      </c>
      <c r="J4432" t="inlineStr">
        <is>
          <t>Mediana</t>
        </is>
      </c>
      <c r="K4432" t="n">
        <v>2</v>
      </c>
      <c r="L4432" t="n">
        <v>2.12</v>
      </c>
      <c r="M4432" t="n">
        <v>0</v>
      </c>
      <c r="N4432" t="inlineStr">
        <is>
          <t>train</t>
        </is>
      </c>
      <c r="O4432">
        <f>HYPERLINK("NoConsenso\marker_994_372308.png", "Ver Imagen")</f>
        <v/>
      </c>
      <c r="P4432">
        <f>HYPERLINK("SE\A-497\A-497__547.png", "Ver Imagen")</f>
        <v/>
      </c>
    </row>
    <row r="4433">
      <c r="A4433" t="n">
        <v>4042</v>
      </c>
      <c r="B4433" t="inlineStr">
        <is>
          <t>A-497__539</t>
        </is>
      </c>
      <c r="C4433" t="n">
        <v>37.2054792709</v>
      </c>
      <c r="D4433" t="n">
        <v>-7.01769761582</v>
      </c>
      <c r="E4433" t="n">
        <v>1</v>
      </c>
      <c r="F4433" t="n">
        <v>2</v>
      </c>
      <c r="G4433" t="n">
        <v>3</v>
      </c>
      <c r="H4433" t="n">
        <v>2</v>
      </c>
      <c r="I4433" t="n">
        <v>2</v>
      </c>
      <c r="J4433" t="inlineStr">
        <is>
          <t>Mediana</t>
        </is>
      </c>
      <c r="K4433" t="n">
        <v>2</v>
      </c>
      <c r="L4433" t="n">
        <v>2.465</v>
      </c>
      <c r="M4433" t="n">
        <v>0</v>
      </c>
      <c r="N4433" t="inlineStr">
        <is>
          <t>test</t>
        </is>
      </c>
      <c r="O4433">
        <f>HYPERLINK("NoConsenso\marker_923_372386.png", "Ver Imagen")</f>
        <v/>
      </c>
      <c r="P4433">
        <f>HYPERLINK("SE\A-497\A-497__539.png", "Ver Imagen")</f>
        <v/>
      </c>
    </row>
    <row r="4434">
      <c r="A4434" t="n">
        <v>4043</v>
      </c>
      <c r="B4434" t="inlineStr">
        <is>
          <t>A-497_2C__405</t>
        </is>
      </c>
      <c r="C4434" t="n">
        <v>37.2289104846</v>
      </c>
      <c r="D4434" t="n">
        <v>-7.0212888107</v>
      </c>
      <c r="E4434" t="n">
        <v>3</v>
      </c>
      <c r="F4434" t="n">
        <v>2</v>
      </c>
      <c r="G4434" t="n">
        <v>1</v>
      </c>
      <c r="H4434" t="n">
        <v>1</v>
      </c>
      <c r="I4434" t="n">
        <v>2</v>
      </c>
      <c r="J4434" t="inlineStr">
        <is>
          <t>Mediana</t>
        </is>
      </c>
      <c r="K4434" t="n">
        <v>2</v>
      </c>
      <c r="L4434" t="n">
        <v>2.042</v>
      </c>
      <c r="M4434" t="n">
        <v>0</v>
      </c>
      <c r="N4434" t="inlineStr">
        <is>
          <t>train</t>
        </is>
      </c>
      <c r="O4434">
        <f>HYPERLINK("NoConsenso\marker_846_362961.png", "Ver Imagen")</f>
        <v/>
      </c>
      <c r="P4434">
        <f>HYPERLINK("SE\A-497_2C\A-497_2C__405.png", "Ver Imagen")</f>
        <v/>
      </c>
    </row>
    <row r="4435">
      <c r="A4435" t="n">
        <v>4044</v>
      </c>
      <c r="B4435" t="inlineStr">
        <is>
          <t>A-497_2C__406</t>
        </is>
      </c>
      <c r="C4435" t="n">
        <v>37.228779005</v>
      </c>
      <c r="D4435" t="n">
        <v>-7.02138790094</v>
      </c>
      <c r="E4435" t="n">
        <v>3</v>
      </c>
      <c r="F4435" t="n">
        <v>2</v>
      </c>
      <c r="G4435" t="n">
        <v>1</v>
      </c>
      <c r="H4435" t="n">
        <v>1</v>
      </c>
      <c r="I4435" t="n">
        <v>2</v>
      </c>
      <c r="J4435" t="inlineStr">
        <is>
          <t>Mediana</t>
        </is>
      </c>
      <c r="K4435" t="n">
        <v>2</v>
      </c>
      <c r="L4435" t="n">
        <v>2.327</v>
      </c>
      <c r="M4435" t="n">
        <v>0</v>
      </c>
      <c r="N4435" t="inlineStr">
        <is>
          <t>train</t>
        </is>
      </c>
      <c r="O4435">
        <f>HYPERLINK("NoConsenso\marker_636_362972.png", "Ver Imagen")</f>
        <v/>
      </c>
      <c r="P4435">
        <f>HYPERLINK("SE\A-497_2C\A-497_2C__406.png", "Ver Imagen")</f>
        <v/>
      </c>
    </row>
    <row r="4436">
      <c r="A4436" t="n">
        <v>4045</v>
      </c>
      <c r="B4436" t="inlineStr">
        <is>
          <t>A-497_2C__438</t>
        </is>
      </c>
      <c r="C4436" t="n">
        <v>37.2226698235</v>
      </c>
      <c r="D4436" t="n">
        <v>-7.02321636774</v>
      </c>
      <c r="E4436" t="n">
        <v>1</v>
      </c>
      <c r="F4436" t="n">
        <v>2</v>
      </c>
      <c r="G4436" t="n">
        <v>3</v>
      </c>
      <c r="H4436" t="n">
        <v>2</v>
      </c>
      <c r="I4436" t="n">
        <v>2</v>
      </c>
      <c r="J4436" t="inlineStr">
        <is>
          <t>Mediana</t>
        </is>
      </c>
      <c r="K4436" t="n">
        <v>2</v>
      </c>
      <c r="L4436" t="n">
        <v>1.819</v>
      </c>
      <c r="M4436" t="n">
        <v>0</v>
      </c>
      <c r="N4436" t="inlineStr">
        <is>
          <t>train</t>
        </is>
      </c>
      <c r="O4436">
        <f>HYPERLINK("NoConsenso\marker_649_363290.png", "Ver Imagen")</f>
        <v/>
      </c>
      <c r="P4436">
        <f>HYPERLINK("SE\A-497_2C\A-497_2C__438.png", "Ver Imagen")</f>
        <v/>
      </c>
    </row>
    <row r="4437">
      <c r="A4437" t="n">
        <v>4047</v>
      </c>
      <c r="B4437" t="inlineStr">
        <is>
          <t>A-497__451</t>
        </is>
      </c>
      <c r="C4437" t="n">
        <v>37.2209777846</v>
      </c>
      <c r="D4437" t="n">
        <v>-7.02286531123</v>
      </c>
      <c r="E4437" t="n">
        <v>1</v>
      </c>
      <c r="F4437" t="n">
        <v>2</v>
      </c>
      <c r="G4437" t="n">
        <v>3</v>
      </c>
      <c r="H4437" t="n">
        <v>2</v>
      </c>
      <c r="I4437" t="n">
        <v>1</v>
      </c>
      <c r="J4437" t="inlineStr">
        <is>
          <t>Mediana</t>
        </is>
      </c>
      <c r="K4437" t="n">
        <v>2</v>
      </c>
      <c r="L4437" t="n">
        <v>2.212</v>
      </c>
      <c r="M4437" t="n">
        <v>0</v>
      </c>
      <c r="N4437" t="inlineStr">
        <is>
          <t>train</t>
        </is>
      </c>
      <c r="O4437">
        <f>HYPERLINK("NoConsenso\marker_297_376675.png", "Ver Imagen")</f>
        <v/>
      </c>
      <c r="P4437">
        <f>HYPERLINK("SE\A-497\A-497__451.png", "Ver Imagen")</f>
        <v/>
      </c>
    </row>
    <row r="4438">
      <c r="A4438" t="n">
        <v>4048</v>
      </c>
      <c r="B4438" t="inlineStr">
        <is>
          <t>A-497__450</t>
        </is>
      </c>
      <c r="C4438" t="n">
        <v>37.2212129971</v>
      </c>
      <c r="D4438" t="n">
        <v>-7.02288804932</v>
      </c>
      <c r="E4438" t="n">
        <v>1</v>
      </c>
      <c r="F4438" t="n">
        <v>2</v>
      </c>
      <c r="G4438" t="n">
        <v>3</v>
      </c>
      <c r="H4438" t="n">
        <v>2</v>
      </c>
      <c r="I4438" t="n">
        <v>1</v>
      </c>
      <c r="J4438" t="inlineStr">
        <is>
          <t>Mediana</t>
        </is>
      </c>
      <c r="K4438" t="n">
        <v>2</v>
      </c>
      <c r="L4438" t="n">
        <v>1.88</v>
      </c>
      <c r="M4438" t="n">
        <v>0</v>
      </c>
      <c r="N4438" t="inlineStr">
        <is>
          <t>train</t>
        </is>
      </c>
      <c r="O4438">
        <f>HYPERLINK("NoConsenso\marker_848_376685.png", "Ver Imagen")</f>
        <v/>
      </c>
      <c r="P4438">
        <f>HYPERLINK("SE\A-497\A-497__450.png", "Ver Imagen")</f>
        <v/>
      </c>
    </row>
    <row r="4439">
      <c r="A4439" t="n">
        <v>4049</v>
      </c>
      <c r="B4439" t="inlineStr">
        <is>
          <t>A-490__28</t>
        </is>
      </c>
      <c r="C4439" t="n">
        <v>37.4464261925</v>
      </c>
      <c r="D4439" t="n">
        <v>-7.13323441585</v>
      </c>
      <c r="E4439" t="n">
        <v>1</v>
      </c>
      <c r="F4439" t="n">
        <v>3</v>
      </c>
      <c r="G4439" t="n">
        <v>2</v>
      </c>
      <c r="H4439" t="n">
        <v>3</v>
      </c>
      <c r="I4439" t="n">
        <v>2</v>
      </c>
      <c r="J4439" t="inlineStr">
        <is>
          <t>Modificada</t>
        </is>
      </c>
      <c r="K4439" t="n">
        <v>3</v>
      </c>
      <c r="L4439" t="n">
        <v>2.53</v>
      </c>
      <c r="M4439" t="n">
        <v>0</v>
      </c>
      <c r="N4439" t="inlineStr">
        <is>
          <t>train</t>
        </is>
      </c>
      <c r="O4439">
        <f>HYPERLINK("NoConsenso\marker_108_730881.png", "Ver Imagen")</f>
        <v/>
      </c>
      <c r="P4439">
        <f>HYPERLINK("NE\A-490\A-490__28.png", "Ver Imagen")</f>
        <v/>
      </c>
    </row>
    <row r="4440">
      <c r="A4440" t="n">
        <v>4050</v>
      </c>
      <c r="B4440" t="inlineStr">
        <is>
          <t>A-490__29</t>
        </is>
      </c>
      <c r="C4440" t="n">
        <v>37.4463886266</v>
      </c>
      <c r="D4440" t="n">
        <v>-7.13348442413</v>
      </c>
      <c r="E4440" t="n">
        <v>1</v>
      </c>
      <c r="F4440" t="n">
        <v>3</v>
      </c>
      <c r="G4440" t="n">
        <v>2</v>
      </c>
      <c r="H4440" t="n">
        <v>2</v>
      </c>
      <c r="I4440" t="n">
        <v>2</v>
      </c>
      <c r="J4440" t="inlineStr">
        <is>
          <t>Mediana</t>
        </is>
      </c>
      <c r="K4440" t="n">
        <v>2</v>
      </c>
      <c r="L4440" t="n">
        <v>2.208</v>
      </c>
      <c r="M4440" t="n">
        <v>0</v>
      </c>
      <c r="N4440" t="inlineStr">
        <is>
          <t>train</t>
        </is>
      </c>
      <c r="O4440">
        <f>HYPERLINK("NoConsenso\marker_681_730902.png", "Ver Imagen")</f>
        <v/>
      </c>
      <c r="P4440">
        <f>HYPERLINK("NE\A-490\A-490__29.png", "Ver Imagen")</f>
        <v/>
      </c>
    </row>
    <row r="4441">
      <c r="A4441" t="n">
        <v>4051</v>
      </c>
      <c r="B4441" t="inlineStr">
        <is>
          <t>A-490__89</t>
        </is>
      </c>
      <c r="C4441" t="n">
        <v>37.4487252724</v>
      </c>
      <c r="D4441" t="n">
        <v>-7.14798074678</v>
      </c>
      <c r="E4441" t="n">
        <v>1</v>
      </c>
      <c r="F4441" t="n">
        <v>3</v>
      </c>
      <c r="G4441" t="n">
        <v>2</v>
      </c>
      <c r="H4441" t="n">
        <v>2</v>
      </c>
      <c r="I4441" t="n">
        <v>2</v>
      </c>
      <c r="J4441" t="inlineStr">
        <is>
          <t>Mediana</t>
        </is>
      </c>
      <c r="K4441" t="n">
        <v>2</v>
      </c>
      <c r="L4441" t="n">
        <v>2.292</v>
      </c>
      <c r="M4441" t="n">
        <v>0</v>
      </c>
      <c r="N4441" t="inlineStr">
        <is>
          <t>train</t>
        </is>
      </c>
      <c r="O4441">
        <f>HYPERLINK("NoConsenso\marker_220_738952.png", "Ver Imagen")</f>
        <v/>
      </c>
      <c r="P4441">
        <f>HYPERLINK("NE\A-490\A-490__89.png", "Ver Imagen")</f>
        <v/>
      </c>
    </row>
    <row r="4442">
      <c r="A4442" t="n">
        <v>4052</v>
      </c>
      <c r="B4442" t="inlineStr">
        <is>
          <t>A-490__126</t>
        </is>
      </c>
      <c r="C4442" t="n">
        <v>37.4516119064</v>
      </c>
      <c r="D4442" t="n">
        <v>-7.15643701792</v>
      </c>
      <c r="E4442" t="n">
        <v>2</v>
      </c>
      <c r="F4442" t="n">
        <v>3</v>
      </c>
      <c r="G4442" t="n">
        <v>4</v>
      </c>
      <c r="H4442" t="n">
        <v>2</v>
      </c>
      <c r="I4442" t="n">
        <v>3</v>
      </c>
      <c r="J4442" t="inlineStr">
        <is>
          <t>Mediana</t>
        </is>
      </c>
      <c r="K4442" t="n">
        <v>3</v>
      </c>
      <c r="L4442" t="n">
        <v>2.673</v>
      </c>
      <c r="M4442" t="n">
        <v>0</v>
      </c>
      <c r="N4442" t="inlineStr">
        <is>
          <t>train</t>
        </is>
      </c>
      <c r="O4442">
        <f>HYPERLINK("NoConsenso\marker_791_740156.png", "Ver Imagen")</f>
        <v/>
      </c>
      <c r="P4442">
        <f>HYPERLINK("NE\A-490\A-490__126.png", "Ver Imagen")</f>
        <v/>
      </c>
    </row>
    <row r="4443">
      <c r="A4443" t="n">
        <v>4053</v>
      </c>
      <c r="B4443" t="inlineStr">
        <is>
          <t>A-490__264</t>
        </is>
      </c>
      <c r="C4443" t="n">
        <v>37.467422612</v>
      </c>
      <c r="D4443" t="n">
        <v>-7.1848963072</v>
      </c>
      <c r="E4443" t="n">
        <v>1</v>
      </c>
      <c r="F4443" t="n">
        <v>3</v>
      </c>
      <c r="G4443" t="n">
        <v>2</v>
      </c>
      <c r="H4443" t="n">
        <v>2</v>
      </c>
      <c r="I4443" t="n">
        <v>2</v>
      </c>
      <c r="J4443" t="inlineStr">
        <is>
          <t>Mediana</t>
        </is>
      </c>
      <c r="K4443" t="n">
        <v>2</v>
      </c>
      <c r="L4443" t="n">
        <v>2.075</v>
      </c>
      <c r="M4443" t="n">
        <v>0</v>
      </c>
      <c r="N4443" t="inlineStr">
        <is>
          <t>train</t>
        </is>
      </c>
      <c r="O4443">
        <f>HYPERLINK("NoConsenso\marker_103_749788.png", "Ver Imagen")</f>
        <v/>
      </c>
      <c r="P4443">
        <f>HYPERLINK("NE\A-490\A-490__264.png", "Ver Imagen")</f>
        <v/>
      </c>
    </row>
    <row r="4444">
      <c r="A4444" t="n">
        <v>4053</v>
      </c>
      <c r="B4444" t="inlineStr">
        <is>
          <t>A-490__264</t>
        </is>
      </c>
      <c r="C4444" t="n">
        <v>37.467422612</v>
      </c>
      <c r="D4444" t="n">
        <v>-7.1848963072</v>
      </c>
      <c r="E4444" t="n">
        <v>1</v>
      </c>
      <c r="F4444" t="n">
        <v>3</v>
      </c>
      <c r="G4444" t="n">
        <v>2</v>
      </c>
      <c r="H4444" t="n">
        <v>2</v>
      </c>
      <c r="I4444" t="n">
        <v>2</v>
      </c>
      <c r="J4444" t="inlineStr">
        <is>
          <t>Mediana</t>
        </is>
      </c>
      <c r="K4444" t="n">
        <v>2</v>
      </c>
      <c r="L4444" t="n">
        <v>1.891</v>
      </c>
      <c r="M4444" t="n">
        <v>0</v>
      </c>
      <c r="N4444" t="inlineStr">
        <is>
          <t>train</t>
        </is>
      </c>
      <c r="O4444">
        <f>HYPERLINK("NoConsenso\marker_103_749788.png", "Ver Imagen")</f>
        <v/>
      </c>
      <c r="P4444">
        <f>HYPERLINK("NO\A-490\A-490__264.png", "Ver Imagen")</f>
        <v/>
      </c>
    </row>
    <row r="4445">
      <c r="A4445" t="n">
        <v>4054</v>
      </c>
      <c r="B4445" t="inlineStr">
        <is>
          <t>A-490__452</t>
        </is>
      </c>
      <c r="C4445" t="n">
        <v>37.4843545798</v>
      </c>
      <c r="D4445" t="n">
        <v>-7.22714698348</v>
      </c>
      <c r="E4445" t="n">
        <v>2</v>
      </c>
      <c r="F4445" t="n">
        <v>1</v>
      </c>
      <c r="G4445" t="n">
        <v>3</v>
      </c>
      <c r="H4445" t="n">
        <v>1</v>
      </c>
      <c r="I4445" t="n">
        <v>1</v>
      </c>
      <c r="J4445" t="inlineStr">
        <is>
          <t>Mediana</t>
        </is>
      </c>
      <c r="K4445" t="n">
        <v>1</v>
      </c>
      <c r="L4445" t="n">
        <v>1</v>
      </c>
      <c r="M4445" t="n">
        <v>0</v>
      </c>
      <c r="N4445" t="inlineStr">
        <is>
          <t>train</t>
        </is>
      </c>
      <c r="O4445">
        <f>HYPERLINK("NoConsenso\marker_778_755082.png", "Ver Imagen")</f>
        <v/>
      </c>
      <c r="P4445">
        <f>HYPERLINK("NO\A-490\A-490__452.png", "Ver Imagen")</f>
        <v/>
      </c>
    </row>
    <row r="4446">
      <c r="A4446" t="n">
        <v>4055</v>
      </c>
      <c r="B4446" t="inlineStr">
        <is>
          <t>A-490__604</t>
        </is>
      </c>
      <c r="C4446" t="n">
        <v>37.4927025023</v>
      </c>
      <c r="D4446" t="n">
        <v>-7.26233834893</v>
      </c>
      <c r="E4446" t="n">
        <v>2</v>
      </c>
      <c r="F4446" t="n">
        <v>3</v>
      </c>
      <c r="G4446" t="n">
        <v>4</v>
      </c>
      <c r="H4446" t="n">
        <v>2</v>
      </c>
      <c r="I4446" t="n">
        <v>3</v>
      </c>
      <c r="J4446" t="inlineStr">
        <is>
          <t>Mediana</t>
        </is>
      </c>
      <c r="K4446" t="n">
        <v>3</v>
      </c>
      <c r="L4446" t="n">
        <v>2.583</v>
      </c>
      <c r="M4446" t="n">
        <v>0</v>
      </c>
      <c r="N4446" t="inlineStr">
        <is>
          <t>train</t>
        </is>
      </c>
      <c r="O4446">
        <f>HYPERLINK("NoConsenso\marker_564_820140.png", "Ver Imagen")</f>
        <v/>
      </c>
      <c r="P4446">
        <f>HYPERLINK("NO\A-490\A-490__604.png", "Ver Imagen")</f>
        <v/>
      </c>
    </row>
    <row r="4447">
      <c r="A4447" t="n">
        <v>4056</v>
      </c>
      <c r="B4447" t="inlineStr">
        <is>
          <t>A-490__623</t>
        </is>
      </c>
      <c r="C4447" t="n">
        <v>37.4946774872</v>
      </c>
      <c r="D4447" t="n">
        <v>-7.26644469675</v>
      </c>
      <c r="E4447" t="n">
        <v>2</v>
      </c>
      <c r="F4447" t="n">
        <v>4</v>
      </c>
      <c r="G4447" t="n">
        <v>3</v>
      </c>
      <c r="H4447" t="n">
        <v>3</v>
      </c>
      <c r="I4447" t="n">
        <v>2</v>
      </c>
      <c r="J4447" t="inlineStr">
        <is>
          <t>Mediana</t>
        </is>
      </c>
      <c r="K4447" t="n">
        <v>3</v>
      </c>
      <c r="L4447" t="n">
        <v>2.653</v>
      </c>
      <c r="M4447" t="n">
        <v>0</v>
      </c>
      <c r="N4447" t="inlineStr">
        <is>
          <t>test</t>
        </is>
      </c>
      <c r="O4447">
        <f>HYPERLINK("NoConsenso\marker_404_820343.png", "Ver Imagen")</f>
        <v/>
      </c>
      <c r="P4447">
        <f>HYPERLINK("NO\A-490\A-490__623.png", "Ver Imagen")</f>
        <v/>
      </c>
    </row>
    <row r="4448">
      <c r="A4448" t="n">
        <v>4057</v>
      </c>
      <c r="B4448" t="inlineStr">
        <is>
          <t>A-492__93</t>
        </is>
      </c>
      <c r="C4448" t="n">
        <v>37.2801264032</v>
      </c>
      <c r="D4448" t="n">
        <v>-7.0056825665</v>
      </c>
      <c r="E4448" t="n">
        <v>2</v>
      </c>
      <c r="F4448" t="n">
        <v>2</v>
      </c>
      <c r="G4448" t="n">
        <v>4</v>
      </c>
      <c r="H4448" t="n">
        <v>2</v>
      </c>
      <c r="I4448" t="n">
        <v>2</v>
      </c>
      <c r="J4448" t="inlineStr">
        <is>
          <t>Mediana</t>
        </is>
      </c>
      <c r="K4448" t="n">
        <v>2</v>
      </c>
      <c r="L4448" t="n">
        <v>1.916</v>
      </c>
      <c r="M4448" t="n">
        <v>0</v>
      </c>
      <c r="N4448" t="inlineStr">
        <is>
          <t>train</t>
        </is>
      </c>
      <c r="O4448">
        <f>HYPERLINK("NoConsenso\marker_986_823683.png", "Ver Imagen")</f>
        <v/>
      </c>
      <c r="P4448">
        <f>HYPERLINK("SE\A-492\A-492__93.png", "Ver Imagen")</f>
        <v/>
      </c>
    </row>
    <row r="4449">
      <c r="A4449" t="n">
        <v>4058</v>
      </c>
      <c r="B4449" t="inlineStr">
        <is>
          <t>A-492__111</t>
        </is>
      </c>
      <c r="C4449" t="n">
        <v>37.2785151109</v>
      </c>
      <c r="D4449" t="n">
        <v>-7.00973696459</v>
      </c>
      <c r="E4449" t="n">
        <v>2</v>
      </c>
      <c r="F4449" t="n">
        <v>3</v>
      </c>
      <c r="G4449" t="n">
        <v>4</v>
      </c>
      <c r="H4449" t="n">
        <v>3</v>
      </c>
      <c r="I4449" t="n">
        <v>3</v>
      </c>
      <c r="J4449" t="inlineStr">
        <is>
          <t>Mediana</t>
        </is>
      </c>
      <c r="K4449" t="n">
        <v>3</v>
      </c>
      <c r="L4449" t="n">
        <v>2.534</v>
      </c>
      <c r="M4449" t="n">
        <v>0</v>
      </c>
      <c r="N4449" t="inlineStr">
        <is>
          <t>train</t>
        </is>
      </c>
      <c r="O4449">
        <f>HYPERLINK("NoConsenso\marker_881_824300.png", "Ver Imagen")</f>
        <v/>
      </c>
      <c r="P4449">
        <f>HYPERLINK("SE\A-492\A-492__111.png", "Ver Imagen")</f>
        <v/>
      </c>
    </row>
    <row r="4450">
      <c r="A4450" t="n">
        <v>4059</v>
      </c>
      <c r="B4450" t="inlineStr">
        <is>
          <t>A-492__129</t>
        </is>
      </c>
      <c r="C4450" t="n">
        <v>37.2764863053</v>
      </c>
      <c r="D4450" t="n">
        <v>-7.01353299308</v>
      </c>
      <c r="E4450" t="n">
        <v>2</v>
      </c>
      <c r="F4450" t="n">
        <v>3</v>
      </c>
      <c r="G4450" t="n">
        <v>4</v>
      </c>
      <c r="H4450" t="n">
        <v>2</v>
      </c>
      <c r="I4450" t="n">
        <v>3</v>
      </c>
      <c r="J4450" t="inlineStr">
        <is>
          <t>Mediana</t>
        </is>
      </c>
      <c r="K4450" t="n">
        <v>3</v>
      </c>
      <c r="L4450" t="n">
        <v>2.862</v>
      </c>
      <c r="M4450" t="n">
        <v>0</v>
      </c>
      <c r="N4450" t="inlineStr">
        <is>
          <t>train</t>
        </is>
      </c>
      <c r="O4450">
        <f>HYPERLINK("NoConsenso\marker_830_824527.png", "Ver Imagen")</f>
        <v/>
      </c>
      <c r="P4450">
        <f>HYPERLINK("SE\A-492\A-492__129.png", "Ver Imagen")</f>
        <v/>
      </c>
    </row>
    <row r="4451">
      <c r="A4451" t="n">
        <v>4060</v>
      </c>
      <c r="B4451" t="inlineStr">
        <is>
          <t>A-492__130</t>
        </is>
      </c>
      <c r="C4451" t="n">
        <v>37.2763890826</v>
      </c>
      <c r="D4451" t="n">
        <v>-7.01373841655</v>
      </c>
      <c r="E4451" t="n">
        <v>2</v>
      </c>
      <c r="F4451" t="n">
        <v>3</v>
      </c>
      <c r="G4451" t="n">
        <v>4</v>
      </c>
      <c r="H4451" t="n">
        <v>2</v>
      </c>
      <c r="I4451" t="n">
        <v>3</v>
      </c>
      <c r="J4451" t="inlineStr">
        <is>
          <t>Mediana</t>
        </is>
      </c>
      <c r="K4451" t="n">
        <v>3</v>
      </c>
      <c r="L4451" t="n">
        <v>2.809</v>
      </c>
      <c r="M4451" t="n">
        <v>0</v>
      </c>
      <c r="N4451" t="inlineStr">
        <is>
          <t>val</t>
        </is>
      </c>
      <c r="O4451">
        <f>HYPERLINK("NoConsenso\marker_670_824542.png", "Ver Imagen")</f>
        <v/>
      </c>
      <c r="P4451">
        <f>HYPERLINK("SE\A-492\A-492__130.png", "Ver Imagen")</f>
        <v/>
      </c>
    </row>
    <row r="4452">
      <c r="A4452" t="n">
        <v>4061</v>
      </c>
      <c r="B4452" t="inlineStr">
        <is>
          <t>A-492__174</t>
        </is>
      </c>
      <c r="C4452" t="n">
        <v>37.2763663539</v>
      </c>
      <c r="D4452" t="n">
        <v>-7.02423720007</v>
      </c>
      <c r="E4452" t="n">
        <v>2</v>
      </c>
      <c r="F4452" t="n">
        <v>3</v>
      </c>
      <c r="G4452" t="n">
        <v>4</v>
      </c>
      <c r="H4452" t="n">
        <v>2</v>
      </c>
      <c r="I4452" t="n">
        <v>2</v>
      </c>
      <c r="J4452" t="inlineStr">
        <is>
          <t>Mediana</t>
        </is>
      </c>
      <c r="K4452" t="n">
        <v>2</v>
      </c>
      <c r="L4452" t="n">
        <v>2.106</v>
      </c>
      <c r="M4452" t="n">
        <v>0</v>
      </c>
      <c r="N4452" t="inlineStr">
        <is>
          <t>train</t>
        </is>
      </c>
      <c r="O4452">
        <f>HYPERLINK("NoConsenso\marker_335_831517.png", "Ver Imagen")</f>
        <v/>
      </c>
      <c r="P4452">
        <f>HYPERLINK("SE\A-492\A-492__174.png", "Ver Imagen")</f>
        <v/>
      </c>
    </row>
    <row r="4453">
      <c r="A4453" t="n">
        <v>4062</v>
      </c>
      <c r="B4453" t="inlineStr">
        <is>
          <t>A-492__180</t>
        </is>
      </c>
      <c r="C4453" t="n">
        <v>37.2765806325</v>
      </c>
      <c r="D4453" t="n">
        <v>-7.02572755135</v>
      </c>
      <c r="E4453" t="n">
        <v>2</v>
      </c>
      <c r="F4453" t="n">
        <v>3</v>
      </c>
      <c r="G4453" t="n">
        <v>4</v>
      </c>
      <c r="H4453" t="n">
        <v>2</v>
      </c>
      <c r="I4453" t="n">
        <v>2</v>
      </c>
      <c r="J4453" t="inlineStr">
        <is>
          <t>Mediana</t>
        </is>
      </c>
      <c r="K4453" t="n">
        <v>2</v>
      </c>
      <c r="L4453" t="n">
        <v>1.698</v>
      </c>
      <c r="M4453" t="n">
        <v>0</v>
      </c>
      <c r="N4453" t="inlineStr">
        <is>
          <t>val</t>
        </is>
      </c>
      <c r="O4453">
        <f>HYPERLINK("NoConsenso\marker_833_831609.png", "Ver Imagen")</f>
        <v/>
      </c>
      <c r="P4453">
        <f>HYPERLINK("SE\A-492\A-492__180.png", "Ver Imagen")</f>
        <v/>
      </c>
    </row>
    <row r="4454">
      <c r="A4454" t="n">
        <v>4063</v>
      </c>
      <c r="B4454" t="inlineStr">
        <is>
          <t>A-492__181</t>
        </is>
      </c>
      <c r="C4454" t="n">
        <v>37.2766133045</v>
      </c>
      <c r="D4454" t="n">
        <v>-7.02596818843</v>
      </c>
      <c r="E4454" t="n">
        <v>2</v>
      </c>
      <c r="F4454" t="n">
        <v>3</v>
      </c>
      <c r="G4454" t="n">
        <v>4</v>
      </c>
      <c r="H4454" t="n">
        <v>2</v>
      </c>
      <c r="I4454" t="n">
        <v>3</v>
      </c>
      <c r="J4454" t="inlineStr">
        <is>
          <t>Mediana</t>
        </is>
      </c>
      <c r="K4454" t="n">
        <v>3</v>
      </c>
      <c r="L4454" t="n">
        <v>2.818</v>
      </c>
      <c r="M4454" t="n">
        <v>0</v>
      </c>
      <c r="N4454" t="inlineStr">
        <is>
          <t>train</t>
        </is>
      </c>
      <c r="O4454">
        <f>HYPERLINK("NoConsenso\marker_745_831646.png", "Ver Imagen")</f>
        <v/>
      </c>
      <c r="P4454">
        <f>HYPERLINK("SE\A-492\A-492__181.png", "Ver Imagen")</f>
        <v/>
      </c>
    </row>
    <row r="4455">
      <c r="A4455" t="n">
        <v>4064</v>
      </c>
      <c r="B4455" t="inlineStr">
        <is>
          <t>A-492__255</t>
        </is>
      </c>
      <c r="C4455" t="n">
        <v>37.2849009613</v>
      </c>
      <c r="D4455" t="n">
        <v>-7.03995924857</v>
      </c>
      <c r="E4455" t="n">
        <v>2</v>
      </c>
      <c r="F4455" t="n">
        <v>3</v>
      </c>
      <c r="G4455" t="n">
        <v>4</v>
      </c>
      <c r="H4455" t="n">
        <v>3</v>
      </c>
      <c r="I4455" t="n">
        <v>3</v>
      </c>
      <c r="J4455" t="inlineStr">
        <is>
          <t>Mediana</t>
        </is>
      </c>
      <c r="K4455" t="n">
        <v>3</v>
      </c>
      <c r="L4455" t="n">
        <v>3.087</v>
      </c>
      <c r="M4455" t="n">
        <v>0</v>
      </c>
      <c r="N4455" t="inlineStr">
        <is>
          <t>train</t>
        </is>
      </c>
      <c r="O4455">
        <f>HYPERLINK("NoConsenso\marker_595_836174.png", "Ver Imagen")</f>
        <v/>
      </c>
      <c r="P4455">
        <f>HYPERLINK("SE\A-492\A-492__255.png", "Ver Imagen")</f>
        <v/>
      </c>
    </row>
    <row r="4456">
      <c r="A4456" t="n">
        <v>4065</v>
      </c>
      <c r="B4456" t="inlineStr">
        <is>
          <t>A-492__266</t>
        </is>
      </c>
      <c r="C4456" t="n">
        <v>37.2865331859</v>
      </c>
      <c r="D4456" t="n">
        <v>-7.04173890691</v>
      </c>
      <c r="E4456" t="n">
        <v>2</v>
      </c>
      <c r="F4456" t="n">
        <v>2</v>
      </c>
      <c r="G4456" t="n">
        <v>4</v>
      </c>
      <c r="H4456" t="n">
        <v>2</v>
      </c>
      <c r="I4456" t="n">
        <v>2</v>
      </c>
      <c r="J4456" t="inlineStr">
        <is>
          <t>Mediana</t>
        </is>
      </c>
      <c r="K4456" t="n">
        <v>2</v>
      </c>
      <c r="L4456" t="n">
        <v>2.26</v>
      </c>
      <c r="M4456" t="n">
        <v>0</v>
      </c>
      <c r="N4456" t="inlineStr">
        <is>
          <t>train</t>
        </is>
      </c>
      <c r="O4456">
        <f>HYPERLINK("NoConsenso\marker_236_836701.png", "Ver Imagen")</f>
        <v/>
      </c>
      <c r="P4456">
        <f>HYPERLINK("SE\A-492\A-492__266.png", "Ver Imagen")</f>
        <v/>
      </c>
    </row>
    <row r="4457">
      <c r="A4457" t="n">
        <v>4066</v>
      </c>
      <c r="B4457" t="inlineStr">
        <is>
          <t>A-492__267</t>
        </is>
      </c>
      <c r="C4457" t="n">
        <v>37.2867157616</v>
      </c>
      <c r="D4457" t="n">
        <v>-7.04183019499</v>
      </c>
      <c r="E4457" t="n">
        <v>2</v>
      </c>
      <c r="F4457" t="n">
        <v>2</v>
      </c>
      <c r="G4457" t="n">
        <v>4</v>
      </c>
      <c r="H4457" t="n">
        <v>2</v>
      </c>
      <c r="I4457" t="n">
        <v>1</v>
      </c>
      <c r="J4457" t="inlineStr">
        <is>
          <t>Mediana</t>
        </is>
      </c>
      <c r="K4457" t="n">
        <v>2</v>
      </c>
      <c r="L4457" t="n">
        <v>2.144</v>
      </c>
      <c r="M4457" t="n">
        <v>0</v>
      </c>
      <c r="N4457" t="inlineStr">
        <is>
          <t>train</t>
        </is>
      </c>
      <c r="O4457">
        <f>HYPERLINK("NoConsenso\marker_889_836713.png", "Ver Imagen")</f>
        <v/>
      </c>
      <c r="P4457">
        <f>HYPERLINK("SE\A-492\A-492__267.png", "Ver Imagen")</f>
        <v/>
      </c>
    </row>
    <row r="4458">
      <c r="A4458" t="n">
        <v>4067</v>
      </c>
      <c r="B4458" t="inlineStr">
        <is>
          <t>A-492__282</t>
        </is>
      </c>
      <c r="C4458" t="n">
        <v>37.2892512427</v>
      </c>
      <c r="D4458" t="n">
        <v>-7.043839949</v>
      </c>
      <c r="E4458" t="n">
        <v>2</v>
      </c>
      <c r="F4458" t="n">
        <v>1</v>
      </c>
      <c r="G4458" t="n">
        <v>3</v>
      </c>
      <c r="H4458" t="n">
        <v>2</v>
      </c>
      <c r="I4458" t="n">
        <v>1</v>
      </c>
      <c r="J4458" t="inlineStr">
        <is>
          <t>Mediana</t>
        </is>
      </c>
      <c r="K4458" t="n">
        <v>2</v>
      </c>
      <c r="L4458" t="n">
        <v>1.875</v>
      </c>
      <c r="M4458" t="n">
        <v>0</v>
      </c>
      <c r="N4458" t="inlineStr">
        <is>
          <t>train</t>
        </is>
      </c>
      <c r="O4458">
        <f>HYPERLINK("NoConsenso\marker_453_837329.png", "Ver Imagen")</f>
        <v/>
      </c>
      <c r="P4458">
        <f>HYPERLINK("SE\A-492\A-492__282.png", "Ver Imagen")</f>
        <v/>
      </c>
    </row>
    <row r="4459">
      <c r="A4459" t="n">
        <v>4068</v>
      </c>
      <c r="B4459" t="inlineStr">
        <is>
          <t>A-492__289</t>
        </is>
      </c>
      <c r="C4459" t="n">
        <v>37.2902597344</v>
      </c>
      <c r="D4459" t="n">
        <v>-7.04505791363</v>
      </c>
      <c r="E4459" t="n">
        <v>2</v>
      </c>
      <c r="F4459" t="n">
        <v>2</v>
      </c>
      <c r="G4459" t="n">
        <v>4</v>
      </c>
      <c r="H4459" t="n">
        <v>2</v>
      </c>
      <c r="I4459" t="n">
        <v>2</v>
      </c>
      <c r="J4459" t="inlineStr">
        <is>
          <t>Mediana</t>
        </is>
      </c>
      <c r="K4459" t="n">
        <v>2</v>
      </c>
      <c r="L4459" t="n">
        <v>2.264</v>
      </c>
      <c r="M4459" t="n">
        <v>0</v>
      </c>
      <c r="N4459" t="inlineStr">
        <is>
          <t>train</t>
        </is>
      </c>
      <c r="O4459">
        <f>HYPERLINK("NoConsenso\marker_423_837407.png", "Ver Imagen")</f>
        <v/>
      </c>
      <c r="P4459">
        <f>HYPERLINK("SE\A-492\A-492__289.png", "Ver Imagen")</f>
        <v/>
      </c>
    </row>
    <row r="4460">
      <c r="A4460" t="n">
        <v>4069</v>
      </c>
      <c r="B4460" t="inlineStr">
        <is>
          <t>A-492__329</t>
        </is>
      </c>
      <c r="C4460" t="n">
        <v>37.29666637</v>
      </c>
      <c r="D4460" t="n">
        <v>-7.05063933633</v>
      </c>
      <c r="E4460" t="n">
        <v>2</v>
      </c>
      <c r="F4460" t="n">
        <v>2</v>
      </c>
      <c r="G4460" t="n">
        <v>4</v>
      </c>
      <c r="H4460" t="n">
        <v>2</v>
      </c>
      <c r="I4460" t="n">
        <v>1</v>
      </c>
      <c r="J4460" t="inlineStr">
        <is>
          <t>Mediana</t>
        </is>
      </c>
      <c r="K4460" t="n">
        <v>2</v>
      </c>
      <c r="L4460" t="n">
        <v>2.083</v>
      </c>
      <c r="M4460" t="n">
        <v>0</v>
      </c>
      <c r="N4460" t="inlineStr">
        <is>
          <t>train</t>
        </is>
      </c>
      <c r="O4460">
        <f>HYPERLINK("NoConsenso\marker_659_838068.png", "Ver Imagen")</f>
        <v/>
      </c>
      <c r="P4460">
        <f>HYPERLINK("SE\A-492\A-492__329.png", "Ver Imagen")</f>
        <v/>
      </c>
    </row>
    <row r="4461">
      <c r="A4461" t="n">
        <v>4072</v>
      </c>
      <c r="B4461" t="inlineStr">
        <is>
          <t>A-492__369</t>
        </is>
      </c>
      <c r="C4461" t="n">
        <v>37.302661056</v>
      </c>
      <c r="D4461" t="n">
        <v>-7.05658149962</v>
      </c>
      <c r="E4461" t="n">
        <v>2</v>
      </c>
      <c r="F4461" t="n">
        <v>1</v>
      </c>
      <c r="G4461" t="n">
        <v>3</v>
      </c>
      <c r="H4461" t="n">
        <v>1</v>
      </c>
      <c r="I4461" t="n">
        <v>1</v>
      </c>
      <c r="J4461" t="inlineStr">
        <is>
          <t>Mediana</t>
        </is>
      </c>
      <c r="K4461" t="n">
        <v>1</v>
      </c>
      <c r="L4461" t="n">
        <v>1</v>
      </c>
      <c r="M4461" t="n">
        <v>0</v>
      </c>
      <c r="N4461" t="inlineStr">
        <is>
          <t>train</t>
        </is>
      </c>
      <c r="O4461">
        <f>HYPERLINK("NoConsenso\marker_555_838745.png", "Ver Imagen")</f>
        <v/>
      </c>
      <c r="P4461">
        <f>HYPERLINK("SE\A-492\A-492__369.png", "Ver Imagen")</f>
        <v/>
      </c>
    </row>
    <row r="4462">
      <c r="A4462" t="n">
        <v>4073</v>
      </c>
      <c r="B4462" t="inlineStr">
        <is>
          <t>A-492__383</t>
        </is>
      </c>
      <c r="C4462" t="n">
        <v>37.3055094975</v>
      </c>
      <c r="D4462" t="n">
        <v>-7.05673476698</v>
      </c>
      <c r="E4462" t="n">
        <v>1</v>
      </c>
      <c r="F4462" t="n">
        <v>3</v>
      </c>
      <c r="G4462" t="n">
        <v>2</v>
      </c>
      <c r="H4462" t="n">
        <v>2</v>
      </c>
      <c r="I4462" t="n">
        <v>2</v>
      </c>
      <c r="J4462" t="inlineStr">
        <is>
          <t>Mediana</t>
        </is>
      </c>
      <c r="K4462" t="n">
        <v>2</v>
      </c>
      <c r="L4462" t="n">
        <v>1.774</v>
      </c>
      <c r="M4462" t="n">
        <v>0</v>
      </c>
      <c r="N4462" t="inlineStr">
        <is>
          <t>train</t>
        </is>
      </c>
      <c r="O4462">
        <f>HYPERLINK("NoConsenso\marker_338_838924.png", "Ver Imagen")</f>
        <v/>
      </c>
      <c r="P4462">
        <f>HYPERLINK("SE\A-492\A-492__383.png", "Ver Imagen")</f>
        <v/>
      </c>
    </row>
    <row r="4463">
      <c r="A4463" t="n">
        <v>4074</v>
      </c>
      <c r="B4463" t="inlineStr">
        <is>
          <t>A-492__384</t>
        </is>
      </c>
      <c r="C4463" t="n">
        <v>37.3057140185</v>
      </c>
      <c r="D4463" t="n">
        <v>-7.0567393988</v>
      </c>
      <c r="E4463" t="n">
        <v>2</v>
      </c>
      <c r="F4463" t="n">
        <v>3</v>
      </c>
      <c r="G4463" t="n">
        <v>4</v>
      </c>
      <c r="H4463" t="n">
        <v>2</v>
      </c>
      <c r="I4463" t="n">
        <v>2</v>
      </c>
      <c r="J4463" t="inlineStr">
        <is>
          <t>Mediana</t>
        </is>
      </c>
      <c r="K4463" t="n">
        <v>2</v>
      </c>
      <c r="L4463" t="n">
        <v>1.921</v>
      </c>
      <c r="M4463" t="n">
        <v>0</v>
      </c>
      <c r="N4463" t="inlineStr">
        <is>
          <t>train</t>
        </is>
      </c>
      <c r="O4463">
        <f>HYPERLINK("NoConsenso\marker_614_838957.png", "Ver Imagen")</f>
        <v/>
      </c>
      <c r="P4463">
        <f>HYPERLINK("SE\A-492\A-492__384.png", "Ver Imagen")</f>
        <v/>
      </c>
    </row>
    <row r="4464">
      <c r="A4464" t="n">
        <v>4075</v>
      </c>
      <c r="B4464" t="inlineStr">
        <is>
          <t>A-492__385</t>
        </is>
      </c>
      <c r="C4464" t="n">
        <v>37.3058822464</v>
      </c>
      <c r="D4464" t="n">
        <v>-7.05674754605</v>
      </c>
      <c r="E4464" t="n">
        <v>2</v>
      </c>
      <c r="F4464" t="n">
        <v>3</v>
      </c>
      <c r="G4464" t="n">
        <v>4</v>
      </c>
      <c r="H4464" t="n">
        <v>2</v>
      </c>
      <c r="I4464" t="n">
        <v>2</v>
      </c>
      <c r="J4464" t="inlineStr">
        <is>
          <t>Mediana</t>
        </is>
      </c>
      <c r="K4464" t="n">
        <v>2</v>
      </c>
      <c r="L4464" t="n">
        <v>2.127</v>
      </c>
      <c r="M4464" t="n">
        <v>0</v>
      </c>
      <c r="N4464" t="inlineStr">
        <is>
          <t>train</t>
        </is>
      </c>
      <c r="O4464">
        <f>HYPERLINK("NoConsenso\marker_907_838972.png", "Ver Imagen")</f>
        <v/>
      </c>
      <c r="P4464">
        <f>HYPERLINK("SE\A-492\A-492__385.png", "Ver Imagen")</f>
        <v/>
      </c>
    </row>
    <row r="4465">
      <c r="A4465" t="n">
        <v>4076</v>
      </c>
      <c r="B4465" t="inlineStr">
        <is>
          <t>A-492__386</t>
        </is>
      </c>
      <c r="C4465" t="n">
        <v>37.3061011825</v>
      </c>
      <c r="D4465" t="n">
        <v>-7.05676557353</v>
      </c>
      <c r="E4465" t="n">
        <v>2</v>
      </c>
      <c r="F4465" t="n">
        <v>2</v>
      </c>
      <c r="G4465" t="n">
        <v>4</v>
      </c>
      <c r="H4465" t="n">
        <v>2</v>
      </c>
      <c r="I4465" t="n">
        <v>1</v>
      </c>
      <c r="J4465" t="inlineStr">
        <is>
          <t>Mediana</t>
        </is>
      </c>
      <c r="K4465" t="n">
        <v>2</v>
      </c>
      <c r="L4465" t="n">
        <v>2.116</v>
      </c>
      <c r="M4465" t="n">
        <v>0</v>
      </c>
      <c r="N4465" t="inlineStr">
        <is>
          <t>train</t>
        </is>
      </c>
      <c r="O4465">
        <f>HYPERLINK("NoConsenso\marker_578_838981.png", "Ver Imagen")</f>
        <v/>
      </c>
      <c r="P4465">
        <f>HYPERLINK("SE\A-492\A-492__386.png", "Ver Imagen")</f>
        <v/>
      </c>
    </row>
    <row r="4466">
      <c r="A4466" t="n">
        <v>4077</v>
      </c>
      <c r="B4466" t="inlineStr">
        <is>
          <t>A-492__391</t>
        </is>
      </c>
      <c r="C4466" t="n">
        <v>37.307119094</v>
      </c>
      <c r="D4466" t="n">
        <v>-7.05689542312</v>
      </c>
      <c r="E4466" t="n">
        <v>2</v>
      </c>
      <c r="F4466" t="n">
        <v>2</v>
      </c>
      <c r="G4466" t="n">
        <v>4</v>
      </c>
      <c r="H4466" t="n">
        <v>2</v>
      </c>
      <c r="I4466" t="n">
        <v>2</v>
      </c>
      <c r="J4466" t="inlineStr">
        <is>
          <t>Mediana</t>
        </is>
      </c>
      <c r="K4466" t="n">
        <v>2</v>
      </c>
      <c r="L4466" t="n">
        <v>1.914</v>
      </c>
      <c r="M4466" t="n">
        <v>0</v>
      </c>
      <c r="N4466" t="inlineStr">
        <is>
          <t>train</t>
        </is>
      </c>
      <c r="O4466">
        <f>HYPERLINK("NoConsenso\marker_636_839039.png", "Ver Imagen")</f>
        <v/>
      </c>
      <c r="P4466">
        <f>HYPERLINK("SE\A-492\A-492__391.png", "Ver Imagen")</f>
        <v/>
      </c>
    </row>
    <row r="4467">
      <c r="A4467" t="n">
        <v>4078</v>
      </c>
      <c r="B4467" t="inlineStr">
        <is>
          <t>A-492__396</t>
        </is>
      </c>
      <c r="C4467" t="n">
        <v>37.3081086613</v>
      </c>
      <c r="D4467" t="n">
        <v>-7.05712328967</v>
      </c>
      <c r="E4467" t="n">
        <v>2</v>
      </c>
      <c r="F4467" t="n">
        <v>2</v>
      </c>
      <c r="G4467" t="n">
        <v>4</v>
      </c>
      <c r="H4467" t="n">
        <v>1</v>
      </c>
      <c r="I4467" t="n">
        <v>1</v>
      </c>
      <c r="J4467" t="inlineStr">
        <is>
          <t>Modificada</t>
        </is>
      </c>
      <c r="K4467" t="n">
        <v>1</v>
      </c>
      <c r="L4467" t="n">
        <v>1.284</v>
      </c>
      <c r="M4467" t="n">
        <v>0</v>
      </c>
      <c r="N4467" t="inlineStr">
        <is>
          <t>train</t>
        </is>
      </c>
      <c r="O4467">
        <f>HYPERLINK("NoConsenso\marker_947_839103.png", "Ver Imagen")</f>
        <v/>
      </c>
      <c r="P4467">
        <f>HYPERLINK("SE\A-492\A-492__396.png", "Ver Imagen")</f>
        <v/>
      </c>
    </row>
    <row r="4468">
      <c r="A4468" t="n">
        <v>4079</v>
      </c>
      <c r="B4468" t="inlineStr">
        <is>
          <t>A-492__397</t>
        </is>
      </c>
      <c r="C4468" t="n">
        <v>37.3082986492</v>
      </c>
      <c r="D4468" t="n">
        <v>-7.05719071372</v>
      </c>
      <c r="E4468" t="n">
        <v>2</v>
      </c>
      <c r="F4468" t="n">
        <v>3</v>
      </c>
      <c r="G4468" t="n">
        <v>4</v>
      </c>
      <c r="H4468" t="n">
        <v>2</v>
      </c>
      <c r="I4468" t="n">
        <v>2</v>
      </c>
      <c r="J4468" t="inlineStr">
        <is>
          <t>Mediana</t>
        </is>
      </c>
      <c r="K4468" t="n">
        <v>2</v>
      </c>
      <c r="L4468" t="n">
        <v>1.839</v>
      </c>
      <c r="M4468" t="n">
        <v>0</v>
      </c>
      <c r="N4468" t="inlineStr">
        <is>
          <t>train</t>
        </is>
      </c>
      <c r="O4468">
        <f>HYPERLINK("NoConsenso\marker_366_839114.png", "Ver Imagen")</f>
        <v/>
      </c>
      <c r="P4468">
        <f>HYPERLINK("SE\A-492\A-492__397.png", "Ver Imagen")</f>
        <v/>
      </c>
    </row>
    <row r="4469">
      <c r="A4469" t="n">
        <v>4080</v>
      </c>
      <c r="B4469" t="inlineStr">
        <is>
          <t>A-492__406</t>
        </is>
      </c>
      <c r="C4469" t="n">
        <v>37.3099271448</v>
      </c>
      <c r="D4469" t="n">
        <v>-7.05817638463</v>
      </c>
      <c r="E4469" t="n">
        <v>3</v>
      </c>
      <c r="F4469" t="n">
        <v>1</v>
      </c>
      <c r="G4469" t="n">
        <v>2</v>
      </c>
      <c r="H4469" t="n">
        <v>1</v>
      </c>
      <c r="I4469" t="n">
        <v>1</v>
      </c>
      <c r="J4469" t="inlineStr">
        <is>
          <t>Mediana</t>
        </is>
      </c>
      <c r="K4469" t="n">
        <v>1</v>
      </c>
      <c r="L4469" t="n">
        <v>1.222</v>
      </c>
      <c r="M4469" t="n">
        <v>0</v>
      </c>
      <c r="N4469" t="inlineStr">
        <is>
          <t>train</t>
        </is>
      </c>
      <c r="O4469">
        <f>HYPERLINK("NoConsenso\marker_844_839248.png", "Ver Imagen")</f>
        <v/>
      </c>
      <c r="P4469">
        <f>HYPERLINK("SE\A-492\A-492__406.png", "Ver Imagen")</f>
        <v/>
      </c>
    </row>
    <row r="4470">
      <c r="A4470" t="n">
        <v>4082</v>
      </c>
      <c r="B4470" t="inlineStr">
        <is>
          <t>A-492__452</t>
        </is>
      </c>
      <c r="C4470" t="n">
        <v>37.3154744926</v>
      </c>
      <c r="D4470" t="n">
        <v>-7.06726114723</v>
      </c>
      <c r="E4470" t="n">
        <v>2</v>
      </c>
      <c r="F4470" t="n">
        <v>3</v>
      </c>
      <c r="G4470" t="n">
        <v>4</v>
      </c>
      <c r="H4470" t="n">
        <v>2</v>
      </c>
      <c r="I4470" t="n">
        <v>3</v>
      </c>
      <c r="J4470" t="inlineStr">
        <is>
          <t>Mediana</t>
        </is>
      </c>
      <c r="K4470" t="n">
        <v>3</v>
      </c>
      <c r="L4470" t="n">
        <v>3.068</v>
      </c>
      <c r="M4470" t="n">
        <v>0</v>
      </c>
      <c r="N4470" t="inlineStr">
        <is>
          <t>train</t>
        </is>
      </c>
      <c r="O4470">
        <f>HYPERLINK("NoConsenso\marker_147_839838.png", "Ver Imagen")</f>
        <v/>
      </c>
      <c r="P4470">
        <f>HYPERLINK("SE\A-492\A-492__452.png", "Ver Imagen")</f>
        <v/>
      </c>
    </row>
    <row r="4471">
      <c r="A4471" t="n">
        <v>4083</v>
      </c>
      <c r="B4471" t="inlineStr">
        <is>
          <t>A-492__453</t>
        </is>
      </c>
      <c r="C4471" t="n">
        <v>37.3155380723</v>
      </c>
      <c r="D4471" t="n">
        <v>-7.06755453299</v>
      </c>
      <c r="E4471" t="n">
        <v>2</v>
      </c>
      <c r="F4471" t="n">
        <v>2</v>
      </c>
      <c r="G4471" t="n">
        <v>4</v>
      </c>
      <c r="H4471" t="n">
        <v>2</v>
      </c>
      <c r="I4471" t="n">
        <v>1</v>
      </c>
      <c r="J4471" t="inlineStr">
        <is>
          <t>Mediana</t>
        </is>
      </c>
      <c r="K4471" t="n">
        <v>2</v>
      </c>
      <c r="L4471" t="n">
        <v>1.982</v>
      </c>
      <c r="M4471" t="n">
        <v>0</v>
      </c>
      <c r="N4471" t="inlineStr">
        <is>
          <t>train</t>
        </is>
      </c>
      <c r="O4471">
        <f>HYPERLINK("NoConsenso\marker_906_839848.png", "Ver Imagen")</f>
        <v/>
      </c>
      <c r="P4471">
        <f>HYPERLINK("SE\A-492\A-492__453.png", "Ver Imagen")</f>
        <v/>
      </c>
    </row>
    <row r="4472">
      <c r="A4472" t="n">
        <v>4084</v>
      </c>
      <c r="B4472" t="inlineStr">
        <is>
          <t>A-492__459</t>
        </is>
      </c>
      <c r="C4472" t="n">
        <v>37.31598556</v>
      </c>
      <c r="D4472" t="n">
        <v>-7.06893774789</v>
      </c>
      <c r="E4472" t="n">
        <v>2</v>
      </c>
      <c r="F4472" t="n">
        <v>3</v>
      </c>
      <c r="G4472" t="n">
        <v>4</v>
      </c>
      <c r="H4472" t="n">
        <v>3</v>
      </c>
      <c r="I4472" t="n">
        <v>3</v>
      </c>
      <c r="J4472" t="inlineStr">
        <is>
          <t>Mediana</t>
        </is>
      </c>
      <c r="K4472" t="n">
        <v>3</v>
      </c>
      <c r="L4472" t="n">
        <v>2.736</v>
      </c>
      <c r="M4472" t="n">
        <v>0</v>
      </c>
      <c r="N4472" t="inlineStr">
        <is>
          <t>train</t>
        </is>
      </c>
      <c r="O4472">
        <f>HYPERLINK("NoConsenso\marker_829_839918.png", "Ver Imagen")</f>
        <v/>
      </c>
      <c r="P4472">
        <f>HYPERLINK("SE\A-492\A-492__459.png", "Ver Imagen")</f>
        <v/>
      </c>
    </row>
    <row r="4473">
      <c r="A4473" t="n">
        <v>4085</v>
      </c>
      <c r="B4473" t="inlineStr">
        <is>
          <t>A-492__462</t>
        </is>
      </c>
      <c r="C4473" t="n">
        <v>37.3162970344</v>
      </c>
      <c r="D4473" t="n">
        <v>-7.06960532252</v>
      </c>
      <c r="E4473" t="n">
        <v>2</v>
      </c>
      <c r="F4473" t="n">
        <v>3</v>
      </c>
      <c r="G4473" t="n">
        <v>4</v>
      </c>
      <c r="H4473" t="n">
        <v>3</v>
      </c>
      <c r="I4473" t="n">
        <v>3</v>
      </c>
      <c r="J4473" t="inlineStr">
        <is>
          <t>Mediana</t>
        </is>
      </c>
      <c r="K4473" t="n">
        <v>3</v>
      </c>
      <c r="L4473" t="n">
        <v>2.639</v>
      </c>
      <c r="M4473" t="n">
        <v>0</v>
      </c>
      <c r="N4473" t="inlineStr">
        <is>
          <t>val</t>
        </is>
      </c>
      <c r="O4473">
        <f>HYPERLINK("NoConsenso\marker_320_839951.png", "Ver Imagen")</f>
        <v/>
      </c>
      <c r="P4473">
        <f>HYPERLINK("SE\A-492\A-492__462.png", "Ver Imagen")</f>
        <v/>
      </c>
    </row>
    <row r="4474">
      <c r="A4474" t="n">
        <v>4086</v>
      </c>
      <c r="B4474" t="inlineStr">
        <is>
          <t>A-492__463</t>
        </is>
      </c>
      <c r="C4474" t="n">
        <v>37.3163981512</v>
      </c>
      <c r="D4474" t="n">
        <v>-7.06980526824</v>
      </c>
      <c r="E4474" t="n">
        <v>2</v>
      </c>
      <c r="F4474" t="n">
        <v>3</v>
      </c>
      <c r="G4474" t="n">
        <v>4</v>
      </c>
      <c r="H4474" t="n">
        <v>3</v>
      </c>
      <c r="I4474" t="n">
        <v>3</v>
      </c>
      <c r="J4474" t="inlineStr">
        <is>
          <t>Mediana</t>
        </is>
      </c>
      <c r="K4474" t="n">
        <v>3</v>
      </c>
      <c r="L4474" t="n">
        <v>2.971</v>
      </c>
      <c r="M4474" t="n">
        <v>0</v>
      </c>
      <c r="N4474" t="inlineStr">
        <is>
          <t>train</t>
        </is>
      </c>
      <c r="O4474">
        <f>HYPERLINK("NoConsenso\marker_760_839960.png", "Ver Imagen")</f>
        <v/>
      </c>
      <c r="P4474">
        <f>HYPERLINK("SE\A-492\A-492__463.png", "Ver Imagen")</f>
        <v/>
      </c>
    </row>
    <row r="4475">
      <c r="A4475" t="n">
        <v>4087</v>
      </c>
      <c r="B4475" t="inlineStr">
        <is>
          <t>A-492__467</t>
        </is>
      </c>
      <c r="C4475" t="n">
        <v>37.3169071355</v>
      </c>
      <c r="D4475" t="n">
        <v>-7.07057756966</v>
      </c>
      <c r="E4475" t="n">
        <v>2</v>
      </c>
      <c r="F4475" t="n">
        <v>2</v>
      </c>
      <c r="G4475" t="n">
        <v>4</v>
      </c>
      <c r="H4475" t="n">
        <v>2</v>
      </c>
      <c r="I4475" t="n">
        <v>2</v>
      </c>
      <c r="J4475" t="inlineStr">
        <is>
          <t>Mediana</t>
        </is>
      </c>
      <c r="K4475" t="n">
        <v>2</v>
      </c>
      <c r="L4475" t="n">
        <v>2.268</v>
      </c>
      <c r="M4475" t="n">
        <v>0</v>
      </c>
      <c r="N4475" t="inlineStr">
        <is>
          <t>train</t>
        </is>
      </c>
      <c r="O4475">
        <f>HYPERLINK("NoConsenso\marker_170_840016.png", "Ver Imagen")</f>
        <v/>
      </c>
      <c r="P4475">
        <f>HYPERLINK("SE\A-492\A-492__467.png", "Ver Imagen")</f>
        <v/>
      </c>
    </row>
    <row r="4476">
      <c r="A4476" t="n">
        <v>4088</v>
      </c>
      <c r="B4476" t="inlineStr">
        <is>
          <t>A-492__468</t>
        </is>
      </c>
      <c r="C4476" t="n">
        <v>37.3170459732</v>
      </c>
      <c r="D4476" t="n">
        <v>-7.0707184741</v>
      </c>
      <c r="E4476" t="n">
        <v>2</v>
      </c>
      <c r="F4476" t="n">
        <v>3</v>
      </c>
      <c r="G4476" t="n">
        <v>4</v>
      </c>
      <c r="H4476" t="n">
        <v>3</v>
      </c>
      <c r="I4476" t="n">
        <v>3</v>
      </c>
      <c r="J4476" t="inlineStr">
        <is>
          <t>Mediana</t>
        </is>
      </c>
      <c r="K4476" t="n">
        <v>3</v>
      </c>
      <c r="L4476" t="n">
        <v>2.957</v>
      </c>
      <c r="M4476" t="n">
        <v>0</v>
      </c>
      <c r="N4476" t="inlineStr">
        <is>
          <t>train</t>
        </is>
      </c>
      <c r="O4476">
        <f>HYPERLINK("NoConsenso\marker_985_840026.png", "Ver Imagen")</f>
        <v/>
      </c>
      <c r="P4476">
        <f>HYPERLINK("SE\A-492\A-492__468.png", "Ver Imagen")</f>
        <v/>
      </c>
    </row>
    <row r="4477">
      <c r="A4477" t="n">
        <v>4089</v>
      </c>
      <c r="B4477" t="inlineStr">
        <is>
          <t>A-495R__106</t>
        </is>
      </c>
      <c r="C4477" t="n">
        <v>37.4642338217</v>
      </c>
      <c r="D4477" t="n">
        <v>-7.1189614474</v>
      </c>
      <c r="E4477" t="n">
        <v>1</v>
      </c>
      <c r="F4477" t="n">
        <v>3</v>
      </c>
      <c r="G4477" t="n">
        <v>2</v>
      </c>
      <c r="H4477" t="n">
        <v>2</v>
      </c>
      <c r="I4477" t="n">
        <v>2</v>
      </c>
      <c r="J4477" t="inlineStr">
        <is>
          <t>Mediana</t>
        </is>
      </c>
      <c r="K4477" t="n">
        <v>2</v>
      </c>
      <c r="L4477" t="n">
        <v>2.327</v>
      </c>
      <c r="M4477" t="n">
        <v>0</v>
      </c>
      <c r="N4477" t="inlineStr">
        <is>
          <t>val</t>
        </is>
      </c>
      <c r="O4477">
        <f>HYPERLINK("NoConsenso\marker_509_895797.png", "Ver Imagen")</f>
        <v/>
      </c>
      <c r="P4477">
        <f>HYPERLINK("NE\A-495R\A-495R__106.png", "Ver Imagen")</f>
        <v/>
      </c>
    </row>
    <row r="4478">
      <c r="A4478" t="n">
        <v>4090</v>
      </c>
      <c r="B4478" t="inlineStr">
        <is>
          <t>A-497__70</t>
        </is>
      </c>
      <c r="C4478" t="n">
        <v>37.2684257446</v>
      </c>
      <c r="D4478" t="n">
        <v>-6.97332083241</v>
      </c>
      <c r="E4478" t="n">
        <v>2</v>
      </c>
      <c r="F4478" t="n">
        <v>4</v>
      </c>
      <c r="G4478" t="n">
        <v>2</v>
      </c>
      <c r="H4478" t="n">
        <v>3</v>
      </c>
      <c r="I4478" t="n">
        <v>4</v>
      </c>
      <c r="J4478" t="inlineStr">
        <is>
          <t>Modificada</t>
        </is>
      </c>
      <c r="K4478" t="n">
        <v>4</v>
      </c>
      <c r="L4478" t="n">
        <v>3.848</v>
      </c>
      <c r="M4478" t="n">
        <v>0</v>
      </c>
      <c r="N4478" t="inlineStr">
        <is>
          <t>train</t>
        </is>
      </c>
      <c r="O4478">
        <f>HYPERLINK("NoConsenso\marker_980_938045.png", "Ver Imagen")</f>
        <v/>
      </c>
      <c r="P4478">
        <f>HYPERLINK("SE\A-497\A-497__70.png", "Ver Imagen")</f>
        <v/>
      </c>
    </row>
    <row r="4479">
      <c r="A4479" t="n">
        <v>4092</v>
      </c>
      <c r="B4479" t="inlineStr">
        <is>
          <t>A-497__47</t>
        </is>
      </c>
      <c r="C4479" t="n">
        <v>37.2676515756</v>
      </c>
      <c r="D4479" t="n">
        <v>-6.96755324625</v>
      </c>
      <c r="E4479" t="n">
        <v>2</v>
      </c>
      <c r="F4479" t="n">
        <v>4</v>
      </c>
      <c r="G4479" t="n">
        <v>2</v>
      </c>
      <c r="H4479" t="n">
        <v>3</v>
      </c>
      <c r="I4479" t="n">
        <v>3</v>
      </c>
      <c r="J4479" t="inlineStr">
        <is>
          <t>Modificada</t>
        </is>
      </c>
      <c r="K4479" t="n">
        <v>4</v>
      </c>
      <c r="L4479" t="n">
        <v>3.771</v>
      </c>
      <c r="M4479" t="n">
        <v>0</v>
      </c>
      <c r="N4479" t="inlineStr">
        <is>
          <t>train</t>
        </is>
      </c>
      <c r="O4479">
        <f>HYPERLINK("NoConsenso\marker_718_938426.png", "Ver Imagen")</f>
        <v/>
      </c>
      <c r="P4479">
        <f>HYPERLINK("SE\A-497\A-497__47.png", "Ver Imagen")</f>
        <v/>
      </c>
    </row>
    <row r="4480">
      <c r="A4480" t="n">
        <v>4094</v>
      </c>
      <c r="B4480" t="inlineStr">
        <is>
          <t>A-497__40</t>
        </is>
      </c>
      <c r="C4480" t="n">
        <v>37.2675608688</v>
      </c>
      <c r="D4480" t="n">
        <v>-6.9657946726</v>
      </c>
      <c r="E4480" t="n">
        <v>2</v>
      </c>
      <c r="F4480" t="n">
        <v>4</v>
      </c>
      <c r="G4480" t="n">
        <v>2</v>
      </c>
      <c r="H4480" t="n">
        <v>3</v>
      </c>
      <c r="I4480" t="n">
        <v>4</v>
      </c>
      <c r="J4480" t="inlineStr">
        <is>
          <t>Modificada</t>
        </is>
      </c>
      <c r="K4480" t="n">
        <v>4</v>
      </c>
      <c r="L4480" t="n">
        <v>3.803</v>
      </c>
      <c r="M4480" t="n">
        <v>0</v>
      </c>
      <c r="N4480" t="inlineStr">
        <is>
          <t>train</t>
        </is>
      </c>
      <c r="O4480">
        <f>HYPERLINK("NoConsenso\marker_813_940280.png", "Ver Imagen")</f>
        <v/>
      </c>
      <c r="P4480">
        <f>HYPERLINK("SE\A-497\A-497__40.png", "Ver Imagen")</f>
        <v/>
      </c>
    </row>
    <row r="4481">
      <c r="A4481" t="n">
        <v>4095</v>
      </c>
      <c r="B4481" t="inlineStr">
        <is>
          <t>A-497__36</t>
        </is>
      </c>
      <c r="C4481" t="n">
        <v>37.2675354141</v>
      </c>
      <c r="D4481" t="n">
        <v>-6.96477474887</v>
      </c>
      <c r="E4481" t="n">
        <v>2</v>
      </c>
      <c r="F4481" t="n">
        <v>4</v>
      </c>
      <c r="G4481" t="n">
        <v>2</v>
      </c>
      <c r="H4481" t="n">
        <v>3</v>
      </c>
      <c r="I4481" t="n">
        <v>3</v>
      </c>
      <c r="J4481" t="inlineStr">
        <is>
          <t>Mediana</t>
        </is>
      </c>
      <c r="K4481" t="n">
        <v>3</v>
      </c>
      <c r="L4481" t="n">
        <v>2.904</v>
      </c>
      <c r="M4481" t="n">
        <v>0</v>
      </c>
      <c r="N4481" t="inlineStr">
        <is>
          <t>train</t>
        </is>
      </c>
      <c r="O4481">
        <f>HYPERLINK("NoConsenso\marker_181_940322.png", "Ver Imagen")</f>
        <v/>
      </c>
      <c r="P4481">
        <f>HYPERLINK("SE\A-497\A-497__36.png", "Ver Imagen")</f>
        <v/>
      </c>
    </row>
    <row r="4482">
      <c r="A4482" t="n">
        <v>4096</v>
      </c>
      <c r="B4482" t="inlineStr">
        <is>
          <t>A-497__21</t>
        </is>
      </c>
      <c r="C4482" t="n">
        <v>37.2674357363</v>
      </c>
      <c r="D4482" t="n">
        <v>-6.9609774125</v>
      </c>
      <c r="E4482" t="n">
        <v>1</v>
      </c>
      <c r="F4482" t="n">
        <v>3</v>
      </c>
      <c r="G4482" t="n">
        <v>2</v>
      </c>
      <c r="H4482" t="n">
        <v>2</v>
      </c>
      <c r="I4482" t="n">
        <v>2</v>
      </c>
      <c r="J4482" t="inlineStr">
        <is>
          <t>Mediana</t>
        </is>
      </c>
      <c r="K4482" t="n">
        <v>2</v>
      </c>
      <c r="L4482" t="n">
        <v>1.929</v>
      </c>
      <c r="M4482" t="n">
        <v>0</v>
      </c>
      <c r="N4482" t="inlineStr">
        <is>
          <t>train</t>
        </is>
      </c>
      <c r="O4482">
        <f>HYPERLINK("NoConsenso\marker_934_943767.png", "Ver Imagen")</f>
        <v/>
      </c>
      <c r="P4482">
        <f>HYPERLINK("SE\A-497\A-497__21.png", "Ver Imagen")</f>
        <v/>
      </c>
    </row>
    <row r="4483">
      <c r="A4483" t="n">
        <v>4098</v>
      </c>
      <c r="B4483" t="inlineStr">
        <is>
          <t>A-5050__165</t>
        </is>
      </c>
      <c r="C4483" t="n">
        <v>37.1916270062</v>
      </c>
      <c r="D4483" t="n">
        <v>-6.99228406273</v>
      </c>
      <c r="E4483" t="n">
        <v>2</v>
      </c>
      <c r="F4483" t="n">
        <v>3</v>
      </c>
      <c r="G4483" t="n">
        <v>4</v>
      </c>
      <c r="H4483" t="n">
        <v>2</v>
      </c>
      <c r="I4483" t="n">
        <v>2</v>
      </c>
      <c r="J4483" t="inlineStr">
        <is>
          <t>Mediana</t>
        </is>
      </c>
      <c r="K4483" t="n">
        <v>2</v>
      </c>
      <c r="L4483" t="n">
        <v>1.715</v>
      </c>
      <c r="M4483" t="n">
        <v>0</v>
      </c>
      <c r="N4483" t="inlineStr">
        <is>
          <t>train</t>
        </is>
      </c>
      <c r="O4483">
        <f>HYPERLINK("NoConsenso\marker_115_944341.png", "Ver Imagen")</f>
        <v/>
      </c>
      <c r="P4483">
        <f>HYPERLINK("SE\A-5050\A-5050__165.png", "Ver Imagen")</f>
        <v/>
      </c>
    </row>
    <row r="4484">
      <c r="A4484" t="n">
        <v>4099</v>
      </c>
      <c r="B4484" t="inlineStr">
        <is>
          <t>A-5050__164</t>
        </is>
      </c>
      <c r="C4484" t="n">
        <v>37.1917155408</v>
      </c>
      <c r="D4484" t="n">
        <v>-6.99246925669</v>
      </c>
      <c r="E4484" t="n">
        <v>2</v>
      </c>
      <c r="F4484" t="n">
        <v>3</v>
      </c>
      <c r="G4484" t="n">
        <v>4</v>
      </c>
      <c r="H4484" t="n">
        <v>2</v>
      </c>
      <c r="I4484" t="n">
        <v>1</v>
      </c>
      <c r="J4484" t="inlineStr">
        <is>
          <t>Mediana</t>
        </is>
      </c>
      <c r="K4484" t="n">
        <v>2</v>
      </c>
      <c r="L4484" t="n">
        <v>1.841</v>
      </c>
      <c r="M4484" t="n">
        <v>0</v>
      </c>
      <c r="N4484" t="inlineStr">
        <is>
          <t>train</t>
        </is>
      </c>
      <c r="O4484">
        <f>HYPERLINK("NoConsenso\marker_175_944349.png", "Ver Imagen")</f>
        <v/>
      </c>
      <c r="P4484">
        <f>HYPERLINK("SE\A-5050\A-5050__164.png", "Ver Imagen")</f>
        <v/>
      </c>
    </row>
    <row r="4485">
      <c r="A4485" t="n">
        <v>4100</v>
      </c>
      <c r="B4485" t="inlineStr">
        <is>
          <t>A-5050__160</t>
        </is>
      </c>
      <c r="C4485" t="n">
        <v>37.1921465161</v>
      </c>
      <c r="D4485" t="n">
        <v>-6.9933660973</v>
      </c>
      <c r="E4485" t="n">
        <v>2</v>
      </c>
      <c r="F4485" t="n">
        <v>3</v>
      </c>
      <c r="G4485" t="n">
        <v>4</v>
      </c>
      <c r="H4485" t="n">
        <v>2</v>
      </c>
      <c r="I4485" t="n">
        <v>1</v>
      </c>
      <c r="J4485" t="inlineStr">
        <is>
          <t>Mediana</t>
        </is>
      </c>
      <c r="K4485" t="n">
        <v>2</v>
      </c>
      <c r="L4485" t="n">
        <v>2.054</v>
      </c>
      <c r="M4485" t="n">
        <v>0</v>
      </c>
      <c r="N4485" t="inlineStr">
        <is>
          <t>train</t>
        </is>
      </c>
      <c r="O4485">
        <f>HYPERLINK("NoConsenso\marker_762_944692.png", "Ver Imagen")</f>
        <v/>
      </c>
      <c r="P4485">
        <f>HYPERLINK("SE\A-5050\A-5050__160.png", "Ver Imagen")</f>
        <v/>
      </c>
    </row>
    <row r="4486">
      <c r="A4486" t="n">
        <v>4101</v>
      </c>
      <c r="B4486" t="inlineStr">
        <is>
          <t>A-5050__158</t>
        </is>
      </c>
      <c r="C4486" t="n">
        <v>37.1923441664</v>
      </c>
      <c r="D4486" t="n">
        <v>-6.99378211061</v>
      </c>
      <c r="E4486" t="n">
        <v>2</v>
      </c>
      <c r="F4486" t="n">
        <v>3</v>
      </c>
      <c r="G4486" t="n">
        <v>4</v>
      </c>
      <c r="H4486" t="n">
        <v>3</v>
      </c>
      <c r="I4486" t="n">
        <v>3</v>
      </c>
      <c r="J4486" t="inlineStr">
        <is>
          <t>Mediana</t>
        </is>
      </c>
      <c r="K4486" t="n">
        <v>3</v>
      </c>
      <c r="L4486" t="n">
        <v>2.616</v>
      </c>
      <c r="M4486" t="n">
        <v>0</v>
      </c>
      <c r="N4486" t="inlineStr">
        <is>
          <t>val</t>
        </is>
      </c>
      <c r="O4486">
        <f>HYPERLINK("NoConsenso\marker_341_944952.png", "Ver Imagen")</f>
        <v/>
      </c>
      <c r="P4486">
        <f>HYPERLINK("SE\A-5050\A-5050__158.png", "Ver Imagen")</f>
        <v/>
      </c>
    </row>
    <row r="4487">
      <c r="A4487" t="n">
        <v>4102</v>
      </c>
      <c r="B4487" t="inlineStr">
        <is>
          <t>A-5050__102</t>
        </is>
      </c>
      <c r="C4487" t="n">
        <v>37.1975939065</v>
      </c>
      <c r="D4487" t="n">
        <v>-7.00632487291</v>
      </c>
      <c r="E4487" t="n">
        <v>2</v>
      </c>
      <c r="F4487" t="n">
        <v>3</v>
      </c>
      <c r="G4487" t="n">
        <v>4</v>
      </c>
      <c r="H4487" t="n">
        <v>2</v>
      </c>
      <c r="I4487" t="n">
        <v>2</v>
      </c>
      <c r="J4487" t="inlineStr">
        <is>
          <t>Mediana</t>
        </is>
      </c>
      <c r="K4487" t="n">
        <v>2</v>
      </c>
      <c r="L4487" t="n">
        <v>1.613</v>
      </c>
      <c r="M4487" t="n">
        <v>0</v>
      </c>
      <c r="N4487" t="inlineStr">
        <is>
          <t>train</t>
        </is>
      </c>
      <c r="O4487">
        <f>HYPERLINK("NoConsenso\marker_537_946781.png", "Ver Imagen")</f>
        <v/>
      </c>
      <c r="P4487">
        <f>HYPERLINK("SE\A-5050\A-5050__102.png", "Ver Imagen")</f>
        <v/>
      </c>
    </row>
    <row r="4488">
      <c r="A4488" t="n">
        <v>4104</v>
      </c>
      <c r="B4488" t="inlineStr">
        <is>
          <t>A-5050__51</t>
        </is>
      </c>
      <c r="C4488" t="n">
        <v>37.2038393068</v>
      </c>
      <c r="D4488" t="n">
        <v>-7.0166422463</v>
      </c>
      <c r="E4488" t="n">
        <v>2</v>
      </c>
      <c r="F4488" t="n">
        <v>3</v>
      </c>
      <c r="G4488" t="n">
        <v>4</v>
      </c>
      <c r="H4488" t="n">
        <v>3</v>
      </c>
      <c r="I4488" t="n">
        <v>4</v>
      </c>
      <c r="J4488" t="inlineStr">
        <is>
          <t>Modificada</t>
        </is>
      </c>
      <c r="K4488" t="n">
        <v>4</v>
      </c>
      <c r="L4488" t="n">
        <v>3.789</v>
      </c>
      <c r="M4488" t="n">
        <v>0</v>
      </c>
      <c r="N4488" t="inlineStr">
        <is>
          <t>val</t>
        </is>
      </c>
      <c r="O4488">
        <f>HYPERLINK("NoConsenso\marker_219_949147.png", "Ver Imagen")</f>
        <v/>
      </c>
      <c r="P4488">
        <f>HYPERLINK("SE\A-5050\A-5050__51.png", "Ver Imagen")</f>
        <v/>
      </c>
    </row>
    <row r="4489">
      <c r="A4489" t="n">
        <v>4105</v>
      </c>
      <c r="B4489" t="inlineStr">
        <is>
          <t>A-5050__17</t>
        </is>
      </c>
      <c r="C4489" t="n">
        <v>37.2082001721</v>
      </c>
      <c r="D4489" t="n">
        <v>-7.0232265818</v>
      </c>
      <c r="E4489" t="n">
        <v>2</v>
      </c>
      <c r="F4489" t="n">
        <v>2</v>
      </c>
      <c r="G4489" t="n">
        <v>4</v>
      </c>
      <c r="H4489" t="n">
        <v>2</v>
      </c>
      <c r="I4489" t="n">
        <v>2</v>
      </c>
      <c r="J4489" t="inlineStr">
        <is>
          <t>Mediana</t>
        </is>
      </c>
      <c r="K4489" t="n">
        <v>2</v>
      </c>
      <c r="L4489" t="n">
        <v>2.11</v>
      </c>
      <c r="M4489" t="n">
        <v>0</v>
      </c>
      <c r="N4489" t="inlineStr">
        <is>
          <t>train</t>
        </is>
      </c>
      <c r="O4489">
        <f>HYPERLINK("NoConsenso\marker_765_949525.png", "Ver Imagen")</f>
        <v/>
      </c>
      <c r="P4489">
        <f>HYPERLINK("SE\A-5050\A-5050__17.png", "Ver Imagen")</f>
        <v/>
      </c>
    </row>
    <row r="4490">
      <c r="A4490" t="n">
        <v>4106</v>
      </c>
      <c r="B4490" t="inlineStr">
        <is>
          <t>A-5052__36</t>
        </is>
      </c>
      <c r="C4490" t="n">
        <v>37.2178998498</v>
      </c>
      <c r="D4490" t="n">
        <v>-7.11698312119</v>
      </c>
      <c r="E4490" t="n">
        <v>3</v>
      </c>
      <c r="F4490" t="n">
        <v>1</v>
      </c>
      <c r="G4490" t="n">
        <v>2</v>
      </c>
      <c r="H4490" t="n">
        <v>2</v>
      </c>
      <c r="I4490" t="n">
        <v>1</v>
      </c>
      <c r="J4490" t="inlineStr">
        <is>
          <t>Mediana</t>
        </is>
      </c>
      <c r="K4490" t="n">
        <v>2</v>
      </c>
      <c r="L4490" t="n">
        <v>1.787</v>
      </c>
      <c r="M4490" t="n">
        <v>0</v>
      </c>
      <c r="N4490" t="inlineStr">
        <is>
          <t>test</t>
        </is>
      </c>
      <c r="O4490">
        <f>HYPERLINK("NoConsenso\marker_506_956756.png", "Ver Imagen")</f>
        <v/>
      </c>
      <c r="P4490">
        <f>HYPERLINK("SO\A-5052\A-5052__36.png", "Ver Imagen")</f>
        <v/>
      </c>
    </row>
    <row r="4491">
      <c r="A4491" t="n">
        <v>4107</v>
      </c>
      <c r="B4491" t="inlineStr">
        <is>
          <t>A-5052__272</t>
        </is>
      </c>
      <c r="C4491" t="n">
        <v>37.2117770102</v>
      </c>
      <c r="D4491" t="n">
        <v>-7.05845038952</v>
      </c>
      <c r="E4491" t="n">
        <v>2</v>
      </c>
      <c r="F4491" t="n">
        <v>4</v>
      </c>
      <c r="G4491" t="n">
        <v>3</v>
      </c>
      <c r="H4491" t="n">
        <v>3</v>
      </c>
      <c r="I4491" t="n">
        <v>4</v>
      </c>
      <c r="J4491" t="inlineStr">
        <is>
          <t>Mediana</t>
        </is>
      </c>
      <c r="K4491" t="n">
        <v>3</v>
      </c>
      <c r="L4491" t="n">
        <v>2.882</v>
      </c>
      <c r="M4491" t="n">
        <v>0</v>
      </c>
      <c r="N4491" t="inlineStr">
        <is>
          <t>train</t>
        </is>
      </c>
      <c r="O4491">
        <f>HYPERLINK("NoConsenso\marker_917_960349.png", "Ver Imagen")</f>
        <v/>
      </c>
      <c r="P4491">
        <f>HYPERLINK("SE\A-5052\A-5052__272.png", "Ver Imagen")</f>
        <v/>
      </c>
    </row>
    <row r="4492">
      <c r="A4492" t="n">
        <v>4108</v>
      </c>
      <c r="B4492" t="inlineStr">
        <is>
          <t>A-5052__292</t>
        </is>
      </c>
      <c r="C4492" t="n">
        <v>37.2108546744</v>
      </c>
      <c r="D4492" t="n">
        <v>-7.05356630981</v>
      </c>
      <c r="E4492" t="n">
        <v>2</v>
      </c>
      <c r="F4492" t="n">
        <v>3</v>
      </c>
      <c r="G4492" t="n">
        <v>4</v>
      </c>
      <c r="H4492" t="n">
        <v>3</v>
      </c>
      <c r="I4492" t="n">
        <v>3</v>
      </c>
      <c r="J4492" t="inlineStr">
        <is>
          <t>Mediana</t>
        </is>
      </c>
      <c r="K4492" t="n">
        <v>3</v>
      </c>
      <c r="L4492" t="n">
        <v>3.01</v>
      </c>
      <c r="M4492" t="n">
        <v>0</v>
      </c>
      <c r="N4492" t="inlineStr">
        <is>
          <t>test</t>
        </is>
      </c>
      <c r="O4492">
        <f>HYPERLINK("NoConsenso\marker_618_960728.png", "Ver Imagen")</f>
        <v/>
      </c>
      <c r="P4492">
        <f>HYPERLINK("SE\A-5052\A-5052__292.png", "Ver Imagen")</f>
        <v/>
      </c>
    </row>
    <row r="4493">
      <c r="A4493" t="n">
        <v>4109</v>
      </c>
      <c r="B4493" t="inlineStr">
        <is>
          <t>A-5052__306</t>
        </is>
      </c>
      <c r="C4493" t="n">
        <v>37.2112942151</v>
      </c>
      <c r="D4493" t="n">
        <v>-7.05017618011</v>
      </c>
      <c r="E4493" t="n">
        <v>2</v>
      </c>
      <c r="F4493" t="n">
        <v>4</v>
      </c>
      <c r="G4493" t="n">
        <v>3</v>
      </c>
      <c r="H4493" t="n">
        <v>3</v>
      </c>
      <c r="I4493" t="n">
        <v>3</v>
      </c>
      <c r="J4493" t="inlineStr">
        <is>
          <t>Mediana</t>
        </is>
      </c>
      <c r="K4493" t="n">
        <v>3</v>
      </c>
      <c r="L4493" t="n">
        <v>3.456</v>
      </c>
      <c r="M4493" t="n">
        <v>0</v>
      </c>
      <c r="N4493" t="inlineStr">
        <is>
          <t>train</t>
        </is>
      </c>
      <c r="O4493">
        <f>HYPERLINK("NoConsenso\marker_792_961038.png", "Ver Imagen")</f>
        <v/>
      </c>
      <c r="P4493">
        <f>HYPERLINK("SE\A-5052\A-5052__306.png", "Ver Imagen")</f>
        <v/>
      </c>
    </row>
    <row r="4494">
      <c r="A4494" t="n">
        <v>4110</v>
      </c>
      <c r="B4494" t="inlineStr">
        <is>
          <t>A-5052__313</t>
        </is>
      </c>
      <c r="C4494" t="n">
        <v>37.2117610015</v>
      </c>
      <c r="D4494" t="n">
        <v>-7.04848987923</v>
      </c>
      <c r="E4494" t="n">
        <v>2</v>
      </c>
      <c r="F4494" t="n">
        <v>2</v>
      </c>
      <c r="G4494" t="n">
        <v>4</v>
      </c>
      <c r="H4494" t="n">
        <v>2</v>
      </c>
      <c r="I4494" t="n">
        <v>2</v>
      </c>
      <c r="J4494" t="inlineStr">
        <is>
          <t>Mediana</t>
        </is>
      </c>
      <c r="K4494" t="n">
        <v>2</v>
      </c>
      <c r="L4494" t="n">
        <v>2.157</v>
      </c>
      <c r="M4494" t="n">
        <v>0</v>
      </c>
      <c r="N4494" t="inlineStr">
        <is>
          <t>val</t>
        </is>
      </c>
      <c r="O4494">
        <f>HYPERLINK("NoConsenso\marker_739_961156.png", "Ver Imagen")</f>
        <v/>
      </c>
      <c r="P4494">
        <f>HYPERLINK("SE\A-5052\A-5052__313.png", "Ver Imagen")</f>
        <v/>
      </c>
    </row>
    <row r="4495">
      <c r="A4495" t="n">
        <v>4111</v>
      </c>
      <c r="B4495" t="inlineStr">
        <is>
          <t>A-5052__386</t>
        </is>
      </c>
      <c r="C4495" t="n">
        <v>37.2060678097</v>
      </c>
      <c r="D4495" t="n">
        <v>-7.03152586362</v>
      </c>
      <c r="E4495" t="n">
        <v>2</v>
      </c>
      <c r="F4495" t="n">
        <v>3</v>
      </c>
      <c r="G4495" t="n">
        <v>4</v>
      </c>
      <c r="H4495" t="n">
        <v>2</v>
      </c>
      <c r="I4495" t="n">
        <v>3</v>
      </c>
      <c r="J4495" t="inlineStr">
        <is>
          <t>Mediana</t>
        </is>
      </c>
      <c r="K4495" t="n">
        <v>3</v>
      </c>
      <c r="L4495" t="n">
        <v>3.2</v>
      </c>
      <c r="M4495" t="n">
        <v>0</v>
      </c>
      <c r="N4495" t="inlineStr">
        <is>
          <t>train</t>
        </is>
      </c>
      <c r="O4495">
        <f>HYPERLINK("NoConsenso\marker_149_962537.png", "Ver Imagen")</f>
        <v/>
      </c>
      <c r="P4495">
        <f>HYPERLINK("SE\A-5052\A-5052__386.png", "Ver Imagen")</f>
        <v/>
      </c>
    </row>
    <row r="4496">
      <c r="A4496" t="n">
        <v>4112</v>
      </c>
      <c r="B4496" t="inlineStr">
        <is>
          <t>A-5052__401</t>
        </is>
      </c>
      <c r="C4496" t="n">
        <v>37.2047080083</v>
      </c>
      <c r="D4496" t="n">
        <v>-7.02820765062</v>
      </c>
      <c r="E4496" t="n">
        <v>2</v>
      </c>
      <c r="F4496" t="n">
        <v>3</v>
      </c>
      <c r="G4496" t="n">
        <v>4</v>
      </c>
      <c r="H4496" t="n">
        <v>3</v>
      </c>
      <c r="I4496" t="n">
        <v>3</v>
      </c>
      <c r="J4496" t="inlineStr">
        <is>
          <t>Mediana</t>
        </is>
      </c>
      <c r="K4496" t="n">
        <v>3</v>
      </c>
      <c r="L4496" t="n">
        <v>2.85</v>
      </c>
      <c r="M4496" t="n">
        <v>0</v>
      </c>
      <c r="N4496" t="inlineStr">
        <is>
          <t>train</t>
        </is>
      </c>
      <c r="O4496">
        <f>HYPERLINK("NoConsenso\marker_849_962677.png", "Ver Imagen")</f>
        <v/>
      </c>
      <c r="P4496">
        <f>HYPERLINK("SE\A-5052\A-5052__401.png", "Ver Imagen")</f>
        <v/>
      </c>
    </row>
    <row r="4497">
      <c r="A4497" t="n">
        <v>4113</v>
      </c>
      <c r="B4497" t="inlineStr">
        <is>
          <t>A-5052__447</t>
        </is>
      </c>
      <c r="C4497" t="n">
        <v>37.2007476903</v>
      </c>
      <c r="D4497" t="n">
        <v>-7.01764312312</v>
      </c>
      <c r="E4497" t="n">
        <v>1</v>
      </c>
      <c r="F4497" t="n">
        <v>3</v>
      </c>
      <c r="G4497" t="n">
        <v>2</v>
      </c>
      <c r="H4497" t="n">
        <v>2</v>
      </c>
      <c r="I4497" t="n">
        <v>1</v>
      </c>
      <c r="J4497" t="inlineStr">
        <is>
          <t>Mediana</t>
        </is>
      </c>
      <c r="K4497" t="n">
        <v>2</v>
      </c>
      <c r="L4497" t="n">
        <v>2.13</v>
      </c>
      <c r="M4497" t="n">
        <v>0</v>
      </c>
      <c r="N4497" t="inlineStr">
        <is>
          <t>train</t>
        </is>
      </c>
      <c r="O4497">
        <f>HYPERLINK("NoConsenso\marker_414_963147.png", "Ver Imagen")</f>
        <v/>
      </c>
      <c r="P4497">
        <f>HYPERLINK("SE\A-5052\A-5052__447.png", "Ver Imagen")</f>
        <v/>
      </c>
    </row>
    <row r="4498">
      <c r="A4498" t="n">
        <v>4114</v>
      </c>
      <c r="B4498" t="inlineStr">
        <is>
          <t>A-5053__381</t>
        </is>
      </c>
      <c r="C4498" t="n">
        <v>37.2884389569</v>
      </c>
      <c r="D4498" t="n">
        <v>-7.14147154412</v>
      </c>
      <c r="E4498" t="n">
        <v>2</v>
      </c>
      <c r="F4498" t="n">
        <v>4</v>
      </c>
      <c r="G4498" t="n">
        <v>3</v>
      </c>
      <c r="H4498" t="n">
        <v>3</v>
      </c>
      <c r="I4498" t="n">
        <v>4</v>
      </c>
      <c r="J4498" t="inlineStr">
        <is>
          <t>Mediana</t>
        </is>
      </c>
      <c r="K4498" t="n">
        <v>3</v>
      </c>
      <c r="L4498" t="n">
        <v>3.498</v>
      </c>
      <c r="M4498" t="n">
        <v>0</v>
      </c>
      <c r="N4498" t="inlineStr">
        <is>
          <t>val</t>
        </is>
      </c>
      <c r="O4498">
        <f>HYPERLINK("NoConsenso\marker_163_963839.png", "Ver Imagen")</f>
        <v/>
      </c>
      <c r="P4498">
        <f>HYPERLINK("SO\A-5053\A-5053__381.png", "Ver Imagen")</f>
        <v/>
      </c>
    </row>
    <row r="4499">
      <c r="A4499" t="n">
        <v>4115</v>
      </c>
      <c r="B4499" t="inlineStr">
        <is>
          <t>A-5053__380</t>
        </is>
      </c>
      <c r="C4499" t="n">
        <v>37.2882996341</v>
      </c>
      <c r="D4499" t="n">
        <v>-7.14167918192</v>
      </c>
      <c r="E4499" t="n">
        <v>2</v>
      </c>
      <c r="F4499" t="n">
        <v>4</v>
      </c>
      <c r="G4499" t="n">
        <v>3</v>
      </c>
      <c r="H4499" t="n">
        <v>3</v>
      </c>
      <c r="I4499" t="n">
        <v>4</v>
      </c>
      <c r="J4499" t="inlineStr">
        <is>
          <t>Mediana</t>
        </is>
      </c>
      <c r="K4499" t="n">
        <v>3</v>
      </c>
      <c r="L4499" t="n">
        <v>2.835</v>
      </c>
      <c r="M4499" t="n">
        <v>0</v>
      </c>
      <c r="N4499" t="inlineStr">
        <is>
          <t>test</t>
        </is>
      </c>
      <c r="O4499">
        <f>HYPERLINK("NoConsenso\marker_867_963850.png", "Ver Imagen")</f>
        <v/>
      </c>
      <c r="P4499">
        <f>HYPERLINK("SO\A-5053\A-5053__380.png", "Ver Imagen")</f>
        <v/>
      </c>
    </row>
    <row r="4500">
      <c r="A4500" t="n">
        <v>4116</v>
      </c>
      <c r="B4500" t="inlineStr">
        <is>
          <t>A-5053__379</t>
        </is>
      </c>
      <c r="C4500" t="n">
        <v>37.2881220667</v>
      </c>
      <c r="D4500" t="n">
        <v>-7.14173698724</v>
      </c>
      <c r="E4500" t="n">
        <v>2</v>
      </c>
      <c r="F4500" t="n">
        <v>4</v>
      </c>
      <c r="G4500" t="n">
        <v>3</v>
      </c>
      <c r="H4500" t="n">
        <v>3</v>
      </c>
      <c r="I4500" t="n">
        <v>3</v>
      </c>
      <c r="J4500" t="inlineStr">
        <is>
          <t>Mediana</t>
        </is>
      </c>
      <c r="K4500" t="n">
        <v>3</v>
      </c>
      <c r="L4500" t="n">
        <v>2.748</v>
      </c>
      <c r="M4500" t="n">
        <v>0</v>
      </c>
      <c r="N4500" t="inlineStr">
        <is>
          <t>train</t>
        </is>
      </c>
      <c r="O4500">
        <f>HYPERLINK("NoConsenso\marker_556_963863.png", "Ver Imagen")</f>
        <v/>
      </c>
      <c r="P4500">
        <f>HYPERLINK("SO\A-5053\A-5053__379.png", "Ver Imagen")</f>
        <v/>
      </c>
    </row>
    <row r="4501">
      <c r="A4501" t="n">
        <v>4117</v>
      </c>
      <c r="B4501" t="inlineStr">
        <is>
          <t>A-5053__361</t>
        </is>
      </c>
      <c r="C4501" t="n">
        <v>37.2851298169</v>
      </c>
      <c r="D4501" t="n">
        <v>-7.14292231496</v>
      </c>
      <c r="E4501" t="n">
        <v>2</v>
      </c>
      <c r="F4501" t="n">
        <v>4</v>
      </c>
      <c r="G4501" t="n">
        <v>3</v>
      </c>
      <c r="H4501" t="n">
        <v>2</v>
      </c>
      <c r="I4501" t="n">
        <v>3</v>
      </c>
      <c r="J4501" t="inlineStr">
        <is>
          <t>Mediana</t>
        </is>
      </c>
      <c r="K4501" t="n">
        <v>3</v>
      </c>
      <c r="L4501" t="n">
        <v>3.027</v>
      </c>
      <c r="M4501" t="n">
        <v>0</v>
      </c>
      <c r="N4501" t="inlineStr">
        <is>
          <t>train</t>
        </is>
      </c>
      <c r="O4501">
        <f>HYPERLINK("NoConsenso\marker_101_964051.png", "Ver Imagen")</f>
        <v/>
      </c>
      <c r="P4501">
        <f>HYPERLINK("SO\A-5053\A-5053__361.png", "Ver Imagen")</f>
        <v/>
      </c>
    </row>
    <row r="4502">
      <c r="A4502" t="n">
        <v>4118</v>
      </c>
      <c r="B4502" t="inlineStr">
        <is>
          <t>A-5053__359</t>
        </is>
      </c>
      <c r="C4502" t="n">
        <v>37.2847787008</v>
      </c>
      <c r="D4502" t="n">
        <v>-7.14308285773</v>
      </c>
      <c r="E4502" t="n">
        <v>2</v>
      </c>
      <c r="F4502" t="n">
        <v>4</v>
      </c>
      <c r="G4502" t="n">
        <v>2</v>
      </c>
      <c r="H4502" t="n">
        <v>2</v>
      </c>
      <c r="I4502" t="n">
        <v>3</v>
      </c>
      <c r="J4502" t="inlineStr">
        <is>
          <t>Mediana</t>
        </is>
      </c>
      <c r="K4502" t="n">
        <v>2</v>
      </c>
      <c r="L4502" t="n">
        <v>2.249</v>
      </c>
      <c r="M4502" t="n">
        <v>0</v>
      </c>
      <c r="N4502" t="inlineStr">
        <is>
          <t>train</t>
        </is>
      </c>
      <c r="O4502">
        <f>HYPERLINK("NoConsenso\marker_631_964077.png", "Ver Imagen")</f>
        <v/>
      </c>
      <c r="P4502">
        <f>HYPERLINK("SO\A-5053\A-5053__359.png", "Ver Imagen")</f>
        <v/>
      </c>
    </row>
    <row r="4503">
      <c r="A4503" t="n">
        <v>4119</v>
      </c>
      <c r="B4503" t="inlineStr">
        <is>
          <t>A-5053__298</t>
        </is>
      </c>
      <c r="C4503" t="n">
        <v>37.2738713235</v>
      </c>
      <c r="D4503" t="n">
        <v>-7.14216858807</v>
      </c>
      <c r="E4503" t="n">
        <v>3</v>
      </c>
      <c r="F4503" t="n">
        <v>4</v>
      </c>
      <c r="G4503" t="n">
        <v>2</v>
      </c>
      <c r="H4503" t="n">
        <v>3</v>
      </c>
      <c r="I4503" t="n">
        <v>3</v>
      </c>
      <c r="J4503" t="inlineStr">
        <is>
          <t>Mediana</t>
        </is>
      </c>
      <c r="K4503" t="n">
        <v>3</v>
      </c>
      <c r="L4503" t="n">
        <v>3.18</v>
      </c>
      <c r="M4503" t="n">
        <v>0</v>
      </c>
      <c r="N4503" t="inlineStr">
        <is>
          <t>train</t>
        </is>
      </c>
      <c r="O4503">
        <f>HYPERLINK("NoConsenso\marker_347_964884.png", "Ver Imagen")</f>
        <v/>
      </c>
      <c r="P4503">
        <f>HYPERLINK("SO\A-5053\A-5053__298.png", "Ver Imagen")</f>
        <v/>
      </c>
    </row>
    <row r="4504">
      <c r="A4504" t="n">
        <v>4120</v>
      </c>
      <c r="B4504" t="inlineStr">
        <is>
          <t>A-5053__271</t>
        </is>
      </c>
      <c r="C4504" t="n">
        <v>37.2691980879</v>
      </c>
      <c r="D4504" t="n">
        <v>-7.13876805038</v>
      </c>
      <c r="E4504" t="n">
        <v>2</v>
      </c>
      <c r="F4504" t="n">
        <v>2</v>
      </c>
      <c r="G4504" t="n">
        <v>4</v>
      </c>
      <c r="H4504" t="n">
        <v>2</v>
      </c>
      <c r="I4504" t="n">
        <v>2</v>
      </c>
      <c r="J4504" t="inlineStr">
        <is>
          <t>Mediana</t>
        </is>
      </c>
      <c r="K4504" t="n">
        <v>2</v>
      </c>
      <c r="L4504" t="n">
        <v>2.05</v>
      </c>
      <c r="M4504" t="n">
        <v>0</v>
      </c>
      <c r="N4504" t="inlineStr">
        <is>
          <t>train</t>
        </is>
      </c>
      <c r="O4504">
        <f>HYPERLINK("NoConsenso\marker_680_965139.png", "Ver Imagen")</f>
        <v/>
      </c>
      <c r="P4504">
        <f>HYPERLINK("SO\A-5053\A-5053__271.png", "Ver Imagen")</f>
        <v/>
      </c>
    </row>
    <row r="4505">
      <c r="A4505" t="n">
        <v>4121</v>
      </c>
      <c r="B4505" t="inlineStr">
        <is>
          <t>A-5053__245</t>
        </is>
      </c>
      <c r="C4505" t="n">
        <v>37.2666732106</v>
      </c>
      <c r="D4505" t="n">
        <v>-7.13328695205</v>
      </c>
      <c r="E4505" t="n">
        <v>4</v>
      </c>
      <c r="F4505" t="n">
        <v>2</v>
      </c>
      <c r="G4505" t="n">
        <v>2</v>
      </c>
      <c r="H4505" t="n">
        <v>2</v>
      </c>
      <c r="I4505" t="n">
        <v>2</v>
      </c>
      <c r="J4505" t="inlineStr">
        <is>
          <t>Mediana</t>
        </is>
      </c>
      <c r="K4505" t="n">
        <v>2</v>
      </c>
      <c r="L4505" t="n">
        <v>2.148</v>
      </c>
      <c r="M4505" t="n">
        <v>0</v>
      </c>
      <c r="N4505" t="inlineStr">
        <is>
          <t>train</t>
        </is>
      </c>
      <c r="O4505">
        <f>HYPERLINK("NoConsenso\marker_307_965455.png", "Ver Imagen")</f>
        <v/>
      </c>
      <c r="P4505">
        <f>HYPERLINK("SO\A-5053\A-5053__245.png", "Ver Imagen")</f>
        <v/>
      </c>
    </row>
    <row r="4506">
      <c r="A4506" t="n">
        <v>4122</v>
      </c>
      <c r="B4506" t="inlineStr">
        <is>
          <t>A-5053__203</t>
        </is>
      </c>
      <c r="C4506" t="n">
        <v>37.2590618754</v>
      </c>
      <c r="D4506" t="n">
        <v>-7.12849630517</v>
      </c>
      <c r="E4506" t="n">
        <v>4</v>
      </c>
      <c r="F4506" t="n">
        <v>3</v>
      </c>
      <c r="G4506" t="n">
        <v>2</v>
      </c>
      <c r="H4506" t="n">
        <v>2</v>
      </c>
      <c r="I4506" t="n">
        <v>2</v>
      </c>
      <c r="J4506" t="inlineStr">
        <is>
          <t>Mediana</t>
        </is>
      </c>
      <c r="K4506" t="n">
        <v>2</v>
      </c>
      <c r="L4506" t="n">
        <v>2.43</v>
      </c>
      <c r="M4506" t="n">
        <v>0</v>
      </c>
      <c r="N4506" t="inlineStr">
        <is>
          <t>test</t>
        </is>
      </c>
      <c r="O4506">
        <f>HYPERLINK("NoConsenso\marker_548_965860.png", "Ver Imagen")</f>
        <v/>
      </c>
      <c r="P4506">
        <f>HYPERLINK("SO\A-5053\A-5053__203.png", "Ver Imagen")</f>
        <v/>
      </c>
    </row>
    <row r="4507">
      <c r="A4507" t="n">
        <v>4123</v>
      </c>
      <c r="B4507" t="inlineStr">
        <is>
          <t>A-495__51</t>
        </is>
      </c>
      <c r="C4507" t="n">
        <v>37.4404530679</v>
      </c>
      <c r="D4507" t="n">
        <v>-7.08859268385</v>
      </c>
      <c r="E4507" t="n">
        <v>4</v>
      </c>
      <c r="F4507" t="n">
        <v>4</v>
      </c>
      <c r="G4507" t="n">
        <v>2</v>
      </c>
      <c r="H4507" t="n">
        <v>3</v>
      </c>
      <c r="I4507" t="n">
        <v>3</v>
      </c>
      <c r="J4507" t="inlineStr">
        <is>
          <t>Mediana</t>
        </is>
      </c>
      <c r="K4507" t="n">
        <v>3</v>
      </c>
      <c r="L4507" t="n">
        <v>2.963</v>
      </c>
      <c r="M4507" t="n">
        <v>0</v>
      </c>
      <c r="N4507" t="inlineStr">
        <is>
          <t>train</t>
        </is>
      </c>
      <c r="O4507">
        <f>HYPERLINK("NoConsenso\marker_853_381625.png", "Ver Imagen")</f>
        <v/>
      </c>
      <c r="P4507">
        <f>HYPERLINK("NE\A-495\A-495__51.png", "Ver Imagen")</f>
        <v/>
      </c>
    </row>
    <row r="4508">
      <c r="A4508" t="n">
        <v>4124</v>
      </c>
      <c r="B4508" t="inlineStr">
        <is>
          <t>A-495__61</t>
        </is>
      </c>
      <c r="C4508" t="n">
        <v>37.4394066588</v>
      </c>
      <c r="D4508" t="n">
        <v>-7.08640329216</v>
      </c>
      <c r="E4508" t="n">
        <v>4</v>
      </c>
      <c r="F4508" t="n">
        <v>3</v>
      </c>
      <c r="G4508" t="n">
        <v>2</v>
      </c>
      <c r="H4508" t="n">
        <v>3</v>
      </c>
      <c r="I4508" t="n">
        <v>3</v>
      </c>
      <c r="J4508" t="inlineStr">
        <is>
          <t>Mediana</t>
        </is>
      </c>
      <c r="K4508" t="n">
        <v>3</v>
      </c>
      <c r="L4508" t="n">
        <v>3.189</v>
      </c>
      <c r="M4508" t="n">
        <v>0</v>
      </c>
      <c r="N4508" t="inlineStr">
        <is>
          <t>train</t>
        </is>
      </c>
      <c r="O4508">
        <f>HYPERLINK("NoConsenso\marker_109_381719.png", "Ver Imagen")</f>
        <v/>
      </c>
      <c r="P4508">
        <f>HYPERLINK("NE\A-495\A-495__61.png", "Ver Imagen")</f>
        <v/>
      </c>
    </row>
    <row r="4509">
      <c r="A4509" t="n">
        <v>4125</v>
      </c>
      <c r="B4509" t="inlineStr">
        <is>
          <t>A-495__84</t>
        </is>
      </c>
      <c r="C4509" t="n">
        <v>37.4374609787</v>
      </c>
      <c r="D4509" t="n">
        <v>-7.08116429735</v>
      </c>
      <c r="E4509" t="n">
        <v>2</v>
      </c>
      <c r="F4509" t="n">
        <v>3</v>
      </c>
      <c r="G4509" t="n">
        <v>4</v>
      </c>
      <c r="H4509" t="n">
        <v>2</v>
      </c>
      <c r="I4509" t="n">
        <v>3</v>
      </c>
      <c r="J4509" t="inlineStr">
        <is>
          <t>Mediana</t>
        </is>
      </c>
      <c r="K4509" t="n">
        <v>3</v>
      </c>
      <c r="L4509" t="n">
        <v>2.845</v>
      </c>
      <c r="M4509" t="n">
        <v>0</v>
      </c>
      <c r="N4509" t="inlineStr">
        <is>
          <t>train</t>
        </is>
      </c>
      <c r="O4509">
        <f>HYPERLINK("NoConsenso\marker_227_381977.png", "Ver Imagen")</f>
        <v/>
      </c>
      <c r="P4509">
        <f>HYPERLINK("NE\A-495\A-495__84.png", "Ver Imagen")</f>
        <v/>
      </c>
    </row>
    <row r="4510">
      <c r="A4510" t="n">
        <v>4126</v>
      </c>
      <c r="B4510" t="inlineStr">
        <is>
          <t>A-495__107</t>
        </is>
      </c>
      <c r="C4510" t="n">
        <v>37.4353961756</v>
      </c>
      <c r="D4510" t="n">
        <v>-7.07635035625</v>
      </c>
      <c r="E4510" t="n">
        <v>2</v>
      </c>
      <c r="F4510" t="n">
        <v>3</v>
      </c>
      <c r="G4510" t="n">
        <v>1</v>
      </c>
      <c r="H4510" t="n">
        <v>2</v>
      </c>
      <c r="I4510" t="n">
        <v>2</v>
      </c>
      <c r="J4510" t="inlineStr">
        <is>
          <t>Mediana</t>
        </is>
      </c>
      <c r="K4510" t="n">
        <v>2</v>
      </c>
      <c r="L4510" t="n">
        <v>2.065</v>
      </c>
      <c r="M4510" t="n">
        <v>0</v>
      </c>
      <c r="N4510" t="inlineStr">
        <is>
          <t>train</t>
        </is>
      </c>
      <c r="O4510">
        <f>HYPERLINK("NoConsenso\marker_368_382240.png", "Ver Imagen")</f>
        <v/>
      </c>
      <c r="P4510">
        <f>HYPERLINK("NE\A-495\A-495__107.png", "Ver Imagen")</f>
        <v/>
      </c>
    </row>
    <row r="4511">
      <c r="A4511" t="n">
        <v>4127</v>
      </c>
      <c r="B4511" t="inlineStr">
        <is>
          <t>A-495__147</t>
        </is>
      </c>
      <c r="C4511" t="n">
        <v>37.433716659</v>
      </c>
      <c r="D4511" t="n">
        <v>-7.06658755776</v>
      </c>
      <c r="E4511" t="n">
        <v>2</v>
      </c>
      <c r="F4511" t="n">
        <v>3</v>
      </c>
      <c r="G4511" t="n">
        <v>1</v>
      </c>
      <c r="H4511" t="n">
        <v>2</v>
      </c>
      <c r="I4511" t="n">
        <v>2</v>
      </c>
      <c r="J4511" t="inlineStr">
        <is>
          <t>Mediana</t>
        </is>
      </c>
      <c r="K4511" t="n">
        <v>2</v>
      </c>
      <c r="L4511" t="n">
        <v>1.679</v>
      </c>
      <c r="M4511" t="n">
        <v>0</v>
      </c>
      <c r="N4511" t="inlineStr">
        <is>
          <t>train</t>
        </is>
      </c>
      <c r="O4511">
        <f>HYPERLINK("NoConsenso\marker_987_382654.png", "Ver Imagen")</f>
        <v/>
      </c>
      <c r="P4511">
        <f>HYPERLINK("NE\A-495\A-495__147.png", "Ver Imagen")</f>
        <v/>
      </c>
    </row>
    <row r="4512">
      <c r="A4512" t="n">
        <v>4128</v>
      </c>
      <c r="B4512" t="inlineStr">
        <is>
          <t>A-495__160</t>
        </is>
      </c>
      <c r="C4512" t="n">
        <v>37.4324004344</v>
      </c>
      <c r="D4512" t="n">
        <v>-7.06372319226</v>
      </c>
      <c r="E4512" t="n">
        <v>2</v>
      </c>
      <c r="F4512" t="n">
        <v>3</v>
      </c>
      <c r="G4512" t="n">
        <v>1</v>
      </c>
      <c r="H4512" t="n">
        <v>2</v>
      </c>
      <c r="I4512" t="n">
        <v>2</v>
      </c>
      <c r="J4512" t="inlineStr">
        <is>
          <t>Mediana</t>
        </is>
      </c>
      <c r="K4512" t="n">
        <v>2</v>
      </c>
      <c r="L4512" t="n">
        <v>2.411</v>
      </c>
      <c r="M4512" t="n">
        <v>0</v>
      </c>
      <c r="N4512" t="inlineStr">
        <is>
          <t>val</t>
        </is>
      </c>
      <c r="O4512">
        <f>HYPERLINK("NoConsenso\marker_565_382803.png", "Ver Imagen")</f>
        <v/>
      </c>
      <c r="P4512">
        <f>HYPERLINK("NE\A-495\A-495__160.png", "Ver Imagen")</f>
        <v/>
      </c>
    </row>
    <row r="4513">
      <c r="A4513" t="n">
        <v>4130</v>
      </c>
      <c r="B4513" t="inlineStr">
        <is>
          <t>A-495_1__3</t>
        </is>
      </c>
      <c r="C4513" t="n">
        <v>37.4486140361</v>
      </c>
      <c r="D4513" t="n">
        <v>-7.12679257117</v>
      </c>
      <c r="E4513" t="n">
        <v>2</v>
      </c>
      <c r="F4513" t="n">
        <v>3</v>
      </c>
      <c r="G4513" t="n">
        <v>4</v>
      </c>
      <c r="H4513" t="n">
        <v>3</v>
      </c>
      <c r="I4513" t="n">
        <v>3</v>
      </c>
      <c r="J4513" t="inlineStr">
        <is>
          <t>Mediana</t>
        </is>
      </c>
      <c r="K4513" t="n">
        <v>3</v>
      </c>
      <c r="L4513" t="n">
        <v>3.08</v>
      </c>
      <c r="M4513" t="n">
        <v>0</v>
      </c>
      <c r="N4513" t="inlineStr">
        <is>
          <t>train</t>
        </is>
      </c>
      <c r="O4513">
        <f>HYPERLINK("NoConsenso\marker_340_386296.png", "Ver Imagen")</f>
        <v/>
      </c>
      <c r="P4513">
        <f>HYPERLINK("NE\A-495_1\A-495_1__3.png", "Ver Imagen")</f>
        <v/>
      </c>
    </row>
    <row r="4514">
      <c r="A4514" t="n">
        <v>4132</v>
      </c>
      <c r="B4514" t="inlineStr">
        <is>
          <t>A-499__111</t>
        </is>
      </c>
      <c r="C4514" t="n">
        <v>37.5009716544</v>
      </c>
      <c r="D4514" t="n">
        <v>-7.2667677661</v>
      </c>
      <c r="E4514" t="n">
        <v>3</v>
      </c>
      <c r="F4514" t="n">
        <v>1</v>
      </c>
      <c r="G4514" t="n">
        <v>2</v>
      </c>
      <c r="H4514" t="n">
        <v>1</v>
      </c>
      <c r="I4514" t="n">
        <v>1</v>
      </c>
      <c r="J4514" t="inlineStr">
        <is>
          <t>Mediana</t>
        </is>
      </c>
      <c r="K4514" t="n">
        <v>1</v>
      </c>
      <c r="L4514" t="n">
        <v>1</v>
      </c>
      <c r="M4514" t="n">
        <v>0</v>
      </c>
      <c r="N4514" t="inlineStr">
        <is>
          <t>train</t>
        </is>
      </c>
      <c r="O4514">
        <f>HYPERLINK("NoConsenso\marker_548_793416.png", "Ver Imagen")</f>
        <v/>
      </c>
      <c r="P4514">
        <f>HYPERLINK("NO\A-499\A-499__111.png", "Ver Imagen")</f>
        <v/>
      </c>
    </row>
    <row r="4515">
      <c r="A4515" t="n">
        <v>4133</v>
      </c>
      <c r="B4515" t="inlineStr">
        <is>
          <t>A-499__165</t>
        </is>
      </c>
      <c r="C4515" t="n">
        <v>37.5111839326</v>
      </c>
      <c r="D4515" t="n">
        <v>-7.26802653509</v>
      </c>
      <c r="E4515" t="n">
        <v>2</v>
      </c>
      <c r="F4515" t="n">
        <v>1</v>
      </c>
      <c r="G4515" t="n">
        <v>3</v>
      </c>
      <c r="H4515" t="n">
        <v>1</v>
      </c>
      <c r="I4515" t="n">
        <v>1</v>
      </c>
      <c r="J4515" t="inlineStr">
        <is>
          <t>Mediana</t>
        </is>
      </c>
      <c r="K4515" t="n">
        <v>1</v>
      </c>
      <c r="L4515" t="n">
        <v>1</v>
      </c>
      <c r="M4515" t="n">
        <v>0</v>
      </c>
      <c r="N4515" t="inlineStr">
        <is>
          <t>train</t>
        </is>
      </c>
      <c r="O4515">
        <f>HYPERLINK("NoConsenso\marker_637_794689.png", "Ver Imagen")</f>
        <v/>
      </c>
      <c r="P4515">
        <f>HYPERLINK("NO\A-499\A-499__165.png", "Ver Imagen")</f>
        <v/>
      </c>
    </row>
    <row r="4516">
      <c r="A4516" t="n">
        <v>4134</v>
      </c>
      <c r="B4516" t="inlineStr">
        <is>
          <t>A-499__166</t>
        </is>
      </c>
      <c r="C4516" t="n">
        <v>37.5114096858</v>
      </c>
      <c r="D4516" t="n">
        <v>-7.26812424395</v>
      </c>
      <c r="E4516" t="n">
        <v>2</v>
      </c>
      <c r="F4516" t="n">
        <v>1</v>
      </c>
      <c r="G4516" t="n">
        <v>3</v>
      </c>
      <c r="H4516" t="n">
        <v>1</v>
      </c>
      <c r="I4516" t="n">
        <v>1</v>
      </c>
      <c r="J4516" t="inlineStr">
        <is>
          <t>Mediana</t>
        </is>
      </c>
      <c r="K4516" t="n">
        <v>1</v>
      </c>
      <c r="L4516" t="n">
        <v>1.191</v>
      </c>
      <c r="M4516" t="n">
        <v>0</v>
      </c>
      <c r="N4516" t="inlineStr">
        <is>
          <t>train</t>
        </is>
      </c>
      <c r="O4516">
        <f>HYPERLINK("NoConsenso\marker_271_794702.png", "Ver Imagen")</f>
        <v/>
      </c>
      <c r="P4516">
        <f>HYPERLINK("NO\A-499\A-499__166.png", "Ver Imagen")</f>
        <v/>
      </c>
    </row>
    <row r="4517">
      <c r="A4517" t="n">
        <v>4136</v>
      </c>
      <c r="B4517" t="inlineStr">
        <is>
          <t>A-499__196</t>
        </is>
      </c>
      <c r="C4517" t="n">
        <v>37.5166264947</v>
      </c>
      <c r="D4517" t="n">
        <v>-7.26659176607</v>
      </c>
      <c r="E4517" t="n">
        <v>2</v>
      </c>
      <c r="F4517" t="n">
        <v>1</v>
      </c>
      <c r="G4517" t="n">
        <v>3</v>
      </c>
      <c r="H4517" t="n">
        <v>1</v>
      </c>
      <c r="I4517" t="n">
        <v>1</v>
      </c>
      <c r="J4517" t="inlineStr">
        <is>
          <t>Mediana</t>
        </is>
      </c>
      <c r="K4517" t="n">
        <v>1</v>
      </c>
      <c r="L4517" t="n">
        <v>1.134</v>
      </c>
      <c r="M4517" t="n">
        <v>0</v>
      </c>
      <c r="N4517" t="inlineStr">
        <is>
          <t>train</t>
        </is>
      </c>
      <c r="O4517">
        <f>HYPERLINK("NoConsenso\marker_366_795913.png", "Ver Imagen")</f>
        <v/>
      </c>
      <c r="P4517">
        <f>HYPERLINK("NO\A-499\A-499__196.png", "Ver Imagen")</f>
        <v/>
      </c>
    </row>
    <row r="4518">
      <c r="A4518" t="n">
        <v>4138</v>
      </c>
      <c r="B4518" t="inlineStr">
        <is>
          <t>A-499__235</t>
        </is>
      </c>
      <c r="C4518" t="n">
        <v>37.5219339301</v>
      </c>
      <c r="D4518" t="n">
        <v>-7.25959687495</v>
      </c>
      <c r="E4518" t="n">
        <v>2</v>
      </c>
      <c r="F4518" t="n">
        <v>1</v>
      </c>
      <c r="G4518" t="n">
        <v>3</v>
      </c>
      <c r="H4518" t="n">
        <v>2</v>
      </c>
      <c r="I4518" t="n">
        <v>1</v>
      </c>
      <c r="J4518" t="inlineStr">
        <is>
          <t>Modificada</t>
        </is>
      </c>
      <c r="K4518" t="n">
        <v>1</v>
      </c>
      <c r="L4518" t="n">
        <v>1.214</v>
      </c>
      <c r="M4518" t="n">
        <v>0</v>
      </c>
      <c r="N4518" t="inlineStr">
        <is>
          <t>train</t>
        </is>
      </c>
      <c r="O4518">
        <f>HYPERLINK("NoConsenso\marker_142_796711.png", "Ver Imagen")</f>
        <v/>
      </c>
      <c r="P4518">
        <f>HYPERLINK("NO\A-499\A-499__235.png", "Ver Imagen")</f>
        <v/>
      </c>
    </row>
    <row r="4519">
      <c r="A4519" t="n">
        <v>4139</v>
      </c>
      <c r="B4519" t="inlineStr">
        <is>
          <t>A-499__240</t>
        </is>
      </c>
      <c r="C4519" t="n">
        <v>37.5228959709</v>
      </c>
      <c r="D4519" t="n">
        <v>-7.25919965467</v>
      </c>
      <c r="E4519" t="n">
        <v>2</v>
      </c>
      <c r="F4519" t="n">
        <v>1</v>
      </c>
      <c r="G4519" t="n">
        <v>3</v>
      </c>
      <c r="H4519" t="n">
        <v>1</v>
      </c>
      <c r="I4519" t="n">
        <v>2</v>
      </c>
      <c r="J4519" t="inlineStr">
        <is>
          <t>Mediana</t>
        </is>
      </c>
      <c r="K4519" t="n">
        <v>2</v>
      </c>
      <c r="L4519" t="n">
        <v>2.007</v>
      </c>
      <c r="M4519" t="n">
        <v>0</v>
      </c>
      <c r="N4519" t="inlineStr">
        <is>
          <t>train</t>
        </is>
      </c>
      <c r="O4519">
        <f>HYPERLINK("NoConsenso\marker_711_796871.png", "Ver Imagen")</f>
        <v/>
      </c>
      <c r="P4519">
        <f>HYPERLINK("NO\A-499\A-499__240.png", "Ver Imagen")</f>
        <v/>
      </c>
    </row>
    <row r="4520">
      <c r="A4520" t="n">
        <v>4141</v>
      </c>
      <c r="B4520" t="inlineStr">
        <is>
          <t>A-497__670</t>
        </is>
      </c>
      <c r="C4520" t="n">
        <v>37.1998794016</v>
      </c>
      <c r="D4520" t="n">
        <v>-6.9853686468</v>
      </c>
      <c r="E4520" t="n">
        <v>2</v>
      </c>
      <c r="F4520" t="n">
        <v>3</v>
      </c>
      <c r="G4520" t="n">
        <v>4</v>
      </c>
      <c r="H4520" t="n">
        <v>2</v>
      </c>
      <c r="I4520" t="n">
        <v>3</v>
      </c>
      <c r="J4520" t="inlineStr">
        <is>
          <t>Mediana</t>
        </is>
      </c>
      <c r="K4520" t="n">
        <v>3</v>
      </c>
      <c r="L4520" t="n">
        <v>2.774</v>
      </c>
      <c r="M4520" t="n">
        <v>0</v>
      </c>
      <c r="N4520" t="inlineStr">
        <is>
          <t>train</t>
        </is>
      </c>
      <c r="O4520">
        <f>HYPERLINK("NoConsenso\marker_957_371025.png", "Ver Imagen")</f>
        <v/>
      </c>
      <c r="P4520">
        <f>HYPERLINK("SE\A-497\A-497__670.png", "Ver Imagen")</f>
        <v/>
      </c>
    </row>
    <row r="4521">
      <c r="A4521" t="n">
        <v>4142</v>
      </c>
      <c r="B4521" t="inlineStr">
        <is>
          <t>A-497_2C__273</t>
        </is>
      </c>
      <c r="C4521" t="n">
        <v>37.2544758003</v>
      </c>
      <c r="D4521" t="n">
        <v>-7.01522936411</v>
      </c>
      <c r="E4521" t="n">
        <v>2</v>
      </c>
      <c r="F4521" t="n">
        <v>3</v>
      </c>
      <c r="G4521" t="n">
        <v>4</v>
      </c>
      <c r="H4521" t="n">
        <v>2</v>
      </c>
      <c r="I4521" t="n">
        <v>2</v>
      </c>
      <c r="J4521" t="inlineStr">
        <is>
          <t>Mediana</t>
        </is>
      </c>
      <c r="K4521" t="n">
        <v>2</v>
      </c>
      <c r="L4521" t="n">
        <v>1.942</v>
      </c>
      <c r="M4521" t="n">
        <v>0</v>
      </c>
      <c r="N4521" t="inlineStr">
        <is>
          <t>train</t>
        </is>
      </c>
      <c r="O4521">
        <f>HYPERLINK("NoConsenso\marker_114_319772.png", "Ver Imagen")</f>
        <v/>
      </c>
      <c r="P4521">
        <f>HYPERLINK("SE\A-497_2C\A-497_2C__273.png", "Ver Imagen")</f>
        <v/>
      </c>
    </row>
    <row r="4522">
      <c r="A4522" t="n">
        <v>4143</v>
      </c>
      <c r="B4522" t="inlineStr">
        <is>
          <t>A-497__563</t>
        </is>
      </c>
      <c r="C4522" t="n">
        <v>37.2042771314</v>
      </c>
      <c r="D4522" t="n">
        <v>-7.01186446553</v>
      </c>
      <c r="E4522" t="n">
        <v>2</v>
      </c>
      <c r="F4522" t="n">
        <v>4</v>
      </c>
      <c r="G4522" t="n">
        <v>4</v>
      </c>
      <c r="H4522" t="n">
        <v>3</v>
      </c>
      <c r="I4522" t="n">
        <v>4</v>
      </c>
      <c r="J4522" t="inlineStr">
        <is>
          <t>Mediana</t>
        </is>
      </c>
      <c r="K4522" t="n">
        <v>4</v>
      </c>
      <c r="L4522" t="n">
        <v>3.75</v>
      </c>
      <c r="M4522" t="n">
        <v>0</v>
      </c>
      <c r="N4522" t="inlineStr">
        <is>
          <t>train</t>
        </is>
      </c>
      <c r="O4522">
        <f>HYPERLINK("NoConsenso\marker_835_372116.png", "Ver Imagen")</f>
        <v/>
      </c>
      <c r="P4522">
        <f>HYPERLINK("SE\A-497\A-497__563.png", "Ver Imagen")</f>
        <v/>
      </c>
    </row>
    <row r="4523">
      <c r="A4523" t="n">
        <v>4145</v>
      </c>
      <c r="B4523" t="inlineStr">
        <is>
          <t>A-497__177</t>
        </is>
      </c>
      <c r="C4523" t="n">
        <v>37.2653782949</v>
      </c>
      <c r="D4523" t="n">
        <v>-6.99613198015</v>
      </c>
      <c r="E4523" t="n">
        <v>2</v>
      </c>
      <c r="F4523" t="n">
        <v>3</v>
      </c>
      <c r="G4523" t="n">
        <v>1</v>
      </c>
      <c r="H4523" t="n">
        <v>2</v>
      </c>
      <c r="I4523" t="n">
        <v>1</v>
      </c>
      <c r="J4523" t="inlineStr">
        <is>
          <t>Mediana</t>
        </is>
      </c>
      <c r="K4523" t="n">
        <v>2</v>
      </c>
      <c r="L4523" t="n">
        <v>1.869</v>
      </c>
      <c r="M4523" t="n">
        <v>0</v>
      </c>
      <c r="N4523" t="inlineStr">
        <is>
          <t>train</t>
        </is>
      </c>
      <c r="O4523">
        <f>HYPERLINK("NoConsenso\marker_912_379675.png", "Ver Imagen")</f>
        <v/>
      </c>
      <c r="P4523">
        <f>HYPERLINK("SE\A-497\A-497__177.png", "Ver Imagen")</f>
        <v/>
      </c>
    </row>
    <row r="4524">
      <c r="A4524" t="n">
        <v>4146</v>
      </c>
      <c r="B4524" t="inlineStr">
        <is>
          <t>A-497__175</t>
        </is>
      </c>
      <c r="C4524" t="n">
        <v>37.2654682877</v>
      </c>
      <c r="D4524" t="n">
        <v>-6.99560992789</v>
      </c>
      <c r="E4524" t="n">
        <v>2</v>
      </c>
      <c r="F4524" t="n">
        <v>3</v>
      </c>
      <c r="G4524" t="n">
        <v>1</v>
      </c>
      <c r="H4524" t="n">
        <v>2</v>
      </c>
      <c r="I4524" t="n">
        <v>2</v>
      </c>
      <c r="J4524" t="inlineStr">
        <is>
          <t>Mediana</t>
        </is>
      </c>
      <c r="K4524" t="n">
        <v>2</v>
      </c>
      <c r="L4524" t="n">
        <v>1.542</v>
      </c>
      <c r="M4524" t="n">
        <v>0</v>
      </c>
      <c r="N4524" t="inlineStr">
        <is>
          <t>train</t>
        </is>
      </c>
      <c r="O4524">
        <f>HYPERLINK("NoConsenso\marker_893_379698.png", "Ver Imagen")</f>
        <v/>
      </c>
      <c r="P4524">
        <f>HYPERLINK("SE\A-497\A-497__175.png", "Ver Imagen")</f>
        <v/>
      </c>
    </row>
    <row r="4525">
      <c r="A4525" t="n">
        <v>4147</v>
      </c>
      <c r="B4525" t="inlineStr">
        <is>
          <t>A-490__17</t>
        </is>
      </c>
      <c r="C4525" t="n">
        <v>37.4469101342</v>
      </c>
      <c r="D4525" t="n">
        <v>-7.13049698055</v>
      </c>
      <c r="E4525" t="n">
        <v>2</v>
      </c>
      <c r="F4525" t="n">
        <v>4</v>
      </c>
      <c r="G4525" t="n">
        <v>3</v>
      </c>
      <c r="H4525" t="n">
        <v>3</v>
      </c>
      <c r="I4525" t="n">
        <v>3</v>
      </c>
      <c r="J4525" t="inlineStr">
        <is>
          <t>Mediana</t>
        </is>
      </c>
      <c r="K4525" t="n">
        <v>3</v>
      </c>
      <c r="L4525" t="n">
        <v>3.162</v>
      </c>
      <c r="M4525" t="n">
        <v>0</v>
      </c>
      <c r="N4525" t="inlineStr">
        <is>
          <t>train</t>
        </is>
      </c>
      <c r="O4525">
        <f>HYPERLINK("NoConsenso\marker_949_730502.png", "Ver Imagen")</f>
        <v/>
      </c>
      <c r="P4525">
        <f>HYPERLINK("NE\A-490\A-490__17.png", "Ver Imagen")</f>
        <v/>
      </c>
    </row>
    <row r="4526">
      <c r="A4526" t="n">
        <v>4148</v>
      </c>
      <c r="B4526" t="inlineStr">
        <is>
          <t>A-490__21</t>
        </is>
      </c>
      <c r="C4526" t="n">
        <v>37.4466928366</v>
      </c>
      <c r="D4526" t="n">
        <v>-7.13149375018</v>
      </c>
      <c r="E4526" t="n">
        <v>2</v>
      </c>
      <c r="F4526" t="n">
        <v>4</v>
      </c>
      <c r="G4526" t="n">
        <v>3</v>
      </c>
      <c r="H4526" t="n">
        <v>3</v>
      </c>
      <c r="I4526" t="n">
        <v>3</v>
      </c>
      <c r="J4526" t="inlineStr">
        <is>
          <t>Mediana</t>
        </is>
      </c>
      <c r="K4526" t="n">
        <v>3</v>
      </c>
      <c r="L4526" t="n">
        <v>2.902</v>
      </c>
      <c r="M4526" t="n">
        <v>0</v>
      </c>
      <c r="N4526" t="inlineStr">
        <is>
          <t>train</t>
        </is>
      </c>
      <c r="O4526">
        <f>HYPERLINK("NoConsenso\marker_527_730685.png", "Ver Imagen")</f>
        <v/>
      </c>
      <c r="P4526">
        <f>HYPERLINK("NE\A-490\A-490__21.png", "Ver Imagen")</f>
        <v/>
      </c>
    </row>
    <row r="4527">
      <c r="A4527" t="n">
        <v>4149</v>
      </c>
      <c r="B4527" t="inlineStr">
        <is>
          <t>A-490__32</t>
        </is>
      </c>
      <c r="C4527" t="n">
        <v>37.4462860037</v>
      </c>
      <c r="D4527" t="n">
        <v>-7.13425114353</v>
      </c>
      <c r="E4527" t="n">
        <v>2</v>
      </c>
      <c r="F4527" t="n">
        <v>4</v>
      </c>
      <c r="G4527" t="n">
        <v>3</v>
      </c>
      <c r="H4527" t="n">
        <v>3</v>
      </c>
      <c r="I4527" t="n">
        <v>3</v>
      </c>
      <c r="J4527" t="inlineStr">
        <is>
          <t>Mediana</t>
        </is>
      </c>
      <c r="K4527" t="n">
        <v>3</v>
      </c>
      <c r="L4527" t="n">
        <v>2.533</v>
      </c>
      <c r="M4527" t="n">
        <v>0</v>
      </c>
      <c r="N4527" t="inlineStr">
        <is>
          <t>train</t>
        </is>
      </c>
      <c r="O4527">
        <f>HYPERLINK("NoConsenso\marker_517_730986.png", "Ver Imagen")</f>
        <v/>
      </c>
      <c r="P4527">
        <f>HYPERLINK("NE\A-490\A-490__32.png", "Ver Imagen")</f>
        <v/>
      </c>
    </row>
    <row r="4528">
      <c r="A4528" t="n">
        <v>4150</v>
      </c>
      <c r="B4528" t="inlineStr">
        <is>
          <t>A-490__35</t>
        </is>
      </c>
      <c r="C4528" t="n">
        <v>37.4462140922</v>
      </c>
      <c r="D4528" t="n">
        <v>-7.13496879759</v>
      </c>
      <c r="E4528" t="n">
        <v>2</v>
      </c>
      <c r="F4528" t="n">
        <v>4</v>
      </c>
      <c r="G4528" t="n">
        <v>3</v>
      </c>
      <c r="H4528" t="n">
        <v>3</v>
      </c>
      <c r="I4528" t="n">
        <v>3</v>
      </c>
      <c r="J4528" t="inlineStr">
        <is>
          <t>Mediana</t>
        </is>
      </c>
      <c r="K4528" t="n">
        <v>3</v>
      </c>
      <c r="L4528" t="n">
        <v>2.907</v>
      </c>
      <c r="M4528" t="n">
        <v>0</v>
      </c>
      <c r="N4528" t="inlineStr">
        <is>
          <t>train</t>
        </is>
      </c>
      <c r="O4528">
        <f>HYPERLINK("NoConsenso\marker_681_731056.png", "Ver Imagen")</f>
        <v/>
      </c>
      <c r="P4528">
        <f>HYPERLINK("NE\A-490\A-490__35.png", "Ver Imagen")</f>
        <v/>
      </c>
    </row>
    <row r="4529">
      <c r="A4529" t="n">
        <v>4151</v>
      </c>
      <c r="B4529" t="inlineStr">
        <is>
          <t>A-490__38</t>
        </is>
      </c>
      <c r="C4529" t="n">
        <v>37.4461568406</v>
      </c>
      <c r="D4529" t="n">
        <v>-7.13570271563</v>
      </c>
      <c r="E4529" t="n">
        <v>2</v>
      </c>
      <c r="F4529" t="n">
        <v>4</v>
      </c>
      <c r="G4529" t="n">
        <v>3</v>
      </c>
      <c r="H4529" t="n">
        <v>3</v>
      </c>
      <c r="I4529" t="n">
        <v>3</v>
      </c>
      <c r="J4529" t="inlineStr">
        <is>
          <t>Mediana</t>
        </is>
      </c>
      <c r="K4529" t="n">
        <v>3</v>
      </c>
      <c r="L4529" t="n">
        <v>2.904</v>
      </c>
      <c r="M4529" t="n">
        <v>0</v>
      </c>
      <c r="N4529" t="inlineStr">
        <is>
          <t>train</t>
        </is>
      </c>
      <c r="O4529">
        <f>HYPERLINK("NoConsenso\marker_562_731121.png", "Ver Imagen")</f>
        <v/>
      </c>
      <c r="P4529">
        <f>HYPERLINK("NE\A-490\A-490__38.png", "Ver Imagen")</f>
        <v/>
      </c>
    </row>
    <row r="4530">
      <c r="A4530" t="n">
        <v>4152</v>
      </c>
      <c r="B4530" t="inlineStr">
        <is>
          <t>A-490__50</t>
        </is>
      </c>
      <c r="C4530" t="n">
        <v>37.4467937662</v>
      </c>
      <c r="D4530" t="n">
        <v>-7.13861265071</v>
      </c>
      <c r="E4530" t="n">
        <v>2</v>
      </c>
      <c r="F4530" t="n">
        <v>4</v>
      </c>
      <c r="G4530" t="n">
        <v>3</v>
      </c>
      <c r="H4530" t="n">
        <v>3</v>
      </c>
      <c r="I4530" t="n">
        <v>3</v>
      </c>
      <c r="J4530" t="inlineStr">
        <is>
          <t>Mediana</t>
        </is>
      </c>
      <c r="K4530" t="n">
        <v>3</v>
      </c>
      <c r="L4530" t="n">
        <v>2.677</v>
      </c>
      <c r="M4530" t="n">
        <v>0</v>
      </c>
      <c r="N4530" t="inlineStr">
        <is>
          <t>train</t>
        </is>
      </c>
      <c r="O4530">
        <f>HYPERLINK("NoConsenso\marker_693_732289.png", "Ver Imagen")</f>
        <v/>
      </c>
      <c r="P4530">
        <f>HYPERLINK("NE\A-490\A-490__50.png", "Ver Imagen")</f>
        <v/>
      </c>
    </row>
    <row r="4531">
      <c r="A4531" t="n">
        <v>4153</v>
      </c>
      <c r="B4531" t="inlineStr">
        <is>
          <t>A-490__58</t>
        </is>
      </c>
      <c r="C4531" t="n">
        <v>37.4474628616</v>
      </c>
      <c r="D4531" t="n">
        <v>-7.1404376163</v>
      </c>
      <c r="E4531" t="n">
        <v>2</v>
      </c>
      <c r="F4531" t="n">
        <v>4</v>
      </c>
      <c r="G4531" t="n">
        <v>3</v>
      </c>
      <c r="H4531" t="n">
        <v>3</v>
      </c>
      <c r="I4531" t="n">
        <v>3</v>
      </c>
      <c r="J4531" t="inlineStr">
        <is>
          <t>Mediana</t>
        </is>
      </c>
      <c r="K4531" t="n">
        <v>3</v>
      </c>
      <c r="L4531" t="n">
        <v>2.794</v>
      </c>
      <c r="M4531" t="n">
        <v>0</v>
      </c>
      <c r="N4531" t="inlineStr">
        <is>
          <t>train</t>
        </is>
      </c>
      <c r="O4531">
        <f>HYPERLINK("NoConsenso\marker_762_737851.png", "Ver Imagen")</f>
        <v/>
      </c>
      <c r="P4531">
        <f>HYPERLINK("NE\A-490\A-490__58.png", "Ver Imagen")</f>
        <v/>
      </c>
    </row>
    <row r="4532">
      <c r="A4532" t="n">
        <v>4154</v>
      </c>
      <c r="B4532" t="inlineStr">
        <is>
          <t>A-490__65</t>
        </is>
      </c>
      <c r="C4532" t="n">
        <v>37.4481983624</v>
      </c>
      <c r="D4532" t="n">
        <v>-7.14201586725</v>
      </c>
      <c r="E4532" t="n">
        <v>1</v>
      </c>
      <c r="F4532" t="n">
        <v>3</v>
      </c>
      <c r="G4532" t="n">
        <v>3</v>
      </c>
      <c r="H4532" t="n">
        <v>2</v>
      </c>
      <c r="I4532" t="n">
        <v>2</v>
      </c>
      <c r="J4532" t="inlineStr">
        <is>
          <t>Mediana</t>
        </is>
      </c>
      <c r="K4532" t="n">
        <v>2</v>
      </c>
      <c r="L4532" t="n">
        <v>1.857</v>
      </c>
      <c r="M4532" t="n">
        <v>0</v>
      </c>
      <c r="N4532" t="inlineStr">
        <is>
          <t>train</t>
        </is>
      </c>
      <c r="O4532">
        <f>HYPERLINK("NoConsenso\marker_793_738024.png", "Ver Imagen")</f>
        <v/>
      </c>
      <c r="P4532">
        <f>HYPERLINK("NE\A-490\A-490__65.png", "Ver Imagen")</f>
        <v/>
      </c>
    </row>
    <row r="4533">
      <c r="A4533" t="n">
        <v>4156</v>
      </c>
      <c r="B4533" t="inlineStr">
        <is>
          <t>A-490__86</t>
        </is>
      </c>
      <c r="C4533" t="n">
        <v>37.4486986966</v>
      </c>
      <c r="D4533" t="n">
        <v>-7.14745074331</v>
      </c>
      <c r="E4533" t="n">
        <v>1</v>
      </c>
      <c r="F4533" t="n">
        <v>3</v>
      </c>
      <c r="G4533" t="n">
        <v>3</v>
      </c>
      <c r="H4533" t="n">
        <v>3</v>
      </c>
      <c r="I4533" t="n">
        <v>2</v>
      </c>
      <c r="J4533" t="inlineStr">
        <is>
          <t>Mediana</t>
        </is>
      </c>
      <c r="K4533" t="n">
        <v>3</v>
      </c>
      <c r="L4533" t="n">
        <v>2.861</v>
      </c>
      <c r="M4533" t="n">
        <v>0</v>
      </c>
      <c r="N4533" t="inlineStr">
        <is>
          <t>train</t>
        </is>
      </c>
      <c r="O4533">
        <f>HYPERLINK("NoConsenso\marker_916_738820.png", "Ver Imagen")</f>
        <v/>
      </c>
      <c r="P4533">
        <f>HYPERLINK("NE\A-490\A-490__86.png", "Ver Imagen")</f>
        <v/>
      </c>
    </row>
    <row r="4534">
      <c r="A4534" t="n">
        <v>4157</v>
      </c>
      <c r="B4534" t="inlineStr">
        <is>
          <t>A-490__88</t>
        </is>
      </c>
      <c r="C4534" t="n">
        <v>37.4487141888</v>
      </c>
      <c r="D4534" t="n">
        <v>-7.14774036323</v>
      </c>
      <c r="E4534" t="n">
        <v>2</v>
      </c>
      <c r="F4534" t="n">
        <v>4</v>
      </c>
      <c r="G4534" t="n">
        <v>3</v>
      </c>
      <c r="H4534" t="n">
        <v>3</v>
      </c>
      <c r="I4534" t="n">
        <v>3</v>
      </c>
      <c r="J4534" t="inlineStr">
        <is>
          <t>Mediana</t>
        </is>
      </c>
      <c r="K4534" t="n">
        <v>3</v>
      </c>
      <c r="L4534" t="n">
        <v>3.256</v>
      </c>
      <c r="M4534" t="n">
        <v>0</v>
      </c>
      <c r="N4534" t="inlineStr">
        <is>
          <t>train</t>
        </is>
      </c>
      <c r="O4534">
        <f>HYPERLINK("NoConsenso\marker_536_738935.png", "Ver Imagen")</f>
        <v/>
      </c>
      <c r="P4534">
        <f>HYPERLINK("NE\A-490\A-490__88.png", "Ver Imagen")</f>
        <v/>
      </c>
    </row>
    <row r="4535">
      <c r="A4535" t="n">
        <v>4158</v>
      </c>
      <c r="B4535" t="inlineStr">
        <is>
          <t>A-490__99</t>
        </is>
      </c>
      <c r="C4535" t="n">
        <v>37.4491360978</v>
      </c>
      <c r="D4535" t="n">
        <v>-7.15046214545</v>
      </c>
      <c r="E4535" t="n">
        <v>1</v>
      </c>
      <c r="F4535" t="n">
        <v>3</v>
      </c>
      <c r="G4535" t="n">
        <v>3</v>
      </c>
      <c r="H4535" t="n">
        <v>2</v>
      </c>
      <c r="I4535" t="n">
        <v>2</v>
      </c>
      <c r="J4535" t="inlineStr">
        <is>
          <t>Mediana</t>
        </is>
      </c>
      <c r="K4535" t="n">
        <v>2</v>
      </c>
      <c r="L4535" t="n">
        <v>2.204</v>
      </c>
      <c r="M4535" t="n">
        <v>0</v>
      </c>
      <c r="N4535" t="inlineStr">
        <is>
          <t>val</t>
        </is>
      </c>
      <c r="O4535">
        <f>HYPERLINK("NoConsenso\marker_350_739146.png", "Ver Imagen")</f>
        <v/>
      </c>
      <c r="P4535">
        <f>HYPERLINK("NE\A-490\A-490__99.png", "Ver Imagen")</f>
        <v/>
      </c>
    </row>
    <row r="4536">
      <c r="A4536" t="n">
        <v>4159</v>
      </c>
      <c r="B4536" t="inlineStr">
        <is>
          <t>A-490__110</t>
        </is>
      </c>
      <c r="C4536" t="n">
        <v>37.4503379079</v>
      </c>
      <c r="D4536" t="n">
        <v>-7.15281040668</v>
      </c>
      <c r="E4536" t="n">
        <v>2</v>
      </c>
      <c r="F4536" t="n">
        <v>4</v>
      </c>
      <c r="G4536" t="n">
        <v>3</v>
      </c>
      <c r="H4536" t="n">
        <v>3</v>
      </c>
      <c r="I4536" t="n">
        <v>3</v>
      </c>
      <c r="J4536" t="inlineStr">
        <is>
          <t>Mediana</t>
        </is>
      </c>
      <c r="K4536" t="n">
        <v>3</v>
      </c>
      <c r="L4536" t="n">
        <v>3.055</v>
      </c>
      <c r="M4536" t="n">
        <v>0</v>
      </c>
      <c r="N4536" t="inlineStr">
        <is>
          <t>train</t>
        </is>
      </c>
      <c r="O4536">
        <f>HYPERLINK("NoConsenso\marker_630_739762.png", "Ver Imagen")</f>
        <v/>
      </c>
      <c r="P4536">
        <f>HYPERLINK("NE\A-490\A-490__110.png", "Ver Imagen")</f>
        <v/>
      </c>
    </row>
    <row r="4537">
      <c r="A4537" t="n">
        <v>4160</v>
      </c>
      <c r="B4537" t="inlineStr">
        <is>
          <t>A-490__147</t>
        </is>
      </c>
      <c r="C4537" t="n">
        <v>37.4528740032</v>
      </c>
      <c r="D4537" t="n">
        <v>-7.16154819668</v>
      </c>
      <c r="E4537" t="n">
        <v>1</v>
      </c>
      <c r="F4537" t="n">
        <v>3</v>
      </c>
      <c r="G4537" t="n">
        <v>3</v>
      </c>
      <c r="H4537" t="n">
        <v>3</v>
      </c>
      <c r="I4537" t="n">
        <v>3</v>
      </c>
      <c r="J4537" t="inlineStr">
        <is>
          <t>Mediana</t>
        </is>
      </c>
      <c r="K4537" t="n">
        <v>3</v>
      </c>
      <c r="L4537" t="n">
        <v>3.055</v>
      </c>
      <c r="M4537" t="n">
        <v>0</v>
      </c>
      <c r="N4537" t="inlineStr">
        <is>
          <t>train</t>
        </is>
      </c>
      <c r="O4537">
        <f>HYPERLINK("NoConsenso\marker_821_740698.png", "Ver Imagen")</f>
        <v/>
      </c>
      <c r="P4537">
        <f>HYPERLINK("NE\A-490\A-490__147.png", "Ver Imagen")</f>
        <v/>
      </c>
    </row>
    <row r="4538">
      <c r="A4538" t="n">
        <v>4161</v>
      </c>
      <c r="B4538" t="inlineStr">
        <is>
          <t>A-490__150</t>
        </is>
      </c>
      <c r="C4538" t="n">
        <v>37.4531782231</v>
      </c>
      <c r="D4538" t="n">
        <v>-7.16214286032</v>
      </c>
      <c r="E4538" t="n">
        <v>2</v>
      </c>
      <c r="F4538" t="n">
        <v>4</v>
      </c>
      <c r="G4538" t="n">
        <v>3</v>
      </c>
      <c r="H4538" t="n">
        <v>3</v>
      </c>
      <c r="I4538" t="n">
        <v>3</v>
      </c>
      <c r="J4538" t="inlineStr">
        <is>
          <t>Mediana</t>
        </is>
      </c>
      <c r="K4538" t="n">
        <v>3</v>
      </c>
      <c r="L4538" t="n">
        <v>2.916</v>
      </c>
      <c r="M4538" t="n">
        <v>0</v>
      </c>
      <c r="N4538" t="inlineStr">
        <is>
          <t>train</t>
        </is>
      </c>
      <c r="O4538">
        <f>HYPERLINK("NoConsenso\marker_638_740755.png", "Ver Imagen")</f>
        <v/>
      </c>
      <c r="P4538">
        <f>HYPERLINK("NE\A-490\A-490__150.png", "Ver Imagen")</f>
        <v/>
      </c>
    </row>
    <row r="4539">
      <c r="A4539" t="n">
        <v>4162</v>
      </c>
      <c r="B4539" t="inlineStr">
        <is>
          <t>A-490__153</t>
        </is>
      </c>
      <c r="C4539" t="n">
        <v>37.4535113882</v>
      </c>
      <c r="D4539" t="n">
        <v>-7.16280797464</v>
      </c>
      <c r="E4539" t="n">
        <v>2</v>
      </c>
      <c r="F4539" t="n">
        <v>4</v>
      </c>
      <c r="G4539" t="n">
        <v>3</v>
      </c>
      <c r="H4539" t="n">
        <v>3</v>
      </c>
      <c r="I4539" t="n">
        <v>3</v>
      </c>
      <c r="J4539" t="inlineStr">
        <is>
          <t>Mediana</t>
        </is>
      </c>
      <c r="K4539" t="n">
        <v>3</v>
      </c>
      <c r="L4539" t="n">
        <v>2.589</v>
      </c>
      <c r="M4539" t="n">
        <v>0</v>
      </c>
      <c r="N4539" t="inlineStr">
        <is>
          <t>train</t>
        </is>
      </c>
      <c r="O4539">
        <f>HYPERLINK("NoConsenso\marker_567_740841.png", "Ver Imagen")</f>
        <v/>
      </c>
      <c r="P4539">
        <f>HYPERLINK("NE\A-490\A-490__153.png", "Ver Imagen")</f>
        <v/>
      </c>
    </row>
    <row r="4540">
      <c r="A4540" t="n">
        <v>4164</v>
      </c>
      <c r="B4540" t="inlineStr">
        <is>
          <t>A-490__158</t>
        </is>
      </c>
      <c r="C4540" t="n">
        <v>37.4540471836</v>
      </c>
      <c r="D4540" t="n">
        <v>-7.1638608332</v>
      </c>
      <c r="E4540" t="n">
        <v>2</v>
      </c>
      <c r="F4540" t="n">
        <v>4</v>
      </c>
      <c r="G4540" t="n">
        <v>3</v>
      </c>
      <c r="H4540" t="n">
        <v>3</v>
      </c>
      <c r="I4540" t="n">
        <v>2</v>
      </c>
      <c r="J4540" t="inlineStr">
        <is>
          <t>Mediana</t>
        </is>
      </c>
      <c r="K4540" t="n">
        <v>3</v>
      </c>
      <c r="L4540" t="n">
        <v>3.106</v>
      </c>
      <c r="M4540" t="n">
        <v>0</v>
      </c>
      <c r="N4540" t="inlineStr">
        <is>
          <t>train</t>
        </is>
      </c>
      <c r="O4540">
        <f>HYPERLINK("NoConsenso\marker_370_741171.png", "Ver Imagen")</f>
        <v/>
      </c>
      <c r="P4540">
        <f>HYPERLINK("NE\A-490\A-490__158.png", "Ver Imagen")</f>
        <v/>
      </c>
    </row>
    <row r="4541">
      <c r="A4541" t="n">
        <v>4166</v>
      </c>
      <c r="B4541" t="inlineStr">
        <is>
          <t>A-490__169</t>
        </is>
      </c>
      <c r="C4541" t="n">
        <v>37.4554176892</v>
      </c>
      <c r="D4541" t="n">
        <v>-7.16608629489</v>
      </c>
      <c r="E4541" t="n">
        <v>1</v>
      </c>
      <c r="F4541" t="n">
        <v>3</v>
      </c>
      <c r="G4541" t="n">
        <v>3</v>
      </c>
      <c r="H4541" t="n">
        <v>3</v>
      </c>
      <c r="I4541" t="n">
        <v>2</v>
      </c>
      <c r="J4541" t="inlineStr">
        <is>
          <t>Modificada</t>
        </is>
      </c>
      <c r="K4541" t="n">
        <v>2</v>
      </c>
      <c r="L4541" t="n">
        <v>1.884</v>
      </c>
      <c r="M4541" t="n">
        <v>0</v>
      </c>
      <c r="N4541" t="inlineStr">
        <is>
          <t>train</t>
        </is>
      </c>
      <c r="O4541">
        <f>HYPERLINK("NoConsenso\marker_338_741459.png", "Ver Imagen")</f>
        <v/>
      </c>
      <c r="P4541">
        <f>HYPERLINK("NE\A-490\A-490__169.png", "Ver Imagen")</f>
        <v/>
      </c>
    </row>
    <row r="4542">
      <c r="A4542" t="n">
        <v>4167</v>
      </c>
      <c r="B4542" t="inlineStr">
        <is>
          <t>A-490__184</t>
        </is>
      </c>
      <c r="C4542" t="n">
        <v>37.4575546104</v>
      </c>
      <c r="D4542" t="n">
        <v>-7.16871864739</v>
      </c>
      <c r="E4542" t="n">
        <v>2</v>
      </c>
      <c r="F4542" t="n">
        <v>1</v>
      </c>
      <c r="G4542" t="n">
        <v>3</v>
      </c>
      <c r="H4542" t="n">
        <v>3</v>
      </c>
      <c r="I4542" t="n">
        <v>2</v>
      </c>
      <c r="J4542" t="inlineStr">
        <is>
          <t>Mediana</t>
        </is>
      </c>
      <c r="K4542" t="n">
        <v>2</v>
      </c>
      <c r="L4542" t="n">
        <v>1.584</v>
      </c>
      <c r="M4542" t="n">
        <v>0</v>
      </c>
      <c r="N4542" t="inlineStr">
        <is>
          <t>train</t>
        </is>
      </c>
      <c r="O4542">
        <f>HYPERLINK("NoConsenso\marker_102_741894.png", "Ver Imagen")</f>
        <v/>
      </c>
      <c r="P4542">
        <f>HYPERLINK("NE\A-490\A-490__184.png", "Ver Imagen")</f>
        <v/>
      </c>
    </row>
    <row r="4543">
      <c r="A4543" t="n">
        <v>4168</v>
      </c>
      <c r="B4543" t="inlineStr">
        <is>
          <t>A-490__187</t>
        </is>
      </c>
      <c r="C4543" t="n">
        <v>37.457999748</v>
      </c>
      <c r="D4543" t="n">
        <v>-7.16926526896</v>
      </c>
      <c r="E4543" t="n">
        <v>2</v>
      </c>
      <c r="F4543" t="n">
        <v>4</v>
      </c>
      <c r="G4543" t="n">
        <v>3</v>
      </c>
      <c r="H4543" t="n">
        <v>3</v>
      </c>
      <c r="I4543" t="n">
        <v>2</v>
      </c>
      <c r="J4543" t="inlineStr">
        <is>
          <t>Mediana</t>
        </is>
      </c>
      <c r="K4543" t="n">
        <v>3</v>
      </c>
      <c r="L4543" t="n">
        <v>2.9</v>
      </c>
      <c r="M4543" t="n">
        <v>0</v>
      </c>
      <c r="N4543" t="inlineStr">
        <is>
          <t>train</t>
        </is>
      </c>
      <c r="O4543">
        <f>HYPERLINK("NoConsenso\marker_844_741980.png", "Ver Imagen")</f>
        <v/>
      </c>
      <c r="P4543">
        <f>HYPERLINK("NE\A-490\A-490__187.png", "Ver Imagen")</f>
        <v/>
      </c>
    </row>
    <row r="4544">
      <c r="A4544" t="n">
        <v>4169</v>
      </c>
      <c r="B4544" t="inlineStr">
        <is>
          <t>A-490__203</t>
        </is>
      </c>
      <c r="C4544" t="n">
        <v>37.4602175778</v>
      </c>
      <c r="D4544" t="n">
        <v>-7.17219582723</v>
      </c>
      <c r="E4544" t="n">
        <v>1</v>
      </c>
      <c r="F4544" t="n">
        <v>2</v>
      </c>
      <c r="G4544" t="n">
        <v>3</v>
      </c>
      <c r="H4544" t="n">
        <v>2</v>
      </c>
      <c r="I4544" t="n">
        <v>2</v>
      </c>
      <c r="J4544" t="inlineStr">
        <is>
          <t>Mediana</t>
        </is>
      </c>
      <c r="K4544" t="n">
        <v>2</v>
      </c>
      <c r="L4544" t="n">
        <v>1.876</v>
      </c>
      <c r="M4544" t="n">
        <v>0</v>
      </c>
      <c r="N4544" t="inlineStr">
        <is>
          <t>train</t>
        </is>
      </c>
      <c r="O4544">
        <f>HYPERLINK("NoConsenso\marker_112_742441.png", "Ver Imagen")</f>
        <v/>
      </c>
      <c r="P4544">
        <f>HYPERLINK("NE\A-490\A-490__203.png", "Ver Imagen")</f>
        <v/>
      </c>
    </row>
    <row r="4545">
      <c r="A4545" t="n">
        <v>4171</v>
      </c>
      <c r="B4545" t="inlineStr">
        <is>
          <t>A-490__235</t>
        </is>
      </c>
      <c r="C4545" t="n">
        <v>37.4641052377</v>
      </c>
      <c r="D4545" t="n">
        <v>-7.17871342501</v>
      </c>
      <c r="E4545" t="n">
        <v>2</v>
      </c>
      <c r="F4545" t="n">
        <v>4</v>
      </c>
      <c r="G4545" t="n">
        <v>3</v>
      </c>
      <c r="H4545" t="n">
        <v>3</v>
      </c>
      <c r="I4545" t="n">
        <v>3</v>
      </c>
      <c r="J4545" t="inlineStr">
        <is>
          <t>Mediana</t>
        </is>
      </c>
      <c r="K4545" t="n">
        <v>3</v>
      </c>
      <c r="L4545" t="n">
        <v>2.695</v>
      </c>
      <c r="M4545" t="n">
        <v>0</v>
      </c>
      <c r="N4545" t="inlineStr">
        <is>
          <t>train</t>
        </is>
      </c>
      <c r="O4545">
        <f>HYPERLINK("NoConsenso\marker_840_743985.png", "Ver Imagen")</f>
        <v/>
      </c>
      <c r="P4545">
        <f>HYPERLINK("NE\A-490\A-490__235.png", "Ver Imagen")</f>
        <v/>
      </c>
    </row>
    <row r="4546">
      <c r="A4546" t="n">
        <v>4172</v>
      </c>
      <c r="B4546" t="inlineStr">
        <is>
          <t>A-490__263</t>
        </is>
      </c>
      <c r="C4546" t="n">
        <v>37.4672974381</v>
      </c>
      <c r="D4546" t="n">
        <v>-7.18466287265</v>
      </c>
      <c r="E4546" t="n">
        <v>1</v>
      </c>
      <c r="F4546" t="n">
        <v>2</v>
      </c>
      <c r="G4546" t="n">
        <v>3</v>
      </c>
      <c r="H4546" t="n">
        <v>2</v>
      </c>
      <c r="I4546" t="n">
        <v>1</v>
      </c>
      <c r="J4546" t="inlineStr">
        <is>
          <t>Mediana</t>
        </is>
      </c>
      <c r="K4546" t="n">
        <v>2</v>
      </c>
      <c r="L4546" t="n">
        <v>1.851</v>
      </c>
      <c r="M4546" t="n">
        <v>0</v>
      </c>
      <c r="N4546" t="inlineStr">
        <is>
          <t>train</t>
        </is>
      </c>
      <c r="O4546">
        <f>HYPERLINK("NoConsenso\marker_738_749769.png", "Ver Imagen")</f>
        <v/>
      </c>
      <c r="P4546">
        <f>HYPERLINK("NE\A-490\A-490__263.png", "Ver Imagen")</f>
        <v/>
      </c>
    </row>
    <row r="4547">
      <c r="A4547" t="n">
        <v>4172</v>
      </c>
      <c r="B4547" t="inlineStr">
        <is>
          <t>A-490__263</t>
        </is>
      </c>
      <c r="C4547" t="n">
        <v>37.4672974381</v>
      </c>
      <c r="D4547" t="n">
        <v>-7.18466287265</v>
      </c>
      <c r="E4547" t="n">
        <v>1</v>
      </c>
      <c r="F4547" t="n">
        <v>2</v>
      </c>
      <c r="G4547" t="n">
        <v>3</v>
      </c>
      <c r="H4547" t="n">
        <v>2</v>
      </c>
      <c r="I4547" t="n">
        <v>1</v>
      </c>
      <c r="J4547" t="inlineStr">
        <is>
          <t>Mediana</t>
        </is>
      </c>
      <c r="K4547" t="n">
        <v>2</v>
      </c>
      <c r="L4547" t="n">
        <v>2.002</v>
      </c>
      <c r="M4547" t="n">
        <v>0</v>
      </c>
      <c r="N4547" t="inlineStr">
        <is>
          <t>train</t>
        </is>
      </c>
      <c r="O4547">
        <f>HYPERLINK("NoConsenso\marker_738_749769.png", "Ver Imagen")</f>
        <v/>
      </c>
      <c r="P4547">
        <f>HYPERLINK("NO\A-490\A-490__263.png", "Ver Imagen")</f>
        <v/>
      </c>
    </row>
    <row r="4548">
      <c r="A4548" t="n">
        <v>4173</v>
      </c>
      <c r="B4548" t="inlineStr">
        <is>
          <t>A-490__105</t>
        </is>
      </c>
      <c r="C4548" t="n">
        <v>37.449703218</v>
      </c>
      <c r="D4548" t="n">
        <v>-7.15177574362</v>
      </c>
      <c r="E4548" t="n">
        <v>3</v>
      </c>
      <c r="F4548" t="n">
        <v>3</v>
      </c>
      <c r="G4548" t="n">
        <v>5</v>
      </c>
      <c r="H4548" t="n">
        <v>3</v>
      </c>
      <c r="I4548" t="n">
        <v>3</v>
      </c>
      <c r="J4548" t="inlineStr">
        <is>
          <t>Mediana</t>
        </is>
      </c>
      <c r="K4548" t="n">
        <v>3</v>
      </c>
      <c r="L4548" t="n">
        <v>3.286</v>
      </c>
      <c r="M4548" t="n">
        <v>0</v>
      </c>
      <c r="N4548" t="inlineStr">
        <is>
          <t>test</t>
        </is>
      </c>
      <c r="O4548">
        <f>HYPERLINK("NoConsenso\marker_720_739654.png", "Ver Imagen")</f>
        <v/>
      </c>
      <c r="P4548">
        <f>HYPERLINK("NE\A-490\A-490__105.png", "Ver Imagen")</f>
        <v/>
      </c>
    </row>
    <row r="4549">
      <c r="A4549" t="n">
        <v>4174</v>
      </c>
      <c r="B4549" t="inlineStr">
        <is>
          <t>A-490__346</t>
        </is>
      </c>
      <c r="C4549" t="n">
        <v>37.4765022551</v>
      </c>
      <c r="D4549" t="n">
        <v>-7.20223048773</v>
      </c>
      <c r="E4549" t="n">
        <v>1</v>
      </c>
      <c r="F4549" t="n">
        <v>3</v>
      </c>
      <c r="G4549" t="n">
        <v>3</v>
      </c>
      <c r="H4549" t="n">
        <v>2</v>
      </c>
      <c r="I4549" t="n">
        <v>1</v>
      </c>
      <c r="J4549" t="inlineStr">
        <is>
          <t>Mediana</t>
        </is>
      </c>
      <c r="K4549" t="n">
        <v>2</v>
      </c>
      <c r="L4549" t="n">
        <v>1.713</v>
      </c>
      <c r="M4549" t="n">
        <v>0</v>
      </c>
      <c r="N4549" t="inlineStr">
        <is>
          <t>val</t>
        </is>
      </c>
      <c r="O4549">
        <f>HYPERLINK("NoConsenso\marker_777_751614.png", "Ver Imagen")</f>
        <v/>
      </c>
      <c r="P4549">
        <f>HYPERLINK("NE\A-490\A-490__346.png", "Ver Imagen")</f>
        <v/>
      </c>
    </row>
    <row r="4550">
      <c r="A4550" t="n">
        <v>4174</v>
      </c>
      <c r="B4550" t="inlineStr">
        <is>
          <t>A-490__346</t>
        </is>
      </c>
      <c r="C4550" t="n">
        <v>37.4765022551</v>
      </c>
      <c r="D4550" t="n">
        <v>-7.20223048773</v>
      </c>
      <c r="E4550" t="n">
        <v>1</v>
      </c>
      <c r="F4550" t="n">
        <v>3</v>
      </c>
      <c r="G4550" t="n">
        <v>3</v>
      </c>
      <c r="H4550" t="n">
        <v>2</v>
      </c>
      <c r="I4550" t="n">
        <v>1</v>
      </c>
      <c r="J4550" t="inlineStr">
        <is>
          <t>Mediana</t>
        </is>
      </c>
      <c r="K4550" t="n">
        <v>2</v>
      </c>
      <c r="L4550" t="n">
        <v>2.238</v>
      </c>
      <c r="M4550" t="n">
        <v>0</v>
      </c>
      <c r="N4550" t="inlineStr">
        <is>
          <t>val</t>
        </is>
      </c>
      <c r="O4550">
        <f>HYPERLINK("NoConsenso\marker_777_751614.png", "Ver Imagen")</f>
        <v/>
      </c>
      <c r="P4550">
        <f>HYPERLINK("NO\A-490\A-490__346.png", "Ver Imagen")</f>
        <v/>
      </c>
    </row>
    <row r="4551">
      <c r="A4551" t="n">
        <v>4175</v>
      </c>
      <c r="B4551" t="inlineStr">
        <is>
          <t>A-490__355</t>
        </is>
      </c>
      <c r="C4551" t="n">
        <v>37.4773933772</v>
      </c>
      <c r="D4551" t="n">
        <v>-7.20430459655</v>
      </c>
      <c r="E4551" t="n">
        <v>1</v>
      </c>
      <c r="F4551" t="n">
        <v>2</v>
      </c>
      <c r="G4551" t="n">
        <v>3</v>
      </c>
      <c r="H4551" t="n">
        <v>2</v>
      </c>
      <c r="I4551" t="n">
        <v>1</v>
      </c>
      <c r="J4551" t="inlineStr">
        <is>
          <t>Mediana</t>
        </is>
      </c>
      <c r="K4551" t="n">
        <v>2</v>
      </c>
      <c r="L4551" t="n">
        <v>2.382</v>
      </c>
      <c r="M4551" t="n">
        <v>0</v>
      </c>
      <c r="N4551" t="inlineStr">
        <is>
          <t>test</t>
        </is>
      </c>
      <c r="O4551">
        <f>HYPERLINK("NoConsenso\marker_190_751773.png", "Ver Imagen")</f>
        <v/>
      </c>
      <c r="P4551">
        <f>HYPERLINK("NE\A-490\A-490__355.png", "Ver Imagen")</f>
        <v/>
      </c>
    </row>
    <row r="4552">
      <c r="A4552" t="n">
        <v>4175</v>
      </c>
      <c r="B4552" t="inlineStr">
        <is>
          <t>A-490__355</t>
        </is>
      </c>
      <c r="C4552" t="n">
        <v>37.4773933772</v>
      </c>
      <c r="D4552" t="n">
        <v>-7.20430459655</v>
      </c>
      <c r="E4552" t="n">
        <v>1</v>
      </c>
      <c r="F4552" t="n">
        <v>2</v>
      </c>
      <c r="G4552" t="n">
        <v>3</v>
      </c>
      <c r="H4552" t="n">
        <v>2</v>
      </c>
      <c r="I4552" t="n">
        <v>1</v>
      </c>
      <c r="J4552" t="inlineStr">
        <is>
          <t>Mediana</t>
        </is>
      </c>
      <c r="K4552" t="n">
        <v>2</v>
      </c>
      <c r="L4552" t="n">
        <v>2.209</v>
      </c>
      <c r="M4552" t="n">
        <v>0</v>
      </c>
      <c r="N4552" t="inlineStr">
        <is>
          <t>test</t>
        </is>
      </c>
      <c r="O4552">
        <f>HYPERLINK("NoConsenso\marker_190_751773.png", "Ver Imagen")</f>
        <v/>
      </c>
      <c r="P4552">
        <f>HYPERLINK("NO\A-490\A-490__355.png", "Ver Imagen")</f>
        <v/>
      </c>
    </row>
    <row r="4553">
      <c r="A4553" t="n">
        <v>4176</v>
      </c>
      <c r="B4553" t="inlineStr">
        <is>
          <t>A-490__356</t>
        </is>
      </c>
      <c r="C4553" t="n">
        <v>37.4774692399</v>
      </c>
      <c r="D4553" t="n">
        <v>-7.20447831661</v>
      </c>
      <c r="E4553" t="n">
        <v>1</v>
      </c>
      <c r="F4553" t="n">
        <v>3</v>
      </c>
      <c r="G4553" t="n">
        <v>3</v>
      </c>
      <c r="H4553" t="n">
        <v>2</v>
      </c>
      <c r="I4553" t="n">
        <v>2</v>
      </c>
      <c r="J4553" t="inlineStr">
        <is>
          <t>Mediana</t>
        </is>
      </c>
      <c r="K4553" t="n">
        <v>2</v>
      </c>
      <c r="L4553" t="n">
        <v>1.859</v>
      </c>
      <c r="M4553" t="n">
        <v>0</v>
      </c>
      <c r="N4553" t="inlineStr">
        <is>
          <t>test</t>
        </is>
      </c>
      <c r="O4553">
        <f>HYPERLINK("NoConsenso\marker_158_751789.png", "Ver Imagen")</f>
        <v/>
      </c>
      <c r="P4553">
        <f>HYPERLINK("NE\A-490\A-490__356.png", "Ver Imagen")</f>
        <v/>
      </c>
    </row>
    <row r="4554">
      <c r="A4554" t="n">
        <v>4176</v>
      </c>
      <c r="B4554" t="inlineStr">
        <is>
          <t>A-490__356</t>
        </is>
      </c>
      <c r="C4554" t="n">
        <v>37.4774692399</v>
      </c>
      <c r="D4554" t="n">
        <v>-7.20447831661</v>
      </c>
      <c r="E4554" t="n">
        <v>1</v>
      </c>
      <c r="F4554" t="n">
        <v>3</v>
      </c>
      <c r="G4554" t="n">
        <v>3</v>
      </c>
      <c r="H4554" t="n">
        <v>2</v>
      </c>
      <c r="I4554" t="n">
        <v>2</v>
      </c>
      <c r="J4554" t="inlineStr">
        <is>
          <t>Mediana</t>
        </is>
      </c>
      <c r="K4554" t="n">
        <v>2</v>
      </c>
      <c r="L4554" t="n">
        <v>2.209</v>
      </c>
      <c r="M4554" t="n">
        <v>0</v>
      </c>
      <c r="N4554" t="inlineStr">
        <is>
          <t>test</t>
        </is>
      </c>
      <c r="O4554">
        <f>HYPERLINK("NoConsenso\marker_158_751789.png", "Ver Imagen")</f>
        <v/>
      </c>
      <c r="P4554">
        <f>HYPERLINK("NO\A-490\A-490__356.png", "Ver Imagen")</f>
        <v/>
      </c>
    </row>
    <row r="4555">
      <c r="A4555" t="n">
        <v>4177</v>
      </c>
      <c r="B4555" t="inlineStr">
        <is>
          <t>A-490__357</t>
        </is>
      </c>
      <c r="C4555" t="n">
        <v>37.4775653863</v>
      </c>
      <c r="D4555" t="n">
        <v>-7.20469763154</v>
      </c>
      <c r="E4555" t="n">
        <v>1</v>
      </c>
      <c r="F4555" t="n">
        <v>3</v>
      </c>
      <c r="G4555" t="n">
        <v>3</v>
      </c>
      <c r="H4555" t="n">
        <v>2</v>
      </c>
      <c r="I4555" t="n">
        <v>1</v>
      </c>
      <c r="J4555" t="inlineStr">
        <is>
          <t>Mediana</t>
        </is>
      </c>
      <c r="K4555" t="n">
        <v>2</v>
      </c>
      <c r="L4555" t="n">
        <v>2.029</v>
      </c>
      <c r="M4555" t="n">
        <v>0</v>
      </c>
      <c r="N4555" t="inlineStr">
        <is>
          <t>train</t>
        </is>
      </c>
      <c r="O4555">
        <f>HYPERLINK("NoConsenso\marker_355_751809.png", "Ver Imagen")</f>
        <v/>
      </c>
      <c r="P4555">
        <f>HYPERLINK("NO\A-490\A-490__357.png", "Ver Imagen")</f>
        <v/>
      </c>
    </row>
    <row r="4556">
      <c r="A4556" t="n">
        <v>4178</v>
      </c>
      <c r="B4556" t="inlineStr">
        <is>
          <t>A-490__365</t>
        </is>
      </c>
      <c r="C4556" t="n">
        <v>37.4783296233</v>
      </c>
      <c r="D4556" t="n">
        <v>-7.20647456673</v>
      </c>
      <c r="E4556" t="n">
        <v>1</v>
      </c>
      <c r="F4556" t="n">
        <v>3</v>
      </c>
      <c r="G4556" t="n">
        <v>3</v>
      </c>
      <c r="H4556" t="n">
        <v>2</v>
      </c>
      <c r="I4556" t="n">
        <v>2</v>
      </c>
      <c r="J4556" t="inlineStr">
        <is>
          <t>Mediana</t>
        </is>
      </c>
      <c r="K4556" t="n">
        <v>2</v>
      </c>
      <c r="L4556" t="n">
        <v>2.398</v>
      </c>
      <c r="M4556" t="n">
        <v>0</v>
      </c>
      <c r="N4556" t="inlineStr">
        <is>
          <t>train</t>
        </is>
      </c>
      <c r="O4556">
        <f>HYPERLINK("NoConsenso\marker_939_751997.png", "Ver Imagen")</f>
        <v/>
      </c>
      <c r="P4556">
        <f>HYPERLINK("NO\A-490\A-490__365.png", "Ver Imagen")</f>
        <v/>
      </c>
    </row>
    <row r="4557">
      <c r="A4557" t="n">
        <v>4179</v>
      </c>
      <c r="B4557" t="inlineStr">
        <is>
          <t>A-490__372</t>
        </is>
      </c>
      <c r="C4557" t="n">
        <v>37.4790074386</v>
      </c>
      <c r="D4557" t="n">
        <v>-7.20804441331</v>
      </c>
      <c r="E4557" t="n">
        <v>1</v>
      </c>
      <c r="F4557" t="n">
        <v>3</v>
      </c>
      <c r="G4557" t="n">
        <v>3</v>
      </c>
      <c r="H4557" t="n">
        <v>2</v>
      </c>
      <c r="I4557" t="n">
        <v>2</v>
      </c>
      <c r="J4557" t="inlineStr">
        <is>
          <t>Mediana</t>
        </is>
      </c>
      <c r="K4557" t="n">
        <v>2</v>
      </c>
      <c r="L4557" t="n">
        <v>2.033</v>
      </c>
      <c r="M4557" t="n">
        <v>0</v>
      </c>
      <c r="N4557" t="inlineStr">
        <is>
          <t>val</t>
        </is>
      </c>
      <c r="O4557">
        <f>HYPERLINK("NoConsenso\marker_842_752141.png", "Ver Imagen")</f>
        <v/>
      </c>
      <c r="P4557">
        <f>HYPERLINK("NO\A-490\A-490__372.png", "Ver Imagen")</f>
        <v/>
      </c>
    </row>
    <row r="4558">
      <c r="A4558" t="n">
        <v>4180</v>
      </c>
      <c r="B4558" t="inlineStr">
        <is>
          <t>A-490__375</t>
        </is>
      </c>
      <c r="C4558" t="n">
        <v>37.4792968396</v>
      </c>
      <c r="D4558" t="n">
        <v>-7.20875237993</v>
      </c>
      <c r="E4558" t="n">
        <v>1</v>
      </c>
      <c r="F4558" t="n">
        <v>3</v>
      </c>
      <c r="G4558" t="n">
        <v>3</v>
      </c>
      <c r="H4558" t="n">
        <v>2</v>
      </c>
      <c r="I4558" t="n">
        <v>2</v>
      </c>
      <c r="J4558" t="inlineStr">
        <is>
          <t>Mediana</t>
        </is>
      </c>
      <c r="K4558" t="n">
        <v>2</v>
      </c>
      <c r="L4558" t="n">
        <v>2.162</v>
      </c>
      <c r="M4558" t="n">
        <v>0</v>
      </c>
      <c r="N4558" t="inlineStr">
        <is>
          <t>train</t>
        </is>
      </c>
      <c r="O4558">
        <f>HYPERLINK("NoConsenso\marker_389_752208.png", "Ver Imagen")</f>
        <v/>
      </c>
      <c r="P4558">
        <f>HYPERLINK("NO\A-490\A-490__375.png", "Ver Imagen")</f>
        <v/>
      </c>
    </row>
    <row r="4559">
      <c r="A4559" t="n">
        <v>4181</v>
      </c>
      <c r="B4559" t="inlineStr">
        <is>
          <t>A-490__395</t>
        </is>
      </c>
      <c r="C4559" t="n">
        <v>37.4811390634</v>
      </c>
      <c r="D4559" t="n">
        <v>-7.21322992376</v>
      </c>
      <c r="E4559" t="n">
        <v>1</v>
      </c>
      <c r="F4559" t="n">
        <v>3</v>
      </c>
      <c r="G4559" t="n">
        <v>3</v>
      </c>
      <c r="H4559" t="n">
        <v>1</v>
      </c>
      <c r="I4559" t="n">
        <v>2</v>
      </c>
      <c r="J4559" t="inlineStr">
        <is>
          <t>Mediana</t>
        </is>
      </c>
      <c r="K4559" t="n">
        <v>2</v>
      </c>
      <c r="L4559" t="n">
        <v>1.748</v>
      </c>
      <c r="M4559" t="n">
        <v>0</v>
      </c>
      <c r="N4559" t="inlineStr">
        <is>
          <t>train</t>
        </is>
      </c>
      <c r="O4559">
        <f>HYPERLINK("NoConsenso\marker_290_752909.png", "Ver Imagen")</f>
        <v/>
      </c>
      <c r="P4559">
        <f>HYPERLINK("NO\A-490\A-490__395.png", "Ver Imagen")</f>
        <v/>
      </c>
    </row>
    <row r="4560">
      <c r="A4560" t="n">
        <v>4182</v>
      </c>
      <c r="B4560" t="inlineStr">
        <is>
          <t>A-490__397</t>
        </is>
      </c>
      <c r="C4560" t="n">
        <v>37.4812955634</v>
      </c>
      <c r="D4560" t="n">
        <v>-7.21366010865</v>
      </c>
      <c r="E4560" t="n">
        <v>1</v>
      </c>
      <c r="F4560" t="n">
        <v>2</v>
      </c>
      <c r="G4560" t="n">
        <v>3</v>
      </c>
      <c r="H4560" t="n">
        <v>2</v>
      </c>
      <c r="I4560" t="n">
        <v>2</v>
      </c>
      <c r="J4560" t="inlineStr">
        <is>
          <t>Mediana</t>
        </is>
      </c>
      <c r="K4560" t="n">
        <v>2</v>
      </c>
      <c r="L4560" t="n">
        <v>2.184</v>
      </c>
      <c r="M4560" t="n">
        <v>0</v>
      </c>
      <c r="N4560" t="inlineStr">
        <is>
          <t>train</t>
        </is>
      </c>
      <c r="O4560">
        <f>HYPERLINK("NoConsenso\marker_732_752962.png", "Ver Imagen")</f>
        <v/>
      </c>
      <c r="P4560">
        <f>HYPERLINK("NO\A-490\A-490__397.png", "Ver Imagen")</f>
        <v/>
      </c>
    </row>
    <row r="4561">
      <c r="A4561" t="n">
        <v>4183</v>
      </c>
      <c r="B4561" t="inlineStr">
        <is>
          <t>A-490__399</t>
        </is>
      </c>
      <c r="C4561" t="n">
        <v>37.4814856757</v>
      </c>
      <c r="D4561" t="n">
        <v>-7.21417335388</v>
      </c>
      <c r="E4561" t="n">
        <v>1</v>
      </c>
      <c r="F4561" t="n">
        <v>3</v>
      </c>
      <c r="G4561" t="n">
        <v>3</v>
      </c>
      <c r="H4561" t="n">
        <v>2</v>
      </c>
      <c r="I4561" t="n">
        <v>2</v>
      </c>
      <c r="J4561" t="inlineStr">
        <is>
          <t>Mediana</t>
        </is>
      </c>
      <c r="K4561" t="n">
        <v>2</v>
      </c>
      <c r="L4561" t="n">
        <v>2.134</v>
      </c>
      <c r="M4561" t="n">
        <v>0</v>
      </c>
      <c r="N4561" t="inlineStr">
        <is>
          <t>train</t>
        </is>
      </c>
      <c r="O4561">
        <f>HYPERLINK("NoConsenso\marker_514_753000.png", "Ver Imagen")</f>
        <v/>
      </c>
      <c r="P4561">
        <f>HYPERLINK("NO\A-490\A-490__399.png", "Ver Imagen")</f>
        <v/>
      </c>
    </row>
    <row r="4562">
      <c r="A4562" t="n">
        <v>4184</v>
      </c>
      <c r="B4562" t="inlineStr">
        <is>
          <t>A-490__411</t>
        </is>
      </c>
      <c r="C4562" t="n">
        <v>37.4823637115</v>
      </c>
      <c r="D4562" t="n">
        <v>-7.2169523132</v>
      </c>
      <c r="E4562" t="n">
        <v>1</v>
      </c>
      <c r="F4562" t="n">
        <v>2</v>
      </c>
      <c r="G4562" t="n">
        <v>3</v>
      </c>
      <c r="H4562" t="n">
        <v>1</v>
      </c>
      <c r="I4562" t="n">
        <v>2</v>
      </c>
      <c r="J4562" t="inlineStr">
        <is>
          <t>Mediana</t>
        </is>
      </c>
      <c r="K4562" t="n">
        <v>2</v>
      </c>
      <c r="L4562" t="n">
        <v>1.874</v>
      </c>
      <c r="M4562" t="n">
        <v>0</v>
      </c>
      <c r="N4562" t="inlineStr">
        <is>
          <t>train</t>
        </is>
      </c>
      <c r="O4562">
        <f>HYPERLINK("NoConsenso\marker_975_754140.png", "Ver Imagen")</f>
        <v/>
      </c>
      <c r="P4562">
        <f>HYPERLINK("NO\A-490\A-490__411.png", "Ver Imagen")</f>
        <v/>
      </c>
    </row>
    <row r="4563">
      <c r="A4563" t="n">
        <v>4185</v>
      </c>
      <c r="B4563" t="inlineStr">
        <is>
          <t>A-490__413</t>
        </is>
      </c>
      <c r="C4563" t="n">
        <v>37.4824632656</v>
      </c>
      <c r="D4563" t="n">
        <v>-7.21744801446</v>
      </c>
      <c r="E4563" t="n">
        <v>1</v>
      </c>
      <c r="F4563" t="n">
        <v>2</v>
      </c>
      <c r="G4563" t="n">
        <v>3</v>
      </c>
      <c r="H4563" t="n">
        <v>1</v>
      </c>
      <c r="I4563" t="n">
        <v>1</v>
      </c>
      <c r="J4563" t="inlineStr">
        <is>
          <t>Mediana</t>
        </is>
      </c>
      <c r="K4563" t="n">
        <v>1</v>
      </c>
      <c r="L4563" t="n">
        <v>1.377</v>
      </c>
      <c r="M4563" t="n">
        <v>0</v>
      </c>
      <c r="N4563" t="inlineStr">
        <is>
          <t>train</t>
        </is>
      </c>
      <c r="O4563">
        <f>HYPERLINK("NoConsenso\marker_369_754176.png", "Ver Imagen")</f>
        <v/>
      </c>
      <c r="P4563">
        <f>HYPERLINK("NO\A-490\A-490__413.png", "Ver Imagen")</f>
        <v/>
      </c>
    </row>
    <row r="4564">
      <c r="A4564" t="n">
        <v>4186</v>
      </c>
      <c r="B4564" t="inlineStr">
        <is>
          <t>A-490__427</t>
        </is>
      </c>
      <c r="C4564" t="n">
        <v>37.4831586417</v>
      </c>
      <c r="D4564" t="n">
        <v>-7.22097998652</v>
      </c>
      <c r="E4564" t="n">
        <v>1</v>
      </c>
      <c r="F4564" t="n">
        <v>2</v>
      </c>
      <c r="G4564" t="n">
        <v>3</v>
      </c>
      <c r="H4564" t="n">
        <v>2</v>
      </c>
      <c r="I4564" t="n">
        <v>2</v>
      </c>
      <c r="J4564" t="inlineStr">
        <is>
          <t>Mediana</t>
        </is>
      </c>
      <c r="K4564" t="n">
        <v>2</v>
      </c>
      <c r="L4564" t="n">
        <v>1.822</v>
      </c>
      <c r="M4564" t="n">
        <v>0</v>
      </c>
      <c r="N4564" t="inlineStr">
        <is>
          <t>train</t>
        </is>
      </c>
      <c r="O4564">
        <f>HYPERLINK("NoConsenso\marker_932_754411.png", "Ver Imagen")</f>
        <v/>
      </c>
      <c r="P4564">
        <f>HYPERLINK("NO\A-490\A-490__427.png", "Ver Imagen")</f>
        <v/>
      </c>
    </row>
    <row r="4565">
      <c r="A4565" t="n">
        <v>4187</v>
      </c>
      <c r="B4565" t="inlineStr">
        <is>
          <t>A-490__518</t>
        </is>
      </c>
      <c r="C4565" t="n">
        <v>37.4872618997</v>
      </c>
      <c r="D4565" t="n">
        <v>-7.24344998226</v>
      </c>
      <c r="E4565" t="n">
        <v>1</v>
      </c>
      <c r="F4565" t="n">
        <v>3</v>
      </c>
      <c r="G4565" t="n">
        <v>3</v>
      </c>
      <c r="H4565" t="n">
        <v>3</v>
      </c>
      <c r="I4565" t="n">
        <v>3</v>
      </c>
      <c r="J4565" t="inlineStr">
        <is>
          <t>Mediana</t>
        </is>
      </c>
      <c r="K4565" t="n">
        <v>3</v>
      </c>
      <c r="L4565" t="n">
        <v>2.947</v>
      </c>
      <c r="M4565" t="n">
        <v>0</v>
      </c>
      <c r="N4565" t="inlineStr">
        <is>
          <t>train</t>
        </is>
      </c>
      <c r="O4565">
        <f>HYPERLINK("NoConsenso\marker_337_817944.png", "Ver Imagen")</f>
        <v/>
      </c>
      <c r="P4565">
        <f>HYPERLINK("NO\A-490\A-490__518.png", "Ver Imagen")</f>
        <v/>
      </c>
    </row>
    <row r="4566">
      <c r="A4566" t="n">
        <v>4188</v>
      </c>
      <c r="B4566" t="inlineStr">
        <is>
          <t>A-490__520</t>
        </is>
      </c>
      <c r="C4566" t="n">
        <v>37.4874120252</v>
      </c>
      <c r="D4566" t="n">
        <v>-7.24391299313</v>
      </c>
      <c r="E4566" t="n">
        <v>1</v>
      </c>
      <c r="F4566" t="n">
        <v>3</v>
      </c>
      <c r="G4566" t="n">
        <v>3</v>
      </c>
      <c r="H4566" t="n">
        <v>3</v>
      </c>
      <c r="I4566" t="n">
        <v>2</v>
      </c>
      <c r="J4566" t="inlineStr">
        <is>
          <t>Mediana</t>
        </is>
      </c>
      <c r="K4566" t="n">
        <v>3</v>
      </c>
      <c r="L4566" t="n">
        <v>2.779</v>
      </c>
      <c r="M4566" t="n">
        <v>0</v>
      </c>
      <c r="N4566" t="inlineStr">
        <is>
          <t>train</t>
        </is>
      </c>
      <c r="O4566">
        <f>HYPERLINK("NoConsenso\marker_109_818057.png", "Ver Imagen")</f>
        <v/>
      </c>
      <c r="P4566">
        <f>HYPERLINK("NO\A-490\A-490__520.png", "Ver Imagen")</f>
        <v/>
      </c>
    </row>
    <row r="4567">
      <c r="A4567" t="n">
        <v>4189</v>
      </c>
      <c r="B4567" t="inlineStr">
        <is>
          <t>A-490__546</t>
        </is>
      </c>
      <c r="C4567" t="n">
        <v>37.4904093253</v>
      </c>
      <c r="D4567" t="n">
        <v>-7.24926535212</v>
      </c>
      <c r="E4567" t="n">
        <v>1</v>
      </c>
      <c r="F4567" t="n">
        <v>2</v>
      </c>
      <c r="G4567" t="n">
        <v>3</v>
      </c>
      <c r="H4567" t="n">
        <v>2</v>
      </c>
      <c r="I4567" t="n">
        <v>2</v>
      </c>
      <c r="J4567" t="inlineStr">
        <is>
          <t>Mediana</t>
        </is>
      </c>
      <c r="K4567" t="n">
        <v>2</v>
      </c>
      <c r="L4567" t="n">
        <v>1.882</v>
      </c>
      <c r="M4567" t="n">
        <v>0</v>
      </c>
      <c r="N4567" t="inlineStr">
        <is>
          <t>train</t>
        </is>
      </c>
      <c r="O4567">
        <f>HYPERLINK("NoConsenso\marker_794_818465.png", "Ver Imagen")</f>
        <v/>
      </c>
      <c r="P4567">
        <f>HYPERLINK("NO\A-490\A-490__546.png", "Ver Imagen")</f>
        <v/>
      </c>
    </row>
    <row r="4568">
      <c r="A4568" t="n">
        <v>4190</v>
      </c>
      <c r="B4568" t="inlineStr">
        <is>
          <t>A-490__550</t>
        </is>
      </c>
      <c r="C4568" t="n">
        <v>37.4907191073</v>
      </c>
      <c r="D4568" t="n">
        <v>-7.2501749411</v>
      </c>
      <c r="E4568" t="n">
        <v>1</v>
      </c>
      <c r="F4568" t="n">
        <v>3</v>
      </c>
      <c r="G4568" t="n">
        <v>3</v>
      </c>
      <c r="H4568" t="n">
        <v>2</v>
      </c>
      <c r="I4568" t="n">
        <v>2</v>
      </c>
      <c r="J4568" t="inlineStr">
        <is>
          <t>Mediana</t>
        </is>
      </c>
      <c r="K4568" t="n">
        <v>2</v>
      </c>
      <c r="L4568" t="n">
        <v>1.694</v>
      </c>
      <c r="M4568" t="n">
        <v>0</v>
      </c>
      <c r="N4568" t="inlineStr">
        <is>
          <t>train</t>
        </is>
      </c>
      <c r="O4568">
        <f>HYPERLINK("NoConsenso\marker_349_818583.png", "Ver Imagen")</f>
        <v/>
      </c>
      <c r="P4568">
        <f>HYPERLINK("NO\A-490\A-490__550.png", "Ver Imagen")</f>
        <v/>
      </c>
    </row>
    <row r="4569">
      <c r="A4569" t="n">
        <v>4191</v>
      </c>
      <c r="B4569" t="inlineStr">
        <is>
          <t>A-490__551</t>
        </is>
      </c>
      <c r="C4569" t="n">
        <v>37.4907265643</v>
      </c>
      <c r="D4569" t="n">
        <v>-7.2503986873</v>
      </c>
      <c r="E4569" t="n">
        <v>1</v>
      </c>
      <c r="F4569" t="n">
        <v>3</v>
      </c>
      <c r="G4569" t="n">
        <v>3</v>
      </c>
      <c r="H4569" t="n">
        <v>2</v>
      </c>
      <c r="I4569" t="n">
        <v>2</v>
      </c>
      <c r="J4569" t="inlineStr">
        <is>
          <t>Mediana</t>
        </is>
      </c>
      <c r="K4569" t="n">
        <v>2</v>
      </c>
      <c r="L4569" t="n">
        <v>2.401</v>
      </c>
      <c r="M4569" t="n">
        <v>0</v>
      </c>
      <c r="N4569" t="inlineStr">
        <is>
          <t>test</t>
        </is>
      </c>
      <c r="O4569">
        <f>HYPERLINK("NoConsenso\marker_517_818620.png", "Ver Imagen")</f>
        <v/>
      </c>
      <c r="P4569">
        <f>HYPERLINK("NO\A-490\A-490__551.png", "Ver Imagen")</f>
        <v/>
      </c>
    </row>
    <row r="4570">
      <c r="A4570" t="n">
        <v>4192</v>
      </c>
      <c r="B4570" t="inlineStr">
        <is>
          <t>A-490__552</t>
        </is>
      </c>
      <c r="C4570" t="n">
        <v>37.490723829</v>
      </c>
      <c r="D4570" t="n">
        <v>-7.25070210136</v>
      </c>
      <c r="E4570" t="n">
        <v>1</v>
      </c>
      <c r="F4570" t="n">
        <v>3</v>
      </c>
      <c r="G4570" t="n">
        <v>3</v>
      </c>
      <c r="H4570" t="n">
        <v>3</v>
      </c>
      <c r="I4570" t="n">
        <v>2</v>
      </c>
      <c r="J4570" t="inlineStr">
        <is>
          <t>Mediana</t>
        </is>
      </c>
      <c r="K4570" t="n">
        <v>3</v>
      </c>
      <c r="L4570" t="n">
        <v>3.266</v>
      </c>
      <c r="M4570" t="n">
        <v>0</v>
      </c>
      <c r="N4570" t="inlineStr">
        <is>
          <t>train</t>
        </is>
      </c>
      <c r="O4570">
        <f>HYPERLINK("NoConsenso\marker_941_818633.png", "Ver Imagen")</f>
        <v/>
      </c>
      <c r="P4570">
        <f>HYPERLINK("NO\A-490\A-490__552.png", "Ver Imagen")</f>
        <v/>
      </c>
    </row>
    <row r="4571">
      <c r="A4571" t="n">
        <v>4193</v>
      </c>
      <c r="B4571" t="inlineStr">
        <is>
          <t>A-490__588</t>
        </is>
      </c>
      <c r="C4571" t="n">
        <v>37.4902634263</v>
      </c>
      <c r="D4571" t="n">
        <v>-7.25966374009</v>
      </c>
      <c r="E4571" t="n">
        <v>1</v>
      </c>
      <c r="F4571" t="n">
        <v>3</v>
      </c>
      <c r="G4571" t="n">
        <v>3</v>
      </c>
      <c r="H4571" t="n">
        <v>2</v>
      </c>
      <c r="I4571" t="n">
        <v>2</v>
      </c>
      <c r="J4571" t="inlineStr">
        <is>
          <t>Mediana</t>
        </is>
      </c>
      <c r="K4571" t="n">
        <v>2</v>
      </c>
      <c r="L4571" t="n">
        <v>1.709</v>
      </c>
      <c r="M4571" t="n">
        <v>0</v>
      </c>
      <c r="N4571" t="inlineStr">
        <is>
          <t>train</t>
        </is>
      </c>
      <c r="O4571">
        <f>HYPERLINK("NoConsenso\marker_957_819600.png", "Ver Imagen")</f>
        <v/>
      </c>
      <c r="P4571">
        <f>HYPERLINK("NO\A-490\A-490__588.png", "Ver Imagen")</f>
        <v/>
      </c>
    </row>
    <row r="4572">
      <c r="A4572" t="n">
        <v>4194</v>
      </c>
      <c r="B4572" t="inlineStr">
        <is>
          <t>A-490__595</t>
        </is>
      </c>
      <c r="C4572" t="n">
        <v>37.4913352977</v>
      </c>
      <c r="D4572" t="n">
        <v>-7.26085115518</v>
      </c>
      <c r="E4572" t="n">
        <v>1</v>
      </c>
      <c r="F4572" t="n">
        <v>3</v>
      </c>
      <c r="G4572" t="n">
        <v>3</v>
      </c>
      <c r="H4572" t="n">
        <v>3</v>
      </c>
      <c r="I4572" t="n">
        <v>2</v>
      </c>
      <c r="J4572" t="inlineStr">
        <is>
          <t>Mediana</t>
        </is>
      </c>
      <c r="K4572" t="n">
        <v>3</v>
      </c>
      <c r="L4572" t="n">
        <v>2.708</v>
      </c>
      <c r="M4572" t="n">
        <v>0</v>
      </c>
      <c r="N4572" t="inlineStr">
        <is>
          <t>train</t>
        </is>
      </c>
      <c r="O4572">
        <f>HYPERLINK("NoConsenso\marker_988_819694.png", "Ver Imagen")</f>
        <v/>
      </c>
      <c r="P4572">
        <f>HYPERLINK("NO\A-490\A-490__595.png", "Ver Imagen")</f>
        <v/>
      </c>
    </row>
    <row r="4573">
      <c r="A4573" t="n">
        <v>4195</v>
      </c>
      <c r="B4573" t="inlineStr">
        <is>
          <t>A-490__601</t>
        </is>
      </c>
      <c r="C4573" t="n">
        <v>37.4922821455</v>
      </c>
      <c r="D4573" t="n">
        <v>-7.26178364191</v>
      </c>
      <c r="E4573" t="n">
        <v>1</v>
      </c>
      <c r="F4573" t="n">
        <v>2</v>
      </c>
      <c r="G4573" t="n">
        <v>3</v>
      </c>
      <c r="H4573" t="n">
        <v>2</v>
      </c>
      <c r="I4573" t="n">
        <v>2</v>
      </c>
      <c r="J4573" t="inlineStr">
        <is>
          <t>Mediana</t>
        </is>
      </c>
      <c r="K4573" t="n">
        <v>2</v>
      </c>
      <c r="L4573" t="n">
        <v>2.026</v>
      </c>
      <c r="M4573" t="n">
        <v>0</v>
      </c>
      <c r="N4573" t="inlineStr">
        <is>
          <t>train</t>
        </is>
      </c>
      <c r="O4573">
        <f>HYPERLINK("NoConsenso\marker_186_819883.png", "Ver Imagen")</f>
        <v/>
      </c>
      <c r="P4573">
        <f>HYPERLINK("NO\A-490\A-490__601.png", "Ver Imagen")</f>
        <v/>
      </c>
    </row>
    <row r="4574">
      <c r="A4574" t="n">
        <v>4196</v>
      </c>
      <c r="B4574" t="inlineStr">
        <is>
          <t>A-490__602</t>
        </is>
      </c>
      <c r="C4574" t="n">
        <v>37.4924183122</v>
      </c>
      <c r="D4574" t="n">
        <v>-7.26193183171</v>
      </c>
      <c r="E4574" t="n">
        <v>1</v>
      </c>
      <c r="F4574" t="n">
        <v>2</v>
      </c>
      <c r="G4574" t="n">
        <v>3</v>
      </c>
      <c r="H4574" t="n">
        <v>2</v>
      </c>
      <c r="I4574" t="n">
        <v>2</v>
      </c>
      <c r="J4574" t="inlineStr">
        <is>
          <t>Mediana</t>
        </is>
      </c>
      <c r="K4574" t="n">
        <v>2</v>
      </c>
      <c r="L4574" t="n">
        <v>1.537</v>
      </c>
      <c r="M4574" t="n">
        <v>0</v>
      </c>
      <c r="N4574" t="inlineStr">
        <is>
          <t>train</t>
        </is>
      </c>
      <c r="O4574">
        <f>HYPERLINK("NoConsenso\marker_727_820116.png", "Ver Imagen")</f>
        <v/>
      </c>
      <c r="P4574">
        <f>HYPERLINK("NO\A-490\A-490__602.png", "Ver Imagen")</f>
        <v/>
      </c>
    </row>
    <row r="4575">
      <c r="A4575" t="n">
        <v>4197</v>
      </c>
      <c r="B4575" t="inlineStr">
        <is>
          <t>A-490__615</t>
        </is>
      </c>
      <c r="C4575" t="n">
        <v>37.4936792264</v>
      </c>
      <c r="D4575" t="n">
        <v>-7.26483256528</v>
      </c>
      <c r="E4575" t="n">
        <v>1</v>
      </c>
      <c r="F4575" t="n">
        <v>3</v>
      </c>
      <c r="G4575" t="n">
        <v>3</v>
      </c>
      <c r="H4575" t="n">
        <v>3</v>
      </c>
      <c r="I4575" t="n">
        <v>2</v>
      </c>
      <c r="J4575" t="inlineStr">
        <is>
          <t>Mediana</t>
        </is>
      </c>
      <c r="K4575" t="n">
        <v>3</v>
      </c>
      <c r="L4575" t="n">
        <v>3.088</v>
      </c>
      <c r="M4575" t="n">
        <v>0</v>
      </c>
      <c r="N4575" t="inlineStr">
        <is>
          <t>train</t>
        </is>
      </c>
      <c r="O4575">
        <f>HYPERLINK("NoConsenso\marker_354_820254.png", "Ver Imagen")</f>
        <v/>
      </c>
      <c r="P4575">
        <f>HYPERLINK("NO\A-490\A-490__615.png", "Ver Imagen")</f>
        <v/>
      </c>
    </row>
    <row r="4576">
      <c r="A4576" t="n">
        <v>4198</v>
      </c>
      <c r="B4576" t="inlineStr">
        <is>
          <t>A-490__616</t>
        </is>
      </c>
      <c r="C4576" t="n">
        <v>37.4937909384</v>
      </c>
      <c r="D4576" t="n">
        <v>-7.26504942717</v>
      </c>
      <c r="E4576" t="n">
        <v>1</v>
      </c>
      <c r="F4576" t="n">
        <v>3</v>
      </c>
      <c r="G4576" t="n">
        <v>3</v>
      </c>
      <c r="H4576" t="n">
        <v>3</v>
      </c>
      <c r="I4576" t="n">
        <v>3</v>
      </c>
      <c r="J4576" t="inlineStr">
        <is>
          <t>Mediana</t>
        </is>
      </c>
      <c r="K4576" t="n">
        <v>3</v>
      </c>
      <c r="L4576" t="n">
        <v>3.19</v>
      </c>
      <c r="M4576" t="n">
        <v>0</v>
      </c>
      <c r="N4576" t="inlineStr">
        <is>
          <t>train</t>
        </is>
      </c>
      <c r="O4576">
        <f>HYPERLINK("NoConsenso\marker_694_820265.png", "Ver Imagen")</f>
        <v/>
      </c>
      <c r="P4576">
        <f>HYPERLINK("NO\A-490\A-490__616.png", "Ver Imagen")</f>
        <v/>
      </c>
    </row>
    <row r="4577">
      <c r="A4577" t="n">
        <v>4199</v>
      </c>
      <c r="B4577" t="inlineStr">
        <is>
          <t>A-490__619</t>
        </is>
      </c>
      <c r="C4577" t="n">
        <v>37.4941662336</v>
      </c>
      <c r="D4577" t="n">
        <v>-7.26564329185</v>
      </c>
      <c r="E4577" t="n">
        <v>1</v>
      </c>
      <c r="F4577" t="n">
        <v>3</v>
      </c>
      <c r="G4577" t="n">
        <v>3</v>
      </c>
      <c r="H4577" t="n">
        <v>3</v>
      </c>
      <c r="I4577" t="n">
        <v>2</v>
      </c>
      <c r="J4577" t="inlineStr">
        <is>
          <t>Mediana</t>
        </is>
      </c>
      <c r="K4577" t="n">
        <v>3</v>
      </c>
      <c r="L4577" t="n">
        <v>3.042</v>
      </c>
      <c r="M4577" t="n">
        <v>0</v>
      </c>
      <c r="N4577" t="inlineStr">
        <is>
          <t>train</t>
        </is>
      </c>
      <c r="O4577">
        <f>HYPERLINK("NoConsenso\marker_206_820296.png", "Ver Imagen")</f>
        <v/>
      </c>
      <c r="P4577">
        <f>HYPERLINK("NO\A-490\A-490__619.png", "Ver Imagen")</f>
        <v/>
      </c>
    </row>
    <row r="4578">
      <c r="A4578" t="n">
        <v>4201</v>
      </c>
      <c r="B4578" t="inlineStr">
        <is>
          <t>A-492__98</t>
        </is>
      </c>
      <c r="C4578" t="n">
        <v>37.2796831867</v>
      </c>
      <c r="D4578" t="n">
        <v>-7.00681331947</v>
      </c>
      <c r="E4578" t="n">
        <v>1</v>
      </c>
      <c r="F4578" t="n">
        <v>3</v>
      </c>
      <c r="G4578" t="n">
        <v>3</v>
      </c>
      <c r="H4578" t="n">
        <v>2</v>
      </c>
      <c r="I4578" t="n">
        <v>2</v>
      </c>
      <c r="J4578" t="inlineStr">
        <is>
          <t>Mediana</t>
        </is>
      </c>
      <c r="K4578" t="n">
        <v>2</v>
      </c>
      <c r="L4578" t="n">
        <v>1.924</v>
      </c>
      <c r="M4578" t="n">
        <v>0</v>
      </c>
      <c r="N4578" t="inlineStr">
        <is>
          <t>train</t>
        </is>
      </c>
      <c r="O4578">
        <f>HYPERLINK("NoConsenso\marker_650_823736.png", "Ver Imagen")</f>
        <v/>
      </c>
      <c r="P4578">
        <f>HYPERLINK("SE\A-492\A-492__98.png", "Ver Imagen")</f>
        <v/>
      </c>
    </row>
    <row r="4579">
      <c r="A4579" t="n">
        <v>4202</v>
      </c>
      <c r="B4579" t="inlineStr">
        <is>
          <t>A-492__99</t>
        </is>
      </c>
      <c r="C4579" t="n">
        <v>37.279596014</v>
      </c>
      <c r="D4579" t="n">
        <v>-7.00703726148</v>
      </c>
      <c r="E4579" t="n">
        <v>1</v>
      </c>
      <c r="F4579" t="n">
        <v>1</v>
      </c>
      <c r="G4579" t="n">
        <v>3</v>
      </c>
      <c r="H4579" t="n">
        <v>3</v>
      </c>
      <c r="I4579" t="n">
        <v>2</v>
      </c>
      <c r="J4579" t="inlineStr">
        <is>
          <t>Mediana</t>
        </is>
      </c>
      <c r="K4579" t="n">
        <v>2</v>
      </c>
      <c r="L4579" t="n">
        <v>1.738</v>
      </c>
      <c r="M4579" t="n">
        <v>0</v>
      </c>
      <c r="N4579" t="inlineStr">
        <is>
          <t>train</t>
        </is>
      </c>
      <c r="O4579">
        <f>HYPERLINK("NoConsenso\marker_578_823746.png", "Ver Imagen")</f>
        <v/>
      </c>
      <c r="P4579">
        <f>HYPERLINK("SE\A-492\A-492__99.png", "Ver Imagen")</f>
        <v/>
      </c>
    </row>
    <row r="4580">
      <c r="A4580" t="n">
        <v>4203</v>
      </c>
      <c r="B4580" t="inlineStr">
        <is>
          <t>A-492__100</t>
        </is>
      </c>
      <c r="C4580" t="n">
        <v>37.2795040542</v>
      </c>
      <c r="D4580" t="n">
        <v>-7.00727374153</v>
      </c>
      <c r="E4580" t="n">
        <v>1</v>
      </c>
      <c r="F4580" t="n">
        <v>2</v>
      </c>
      <c r="G4580" t="n">
        <v>3</v>
      </c>
      <c r="H4580" t="n">
        <v>2</v>
      </c>
      <c r="I4580" t="n">
        <v>2</v>
      </c>
      <c r="J4580" t="inlineStr">
        <is>
          <t>Mediana</t>
        </is>
      </c>
      <c r="K4580" t="n">
        <v>2</v>
      </c>
      <c r="L4580" t="n">
        <v>1.941</v>
      </c>
      <c r="M4580" t="n">
        <v>0</v>
      </c>
      <c r="N4580" t="inlineStr">
        <is>
          <t>train</t>
        </is>
      </c>
      <c r="O4580">
        <f>HYPERLINK("NoConsenso\marker_319_823762.png", "Ver Imagen")</f>
        <v/>
      </c>
      <c r="P4580">
        <f>HYPERLINK("SE\A-492\A-492__100.png", "Ver Imagen")</f>
        <v/>
      </c>
    </row>
    <row r="4581">
      <c r="A4581" t="n">
        <v>4204</v>
      </c>
      <c r="B4581" t="inlineStr">
        <is>
          <t>A-492__102</t>
        </is>
      </c>
      <c r="C4581" t="n">
        <v>37.2793175806</v>
      </c>
      <c r="D4581" t="n">
        <v>-7.00775130675</v>
      </c>
      <c r="E4581" t="n">
        <v>1</v>
      </c>
      <c r="F4581" t="n">
        <v>3</v>
      </c>
      <c r="G4581" t="n">
        <v>3</v>
      </c>
      <c r="H4581" t="n">
        <v>3</v>
      </c>
      <c r="I4581" t="n">
        <v>2</v>
      </c>
      <c r="J4581" t="inlineStr">
        <is>
          <t>Modificada</t>
        </is>
      </c>
      <c r="K4581" t="n">
        <v>2</v>
      </c>
      <c r="L4581" t="n">
        <v>1.81</v>
      </c>
      <c r="M4581" t="n">
        <v>0</v>
      </c>
      <c r="N4581" t="inlineStr">
        <is>
          <t>train</t>
        </is>
      </c>
      <c r="O4581">
        <f>HYPERLINK("NoConsenso\marker_822_823784.png", "Ver Imagen")</f>
        <v/>
      </c>
      <c r="P4581">
        <f>HYPERLINK("SE\A-492\A-492__102.png", "Ver Imagen")</f>
        <v/>
      </c>
    </row>
    <row r="4582">
      <c r="A4582" t="n">
        <v>4205</v>
      </c>
      <c r="B4582" t="inlineStr">
        <is>
          <t>A-492__103</t>
        </is>
      </c>
      <c r="C4582" t="n">
        <v>37.2792495324</v>
      </c>
      <c r="D4582" t="n">
        <v>-7.0079239662</v>
      </c>
      <c r="E4582" t="n">
        <v>1</v>
      </c>
      <c r="F4582" t="n">
        <v>2</v>
      </c>
      <c r="G4582" t="n">
        <v>3</v>
      </c>
      <c r="H4582" t="n">
        <v>2</v>
      </c>
      <c r="I4582" t="n">
        <v>2</v>
      </c>
      <c r="J4582" t="inlineStr">
        <is>
          <t>Mediana</t>
        </is>
      </c>
      <c r="K4582" t="n">
        <v>2</v>
      </c>
      <c r="L4582" t="n">
        <v>2.229</v>
      </c>
      <c r="M4582" t="n">
        <v>0</v>
      </c>
      <c r="N4582" t="inlineStr">
        <is>
          <t>val</t>
        </is>
      </c>
      <c r="O4582">
        <f>HYPERLINK("NoConsenso\marker_222_823795.png", "Ver Imagen")</f>
        <v/>
      </c>
      <c r="P4582">
        <f>HYPERLINK("SE\A-492\A-492__103.png", "Ver Imagen")</f>
        <v/>
      </c>
    </row>
    <row r="4583">
      <c r="A4583" t="n">
        <v>4206</v>
      </c>
      <c r="B4583" t="inlineStr">
        <is>
          <t>A-492__112</t>
        </is>
      </c>
      <c r="C4583" t="n">
        <v>37.2784074826</v>
      </c>
      <c r="D4583" t="n">
        <v>-7.00996167541</v>
      </c>
      <c r="E4583" t="n">
        <v>2</v>
      </c>
      <c r="F4583" t="n">
        <v>4</v>
      </c>
      <c r="G4583" t="n">
        <v>3</v>
      </c>
      <c r="H4583" t="n">
        <v>3</v>
      </c>
      <c r="I4583" t="n">
        <v>3</v>
      </c>
      <c r="J4583" t="inlineStr">
        <is>
          <t>Mediana</t>
        </is>
      </c>
      <c r="K4583" t="n">
        <v>3</v>
      </c>
      <c r="L4583" t="n">
        <v>2.939</v>
      </c>
      <c r="M4583" t="n">
        <v>0</v>
      </c>
      <c r="N4583" t="inlineStr">
        <is>
          <t>train</t>
        </is>
      </c>
      <c r="O4583">
        <f>HYPERLINK("NoConsenso\marker_419_824313.png", "Ver Imagen")</f>
        <v/>
      </c>
      <c r="P4583">
        <f>HYPERLINK("SE\A-492\A-492__112.png", "Ver Imagen")</f>
        <v/>
      </c>
    </row>
    <row r="4584">
      <c r="A4584" t="n">
        <v>4209</v>
      </c>
      <c r="B4584" t="inlineStr">
        <is>
          <t>A-492__158</t>
        </is>
      </c>
      <c r="C4584" t="n">
        <v>37.2758184153</v>
      </c>
      <c r="D4584" t="n">
        <v>-7.02025871643</v>
      </c>
      <c r="E4584" t="n">
        <v>1</v>
      </c>
      <c r="F4584" t="n">
        <v>2</v>
      </c>
      <c r="G4584" t="n">
        <v>3</v>
      </c>
      <c r="H4584" t="n">
        <v>2</v>
      </c>
      <c r="I4584" t="n">
        <v>1</v>
      </c>
      <c r="J4584" t="inlineStr">
        <is>
          <t>Mediana</t>
        </is>
      </c>
      <c r="K4584" t="n">
        <v>2</v>
      </c>
      <c r="L4584" t="n">
        <v>1.941</v>
      </c>
      <c r="M4584" t="n">
        <v>0</v>
      </c>
      <c r="N4584" t="inlineStr">
        <is>
          <t>train</t>
        </is>
      </c>
      <c r="O4584">
        <f>HYPERLINK("NoConsenso\marker_494_824929.png", "Ver Imagen")</f>
        <v/>
      </c>
      <c r="P4584">
        <f>HYPERLINK("SE\A-492\A-492__158.png", "Ver Imagen")</f>
        <v/>
      </c>
    </row>
    <row r="4585">
      <c r="A4585" t="n">
        <v>4211</v>
      </c>
      <c r="B4585" t="inlineStr">
        <is>
          <t>A-492__168</t>
        </is>
      </c>
      <c r="C4585" t="n">
        <v>37.2761613926</v>
      </c>
      <c r="D4585" t="n">
        <v>-7.02277515416</v>
      </c>
      <c r="E4585" t="n">
        <v>3</v>
      </c>
      <c r="F4585" t="n">
        <v>1</v>
      </c>
      <c r="G4585" t="n">
        <v>3</v>
      </c>
      <c r="H4585" t="n">
        <v>2</v>
      </c>
      <c r="I4585" t="n">
        <v>1</v>
      </c>
      <c r="J4585" t="inlineStr">
        <is>
          <t>Modificada</t>
        </is>
      </c>
      <c r="K4585" t="n">
        <v>1</v>
      </c>
      <c r="L4585" t="n">
        <v>1.281</v>
      </c>
      <c r="M4585" t="n">
        <v>0</v>
      </c>
      <c r="N4585" t="inlineStr">
        <is>
          <t>train</t>
        </is>
      </c>
      <c r="O4585">
        <f>HYPERLINK("NoConsenso\marker_533_831425.png", "Ver Imagen")</f>
        <v/>
      </c>
      <c r="P4585">
        <f>HYPERLINK("SE\A-492\A-492__168.png", "Ver Imagen")</f>
        <v/>
      </c>
    </row>
    <row r="4586">
      <c r="A4586" t="n">
        <v>4212</v>
      </c>
      <c r="B4586" t="inlineStr">
        <is>
          <t>A-492__189</t>
        </is>
      </c>
      <c r="C4586" t="n">
        <v>37.2770514012</v>
      </c>
      <c r="D4586" t="n">
        <v>-7.02794018428</v>
      </c>
      <c r="E4586" t="n">
        <v>1</v>
      </c>
      <c r="F4586" t="n">
        <v>3</v>
      </c>
      <c r="G4586" t="n">
        <v>3</v>
      </c>
      <c r="H4586" t="n">
        <v>3</v>
      </c>
      <c r="I4586" t="n">
        <v>2</v>
      </c>
      <c r="J4586" t="inlineStr">
        <is>
          <t>Mediana</t>
        </is>
      </c>
      <c r="K4586" t="n">
        <v>3</v>
      </c>
      <c r="L4586" t="n">
        <v>2.639</v>
      </c>
      <c r="M4586" t="n">
        <v>0</v>
      </c>
      <c r="N4586" t="inlineStr">
        <is>
          <t>train</t>
        </is>
      </c>
      <c r="O4586">
        <f>HYPERLINK("NoConsenso\marker_139_831790.png", "Ver Imagen")</f>
        <v/>
      </c>
      <c r="P4586">
        <f>HYPERLINK("SE\A-492\A-492__189.png", "Ver Imagen")</f>
        <v/>
      </c>
    </row>
    <row r="4587">
      <c r="A4587" t="n">
        <v>4213</v>
      </c>
      <c r="B4587" t="inlineStr">
        <is>
          <t>A-492__218</t>
        </is>
      </c>
      <c r="C4587" t="n">
        <v>37.2816588588</v>
      </c>
      <c r="D4587" t="n">
        <v>-7.03221795849</v>
      </c>
      <c r="E4587" t="n">
        <v>1</v>
      </c>
      <c r="F4587" t="n">
        <v>3</v>
      </c>
      <c r="G4587" t="n">
        <v>3</v>
      </c>
      <c r="H4587" t="n">
        <v>2</v>
      </c>
      <c r="I4587" t="n">
        <v>2</v>
      </c>
      <c r="J4587" t="inlineStr">
        <is>
          <t>Mediana</t>
        </is>
      </c>
      <c r="K4587" t="n">
        <v>2</v>
      </c>
      <c r="L4587" t="n">
        <v>2.074</v>
      </c>
      <c r="M4587" t="n">
        <v>0</v>
      </c>
      <c r="N4587" t="inlineStr">
        <is>
          <t>val</t>
        </is>
      </c>
      <c r="O4587">
        <f>HYPERLINK("NoConsenso\marker_360_832790.png", "Ver Imagen")</f>
        <v/>
      </c>
      <c r="P4587">
        <f>HYPERLINK("SE\A-492\A-492__218.png", "Ver Imagen")</f>
        <v/>
      </c>
    </row>
    <row r="4588">
      <c r="A4588" t="n">
        <v>4214</v>
      </c>
      <c r="B4588" t="inlineStr">
        <is>
          <t>A-492__231</t>
        </is>
      </c>
      <c r="C4588" t="n">
        <v>37.2837302185</v>
      </c>
      <c r="D4588" t="n">
        <v>-7.03414425341</v>
      </c>
      <c r="E4588" t="n">
        <v>1</v>
      </c>
      <c r="F4588" t="n">
        <v>3</v>
      </c>
      <c r="G4588" t="n">
        <v>3</v>
      </c>
      <c r="H4588" t="n">
        <v>2</v>
      </c>
      <c r="I4588" t="n">
        <v>1</v>
      </c>
      <c r="J4588" t="inlineStr">
        <is>
          <t>Mediana</t>
        </is>
      </c>
      <c r="K4588" t="n">
        <v>2</v>
      </c>
      <c r="L4588" t="n">
        <v>1.831</v>
      </c>
      <c r="M4588" t="n">
        <v>0</v>
      </c>
      <c r="N4588" t="inlineStr">
        <is>
          <t>train</t>
        </is>
      </c>
      <c r="O4588">
        <f>HYPERLINK("NoConsenso\marker_654_835828.png", "Ver Imagen")</f>
        <v/>
      </c>
      <c r="P4588">
        <f>HYPERLINK("SE\A-492\A-492__231.png", "Ver Imagen")</f>
        <v/>
      </c>
    </row>
    <row r="4589">
      <c r="A4589" t="n">
        <v>4215</v>
      </c>
      <c r="B4589" t="inlineStr">
        <is>
          <t>A-492__269</t>
        </is>
      </c>
      <c r="C4589" t="n">
        <v>37.2871388577</v>
      </c>
      <c r="D4589" t="n">
        <v>-7.04202278312</v>
      </c>
      <c r="E4589" t="n">
        <v>1</v>
      </c>
      <c r="F4589" t="n">
        <v>2</v>
      </c>
      <c r="G4589" t="n">
        <v>3</v>
      </c>
      <c r="H4589" t="n">
        <v>2</v>
      </c>
      <c r="I4589" t="n">
        <v>2</v>
      </c>
      <c r="J4589" t="inlineStr">
        <is>
          <t>Mediana</t>
        </is>
      </c>
      <c r="K4589" t="n">
        <v>2</v>
      </c>
      <c r="L4589" t="n">
        <v>2.284</v>
      </c>
      <c r="M4589" t="n">
        <v>0</v>
      </c>
      <c r="N4589" t="inlineStr">
        <is>
          <t>train</t>
        </is>
      </c>
      <c r="O4589">
        <f>HYPERLINK("NoConsenso\marker_617_836739.png", "Ver Imagen")</f>
        <v/>
      </c>
      <c r="P4589">
        <f>HYPERLINK("SE\A-492\A-492__269.png", "Ver Imagen")</f>
        <v/>
      </c>
    </row>
    <row r="4590">
      <c r="A4590" t="n">
        <v>4216</v>
      </c>
      <c r="B4590" t="inlineStr">
        <is>
          <t>A-492__271</t>
        </is>
      </c>
      <c r="C4590" t="n">
        <v>37.2874597839</v>
      </c>
      <c r="D4590" t="n">
        <v>-7.04216881736</v>
      </c>
      <c r="E4590" t="n">
        <v>1</v>
      </c>
      <c r="F4590" t="n">
        <v>2</v>
      </c>
      <c r="G4590" t="n">
        <v>3</v>
      </c>
      <c r="H4590" t="n">
        <v>2</v>
      </c>
      <c r="I4590" t="n">
        <v>2</v>
      </c>
      <c r="J4590" t="inlineStr">
        <is>
          <t>Mediana</t>
        </is>
      </c>
      <c r="K4590" t="n">
        <v>2</v>
      </c>
      <c r="L4590" t="n">
        <v>1.944</v>
      </c>
      <c r="M4590" t="n">
        <v>0</v>
      </c>
      <c r="N4590" t="inlineStr">
        <is>
          <t>test</t>
        </is>
      </c>
      <c r="O4590">
        <f>HYPERLINK("NoConsenso\marker_297_836795.png", "Ver Imagen")</f>
        <v/>
      </c>
      <c r="P4590">
        <f>HYPERLINK("SE\A-492\A-492__271.png", "Ver Imagen")</f>
        <v/>
      </c>
    </row>
    <row r="4591">
      <c r="A4591" t="n">
        <v>4217</v>
      </c>
      <c r="B4591" t="inlineStr">
        <is>
          <t>A-492__275</t>
        </is>
      </c>
      <c r="C4591" t="n">
        <v>37.2882232109</v>
      </c>
      <c r="D4591" t="n">
        <v>-7.04258399885</v>
      </c>
      <c r="E4591" t="n">
        <v>1</v>
      </c>
      <c r="F4591" t="n">
        <v>2</v>
      </c>
      <c r="G4591" t="n">
        <v>3</v>
      </c>
      <c r="H4591" t="n">
        <v>2</v>
      </c>
      <c r="I4591" t="n">
        <v>2</v>
      </c>
      <c r="J4591" t="inlineStr">
        <is>
          <t>Mediana</t>
        </is>
      </c>
      <c r="K4591" t="n">
        <v>2</v>
      </c>
      <c r="L4591" t="n">
        <v>1.97</v>
      </c>
      <c r="M4591" t="n">
        <v>0</v>
      </c>
      <c r="N4591" t="inlineStr">
        <is>
          <t>train</t>
        </is>
      </c>
      <c r="O4591">
        <f>HYPERLINK("NoConsenso\marker_547_836855.png", "Ver Imagen")</f>
        <v/>
      </c>
      <c r="P4591">
        <f>HYPERLINK("SE\A-492\A-492__275.png", "Ver Imagen")</f>
        <v/>
      </c>
    </row>
    <row r="4592">
      <c r="A4592" t="n">
        <v>4218</v>
      </c>
      <c r="B4592" t="inlineStr">
        <is>
          <t>A-492__276</t>
        </is>
      </c>
      <c r="C4592" t="n">
        <v>37.2883960812</v>
      </c>
      <c r="D4592" t="n">
        <v>-7.04272226298</v>
      </c>
      <c r="E4592" t="n">
        <v>1</v>
      </c>
      <c r="F4592" t="n">
        <v>2</v>
      </c>
      <c r="G4592" t="n">
        <v>3</v>
      </c>
      <c r="H4592" t="n">
        <v>2</v>
      </c>
      <c r="I4592" t="n">
        <v>1</v>
      </c>
      <c r="J4592" t="inlineStr">
        <is>
          <t>Mediana</t>
        </is>
      </c>
      <c r="K4592" t="n">
        <v>2</v>
      </c>
      <c r="L4592" t="n">
        <v>1.825</v>
      </c>
      <c r="M4592" t="n">
        <v>0</v>
      </c>
      <c r="N4592" t="inlineStr">
        <is>
          <t>train</t>
        </is>
      </c>
      <c r="O4592">
        <f>HYPERLINK("NoConsenso\marker_782_836865.png", "Ver Imagen")</f>
        <v/>
      </c>
      <c r="P4592">
        <f>HYPERLINK("SE\A-492\A-492__276.png", "Ver Imagen")</f>
        <v/>
      </c>
    </row>
    <row r="4593">
      <c r="A4593" t="n">
        <v>4219</v>
      </c>
      <c r="B4593" t="inlineStr">
        <is>
          <t>A-492__287</t>
        </is>
      </c>
      <c r="C4593" t="n">
        <v>37.2899326883</v>
      </c>
      <c r="D4593" t="n">
        <v>-7.04477131076</v>
      </c>
      <c r="E4593" t="n">
        <v>1</v>
      </c>
      <c r="F4593" t="n">
        <v>2</v>
      </c>
      <c r="G4593" t="n">
        <v>3</v>
      </c>
      <c r="H4593" t="n">
        <v>2</v>
      </c>
      <c r="I4593" t="n">
        <v>1</v>
      </c>
      <c r="J4593" t="inlineStr">
        <is>
          <t>Mediana</t>
        </is>
      </c>
      <c r="K4593" t="n">
        <v>2</v>
      </c>
      <c r="L4593" t="n">
        <v>1.956</v>
      </c>
      <c r="M4593" t="n">
        <v>0</v>
      </c>
      <c r="N4593" t="inlineStr">
        <is>
          <t>train</t>
        </is>
      </c>
      <c r="O4593">
        <f>HYPERLINK("NoConsenso\marker_213_837381.png", "Ver Imagen")</f>
        <v/>
      </c>
      <c r="P4593">
        <f>HYPERLINK("SE\A-492\A-492__287.png", "Ver Imagen")</f>
        <v/>
      </c>
    </row>
    <row r="4594">
      <c r="A4594" t="n">
        <v>4220</v>
      </c>
      <c r="B4594" t="inlineStr">
        <is>
          <t>A-492__360</t>
        </is>
      </c>
      <c r="C4594" t="n">
        <v>37.3008802251</v>
      </c>
      <c r="D4594" t="n">
        <v>-7.05607795337</v>
      </c>
      <c r="E4594" t="n">
        <v>3</v>
      </c>
      <c r="F4594" t="n">
        <v>2</v>
      </c>
      <c r="G4594" t="n">
        <v>4</v>
      </c>
      <c r="H4594" t="n">
        <v>3</v>
      </c>
      <c r="I4594" t="n">
        <v>3</v>
      </c>
      <c r="J4594" t="inlineStr">
        <is>
          <t>Mediana</t>
        </is>
      </c>
      <c r="K4594" t="n">
        <v>3</v>
      </c>
      <c r="L4594" t="n">
        <v>2.797</v>
      </c>
      <c r="M4594" t="n">
        <v>0</v>
      </c>
      <c r="N4594" t="inlineStr">
        <is>
          <t>train</t>
        </is>
      </c>
      <c r="O4594">
        <f>HYPERLINK("NoConsenso\marker_125_838628.png", "Ver Imagen")</f>
        <v/>
      </c>
      <c r="P4594">
        <f>HYPERLINK("SE\A-492\A-492__360.png", "Ver Imagen")</f>
        <v/>
      </c>
    </row>
    <row r="4595">
      <c r="A4595" t="n">
        <v>4221</v>
      </c>
      <c r="B4595" t="inlineStr">
        <is>
          <t>A-492__421</t>
        </is>
      </c>
      <c r="C4595" t="n">
        <v>37.3122825968</v>
      </c>
      <c r="D4595" t="n">
        <v>-7.06061671691</v>
      </c>
      <c r="E4595" t="n">
        <v>1</v>
      </c>
      <c r="F4595" t="n">
        <v>3</v>
      </c>
      <c r="G4595" t="n">
        <v>3</v>
      </c>
      <c r="H4595" t="n">
        <v>2</v>
      </c>
      <c r="I4595" t="n">
        <v>2</v>
      </c>
      <c r="J4595" t="inlineStr">
        <is>
          <t>Mediana</t>
        </is>
      </c>
      <c r="K4595" t="n">
        <v>2</v>
      </c>
      <c r="L4595" t="n">
        <v>2.412</v>
      </c>
      <c r="M4595" t="n">
        <v>0</v>
      </c>
      <c r="N4595" t="inlineStr">
        <is>
          <t>val</t>
        </is>
      </c>
      <c r="O4595">
        <f>HYPERLINK("NoConsenso\marker_798_839426.png", "Ver Imagen")</f>
        <v/>
      </c>
      <c r="P4595">
        <f>HYPERLINK("SE\A-492\A-492__421.png", "Ver Imagen")</f>
        <v/>
      </c>
    </row>
    <row r="4596">
      <c r="A4596" t="n">
        <v>4222</v>
      </c>
      <c r="B4596" t="inlineStr">
        <is>
          <t>A-492__431</t>
        </is>
      </c>
      <c r="C4596" t="n">
        <v>37.313469113</v>
      </c>
      <c r="D4596" t="n">
        <v>-7.06259714696</v>
      </c>
      <c r="E4596" t="n">
        <v>1</v>
      </c>
      <c r="F4596" t="n">
        <v>2</v>
      </c>
      <c r="G4596" t="n">
        <v>3</v>
      </c>
      <c r="H4596" t="n">
        <v>2</v>
      </c>
      <c r="I4596" t="n">
        <v>1</v>
      </c>
      <c r="J4596" t="inlineStr">
        <is>
          <t>Mediana</t>
        </is>
      </c>
      <c r="K4596" t="n">
        <v>2</v>
      </c>
      <c r="L4596" t="n">
        <v>2.183</v>
      </c>
      <c r="M4596" t="n">
        <v>0</v>
      </c>
      <c r="N4596" t="inlineStr">
        <is>
          <t>train</t>
        </is>
      </c>
      <c r="O4596">
        <f>HYPERLINK("NoConsenso\marker_969_839538.png", "Ver Imagen")</f>
        <v/>
      </c>
      <c r="P4596">
        <f>HYPERLINK("SE\A-492\A-492__431.png", "Ver Imagen")</f>
        <v/>
      </c>
    </row>
    <row r="4597">
      <c r="A4597" t="n">
        <v>4224</v>
      </c>
      <c r="B4597" t="inlineStr">
        <is>
          <t>A-497__29</t>
        </is>
      </c>
      <c r="C4597" t="n">
        <v>37.2674988355</v>
      </c>
      <c r="D4597" t="n">
        <v>-6.96300693076</v>
      </c>
      <c r="E4597" t="n">
        <v>2</v>
      </c>
      <c r="F4597" t="n">
        <v>4</v>
      </c>
      <c r="G4597" t="n">
        <v>3</v>
      </c>
      <c r="H4597" t="n">
        <v>3</v>
      </c>
      <c r="I4597" t="n">
        <v>4</v>
      </c>
      <c r="J4597" t="inlineStr">
        <is>
          <t>Mediana</t>
        </is>
      </c>
      <c r="K4597" t="n">
        <v>3</v>
      </c>
      <c r="L4597" t="n">
        <v>2.941</v>
      </c>
      <c r="M4597" t="n">
        <v>0</v>
      </c>
      <c r="N4597" t="inlineStr">
        <is>
          <t>train</t>
        </is>
      </c>
      <c r="O4597">
        <f>HYPERLINK("NoConsenso\marker_793_940881.png", "Ver Imagen")</f>
        <v/>
      </c>
      <c r="P4597">
        <f>HYPERLINK("SE\A-497\A-497__29.png", "Ver Imagen")</f>
        <v/>
      </c>
    </row>
    <row r="4598">
      <c r="A4598" t="n">
        <v>4225</v>
      </c>
      <c r="B4598" t="inlineStr">
        <is>
          <t>A-497__28</t>
        </is>
      </c>
      <c r="C4598" t="n">
        <v>37.2674934602</v>
      </c>
      <c r="D4598" t="n">
        <v>-6.96276168285</v>
      </c>
      <c r="E4598" t="n">
        <v>2</v>
      </c>
      <c r="F4598" t="n">
        <v>4</v>
      </c>
      <c r="G4598" t="n">
        <v>3</v>
      </c>
      <c r="H4598" t="n">
        <v>4</v>
      </c>
      <c r="I4598" t="n">
        <v>4</v>
      </c>
      <c r="J4598" t="inlineStr">
        <is>
          <t>Mediana</t>
        </is>
      </c>
      <c r="K4598" t="n">
        <v>4</v>
      </c>
      <c r="L4598" t="n">
        <v>3.979</v>
      </c>
      <c r="M4598" t="n">
        <v>0</v>
      </c>
      <c r="N4598" t="inlineStr">
        <is>
          <t>train</t>
        </is>
      </c>
      <c r="O4598">
        <f>HYPERLINK("NoConsenso\marker_401_940890.png", "Ver Imagen")</f>
        <v/>
      </c>
      <c r="P4598">
        <f>HYPERLINK("SE\A-497\A-497__28.png", "Ver Imagen")</f>
        <v/>
      </c>
    </row>
    <row r="4599">
      <c r="A4599" t="n">
        <v>4226</v>
      </c>
      <c r="B4599" t="inlineStr">
        <is>
          <t>A-5050__172</t>
        </is>
      </c>
      <c r="C4599" t="n">
        <v>37.1908928269</v>
      </c>
      <c r="D4599" t="n">
        <v>-6.99077082497</v>
      </c>
      <c r="E4599" t="n">
        <v>1</v>
      </c>
      <c r="F4599" t="n">
        <v>3</v>
      </c>
      <c r="G4599" t="n">
        <v>3</v>
      </c>
      <c r="H4599" t="n">
        <v>2</v>
      </c>
      <c r="I4599" t="n">
        <v>2</v>
      </c>
      <c r="J4599" t="inlineStr">
        <is>
          <t>Mediana</t>
        </is>
      </c>
      <c r="K4599" t="n">
        <v>2</v>
      </c>
      <c r="L4599" t="n">
        <v>1.777</v>
      </c>
      <c r="M4599" t="n">
        <v>0</v>
      </c>
      <c r="N4599" t="inlineStr">
        <is>
          <t>train</t>
        </is>
      </c>
      <c r="O4599">
        <f>HYPERLINK("NoConsenso\marker_878_944262.png", "Ver Imagen")</f>
        <v/>
      </c>
      <c r="P4599">
        <f>HYPERLINK("SE\A-5050\A-5050__172.png", "Ver Imagen")</f>
        <v/>
      </c>
    </row>
    <row r="4600">
      <c r="A4600" t="n">
        <v>4227</v>
      </c>
      <c r="B4600" t="inlineStr">
        <is>
          <t>A-5050__157</t>
        </is>
      </c>
      <c r="C4600" t="n">
        <v>37.1924475628</v>
      </c>
      <c r="D4600" t="n">
        <v>-6.99400389229</v>
      </c>
      <c r="E4600" t="n">
        <v>2</v>
      </c>
      <c r="F4600" t="n">
        <v>4</v>
      </c>
      <c r="G4600" t="n">
        <v>3</v>
      </c>
      <c r="H4600" t="n">
        <v>3</v>
      </c>
      <c r="I4600" t="n">
        <v>4</v>
      </c>
      <c r="J4600" t="inlineStr">
        <is>
          <t>Mediana</t>
        </is>
      </c>
      <c r="K4600" t="n">
        <v>3</v>
      </c>
      <c r="L4600" t="n">
        <v>2.978</v>
      </c>
      <c r="M4600" t="n">
        <v>0</v>
      </c>
      <c r="N4600" t="inlineStr">
        <is>
          <t>train</t>
        </is>
      </c>
      <c r="O4600">
        <f>HYPERLINK("NoConsenso\marker_264_945291.png", "Ver Imagen")</f>
        <v/>
      </c>
      <c r="P4600">
        <f>HYPERLINK("SE\A-5050\A-5050__157.png", "Ver Imagen")</f>
        <v/>
      </c>
    </row>
    <row r="4601">
      <c r="A4601" t="n">
        <v>4228</v>
      </c>
      <c r="B4601" t="inlineStr">
        <is>
          <t>A-5052__139</t>
        </is>
      </c>
      <c r="C4601" t="n">
        <v>37.2162632909</v>
      </c>
      <c r="D4601" t="n">
        <v>-7.09118486984</v>
      </c>
      <c r="E4601" t="n">
        <v>2</v>
      </c>
      <c r="F4601" t="n">
        <v>4</v>
      </c>
      <c r="G4601" t="n">
        <v>3</v>
      </c>
      <c r="H4601" t="n">
        <v>3</v>
      </c>
      <c r="I4601" t="n">
        <v>3</v>
      </c>
      <c r="J4601" t="inlineStr">
        <is>
          <t>Mediana</t>
        </is>
      </c>
      <c r="K4601" t="n">
        <v>3</v>
      </c>
      <c r="L4601" t="n">
        <v>2.928</v>
      </c>
      <c r="M4601" t="n">
        <v>0</v>
      </c>
      <c r="N4601" t="inlineStr">
        <is>
          <t>train</t>
        </is>
      </c>
      <c r="O4601">
        <f>HYPERLINK("NoConsenso\marker_241_958219.png", "Ver Imagen")</f>
        <v/>
      </c>
      <c r="P4601">
        <f>HYPERLINK("SE\A-5052\A-5052__139.png", "Ver Imagen")</f>
        <v/>
      </c>
    </row>
    <row r="4602">
      <c r="A4602" t="n">
        <v>4228</v>
      </c>
      <c r="B4602" t="inlineStr">
        <is>
          <t>A-5052__139</t>
        </is>
      </c>
      <c r="C4602" t="n">
        <v>37.2162632909</v>
      </c>
      <c r="D4602" t="n">
        <v>-7.09118486984</v>
      </c>
      <c r="E4602" t="n">
        <v>2</v>
      </c>
      <c r="F4602" t="n">
        <v>4</v>
      </c>
      <c r="G4602" t="n">
        <v>3</v>
      </c>
      <c r="H4602" t="n">
        <v>3</v>
      </c>
      <c r="I4602" t="n">
        <v>3</v>
      </c>
      <c r="J4602" t="inlineStr">
        <is>
          <t>Mediana</t>
        </is>
      </c>
      <c r="K4602" t="n">
        <v>3</v>
      </c>
      <c r="L4602" t="n">
        <v>3.392</v>
      </c>
      <c r="M4602" t="n">
        <v>0</v>
      </c>
      <c r="N4602" t="inlineStr">
        <is>
          <t>train</t>
        </is>
      </c>
      <c r="O4602">
        <f>HYPERLINK("NoConsenso\marker_241_958219.png", "Ver Imagen")</f>
        <v/>
      </c>
      <c r="P4602">
        <f>HYPERLINK("SO\A-5052\A-5052__139.png", "Ver Imagen")</f>
        <v/>
      </c>
    </row>
    <row r="4603">
      <c r="A4603" t="n">
        <v>4229</v>
      </c>
      <c r="B4603" t="inlineStr">
        <is>
          <t>A-5052__279</t>
        </is>
      </c>
      <c r="C4603" t="n">
        <v>37.2113174485</v>
      </c>
      <c r="D4603" t="n">
        <v>-7.05677582557</v>
      </c>
      <c r="E4603" t="n">
        <v>2</v>
      </c>
      <c r="F4603" t="n">
        <v>4</v>
      </c>
      <c r="G4603" t="n">
        <v>3</v>
      </c>
      <c r="H4603" t="n">
        <v>3</v>
      </c>
      <c r="I4603" t="n">
        <v>3</v>
      </c>
      <c r="J4603" t="inlineStr">
        <is>
          <t>Mediana</t>
        </is>
      </c>
      <c r="K4603" t="n">
        <v>3</v>
      </c>
      <c r="L4603" t="n">
        <v>2.97</v>
      </c>
      <c r="M4603" t="n">
        <v>0</v>
      </c>
      <c r="N4603" t="inlineStr">
        <is>
          <t>train</t>
        </is>
      </c>
      <c r="O4603">
        <f>HYPERLINK("NoConsenso\marker_614_960507.png", "Ver Imagen")</f>
        <v/>
      </c>
      <c r="P4603">
        <f>HYPERLINK("SE\A-5052\A-5052__279.png", "Ver Imagen")</f>
        <v/>
      </c>
    </row>
    <row r="4604">
      <c r="A4604" t="n">
        <v>4230</v>
      </c>
      <c r="B4604" t="inlineStr">
        <is>
          <t>A-5052__296</t>
        </is>
      </c>
      <c r="C4604" t="n">
        <v>37.2107889284</v>
      </c>
      <c r="D4604" t="n">
        <v>-7.05254965021</v>
      </c>
      <c r="E4604" t="n">
        <v>2</v>
      </c>
      <c r="F4604" t="n">
        <v>4</v>
      </c>
      <c r="G4604" t="n">
        <v>3</v>
      </c>
      <c r="H4604" t="n">
        <v>3</v>
      </c>
      <c r="I4604" t="n">
        <v>3</v>
      </c>
      <c r="J4604" t="inlineStr">
        <is>
          <t>Mediana</t>
        </is>
      </c>
      <c r="K4604" t="n">
        <v>3</v>
      </c>
      <c r="L4604" t="n">
        <v>3.423</v>
      </c>
      <c r="M4604" t="n">
        <v>0</v>
      </c>
      <c r="N4604" t="inlineStr">
        <is>
          <t>train</t>
        </is>
      </c>
      <c r="O4604">
        <f>HYPERLINK("NoConsenso\marker_990_960779.png", "Ver Imagen")</f>
        <v/>
      </c>
      <c r="P4604">
        <f>HYPERLINK("SE\A-5052\A-5052__296.png", "Ver Imagen")</f>
        <v/>
      </c>
    </row>
    <row r="4605">
      <c r="A4605" t="n">
        <v>4231</v>
      </c>
      <c r="B4605" t="inlineStr">
        <is>
          <t>A-5052__299</t>
        </is>
      </c>
      <c r="C4605" t="n">
        <v>37.2108140904</v>
      </c>
      <c r="D4605" t="n">
        <v>-7.05180267578</v>
      </c>
      <c r="E4605" t="n">
        <v>2</v>
      </c>
      <c r="F4605" t="n">
        <v>4</v>
      </c>
      <c r="G4605" t="n">
        <v>3</v>
      </c>
      <c r="H4605" t="n">
        <v>3</v>
      </c>
      <c r="I4605" t="n">
        <v>4</v>
      </c>
      <c r="J4605" t="inlineStr">
        <is>
          <t>Modificada</t>
        </is>
      </c>
      <c r="K4605" t="n">
        <v>4</v>
      </c>
      <c r="L4605" t="n">
        <v>4.038</v>
      </c>
      <c r="M4605" t="n">
        <v>0</v>
      </c>
      <c r="N4605" t="inlineStr">
        <is>
          <t>train</t>
        </is>
      </c>
      <c r="O4605">
        <f>HYPERLINK("NoConsenso\marker_156_960898.png", "Ver Imagen")</f>
        <v/>
      </c>
      <c r="P4605">
        <f>HYPERLINK("SE\A-5052\A-5052__299.png", "Ver Imagen")</f>
        <v/>
      </c>
    </row>
    <row r="4606">
      <c r="A4606" t="n">
        <v>4232</v>
      </c>
      <c r="B4606" t="inlineStr">
        <is>
          <t>A-5052__300</t>
        </is>
      </c>
      <c r="C4606" t="n">
        <v>37.2108399171</v>
      </c>
      <c r="D4606" t="n">
        <v>-7.0515339725</v>
      </c>
      <c r="E4606" t="n">
        <v>2</v>
      </c>
      <c r="F4606" t="n">
        <v>4</v>
      </c>
      <c r="G4606" t="n">
        <v>3</v>
      </c>
      <c r="H4606" t="n">
        <v>3</v>
      </c>
      <c r="I4606" t="n">
        <v>3</v>
      </c>
      <c r="J4606" t="inlineStr">
        <is>
          <t>Mediana</t>
        </is>
      </c>
      <c r="K4606" t="n">
        <v>3</v>
      </c>
      <c r="L4606" t="n">
        <v>3.124</v>
      </c>
      <c r="M4606" t="n">
        <v>0</v>
      </c>
      <c r="N4606" t="inlineStr">
        <is>
          <t>train</t>
        </is>
      </c>
      <c r="O4606">
        <f>HYPERLINK("NoConsenso\marker_259_960909.png", "Ver Imagen")</f>
        <v/>
      </c>
      <c r="P4606">
        <f>HYPERLINK("SE\A-5052\A-5052__300.png", "Ver Imagen")</f>
        <v/>
      </c>
    </row>
    <row r="4607">
      <c r="A4607" t="n">
        <v>4233</v>
      </c>
      <c r="B4607" t="inlineStr">
        <is>
          <t>A-5052__408</t>
        </is>
      </c>
      <c r="C4607" t="n">
        <v>37.2041468612</v>
      </c>
      <c r="D4607" t="n">
        <v>-7.02656262825</v>
      </c>
      <c r="E4607" t="n">
        <v>5</v>
      </c>
      <c r="F4607" t="n">
        <v>4</v>
      </c>
      <c r="G4607" t="n">
        <v>3</v>
      </c>
      <c r="H4607" t="n">
        <v>3</v>
      </c>
      <c r="I4607" t="n">
        <v>3</v>
      </c>
      <c r="J4607" t="inlineStr">
        <is>
          <t>Mediana</t>
        </is>
      </c>
      <c r="K4607" t="n">
        <v>3</v>
      </c>
      <c r="L4607" t="n">
        <v>2.72</v>
      </c>
      <c r="M4607" t="n">
        <v>0</v>
      </c>
      <c r="N4607" t="inlineStr">
        <is>
          <t>train</t>
        </is>
      </c>
      <c r="O4607">
        <f>HYPERLINK("NoConsenso\marker_340_962755.png", "Ver Imagen")</f>
        <v/>
      </c>
      <c r="P4607">
        <f>HYPERLINK("SE\A-5052\A-5052__408.png", "Ver Imagen")</f>
        <v/>
      </c>
    </row>
    <row r="4608">
      <c r="A4608" t="n">
        <v>4234</v>
      </c>
      <c r="B4608" t="inlineStr">
        <is>
          <t>A-5053__251</t>
        </is>
      </c>
      <c r="C4608" t="n">
        <v>37.2675996782</v>
      </c>
      <c r="D4608" t="n">
        <v>-7.13418204295</v>
      </c>
      <c r="E4608" t="n">
        <v>5</v>
      </c>
      <c r="F4608" t="n">
        <v>4</v>
      </c>
      <c r="G4608" t="n">
        <v>3</v>
      </c>
      <c r="H4608" t="n">
        <v>4</v>
      </c>
      <c r="I4608" t="n">
        <v>4</v>
      </c>
      <c r="J4608" t="inlineStr">
        <is>
          <t>Mediana</t>
        </is>
      </c>
      <c r="K4608" t="n">
        <v>4</v>
      </c>
      <c r="L4608" t="n">
        <v>3.914</v>
      </c>
      <c r="M4608" t="n">
        <v>0</v>
      </c>
      <c r="N4608" t="inlineStr">
        <is>
          <t>train</t>
        </is>
      </c>
      <c r="O4608">
        <f>HYPERLINK("NoConsenso\marker_472_965341.png", "Ver Imagen")</f>
        <v/>
      </c>
      <c r="P4608">
        <f>HYPERLINK("SO\A-5053\A-5053__251.png", "Ver Imagen")</f>
        <v/>
      </c>
    </row>
    <row r="4609">
      <c r="A4609" t="n">
        <v>4235</v>
      </c>
      <c r="B4609" t="inlineStr">
        <is>
          <t>A-495__77</t>
        </is>
      </c>
      <c r="C4609" t="n">
        <v>37.4379935426</v>
      </c>
      <c r="D4609" t="n">
        <v>-7.08269907644</v>
      </c>
      <c r="E4609" t="n">
        <v>3</v>
      </c>
      <c r="F4609" t="n">
        <v>3</v>
      </c>
      <c r="G4609" t="n">
        <v>5</v>
      </c>
      <c r="H4609" t="n">
        <v>3</v>
      </c>
      <c r="I4609" t="n">
        <v>4</v>
      </c>
      <c r="J4609" t="inlineStr">
        <is>
          <t>Mediana</t>
        </is>
      </c>
      <c r="K4609" t="n">
        <v>3</v>
      </c>
      <c r="L4609" t="n">
        <v>2.756</v>
      </c>
      <c r="M4609" t="n">
        <v>0</v>
      </c>
      <c r="N4609" t="inlineStr">
        <is>
          <t>train</t>
        </is>
      </c>
      <c r="O4609">
        <f>HYPERLINK("NoConsenso\marker_516_381900.png", "Ver Imagen")</f>
        <v/>
      </c>
      <c r="P4609">
        <f>HYPERLINK("NE\A-495\A-495__77.png", "Ver Imagen")</f>
        <v/>
      </c>
    </row>
    <row r="4610">
      <c r="A4610" t="n">
        <v>4236</v>
      </c>
      <c r="B4610" t="inlineStr">
        <is>
          <t>A-5058__48</t>
        </is>
      </c>
      <c r="C4610" t="n">
        <v>37.2247535008</v>
      </c>
      <c r="D4610" t="n">
        <v>-7.03900807395</v>
      </c>
      <c r="E4610" t="n">
        <v>3</v>
      </c>
      <c r="F4610" t="n">
        <v>1</v>
      </c>
      <c r="G4610" t="n">
        <v>3</v>
      </c>
      <c r="H4610" t="n">
        <v>2</v>
      </c>
      <c r="I4610" t="n">
        <v>2</v>
      </c>
      <c r="J4610" t="inlineStr">
        <is>
          <t>Mediana</t>
        </is>
      </c>
      <c r="K4610" t="n">
        <v>2</v>
      </c>
      <c r="L4610" t="n">
        <v>1.82</v>
      </c>
      <c r="M4610" t="n">
        <v>0</v>
      </c>
      <c r="N4610" t="inlineStr">
        <is>
          <t>test</t>
        </is>
      </c>
      <c r="O4610">
        <f>HYPERLINK("NoConsenso\marker_100_380512.png", "Ver Imagen")</f>
        <v/>
      </c>
      <c r="P4610">
        <f>HYPERLINK("SE\A-5058\A-5058__48.png", "Ver Imagen")</f>
        <v/>
      </c>
    </row>
    <row r="4611">
      <c r="A4611" t="n">
        <v>4238</v>
      </c>
      <c r="B4611" t="inlineStr">
        <is>
          <t>A-5058__144</t>
        </is>
      </c>
      <c r="C4611" t="n">
        <v>37.2341375328</v>
      </c>
      <c r="D4611" t="n">
        <v>-7.05974339607</v>
      </c>
      <c r="E4611" t="n">
        <v>3</v>
      </c>
      <c r="F4611" t="n">
        <v>1</v>
      </c>
      <c r="G4611" t="n">
        <v>3</v>
      </c>
      <c r="H4611" t="n">
        <v>2</v>
      </c>
      <c r="I4611" t="n">
        <v>1</v>
      </c>
      <c r="J4611" t="inlineStr">
        <is>
          <t>Mediana</t>
        </is>
      </c>
      <c r="K4611" t="n">
        <v>2</v>
      </c>
      <c r="L4611" t="n">
        <v>2.052</v>
      </c>
      <c r="M4611" t="n">
        <v>0</v>
      </c>
      <c r="N4611" t="inlineStr">
        <is>
          <t>train</t>
        </is>
      </c>
      <c r="O4611">
        <f>HYPERLINK("NoConsenso\marker_164_381631.png", "Ver Imagen")</f>
        <v/>
      </c>
      <c r="P4611">
        <f>HYPERLINK("SE\A-5058\A-5058__144.png", "Ver Imagen")</f>
        <v/>
      </c>
    </row>
    <row r="4612">
      <c r="A4612" t="n">
        <v>4239</v>
      </c>
      <c r="B4612" t="inlineStr">
        <is>
          <t>A-5058__331</t>
        </is>
      </c>
      <c r="C4612" t="n">
        <v>37.2481019737</v>
      </c>
      <c r="D4612" t="n">
        <v>-7.10156740511</v>
      </c>
      <c r="E4612" t="n">
        <v>3</v>
      </c>
      <c r="F4612" t="n">
        <v>1</v>
      </c>
      <c r="G4612" t="n">
        <v>3</v>
      </c>
      <c r="H4612" t="n">
        <v>2</v>
      </c>
      <c r="I4612" t="n">
        <v>2</v>
      </c>
      <c r="J4612" t="inlineStr">
        <is>
          <t>Mediana</t>
        </is>
      </c>
      <c r="K4612" t="n">
        <v>2</v>
      </c>
      <c r="L4612" t="n">
        <v>2.443</v>
      </c>
      <c r="M4612" t="n">
        <v>0</v>
      </c>
      <c r="N4612" t="inlineStr">
        <is>
          <t>test</t>
        </is>
      </c>
      <c r="O4612">
        <f>HYPERLINK("NoConsenso\marker_526_384645.png", "Ver Imagen")</f>
        <v/>
      </c>
      <c r="P4612">
        <f>HYPERLINK("SE\A-5058\A-5058__331.png", "Ver Imagen")</f>
        <v/>
      </c>
    </row>
    <row r="4613">
      <c r="A4613" t="n">
        <v>4240</v>
      </c>
      <c r="B4613" t="inlineStr">
        <is>
          <t>A-5058__341</t>
        </is>
      </c>
      <c r="C4613" t="n">
        <v>37.2498528155</v>
      </c>
      <c r="D4613" t="n">
        <v>-7.10274843141</v>
      </c>
      <c r="E4613" t="n">
        <v>3</v>
      </c>
      <c r="F4613" t="n">
        <v>1</v>
      </c>
      <c r="G4613" t="n">
        <v>3</v>
      </c>
      <c r="H4613" t="n">
        <v>2</v>
      </c>
      <c r="I4613" t="n">
        <v>1</v>
      </c>
      <c r="J4613" t="inlineStr">
        <is>
          <t>Mediana</t>
        </is>
      </c>
      <c r="K4613" t="n">
        <v>2</v>
      </c>
      <c r="L4613" t="n">
        <v>2.194</v>
      </c>
      <c r="M4613" t="n">
        <v>0</v>
      </c>
      <c r="N4613" t="inlineStr">
        <is>
          <t>train</t>
        </is>
      </c>
      <c r="O4613">
        <f>HYPERLINK("NoConsenso\marker_314_384775.png", "Ver Imagen")</f>
        <v/>
      </c>
      <c r="P4613">
        <f>HYPERLINK("SE\A-5058\A-5058__341.png", "Ver Imagen")</f>
        <v/>
      </c>
    </row>
    <row r="4614">
      <c r="A4614" t="n">
        <v>4240</v>
      </c>
      <c r="B4614" t="inlineStr">
        <is>
          <t>A-5058__341</t>
        </is>
      </c>
      <c r="C4614" t="n">
        <v>37.2498528155</v>
      </c>
      <c r="D4614" t="n">
        <v>-7.10274843141</v>
      </c>
      <c r="E4614" t="n">
        <v>3</v>
      </c>
      <c r="F4614" t="n">
        <v>1</v>
      </c>
      <c r="G4614" t="n">
        <v>3</v>
      </c>
      <c r="H4614" t="n">
        <v>2</v>
      </c>
      <c r="I4614" t="n">
        <v>1</v>
      </c>
      <c r="J4614" t="inlineStr">
        <is>
          <t>Mediana</t>
        </is>
      </c>
      <c r="K4614" t="n">
        <v>2</v>
      </c>
      <c r="L4614" t="n">
        <v>2.198</v>
      </c>
      <c r="M4614" t="n">
        <v>0</v>
      </c>
      <c r="N4614" t="inlineStr">
        <is>
          <t>train</t>
        </is>
      </c>
      <c r="O4614">
        <f>HYPERLINK("NoConsenso\marker_314_384775.png", "Ver Imagen")</f>
        <v/>
      </c>
      <c r="P4614">
        <f>HYPERLINK("SO\A-5058\A-5058__341.png", "Ver Imagen")</f>
        <v/>
      </c>
    </row>
    <row r="4615">
      <c r="A4615" t="n">
        <v>4241</v>
      </c>
      <c r="B4615" t="inlineStr">
        <is>
          <t>A-5058__358</t>
        </is>
      </c>
      <c r="C4615" t="n">
        <v>37.2526786751</v>
      </c>
      <c r="D4615" t="n">
        <v>-7.10509057539</v>
      </c>
      <c r="E4615" t="n">
        <v>3</v>
      </c>
      <c r="F4615" t="n">
        <v>1</v>
      </c>
      <c r="G4615" t="n">
        <v>3</v>
      </c>
      <c r="H4615" t="n">
        <v>2</v>
      </c>
      <c r="I4615" t="n">
        <v>2</v>
      </c>
      <c r="J4615" t="inlineStr">
        <is>
          <t>Mediana</t>
        </is>
      </c>
      <c r="K4615" t="n">
        <v>2</v>
      </c>
      <c r="L4615" t="n">
        <v>2.306</v>
      </c>
      <c r="M4615" t="n">
        <v>0</v>
      </c>
      <c r="N4615" t="inlineStr">
        <is>
          <t>val</t>
        </is>
      </c>
      <c r="O4615">
        <f>HYPERLINK("NoConsenso\marker_681_384946.png", "Ver Imagen")</f>
        <v/>
      </c>
      <c r="P4615">
        <f>HYPERLINK("SO\A-5058\A-5058__358.png", "Ver Imagen")</f>
        <v/>
      </c>
    </row>
    <row r="4616">
      <c r="A4616" t="n">
        <v>4242</v>
      </c>
      <c r="B4616" t="inlineStr">
        <is>
          <t>A-5058__366</t>
        </is>
      </c>
      <c r="C4616" t="n">
        <v>37.2534456376</v>
      </c>
      <c r="D4616" t="n">
        <v>-7.10687757457</v>
      </c>
      <c r="E4616" t="n">
        <v>3</v>
      </c>
      <c r="F4616" t="n">
        <v>1</v>
      </c>
      <c r="G4616" t="n">
        <v>3</v>
      </c>
      <c r="H4616" t="n">
        <v>2</v>
      </c>
      <c r="I4616" t="n">
        <v>1</v>
      </c>
      <c r="J4616" t="inlineStr">
        <is>
          <t>Modificada</t>
        </is>
      </c>
      <c r="K4616" t="n">
        <v>1</v>
      </c>
      <c r="L4616" t="n">
        <v>1</v>
      </c>
      <c r="M4616" t="n">
        <v>0</v>
      </c>
      <c r="N4616" t="inlineStr">
        <is>
          <t>train</t>
        </is>
      </c>
      <c r="O4616">
        <f>HYPERLINK("NoConsenso\marker_448_385035.png", "Ver Imagen")</f>
        <v/>
      </c>
      <c r="P4616">
        <f>HYPERLINK("SO\A-5058\A-5058__366.png", "Ver Imagen")</f>
        <v/>
      </c>
    </row>
    <row r="4617">
      <c r="A4617" t="n">
        <v>4244</v>
      </c>
      <c r="B4617" t="inlineStr">
        <is>
          <t>A-5058__377</t>
        </is>
      </c>
      <c r="C4617" t="n">
        <v>37.2549618647</v>
      </c>
      <c r="D4617" t="n">
        <v>-7.10877665718</v>
      </c>
      <c r="E4617" t="n">
        <v>3</v>
      </c>
      <c r="F4617" t="n">
        <v>1</v>
      </c>
      <c r="G4617" t="n">
        <v>3</v>
      </c>
      <c r="H4617" t="n">
        <v>1</v>
      </c>
      <c r="I4617" t="n">
        <v>1</v>
      </c>
      <c r="J4617" t="inlineStr">
        <is>
          <t>Mediana</t>
        </is>
      </c>
      <c r="K4617" t="n">
        <v>1</v>
      </c>
      <c r="L4617" t="n">
        <v>1.242</v>
      </c>
      <c r="M4617" t="n">
        <v>0</v>
      </c>
      <c r="N4617" t="inlineStr">
        <is>
          <t>train</t>
        </is>
      </c>
      <c r="O4617">
        <f>HYPERLINK("NoConsenso\marker_802_385156.png", "Ver Imagen")</f>
        <v/>
      </c>
      <c r="P4617">
        <f>HYPERLINK("SO\A-5058\A-5058__377.png", "Ver Imagen")</f>
        <v/>
      </c>
    </row>
    <row r="4618">
      <c r="A4618" t="n">
        <v>4246</v>
      </c>
      <c r="B4618" t="inlineStr">
        <is>
          <t>A-5058__415</t>
        </is>
      </c>
      <c r="C4618" t="n">
        <v>37.2553786832</v>
      </c>
      <c r="D4618" t="n">
        <v>-7.11781814538</v>
      </c>
      <c r="E4618" t="n">
        <v>3</v>
      </c>
      <c r="F4618" t="n">
        <v>1</v>
      </c>
      <c r="G4618" t="n">
        <v>3</v>
      </c>
      <c r="H4618" t="n">
        <v>2</v>
      </c>
      <c r="I4618" t="n">
        <v>2</v>
      </c>
      <c r="J4618" t="inlineStr">
        <is>
          <t>Mediana</t>
        </is>
      </c>
      <c r="K4618" t="n">
        <v>2</v>
      </c>
      <c r="L4618" t="n">
        <v>2.42</v>
      </c>
      <c r="M4618" t="n">
        <v>0</v>
      </c>
      <c r="N4618" t="inlineStr">
        <is>
          <t>train</t>
        </is>
      </c>
      <c r="O4618">
        <f>HYPERLINK("NoConsenso\marker_147_388697.png", "Ver Imagen")</f>
        <v/>
      </c>
      <c r="P4618">
        <f>HYPERLINK("SO\A-5058\A-5058__415.png", "Ver Imagen")</f>
        <v/>
      </c>
    </row>
    <row r="4619">
      <c r="A4619" t="n">
        <v>4247</v>
      </c>
      <c r="B4619" t="inlineStr">
        <is>
          <t>A-495__1</t>
        </is>
      </c>
      <c r="C4619" t="n">
        <v>37.4441055761</v>
      </c>
      <c r="D4619" t="n">
        <v>-7.10019786222</v>
      </c>
      <c r="E4619" t="n">
        <v>3</v>
      </c>
      <c r="F4619" t="n">
        <v>1</v>
      </c>
      <c r="G4619" t="n">
        <v>3</v>
      </c>
      <c r="H4619" t="n">
        <v>3</v>
      </c>
      <c r="I4619" t="n">
        <v>2</v>
      </c>
      <c r="J4619" t="inlineStr">
        <is>
          <t>Mediana</t>
        </is>
      </c>
      <c r="K4619" t="n">
        <v>3</v>
      </c>
      <c r="L4619" t="n">
        <v>2.724</v>
      </c>
      <c r="M4619" t="n">
        <v>0</v>
      </c>
      <c r="N4619" t="inlineStr">
        <is>
          <t>train</t>
        </is>
      </c>
      <c r="O4619">
        <f>HYPERLINK("NoConsenso\marker_723_380965.png", "Ver Imagen")</f>
        <v/>
      </c>
      <c r="P4619">
        <f>HYPERLINK("NE\A-495\A-495__1.png", "Ver Imagen")</f>
        <v/>
      </c>
    </row>
    <row r="4620">
      <c r="A4620" t="n">
        <v>4248</v>
      </c>
      <c r="B4620" t="inlineStr">
        <is>
          <t>A-499__43</t>
        </is>
      </c>
      <c r="C4620" t="n">
        <v>37.4949649942</v>
      </c>
      <c r="D4620" t="n">
        <v>-7.27666860145</v>
      </c>
      <c r="E4620" t="n">
        <v>3</v>
      </c>
      <c r="F4620" t="n">
        <v>1</v>
      </c>
      <c r="G4620" t="n">
        <v>3</v>
      </c>
      <c r="H4620" t="n">
        <v>2</v>
      </c>
      <c r="I4620" t="n">
        <v>2</v>
      </c>
      <c r="J4620" t="inlineStr">
        <is>
          <t>Mediana</t>
        </is>
      </c>
      <c r="K4620" t="n">
        <v>2</v>
      </c>
      <c r="L4620" t="n">
        <v>1.554</v>
      </c>
      <c r="M4620" t="n">
        <v>0</v>
      </c>
      <c r="N4620" t="inlineStr">
        <is>
          <t>train</t>
        </is>
      </c>
      <c r="O4620">
        <f>HYPERLINK("NoConsenso\marker_542_534614.png", "Ver Imagen")</f>
        <v/>
      </c>
      <c r="P4620">
        <f>HYPERLINK("NO\A-499\A-499__43.png", "Ver Imagen")</f>
        <v/>
      </c>
    </row>
    <row r="4621">
      <c r="A4621" t="n">
        <v>4249</v>
      </c>
      <c r="B4621" t="inlineStr">
        <is>
          <t>A-499__94</t>
        </is>
      </c>
      <c r="C4621" t="n">
        <v>37.4976382379</v>
      </c>
      <c r="D4621" t="n">
        <v>-7.2679107884</v>
      </c>
      <c r="E4621" t="n">
        <v>3</v>
      </c>
      <c r="F4621" t="n">
        <v>4</v>
      </c>
      <c r="G4621" t="n">
        <v>2</v>
      </c>
      <c r="H4621" t="n">
        <v>4</v>
      </c>
      <c r="I4621" t="n">
        <v>1</v>
      </c>
      <c r="J4621" t="inlineStr">
        <is>
          <t>Modificada</t>
        </is>
      </c>
      <c r="K4621" t="n">
        <v>2</v>
      </c>
      <c r="L4621" t="n">
        <v>2.381</v>
      </c>
      <c r="M4621" t="n">
        <v>0</v>
      </c>
      <c r="N4621" t="inlineStr">
        <is>
          <t>test</t>
        </is>
      </c>
      <c r="O4621">
        <f>HYPERLINK("NoConsenso\marker_950_793121.png", "Ver Imagen")</f>
        <v/>
      </c>
      <c r="P4621">
        <f>HYPERLINK("NO\A-499\A-499__94.png", "Ver Imagen")</f>
        <v/>
      </c>
    </row>
    <row r="4622">
      <c r="A4622" t="n">
        <v>4250</v>
      </c>
      <c r="B4622" t="inlineStr">
        <is>
          <t>A-497_2C__1</t>
        </is>
      </c>
      <c r="C4622" t="n">
        <v>37.2676533788</v>
      </c>
      <c r="D4622" t="n">
        <v>-6.95728339968</v>
      </c>
      <c r="E4622" t="n">
        <v>2</v>
      </c>
      <c r="F4622" t="n">
        <v>4</v>
      </c>
      <c r="G4622" t="n">
        <v>3</v>
      </c>
      <c r="H4622" t="n">
        <v>3</v>
      </c>
      <c r="I4622" t="n">
        <v>4</v>
      </c>
      <c r="J4622" t="inlineStr">
        <is>
          <t>Mediana</t>
        </is>
      </c>
      <c r="K4622" t="n">
        <v>3</v>
      </c>
      <c r="L4622" t="n">
        <v>3.028</v>
      </c>
      <c r="M4622" t="n">
        <v>0</v>
      </c>
      <c r="N4622" t="inlineStr">
        <is>
          <t>train</t>
        </is>
      </c>
      <c r="O4622">
        <f>HYPERLINK("NoConsenso\marker_500_653725.png", "Ver Imagen")</f>
        <v/>
      </c>
      <c r="P4622">
        <f>HYPERLINK("SE\A-497_2C\A-497_2C__1.png", "Ver Imagen")</f>
        <v/>
      </c>
    </row>
    <row r="4623">
      <c r="A4623" t="n">
        <v>4251</v>
      </c>
      <c r="B4623" t="inlineStr">
        <is>
          <t>A-499__198</t>
        </is>
      </c>
      <c r="C4623" t="n">
        <v>37.5168084288</v>
      </c>
      <c r="D4623" t="n">
        <v>-7.26623906682</v>
      </c>
      <c r="E4623" t="n">
        <v>2</v>
      </c>
      <c r="F4623" t="n">
        <v>1</v>
      </c>
      <c r="G4623" t="n">
        <v>3</v>
      </c>
      <c r="H4623" t="n">
        <v>2</v>
      </c>
      <c r="I4623" t="n">
        <v>1</v>
      </c>
      <c r="J4623" t="inlineStr">
        <is>
          <t>Mediana</t>
        </is>
      </c>
      <c r="K4623" t="n">
        <v>2</v>
      </c>
      <c r="L4623" t="n">
        <v>1.769</v>
      </c>
      <c r="M4623" t="n">
        <v>0</v>
      </c>
      <c r="N4623" t="inlineStr">
        <is>
          <t>val</t>
        </is>
      </c>
      <c r="O4623">
        <f>HYPERLINK("NoConsenso\marker_522_796059.png", "Ver Imagen")</f>
        <v/>
      </c>
      <c r="P4623">
        <f>HYPERLINK("NO\A-499\A-499__198.png", "Ver Imagen")</f>
        <v/>
      </c>
    </row>
    <row r="4624">
      <c r="A4624" t="n">
        <v>4252</v>
      </c>
      <c r="B4624" t="inlineStr">
        <is>
          <t>A-497_2C__116</t>
        </is>
      </c>
      <c r="C4624" t="n">
        <v>37.27179477</v>
      </c>
      <c r="D4624" t="n">
        <v>-6.98560046351</v>
      </c>
      <c r="E4624" t="n">
        <v>3</v>
      </c>
      <c r="F4624" t="n">
        <v>1</v>
      </c>
      <c r="G4624" t="n">
        <v>3</v>
      </c>
      <c r="H4624" t="n">
        <v>2</v>
      </c>
      <c r="I4624" t="n">
        <v>2</v>
      </c>
      <c r="J4624" t="inlineStr">
        <is>
          <t>Mediana</t>
        </is>
      </c>
      <c r="K4624" t="n">
        <v>2</v>
      </c>
      <c r="L4624" t="n">
        <v>2.377</v>
      </c>
      <c r="M4624" t="n">
        <v>0</v>
      </c>
      <c r="N4624" t="inlineStr">
        <is>
          <t>test</t>
        </is>
      </c>
      <c r="O4624">
        <f>HYPERLINK("NoConsenso\marker_603_655646.png", "Ver Imagen")</f>
        <v/>
      </c>
      <c r="P4624">
        <f>HYPERLINK("SE\A-497_2C\A-497_2C__116.png", "Ver Imagen")</f>
        <v/>
      </c>
    </row>
    <row r="4625">
      <c r="A4625" t="n">
        <v>4253</v>
      </c>
      <c r="B4625" t="inlineStr">
        <is>
          <t>A-497__529</t>
        </is>
      </c>
      <c r="C4625" t="n">
        <v>37.2063644429</v>
      </c>
      <c r="D4625" t="n">
        <v>-7.02006543344</v>
      </c>
      <c r="E4625" t="n">
        <v>3</v>
      </c>
      <c r="F4625" t="n">
        <v>1</v>
      </c>
      <c r="G4625" t="n">
        <v>3</v>
      </c>
      <c r="H4625" t="n">
        <v>1</v>
      </c>
      <c r="I4625" t="n">
        <v>1</v>
      </c>
      <c r="J4625" t="inlineStr">
        <is>
          <t>Mediana</t>
        </is>
      </c>
      <c r="K4625" t="n">
        <v>1</v>
      </c>
      <c r="L4625" t="n">
        <v>1.419</v>
      </c>
      <c r="M4625" t="n">
        <v>0</v>
      </c>
      <c r="N4625" t="inlineStr">
        <is>
          <t>train</t>
        </is>
      </c>
      <c r="O4625">
        <f>HYPERLINK("NoConsenso\marker_548_372511.png", "Ver Imagen")</f>
        <v/>
      </c>
      <c r="P4625">
        <f>HYPERLINK("SE\A-497\A-497__529.png", "Ver Imagen")</f>
        <v/>
      </c>
    </row>
    <row r="4626">
      <c r="A4626" t="n">
        <v>4255</v>
      </c>
      <c r="B4626" t="inlineStr">
        <is>
          <t>A-497_2C__378</t>
        </is>
      </c>
      <c r="C4626" t="n">
        <v>37.2337808787</v>
      </c>
      <c r="D4626" t="n">
        <v>-7.01818606614</v>
      </c>
      <c r="E4626" t="n">
        <v>3</v>
      </c>
      <c r="F4626" t="n">
        <v>1</v>
      </c>
      <c r="G4626" t="n">
        <v>3</v>
      </c>
      <c r="H4626" t="n">
        <v>2</v>
      </c>
      <c r="I4626" t="n">
        <v>1</v>
      </c>
      <c r="J4626" t="inlineStr">
        <is>
          <t>Modificada</t>
        </is>
      </c>
      <c r="K4626" t="n">
        <v>1</v>
      </c>
      <c r="L4626" t="n">
        <v>1</v>
      </c>
      <c r="M4626" t="n">
        <v>0</v>
      </c>
      <c r="N4626" t="inlineStr">
        <is>
          <t>train</t>
        </is>
      </c>
      <c r="O4626">
        <f>HYPERLINK("NoConsenso\marker_704_362605.png", "Ver Imagen")</f>
        <v/>
      </c>
      <c r="P4626">
        <f>HYPERLINK("SE\A-497_2C\A-497_2C__378.png", "Ver Imagen")</f>
        <v/>
      </c>
    </row>
    <row r="4627">
      <c r="A4627" t="n">
        <v>4256</v>
      </c>
      <c r="B4627" t="inlineStr">
        <is>
          <t>A-497__500</t>
        </is>
      </c>
      <c r="C4627" t="n">
        <v>37.2111560707</v>
      </c>
      <c r="D4627" t="n">
        <v>-7.0238089637</v>
      </c>
      <c r="E4627" t="n">
        <v>3</v>
      </c>
      <c r="F4627" t="n">
        <v>1</v>
      </c>
      <c r="G4627" t="n">
        <v>3</v>
      </c>
      <c r="H4627" t="n">
        <v>2</v>
      </c>
      <c r="I4627" t="n">
        <v>3</v>
      </c>
      <c r="J4627" t="inlineStr">
        <is>
          <t>Modificada</t>
        </is>
      </c>
      <c r="K4627" t="n">
        <v>2</v>
      </c>
      <c r="L4627" t="n">
        <v>2.208</v>
      </c>
      <c r="M4627" t="n">
        <v>0</v>
      </c>
      <c r="N4627" t="inlineStr">
        <is>
          <t>train</t>
        </is>
      </c>
      <c r="O4627">
        <f>HYPERLINK("NoConsenso\marker_534_376098.png", "Ver Imagen")</f>
        <v/>
      </c>
      <c r="P4627">
        <f>HYPERLINK("SE\A-497\A-497__500.png", "Ver Imagen")</f>
        <v/>
      </c>
    </row>
    <row r="4628">
      <c r="A4628" t="n">
        <v>4257</v>
      </c>
      <c r="B4628" t="inlineStr">
        <is>
          <t>A-497__249</t>
        </is>
      </c>
      <c r="C4628" t="n">
        <v>37.2595676116</v>
      </c>
      <c r="D4628" t="n">
        <v>-7.01178140935</v>
      </c>
      <c r="E4628" t="n">
        <v>3</v>
      </c>
      <c r="F4628" t="n">
        <v>1</v>
      </c>
      <c r="G4628" t="n">
        <v>3</v>
      </c>
      <c r="H4628" t="n">
        <v>1</v>
      </c>
      <c r="I4628" t="n">
        <v>2</v>
      </c>
      <c r="J4628" t="inlineStr">
        <is>
          <t>Mediana</t>
        </is>
      </c>
      <c r="K4628" t="n">
        <v>2</v>
      </c>
      <c r="L4628" t="n">
        <v>2.071</v>
      </c>
      <c r="M4628" t="n">
        <v>0</v>
      </c>
      <c r="N4628" t="inlineStr">
        <is>
          <t>train</t>
        </is>
      </c>
      <c r="O4628">
        <f>HYPERLINK("NoConsenso\marker_192_378791.png", "Ver Imagen")</f>
        <v/>
      </c>
      <c r="P4628">
        <f>HYPERLINK("SE\A-497\A-497__249.png", "Ver Imagen")</f>
        <v/>
      </c>
    </row>
    <row r="4629">
      <c r="A4629" t="n">
        <v>4262</v>
      </c>
      <c r="B4629" t="inlineStr">
        <is>
          <t>A-490__61</t>
        </is>
      </c>
      <c r="C4629" t="n">
        <v>37.4477772112</v>
      </c>
      <c r="D4629" t="n">
        <v>-7.14111973869</v>
      </c>
      <c r="E4629" t="n">
        <v>2</v>
      </c>
      <c r="F4629" t="n">
        <v>3</v>
      </c>
      <c r="G4629" t="n">
        <v>4</v>
      </c>
      <c r="H4629" t="n">
        <v>4</v>
      </c>
      <c r="I4629" t="n">
        <v>4</v>
      </c>
      <c r="J4629" t="inlineStr">
        <is>
          <t>Mediana</t>
        </is>
      </c>
      <c r="K4629" t="n">
        <v>4</v>
      </c>
      <c r="L4629" t="n">
        <v>3.797</v>
      </c>
      <c r="M4629" t="n">
        <v>0</v>
      </c>
      <c r="N4629" t="inlineStr">
        <is>
          <t>train</t>
        </is>
      </c>
      <c r="O4629">
        <f>HYPERLINK("NoConsenso\marker_117_737930.png", "Ver Imagen")</f>
        <v/>
      </c>
      <c r="P4629">
        <f>HYPERLINK("NE\A-490\A-490__61.png", "Ver Imagen")</f>
        <v/>
      </c>
    </row>
    <row r="4630">
      <c r="A4630" t="n">
        <v>4264</v>
      </c>
      <c r="B4630" t="inlineStr">
        <is>
          <t>A-490__64</t>
        </is>
      </c>
      <c r="C4630" t="n">
        <v>37.4480969235</v>
      </c>
      <c r="D4630" t="n">
        <v>-7.14180151892</v>
      </c>
      <c r="E4630" t="n">
        <v>2</v>
      </c>
      <c r="F4630" t="n">
        <v>4</v>
      </c>
      <c r="G4630" t="n">
        <v>4</v>
      </c>
      <c r="H4630" t="n">
        <v>4</v>
      </c>
      <c r="I4630" t="n">
        <v>3</v>
      </c>
      <c r="J4630" t="inlineStr">
        <is>
          <t>Mediana</t>
        </is>
      </c>
      <c r="K4630" t="n">
        <v>4</v>
      </c>
      <c r="L4630" t="n">
        <v>4.171</v>
      </c>
      <c r="M4630" t="n">
        <v>0</v>
      </c>
      <c r="N4630" t="inlineStr">
        <is>
          <t>train</t>
        </is>
      </c>
      <c r="O4630">
        <f>HYPERLINK("NoConsenso\marker_585_738000.png", "Ver Imagen")</f>
        <v/>
      </c>
      <c r="P4630">
        <f>HYPERLINK("NE\A-490\A-490__64.png", "Ver Imagen")</f>
        <v/>
      </c>
    </row>
    <row r="4631">
      <c r="A4631" t="n">
        <v>4265</v>
      </c>
      <c r="B4631" t="inlineStr">
        <is>
          <t>A-490__98</t>
        </is>
      </c>
      <c r="C4631" t="n">
        <v>37.4490721472</v>
      </c>
      <c r="D4631" t="n">
        <v>-7.15021552077</v>
      </c>
      <c r="E4631" t="n">
        <v>2</v>
      </c>
      <c r="F4631" t="n">
        <v>3</v>
      </c>
      <c r="G4631" t="n">
        <v>4</v>
      </c>
      <c r="H4631" t="n">
        <v>3</v>
      </c>
      <c r="I4631" t="n">
        <v>3</v>
      </c>
      <c r="J4631" t="inlineStr">
        <is>
          <t>Mediana</t>
        </is>
      </c>
      <c r="K4631" t="n">
        <v>3</v>
      </c>
      <c r="L4631" t="n">
        <v>2.963</v>
      </c>
      <c r="M4631" t="n">
        <v>0</v>
      </c>
      <c r="N4631" t="inlineStr">
        <is>
          <t>train</t>
        </is>
      </c>
      <c r="O4631">
        <f>HYPERLINK("NoConsenso\marker_340_739129.png", "Ver Imagen")</f>
        <v/>
      </c>
      <c r="P4631">
        <f>HYPERLINK("NE\A-490\A-490__98.png", "Ver Imagen")</f>
        <v/>
      </c>
    </row>
    <row r="4632">
      <c r="A4632" t="n">
        <v>4266</v>
      </c>
      <c r="B4632" t="inlineStr">
        <is>
          <t>A-490__100</t>
        </is>
      </c>
      <c r="C4632" t="n">
        <v>37.4491930554</v>
      </c>
      <c r="D4632" t="n">
        <v>-7.15067141587</v>
      </c>
      <c r="E4632" t="n">
        <v>2</v>
      </c>
      <c r="F4632" t="n">
        <v>4</v>
      </c>
      <c r="G4632" t="n">
        <v>4</v>
      </c>
      <c r="H4632" t="n">
        <v>3</v>
      </c>
      <c r="I4632" t="n">
        <v>4</v>
      </c>
      <c r="J4632" t="inlineStr">
        <is>
          <t>Modificada</t>
        </is>
      </c>
      <c r="K4632" t="n">
        <v>3</v>
      </c>
      <c r="L4632" t="n">
        <v>2.832</v>
      </c>
      <c r="M4632" t="n">
        <v>0</v>
      </c>
      <c r="N4632" t="inlineStr">
        <is>
          <t>train</t>
        </is>
      </c>
      <c r="O4632">
        <f>HYPERLINK("NoConsenso\marker_401_739162.png", "Ver Imagen")</f>
        <v/>
      </c>
      <c r="P4632">
        <f>HYPERLINK("NE\A-490\A-490__100.png", "Ver Imagen")</f>
        <v/>
      </c>
    </row>
    <row r="4633">
      <c r="A4633" t="n">
        <v>4267</v>
      </c>
      <c r="B4633" t="inlineStr">
        <is>
          <t>A-490__113</t>
        </is>
      </c>
      <c r="C4633" t="n">
        <v>37.4506940003</v>
      </c>
      <c r="D4633" t="n">
        <v>-7.15338723849</v>
      </c>
      <c r="E4633" t="n">
        <v>2</v>
      </c>
      <c r="F4633" t="n">
        <v>3</v>
      </c>
      <c r="G4633" t="n">
        <v>4</v>
      </c>
      <c r="H4633" t="n">
        <v>3</v>
      </c>
      <c r="I4633" t="n">
        <v>3</v>
      </c>
      <c r="J4633" t="inlineStr">
        <is>
          <t>Mediana</t>
        </is>
      </c>
      <c r="K4633" t="n">
        <v>3</v>
      </c>
      <c r="L4633" t="n">
        <v>3.071</v>
      </c>
      <c r="M4633" t="n">
        <v>0</v>
      </c>
      <c r="N4633" t="inlineStr">
        <is>
          <t>train</t>
        </is>
      </c>
      <c r="O4633">
        <f>HYPERLINK("NoConsenso\marker_207_739826.png", "Ver Imagen")</f>
        <v/>
      </c>
      <c r="P4633">
        <f>HYPERLINK("NE\A-490\A-490__113.png", "Ver Imagen")</f>
        <v/>
      </c>
    </row>
    <row r="4634">
      <c r="A4634" t="n">
        <v>4268</v>
      </c>
      <c r="B4634" t="inlineStr">
        <is>
          <t>A-490__143</t>
        </is>
      </c>
      <c r="C4634" t="n">
        <v>37.4524942529</v>
      </c>
      <c r="D4634" t="n">
        <v>-7.16057975818</v>
      </c>
      <c r="E4634" t="n">
        <v>2</v>
      </c>
      <c r="F4634" t="n">
        <v>4</v>
      </c>
      <c r="G4634" t="n">
        <v>4</v>
      </c>
      <c r="H4634" t="n">
        <v>4</v>
      </c>
      <c r="I4634" t="n">
        <v>4</v>
      </c>
      <c r="J4634" t="inlineStr">
        <is>
          <t>Mediana</t>
        </is>
      </c>
      <c r="K4634" t="n">
        <v>4</v>
      </c>
      <c r="L4634" t="n">
        <v>3.792</v>
      </c>
      <c r="M4634" t="n">
        <v>0</v>
      </c>
      <c r="N4634" t="inlineStr">
        <is>
          <t>train</t>
        </is>
      </c>
      <c r="O4634">
        <f>HYPERLINK("NoConsenso\marker_431_740593.png", "Ver Imagen")</f>
        <v/>
      </c>
      <c r="P4634">
        <f>HYPERLINK("NE\A-490\A-490__143.png", "Ver Imagen")</f>
        <v/>
      </c>
    </row>
    <row r="4635">
      <c r="A4635" t="n">
        <v>4269</v>
      </c>
      <c r="B4635" t="inlineStr">
        <is>
          <t>A-490__144</t>
        </is>
      </c>
      <c r="C4635" t="n">
        <v>37.452568619</v>
      </c>
      <c r="D4635" t="n">
        <v>-7.16082954612</v>
      </c>
      <c r="E4635" t="n">
        <v>2</v>
      </c>
      <c r="F4635" t="n">
        <v>4</v>
      </c>
      <c r="G4635" t="n">
        <v>4</v>
      </c>
      <c r="H4635" t="n">
        <v>4</v>
      </c>
      <c r="I4635" t="n">
        <v>4</v>
      </c>
      <c r="J4635" t="inlineStr">
        <is>
          <t>Mediana</t>
        </is>
      </c>
      <c r="K4635" t="n">
        <v>4</v>
      </c>
      <c r="L4635" t="n">
        <v>4.02</v>
      </c>
      <c r="M4635" t="n">
        <v>0</v>
      </c>
      <c r="N4635" t="inlineStr">
        <is>
          <t>train</t>
        </is>
      </c>
      <c r="O4635">
        <f>HYPERLINK("NoConsenso\marker_163_740611.png", "Ver Imagen")</f>
        <v/>
      </c>
      <c r="P4635">
        <f>HYPERLINK("NE\A-490\A-490__144.png", "Ver Imagen")</f>
        <v/>
      </c>
    </row>
    <row r="4636">
      <c r="A4636" t="n">
        <v>4270</v>
      </c>
      <c r="B4636" t="inlineStr">
        <is>
          <t>A-490__173</t>
        </is>
      </c>
      <c r="C4636" t="n">
        <v>37.4559715439</v>
      </c>
      <c r="D4636" t="n">
        <v>-7.16676302319</v>
      </c>
      <c r="E4636" t="n">
        <v>2</v>
      </c>
      <c r="F4636" t="n">
        <v>4</v>
      </c>
      <c r="G4636" t="n">
        <v>4</v>
      </c>
      <c r="H4636" t="n">
        <v>3</v>
      </c>
      <c r="I4636" t="n">
        <v>3</v>
      </c>
      <c r="J4636" t="inlineStr">
        <is>
          <t>Mediana</t>
        </is>
      </c>
      <c r="K4636" t="n">
        <v>3</v>
      </c>
      <c r="L4636" t="n">
        <v>2.844</v>
      </c>
      <c r="M4636" t="n">
        <v>0</v>
      </c>
      <c r="N4636" t="inlineStr">
        <is>
          <t>train</t>
        </is>
      </c>
      <c r="O4636">
        <f>HYPERLINK("NoConsenso\marker_602_741551.png", "Ver Imagen")</f>
        <v/>
      </c>
      <c r="P4636">
        <f>HYPERLINK("NE\A-490\A-490__173.png", "Ver Imagen")</f>
        <v/>
      </c>
    </row>
    <row r="4637">
      <c r="A4637" t="n">
        <v>4271</v>
      </c>
      <c r="B4637" t="inlineStr">
        <is>
          <t>A-490__175</t>
        </is>
      </c>
      <c r="C4637" t="n">
        <v>37.45628314</v>
      </c>
      <c r="D4637" t="n">
        <v>-7.16714607513</v>
      </c>
      <c r="E4637" t="n">
        <v>2</v>
      </c>
      <c r="F4637" t="n">
        <v>4</v>
      </c>
      <c r="G4637" t="n">
        <v>4</v>
      </c>
      <c r="H4637" t="n">
        <v>4</v>
      </c>
      <c r="I4637" t="n">
        <v>4</v>
      </c>
      <c r="J4637" t="inlineStr">
        <is>
          <t>Mediana</t>
        </is>
      </c>
      <c r="K4637" t="n">
        <v>4</v>
      </c>
      <c r="L4637" t="n">
        <v>3.777</v>
      </c>
      <c r="M4637" t="n">
        <v>0</v>
      </c>
      <c r="N4637" t="inlineStr">
        <is>
          <t>train</t>
        </is>
      </c>
      <c r="O4637">
        <f>HYPERLINK("NoConsenso\marker_360_741609.png", "Ver Imagen")</f>
        <v/>
      </c>
      <c r="P4637">
        <f>HYPERLINK("NE\A-490\A-490__175.png", "Ver Imagen")</f>
        <v/>
      </c>
    </row>
    <row r="4638">
      <c r="A4638" t="n">
        <v>4272</v>
      </c>
      <c r="B4638" t="inlineStr">
        <is>
          <t>A-490__186</t>
        </is>
      </c>
      <c r="C4638" t="n">
        <v>37.4578516695</v>
      </c>
      <c r="D4638" t="n">
        <v>-7.16908299217</v>
      </c>
      <c r="E4638" t="n">
        <v>2</v>
      </c>
      <c r="F4638" t="n">
        <v>4</v>
      </c>
      <c r="G4638" t="n">
        <v>4</v>
      </c>
      <c r="H4638" t="n">
        <v>4</v>
      </c>
      <c r="I4638" t="n">
        <v>4</v>
      </c>
      <c r="J4638" t="inlineStr">
        <is>
          <t>Mediana</t>
        </is>
      </c>
      <c r="K4638" t="n">
        <v>4</v>
      </c>
      <c r="L4638" t="n">
        <v>3.829</v>
      </c>
      <c r="M4638" t="n">
        <v>0</v>
      </c>
      <c r="N4638" t="inlineStr">
        <is>
          <t>train</t>
        </is>
      </c>
      <c r="O4638">
        <f>HYPERLINK("NoConsenso\marker_825_741952.png", "Ver Imagen")</f>
        <v/>
      </c>
      <c r="P4638">
        <f>HYPERLINK("NE\A-490\A-490__186.png", "Ver Imagen")</f>
        <v/>
      </c>
    </row>
    <row r="4639">
      <c r="A4639" t="n">
        <v>4273</v>
      </c>
      <c r="B4639" t="inlineStr">
        <is>
          <t>A-490__190</t>
        </is>
      </c>
      <c r="C4639" t="n">
        <v>37.4584382252</v>
      </c>
      <c r="D4639" t="n">
        <v>-7.16980185305</v>
      </c>
      <c r="E4639" t="n">
        <v>2</v>
      </c>
      <c r="F4639" t="n">
        <v>4</v>
      </c>
      <c r="G4639" t="n">
        <v>4</v>
      </c>
      <c r="H4639" t="n">
        <v>4</v>
      </c>
      <c r="I4639" t="n">
        <v>4</v>
      </c>
      <c r="J4639" t="inlineStr">
        <is>
          <t>Mediana</t>
        </is>
      </c>
      <c r="K4639" t="n">
        <v>4</v>
      </c>
      <c r="L4639" t="n">
        <v>3.804</v>
      </c>
      <c r="M4639" t="n">
        <v>0</v>
      </c>
      <c r="N4639" t="inlineStr">
        <is>
          <t>train</t>
        </is>
      </c>
      <c r="O4639">
        <f>HYPERLINK("NoConsenso\marker_942_742047.png", "Ver Imagen")</f>
        <v/>
      </c>
      <c r="P4639">
        <f>HYPERLINK("NE\A-490\A-490__190.png", "Ver Imagen")</f>
        <v/>
      </c>
    </row>
    <row r="4640">
      <c r="A4640" t="n">
        <v>4274</v>
      </c>
      <c r="B4640" t="inlineStr">
        <is>
          <t>A-490__191</t>
        </is>
      </c>
      <c r="C4640" t="n">
        <v>37.4585738479</v>
      </c>
      <c r="D4640" t="n">
        <v>-7.1699683627</v>
      </c>
      <c r="E4640" t="n">
        <v>2</v>
      </c>
      <c r="F4640" t="n">
        <v>4</v>
      </c>
      <c r="G4640" t="n">
        <v>4</v>
      </c>
      <c r="H4640" t="n">
        <v>4</v>
      </c>
      <c r="I4640" t="n">
        <v>4</v>
      </c>
      <c r="J4640" t="inlineStr">
        <is>
          <t>Mediana</t>
        </is>
      </c>
      <c r="K4640" t="n">
        <v>4</v>
      </c>
      <c r="L4640" t="n">
        <v>3.579</v>
      </c>
      <c r="M4640" t="n">
        <v>0</v>
      </c>
      <c r="N4640" t="inlineStr">
        <is>
          <t>train</t>
        </is>
      </c>
      <c r="O4640">
        <f>HYPERLINK("NoConsenso\marker_108_742082.png", "Ver Imagen")</f>
        <v/>
      </c>
      <c r="P4640">
        <f>HYPERLINK("NE\A-490\A-490__191.png", "Ver Imagen")</f>
        <v/>
      </c>
    </row>
    <row r="4641">
      <c r="A4641" t="n">
        <v>4275</v>
      </c>
      <c r="B4641" t="inlineStr">
        <is>
          <t>A-490__192</t>
        </is>
      </c>
      <c r="C4641" t="n">
        <v>37.4587276846</v>
      </c>
      <c r="D4641" t="n">
        <v>-7.17015708934</v>
      </c>
      <c r="E4641" t="n">
        <v>2</v>
      </c>
      <c r="F4641" t="n">
        <v>4</v>
      </c>
      <c r="G4641" t="n">
        <v>4</v>
      </c>
      <c r="H4641" t="n">
        <v>4</v>
      </c>
      <c r="I4641" t="n">
        <v>4</v>
      </c>
      <c r="J4641" t="inlineStr">
        <is>
          <t>Mediana</t>
        </is>
      </c>
      <c r="K4641" t="n">
        <v>4</v>
      </c>
      <c r="L4641" t="n">
        <v>3.622</v>
      </c>
      <c r="M4641" t="n">
        <v>0</v>
      </c>
      <c r="N4641" t="inlineStr">
        <is>
          <t>train</t>
        </is>
      </c>
      <c r="O4641">
        <f>HYPERLINK("NoConsenso\marker_139_742103.png", "Ver Imagen")</f>
        <v/>
      </c>
      <c r="P4641">
        <f>HYPERLINK("NE\A-490\A-490__192.png", "Ver Imagen")</f>
        <v/>
      </c>
    </row>
    <row r="4642">
      <c r="A4642" t="n">
        <v>4276</v>
      </c>
      <c r="B4642" t="inlineStr">
        <is>
          <t>A-490__193</t>
        </is>
      </c>
      <c r="C4642" t="n">
        <v>37.4588641875</v>
      </c>
      <c r="D4642" t="n">
        <v>-7.17032407784</v>
      </c>
      <c r="E4642" t="n">
        <v>2</v>
      </c>
      <c r="F4642" t="n">
        <v>3</v>
      </c>
      <c r="G4642" t="n">
        <v>4</v>
      </c>
      <c r="H4642" t="n">
        <v>4</v>
      </c>
      <c r="I4642" t="n">
        <v>4</v>
      </c>
      <c r="J4642" t="inlineStr">
        <is>
          <t>Mediana</t>
        </is>
      </c>
      <c r="K4642" t="n">
        <v>4</v>
      </c>
      <c r="L4642" t="n">
        <v>3.945</v>
      </c>
      <c r="M4642" t="n">
        <v>0</v>
      </c>
      <c r="N4642" t="inlineStr">
        <is>
          <t>train</t>
        </is>
      </c>
      <c r="O4642">
        <f>HYPERLINK("NoConsenso\marker_116_742118.png", "Ver Imagen")</f>
        <v/>
      </c>
      <c r="P4642">
        <f>HYPERLINK("NE\A-490\A-490__193.png", "Ver Imagen")</f>
        <v/>
      </c>
    </row>
    <row r="4643">
      <c r="A4643" t="n">
        <v>4277</v>
      </c>
      <c r="B4643" t="inlineStr">
        <is>
          <t>A-490__194</t>
        </is>
      </c>
      <c r="C4643" t="n">
        <v>37.4590122105</v>
      </c>
      <c r="D4643" t="n">
        <v>-7.17050355554</v>
      </c>
      <c r="E4643" t="n">
        <v>2</v>
      </c>
      <c r="F4643" t="n">
        <v>4</v>
      </c>
      <c r="G4643" t="n">
        <v>4</v>
      </c>
      <c r="H4643" t="n">
        <v>4</v>
      </c>
      <c r="I4643" t="n">
        <v>4</v>
      </c>
      <c r="J4643" t="inlineStr">
        <is>
          <t>Mediana</t>
        </is>
      </c>
      <c r="K4643" t="n">
        <v>4</v>
      </c>
      <c r="L4643" t="n">
        <v>3.715</v>
      </c>
      <c r="M4643" t="n">
        <v>0</v>
      </c>
      <c r="N4643" t="inlineStr">
        <is>
          <t>val</t>
        </is>
      </c>
      <c r="O4643">
        <f>HYPERLINK("NoConsenso\marker_679_742139.png", "Ver Imagen")</f>
        <v/>
      </c>
      <c r="P4643">
        <f>HYPERLINK("NE\A-490\A-490__194.png", "Ver Imagen")</f>
        <v/>
      </c>
    </row>
    <row r="4644">
      <c r="A4644" t="n">
        <v>4278</v>
      </c>
      <c r="B4644" t="inlineStr">
        <is>
          <t>A-490__195</t>
        </is>
      </c>
      <c r="C4644" t="n">
        <v>37.4591635166</v>
      </c>
      <c r="D4644" t="n">
        <v>-7.17068697759</v>
      </c>
      <c r="E4644" t="n">
        <v>2</v>
      </c>
      <c r="F4644" t="n">
        <v>4</v>
      </c>
      <c r="G4644" t="n">
        <v>4</v>
      </c>
      <c r="H4644" t="n">
        <v>4</v>
      </c>
      <c r="I4644" t="n">
        <v>4</v>
      </c>
      <c r="J4644" t="inlineStr">
        <is>
          <t>Mediana</t>
        </is>
      </c>
      <c r="K4644" t="n">
        <v>4</v>
      </c>
      <c r="L4644" t="n">
        <v>3.985</v>
      </c>
      <c r="M4644" t="n">
        <v>0</v>
      </c>
      <c r="N4644" t="inlineStr">
        <is>
          <t>train</t>
        </is>
      </c>
      <c r="O4644">
        <f>HYPERLINK("NoConsenso\marker_710_742167.png", "Ver Imagen")</f>
        <v/>
      </c>
      <c r="P4644">
        <f>HYPERLINK("NE\A-490\A-490__195.png", "Ver Imagen")</f>
        <v/>
      </c>
    </row>
    <row r="4645">
      <c r="A4645" t="n">
        <v>4279</v>
      </c>
      <c r="B4645" t="inlineStr">
        <is>
          <t>A-490__196</t>
        </is>
      </c>
      <c r="C4645" t="n">
        <v>37.4593490963</v>
      </c>
      <c r="D4645" t="n">
        <v>-7.17091608826</v>
      </c>
      <c r="E4645" t="n">
        <v>2</v>
      </c>
      <c r="F4645" t="n">
        <v>3</v>
      </c>
      <c r="G4645" t="n">
        <v>4</v>
      </c>
      <c r="H4645" t="n">
        <v>3</v>
      </c>
      <c r="I4645" t="n">
        <v>4</v>
      </c>
      <c r="J4645" t="inlineStr">
        <is>
          <t>Modificada</t>
        </is>
      </c>
      <c r="K4645" t="n">
        <v>4</v>
      </c>
      <c r="L4645" t="n">
        <v>3.808</v>
      </c>
      <c r="M4645" t="n">
        <v>0</v>
      </c>
      <c r="N4645" t="inlineStr">
        <is>
          <t>train</t>
        </is>
      </c>
      <c r="O4645">
        <f>HYPERLINK("NoConsenso\marker_686_742189.png", "Ver Imagen")</f>
        <v/>
      </c>
      <c r="P4645">
        <f>HYPERLINK("NE\A-490\A-490__196.png", "Ver Imagen")</f>
        <v/>
      </c>
    </row>
    <row r="4646">
      <c r="A4646" t="n">
        <v>4280</v>
      </c>
      <c r="B4646" t="inlineStr">
        <is>
          <t>A-490__199</t>
        </is>
      </c>
      <c r="C4646" t="n">
        <v>37.459708779</v>
      </c>
      <c r="D4646" t="n">
        <v>-7.17139827166</v>
      </c>
      <c r="E4646" t="n">
        <v>2</v>
      </c>
      <c r="F4646" t="n">
        <v>4</v>
      </c>
      <c r="G4646" t="n">
        <v>4</v>
      </c>
      <c r="H4646" t="n">
        <v>4</v>
      </c>
      <c r="I4646" t="n">
        <v>4</v>
      </c>
      <c r="J4646" t="inlineStr">
        <is>
          <t>Mediana</t>
        </is>
      </c>
      <c r="K4646" t="n">
        <v>4</v>
      </c>
      <c r="L4646" t="n">
        <v>3.537</v>
      </c>
      <c r="M4646" t="n">
        <v>0</v>
      </c>
      <c r="N4646" t="inlineStr">
        <is>
          <t>train</t>
        </is>
      </c>
      <c r="O4646">
        <f>HYPERLINK("NoConsenso\marker_470_742325.png", "Ver Imagen")</f>
        <v/>
      </c>
      <c r="P4646">
        <f>HYPERLINK("NE\A-490\A-490__199.png", "Ver Imagen")</f>
        <v/>
      </c>
    </row>
    <row r="4647">
      <c r="A4647" t="n">
        <v>4281</v>
      </c>
      <c r="B4647" t="inlineStr">
        <is>
          <t>A-490__209</t>
        </is>
      </c>
      <c r="C4647" t="n">
        <v>37.4609580392</v>
      </c>
      <c r="D4647" t="n">
        <v>-7.1734112662</v>
      </c>
      <c r="E4647" t="n">
        <v>2</v>
      </c>
      <c r="F4647" t="n">
        <v>4</v>
      </c>
      <c r="G4647" t="n">
        <v>4</v>
      </c>
      <c r="H4647" t="n">
        <v>4</v>
      </c>
      <c r="I4647" t="n">
        <v>3</v>
      </c>
      <c r="J4647" t="inlineStr">
        <is>
          <t>Mediana</t>
        </is>
      </c>
      <c r="K4647" t="n">
        <v>4</v>
      </c>
      <c r="L4647" t="n">
        <v>3.79</v>
      </c>
      <c r="M4647" t="n">
        <v>0</v>
      </c>
      <c r="N4647" t="inlineStr">
        <is>
          <t>train</t>
        </is>
      </c>
      <c r="O4647">
        <f>HYPERLINK("NoConsenso\marker_301_742643.png", "Ver Imagen")</f>
        <v/>
      </c>
      <c r="P4647">
        <f>HYPERLINK("NE\A-490\A-490__209.png", "Ver Imagen")</f>
        <v/>
      </c>
    </row>
    <row r="4648">
      <c r="A4648" t="n">
        <v>4282</v>
      </c>
      <c r="B4648" t="inlineStr">
        <is>
          <t>A-490__251</t>
        </is>
      </c>
      <c r="C4648" t="n">
        <v>37.465960205</v>
      </c>
      <c r="D4648" t="n">
        <v>-7.18210224676</v>
      </c>
      <c r="E4648" t="n">
        <v>3</v>
      </c>
      <c r="F4648" t="n">
        <v>5</v>
      </c>
      <c r="G4648" t="n">
        <v>4</v>
      </c>
      <c r="H4648" t="n">
        <v>4</v>
      </c>
      <c r="I4648" t="n">
        <v>4</v>
      </c>
      <c r="J4648" t="inlineStr">
        <is>
          <t>Mediana</t>
        </is>
      </c>
      <c r="K4648" t="n">
        <v>4</v>
      </c>
      <c r="L4648" t="n">
        <v>4.236</v>
      </c>
      <c r="M4648" t="n">
        <v>0</v>
      </c>
      <c r="N4648" t="inlineStr">
        <is>
          <t>test</t>
        </is>
      </c>
      <c r="O4648">
        <f>HYPERLINK("NoConsenso\marker_124_749514.png", "Ver Imagen")</f>
        <v/>
      </c>
      <c r="P4648">
        <f>HYPERLINK("NO\A-490\A-490__251.png", "Ver Imagen")</f>
        <v/>
      </c>
    </row>
    <row r="4649">
      <c r="A4649" t="n">
        <v>4283</v>
      </c>
      <c r="B4649" t="inlineStr">
        <is>
          <t>A-490__256</t>
        </is>
      </c>
      <c r="C4649" t="n">
        <v>37.4665176902</v>
      </c>
      <c r="D4649" t="n">
        <v>-7.18313911321</v>
      </c>
      <c r="E4649" t="n">
        <v>2</v>
      </c>
      <c r="F4649" t="n">
        <v>3</v>
      </c>
      <c r="G4649" t="n">
        <v>4</v>
      </c>
      <c r="H4649" t="n">
        <v>3</v>
      </c>
      <c r="I4649" t="n">
        <v>3</v>
      </c>
      <c r="J4649" t="inlineStr">
        <is>
          <t>Mediana</t>
        </is>
      </c>
      <c r="K4649" t="n">
        <v>3</v>
      </c>
      <c r="L4649" t="n">
        <v>3.402</v>
      </c>
      <c r="M4649" t="n">
        <v>0</v>
      </c>
      <c r="N4649" t="inlineStr">
        <is>
          <t>val</t>
        </is>
      </c>
      <c r="O4649">
        <f>HYPERLINK("NoConsenso\marker_319_749629.png", "Ver Imagen")</f>
        <v/>
      </c>
      <c r="P4649">
        <f>HYPERLINK("NE\A-490\A-490__256.png", "Ver Imagen")</f>
        <v/>
      </c>
    </row>
    <row r="4650">
      <c r="A4650" t="n">
        <v>4283</v>
      </c>
      <c r="B4650" t="inlineStr">
        <is>
          <t>A-490__256</t>
        </is>
      </c>
      <c r="C4650" t="n">
        <v>37.4665176902</v>
      </c>
      <c r="D4650" t="n">
        <v>-7.18313911321</v>
      </c>
      <c r="E4650" t="n">
        <v>2</v>
      </c>
      <c r="F4650" t="n">
        <v>3</v>
      </c>
      <c r="G4650" t="n">
        <v>4</v>
      </c>
      <c r="H4650" t="n">
        <v>3</v>
      </c>
      <c r="I4650" t="n">
        <v>3</v>
      </c>
      <c r="J4650" t="inlineStr">
        <is>
          <t>Mediana</t>
        </is>
      </c>
      <c r="K4650" t="n">
        <v>3</v>
      </c>
      <c r="L4650" t="n">
        <v>2.742</v>
      </c>
      <c r="M4650" t="n">
        <v>0</v>
      </c>
      <c r="N4650" t="inlineStr">
        <is>
          <t>val</t>
        </is>
      </c>
      <c r="O4650">
        <f>HYPERLINK("NoConsenso\marker_319_749629.png", "Ver Imagen")</f>
        <v/>
      </c>
      <c r="P4650">
        <f>HYPERLINK("NO\A-490\A-490__256.png", "Ver Imagen")</f>
        <v/>
      </c>
    </row>
    <row r="4651">
      <c r="A4651" t="n">
        <v>4284</v>
      </c>
      <c r="B4651" t="inlineStr">
        <is>
          <t>A-490__349</t>
        </is>
      </c>
      <c r="C4651" t="n">
        <v>37.476808483</v>
      </c>
      <c r="D4651" t="n">
        <v>-7.20294609998</v>
      </c>
      <c r="E4651" t="n">
        <v>2</v>
      </c>
      <c r="F4651" t="n">
        <v>4</v>
      </c>
      <c r="G4651" t="n">
        <v>4</v>
      </c>
      <c r="H4651" t="n">
        <v>3</v>
      </c>
      <c r="I4651" t="n">
        <v>3</v>
      </c>
      <c r="J4651" t="inlineStr">
        <is>
          <t>Mediana</t>
        </is>
      </c>
      <c r="K4651" t="n">
        <v>3</v>
      </c>
      <c r="L4651" t="n">
        <v>2.955</v>
      </c>
      <c r="M4651" t="n">
        <v>0</v>
      </c>
      <c r="N4651" t="inlineStr">
        <is>
          <t>val</t>
        </is>
      </c>
      <c r="O4651">
        <f>HYPERLINK("NoConsenso\marker_428_751662.png", "Ver Imagen")</f>
        <v/>
      </c>
      <c r="P4651">
        <f>HYPERLINK("NE\A-490\A-490__349.png", "Ver Imagen")</f>
        <v/>
      </c>
    </row>
    <row r="4652">
      <c r="A4652" t="n">
        <v>4284</v>
      </c>
      <c r="B4652" t="inlineStr">
        <is>
          <t>A-490__349</t>
        </is>
      </c>
      <c r="C4652" t="n">
        <v>37.476808483</v>
      </c>
      <c r="D4652" t="n">
        <v>-7.20294609998</v>
      </c>
      <c r="E4652" t="n">
        <v>2</v>
      </c>
      <c r="F4652" t="n">
        <v>4</v>
      </c>
      <c r="G4652" t="n">
        <v>4</v>
      </c>
      <c r="H4652" t="n">
        <v>3</v>
      </c>
      <c r="I4652" t="n">
        <v>3</v>
      </c>
      <c r="J4652" t="inlineStr">
        <is>
          <t>Mediana</t>
        </is>
      </c>
      <c r="K4652" t="n">
        <v>3</v>
      </c>
      <c r="L4652" t="n">
        <v>2.832</v>
      </c>
      <c r="M4652" t="n">
        <v>0</v>
      </c>
      <c r="N4652" t="inlineStr">
        <is>
          <t>val</t>
        </is>
      </c>
      <c r="O4652">
        <f>HYPERLINK("NoConsenso\marker_428_751662.png", "Ver Imagen")</f>
        <v/>
      </c>
      <c r="P4652">
        <f>HYPERLINK("NO\A-490\A-490__349.png", "Ver Imagen")</f>
        <v/>
      </c>
    </row>
    <row r="4653">
      <c r="A4653" t="n">
        <v>4285</v>
      </c>
      <c r="B4653" t="inlineStr">
        <is>
          <t>A-490__351</t>
        </is>
      </c>
      <c r="C4653" t="n">
        <v>37.476974776</v>
      </c>
      <c r="D4653" t="n">
        <v>-7.20333145295</v>
      </c>
      <c r="E4653" t="n">
        <v>2</v>
      </c>
      <c r="F4653" t="n">
        <v>3</v>
      </c>
      <c r="G4653" t="n">
        <v>4</v>
      </c>
      <c r="H4653" t="n">
        <v>3</v>
      </c>
      <c r="I4653" t="n">
        <v>3</v>
      </c>
      <c r="J4653" t="inlineStr">
        <is>
          <t>Mediana</t>
        </is>
      </c>
      <c r="K4653" t="n">
        <v>3</v>
      </c>
      <c r="L4653" t="n">
        <v>2.621</v>
      </c>
      <c r="M4653" t="n">
        <v>0</v>
      </c>
      <c r="N4653" t="inlineStr">
        <is>
          <t>train</t>
        </is>
      </c>
      <c r="O4653">
        <f>HYPERLINK("NoConsenso\marker_266_751693.png", "Ver Imagen")</f>
        <v/>
      </c>
      <c r="P4653">
        <f>HYPERLINK("NE\A-490\A-490__351.png", "Ver Imagen")</f>
        <v/>
      </c>
    </row>
    <row r="4654">
      <c r="A4654" t="n">
        <v>4285</v>
      </c>
      <c r="B4654" t="inlineStr">
        <is>
          <t>A-490__351</t>
        </is>
      </c>
      <c r="C4654" t="n">
        <v>37.476974776</v>
      </c>
      <c r="D4654" t="n">
        <v>-7.20333145295</v>
      </c>
      <c r="E4654" t="n">
        <v>2</v>
      </c>
      <c r="F4654" t="n">
        <v>3</v>
      </c>
      <c r="G4654" t="n">
        <v>4</v>
      </c>
      <c r="H4654" t="n">
        <v>3</v>
      </c>
      <c r="I4654" t="n">
        <v>3</v>
      </c>
      <c r="J4654" t="inlineStr">
        <is>
          <t>Mediana</t>
        </is>
      </c>
      <c r="K4654" t="n">
        <v>3</v>
      </c>
      <c r="L4654" t="n">
        <v>2.845</v>
      </c>
      <c r="M4654" t="n">
        <v>0</v>
      </c>
      <c r="N4654" t="inlineStr">
        <is>
          <t>train</t>
        </is>
      </c>
      <c r="O4654">
        <f>HYPERLINK("NoConsenso\marker_266_751693.png", "Ver Imagen")</f>
        <v/>
      </c>
      <c r="P4654">
        <f>HYPERLINK("NO\A-490\A-490__351.png", "Ver Imagen")</f>
        <v/>
      </c>
    </row>
    <row r="4655">
      <c r="A4655" t="n">
        <v>4286</v>
      </c>
      <c r="B4655" t="inlineStr">
        <is>
          <t>A-490__380</t>
        </is>
      </c>
      <c r="C4655" t="n">
        <v>37.4797668716</v>
      </c>
      <c r="D4655" t="n">
        <v>-7.20981104793</v>
      </c>
      <c r="E4655" t="n">
        <v>2</v>
      </c>
      <c r="F4655" t="n">
        <v>3</v>
      </c>
      <c r="G4655" t="n">
        <v>4</v>
      </c>
      <c r="H4655" t="n">
        <v>3</v>
      </c>
      <c r="I4655" t="n">
        <v>3</v>
      </c>
      <c r="J4655" t="inlineStr">
        <is>
          <t>Mediana</t>
        </is>
      </c>
      <c r="K4655" t="n">
        <v>3</v>
      </c>
      <c r="L4655" t="n">
        <v>3.096</v>
      </c>
      <c r="M4655" t="n">
        <v>0</v>
      </c>
      <c r="N4655" t="inlineStr">
        <is>
          <t>train</t>
        </is>
      </c>
      <c r="O4655">
        <f>HYPERLINK("NoConsenso\marker_169_752333.png", "Ver Imagen")</f>
        <v/>
      </c>
      <c r="P4655">
        <f>HYPERLINK("NO\A-490\A-490__380.png", "Ver Imagen")</f>
        <v/>
      </c>
    </row>
    <row r="4656">
      <c r="A4656" t="n">
        <v>4287</v>
      </c>
      <c r="B4656" t="inlineStr">
        <is>
          <t>A-490__548</t>
        </is>
      </c>
      <c r="C4656" t="n">
        <v>37.4906176055</v>
      </c>
      <c r="D4656" t="n">
        <v>-7.24966322604</v>
      </c>
      <c r="E4656" t="n">
        <v>2</v>
      </c>
      <c r="F4656" t="n">
        <v>3</v>
      </c>
      <c r="G4656" t="n">
        <v>4</v>
      </c>
      <c r="H4656" t="n">
        <v>3</v>
      </c>
      <c r="I4656" t="n">
        <v>3</v>
      </c>
      <c r="J4656" t="inlineStr">
        <is>
          <t>Mediana</t>
        </is>
      </c>
      <c r="K4656" t="n">
        <v>3</v>
      </c>
      <c r="L4656" t="n">
        <v>3.184</v>
      </c>
      <c r="M4656" t="n">
        <v>0</v>
      </c>
      <c r="N4656" t="inlineStr">
        <is>
          <t>train</t>
        </is>
      </c>
      <c r="O4656">
        <f>HYPERLINK("NoConsenso\marker_125_818497.png", "Ver Imagen")</f>
        <v/>
      </c>
      <c r="P4656">
        <f>HYPERLINK("NO\A-490\A-490__548.png", "Ver Imagen")</f>
        <v/>
      </c>
    </row>
    <row r="4657">
      <c r="A4657" t="n">
        <v>4289</v>
      </c>
      <c r="B4657" t="inlineStr">
        <is>
          <t>A-490__627</t>
        </is>
      </c>
      <c r="C4657" t="n">
        <v>37.4949984504</v>
      </c>
      <c r="D4657" t="n">
        <v>-7.26733666174</v>
      </c>
      <c r="E4657" t="n">
        <v>2</v>
      </c>
      <c r="F4657" t="n">
        <v>3</v>
      </c>
      <c r="G4657" t="n">
        <v>4</v>
      </c>
      <c r="H4657" t="n">
        <v>2</v>
      </c>
      <c r="I4657" t="n">
        <v>3</v>
      </c>
      <c r="J4657" t="inlineStr">
        <is>
          <t>Mediana</t>
        </is>
      </c>
      <c r="K4657" t="n">
        <v>3</v>
      </c>
      <c r="L4657" t="n">
        <v>3.06</v>
      </c>
      <c r="M4657" t="n">
        <v>0</v>
      </c>
      <c r="N4657" t="inlineStr">
        <is>
          <t>train</t>
        </is>
      </c>
      <c r="O4657">
        <f>HYPERLINK("NoConsenso\marker_613_820389.png", "Ver Imagen")</f>
        <v/>
      </c>
      <c r="P4657">
        <f>HYPERLINK("NO\A-490\A-490__627.png", "Ver Imagen")</f>
        <v/>
      </c>
    </row>
    <row r="4658">
      <c r="A4658" t="n">
        <v>4290</v>
      </c>
      <c r="B4658" t="inlineStr">
        <is>
          <t>A-492__6</t>
        </is>
      </c>
      <c r="C4658" t="n">
        <v>37.2725971646</v>
      </c>
      <c r="D4658" t="n">
        <v>-6.99110387591</v>
      </c>
      <c r="E4658" t="n">
        <v>2</v>
      </c>
      <c r="F4658" t="n">
        <v>3</v>
      </c>
      <c r="G4658" t="n">
        <v>4</v>
      </c>
      <c r="H4658" t="n">
        <v>3</v>
      </c>
      <c r="I4658" t="n">
        <v>4</v>
      </c>
      <c r="J4658" t="inlineStr">
        <is>
          <t>Mediana</t>
        </is>
      </c>
      <c r="K4658" t="n">
        <v>3</v>
      </c>
      <c r="L4658" t="n">
        <v>3.189</v>
      </c>
      <c r="M4658" t="n">
        <v>0</v>
      </c>
      <c r="N4658" t="inlineStr">
        <is>
          <t>val</t>
        </is>
      </c>
      <c r="O4658">
        <f>HYPERLINK("NoConsenso\marker_501_821562.png", "Ver Imagen")</f>
        <v/>
      </c>
      <c r="P4658">
        <f>HYPERLINK("SE\A-492\A-492__6.png", "Ver Imagen")</f>
        <v/>
      </c>
    </row>
    <row r="4659">
      <c r="A4659" t="n">
        <v>4291</v>
      </c>
      <c r="B4659" t="inlineStr">
        <is>
          <t>A-492__7</t>
        </is>
      </c>
      <c r="C4659" t="n">
        <v>37.2728202554</v>
      </c>
      <c r="D4659" t="n">
        <v>-6.99121747029</v>
      </c>
      <c r="E4659" t="n">
        <v>2</v>
      </c>
      <c r="F4659" t="n">
        <v>3</v>
      </c>
      <c r="G4659" t="n">
        <v>4</v>
      </c>
      <c r="H4659" t="n">
        <v>3</v>
      </c>
      <c r="I4659" t="n">
        <v>4</v>
      </c>
      <c r="J4659" t="inlineStr">
        <is>
          <t>Mediana</t>
        </is>
      </c>
      <c r="K4659" t="n">
        <v>3</v>
      </c>
      <c r="L4659" t="n">
        <v>3.439</v>
      </c>
      <c r="M4659" t="n">
        <v>0</v>
      </c>
      <c r="N4659" t="inlineStr">
        <is>
          <t>val</t>
        </is>
      </c>
      <c r="O4659">
        <f>HYPERLINK("NoConsenso\marker_265_821575.png", "Ver Imagen")</f>
        <v/>
      </c>
      <c r="P4659">
        <f>HYPERLINK("SE\A-492\A-492__7.png", "Ver Imagen")</f>
        <v/>
      </c>
    </row>
    <row r="4660">
      <c r="A4660" t="n">
        <v>4292</v>
      </c>
      <c r="B4660" t="inlineStr">
        <is>
          <t>A-492__16</t>
        </is>
      </c>
      <c r="C4660" t="n">
        <v>37.2745687026</v>
      </c>
      <c r="D4660" t="n">
        <v>-6.99125307453</v>
      </c>
      <c r="E4660" t="n">
        <v>2</v>
      </c>
      <c r="F4660" t="n">
        <v>4</v>
      </c>
      <c r="G4660" t="n">
        <v>4</v>
      </c>
      <c r="H4660" t="n">
        <v>3</v>
      </c>
      <c r="I4660" t="n">
        <v>4</v>
      </c>
      <c r="J4660" t="inlineStr">
        <is>
          <t>Mediana</t>
        </is>
      </c>
      <c r="K4660" t="n">
        <v>4</v>
      </c>
      <c r="L4660" t="n">
        <v>3.722</v>
      </c>
      <c r="M4660" t="n">
        <v>0</v>
      </c>
      <c r="N4660" t="inlineStr">
        <is>
          <t>train</t>
        </is>
      </c>
      <c r="O4660">
        <f>HYPERLINK("NoConsenso\marker_114_821971.png", "Ver Imagen")</f>
        <v/>
      </c>
      <c r="P4660">
        <f>HYPERLINK("SE\A-492\A-492__16.png", "Ver Imagen")</f>
        <v/>
      </c>
    </row>
    <row r="4661">
      <c r="A4661" t="n">
        <v>4293</v>
      </c>
      <c r="B4661" t="inlineStr">
        <is>
          <t>A-492__29</t>
        </is>
      </c>
      <c r="C4661" t="n">
        <v>37.2767608199</v>
      </c>
      <c r="D4661" t="n">
        <v>-6.99155434357</v>
      </c>
      <c r="E4661" t="n">
        <v>2</v>
      </c>
      <c r="F4661" t="n">
        <v>3</v>
      </c>
      <c r="G4661" t="n">
        <v>4</v>
      </c>
      <c r="H4661" t="n">
        <v>3</v>
      </c>
      <c r="I4661" t="n">
        <v>4</v>
      </c>
      <c r="J4661" t="inlineStr">
        <is>
          <t>Modificada</t>
        </is>
      </c>
      <c r="K4661" t="n">
        <v>4</v>
      </c>
      <c r="L4661" t="n">
        <v>4.131</v>
      </c>
      <c r="M4661" t="n">
        <v>0</v>
      </c>
      <c r="N4661" t="inlineStr">
        <is>
          <t>train</t>
        </is>
      </c>
      <c r="O4661">
        <f>HYPERLINK("NoConsenso\marker_401_822297.png", "Ver Imagen")</f>
        <v/>
      </c>
      <c r="P4661">
        <f>HYPERLINK("SE\A-492\A-492__29.png", "Ver Imagen")</f>
        <v/>
      </c>
    </row>
    <row r="4662">
      <c r="A4662" t="n">
        <v>4294</v>
      </c>
      <c r="B4662" t="inlineStr">
        <is>
          <t>A-492__84</t>
        </is>
      </c>
      <c r="C4662" t="n">
        <v>37.280702718</v>
      </c>
      <c r="D4662" t="n">
        <v>-7.00351023706</v>
      </c>
      <c r="E4662" t="n">
        <v>4</v>
      </c>
      <c r="F4662" t="n">
        <v>2</v>
      </c>
      <c r="G4662" t="n">
        <v>4</v>
      </c>
      <c r="H4662" t="n">
        <v>2</v>
      </c>
      <c r="I4662" t="n">
        <v>1</v>
      </c>
      <c r="J4662" t="inlineStr">
        <is>
          <t>Mediana</t>
        </is>
      </c>
      <c r="K4662" t="n">
        <v>2</v>
      </c>
      <c r="L4662" t="n">
        <v>2.087</v>
      </c>
      <c r="M4662" t="n">
        <v>0</v>
      </c>
      <c r="N4662" t="inlineStr">
        <is>
          <t>train</t>
        </is>
      </c>
      <c r="O4662">
        <f>HYPERLINK("NoConsenso\marker_739_823543.png", "Ver Imagen")</f>
        <v/>
      </c>
      <c r="P4662">
        <f>HYPERLINK("SE\A-492\A-492__84.png", "Ver Imagen")</f>
        <v/>
      </c>
    </row>
    <row r="4663">
      <c r="A4663" t="n">
        <v>4295</v>
      </c>
      <c r="B4663" t="inlineStr">
        <is>
          <t>A-492__138</t>
        </is>
      </c>
      <c r="C4663" t="n">
        <v>37.2757974875</v>
      </c>
      <c r="D4663" t="n">
        <v>-7.01545150247</v>
      </c>
      <c r="E4663" t="n">
        <v>2</v>
      </c>
      <c r="F4663" t="n">
        <v>4</v>
      </c>
      <c r="G4663" t="n">
        <v>4</v>
      </c>
      <c r="H4663" t="n">
        <v>3</v>
      </c>
      <c r="I4663" t="n">
        <v>2</v>
      </c>
      <c r="J4663" t="inlineStr">
        <is>
          <t>Mediana</t>
        </is>
      </c>
      <c r="K4663" t="n">
        <v>3</v>
      </c>
      <c r="L4663" t="n">
        <v>2.943</v>
      </c>
      <c r="M4663" t="n">
        <v>0</v>
      </c>
      <c r="N4663" t="inlineStr">
        <is>
          <t>train</t>
        </is>
      </c>
      <c r="O4663">
        <f>HYPERLINK("NoConsenso\marker_840_824643.png", "Ver Imagen")</f>
        <v/>
      </c>
      <c r="P4663">
        <f>HYPERLINK("SE\A-492\A-492__138.png", "Ver Imagen")</f>
        <v/>
      </c>
    </row>
    <row r="4664">
      <c r="A4664" t="n">
        <v>4296</v>
      </c>
      <c r="B4664" t="inlineStr">
        <is>
          <t>A-492__414</t>
        </is>
      </c>
      <c r="C4664" t="n">
        <v>37.3112675325</v>
      </c>
      <c r="D4664" t="n">
        <v>-7.05932149383</v>
      </c>
      <c r="E4664" t="n">
        <v>2</v>
      </c>
      <c r="F4664" t="n">
        <v>3</v>
      </c>
      <c r="G4664" t="n">
        <v>4</v>
      </c>
      <c r="H4664" t="n">
        <v>3</v>
      </c>
      <c r="I4664" t="n">
        <v>3</v>
      </c>
      <c r="J4664" t="inlineStr">
        <is>
          <t>Mediana</t>
        </is>
      </c>
      <c r="K4664" t="n">
        <v>3</v>
      </c>
      <c r="L4664" t="n">
        <v>2.736</v>
      </c>
      <c r="M4664" t="n">
        <v>0</v>
      </c>
      <c r="N4664" t="inlineStr">
        <is>
          <t>train</t>
        </is>
      </c>
      <c r="O4664">
        <f>HYPERLINK("NoConsenso\marker_787_839331.png", "Ver Imagen")</f>
        <v/>
      </c>
      <c r="P4664">
        <f>HYPERLINK("SE\A-492\A-492__414.png", "Ver Imagen")</f>
        <v/>
      </c>
    </row>
    <row r="4665">
      <c r="A4665" t="n">
        <v>4298</v>
      </c>
      <c r="B4665" t="inlineStr">
        <is>
          <t>A-492__474</t>
        </is>
      </c>
      <c r="C4665" t="n">
        <v>37.3181879276</v>
      </c>
      <c r="D4665" t="n">
        <v>-7.07128492463</v>
      </c>
      <c r="E4665" t="n">
        <v>4</v>
      </c>
      <c r="F4665" t="n">
        <v>2</v>
      </c>
      <c r="G4665" t="n">
        <v>4</v>
      </c>
      <c r="H4665" t="n">
        <v>2</v>
      </c>
      <c r="I4665" t="n">
        <v>1</v>
      </c>
      <c r="J4665" t="inlineStr">
        <is>
          <t>Mediana</t>
        </is>
      </c>
      <c r="K4665" t="n">
        <v>2</v>
      </c>
      <c r="L4665" t="n">
        <v>2.394</v>
      </c>
      <c r="M4665" t="n">
        <v>0</v>
      </c>
      <c r="N4665" t="inlineStr">
        <is>
          <t>val</t>
        </is>
      </c>
      <c r="O4665">
        <f>HYPERLINK("NoConsenso\marker_216_840092.png", "Ver Imagen")</f>
        <v/>
      </c>
      <c r="P4665">
        <f>HYPERLINK("SE\A-492\A-492__474.png", "Ver Imagen")</f>
        <v/>
      </c>
    </row>
    <row r="4666">
      <c r="A4666" t="n">
        <v>4299</v>
      </c>
      <c r="B4666" t="inlineStr">
        <is>
          <t>A-495R__67</t>
        </is>
      </c>
      <c r="C4666" t="n">
        <v>37.457519638</v>
      </c>
      <c r="D4666" t="n">
        <v>-7.11409879255</v>
      </c>
      <c r="E4666" t="n">
        <v>3</v>
      </c>
      <c r="F4666" t="n">
        <v>5</v>
      </c>
      <c r="G4666" t="n">
        <v>4</v>
      </c>
      <c r="H4666" t="n">
        <v>3</v>
      </c>
      <c r="I4666" t="n">
        <v>4</v>
      </c>
      <c r="J4666" t="inlineStr">
        <is>
          <t>Mediana</t>
        </is>
      </c>
      <c r="K4666" t="n">
        <v>4</v>
      </c>
      <c r="L4666" t="n">
        <v>3.922</v>
      </c>
      <c r="M4666" t="n">
        <v>0</v>
      </c>
      <c r="N4666" t="inlineStr">
        <is>
          <t>train</t>
        </is>
      </c>
      <c r="O4666">
        <f>HYPERLINK("NoConsenso\marker_252_935280.png", "Ver Imagen")</f>
        <v/>
      </c>
      <c r="P4666">
        <f>HYPERLINK("NE\A-495R\A-495R__67.png", "Ver Imagen")</f>
        <v/>
      </c>
    </row>
    <row r="4667">
      <c r="A4667" t="n">
        <v>4300</v>
      </c>
      <c r="B4667" t="inlineStr">
        <is>
          <t>A-497__87</t>
        </is>
      </c>
      <c r="C4667" t="n">
        <v>37.2694194334</v>
      </c>
      <c r="D4667" t="n">
        <v>-6.97743778854</v>
      </c>
      <c r="E4667" t="n">
        <v>2</v>
      </c>
      <c r="F4667" t="n">
        <v>4</v>
      </c>
      <c r="G4667" t="n">
        <v>4</v>
      </c>
      <c r="H4667" t="n">
        <v>3</v>
      </c>
      <c r="I4667" t="n">
        <v>4</v>
      </c>
      <c r="J4667" t="inlineStr">
        <is>
          <t>Mediana</t>
        </is>
      </c>
      <c r="K4667" t="n">
        <v>4</v>
      </c>
      <c r="L4667" t="n">
        <v>4.036</v>
      </c>
      <c r="M4667" t="n">
        <v>0</v>
      </c>
      <c r="N4667" t="inlineStr">
        <is>
          <t>train</t>
        </is>
      </c>
      <c r="O4667">
        <f>HYPERLINK("NoConsenso\marker_460_937382.png", "Ver Imagen")</f>
        <v/>
      </c>
      <c r="P4667">
        <f>HYPERLINK("SE\A-497\A-497__87.png", "Ver Imagen")</f>
        <v/>
      </c>
    </row>
    <row r="4668">
      <c r="A4668" t="n">
        <v>4301</v>
      </c>
      <c r="B4668" t="inlineStr">
        <is>
          <t>A-497__2</t>
        </is>
      </c>
      <c r="C4668" t="n">
        <v>37.2673092948</v>
      </c>
      <c r="D4668" t="n">
        <v>-6.95749509357</v>
      </c>
      <c r="E4668" t="n">
        <v>2</v>
      </c>
      <c r="F4668" t="n">
        <v>4</v>
      </c>
      <c r="G4668" t="n">
        <v>4</v>
      </c>
      <c r="H4668" t="n">
        <v>3</v>
      </c>
      <c r="I4668" t="n">
        <v>3</v>
      </c>
      <c r="J4668" t="inlineStr">
        <is>
          <t>Mediana</t>
        </is>
      </c>
      <c r="K4668" t="n">
        <v>3</v>
      </c>
      <c r="L4668" t="n">
        <v>2.941</v>
      </c>
      <c r="M4668" t="n">
        <v>0</v>
      </c>
      <c r="N4668" t="inlineStr">
        <is>
          <t>train</t>
        </is>
      </c>
      <c r="O4668">
        <f>HYPERLINK("NoConsenso\marker_643_944060.png", "Ver Imagen")</f>
        <v/>
      </c>
      <c r="P4668">
        <f>HYPERLINK("SE\A-497\A-497__2.png", "Ver Imagen")</f>
        <v/>
      </c>
    </row>
    <row r="4669">
      <c r="A4669" t="n">
        <v>4302</v>
      </c>
      <c r="B4669" t="inlineStr">
        <is>
          <t>A-5050__171</t>
        </is>
      </c>
      <c r="C4669" t="n">
        <v>37.1909948555</v>
      </c>
      <c r="D4669" t="n">
        <v>-6.99098168087</v>
      </c>
      <c r="E4669" t="n">
        <v>2</v>
      </c>
      <c r="F4669" t="n">
        <v>3</v>
      </c>
      <c r="G4669" t="n">
        <v>4</v>
      </c>
      <c r="H4669" t="n">
        <v>3</v>
      </c>
      <c r="I4669" t="n">
        <v>4</v>
      </c>
      <c r="J4669" t="inlineStr">
        <is>
          <t>Mediana</t>
        </is>
      </c>
      <c r="K4669" t="n">
        <v>3</v>
      </c>
      <c r="L4669" t="n">
        <v>2.877</v>
      </c>
      <c r="M4669" t="n">
        <v>0</v>
      </c>
      <c r="N4669" t="inlineStr">
        <is>
          <t>train</t>
        </is>
      </c>
      <c r="O4669">
        <f>HYPERLINK("NoConsenso\marker_117_944273.png", "Ver Imagen")</f>
        <v/>
      </c>
      <c r="P4669">
        <f>HYPERLINK("SE\A-5050\A-5050__171.png", "Ver Imagen")</f>
        <v/>
      </c>
    </row>
    <row r="4670">
      <c r="A4670" t="n">
        <v>4303</v>
      </c>
      <c r="B4670" t="inlineStr">
        <is>
          <t>A-5050__170</t>
        </is>
      </c>
      <c r="C4670" t="n">
        <v>37.191097422</v>
      </c>
      <c r="D4670" t="n">
        <v>-6.99119152039</v>
      </c>
      <c r="E4670" t="n">
        <v>2</v>
      </c>
      <c r="F4670" t="n">
        <v>3</v>
      </c>
      <c r="G4670" t="n">
        <v>4</v>
      </c>
      <c r="H4670" t="n">
        <v>3</v>
      </c>
      <c r="I4670" t="n">
        <v>4</v>
      </c>
      <c r="J4670" t="inlineStr">
        <is>
          <t>Mediana</t>
        </is>
      </c>
      <c r="K4670" t="n">
        <v>3</v>
      </c>
      <c r="L4670" t="n">
        <v>2.861</v>
      </c>
      <c r="M4670" t="n">
        <v>0</v>
      </c>
      <c r="N4670" t="inlineStr">
        <is>
          <t>train</t>
        </is>
      </c>
      <c r="O4670">
        <f>HYPERLINK("NoConsenso\marker_693_944287.png", "Ver Imagen")</f>
        <v/>
      </c>
      <c r="P4670">
        <f>HYPERLINK("SE\A-5050\A-5050__170.png", "Ver Imagen")</f>
        <v/>
      </c>
    </row>
    <row r="4671">
      <c r="A4671" t="n">
        <v>4305</v>
      </c>
      <c r="B4671" t="inlineStr">
        <is>
          <t>A-5058__207</t>
        </is>
      </c>
      <c r="C4671" t="n">
        <v>37.2359923304</v>
      </c>
      <c r="D4671" t="n">
        <v>-7.07479097954</v>
      </c>
      <c r="E4671" t="n">
        <v>4</v>
      </c>
      <c r="F4671" t="n">
        <v>2</v>
      </c>
      <c r="G4671" t="n">
        <v>4</v>
      </c>
      <c r="H4671" t="n">
        <v>2</v>
      </c>
      <c r="I4671" t="n">
        <v>3</v>
      </c>
      <c r="J4671" t="inlineStr">
        <is>
          <t>Mediana</t>
        </is>
      </c>
      <c r="K4671" t="n">
        <v>3</v>
      </c>
      <c r="L4671" t="n">
        <v>2.742</v>
      </c>
      <c r="M4671" t="n">
        <v>0</v>
      </c>
      <c r="N4671" t="inlineStr">
        <is>
          <t>train</t>
        </is>
      </c>
      <c r="O4671">
        <f>HYPERLINK("NoConsenso\marker_395_382979.png", "Ver Imagen")</f>
        <v/>
      </c>
      <c r="P4671">
        <f>HYPERLINK("SE\A-5058\A-5058__207.png", "Ver Imagen")</f>
        <v/>
      </c>
    </row>
    <row r="4672">
      <c r="A4672" t="n">
        <v>4305</v>
      </c>
      <c r="B4672" t="inlineStr">
        <is>
          <t>A-5058__207</t>
        </is>
      </c>
      <c r="C4672" t="n">
        <v>37.2359923304</v>
      </c>
      <c r="D4672" t="n">
        <v>-7.07479097954</v>
      </c>
      <c r="E4672" t="n">
        <v>4</v>
      </c>
      <c r="F4672" t="n">
        <v>2</v>
      </c>
      <c r="G4672" t="n">
        <v>4</v>
      </c>
      <c r="H4672" t="n">
        <v>2</v>
      </c>
      <c r="I4672" t="n">
        <v>3</v>
      </c>
      <c r="J4672" t="inlineStr">
        <is>
          <t>Mediana</t>
        </is>
      </c>
      <c r="K4672" t="n">
        <v>3</v>
      </c>
      <c r="L4672" t="n">
        <v>2.72</v>
      </c>
      <c r="M4672" t="n">
        <v>0</v>
      </c>
      <c r="N4672" t="inlineStr">
        <is>
          <t>train</t>
        </is>
      </c>
      <c r="O4672">
        <f>HYPERLINK("NoConsenso\marker_395_382979.png", "Ver Imagen")</f>
        <v/>
      </c>
      <c r="P4672">
        <f>HYPERLINK("SO\A-5058\A-5058__207.png", "Ver Imagen")</f>
        <v/>
      </c>
    </row>
    <row r="4673">
      <c r="A4673" t="n">
        <v>4306</v>
      </c>
      <c r="B4673" t="inlineStr">
        <is>
          <t>A-5058__292</t>
        </is>
      </c>
      <c r="C4673" t="n">
        <v>37.2452487614</v>
      </c>
      <c r="D4673" t="n">
        <v>-7.09270327231</v>
      </c>
      <c r="E4673" t="n">
        <v>4</v>
      </c>
      <c r="F4673" t="n">
        <v>2</v>
      </c>
      <c r="G4673" t="n">
        <v>4</v>
      </c>
      <c r="H4673" t="n">
        <v>3</v>
      </c>
      <c r="I4673" t="n">
        <v>3</v>
      </c>
      <c r="J4673" t="inlineStr">
        <is>
          <t>Mediana</t>
        </is>
      </c>
      <c r="K4673" t="n">
        <v>3</v>
      </c>
      <c r="L4673" t="n">
        <v>3.061</v>
      </c>
      <c r="M4673" t="n">
        <v>0</v>
      </c>
      <c r="N4673" t="inlineStr">
        <is>
          <t>val</t>
        </is>
      </c>
      <c r="O4673">
        <f>HYPERLINK("NoConsenso\marker_197_384170.png", "Ver Imagen")</f>
        <v/>
      </c>
      <c r="P4673">
        <f>HYPERLINK("SE\A-5058\A-5058__292.png", "Ver Imagen")</f>
        <v/>
      </c>
    </row>
    <row r="4674">
      <c r="A4674" t="n">
        <v>4307</v>
      </c>
      <c r="B4674" t="inlineStr">
        <is>
          <t>A-5058__303</t>
        </is>
      </c>
      <c r="C4674" t="n">
        <v>37.2455477796</v>
      </c>
      <c r="D4674" t="n">
        <v>-7.09547145897</v>
      </c>
      <c r="E4674" t="n">
        <v>4</v>
      </c>
      <c r="F4674" t="n">
        <v>2</v>
      </c>
      <c r="G4674" t="n">
        <v>4</v>
      </c>
      <c r="H4674" t="n">
        <v>2</v>
      </c>
      <c r="I4674" t="n">
        <v>3</v>
      </c>
      <c r="J4674" t="inlineStr">
        <is>
          <t>Mediana</t>
        </is>
      </c>
      <c r="K4674" t="n">
        <v>3</v>
      </c>
      <c r="L4674" t="n">
        <v>2.614</v>
      </c>
      <c r="M4674" t="n">
        <v>0</v>
      </c>
      <c r="N4674" t="inlineStr">
        <is>
          <t>test</t>
        </is>
      </c>
      <c r="O4674">
        <f>HYPERLINK("NoConsenso\marker_335_384312.png", "Ver Imagen")</f>
        <v/>
      </c>
      <c r="P4674">
        <f>HYPERLINK("SE\A-5058\A-5058__303.png", "Ver Imagen")</f>
        <v/>
      </c>
    </row>
    <row r="4675">
      <c r="A4675" t="n">
        <v>4307</v>
      </c>
      <c r="B4675" t="inlineStr">
        <is>
          <t>A-5058__303</t>
        </is>
      </c>
      <c r="C4675" t="n">
        <v>37.2455477796</v>
      </c>
      <c r="D4675" t="n">
        <v>-7.09547145897</v>
      </c>
      <c r="E4675" t="n">
        <v>4</v>
      </c>
      <c r="F4675" t="n">
        <v>2</v>
      </c>
      <c r="G4675" t="n">
        <v>4</v>
      </c>
      <c r="H4675" t="n">
        <v>2</v>
      </c>
      <c r="I4675" t="n">
        <v>3</v>
      </c>
      <c r="J4675" t="inlineStr">
        <is>
          <t>Mediana</t>
        </is>
      </c>
      <c r="K4675" t="n">
        <v>3</v>
      </c>
      <c r="L4675" t="n">
        <v>3.054</v>
      </c>
      <c r="M4675" t="n">
        <v>0</v>
      </c>
      <c r="N4675" t="inlineStr">
        <is>
          <t>test</t>
        </is>
      </c>
      <c r="O4675">
        <f>HYPERLINK("NoConsenso\marker_335_384312.png", "Ver Imagen")</f>
        <v/>
      </c>
      <c r="P4675">
        <f>HYPERLINK("SO\A-5058\A-5058__303.png", "Ver Imagen")</f>
        <v/>
      </c>
    </row>
    <row r="4676">
      <c r="A4676" t="n">
        <v>4308</v>
      </c>
      <c r="B4676" t="inlineStr">
        <is>
          <t>A-5058__441</t>
        </is>
      </c>
      <c r="C4676" t="n">
        <v>37.2587932558</v>
      </c>
      <c r="D4676" t="n">
        <v>-7.122306901</v>
      </c>
      <c r="E4676" t="n">
        <v>4</v>
      </c>
      <c r="F4676" t="n">
        <v>2</v>
      </c>
      <c r="G4676" t="n">
        <v>4</v>
      </c>
      <c r="H4676" t="n">
        <v>3</v>
      </c>
      <c r="I4676" t="n">
        <v>3</v>
      </c>
      <c r="J4676" t="inlineStr">
        <is>
          <t>Mediana</t>
        </is>
      </c>
      <c r="K4676" t="n">
        <v>3</v>
      </c>
      <c r="L4676" t="n">
        <v>3.09</v>
      </c>
      <c r="M4676" t="n">
        <v>0</v>
      </c>
      <c r="N4676" t="inlineStr">
        <is>
          <t>train</t>
        </is>
      </c>
      <c r="O4676">
        <f>HYPERLINK("NoConsenso\marker_763_388984.png", "Ver Imagen")</f>
        <v/>
      </c>
      <c r="P4676">
        <f>HYPERLINK("SO\A-5058\A-5058__441.png", "Ver Imagen")</f>
        <v/>
      </c>
    </row>
    <row r="4677">
      <c r="A4677" t="n">
        <v>4309</v>
      </c>
      <c r="B4677" t="inlineStr">
        <is>
          <t>A-495_1__158</t>
        </is>
      </c>
      <c r="C4677" t="n">
        <v>37.4780921745</v>
      </c>
      <c r="D4677" t="n">
        <v>-7.12739463089</v>
      </c>
      <c r="E4677" t="n">
        <v>4</v>
      </c>
      <c r="F4677" t="n">
        <v>2</v>
      </c>
      <c r="G4677" t="n">
        <v>4</v>
      </c>
      <c r="H4677" t="n">
        <v>3</v>
      </c>
      <c r="I4677" t="n">
        <v>3</v>
      </c>
      <c r="J4677" t="inlineStr">
        <is>
          <t>Mediana</t>
        </is>
      </c>
      <c r="K4677" t="n">
        <v>3</v>
      </c>
      <c r="L4677" t="n">
        <v>2.891</v>
      </c>
      <c r="M4677" t="n">
        <v>0</v>
      </c>
      <c r="N4677" t="inlineStr">
        <is>
          <t>train</t>
        </is>
      </c>
      <c r="O4677">
        <f>HYPERLINK("NoConsenso\marker_336_384111.png", "Ver Imagen")</f>
        <v/>
      </c>
      <c r="P4677">
        <f>HYPERLINK("NE\A-495_1\A-495_1__158.png", "Ver Imagen")</f>
        <v/>
      </c>
    </row>
    <row r="4678">
      <c r="A4678" t="n">
        <v>4310</v>
      </c>
      <c r="B4678" t="inlineStr">
        <is>
          <t>A-495_1__131</t>
        </is>
      </c>
      <c r="C4678" t="n">
        <v>37.4731595006</v>
      </c>
      <c r="D4678" t="n">
        <v>-7.12638660446</v>
      </c>
      <c r="E4678" t="n">
        <v>4</v>
      </c>
      <c r="F4678" t="n">
        <v>2</v>
      </c>
      <c r="G4678" t="n">
        <v>4</v>
      </c>
      <c r="H4678" t="n">
        <v>3</v>
      </c>
      <c r="I4678" t="n">
        <v>3</v>
      </c>
      <c r="J4678" t="inlineStr">
        <is>
          <t>Mediana</t>
        </is>
      </c>
      <c r="K4678" t="n">
        <v>3</v>
      </c>
      <c r="L4678" t="n">
        <v>2.686</v>
      </c>
      <c r="M4678" t="n">
        <v>0</v>
      </c>
      <c r="N4678" t="inlineStr">
        <is>
          <t>train</t>
        </is>
      </c>
      <c r="O4678">
        <f>HYPERLINK("NoConsenso\marker_943_384467.png", "Ver Imagen")</f>
        <v/>
      </c>
      <c r="P4678">
        <f>HYPERLINK("NE\A-495_1\A-495_1__131.png", "Ver Imagen")</f>
        <v/>
      </c>
    </row>
    <row r="4679">
      <c r="A4679" t="n">
        <v>4311</v>
      </c>
      <c r="B4679" t="inlineStr">
        <is>
          <t>A-495_1__129</t>
        </is>
      </c>
      <c r="C4679" t="n">
        <v>37.472764194</v>
      </c>
      <c r="D4679" t="n">
        <v>-7.12641339481</v>
      </c>
      <c r="E4679" t="n">
        <v>4</v>
      </c>
      <c r="F4679" t="n">
        <v>2</v>
      </c>
      <c r="G4679" t="n">
        <v>4</v>
      </c>
      <c r="H4679" t="n">
        <v>3</v>
      </c>
      <c r="I4679" t="n">
        <v>3</v>
      </c>
      <c r="J4679" t="inlineStr">
        <is>
          <t>Mediana</t>
        </is>
      </c>
      <c r="K4679" t="n">
        <v>3</v>
      </c>
      <c r="L4679" t="n">
        <v>3.019</v>
      </c>
      <c r="M4679" t="n">
        <v>0</v>
      </c>
      <c r="N4679" t="inlineStr">
        <is>
          <t>train</t>
        </is>
      </c>
      <c r="O4679">
        <f>HYPERLINK("NoConsenso\marker_565_384484.png", "Ver Imagen")</f>
        <v/>
      </c>
      <c r="P4679">
        <f>HYPERLINK("NE\A-495_1\A-495_1__129.png", "Ver Imagen")</f>
        <v/>
      </c>
    </row>
    <row r="4680">
      <c r="A4680" t="n">
        <v>4312</v>
      </c>
      <c r="B4680" t="inlineStr">
        <is>
          <t>A-495_1__124</t>
        </is>
      </c>
      <c r="C4680" t="n">
        <v>37.4718145799</v>
      </c>
      <c r="D4680" t="n">
        <v>-7.12606449124</v>
      </c>
      <c r="E4680" t="n">
        <v>4</v>
      </c>
      <c r="F4680" t="n">
        <v>2</v>
      </c>
      <c r="G4680" t="n">
        <v>4</v>
      </c>
      <c r="H4680" t="n">
        <v>3</v>
      </c>
      <c r="I4680" t="n">
        <v>3</v>
      </c>
      <c r="J4680" t="inlineStr">
        <is>
          <t>Mediana</t>
        </is>
      </c>
      <c r="K4680" t="n">
        <v>3</v>
      </c>
      <c r="L4680" t="n">
        <v>2.758</v>
      </c>
      <c r="M4680" t="n">
        <v>0</v>
      </c>
      <c r="N4680" t="inlineStr">
        <is>
          <t>train</t>
        </is>
      </c>
      <c r="O4680">
        <f>HYPERLINK("NoConsenso\marker_383_384530.png", "Ver Imagen")</f>
        <v/>
      </c>
      <c r="P4680">
        <f>HYPERLINK("NE\A-495_1\A-495_1__124.png", "Ver Imagen")</f>
        <v/>
      </c>
    </row>
    <row r="4681">
      <c r="A4681" t="n">
        <v>4313</v>
      </c>
      <c r="B4681" t="inlineStr">
        <is>
          <t>A-499__68</t>
        </is>
      </c>
      <c r="C4681" t="n">
        <v>37.4953877031</v>
      </c>
      <c r="D4681" t="n">
        <v>-7.27079252214</v>
      </c>
      <c r="E4681" t="n">
        <v>4</v>
      </c>
      <c r="F4681" t="n">
        <v>2</v>
      </c>
      <c r="G4681" t="n">
        <v>4</v>
      </c>
      <c r="H4681" t="n">
        <v>2</v>
      </c>
      <c r="I4681" t="n">
        <v>2</v>
      </c>
      <c r="J4681" t="inlineStr">
        <is>
          <t>Mediana</t>
        </is>
      </c>
      <c r="K4681" t="n">
        <v>2</v>
      </c>
      <c r="L4681" t="n">
        <v>2.013</v>
      </c>
      <c r="M4681" t="n">
        <v>0</v>
      </c>
      <c r="N4681" t="inlineStr">
        <is>
          <t>train</t>
        </is>
      </c>
      <c r="O4681">
        <f>HYPERLINK("NoConsenso\marker_182_535153.png", "Ver Imagen")</f>
        <v/>
      </c>
      <c r="P4681">
        <f>HYPERLINK("NO\A-499\A-499__68.png", "Ver Imagen")</f>
        <v/>
      </c>
    </row>
    <row r="4682">
      <c r="A4682" t="n">
        <v>4314</v>
      </c>
      <c r="B4682" t="inlineStr">
        <is>
          <t>A-499__69</t>
        </is>
      </c>
      <c r="C4682" t="n">
        <v>37.4954168096</v>
      </c>
      <c r="D4682" t="n">
        <v>-7.27051888667</v>
      </c>
      <c r="E4682" t="n">
        <v>4</v>
      </c>
      <c r="F4682" t="n">
        <v>2</v>
      </c>
      <c r="G4682" t="n">
        <v>4</v>
      </c>
      <c r="H4682" t="n">
        <v>2</v>
      </c>
      <c r="I4682" t="n">
        <v>3</v>
      </c>
      <c r="J4682" t="inlineStr">
        <is>
          <t>Mediana</t>
        </is>
      </c>
      <c r="K4682" t="n">
        <v>3</v>
      </c>
      <c r="L4682" t="n">
        <v>3.127</v>
      </c>
      <c r="M4682" t="n">
        <v>0</v>
      </c>
      <c r="N4682" t="inlineStr">
        <is>
          <t>train</t>
        </is>
      </c>
      <c r="O4682">
        <f>HYPERLINK("NoConsenso\marker_244_535167.png", "Ver Imagen")</f>
        <v/>
      </c>
      <c r="P4682">
        <f>HYPERLINK("NO\A-499\A-499__69.png", "Ver Imagen")</f>
        <v/>
      </c>
    </row>
    <row r="4683">
      <c r="A4683" t="n">
        <v>4315</v>
      </c>
      <c r="B4683" t="inlineStr">
        <is>
          <t>A-499__84</t>
        </is>
      </c>
      <c r="C4683" t="n">
        <v>37.4956381153</v>
      </c>
      <c r="D4683" t="n">
        <v>-7.2680389755</v>
      </c>
      <c r="E4683" t="n">
        <v>4</v>
      </c>
      <c r="F4683" t="n">
        <v>3</v>
      </c>
      <c r="G4683" t="n">
        <v>5</v>
      </c>
      <c r="H4683" t="n">
        <v>3</v>
      </c>
      <c r="I4683" t="n">
        <v>4</v>
      </c>
      <c r="J4683" t="inlineStr">
        <is>
          <t>Mediana</t>
        </is>
      </c>
      <c r="K4683" t="n">
        <v>4</v>
      </c>
      <c r="L4683" t="n">
        <v>4.044</v>
      </c>
      <c r="M4683" t="n">
        <v>0</v>
      </c>
      <c r="N4683" t="inlineStr">
        <is>
          <t>train</t>
        </is>
      </c>
      <c r="O4683">
        <f>HYPERLINK("NoConsenso\marker_815_789375.png", "Ver Imagen")</f>
        <v/>
      </c>
      <c r="P4683">
        <f>HYPERLINK("NO\A-499\A-499__84.png", "Ver Imagen")</f>
        <v/>
      </c>
    </row>
    <row r="4684">
      <c r="A4684" t="n">
        <v>4316</v>
      </c>
      <c r="B4684" t="inlineStr">
        <is>
          <t>A-497__709</t>
        </is>
      </c>
      <c r="C4684" t="n">
        <v>37.1951487636</v>
      </c>
      <c r="D4684" t="n">
        <v>-6.97795630043</v>
      </c>
      <c r="E4684" t="n">
        <v>4</v>
      </c>
      <c r="F4684" t="n">
        <v>2</v>
      </c>
      <c r="G4684" t="n">
        <v>4</v>
      </c>
      <c r="H4684" t="n">
        <v>3</v>
      </c>
      <c r="I4684" t="n">
        <v>3</v>
      </c>
      <c r="J4684" t="inlineStr">
        <is>
          <t>Mediana</t>
        </is>
      </c>
      <c r="K4684" t="n">
        <v>3</v>
      </c>
      <c r="L4684" t="n">
        <v>2.851</v>
      </c>
      <c r="M4684" t="n">
        <v>0</v>
      </c>
      <c r="N4684" t="inlineStr">
        <is>
          <t>train</t>
        </is>
      </c>
      <c r="O4684">
        <f>HYPERLINK("NoConsenso\marker_399_370288.png", "Ver Imagen")</f>
        <v/>
      </c>
      <c r="P4684">
        <f>HYPERLINK("SE\A-497\A-497__709.png", "Ver Imagen")</f>
        <v/>
      </c>
    </row>
    <row r="4685">
      <c r="A4685" t="n">
        <v>4317</v>
      </c>
      <c r="B4685" t="inlineStr">
        <is>
          <t>A-497__669</t>
        </is>
      </c>
      <c r="C4685" t="n">
        <v>37.1999319458</v>
      </c>
      <c r="D4685" t="n">
        <v>-6.98557370737</v>
      </c>
      <c r="E4685" t="n">
        <v>4</v>
      </c>
      <c r="F4685" t="n">
        <v>2</v>
      </c>
      <c r="G4685" t="n">
        <v>4</v>
      </c>
      <c r="H4685" t="n">
        <v>2</v>
      </c>
      <c r="I4685" t="n">
        <v>2</v>
      </c>
      <c r="J4685" t="inlineStr">
        <is>
          <t>Mediana</t>
        </is>
      </c>
      <c r="K4685" t="n">
        <v>2</v>
      </c>
      <c r="L4685" t="n">
        <v>1.734</v>
      </c>
      <c r="M4685" t="n">
        <v>0</v>
      </c>
      <c r="N4685" t="inlineStr">
        <is>
          <t>train</t>
        </is>
      </c>
      <c r="O4685">
        <f>HYPERLINK("NoConsenso\marker_111_371034.png", "Ver Imagen")</f>
        <v/>
      </c>
      <c r="P4685">
        <f>HYPERLINK("SE\A-497\A-497__669.png", "Ver Imagen")</f>
        <v/>
      </c>
    </row>
    <row r="4686">
      <c r="A4686" t="n">
        <v>4319</v>
      </c>
      <c r="B4686" t="inlineStr">
        <is>
          <t>A-497__651</t>
        </is>
      </c>
      <c r="C4686" t="n">
        <v>37.2009630074</v>
      </c>
      <c r="D4686" t="n">
        <v>-6.98998699498</v>
      </c>
      <c r="E4686" t="n">
        <v>4</v>
      </c>
      <c r="F4686" t="n">
        <v>2</v>
      </c>
      <c r="G4686" t="n">
        <v>4</v>
      </c>
      <c r="H4686" t="n">
        <v>2</v>
      </c>
      <c r="I4686" t="n">
        <v>1</v>
      </c>
      <c r="J4686" t="inlineStr">
        <is>
          <t>Mediana</t>
        </is>
      </c>
      <c r="K4686" t="n">
        <v>2</v>
      </c>
      <c r="L4686" t="n">
        <v>2.466</v>
      </c>
      <c r="M4686" t="n">
        <v>0</v>
      </c>
      <c r="N4686" t="inlineStr">
        <is>
          <t>train</t>
        </is>
      </c>
      <c r="O4686">
        <f>HYPERLINK("NoConsenso\marker_664_371226.png", "Ver Imagen")</f>
        <v/>
      </c>
      <c r="P4686">
        <f>HYPERLINK("SE\A-497\A-497__651.png", "Ver Imagen")</f>
        <v/>
      </c>
    </row>
    <row r="4687">
      <c r="A4687" t="n">
        <v>4320</v>
      </c>
      <c r="B4687" t="inlineStr">
        <is>
          <t>A-497__602</t>
        </is>
      </c>
      <c r="C4687" t="n">
        <v>37.2029150381</v>
      </c>
      <c r="D4687" t="n">
        <v>-7.00214693618</v>
      </c>
      <c r="E4687" t="n">
        <v>4</v>
      </c>
      <c r="F4687" t="n">
        <v>2</v>
      </c>
      <c r="G4687" t="n">
        <v>4</v>
      </c>
      <c r="H4687" t="n">
        <v>2</v>
      </c>
      <c r="I4687" t="n">
        <v>2</v>
      </c>
      <c r="J4687" t="inlineStr">
        <is>
          <t>Mediana</t>
        </is>
      </c>
      <c r="K4687" t="n">
        <v>2</v>
      </c>
      <c r="L4687" t="n">
        <v>2.153</v>
      </c>
      <c r="M4687" t="n">
        <v>0</v>
      </c>
      <c r="N4687" t="inlineStr">
        <is>
          <t>train</t>
        </is>
      </c>
      <c r="O4687">
        <f>HYPERLINK("NoConsenso\marker_182_371696.png", "Ver Imagen")</f>
        <v/>
      </c>
      <c r="P4687">
        <f>HYPERLINK("SE\A-497\A-497__602.png", "Ver Imagen")</f>
        <v/>
      </c>
    </row>
    <row r="4688">
      <c r="A4688" t="n">
        <v>4321</v>
      </c>
      <c r="B4688" t="inlineStr">
        <is>
          <t>A-497__536</t>
        </is>
      </c>
      <c r="C4688" t="n">
        <v>37.2056973029</v>
      </c>
      <c r="D4688" t="n">
        <v>-7.0184244718</v>
      </c>
      <c r="E4688" t="n">
        <v>4</v>
      </c>
      <c r="F4688" t="n">
        <v>2</v>
      </c>
      <c r="G4688" t="n">
        <v>4</v>
      </c>
      <c r="H4688" t="n">
        <v>1</v>
      </c>
      <c r="I4688" t="n">
        <v>2</v>
      </c>
      <c r="J4688" t="inlineStr">
        <is>
          <t>Mediana</t>
        </is>
      </c>
      <c r="K4688" t="n">
        <v>2</v>
      </c>
      <c r="L4688" t="n">
        <v>2.374</v>
      </c>
      <c r="M4688" t="n">
        <v>0</v>
      </c>
      <c r="N4688" t="inlineStr">
        <is>
          <t>train</t>
        </is>
      </c>
      <c r="O4688">
        <f>HYPERLINK("NoConsenso\marker_539_372431.png", "Ver Imagen")</f>
        <v/>
      </c>
      <c r="P4688">
        <f>HYPERLINK("SE\A-497\A-497__536.png", "Ver Imagen")</f>
        <v/>
      </c>
    </row>
    <row r="4689">
      <c r="A4689" t="n">
        <v>4322</v>
      </c>
      <c r="B4689" t="inlineStr">
        <is>
          <t>A-497__525</t>
        </is>
      </c>
      <c r="C4689" t="n">
        <v>37.2067984984</v>
      </c>
      <c r="D4689" t="n">
        <v>-7.0208330473</v>
      </c>
      <c r="E4689" t="n">
        <v>4</v>
      </c>
      <c r="F4689" t="n">
        <v>2</v>
      </c>
      <c r="G4689" t="n">
        <v>4</v>
      </c>
      <c r="H4689" t="n">
        <v>2</v>
      </c>
      <c r="I4689" t="n">
        <v>2</v>
      </c>
      <c r="J4689" t="inlineStr">
        <is>
          <t>Mediana</t>
        </is>
      </c>
      <c r="K4689" t="n">
        <v>2</v>
      </c>
      <c r="L4689" t="n">
        <v>1.9</v>
      </c>
      <c r="M4689" t="n">
        <v>0</v>
      </c>
      <c r="N4689" t="inlineStr">
        <is>
          <t>train</t>
        </is>
      </c>
      <c r="O4689">
        <f>HYPERLINK("NoConsenso\marker_750_372548.png", "Ver Imagen")</f>
        <v/>
      </c>
      <c r="P4689">
        <f>HYPERLINK("SE\A-497\A-497__525.png", "Ver Imagen")</f>
        <v/>
      </c>
    </row>
    <row r="4690">
      <c r="A4690" t="n">
        <v>4324</v>
      </c>
      <c r="B4690" t="inlineStr">
        <is>
          <t>A-497__331</t>
        </is>
      </c>
      <c r="C4690" t="n">
        <v>37.2441885503</v>
      </c>
      <c r="D4690" t="n">
        <v>-7.01832637551</v>
      </c>
      <c r="E4690" t="n">
        <v>4</v>
      </c>
      <c r="F4690" t="n">
        <v>2</v>
      </c>
      <c r="G4690" t="n">
        <v>4</v>
      </c>
      <c r="H4690" t="n">
        <v>2</v>
      </c>
      <c r="I4690" t="n">
        <v>3</v>
      </c>
      <c r="J4690" t="inlineStr">
        <is>
          <t>Mediana</t>
        </is>
      </c>
      <c r="K4690" t="n">
        <v>3</v>
      </c>
      <c r="L4690" t="n">
        <v>3.045</v>
      </c>
      <c r="M4690" t="n">
        <v>0</v>
      </c>
      <c r="N4690" t="inlineStr">
        <is>
          <t>train</t>
        </is>
      </c>
      <c r="O4690">
        <f>HYPERLINK("NoConsenso\marker_115_377862.png", "Ver Imagen")</f>
        <v/>
      </c>
      <c r="P4690">
        <f>HYPERLINK("SE\A-497\A-497__331.png", "Ver Imagen")</f>
        <v/>
      </c>
    </row>
    <row r="4691">
      <c r="A4691" t="n">
        <v>4325</v>
      </c>
      <c r="B4691" t="inlineStr">
        <is>
          <t>A-497__329</t>
        </is>
      </c>
      <c r="C4691" t="n">
        <v>37.2445895653</v>
      </c>
      <c r="D4691" t="n">
        <v>-7.01831521792</v>
      </c>
      <c r="E4691" t="n">
        <v>4</v>
      </c>
      <c r="F4691" t="n">
        <v>2</v>
      </c>
      <c r="G4691" t="n">
        <v>4</v>
      </c>
      <c r="H4691" t="n">
        <v>2</v>
      </c>
      <c r="I4691" t="n">
        <v>3</v>
      </c>
      <c r="J4691" t="inlineStr">
        <is>
          <t>Mediana</t>
        </is>
      </c>
      <c r="K4691" t="n">
        <v>3</v>
      </c>
      <c r="L4691" t="n">
        <v>2.938</v>
      </c>
      <c r="M4691" t="n">
        <v>0</v>
      </c>
      <c r="N4691" t="inlineStr">
        <is>
          <t>train</t>
        </is>
      </c>
      <c r="O4691">
        <f>HYPERLINK("NoConsenso\marker_708_377881.png", "Ver Imagen")</f>
        <v/>
      </c>
      <c r="P4691">
        <f>HYPERLINK("SE\A-497\A-497__329.png", "Ver Imagen")</f>
        <v/>
      </c>
    </row>
    <row r="4692">
      <c r="A4692" t="n">
        <v>4326</v>
      </c>
      <c r="B4692" t="inlineStr">
        <is>
          <t>A-490__55</t>
        </is>
      </c>
      <c r="C4692" t="n">
        <v>37.4471556087</v>
      </c>
      <c r="D4692" t="n">
        <v>-7.13975225371</v>
      </c>
      <c r="E4692" t="n">
        <v>3</v>
      </c>
      <c r="F4692" t="n">
        <v>5</v>
      </c>
      <c r="G4692" t="n">
        <v>5</v>
      </c>
      <c r="H4692" t="n">
        <v>4</v>
      </c>
      <c r="I4692" t="n">
        <v>5</v>
      </c>
      <c r="J4692" t="inlineStr">
        <is>
          <t>Mediana</t>
        </is>
      </c>
      <c r="K4692" t="n">
        <v>5</v>
      </c>
      <c r="L4692" t="n">
        <v>5</v>
      </c>
      <c r="M4692" t="n">
        <v>0</v>
      </c>
      <c r="N4692" t="inlineStr">
        <is>
          <t>train</t>
        </is>
      </c>
      <c r="O4692">
        <f>HYPERLINK("NoConsenso\marker_877_732399.png", "Ver Imagen")</f>
        <v/>
      </c>
      <c r="P4692">
        <f>HYPERLINK("NE\A-490\A-490__55.png", "Ver Imagen")</f>
        <v/>
      </c>
    </row>
    <row r="4693">
      <c r="A4693" t="n">
        <v>4327</v>
      </c>
      <c r="B4693" t="inlineStr">
        <is>
          <t>A-490__73</t>
        </is>
      </c>
      <c r="C4693" t="n">
        <v>37.4485191701</v>
      </c>
      <c r="D4693" t="n">
        <v>-7.1439212494</v>
      </c>
      <c r="E4693" t="n">
        <v>3</v>
      </c>
      <c r="F4693" t="n">
        <v>5</v>
      </c>
      <c r="G4693" t="n">
        <v>5</v>
      </c>
      <c r="H4693" t="n">
        <v>5</v>
      </c>
      <c r="I4693" t="n">
        <v>4</v>
      </c>
      <c r="J4693" t="inlineStr">
        <is>
          <t>Mediana</t>
        </is>
      </c>
      <c r="K4693" t="n">
        <v>5</v>
      </c>
      <c r="L4693" t="n">
        <v>4.614</v>
      </c>
      <c r="M4693" t="n">
        <v>0</v>
      </c>
      <c r="N4693" t="inlineStr">
        <is>
          <t>train</t>
        </is>
      </c>
      <c r="O4693">
        <f>HYPERLINK("NoConsenso\marker_200_738234.png", "Ver Imagen")</f>
        <v/>
      </c>
      <c r="P4693">
        <f>HYPERLINK("NE\A-490\A-490__73.png", "Ver Imagen")</f>
        <v/>
      </c>
    </row>
    <row r="4694">
      <c r="A4694" t="n">
        <v>4328</v>
      </c>
      <c r="B4694" t="inlineStr">
        <is>
          <t>A-490__74</t>
        </is>
      </c>
      <c r="C4694" t="n">
        <v>37.4485358277</v>
      </c>
      <c r="D4694" t="n">
        <v>-7.1442132694</v>
      </c>
      <c r="E4694" t="n">
        <v>3</v>
      </c>
      <c r="F4694" t="n">
        <v>5</v>
      </c>
      <c r="G4694" t="n">
        <v>5</v>
      </c>
      <c r="H4694" t="n">
        <v>5</v>
      </c>
      <c r="I4694" t="n">
        <v>5</v>
      </c>
      <c r="J4694" t="inlineStr">
        <is>
          <t>Mediana</t>
        </is>
      </c>
      <c r="K4694" t="n">
        <v>5</v>
      </c>
      <c r="L4694" t="n">
        <v>4.82</v>
      </c>
      <c r="M4694" t="n">
        <v>0</v>
      </c>
      <c r="N4694" t="inlineStr">
        <is>
          <t>train</t>
        </is>
      </c>
      <c r="O4694">
        <f>HYPERLINK("NoConsenso\marker_833_738417.png", "Ver Imagen")</f>
        <v/>
      </c>
      <c r="P4694">
        <f>HYPERLINK("NE\A-490\A-490__74.png", "Ver Imagen")</f>
        <v/>
      </c>
    </row>
    <row r="4695">
      <c r="A4695" t="n">
        <v>4329</v>
      </c>
      <c r="B4695" t="inlineStr">
        <is>
          <t>A-492__12</t>
        </is>
      </c>
      <c r="C4695" t="n">
        <v>37.2737900796</v>
      </c>
      <c r="D4695" t="n">
        <v>-6.99123157434</v>
      </c>
      <c r="E4695" t="n">
        <v>4</v>
      </c>
      <c r="F4695" t="n">
        <v>3</v>
      </c>
      <c r="G4695" t="n">
        <v>5</v>
      </c>
      <c r="H4695" t="n">
        <v>3</v>
      </c>
      <c r="I4695" t="n">
        <v>4</v>
      </c>
      <c r="J4695" t="inlineStr">
        <is>
          <t>Mediana</t>
        </is>
      </c>
      <c r="K4695" t="n">
        <v>4</v>
      </c>
      <c r="L4695" t="n">
        <v>4.134</v>
      </c>
      <c r="M4695" t="n">
        <v>0</v>
      </c>
      <c r="N4695" t="inlineStr">
        <is>
          <t>train</t>
        </is>
      </c>
      <c r="O4695">
        <f>HYPERLINK("NoConsenso\marker_349_821916.png", "Ver Imagen")</f>
        <v/>
      </c>
      <c r="P4695">
        <f>HYPERLINK("SE\A-492\A-492__12.png", "Ver Imagen")</f>
        <v/>
      </c>
    </row>
    <row r="4696">
      <c r="A4696" t="n">
        <v>4330</v>
      </c>
      <c r="B4696" t="inlineStr">
        <is>
          <t>A-495R__71</t>
        </is>
      </c>
      <c r="C4696" t="n">
        <v>37.4583192989</v>
      </c>
      <c r="D4696" t="n">
        <v>-7.11445895212</v>
      </c>
      <c r="E4696" t="n">
        <v>3</v>
      </c>
      <c r="F4696" t="n">
        <v>4</v>
      </c>
      <c r="G4696" t="n">
        <v>5</v>
      </c>
      <c r="H4696" t="n">
        <v>5</v>
      </c>
      <c r="I4696" t="n">
        <v>5</v>
      </c>
      <c r="J4696" t="inlineStr">
        <is>
          <t>Mediana</t>
        </is>
      </c>
      <c r="K4696" t="n">
        <v>5</v>
      </c>
      <c r="L4696" t="n">
        <v>4.981</v>
      </c>
      <c r="M4696" t="n">
        <v>0</v>
      </c>
      <c r="N4696" t="inlineStr">
        <is>
          <t>train</t>
        </is>
      </c>
      <c r="O4696">
        <f>HYPERLINK("NoConsenso\marker_680_935211.png", "Ver Imagen")</f>
        <v/>
      </c>
      <c r="P4696">
        <f>HYPERLINK("NE\A-495R\A-495R__71.png", "Ver Imagen")</f>
        <v/>
      </c>
    </row>
    <row r="4697">
      <c r="A4697" t="n">
        <v>4331</v>
      </c>
      <c r="B4697" t="inlineStr">
        <is>
          <t>A-495R__54</t>
        </is>
      </c>
      <c r="C4697" t="n">
        <v>37.4549981027</v>
      </c>
      <c r="D4697" t="n">
        <v>-7.11312718979</v>
      </c>
      <c r="E4697" t="n">
        <v>5</v>
      </c>
      <c r="F4697" t="n">
        <v>3</v>
      </c>
      <c r="G4697" t="n">
        <v>5</v>
      </c>
      <c r="H4697" t="n">
        <v>4</v>
      </c>
      <c r="I4697" t="n">
        <v>4</v>
      </c>
      <c r="J4697" t="inlineStr">
        <is>
          <t>Mediana</t>
        </is>
      </c>
      <c r="K4697" t="n">
        <v>4</v>
      </c>
      <c r="L4697" t="n">
        <v>4.013</v>
      </c>
      <c r="M4697" t="n">
        <v>0</v>
      </c>
      <c r="N4697" t="inlineStr">
        <is>
          <t>test</t>
        </is>
      </c>
      <c r="O4697">
        <f>HYPERLINK("NoConsenso\marker_652_935620.png", "Ver Imagen")</f>
        <v/>
      </c>
      <c r="P4697">
        <f>HYPERLINK("NE\A-495R\A-495R__54.png", "Ver Imagen")</f>
        <v/>
      </c>
    </row>
    <row r="4698">
      <c r="A4698" t="n">
        <v>4332</v>
      </c>
      <c r="B4698" t="inlineStr">
        <is>
          <t>A-495R__35</t>
        </is>
      </c>
      <c r="C4698" t="n">
        <v>37.4514993268</v>
      </c>
      <c r="D4698" t="n">
        <v>-7.11121133451</v>
      </c>
      <c r="E4698" t="n">
        <v>3</v>
      </c>
      <c r="F4698" t="n">
        <v>4</v>
      </c>
      <c r="G4698" t="n">
        <v>5</v>
      </c>
      <c r="H4698" t="n">
        <v>4</v>
      </c>
      <c r="I4698" t="n">
        <v>5</v>
      </c>
      <c r="J4698" t="inlineStr">
        <is>
          <t>Modificada</t>
        </is>
      </c>
      <c r="K4698" t="n">
        <v>5</v>
      </c>
      <c r="L4698" t="n">
        <v>4.983</v>
      </c>
      <c r="M4698" t="n">
        <v>0</v>
      </c>
      <c r="N4698" t="inlineStr">
        <is>
          <t>train</t>
        </is>
      </c>
      <c r="O4698">
        <f>HYPERLINK("NoConsenso\marker_935_936572.png", "Ver Imagen")</f>
        <v/>
      </c>
      <c r="P4698">
        <f>HYPERLINK("NE\A-495R\A-495R__35.png", "Ver Imagen")</f>
        <v/>
      </c>
    </row>
    <row r="4699">
      <c r="A4699" t="n">
        <v>4333</v>
      </c>
      <c r="B4699" t="inlineStr">
        <is>
          <t>A-495R__24</t>
        </is>
      </c>
      <c r="C4699" t="n">
        <v>37.4494597167</v>
      </c>
      <c r="D4699" t="n">
        <v>-7.11013082356</v>
      </c>
      <c r="E4699" t="n">
        <v>3</v>
      </c>
      <c r="F4699" t="n">
        <v>4</v>
      </c>
      <c r="G4699" t="n">
        <v>5</v>
      </c>
      <c r="H4699" t="n">
        <v>4</v>
      </c>
      <c r="I4699" t="n">
        <v>5</v>
      </c>
      <c r="J4699" t="inlineStr">
        <is>
          <t>Modificada</t>
        </is>
      </c>
      <c r="K4699" t="n">
        <v>5</v>
      </c>
      <c r="L4699" t="n">
        <v>5</v>
      </c>
      <c r="M4699" t="n">
        <v>0</v>
      </c>
      <c r="N4699" t="inlineStr">
        <is>
          <t>train</t>
        </is>
      </c>
      <c r="O4699">
        <f>HYPERLINK("NoConsenso\marker_985_936688.png", "Ver Imagen")</f>
        <v/>
      </c>
      <c r="P4699">
        <f>HYPERLINK("NE\A-495R\A-495R__24.png", "Ver Imagen")</f>
        <v/>
      </c>
    </row>
    <row r="4700">
      <c r="A4700" t="n">
        <v>4336</v>
      </c>
      <c r="B4700" t="inlineStr">
        <is>
          <t>A-497__81</t>
        </is>
      </c>
      <c r="C4700" t="n">
        <v>37.2690234047</v>
      </c>
      <c r="D4700" t="n">
        <v>-6.97598184973</v>
      </c>
      <c r="E4700" t="n">
        <v>3</v>
      </c>
      <c r="F4700" t="n">
        <v>4</v>
      </c>
      <c r="G4700" t="n">
        <v>5</v>
      </c>
      <c r="H4700" t="n">
        <v>3</v>
      </c>
      <c r="I4700" t="n">
        <v>4</v>
      </c>
      <c r="J4700" t="inlineStr">
        <is>
          <t>Mediana</t>
        </is>
      </c>
      <c r="K4700" t="n">
        <v>4</v>
      </c>
      <c r="L4700" t="n">
        <v>3.816</v>
      </c>
      <c r="M4700" t="n">
        <v>0</v>
      </c>
      <c r="N4700" t="inlineStr">
        <is>
          <t>train</t>
        </is>
      </c>
      <c r="O4700">
        <f>HYPERLINK("NoConsenso\marker_706_937449.png", "Ver Imagen")</f>
        <v/>
      </c>
      <c r="P4700">
        <f>HYPERLINK("SE\A-497\A-497__81.png", "Ver Imagen")</f>
        <v/>
      </c>
    </row>
    <row r="4701">
      <c r="A4701" t="n">
        <v>4337</v>
      </c>
      <c r="B4701" t="inlineStr">
        <is>
          <t>A-497__75</t>
        </is>
      </c>
      <c r="C4701" t="n">
        <v>37.2686797757</v>
      </c>
      <c r="D4701" t="n">
        <v>-6.97452664457</v>
      </c>
      <c r="E4701" t="n">
        <v>3</v>
      </c>
      <c r="F4701" t="n">
        <v>3</v>
      </c>
      <c r="G4701" t="n">
        <v>5</v>
      </c>
      <c r="H4701" t="n">
        <v>3</v>
      </c>
      <c r="I4701" t="n">
        <v>4</v>
      </c>
      <c r="J4701" t="inlineStr">
        <is>
          <t>Mediana</t>
        </is>
      </c>
      <c r="K4701" t="n">
        <v>3</v>
      </c>
      <c r="L4701" t="n">
        <v>3.196</v>
      </c>
      <c r="M4701" t="n">
        <v>0</v>
      </c>
      <c r="N4701" t="inlineStr">
        <is>
          <t>train</t>
        </is>
      </c>
      <c r="O4701">
        <f>HYPERLINK("NoConsenso\marker_733_937988.png", "Ver Imagen")</f>
        <v/>
      </c>
      <c r="P4701">
        <f>HYPERLINK("SE\A-497\A-497__75.png", "Ver Imagen")</f>
        <v/>
      </c>
    </row>
    <row r="4702">
      <c r="A4702" t="n">
        <v>4338</v>
      </c>
      <c r="B4702" t="inlineStr">
        <is>
          <t>A-495__113</t>
        </is>
      </c>
      <c r="C4702" t="n">
        <v>37.43555014</v>
      </c>
      <c r="D4702" t="n">
        <v>-7.07476292182</v>
      </c>
      <c r="E4702" t="n">
        <v>5</v>
      </c>
      <c r="F4702" t="n">
        <v>3</v>
      </c>
      <c r="G4702" t="n">
        <v>5</v>
      </c>
      <c r="H4702" t="n">
        <v>4</v>
      </c>
      <c r="I4702" t="n">
        <v>3</v>
      </c>
      <c r="J4702" t="inlineStr">
        <is>
          <t>Mediana</t>
        </is>
      </c>
      <c r="K4702" t="n">
        <v>4</v>
      </c>
      <c r="L4702" t="n">
        <v>4.443</v>
      </c>
      <c r="M4702" t="n">
        <v>0</v>
      </c>
      <c r="N4702" t="inlineStr">
        <is>
          <t>train</t>
        </is>
      </c>
      <c r="O4702">
        <f>HYPERLINK("NoConsenso\marker_747_382303.png", "Ver Imagen")</f>
        <v/>
      </c>
      <c r="P4702">
        <f>HYPERLINK("NE\A-495\A-495__113.png", "Ver Imagen")</f>
        <v/>
      </c>
    </row>
    <row r="4703">
      <c r="A4703" t="n">
        <v>4339</v>
      </c>
      <c r="B4703" t="inlineStr">
        <is>
          <t>A-497__761</t>
        </is>
      </c>
      <c r="C4703" t="n">
        <v>37.1862073352</v>
      </c>
      <c r="D4703" t="n">
        <v>-6.98050689665</v>
      </c>
      <c r="E4703" t="n">
        <v>5</v>
      </c>
      <c r="F4703" t="n">
        <v>3</v>
      </c>
      <c r="G4703" t="n">
        <v>5</v>
      </c>
      <c r="H4703" t="n">
        <v>3</v>
      </c>
      <c r="I4703" t="n">
        <v>4</v>
      </c>
      <c r="J4703" t="inlineStr">
        <is>
          <t>Mediana</t>
        </is>
      </c>
      <c r="K4703" t="n">
        <v>4</v>
      </c>
      <c r="L4703" t="n">
        <v>3.612</v>
      </c>
      <c r="M4703" t="n">
        <v>0</v>
      </c>
      <c r="N4703" t="inlineStr">
        <is>
          <t>train</t>
        </is>
      </c>
      <c r="O4703">
        <f>HYPERLINK("NoConsenso\marker_716_368557.png", "Ver Imagen")</f>
        <v/>
      </c>
      <c r="P4703">
        <f>HYPERLINK("SE\A-497\A-497__761.png", "Ver Imagen")</f>
        <v/>
      </c>
    </row>
    <row r="4704">
      <c r="A4704" t="n">
        <v>4340</v>
      </c>
      <c r="B4704" t="inlineStr">
        <is>
          <t>A-497__759</t>
        </is>
      </c>
      <c r="C4704" t="n">
        <v>37.1858638767</v>
      </c>
      <c r="D4704" t="n">
        <v>-6.98024621981</v>
      </c>
      <c r="E4704" t="n">
        <v>5</v>
      </c>
      <c r="F4704" t="n">
        <v>3</v>
      </c>
      <c r="G4704" t="n">
        <v>5</v>
      </c>
      <c r="H4704" t="n">
        <v>3</v>
      </c>
      <c r="I4704" t="n">
        <v>3</v>
      </c>
      <c r="J4704" t="inlineStr">
        <is>
          <t>Mediana</t>
        </is>
      </c>
      <c r="K4704" t="n">
        <v>3</v>
      </c>
      <c r="L4704" t="n">
        <v>2.816</v>
      </c>
      <c r="M4704" t="n">
        <v>0</v>
      </c>
      <c r="N4704" t="inlineStr">
        <is>
          <t>train</t>
        </is>
      </c>
      <c r="O4704">
        <f>HYPERLINK("NoConsenso\marker_331_368580.png", "Ver Imagen")</f>
        <v/>
      </c>
      <c r="P4704">
        <f>HYPERLINK("SE\A-497\A-497__759.png", "Ver Imagen")</f>
        <v/>
      </c>
    </row>
    <row r="4705">
      <c r="A4705" t="n">
        <v>4341</v>
      </c>
      <c r="B4705" t="inlineStr">
        <is>
          <t>A-497__753</t>
        </is>
      </c>
      <c r="C4705" t="n">
        <v>37.1867368681</v>
      </c>
      <c r="D4705" t="n">
        <v>-6.97951327358</v>
      </c>
      <c r="E4705" t="n">
        <v>5</v>
      </c>
      <c r="F4705" t="n">
        <v>3</v>
      </c>
      <c r="G4705" t="n">
        <v>5</v>
      </c>
      <c r="H4705" t="n">
        <v>3</v>
      </c>
      <c r="I4705" t="n">
        <v>4</v>
      </c>
      <c r="J4705" t="inlineStr">
        <is>
          <t>Mediana</t>
        </is>
      </c>
      <c r="K4705" t="n">
        <v>4</v>
      </c>
      <c r="L4705" t="n">
        <v>3.956</v>
      </c>
      <c r="M4705" t="n">
        <v>0</v>
      </c>
      <c r="N4705" t="inlineStr">
        <is>
          <t>train</t>
        </is>
      </c>
      <c r="O4705">
        <f>HYPERLINK("NoConsenso\marker_576_368650.png", "Ver Imagen")</f>
        <v/>
      </c>
      <c r="P4705">
        <f>HYPERLINK("SE\A-497\A-497__753.png", "Ver Imagen")</f>
        <v/>
      </c>
    </row>
    <row r="4706">
      <c r="A4706" t="n">
        <v>4342</v>
      </c>
      <c r="B4706" t="inlineStr">
        <is>
          <t>A-497_2C__19</t>
        </is>
      </c>
      <c r="C4706" t="n">
        <v>37.267588447</v>
      </c>
      <c r="D4706" t="n">
        <v>-6.9618002267</v>
      </c>
      <c r="E4706" t="n">
        <v>5</v>
      </c>
      <c r="F4706" t="n">
        <v>3</v>
      </c>
      <c r="G4706" t="n">
        <v>5</v>
      </c>
      <c r="H4706" t="n">
        <v>3</v>
      </c>
      <c r="I4706" t="n">
        <v>4</v>
      </c>
      <c r="J4706" t="inlineStr">
        <is>
          <t>Mediana</t>
        </is>
      </c>
      <c r="K4706" t="n">
        <v>4</v>
      </c>
      <c r="L4706" t="n">
        <v>3.682</v>
      </c>
      <c r="M4706" t="n">
        <v>0</v>
      </c>
      <c r="N4706" t="inlineStr">
        <is>
          <t>train</t>
        </is>
      </c>
      <c r="O4706">
        <f>HYPERLINK("NoConsenso\marker_792_654378.png", "Ver Imagen")</f>
        <v/>
      </c>
      <c r="P4706">
        <f>HYPERLINK("SE\A-497_2C\A-497_2C__19.png", "Ver Imagen")</f>
        <v/>
      </c>
    </row>
    <row r="4707">
      <c r="A4707" t="n">
        <v>4343</v>
      </c>
      <c r="B4707" t="inlineStr">
        <is>
          <t>A-497__595</t>
        </is>
      </c>
      <c r="C4707" t="n">
        <v>37.2031091966</v>
      </c>
      <c r="D4707" t="n">
        <v>-7.00392028411</v>
      </c>
      <c r="E4707" t="n">
        <v>5</v>
      </c>
      <c r="F4707" t="n">
        <v>3</v>
      </c>
      <c r="G4707" t="n">
        <v>5</v>
      </c>
      <c r="H4707" t="n">
        <v>3</v>
      </c>
      <c r="I4707" t="n">
        <v>4</v>
      </c>
      <c r="J4707" t="inlineStr">
        <is>
          <t>Modificada</t>
        </is>
      </c>
      <c r="K4707" t="n">
        <v>3</v>
      </c>
      <c r="L4707" t="n">
        <v>2.868</v>
      </c>
      <c r="M4707" t="n">
        <v>0</v>
      </c>
      <c r="N4707" t="inlineStr">
        <is>
          <t>val</t>
        </is>
      </c>
      <c r="O4707">
        <f>HYPERLINK("NoConsenso\marker_310_371761.png", "Ver Imagen")</f>
        <v/>
      </c>
      <c r="P4707">
        <f>HYPERLINK("SE\A-497\A-497__595.png", "Ver Imagen")</f>
        <v/>
      </c>
    </row>
    <row r="4708">
      <c r="A4708" t="n">
        <v>4344</v>
      </c>
      <c r="B4708" t="inlineStr">
        <is>
          <t>A-497__571</t>
        </is>
      </c>
      <c r="C4708" t="n">
        <v>37.203939104</v>
      </c>
      <c r="D4708" t="n">
        <v>-7.00987795945</v>
      </c>
      <c r="E4708" t="n">
        <v>5</v>
      </c>
      <c r="F4708" t="n">
        <v>3</v>
      </c>
      <c r="G4708" t="n">
        <v>5</v>
      </c>
      <c r="H4708" t="n">
        <v>4</v>
      </c>
      <c r="I4708" t="n">
        <v>4</v>
      </c>
      <c r="J4708" t="inlineStr">
        <is>
          <t>Mediana</t>
        </is>
      </c>
      <c r="K4708" t="n">
        <v>4</v>
      </c>
      <c r="L4708" t="n">
        <v>3.773</v>
      </c>
      <c r="M4708" t="n">
        <v>0</v>
      </c>
      <c r="N4708" t="inlineStr">
        <is>
          <t>train</t>
        </is>
      </c>
      <c r="O4708">
        <f>HYPERLINK("NoConsenso\marker_239_372016.png", "Ver Imagen")</f>
        <v/>
      </c>
      <c r="P4708">
        <f>HYPERLINK("SE\A-497\A-497__571.png", "Ver Imagen")</f>
        <v/>
      </c>
    </row>
    <row r="4709">
      <c r="A4709" t="n">
        <v>4345</v>
      </c>
      <c r="B4709" t="inlineStr">
        <is>
          <t>A-497__568</t>
        </is>
      </c>
      <c r="C4709" t="n">
        <v>37.2040580135</v>
      </c>
      <c r="D4709" t="n">
        <v>-7.0105954238</v>
      </c>
      <c r="E4709" t="n">
        <v>5</v>
      </c>
      <c r="F4709" t="n">
        <v>3</v>
      </c>
      <c r="G4709" t="n">
        <v>5</v>
      </c>
      <c r="H4709" t="n">
        <v>4</v>
      </c>
      <c r="I4709" t="n">
        <v>4</v>
      </c>
      <c r="J4709" t="inlineStr">
        <is>
          <t>Mediana</t>
        </is>
      </c>
      <c r="K4709" t="n">
        <v>4</v>
      </c>
      <c r="L4709" t="n">
        <v>3.968</v>
      </c>
      <c r="M4709" t="n">
        <v>0</v>
      </c>
      <c r="N4709" t="inlineStr">
        <is>
          <t>train</t>
        </is>
      </c>
      <c r="O4709">
        <f>HYPERLINK("NoConsenso\marker_360_372059.png", "Ver Imagen")</f>
        <v/>
      </c>
      <c r="P4709">
        <f>HYPERLINK("SE\A-497\A-497__568.png", "Ver Imagen")</f>
        <v/>
      </c>
    </row>
    <row r="4710">
      <c r="A4710" t="n">
        <v>4346</v>
      </c>
      <c r="B4710" t="inlineStr">
        <is>
          <t>A-497__229</t>
        </is>
      </c>
      <c r="C4710" t="n">
        <v>37.2628035172</v>
      </c>
      <c r="D4710" t="n">
        <v>-7.00888097709</v>
      </c>
      <c r="E4710" t="n">
        <v>5</v>
      </c>
      <c r="F4710" t="n">
        <v>3</v>
      </c>
      <c r="G4710" t="n">
        <v>5</v>
      </c>
      <c r="H4710" t="n">
        <v>2</v>
      </c>
      <c r="I4710" t="n">
        <v>3</v>
      </c>
      <c r="J4710" t="inlineStr">
        <is>
          <t>Mediana</t>
        </is>
      </c>
      <c r="K4710" t="n">
        <v>3</v>
      </c>
      <c r="L4710" t="n">
        <v>3.395</v>
      </c>
      <c r="M4710" t="n">
        <v>0</v>
      </c>
      <c r="N4710" t="inlineStr">
        <is>
          <t>test</t>
        </is>
      </c>
      <c r="O4710">
        <f>HYPERLINK("NoConsenso\marker_497_379048.png", "Ver Imagen")</f>
        <v/>
      </c>
      <c r="P4710">
        <f>HYPERLINK("SE\A-497\A-497__229.png", "Ver Imagen")</f>
        <v/>
      </c>
    </row>
    <row r="4711">
      <c r="A4711" t="n">
        <v>4347</v>
      </c>
      <c r="B4711" t="inlineStr">
        <is>
          <t>A-490__19</t>
        </is>
      </c>
      <c r="C4711" t="n">
        <v>37.4467830994</v>
      </c>
      <c r="D4711" t="n">
        <v>-7.13100858202</v>
      </c>
      <c r="E4711" t="n">
        <v>2</v>
      </c>
      <c r="F4711" t="n">
        <v>4</v>
      </c>
      <c r="G4711" t="n">
        <v>3</v>
      </c>
      <c r="H4711" t="n">
        <v>3</v>
      </c>
      <c r="I4711" t="n">
        <v>4</v>
      </c>
      <c r="J4711" t="inlineStr">
        <is>
          <t>Mediana</t>
        </is>
      </c>
      <c r="K4711" t="n">
        <v>3</v>
      </c>
      <c r="L4711" t="n">
        <v>2.866</v>
      </c>
      <c r="M4711" t="n">
        <v>0</v>
      </c>
      <c r="N4711" t="inlineStr">
        <is>
          <t>train</t>
        </is>
      </c>
      <c r="O4711">
        <f>HYPERLINK("NoConsenso\marker_830_730626.png", "Ver Imagen")</f>
        <v/>
      </c>
      <c r="P4711">
        <f>HYPERLINK("NE\A-490\A-490__19.png", "Ver Imagen")</f>
        <v/>
      </c>
    </row>
    <row r="4712">
      <c r="A4712" t="n">
        <v>4348</v>
      </c>
      <c r="B4712" t="inlineStr">
        <is>
          <t>A-490__26</t>
        </is>
      </c>
      <c r="C4712" t="n">
        <v>37.4465074472</v>
      </c>
      <c r="D4712" t="n">
        <v>-7.13268403363</v>
      </c>
      <c r="E4712" t="n">
        <v>3</v>
      </c>
      <c r="F4712" t="n">
        <v>4</v>
      </c>
      <c r="G4712" t="n">
        <v>5</v>
      </c>
      <c r="H4712" t="n">
        <v>4</v>
      </c>
      <c r="I4712" t="n">
        <v>4</v>
      </c>
      <c r="J4712" t="inlineStr">
        <is>
          <t>Mediana</t>
        </is>
      </c>
      <c r="K4712" t="n">
        <v>4</v>
      </c>
      <c r="L4712" t="n">
        <v>3.721</v>
      </c>
      <c r="M4712" t="n">
        <v>0</v>
      </c>
      <c r="N4712" t="inlineStr">
        <is>
          <t>train</t>
        </is>
      </c>
      <c r="O4712">
        <f>HYPERLINK("NoConsenso\marker_240_730823.png", "Ver Imagen")</f>
        <v/>
      </c>
      <c r="P4712">
        <f>HYPERLINK("NE\A-490\A-490__26.png", "Ver Imagen")</f>
        <v/>
      </c>
    </row>
    <row r="4713">
      <c r="A4713" t="n">
        <v>4350</v>
      </c>
      <c r="B4713" t="inlineStr">
        <is>
          <t>A-490__36</t>
        </is>
      </c>
      <c r="C4713" t="n">
        <v>37.4461915125</v>
      </c>
      <c r="D4713" t="n">
        <v>-7.13523063442</v>
      </c>
      <c r="E4713" t="n">
        <v>2</v>
      </c>
      <c r="F4713" t="n">
        <v>3</v>
      </c>
      <c r="G4713" t="n">
        <v>4</v>
      </c>
      <c r="H4713" t="n">
        <v>3</v>
      </c>
      <c r="I4713" t="n">
        <v>3</v>
      </c>
      <c r="J4713" t="inlineStr">
        <is>
          <t>Mediana</t>
        </is>
      </c>
      <c r="K4713" t="n">
        <v>3</v>
      </c>
      <c r="L4713" t="n">
        <v>3.031</v>
      </c>
      <c r="M4713" t="n">
        <v>0</v>
      </c>
      <c r="N4713" t="inlineStr">
        <is>
          <t>train</t>
        </is>
      </c>
      <c r="O4713">
        <f>HYPERLINK("NoConsenso\marker_869_731078.png", "Ver Imagen")</f>
        <v/>
      </c>
      <c r="P4713">
        <f>HYPERLINK("NE\A-490\A-490__36.png", "Ver Imagen")</f>
        <v/>
      </c>
    </row>
    <row r="4714">
      <c r="A4714" t="n">
        <v>4351</v>
      </c>
      <c r="B4714" t="inlineStr">
        <is>
          <t>A-490__40</t>
        </is>
      </c>
      <c r="C4714" t="n">
        <v>37.4461513749</v>
      </c>
      <c r="D4714" t="n">
        <v>-7.13622232819</v>
      </c>
      <c r="E4714" t="n">
        <v>2</v>
      </c>
      <c r="F4714" t="n">
        <v>4</v>
      </c>
      <c r="G4714" t="n">
        <v>4</v>
      </c>
      <c r="H4714" t="n">
        <v>4</v>
      </c>
      <c r="I4714" t="n">
        <v>4</v>
      </c>
      <c r="J4714" t="inlineStr">
        <is>
          <t>Mediana</t>
        </is>
      </c>
      <c r="K4714" t="n">
        <v>4</v>
      </c>
      <c r="L4714" t="n">
        <v>3.608</v>
      </c>
      <c r="M4714" t="n">
        <v>0</v>
      </c>
      <c r="N4714" t="inlineStr">
        <is>
          <t>train</t>
        </is>
      </c>
      <c r="O4714">
        <f>HYPERLINK("NoConsenso\marker_921_731166.png", "Ver Imagen")</f>
        <v/>
      </c>
      <c r="P4714">
        <f>HYPERLINK("NE\A-490\A-490__40.png", "Ver Imagen")</f>
        <v/>
      </c>
    </row>
    <row r="4715">
      <c r="A4715" t="n">
        <v>4352</v>
      </c>
      <c r="B4715" t="inlineStr">
        <is>
          <t>A-490__42</t>
        </is>
      </c>
      <c r="C4715" t="n">
        <v>37.4462379281</v>
      </c>
      <c r="D4715" t="n">
        <v>-7.13670655037</v>
      </c>
      <c r="E4715" t="n">
        <v>2</v>
      </c>
      <c r="F4715" t="n">
        <v>4</v>
      </c>
      <c r="G4715" t="n">
        <v>4</v>
      </c>
      <c r="H4715" t="n">
        <v>4</v>
      </c>
      <c r="I4715" t="n">
        <v>3</v>
      </c>
      <c r="J4715" t="inlineStr">
        <is>
          <t>Mediana</t>
        </is>
      </c>
      <c r="K4715" t="n">
        <v>4</v>
      </c>
      <c r="L4715" t="n">
        <v>3.783</v>
      </c>
      <c r="M4715" t="n">
        <v>0</v>
      </c>
      <c r="N4715" t="inlineStr">
        <is>
          <t>train</t>
        </is>
      </c>
      <c r="O4715">
        <f>HYPERLINK("NoConsenso\marker_997_731241.png", "Ver Imagen")</f>
        <v/>
      </c>
      <c r="P4715">
        <f>HYPERLINK("NE\A-490\A-490__42.png", "Ver Imagen")</f>
        <v/>
      </c>
    </row>
    <row r="4716">
      <c r="A4716" t="n">
        <v>4353</v>
      </c>
      <c r="B4716" t="inlineStr">
        <is>
          <t>A-490__51</t>
        </is>
      </c>
      <c r="C4716" t="n">
        <v>37.4468632702</v>
      </c>
      <c r="D4716" t="n">
        <v>-7.13884157222</v>
      </c>
      <c r="E4716" t="n">
        <v>2</v>
      </c>
      <c r="F4716" t="n">
        <v>4</v>
      </c>
      <c r="G4716" t="n">
        <v>3</v>
      </c>
      <c r="H4716" t="n">
        <v>4</v>
      </c>
      <c r="I4716" t="n">
        <v>3</v>
      </c>
      <c r="J4716" t="inlineStr">
        <is>
          <t>Mediana</t>
        </is>
      </c>
      <c r="K4716" t="n">
        <v>3</v>
      </c>
      <c r="L4716" t="n">
        <v>3.423</v>
      </c>
      <c r="M4716" t="n">
        <v>0</v>
      </c>
      <c r="N4716" t="inlineStr">
        <is>
          <t>val</t>
        </is>
      </c>
      <c r="O4716">
        <f>HYPERLINK("NoConsenso\marker_426_732318.png", "Ver Imagen")</f>
        <v/>
      </c>
      <c r="P4716">
        <f>HYPERLINK("NE\A-490\A-490__51.png", "Ver Imagen")</f>
        <v/>
      </c>
    </row>
    <row r="4717">
      <c r="A4717" t="n">
        <v>4354</v>
      </c>
      <c r="B4717" t="inlineStr">
        <is>
          <t>A-490__56</t>
        </is>
      </c>
      <c r="C4717" t="n">
        <v>37.4472605564</v>
      </c>
      <c r="D4717" t="n">
        <v>-7.13999728038</v>
      </c>
      <c r="E4717" t="n">
        <v>2</v>
      </c>
      <c r="F4717" t="n">
        <v>3</v>
      </c>
      <c r="G4717" t="n">
        <v>4</v>
      </c>
      <c r="H4717" t="n">
        <v>4</v>
      </c>
      <c r="I4717" t="n">
        <v>4</v>
      </c>
      <c r="J4717" t="inlineStr">
        <is>
          <t>Mediana</t>
        </is>
      </c>
      <c r="K4717" t="n">
        <v>4</v>
      </c>
      <c r="L4717" t="n">
        <v>3.778</v>
      </c>
      <c r="M4717" t="n">
        <v>0</v>
      </c>
      <c r="N4717" t="inlineStr">
        <is>
          <t>train</t>
        </is>
      </c>
      <c r="O4717">
        <f>HYPERLINK("NoConsenso\marker_113_737798.png", "Ver Imagen")</f>
        <v/>
      </c>
      <c r="P4717">
        <f>HYPERLINK("NE\A-490\A-490__56.png", "Ver Imagen")</f>
        <v/>
      </c>
    </row>
    <row r="4718">
      <c r="A4718" t="n">
        <v>4355</v>
      </c>
      <c r="B4718" t="inlineStr">
        <is>
          <t>A-490__59</t>
        </is>
      </c>
      <c r="C4718" t="n">
        <v>37.4476413978</v>
      </c>
      <c r="D4718" t="n">
        <v>-7.1408249214</v>
      </c>
      <c r="E4718" t="n">
        <v>2</v>
      </c>
      <c r="F4718" t="n">
        <v>4</v>
      </c>
      <c r="G4718" t="n">
        <v>3</v>
      </c>
      <c r="H4718" t="n">
        <v>4</v>
      </c>
      <c r="I4718" t="n">
        <v>4</v>
      </c>
      <c r="J4718" t="inlineStr">
        <is>
          <t>Mediana</t>
        </is>
      </c>
      <c r="K4718" t="n">
        <v>4</v>
      </c>
      <c r="L4718" t="n">
        <v>3.701</v>
      </c>
      <c r="M4718" t="n">
        <v>0</v>
      </c>
      <c r="N4718" t="inlineStr">
        <is>
          <t>train</t>
        </is>
      </c>
      <c r="O4718">
        <f>HYPERLINK("NoConsenso\marker_468_737902.png", "Ver Imagen")</f>
        <v/>
      </c>
      <c r="P4718">
        <f>HYPERLINK("NE\A-490\A-490__59.png", "Ver Imagen")</f>
        <v/>
      </c>
    </row>
    <row r="4719">
      <c r="A4719" t="n">
        <v>4356</v>
      </c>
      <c r="B4719" t="inlineStr">
        <is>
          <t>A-490__71</t>
        </is>
      </c>
      <c r="C4719" t="n">
        <v>37.4484942571</v>
      </c>
      <c r="D4719" t="n">
        <v>-7.14342111573</v>
      </c>
      <c r="E4719" t="n">
        <v>2</v>
      </c>
      <c r="F4719" t="n">
        <v>4</v>
      </c>
      <c r="G4719" t="n">
        <v>4</v>
      </c>
      <c r="H4719" t="n">
        <v>4</v>
      </c>
      <c r="I4719" t="n">
        <v>4</v>
      </c>
      <c r="J4719" t="inlineStr">
        <is>
          <t>Mediana</t>
        </is>
      </c>
      <c r="K4719" t="n">
        <v>4</v>
      </c>
      <c r="L4719" t="n">
        <v>3.765</v>
      </c>
      <c r="M4719" t="n">
        <v>0</v>
      </c>
      <c r="N4719" t="inlineStr">
        <is>
          <t>train</t>
        </is>
      </c>
      <c r="O4719">
        <f>HYPERLINK("NoConsenso\marker_833_738189.png", "Ver Imagen")</f>
        <v/>
      </c>
      <c r="P4719">
        <f>HYPERLINK("NE\A-490\A-490__71.png", "Ver Imagen")</f>
        <v/>
      </c>
    </row>
    <row r="4720">
      <c r="A4720" t="n">
        <v>4357</v>
      </c>
      <c r="B4720" t="inlineStr">
        <is>
          <t>A-490__80</t>
        </is>
      </c>
      <c r="C4720" t="n">
        <v>37.4486191563</v>
      </c>
      <c r="D4720" t="n">
        <v>-7.14573899088</v>
      </c>
      <c r="E4720" t="n">
        <v>3</v>
      </c>
      <c r="F4720" t="n">
        <v>4</v>
      </c>
      <c r="G4720" t="n">
        <v>5</v>
      </c>
      <c r="H4720" t="n">
        <v>4</v>
      </c>
      <c r="I4720" t="n">
        <v>4</v>
      </c>
      <c r="J4720" t="inlineStr">
        <is>
          <t>Mediana</t>
        </is>
      </c>
      <c r="K4720" t="n">
        <v>4</v>
      </c>
      <c r="L4720" t="n">
        <v>3.609</v>
      </c>
      <c r="M4720" t="n">
        <v>0</v>
      </c>
      <c r="N4720" t="inlineStr">
        <is>
          <t>train</t>
        </is>
      </c>
      <c r="O4720">
        <f>HYPERLINK("NoConsenso\marker_789_738603.png", "Ver Imagen")</f>
        <v/>
      </c>
      <c r="P4720">
        <f>HYPERLINK("NE\A-490\A-490__80.png", "Ver Imagen")</f>
        <v/>
      </c>
    </row>
    <row r="4721">
      <c r="A4721" t="n">
        <v>4358</v>
      </c>
      <c r="B4721" t="inlineStr">
        <is>
          <t>A-490__82</t>
        </is>
      </c>
      <c r="C4721" t="n">
        <v>37.4486397866</v>
      </c>
      <c r="D4721" t="n">
        <v>-7.14622096527</v>
      </c>
      <c r="E4721" t="n">
        <v>3</v>
      </c>
      <c r="F4721" t="n">
        <v>5</v>
      </c>
      <c r="G4721" t="n">
        <v>5</v>
      </c>
      <c r="H4721" t="n">
        <v>5</v>
      </c>
      <c r="I4721" t="n">
        <v>5</v>
      </c>
      <c r="J4721" t="inlineStr">
        <is>
          <t>Mediana</t>
        </is>
      </c>
      <c r="K4721" t="n">
        <v>5</v>
      </c>
      <c r="L4721" t="n">
        <v>4.54</v>
      </c>
      <c r="M4721" t="n">
        <v>0</v>
      </c>
      <c r="N4721" t="inlineStr">
        <is>
          <t>train</t>
        </is>
      </c>
      <c r="O4721">
        <f>HYPERLINK("NoConsenso\marker_164_738698.png", "Ver Imagen")</f>
        <v/>
      </c>
      <c r="P4721">
        <f>HYPERLINK("NE\A-490\A-490__82.png", "Ver Imagen")</f>
        <v/>
      </c>
    </row>
    <row r="4722">
      <c r="A4722" t="n">
        <v>4360</v>
      </c>
      <c r="B4722" t="inlineStr">
        <is>
          <t>A-490__93</t>
        </is>
      </c>
      <c r="C4722" t="n">
        <v>37.4487967227</v>
      </c>
      <c r="D4722" t="n">
        <v>-7.14902038827</v>
      </c>
      <c r="E4722" t="n">
        <v>2</v>
      </c>
      <c r="F4722" t="n">
        <v>4</v>
      </c>
      <c r="G4722" t="n">
        <v>4</v>
      </c>
      <c r="H4722" t="n">
        <v>4</v>
      </c>
      <c r="I4722" t="n">
        <v>3</v>
      </c>
      <c r="J4722" t="inlineStr">
        <is>
          <t>Mediana</t>
        </is>
      </c>
      <c r="K4722" t="n">
        <v>4</v>
      </c>
      <c r="L4722" t="n">
        <v>3.786</v>
      </c>
      <c r="M4722" t="n">
        <v>0</v>
      </c>
      <c r="N4722" t="inlineStr">
        <is>
          <t>train</t>
        </is>
      </c>
      <c r="O4722">
        <f>HYPERLINK("NoConsenso\marker_444_739032.png", "Ver Imagen")</f>
        <v/>
      </c>
      <c r="P4722">
        <f>HYPERLINK("NE\A-490\A-490__93.png", "Ver Imagen")</f>
        <v/>
      </c>
    </row>
    <row r="4723">
      <c r="A4723" t="n">
        <v>4361</v>
      </c>
      <c r="B4723" t="inlineStr">
        <is>
          <t>A-490__128</t>
        </is>
      </c>
      <c r="C4723" t="n">
        <v>37.4517235199</v>
      </c>
      <c r="D4723" t="n">
        <v>-7.15697614618</v>
      </c>
      <c r="E4723" t="n">
        <v>2</v>
      </c>
      <c r="F4723" t="n">
        <v>4</v>
      </c>
      <c r="G4723" t="n">
        <v>4</v>
      </c>
      <c r="H4723" t="n">
        <v>3</v>
      </c>
      <c r="I4723" t="n">
        <v>3</v>
      </c>
      <c r="J4723" t="inlineStr">
        <is>
          <t>Mediana</t>
        </is>
      </c>
      <c r="K4723" t="n">
        <v>3</v>
      </c>
      <c r="L4723" t="n">
        <v>2.756</v>
      </c>
      <c r="M4723" t="n">
        <v>0</v>
      </c>
      <c r="N4723" t="inlineStr">
        <is>
          <t>train</t>
        </is>
      </c>
      <c r="O4723">
        <f>HYPERLINK("NoConsenso\marker_771_740188.png", "Ver Imagen")</f>
        <v/>
      </c>
      <c r="P4723">
        <f>HYPERLINK("NE\A-490\A-490__128.png", "Ver Imagen")</f>
        <v/>
      </c>
    </row>
    <row r="4724">
      <c r="A4724" t="n">
        <v>4362</v>
      </c>
      <c r="B4724" t="inlineStr">
        <is>
          <t>A-490__106</t>
        </is>
      </c>
      <c r="C4724" t="n">
        <v>37.4498258137</v>
      </c>
      <c r="D4724" t="n">
        <v>-7.1519762085</v>
      </c>
      <c r="E4724" t="n">
        <v>1</v>
      </c>
      <c r="F4724" t="n">
        <v>3</v>
      </c>
      <c r="G4724" t="n">
        <v>2</v>
      </c>
      <c r="H4724" t="n">
        <v>2</v>
      </c>
      <c r="I4724" t="n">
        <v>2</v>
      </c>
      <c r="J4724" t="inlineStr">
        <is>
          <t>Mediana</t>
        </is>
      </c>
      <c r="K4724" t="n">
        <v>2</v>
      </c>
      <c r="L4724" t="n">
        <v>2.224</v>
      </c>
      <c r="M4724" t="n">
        <v>0</v>
      </c>
      <c r="N4724" t="inlineStr">
        <is>
          <t>train</t>
        </is>
      </c>
      <c r="O4724">
        <f>HYPERLINK("NoConsenso\marker_189_739673.png", "Ver Imagen")</f>
        <v/>
      </c>
      <c r="P4724">
        <f>HYPERLINK("NE\A-490\A-490__106.png", "Ver Imagen")</f>
        <v/>
      </c>
    </row>
    <row r="4725">
      <c r="A4725" t="n">
        <v>4363</v>
      </c>
      <c r="B4725" t="inlineStr">
        <is>
          <t>A-490__109</t>
        </is>
      </c>
      <c r="C4725" t="n">
        <v>37.4501934767</v>
      </c>
      <c r="D4725" t="n">
        <v>-7.15257492999</v>
      </c>
      <c r="E4725" t="n">
        <v>1</v>
      </c>
      <c r="F4725" t="n">
        <v>3</v>
      </c>
      <c r="G4725" t="n">
        <v>3</v>
      </c>
      <c r="H4725" t="n">
        <v>2</v>
      </c>
      <c r="I4725" t="n">
        <v>2</v>
      </c>
      <c r="J4725" t="inlineStr">
        <is>
          <t>Mediana</t>
        </is>
      </c>
      <c r="K4725" t="n">
        <v>2</v>
      </c>
      <c r="L4725" t="n">
        <v>1.984</v>
      </c>
      <c r="M4725" t="n">
        <v>0</v>
      </c>
      <c r="N4725" t="inlineStr">
        <is>
          <t>train</t>
        </is>
      </c>
      <c r="O4725">
        <f>HYPERLINK("NoConsenso\marker_291_739744.png", "Ver Imagen")</f>
        <v/>
      </c>
      <c r="P4725">
        <f>HYPERLINK("NE\A-490\A-490__109.png", "Ver Imagen")</f>
        <v/>
      </c>
    </row>
    <row r="4726">
      <c r="A4726" t="n">
        <v>4364</v>
      </c>
      <c r="B4726" t="inlineStr">
        <is>
          <t>A-490__111</t>
        </is>
      </c>
      <c r="C4726" t="n">
        <v>37.4504376382</v>
      </c>
      <c r="D4726" t="n">
        <v>-7.15297265188</v>
      </c>
      <c r="E4726" t="n">
        <v>2</v>
      </c>
      <c r="F4726" t="n">
        <v>3</v>
      </c>
      <c r="G4726" t="n">
        <v>4</v>
      </c>
      <c r="H4726" t="n">
        <v>3</v>
      </c>
      <c r="I4726" t="n">
        <v>3</v>
      </c>
      <c r="J4726" t="inlineStr">
        <is>
          <t>Mediana</t>
        </is>
      </c>
      <c r="K4726" t="n">
        <v>3</v>
      </c>
      <c r="L4726" t="n">
        <v>2.814</v>
      </c>
      <c r="M4726" t="n">
        <v>0</v>
      </c>
      <c r="N4726" t="inlineStr">
        <is>
          <t>train</t>
        </is>
      </c>
      <c r="O4726">
        <f>HYPERLINK("NoConsenso\marker_932_739783.png", "Ver Imagen")</f>
        <v/>
      </c>
      <c r="P4726">
        <f>HYPERLINK("NE\A-490\A-490__111.png", "Ver Imagen")</f>
        <v/>
      </c>
    </row>
    <row r="4727">
      <c r="A4727" t="n">
        <v>4365</v>
      </c>
      <c r="B4727" t="inlineStr">
        <is>
          <t>A-490__112</t>
        </is>
      </c>
      <c r="C4727" t="n">
        <v>37.4505677745</v>
      </c>
      <c r="D4727" t="n">
        <v>-7.15318360493</v>
      </c>
      <c r="E4727" t="n">
        <v>2</v>
      </c>
      <c r="F4727" t="n">
        <v>3</v>
      </c>
      <c r="G4727" t="n">
        <v>4</v>
      </c>
      <c r="H4727" t="n">
        <v>3</v>
      </c>
      <c r="I4727" t="n">
        <v>2</v>
      </c>
      <c r="J4727" t="inlineStr">
        <is>
          <t>Mediana</t>
        </is>
      </c>
      <c r="K4727" t="n">
        <v>3</v>
      </c>
      <c r="L4727" t="n">
        <v>2.924</v>
      </c>
      <c r="M4727" t="n">
        <v>0</v>
      </c>
      <c r="N4727" t="inlineStr">
        <is>
          <t>train</t>
        </is>
      </c>
      <c r="O4727">
        <f>HYPERLINK("NoConsenso\marker_160_739800.png", "Ver Imagen")</f>
        <v/>
      </c>
      <c r="P4727">
        <f>HYPERLINK("NE\A-490\A-490__112.png", "Ver Imagen")</f>
        <v/>
      </c>
    </row>
    <row r="4728">
      <c r="A4728" t="n">
        <v>4366</v>
      </c>
      <c r="B4728" t="inlineStr">
        <is>
          <t>A-490__115</t>
        </is>
      </c>
      <c r="C4728" t="n">
        <v>37.4509713557</v>
      </c>
      <c r="D4728" t="n">
        <v>-7.15386627781</v>
      </c>
      <c r="E4728" t="n">
        <v>2</v>
      </c>
      <c r="F4728" t="n">
        <v>3</v>
      </c>
      <c r="G4728" t="n">
        <v>4</v>
      </c>
      <c r="H4728" t="n">
        <v>3</v>
      </c>
      <c r="I4728" t="n">
        <v>3</v>
      </c>
      <c r="J4728" t="inlineStr">
        <is>
          <t>Mediana</t>
        </is>
      </c>
      <c r="K4728" t="n">
        <v>3</v>
      </c>
      <c r="L4728" t="n">
        <v>2.879</v>
      </c>
      <c r="M4728" t="n">
        <v>0</v>
      </c>
      <c r="N4728" t="inlineStr">
        <is>
          <t>train</t>
        </is>
      </c>
      <c r="O4728">
        <f>HYPERLINK("NoConsenso\marker_371_739880.png", "Ver Imagen")</f>
        <v/>
      </c>
      <c r="P4728">
        <f>HYPERLINK("NE\A-490\A-490__115.png", "Ver Imagen")</f>
        <v/>
      </c>
    </row>
    <row r="4729">
      <c r="A4729" t="n">
        <v>4369</v>
      </c>
      <c r="B4729" t="inlineStr">
        <is>
          <t>A-490__124</t>
        </is>
      </c>
      <c r="C4729" t="n">
        <v>37.4515032991</v>
      </c>
      <c r="D4729" t="n">
        <v>-7.15593909632</v>
      </c>
      <c r="E4729" t="n">
        <v>2</v>
      </c>
      <c r="F4729" t="n">
        <v>4</v>
      </c>
      <c r="G4729" t="n">
        <v>4</v>
      </c>
      <c r="H4729" t="n">
        <v>4</v>
      </c>
      <c r="I4729" t="n">
        <v>4</v>
      </c>
      <c r="J4729" t="inlineStr">
        <is>
          <t>Mediana</t>
        </is>
      </c>
      <c r="K4729" t="n">
        <v>4</v>
      </c>
      <c r="L4729" t="n">
        <v>3.708</v>
      </c>
      <c r="M4729" t="n">
        <v>0</v>
      </c>
      <c r="N4729" t="inlineStr">
        <is>
          <t>train</t>
        </is>
      </c>
      <c r="O4729">
        <f>HYPERLINK("NoConsenso\marker_225_740097.png", "Ver Imagen")</f>
        <v/>
      </c>
      <c r="P4729">
        <f>HYPERLINK("NE\A-490\A-490__124.png", "Ver Imagen")</f>
        <v/>
      </c>
    </row>
    <row r="4730">
      <c r="A4730" t="n">
        <v>4370</v>
      </c>
      <c r="B4730" t="inlineStr">
        <is>
          <t>A-490__125</t>
        </is>
      </c>
      <c r="C4730" t="n">
        <v>37.4515574094</v>
      </c>
      <c r="D4730" t="n">
        <v>-7.15619007005</v>
      </c>
      <c r="E4730" t="n">
        <v>2</v>
      </c>
      <c r="F4730" t="n">
        <v>4</v>
      </c>
      <c r="G4730" t="n">
        <v>4</v>
      </c>
      <c r="H4730" t="n">
        <v>3</v>
      </c>
      <c r="I4730" t="n">
        <v>3</v>
      </c>
      <c r="J4730" t="inlineStr">
        <is>
          <t>Mediana</t>
        </is>
      </c>
      <c r="K4730" t="n">
        <v>3</v>
      </c>
      <c r="L4730" t="n">
        <v>2.797</v>
      </c>
      <c r="M4730" t="n">
        <v>0</v>
      </c>
      <c r="N4730" t="inlineStr">
        <is>
          <t>train</t>
        </is>
      </c>
      <c r="O4730">
        <f>HYPERLINK("NoConsenso\marker_559_740122.png", "Ver Imagen")</f>
        <v/>
      </c>
      <c r="P4730">
        <f>HYPERLINK("NE\A-490\A-490__125.png", "Ver Imagen")</f>
        <v/>
      </c>
    </row>
    <row r="4731">
      <c r="A4731" t="n">
        <v>4371</v>
      </c>
      <c r="B4731" t="inlineStr">
        <is>
          <t>A-490__127</t>
        </is>
      </c>
      <c r="C4731" t="n">
        <v>37.4516671601</v>
      </c>
      <c r="D4731" t="n">
        <v>-7.15670199244</v>
      </c>
      <c r="E4731" t="n">
        <v>2</v>
      </c>
      <c r="F4731" t="n">
        <v>4</v>
      </c>
      <c r="G4731" t="n">
        <v>4</v>
      </c>
      <c r="H4731" t="n">
        <v>3</v>
      </c>
      <c r="I4731" t="n">
        <v>3</v>
      </c>
      <c r="J4731" t="inlineStr">
        <is>
          <t>Mediana</t>
        </is>
      </c>
      <c r="K4731" t="n">
        <v>3</v>
      </c>
      <c r="L4731" t="n">
        <v>3.052</v>
      </c>
      <c r="M4731" t="n">
        <v>0</v>
      </c>
      <c r="N4731" t="inlineStr">
        <is>
          <t>train</t>
        </is>
      </c>
      <c r="O4731">
        <f>HYPERLINK("NoConsenso\marker_859_740172.png", "Ver Imagen")</f>
        <v/>
      </c>
      <c r="P4731">
        <f>HYPERLINK("NE\A-490\A-490__127.png", "Ver Imagen")</f>
        <v/>
      </c>
    </row>
    <row r="4732">
      <c r="A4732" t="n">
        <v>4372</v>
      </c>
      <c r="B4732" t="inlineStr">
        <is>
          <t>A-490__129</t>
        </is>
      </c>
      <c r="C4732" t="n">
        <v>37.4517712559</v>
      </c>
      <c r="D4732" t="n">
        <v>-7.15720352309</v>
      </c>
      <c r="E4732" t="n">
        <v>2</v>
      </c>
      <c r="F4732" t="n">
        <v>3</v>
      </c>
      <c r="G4732" t="n">
        <v>4</v>
      </c>
      <c r="H4732" t="n">
        <v>2</v>
      </c>
      <c r="I4732" t="n">
        <v>3</v>
      </c>
      <c r="J4732" t="inlineStr">
        <is>
          <t>Modificada</t>
        </is>
      </c>
      <c r="K4732" t="n">
        <v>2</v>
      </c>
      <c r="L4732" t="n">
        <v>1.689</v>
      </c>
      <c r="M4732" t="n">
        <v>0</v>
      </c>
      <c r="N4732" t="inlineStr">
        <is>
          <t>train</t>
        </is>
      </c>
      <c r="O4732">
        <f>HYPERLINK("NoConsenso\marker_845_740224.png", "Ver Imagen")</f>
        <v/>
      </c>
      <c r="P4732">
        <f>HYPERLINK("NE\A-490\A-490__129.png", "Ver Imagen")</f>
        <v/>
      </c>
    </row>
    <row r="4733">
      <c r="A4733" t="n">
        <v>4374</v>
      </c>
      <c r="B4733" t="inlineStr">
        <is>
          <t>A-490__132</t>
        </is>
      </c>
      <c r="C4733" t="n">
        <v>37.4519278878</v>
      </c>
      <c r="D4733" t="n">
        <v>-7.15794693461</v>
      </c>
      <c r="E4733" t="n">
        <v>1</v>
      </c>
      <c r="F4733" t="n">
        <v>3</v>
      </c>
      <c r="G4733" t="n">
        <v>3</v>
      </c>
      <c r="H4733" t="n">
        <v>2</v>
      </c>
      <c r="I4733" t="n">
        <v>2</v>
      </c>
      <c r="J4733" t="inlineStr">
        <is>
          <t>Mediana</t>
        </is>
      </c>
      <c r="K4733" t="n">
        <v>2</v>
      </c>
      <c r="L4733" t="n">
        <v>2.202</v>
      </c>
      <c r="M4733" t="n">
        <v>0</v>
      </c>
      <c r="N4733" t="inlineStr">
        <is>
          <t>val</t>
        </is>
      </c>
      <c r="O4733">
        <f>HYPERLINK("NoConsenso\marker_207_740288.png", "Ver Imagen")</f>
        <v/>
      </c>
      <c r="P4733">
        <f>HYPERLINK("NE\A-490\A-490__132.png", "Ver Imagen")</f>
        <v/>
      </c>
    </row>
    <row r="4734">
      <c r="A4734" t="n">
        <v>4375</v>
      </c>
      <c r="B4734" t="inlineStr">
        <is>
          <t>A-490__137</t>
        </is>
      </c>
      <c r="C4734" t="n">
        <v>37.4521810187</v>
      </c>
      <c r="D4734" t="n">
        <v>-7.15913281674</v>
      </c>
      <c r="E4734" t="n">
        <v>2</v>
      </c>
      <c r="F4734" t="n">
        <v>3</v>
      </c>
      <c r="G4734" t="n">
        <v>4</v>
      </c>
      <c r="H4734" t="n">
        <v>3</v>
      </c>
      <c r="I4734" t="n">
        <v>3</v>
      </c>
      <c r="J4734" t="inlineStr">
        <is>
          <t>Mediana</t>
        </is>
      </c>
      <c r="K4734" t="n">
        <v>3</v>
      </c>
      <c r="L4734" t="n">
        <v>2.657</v>
      </c>
      <c r="M4734" t="n">
        <v>0</v>
      </c>
      <c r="N4734" t="inlineStr">
        <is>
          <t>train</t>
        </is>
      </c>
      <c r="O4734">
        <f>HYPERLINK("NoConsenso\marker_540_740452.png", "Ver Imagen")</f>
        <v/>
      </c>
      <c r="P4734">
        <f>HYPERLINK("NE\A-490\A-490__137.png", "Ver Imagen")</f>
        <v/>
      </c>
    </row>
    <row r="4735">
      <c r="A4735" t="n">
        <v>4376</v>
      </c>
      <c r="B4735" t="inlineStr">
        <is>
          <t>A-490__138</t>
        </is>
      </c>
      <c r="C4735" t="n">
        <v>37.4522286331</v>
      </c>
      <c r="D4735" t="n">
        <v>-7.15935791192</v>
      </c>
      <c r="E4735" t="n">
        <v>3</v>
      </c>
      <c r="F4735" t="n">
        <v>2</v>
      </c>
      <c r="G4735" t="n">
        <v>4</v>
      </c>
      <c r="H4735" t="n">
        <v>2</v>
      </c>
      <c r="I4735" t="n">
        <v>2</v>
      </c>
      <c r="J4735" t="inlineStr">
        <is>
          <t>Mediana</t>
        </is>
      </c>
      <c r="K4735" t="n">
        <v>2</v>
      </c>
      <c r="L4735" t="n">
        <v>2.062</v>
      </c>
      <c r="M4735" t="n">
        <v>0</v>
      </c>
      <c r="N4735" t="inlineStr">
        <is>
          <t>train</t>
        </is>
      </c>
      <c r="O4735">
        <f>HYPERLINK("NoConsenso\marker_762_740472.png", "Ver Imagen")</f>
        <v/>
      </c>
      <c r="P4735">
        <f>HYPERLINK("NE\A-490\A-490__138.png", "Ver Imagen")</f>
        <v/>
      </c>
    </row>
    <row r="4736">
      <c r="A4736" t="n">
        <v>4377</v>
      </c>
      <c r="B4736" t="inlineStr">
        <is>
          <t>A-490__139</t>
        </is>
      </c>
      <c r="C4736" t="n">
        <v>37.452280452</v>
      </c>
      <c r="D4736" t="n">
        <v>-7.15960304009</v>
      </c>
      <c r="E4736" t="n">
        <v>3</v>
      </c>
      <c r="F4736" t="n">
        <v>4</v>
      </c>
      <c r="G4736" t="n">
        <v>5</v>
      </c>
      <c r="H4736" t="n">
        <v>4</v>
      </c>
      <c r="I4736" t="n">
        <v>4</v>
      </c>
      <c r="J4736" t="inlineStr">
        <is>
          <t>Mediana</t>
        </is>
      </c>
      <c r="K4736" t="n">
        <v>4</v>
      </c>
      <c r="L4736" t="n">
        <v>3.609</v>
      </c>
      <c r="M4736" t="n">
        <v>0</v>
      </c>
      <c r="N4736" t="inlineStr">
        <is>
          <t>train</t>
        </is>
      </c>
      <c r="O4736">
        <f>HYPERLINK("NoConsenso\marker_378_740490.png", "Ver Imagen")</f>
        <v/>
      </c>
      <c r="P4736">
        <f>HYPERLINK("NE\A-490\A-490__139.png", "Ver Imagen")</f>
        <v/>
      </c>
    </row>
    <row r="4737">
      <c r="A4737" t="n">
        <v>4378</v>
      </c>
      <c r="B4737" t="inlineStr">
        <is>
          <t>A-490__145</t>
        </is>
      </c>
      <c r="C4737" t="n">
        <v>37.4526643043</v>
      </c>
      <c r="D4737" t="n">
        <v>-7.16108830659</v>
      </c>
      <c r="E4737" t="n">
        <v>2</v>
      </c>
      <c r="F4737" t="n">
        <v>3</v>
      </c>
      <c r="G4737" t="n">
        <v>4</v>
      </c>
      <c r="H4737" t="n">
        <v>3</v>
      </c>
      <c r="I4737" t="n">
        <v>4</v>
      </c>
      <c r="J4737" t="inlineStr">
        <is>
          <t>Mediana</t>
        </is>
      </c>
      <c r="K4737" t="n">
        <v>3</v>
      </c>
      <c r="L4737" t="n">
        <v>2.809</v>
      </c>
      <c r="M4737" t="n">
        <v>0</v>
      </c>
      <c r="N4737" t="inlineStr">
        <is>
          <t>train</t>
        </is>
      </c>
      <c r="O4737">
        <f>HYPERLINK("NoConsenso\marker_442_740639.png", "Ver Imagen")</f>
        <v/>
      </c>
      <c r="P4737">
        <f>HYPERLINK("NE\A-490\A-490__145.png", "Ver Imagen")</f>
        <v/>
      </c>
    </row>
    <row r="4738">
      <c r="A4738" t="n">
        <v>4380</v>
      </c>
      <c r="B4738" t="inlineStr">
        <is>
          <t>A-490__149</t>
        </is>
      </c>
      <c r="C4738" t="n">
        <v>37.4531007653</v>
      </c>
      <c r="D4738" t="n">
        <v>-7.16199089361</v>
      </c>
      <c r="E4738" t="n">
        <v>1</v>
      </c>
      <c r="F4738" t="n">
        <v>3</v>
      </c>
      <c r="G4738" t="n">
        <v>2</v>
      </c>
      <c r="H4738" t="n">
        <v>2</v>
      </c>
      <c r="I4738" t="n">
        <v>2</v>
      </c>
      <c r="J4738" t="inlineStr">
        <is>
          <t>Mediana</t>
        </is>
      </c>
      <c r="K4738" t="n">
        <v>2</v>
      </c>
      <c r="L4738" t="n">
        <v>2.072</v>
      </c>
      <c r="M4738" t="n">
        <v>0</v>
      </c>
      <c r="N4738" t="inlineStr">
        <is>
          <t>train</t>
        </is>
      </c>
      <c r="O4738">
        <f>HYPERLINK("NoConsenso\marker_145_740737.png", "Ver Imagen")</f>
        <v/>
      </c>
      <c r="P4738">
        <f>HYPERLINK("NE\A-490\A-490__149.png", "Ver Imagen")</f>
        <v/>
      </c>
    </row>
    <row r="4739">
      <c r="A4739" t="n">
        <v>4382</v>
      </c>
      <c r="B4739" t="inlineStr">
        <is>
          <t>A-490__162</t>
        </is>
      </c>
      <c r="C4739" t="n">
        <v>37.4544893984</v>
      </c>
      <c r="D4739" t="n">
        <v>-7.16474057277</v>
      </c>
      <c r="E4739" t="n">
        <v>1</v>
      </c>
      <c r="F4739" t="n">
        <v>3</v>
      </c>
      <c r="G4739" t="n">
        <v>3</v>
      </c>
      <c r="H4739" t="n">
        <v>2</v>
      </c>
      <c r="I4739" t="n">
        <v>1</v>
      </c>
      <c r="J4739" t="inlineStr">
        <is>
          <t>Mediana</t>
        </is>
      </c>
      <c r="K4739" t="n">
        <v>2</v>
      </c>
      <c r="L4739" t="n">
        <v>1.868</v>
      </c>
      <c r="M4739" t="n">
        <v>0</v>
      </c>
      <c r="N4739" t="inlineStr">
        <is>
          <t>train</t>
        </is>
      </c>
      <c r="O4739">
        <f>HYPERLINK("NoConsenso\marker_639_741279.png", "Ver Imagen")</f>
        <v/>
      </c>
      <c r="P4739">
        <f>HYPERLINK("NE\A-490\A-490__162.png", "Ver Imagen")</f>
        <v/>
      </c>
    </row>
    <row r="4740">
      <c r="A4740" t="n">
        <v>4383</v>
      </c>
      <c r="B4740" t="inlineStr">
        <is>
          <t>A-490__163</t>
        </is>
      </c>
      <c r="C4740" t="n">
        <v>37.4546129467</v>
      </c>
      <c r="D4740" t="n">
        <v>-7.16497358412</v>
      </c>
      <c r="E4740" t="n">
        <v>2</v>
      </c>
      <c r="F4740" t="n">
        <v>4</v>
      </c>
      <c r="G4740" t="n">
        <v>3</v>
      </c>
      <c r="H4740" t="n">
        <v>3</v>
      </c>
      <c r="I4740" t="n">
        <v>4</v>
      </c>
      <c r="J4740" t="inlineStr">
        <is>
          <t>Mediana</t>
        </is>
      </c>
      <c r="K4740" t="n">
        <v>3</v>
      </c>
      <c r="L4740" t="n">
        <v>3.221</v>
      </c>
      <c r="M4740" t="n">
        <v>0</v>
      </c>
      <c r="N4740" t="inlineStr">
        <is>
          <t>train</t>
        </is>
      </c>
      <c r="O4740">
        <f>HYPERLINK("NoConsenso\marker_935_741303.png", "Ver Imagen")</f>
        <v/>
      </c>
      <c r="P4740">
        <f>HYPERLINK("NE\A-490\A-490__163.png", "Ver Imagen")</f>
        <v/>
      </c>
    </row>
    <row r="4741">
      <c r="A4741" t="n">
        <v>4384</v>
      </c>
      <c r="B4741" t="inlineStr">
        <is>
          <t>A-490__166</t>
        </is>
      </c>
      <c r="C4741" t="n">
        <v>37.4549707146</v>
      </c>
      <c r="D4741" t="n">
        <v>-7.1655314371</v>
      </c>
      <c r="E4741" t="n">
        <v>2</v>
      </c>
      <c r="F4741" t="n">
        <v>3</v>
      </c>
      <c r="G4741" t="n">
        <v>4</v>
      </c>
      <c r="H4741" t="n">
        <v>3</v>
      </c>
      <c r="I4741" t="n">
        <v>3</v>
      </c>
      <c r="J4741" t="inlineStr">
        <is>
          <t>Mediana</t>
        </is>
      </c>
      <c r="K4741" t="n">
        <v>3</v>
      </c>
      <c r="L4741" t="n">
        <v>3.103</v>
      </c>
      <c r="M4741" t="n">
        <v>0</v>
      </c>
      <c r="N4741" t="inlineStr">
        <is>
          <t>train</t>
        </is>
      </c>
      <c r="O4741">
        <f>HYPERLINK("NoConsenso\marker_621_741379.png", "Ver Imagen")</f>
        <v/>
      </c>
      <c r="P4741">
        <f>HYPERLINK("NE\A-490\A-490__166.png", "Ver Imagen")</f>
        <v/>
      </c>
    </row>
    <row r="4742">
      <c r="A4742" t="n">
        <v>4385</v>
      </c>
      <c r="B4742" t="inlineStr">
        <is>
          <t>A-490__174</t>
        </is>
      </c>
      <c r="C4742" t="n">
        <v>37.4561405207</v>
      </c>
      <c r="D4742" t="n">
        <v>-7.16697078682</v>
      </c>
      <c r="E4742" t="n">
        <v>2</v>
      </c>
      <c r="F4742" t="n">
        <v>4</v>
      </c>
      <c r="G4742" t="n">
        <v>3</v>
      </c>
      <c r="H4742" t="n">
        <v>3</v>
      </c>
      <c r="I4742" t="n">
        <v>3</v>
      </c>
      <c r="J4742" t="inlineStr">
        <is>
          <t>Mediana</t>
        </is>
      </c>
      <c r="K4742" t="n">
        <v>3</v>
      </c>
      <c r="L4742" t="n">
        <v>3.039</v>
      </c>
      <c r="M4742" t="n">
        <v>0</v>
      </c>
      <c r="N4742" t="inlineStr">
        <is>
          <t>train</t>
        </is>
      </c>
      <c r="O4742">
        <f>HYPERLINK("NoConsenso\marker_955_741587.png", "Ver Imagen")</f>
        <v/>
      </c>
      <c r="P4742">
        <f>HYPERLINK("NE\A-490\A-490__174.png", "Ver Imagen")</f>
        <v/>
      </c>
    </row>
    <row r="4743">
      <c r="A4743" t="n">
        <v>4386</v>
      </c>
      <c r="B4743" t="inlineStr">
        <is>
          <t>A-490__178</t>
        </is>
      </c>
      <c r="C4743" t="n">
        <v>37.4567588142</v>
      </c>
      <c r="D4743" t="n">
        <v>-7.16773783315</v>
      </c>
      <c r="E4743" t="n">
        <v>1</v>
      </c>
      <c r="F4743" t="n">
        <v>3</v>
      </c>
      <c r="G4743" t="n">
        <v>3</v>
      </c>
      <c r="H4743" t="n">
        <v>3</v>
      </c>
      <c r="I4743" t="n">
        <v>3</v>
      </c>
      <c r="J4743" t="inlineStr">
        <is>
          <t>Mediana</t>
        </is>
      </c>
      <c r="K4743" t="n">
        <v>3</v>
      </c>
      <c r="L4743" t="n">
        <v>2.827</v>
      </c>
      <c r="M4743" t="n">
        <v>0</v>
      </c>
      <c r="N4743" t="inlineStr">
        <is>
          <t>val</t>
        </is>
      </c>
      <c r="O4743">
        <f>HYPERLINK("NoConsenso\marker_687_741721.png", "Ver Imagen")</f>
        <v/>
      </c>
      <c r="P4743">
        <f>HYPERLINK("NE\A-490\A-490__178.png", "Ver Imagen")</f>
        <v/>
      </c>
    </row>
    <row r="4744">
      <c r="A4744" t="n">
        <v>4387</v>
      </c>
      <c r="B4744" t="inlineStr">
        <is>
          <t>A-490__179</t>
        </is>
      </c>
      <c r="C4744" t="n">
        <v>37.4568450044</v>
      </c>
      <c r="D4744" t="n">
        <v>-7.167845819</v>
      </c>
      <c r="E4744" t="n">
        <v>2</v>
      </c>
      <c r="F4744" t="n">
        <v>3</v>
      </c>
      <c r="G4744" t="n">
        <v>4</v>
      </c>
      <c r="H4744" t="n">
        <v>3</v>
      </c>
      <c r="I4744" t="n">
        <v>3</v>
      </c>
      <c r="J4744" t="inlineStr">
        <is>
          <t>Mediana</t>
        </is>
      </c>
      <c r="K4744" t="n">
        <v>3</v>
      </c>
      <c r="L4744" t="n">
        <v>3.034</v>
      </c>
      <c r="M4744" t="n">
        <v>0</v>
      </c>
      <c r="N4744" t="inlineStr">
        <is>
          <t>train</t>
        </is>
      </c>
      <c r="O4744">
        <f>HYPERLINK("NoConsenso\marker_374_741761.png", "Ver Imagen")</f>
        <v/>
      </c>
      <c r="P4744">
        <f>HYPERLINK("NE\A-490\A-490__179.png", "Ver Imagen")</f>
        <v/>
      </c>
    </row>
    <row r="4745">
      <c r="A4745" t="n">
        <v>4388</v>
      </c>
      <c r="B4745" t="inlineStr">
        <is>
          <t>A-490__183</t>
        </is>
      </c>
      <c r="C4745" t="n">
        <v>37.457414289</v>
      </c>
      <c r="D4745" t="n">
        <v>-7.16854702135</v>
      </c>
      <c r="E4745" t="n">
        <v>2</v>
      </c>
      <c r="F4745" t="n">
        <v>4</v>
      </c>
      <c r="G4745" t="n">
        <v>3</v>
      </c>
      <c r="H4745" t="n">
        <v>3</v>
      </c>
      <c r="I4745" t="n">
        <v>3</v>
      </c>
      <c r="J4745" t="inlineStr">
        <is>
          <t>Mediana</t>
        </is>
      </c>
      <c r="K4745" t="n">
        <v>3</v>
      </c>
      <c r="L4745" t="n">
        <v>2.847</v>
      </c>
      <c r="M4745" t="n">
        <v>0</v>
      </c>
      <c r="N4745" t="inlineStr">
        <is>
          <t>train</t>
        </is>
      </c>
      <c r="O4745">
        <f>HYPERLINK("NoConsenso\marker_584_741872.png", "Ver Imagen")</f>
        <v/>
      </c>
      <c r="P4745">
        <f>HYPERLINK("NE\A-490\A-490__183.png", "Ver Imagen")</f>
        <v/>
      </c>
    </row>
    <row r="4746">
      <c r="A4746" t="n">
        <v>4389</v>
      </c>
      <c r="B4746" t="inlineStr">
        <is>
          <t>A-490__198</t>
        </is>
      </c>
      <c r="C4746" t="n">
        <v>37.4595804907</v>
      </c>
      <c r="D4746" t="n">
        <v>-7.17121708106</v>
      </c>
      <c r="E4746" t="n">
        <v>2</v>
      </c>
      <c r="F4746" t="n">
        <v>4</v>
      </c>
      <c r="G4746" t="n">
        <v>3</v>
      </c>
      <c r="H4746" t="n">
        <v>3</v>
      </c>
      <c r="I4746" t="n">
        <v>4</v>
      </c>
      <c r="J4746" t="inlineStr">
        <is>
          <t>Mediana</t>
        </is>
      </c>
      <c r="K4746" t="n">
        <v>3</v>
      </c>
      <c r="L4746" t="n">
        <v>2.9</v>
      </c>
      <c r="M4746" t="n">
        <v>0</v>
      </c>
      <c r="N4746" t="inlineStr">
        <is>
          <t>train</t>
        </is>
      </c>
      <c r="O4746">
        <f>HYPERLINK("NoConsenso\marker_546_742299.png", "Ver Imagen")</f>
        <v/>
      </c>
      <c r="P4746">
        <f>HYPERLINK("NE\A-490\A-490__198.png", "Ver Imagen")</f>
        <v/>
      </c>
    </row>
    <row r="4747">
      <c r="A4747" t="n">
        <v>4391</v>
      </c>
      <c r="B4747" t="inlineStr">
        <is>
          <t>A-490__201</t>
        </is>
      </c>
      <c r="C4747" t="n">
        <v>37.4600188476</v>
      </c>
      <c r="D4747" t="n">
        <v>-7.17187392805</v>
      </c>
      <c r="E4747" t="n">
        <v>1</v>
      </c>
      <c r="F4747" t="n">
        <v>3</v>
      </c>
      <c r="G4747" t="n">
        <v>2</v>
      </c>
      <c r="H4747" t="n">
        <v>2</v>
      </c>
      <c r="I4747" t="n">
        <v>2</v>
      </c>
      <c r="J4747" t="inlineStr">
        <is>
          <t>Mediana</t>
        </is>
      </c>
      <c r="K4747" t="n">
        <v>2</v>
      </c>
      <c r="L4747" t="n">
        <v>2.374</v>
      </c>
      <c r="M4747" t="n">
        <v>0</v>
      </c>
      <c r="N4747" t="inlineStr">
        <is>
          <t>train</t>
        </is>
      </c>
      <c r="O4747">
        <f>HYPERLINK("NoConsenso\marker_773_742374.png", "Ver Imagen")</f>
        <v/>
      </c>
      <c r="P4747">
        <f>HYPERLINK("NE\A-490\A-490__201.png", "Ver Imagen")</f>
        <v/>
      </c>
    </row>
    <row r="4748">
      <c r="A4748" t="n">
        <v>4392</v>
      </c>
      <c r="B4748" t="inlineStr">
        <is>
          <t>A-490__202</t>
        </is>
      </c>
      <c r="C4748" t="n">
        <v>37.4600985667</v>
      </c>
      <c r="D4748" t="n">
        <v>-7.17200205255</v>
      </c>
      <c r="E4748" t="n">
        <v>2</v>
      </c>
      <c r="F4748" t="n">
        <v>4</v>
      </c>
      <c r="G4748" t="n">
        <v>4</v>
      </c>
      <c r="H4748" t="n">
        <v>2</v>
      </c>
      <c r="I4748" t="n">
        <v>3</v>
      </c>
      <c r="J4748" t="inlineStr">
        <is>
          <t>Mediana</t>
        </is>
      </c>
      <c r="K4748" t="n">
        <v>3</v>
      </c>
      <c r="L4748" t="n">
        <v>2.943</v>
      </c>
      <c r="M4748" t="n">
        <v>0</v>
      </c>
      <c r="N4748" t="inlineStr">
        <is>
          <t>train</t>
        </is>
      </c>
      <c r="O4748">
        <f>HYPERLINK("NoConsenso\marker_286_742423.png", "Ver Imagen")</f>
        <v/>
      </c>
      <c r="P4748">
        <f>HYPERLINK("NE\A-490\A-490__202.png", "Ver Imagen")</f>
        <v/>
      </c>
    </row>
    <row r="4749">
      <c r="A4749" t="n">
        <v>4393</v>
      </c>
      <c r="B4749" t="inlineStr">
        <is>
          <t>A-490__215</t>
        </is>
      </c>
      <c r="C4749" t="n">
        <v>37.4617056457</v>
      </c>
      <c r="D4749" t="n">
        <v>-7.17464999961</v>
      </c>
      <c r="E4749" t="n">
        <v>2</v>
      </c>
      <c r="F4749" t="n">
        <v>4</v>
      </c>
      <c r="G4749" t="n">
        <v>3</v>
      </c>
      <c r="H4749" t="n">
        <v>3</v>
      </c>
      <c r="I4749" t="n">
        <v>4</v>
      </c>
      <c r="J4749" t="inlineStr">
        <is>
          <t>Mediana</t>
        </is>
      </c>
      <c r="K4749" t="n">
        <v>3</v>
      </c>
      <c r="L4749" t="n">
        <v>3.278</v>
      </c>
      <c r="M4749" t="n">
        <v>0</v>
      </c>
      <c r="N4749" t="inlineStr">
        <is>
          <t>train</t>
        </is>
      </c>
      <c r="O4749">
        <f>HYPERLINK("NoConsenso\marker_634_743083.png", "Ver Imagen")</f>
        <v/>
      </c>
      <c r="P4749">
        <f>HYPERLINK("NE\A-490\A-490__215.png", "Ver Imagen")</f>
        <v/>
      </c>
    </row>
    <row r="4750">
      <c r="A4750" t="n">
        <v>4394</v>
      </c>
      <c r="B4750" t="inlineStr">
        <is>
          <t>A-490__227</t>
        </is>
      </c>
      <c r="C4750" t="n">
        <v>37.4631647884</v>
      </c>
      <c r="D4750" t="n">
        <v>-7.17703448571</v>
      </c>
      <c r="E4750" t="n">
        <v>1</v>
      </c>
      <c r="F4750" t="n">
        <v>3</v>
      </c>
      <c r="G4750" t="n">
        <v>2</v>
      </c>
      <c r="H4750" t="n">
        <v>2</v>
      </c>
      <c r="I4750" t="n">
        <v>2</v>
      </c>
      <c r="J4750" t="inlineStr">
        <is>
          <t>Mediana</t>
        </is>
      </c>
      <c r="K4750" t="n">
        <v>2</v>
      </c>
      <c r="L4750" t="n">
        <v>1.931</v>
      </c>
      <c r="M4750" t="n">
        <v>0</v>
      </c>
      <c r="N4750" t="inlineStr">
        <is>
          <t>train</t>
        </is>
      </c>
      <c r="O4750">
        <f>HYPERLINK("NoConsenso\marker_354_743756.png", "Ver Imagen")</f>
        <v/>
      </c>
      <c r="P4750">
        <f>HYPERLINK("NE\A-490\A-490__227.png", "Ver Imagen")</f>
        <v/>
      </c>
    </row>
    <row r="4751">
      <c r="A4751" t="n">
        <v>4395</v>
      </c>
      <c r="B4751" t="inlineStr">
        <is>
          <t>A-490__228</t>
        </is>
      </c>
      <c r="C4751" t="n">
        <v>37.4633086154</v>
      </c>
      <c r="D4751" t="n">
        <v>-7.17726927032</v>
      </c>
      <c r="E4751" t="n">
        <v>2</v>
      </c>
      <c r="F4751" t="n">
        <v>3</v>
      </c>
      <c r="G4751" t="n">
        <v>1</v>
      </c>
      <c r="H4751" t="n">
        <v>2</v>
      </c>
      <c r="I4751" t="n">
        <v>2</v>
      </c>
      <c r="J4751" t="inlineStr">
        <is>
          <t>Mediana</t>
        </is>
      </c>
      <c r="K4751" t="n">
        <v>2</v>
      </c>
      <c r="L4751" t="n">
        <v>1.886</v>
      </c>
      <c r="M4751" t="n">
        <v>0</v>
      </c>
      <c r="N4751" t="inlineStr">
        <is>
          <t>train</t>
        </is>
      </c>
      <c r="O4751">
        <f>HYPERLINK("NoConsenso\marker_445_743786.png", "Ver Imagen")</f>
        <v/>
      </c>
      <c r="P4751">
        <f>HYPERLINK("NE\A-490\A-490__228.png", "Ver Imagen")</f>
        <v/>
      </c>
    </row>
    <row r="4752">
      <c r="A4752" t="n">
        <v>4397</v>
      </c>
      <c r="B4752" t="inlineStr">
        <is>
          <t>A-490__240</t>
        </is>
      </c>
      <c r="C4752" t="n">
        <v>37.4647332406</v>
      </c>
      <c r="D4752" t="n">
        <v>-7.17982576636</v>
      </c>
      <c r="E4752" t="n">
        <v>3</v>
      </c>
      <c r="F4752" t="n">
        <v>4</v>
      </c>
      <c r="G4752" t="n">
        <v>5</v>
      </c>
      <c r="H4752" t="n">
        <v>4</v>
      </c>
      <c r="I4752" t="n">
        <v>4</v>
      </c>
      <c r="J4752" t="inlineStr">
        <is>
          <t>Mediana</t>
        </is>
      </c>
      <c r="K4752" t="n">
        <v>4</v>
      </c>
      <c r="L4752" t="n">
        <v>4.178</v>
      </c>
      <c r="M4752" t="n">
        <v>0</v>
      </c>
      <c r="N4752" t="inlineStr">
        <is>
          <t>train</t>
        </is>
      </c>
      <c r="O4752">
        <f>HYPERLINK("NoConsenso\marker_865_749166.png", "Ver Imagen")</f>
        <v/>
      </c>
      <c r="P4752">
        <f>HYPERLINK("NE\A-490\A-490__240.png", "Ver Imagen")</f>
        <v/>
      </c>
    </row>
    <row r="4753">
      <c r="A4753" t="n">
        <v>4398</v>
      </c>
      <c r="B4753" t="inlineStr">
        <is>
          <t>A-490__243</t>
        </is>
      </c>
      <c r="C4753" t="n">
        <v>37.4650485714</v>
      </c>
      <c r="D4753" t="n">
        <v>-7.18039723651</v>
      </c>
      <c r="E4753" t="n">
        <v>2</v>
      </c>
      <c r="F4753" t="n">
        <v>3</v>
      </c>
      <c r="G4753" t="n">
        <v>4</v>
      </c>
      <c r="H4753" t="n">
        <v>3</v>
      </c>
      <c r="I4753" t="n">
        <v>3</v>
      </c>
      <c r="J4753" t="inlineStr">
        <is>
          <t>Mediana</t>
        </is>
      </c>
      <c r="K4753" t="n">
        <v>3</v>
      </c>
      <c r="L4753" t="n">
        <v>3.09</v>
      </c>
      <c r="M4753" t="n">
        <v>0</v>
      </c>
      <c r="N4753" t="inlineStr">
        <is>
          <t>train</t>
        </is>
      </c>
      <c r="O4753">
        <f>HYPERLINK("NoConsenso\marker_473_749351.png", "Ver Imagen")</f>
        <v/>
      </c>
      <c r="P4753">
        <f>HYPERLINK("NE\A-490\A-490__243.png", "Ver Imagen")</f>
        <v/>
      </c>
    </row>
    <row r="4754">
      <c r="A4754" t="n">
        <v>4399</v>
      </c>
      <c r="B4754" t="inlineStr">
        <is>
          <t>A-490__247</t>
        </is>
      </c>
      <c r="C4754" t="n">
        <v>37.4654954533</v>
      </c>
      <c r="D4754" t="n">
        <v>-7.18123758249</v>
      </c>
      <c r="E4754" t="n">
        <v>3</v>
      </c>
      <c r="F4754" t="n">
        <v>4</v>
      </c>
      <c r="G4754" t="n">
        <v>5</v>
      </c>
      <c r="H4754" t="n">
        <v>4</v>
      </c>
      <c r="I4754" t="n">
        <v>4</v>
      </c>
      <c r="J4754" t="inlineStr">
        <is>
          <t>Mediana</t>
        </is>
      </c>
      <c r="K4754" t="n">
        <v>4</v>
      </c>
      <c r="L4754" t="n">
        <v>3.951</v>
      </c>
      <c r="M4754" t="n">
        <v>0</v>
      </c>
      <c r="N4754" t="inlineStr">
        <is>
          <t>train</t>
        </is>
      </c>
      <c r="O4754">
        <f>HYPERLINK("NoConsenso\marker_430_749441.png", "Ver Imagen")</f>
        <v/>
      </c>
      <c r="P4754">
        <f>HYPERLINK("NE\A-490\A-490__247.png", "Ver Imagen")</f>
        <v/>
      </c>
    </row>
    <row r="4755">
      <c r="A4755" t="n">
        <v>4400</v>
      </c>
      <c r="B4755" t="inlineStr">
        <is>
          <t>A-490__249</t>
        </is>
      </c>
      <c r="C4755" t="n">
        <v>37.4657160408</v>
      </c>
      <c r="D4755" t="n">
        <v>-7.18165073699</v>
      </c>
      <c r="E4755" t="n">
        <v>3</v>
      </c>
      <c r="F4755" t="n">
        <v>3</v>
      </c>
      <c r="G4755" t="n">
        <v>5</v>
      </c>
      <c r="H4755" t="n">
        <v>3</v>
      </c>
      <c r="I4755" t="n">
        <v>4</v>
      </c>
      <c r="J4755" t="inlineStr">
        <is>
          <t>Mediana</t>
        </is>
      </c>
      <c r="K4755" t="n">
        <v>3</v>
      </c>
      <c r="L4755" t="n">
        <v>2.625</v>
      </c>
      <c r="M4755" t="n">
        <v>0</v>
      </c>
      <c r="N4755" t="inlineStr">
        <is>
          <t>train</t>
        </is>
      </c>
      <c r="O4755">
        <f>HYPERLINK("NoConsenso\marker_675_749478.png", "Ver Imagen")</f>
        <v/>
      </c>
      <c r="P4755">
        <f>HYPERLINK("NE\A-490\A-490__249.png", "Ver Imagen")</f>
        <v/>
      </c>
    </row>
    <row r="4756">
      <c r="A4756" t="n">
        <v>4401</v>
      </c>
      <c r="B4756" t="inlineStr">
        <is>
          <t>A-490__262</t>
        </is>
      </c>
      <c r="C4756" t="n">
        <v>37.4671830547</v>
      </c>
      <c r="D4756" t="n">
        <v>-7.18444872456</v>
      </c>
      <c r="E4756" t="n">
        <v>2</v>
      </c>
      <c r="F4756" t="n">
        <v>2</v>
      </c>
      <c r="G4756" t="n">
        <v>4</v>
      </c>
      <c r="H4756" t="n">
        <v>2</v>
      </c>
      <c r="I4756" t="n">
        <v>1</v>
      </c>
      <c r="J4756" t="inlineStr">
        <is>
          <t>Mediana</t>
        </is>
      </c>
      <c r="K4756" t="n">
        <v>2</v>
      </c>
      <c r="L4756" t="n">
        <v>2.138</v>
      </c>
      <c r="M4756" t="n">
        <v>0</v>
      </c>
      <c r="N4756" t="inlineStr">
        <is>
          <t>train</t>
        </is>
      </c>
      <c r="O4756">
        <f>HYPERLINK("NoConsenso\marker_577_749750.png", "Ver Imagen")</f>
        <v/>
      </c>
      <c r="P4756">
        <f>HYPERLINK("NE\A-490\A-490__262.png", "Ver Imagen")</f>
        <v/>
      </c>
    </row>
    <row r="4757">
      <c r="A4757" t="n">
        <v>4401</v>
      </c>
      <c r="B4757" t="inlineStr">
        <is>
          <t>A-490__262</t>
        </is>
      </c>
      <c r="C4757" t="n">
        <v>37.4671830547</v>
      </c>
      <c r="D4757" t="n">
        <v>-7.18444872456</v>
      </c>
      <c r="E4757" t="n">
        <v>2</v>
      </c>
      <c r="F4757" t="n">
        <v>2</v>
      </c>
      <c r="G4757" t="n">
        <v>4</v>
      </c>
      <c r="H4757" t="n">
        <v>2</v>
      </c>
      <c r="I4757" t="n">
        <v>1</v>
      </c>
      <c r="J4757" t="inlineStr">
        <is>
          <t>Mediana</t>
        </is>
      </c>
      <c r="K4757" t="n">
        <v>2</v>
      </c>
      <c r="L4757" t="n">
        <v>2.394</v>
      </c>
      <c r="M4757" t="n">
        <v>0</v>
      </c>
      <c r="N4757" t="inlineStr">
        <is>
          <t>train</t>
        </is>
      </c>
      <c r="O4757">
        <f>HYPERLINK("NoConsenso\marker_577_749750.png", "Ver Imagen")</f>
        <v/>
      </c>
      <c r="P4757">
        <f>HYPERLINK("NO\A-490\A-490__262.png", "Ver Imagen")</f>
        <v/>
      </c>
    </row>
    <row r="4758">
      <c r="A4758" t="n">
        <v>4402</v>
      </c>
      <c r="B4758" t="inlineStr">
        <is>
          <t>A-490__101</t>
        </is>
      </c>
      <c r="C4758" t="n">
        <v>37.4492767741</v>
      </c>
      <c r="D4758" t="n">
        <v>-7.15093574827</v>
      </c>
      <c r="E4758" t="n">
        <v>3</v>
      </c>
      <c r="F4758" t="n">
        <v>4</v>
      </c>
      <c r="G4758" t="n">
        <v>5</v>
      </c>
      <c r="H4758" t="n">
        <v>4</v>
      </c>
      <c r="I4758" t="n">
        <v>4</v>
      </c>
      <c r="J4758" t="inlineStr">
        <is>
          <t>Mediana</t>
        </is>
      </c>
      <c r="K4758" t="n">
        <v>4</v>
      </c>
      <c r="L4758" t="n">
        <v>3.652</v>
      </c>
      <c r="M4758" t="n">
        <v>0</v>
      </c>
      <c r="N4758" t="inlineStr">
        <is>
          <t>val</t>
        </is>
      </c>
      <c r="O4758">
        <f>HYPERLINK("NoConsenso\marker_347_739180.png", "Ver Imagen")</f>
        <v/>
      </c>
      <c r="P4758">
        <f>HYPERLINK("NE\A-490\A-490__101.png", "Ver Imagen")</f>
        <v/>
      </c>
    </row>
    <row r="4759">
      <c r="A4759" t="n">
        <v>4403</v>
      </c>
      <c r="B4759" t="inlineStr">
        <is>
          <t>A-490__352</t>
        </is>
      </c>
      <c r="C4759" t="n">
        <v>37.4770721792</v>
      </c>
      <c r="D4759" t="n">
        <v>-7.20355790635</v>
      </c>
      <c r="E4759" t="n">
        <v>2</v>
      </c>
      <c r="F4759" t="n">
        <v>2</v>
      </c>
      <c r="G4759" t="n">
        <v>4</v>
      </c>
      <c r="H4759" t="n">
        <v>2</v>
      </c>
      <c r="I4759" t="n">
        <v>2</v>
      </c>
      <c r="J4759" t="inlineStr">
        <is>
          <t>Mediana</t>
        </is>
      </c>
      <c r="K4759" t="n">
        <v>2</v>
      </c>
      <c r="L4759" t="n">
        <v>1.742</v>
      </c>
      <c r="M4759" t="n">
        <v>0</v>
      </c>
      <c r="N4759" t="inlineStr">
        <is>
          <t>train</t>
        </is>
      </c>
      <c r="O4759">
        <f>HYPERLINK("NoConsenso\marker_755_751711.png", "Ver Imagen")</f>
        <v/>
      </c>
      <c r="P4759">
        <f>HYPERLINK("NE\A-490\A-490__352.png", "Ver Imagen")</f>
        <v/>
      </c>
    </row>
    <row r="4760">
      <c r="A4760" t="n">
        <v>4403</v>
      </c>
      <c r="B4760" t="inlineStr">
        <is>
          <t>A-490__352</t>
        </is>
      </c>
      <c r="C4760" t="n">
        <v>37.4770721792</v>
      </c>
      <c r="D4760" t="n">
        <v>-7.20355790635</v>
      </c>
      <c r="E4760" t="n">
        <v>2</v>
      </c>
      <c r="F4760" t="n">
        <v>2</v>
      </c>
      <c r="G4760" t="n">
        <v>4</v>
      </c>
      <c r="H4760" t="n">
        <v>2</v>
      </c>
      <c r="I4760" t="n">
        <v>2</v>
      </c>
      <c r="J4760" t="inlineStr">
        <is>
          <t>Mediana</t>
        </is>
      </c>
      <c r="K4760" t="n">
        <v>2</v>
      </c>
      <c r="L4760" t="n">
        <v>1.768</v>
      </c>
      <c r="M4760" t="n">
        <v>0</v>
      </c>
      <c r="N4760" t="inlineStr">
        <is>
          <t>train</t>
        </is>
      </c>
      <c r="O4760">
        <f>HYPERLINK("NoConsenso\marker_755_751711.png", "Ver Imagen")</f>
        <v/>
      </c>
      <c r="P4760">
        <f>HYPERLINK("NO\A-490\A-490__352.png", "Ver Imagen")</f>
        <v/>
      </c>
    </row>
    <row r="4761">
      <c r="A4761" t="n">
        <v>4404</v>
      </c>
      <c r="B4761" t="inlineStr">
        <is>
          <t>A-490__364</t>
        </is>
      </c>
      <c r="C4761" t="n">
        <v>37.4782500125</v>
      </c>
      <c r="D4761" t="n">
        <v>-7.20628775171</v>
      </c>
      <c r="E4761" t="n">
        <v>1</v>
      </c>
      <c r="F4761" t="n">
        <v>3</v>
      </c>
      <c r="G4761" t="n">
        <v>2</v>
      </c>
      <c r="H4761" t="n">
        <v>1</v>
      </c>
      <c r="I4761" t="n">
        <v>1</v>
      </c>
      <c r="J4761" t="inlineStr">
        <is>
          <t>Mediana</t>
        </is>
      </c>
      <c r="K4761" t="n">
        <v>1</v>
      </c>
      <c r="L4761" t="n">
        <v>1.195</v>
      </c>
      <c r="M4761" t="n">
        <v>0</v>
      </c>
      <c r="N4761" t="inlineStr">
        <is>
          <t>train</t>
        </is>
      </c>
      <c r="O4761">
        <f>HYPERLINK("NoConsenso\marker_607_751979.png", "Ver Imagen")</f>
        <v/>
      </c>
      <c r="P4761">
        <f>HYPERLINK("NO\A-490\A-490__364.png", "Ver Imagen")</f>
        <v/>
      </c>
    </row>
    <row r="4762">
      <c r="A4762" t="n">
        <v>4405</v>
      </c>
      <c r="B4762" t="inlineStr">
        <is>
          <t>A-490__366</t>
        </is>
      </c>
      <c r="C4762" t="n">
        <v>37.4784288226</v>
      </c>
      <c r="D4762" t="n">
        <v>-7.2067080813</v>
      </c>
      <c r="E4762" t="n">
        <v>1</v>
      </c>
      <c r="F4762" t="n">
        <v>3</v>
      </c>
      <c r="G4762" t="n">
        <v>2</v>
      </c>
      <c r="H4762" t="n">
        <v>1</v>
      </c>
      <c r="I4762" t="n">
        <v>1</v>
      </c>
      <c r="J4762" t="inlineStr">
        <is>
          <t>Mediana</t>
        </is>
      </c>
      <c r="K4762" t="n">
        <v>1</v>
      </c>
      <c r="L4762" t="n">
        <v>1.328</v>
      </c>
      <c r="M4762" t="n">
        <v>0</v>
      </c>
      <c r="N4762" t="inlineStr">
        <is>
          <t>train</t>
        </is>
      </c>
      <c r="O4762">
        <f>HYPERLINK("NoConsenso\marker_243_752013.png", "Ver Imagen")</f>
        <v/>
      </c>
      <c r="P4762">
        <f>HYPERLINK("NO\A-490\A-490__366.png", "Ver Imagen")</f>
        <v/>
      </c>
    </row>
    <row r="4763">
      <c r="A4763" t="n">
        <v>4406</v>
      </c>
      <c r="B4763" t="inlineStr">
        <is>
          <t>A-490__371</t>
        </is>
      </c>
      <c r="C4763" t="n">
        <v>37.4789036571</v>
      </c>
      <c r="D4763" t="n">
        <v>-7.20780186937</v>
      </c>
      <c r="E4763" t="n">
        <v>1</v>
      </c>
      <c r="F4763" t="n">
        <v>3</v>
      </c>
      <c r="G4763" t="n">
        <v>2</v>
      </c>
      <c r="H4763" t="n">
        <v>2</v>
      </c>
      <c r="I4763" t="n">
        <v>2</v>
      </c>
      <c r="J4763" t="inlineStr">
        <is>
          <t>Mediana</t>
        </is>
      </c>
      <c r="K4763" t="n">
        <v>2</v>
      </c>
      <c r="L4763" t="n">
        <v>1.944</v>
      </c>
      <c r="M4763" t="n">
        <v>0</v>
      </c>
      <c r="N4763" t="inlineStr">
        <is>
          <t>train</t>
        </is>
      </c>
      <c r="O4763">
        <f>HYPERLINK("NoConsenso\marker_893_752122.png", "Ver Imagen")</f>
        <v/>
      </c>
      <c r="P4763">
        <f>HYPERLINK("NO\A-490\A-490__371.png", "Ver Imagen")</f>
        <v/>
      </c>
    </row>
    <row r="4764">
      <c r="A4764" t="n">
        <v>4407</v>
      </c>
      <c r="B4764" t="inlineStr">
        <is>
          <t>A-490__378</t>
        </is>
      </c>
      <c r="C4764" t="n">
        <v>37.4795749918</v>
      </c>
      <c r="D4764" t="n">
        <v>-7.20937986188</v>
      </c>
      <c r="E4764" t="n">
        <v>2</v>
      </c>
      <c r="F4764" t="n">
        <v>4</v>
      </c>
      <c r="G4764" t="n">
        <v>3</v>
      </c>
      <c r="H4764" t="n">
        <v>3</v>
      </c>
      <c r="I4764" t="n">
        <v>4</v>
      </c>
      <c r="J4764" t="inlineStr">
        <is>
          <t>Mediana</t>
        </is>
      </c>
      <c r="K4764" t="n">
        <v>3</v>
      </c>
      <c r="L4764" t="n">
        <v>3.099</v>
      </c>
      <c r="M4764" t="n">
        <v>0</v>
      </c>
      <c r="N4764" t="inlineStr">
        <is>
          <t>train</t>
        </is>
      </c>
      <c r="O4764">
        <f>HYPERLINK("NoConsenso\marker_566_752289.png", "Ver Imagen")</f>
        <v/>
      </c>
      <c r="P4764">
        <f>HYPERLINK("NO\A-490\A-490__378.png", "Ver Imagen")</f>
        <v/>
      </c>
    </row>
    <row r="4765">
      <c r="A4765" t="n">
        <v>4408</v>
      </c>
      <c r="B4765" t="inlineStr">
        <is>
          <t>A-490__386</t>
        </is>
      </c>
      <c r="C4765" t="n">
        <v>37.4803374413</v>
      </c>
      <c r="D4765" t="n">
        <v>-7.21114025556</v>
      </c>
      <c r="E4765" t="n">
        <v>1</v>
      </c>
      <c r="F4765" t="n">
        <v>3</v>
      </c>
      <c r="G4765" t="n">
        <v>2</v>
      </c>
      <c r="H4765" t="n">
        <v>2</v>
      </c>
      <c r="I4765" t="n">
        <v>2</v>
      </c>
      <c r="J4765" t="inlineStr">
        <is>
          <t>Mediana</t>
        </is>
      </c>
      <c r="K4765" t="n">
        <v>2</v>
      </c>
      <c r="L4765" t="n">
        <v>1.908</v>
      </c>
      <c r="M4765" t="n">
        <v>0</v>
      </c>
      <c r="N4765" t="inlineStr">
        <is>
          <t>train</t>
        </is>
      </c>
      <c r="O4765">
        <f>HYPERLINK("NoConsenso\marker_428_752462.png", "Ver Imagen")</f>
        <v/>
      </c>
      <c r="P4765">
        <f>HYPERLINK("NO\A-490\A-490__386.png", "Ver Imagen")</f>
        <v/>
      </c>
    </row>
    <row r="4766">
      <c r="A4766" t="n">
        <v>4409</v>
      </c>
      <c r="B4766" t="inlineStr">
        <is>
          <t>A-490__390</t>
        </is>
      </c>
      <c r="C4766" t="n">
        <v>37.4807173929</v>
      </c>
      <c r="D4766" t="n">
        <v>-7.21208298345</v>
      </c>
      <c r="E4766" t="n">
        <v>1</v>
      </c>
      <c r="F4766" t="n">
        <v>3</v>
      </c>
      <c r="G4766" t="n">
        <v>2</v>
      </c>
      <c r="H4766" t="n">
        <v>2</v>
      </c>
      <c r="I4766" t="n">
        <v>1</v>
      </c>
      <c r="J4766" t="inlineStr">
        <is>
          <t>Mediana</t>
        </is>
      </c>
      <c r="K4766" t="n">
        <v>2</v>
      </c>
      <c r="L4766" t="n">
        <v>2.221</v>
      </c>
      <c r="M4766" t="n">
        <v>0</v>
      </c>
      <c r="N4766" t="inlineStr">
        <is>
          <t>train</t>
        </is>
      </c>
      <c r="O4766">
        <f>HYPERLINK("NoConsenso\marker_530_752550.png", "Ver Imagen")</f>
        <v/>
      </c>
      <c r="P4766">
        <f>HYPERLINK("NO\A-490\A-490__390.png", "Ver Imagen")</f>
        <v/>
      </c>
    </row>
    <row r="4767">
      <c r="A4767" t="n">
        <v>4410</v>
      </c>
      <c r="B4767" t="inlineStr">
        <is>
          <t>A-490__391</t>
        </is>
      </c>
      <c r="C4767" t="n">
        <v>37.4808033427</v>
      </c>
      <c r="D4767" t="n">
        <v>-7.21231540898</v>
      </c>
      <c r="E4767" t="n">
        <v>2</v>
      </c>
      <c r="F4767" t="n">
        <v>4</v>
      </c>
      <c r="G4767" t="n">
        <v>3</v>
      </c>
      <c r="H4767" t="n">
        <v>3</v>
      </c>
      <c r="I4767" t="n">
        <v>3</v>
      </c>
      <c r="J4767" t="inlineStr">
        <is>
          <t>Mediana</t>
        </is>
      </c>
      <c r="K4767" t="n">
        <v>3</v>
      </c>
      <c r="L4767" t="n">
        <v>2.654</v>
      </c>
      <c r="M4767" t="n">
        <v>0</v>
      </c>
      <c r="N4767" t="inlineStr">
        <is>
          <t>train</t>
        </is>
      </c>
      <c r="O4767">
        <f>HYPERLINK("NoConsenso\marker_581_752572.png", "Ver Imagen")</f>
        <v/>
      </c>
      <c r="P4767">
        <f>HYPERLINK("NO\A-490\A-490__391.png", "Ver Imagen")</f>
        <v/>
      </c>
    </row>
    <row r="4768">
      <c r="A4768" t="n">
        <v>4411</v>
      </c>
      <c r="B4768" t="inlineStr">
        <is>
          <t>A-490__393</t>
        </is>
      </c>
      <c r="C4768" t="n">
        <v>37.4809945057</v>
      </c>
      <c r="D4768" t="n">
        <v>-7.21283438437</v>
      </c>
      <c r="E4768" t="n">
        <v>1</v>
      </c>
      <c r="F4768" t="n">
        <v>3</v>
      </c>
      <c r="G4768" t="n">
        <v>2</v>
      </c>
      <c r="H4768" t="n">
        <v>3</v>
      </c>
      <c r="I4768" t="n">
        <v>3</v>
      </c>
      <c r="J4768" t="inlineStr">
        <is>
          <t>Mediana</t>
        </is>
      </c>
      <c r="K4768" t="n">
        <v>3</v>
      </c>
      <c r="L4768" t="n">
        <v>3.062</v>
      </c>
      <c r="M4768" t="n">
        <v>0</v>
      </c>
      <c r="N4768" t="inlineStr">
        <is>
          <t>train</t>
        </is>
      </c>
      <c r="O4768">
        <f>HYPERLINK("NoConsenso\marker_889_752710.png", "Ver Imagen")</f>
        <v/>
      </c>
      <c r="P4768">
        <f>HYPERLINK("NO\A-490\A-490__393.png", "Ver Imagen")</f>
        <v/>
      </c>
    </row>
    <row r="4769">
      <c r="A4769" t="n">
        <v>4412</v>
      </c>
      <c r="B4769" t="inlineStr">
        <is>
          <t>A-490__400</t>
        </is>
      </c>
      <c r="C4769" t="n">
        <v>37.4815547931</v>
      </c>
      <c r="D4769" t="n">
        <v>-7.21436128547</v>
      </c>
      <c r="E4769" t="n">
        <v>1</v>
      </c>
      <c r="F4769" t="n">
        <v>3</v>
      </c>
      <c r="G4769" t="n">
        <v>2</v>
      </c>
      <c r="H4769" t="n">
        <v>2</v>
      </c>
      <c r="I4769" t="n">
        <v>2</v>
      </c>
      <c r="J4769" t="inlineStr">
        <is>
          <t>Mediana</t>
        </is>
      </c>
      <c r="K4769" t="n">
        <v>2</v>
      </c>
      <c r="L4769" t="n">
        <v>2.33</v>
      </c>
      <c r="M4769" t="n">
        <v>0</v>
      </c>
      <c r="N4769" t="inlineStr">
        <is>
          <t>train</t>
        </is>
      </c>
      <c r="O4769">
        <f>HYPERLINK("NoConsenso\marker_898_753017.png", "Ver Imagen")</f>
        <v/>
      </c>
      <c r="P4769">
        <f>HYPERLINK("NO\A-490\A-490__400.png", "Ver Imagen")</f>
        <v/>
      </c>
    </row>
    <row r="4770">
      <c r="A4770" t="n">
        <v>4413</v>
      </c>
      <c r="B4770" t="inlineStr">
        <is>
          <t>A-490__402</t>
        </is>
      </c>
      <c r="C4770" t="n">
        <v>37.4817502895</v>
      </c>
      <c r="D4770" t="n">
        <v>-7.21489145227</v>
      </c>
      <c r="E4770" t="n">
        <v>3</v>
      </c>
      <c r="F4770" t="n">
        <v>4</v>
      </c>
      <c r="G4770" t="n">
        <v>2</v>
      </c>
      <c r="H4770" t="n">
        <v>2</v>
      </c>
      <c r="I4770" t="n">
        <v>2</v>
      </c>
      <c r="J4770" t="inlineStr">
        <is>
          <t>Mediana</t>
        </is>
      </c>
      <c r="K4770" t="n">
        <v>2</v>
      </c>
      <c r="L4770" t="n">
        <v>1.947</v>
      </c>
      <c r="M4770" t="n">
        <v>0</v>
      </c>
      <c r="N4770" t="inlineStr">
        <is>
          <t>train</t>
        </is>
      </c>
      <c r="O4770">
        <f>HYPERLINK("NoConsenso\marker_264_753075.png", "Ver Imagen")</f>
        <v/>
      </c>
      <c r="P4770">
        <f>HYPERLINK("NO\A-490\A-490__402.png", "Ver Imagen")</f>
        <v/>
      </c>
    </row>
    <row r="4771">
      <c r="A4771" t="n">
        <v>4414</v>
      </c>
      <c r="B4771" t="inlineStr">
        <is>
          <t>A-490__403</t>
        </is>
      </c>
      <c r="C4771" t="n">
        <v>37.4818333801</v>
      </c>
      <c r="D4771" t="n">
        <v>-7.21511559845</v>
      </c>
      <c r="E4771" t="n">
        <v>2</v>
      </c>
      <c r="F4771" t="n">
        <v>3</v>
      </c>
      <c r="G4771" t="n">
        <v>1</v>
      </c>
      <c r="H4771" t="n">
        <v>2</v>
      </c>
      <c r="I4771" t="n">
        <v>2</v>
      </c>
      <c r="J4771" t="inlineStr">
        <is>
          <t>Mediana</t>
        </is>
      </c>
      <c r="K4771" t="n">
        <v>2</v>
      </c>
      <c r="L4771" t="n">
        <v>2.09</v>
      </c>
      <c r="M4771" t="n">
        <v>0</v>
      </c>
      <c r="N4771" t="inlineStr">
        <is>
          <t>train</t>
        </is>
      </c>
      <c r="O4771">
        <f>HYPERLINK("NoConsenso\marker_902_753092.png", "Ver Imagen")</f>
        <v/>
      </c>
      <c r="P4771">
        <f>HYPERLINK("NO\A-490\A-490__403.png", "Ver Imagen")</f>
        <v/>
      </c>
    </row>
    <row r="4772">
      <c r="A4772" t="n">
        <v>4415</v>
      </c>
      <c r="B4772" t="inlineStr">
        <is>
          <t>A-490__404</t>
        </is>
      </c>
      <c r="C4772" t="n">
        <v>37.481898612</v>
      </c>
      <c r="D4772" t="n">
        <v>-7.21529113093</v>
      </c>
      <c r="E4772" t="n">
        <v>2</v>
      </c>
      <c r="F4772" t="n">
        <v>3</v>
      </c>
      <c r="G4772" t="n">
        <v>1</v>
      </c>
      <c r="H4772" t="n">
        <v>2</v>
      </c>
      <c r="I4772" t="n">
        <v>2</v>
      </c>
      <c r="J4772" t="inlineStr">
        <is>
          <t>Mediana</t>
        </is>
      </c>
      <c r="K4772" t="n">
        <v>2</v>
      </c>
      <c r="L4772" t="n">
        <v>2.348</v>
      </c>
      <c r="M4772" t="n">
        <v>0</v>
      </c>
      <c r="N4772" t="inlineStr">
        <is>
          <t>train</t>
        </is>
      </c>
      <c r="O4772">
        <f>HYPERLINK("NoConsenso\marker_395_753109.png", "Ver Imagen")</f>
        <v/>
      </c>
      <c r="P4772">
        <f>HYPERLINK("NO\A-490\A-490__404.png", "Ver Imagen")</f>
        <v/>
      </c>
    </row>
    <row r="4773">
      <c r="A4773" t="n">
        <v>4416</v>
      </c>
      <c r="B4773" t="inlineStr">
        <is>
          <t>A-490__407</t>
        </is>
      </c>
      <c r="C4773" t="n">
        <v>37.4821500628</v>
      </c>
      <c r="D4773" t="n">
        <v>-7.21601935352</v>
      </c>
      <c r="E4773" t="n">
        <v>1</v>
      </c>
      <c r="F4773" t="n">
        <v>3</v>
      </c>
      <c r="G4773" t="n">
        <v>2</v>
      </c>
      <c r="H4773" t="n">
        <v>1</v>
      </c>
      <c r="I4773" t="n">
        <v>1</v>
      </c>
      <c r="J4773" t="inlineStr">
        <is>
          <t>Mediana</t>
        </is>
      </c>
      <c r="K4773" t="n">
        <v>1</v>
      </c>
      <c r="L4773" t="n">
        <v>1</v>
      </c>
      <c r="M4773" t="n">
        <v>0</v>
      </c>
      <c r="N4773" t="inlineStr">
        <is>
          <t>train</t>
        </is>
      </c>
      <c r="O4773">
        <f>HYPERLINK("NoConsenso\marker_772_753889.png", "Ver Imagen")</f>
        <v/>
      </c>
      <c r="P4773">
        <f>HYPERLINK("NO\A-490\A-490__407.png", "Ver Imagen")</f>
        <v/>
      </c>
    </row>
    <row r="4774">
      <c r="A4774" t="n">
        <v>4417</v>
      </c>
      <c r="B4774" t="inlineStr">
        <is>
          <t>A-490__408</t>
        </is>
      </c>
      <c r="C4774" t="n">
        <v>37.4822197089</v>
      </c>
      <c r="D4774" t="n">
        <v>-7.21628629579</v>
      </c>
      <c r="E4774" t="n">
        <v>1</v>
      </c>
      <c r="F4774" t="n">
        <v>3</v>
      </c>
      <c r="G4774" t="n">
        <v>2</v>
      </c>
      <c r="H4774" t="n">
        <v>2</v>
      </c>
      <c r="I4774" t="n">
        <v>2</v>
      </c>
      <c r="J4774" t="inlineStr">
        <is>
          <t>Mediana</t>
        </is>
      </c>
      <c r="K4774" t="n">
        <v>2</v>
      </c>
      <c r="L4774" t="n">
        <v>2.042</v>
      </c>
      <c r="M4774" t="n">
        <v>0</v>
      </c>
      <c r="N4774" t="inlineStr">
        <is>
          <t>val</t>
        </is>
      </c>
      <c r="O4774">
        <f>HYPERLINK("NoConsenso\marker_716_754088.png", "Ver Imagen")</f>
        <v/>
      </c>
      <c r="P4774">
        <f>HYPERLINK("NO\A-490\A-490__408.png", "Ver Imagen")</f>
        <v/>
      </c>
    </row>
    <row r="4775">
      <c r="A4775" t="n">
        <v>4418</v>
      </c>
      <c r="B4775" t="inlineStr">
        <is>
          <t>A-490__409</t>
        </is>
      </c>
      <c r="C4775" t="n">
        <v>37.4822723097</v>
      </c>
      <c r="D4775" t="n">
        <v>-7.21651474777</v>
      </c>
      <c r="E4775" t="n">
        <v>1</v>
      </c>
      <c r="F4775" t="n">
        <v>3</v>
      </c>
      <c r="G4775" t="n">
        <v>2</v>
      </c>
      <c r="H4775" t="n">
        <v>2</v>
      </c>
      <c r="I4775" t="n">
        <v>2</v>
      </c>
      <c r="J4775" t="inlineStr">
        <is>
          <t>Mediana</t>
        </is>
      </c>
      <c r="K4775" t="n">
        <v>2</v>
      </c>
      <c r="L4775" t="n">
        <v>1.908</v>
      </c>
      <c r="M4775" t="n">
        <v>0</v>
      </c>
      <c r="N4775" t="inlineStr">
        <is>
          <t>train</t>
        </is>
      </c>
      <c r="O4775">
        <f>HYPERLINK("NoConsenso\marker_677_754106.png", "Ver Imagen")</f>
        <v/>
      </c>
      <c r="P4775">
        <f>HYPERLINK("NO\A-490\A-490__409.png", "Ver Imagen")</f>
        <v/>
      </c>
    </row>
    <row r="4776">
      <c r="A4776" t="n">
        <v>4419</v>
      </c>
      <c r="B4776" t="inlineStr">
        <is>
          <t>A-490__412</t>
        </is>
      </c>
      <c r="C4776" t="n">
        <v>37.4824256085</v>
      </c>
      <c r="D4776" t="n">
        <v>-7.21725906542</v>
      </c>
      <c r="E4776" t="n">
        <v>1</v>
      </c>
      <c r="F4776" t="n">
        <v>3</v>
      </c>
      <c r="G4776" t="n">
        <v>3</v>
      </c>
      <c r="H4776" t="n">
        <v>3</v>
      </c>
      <c r="I4776" t="n">
        <v>3</v>
      </c>
      <c r="J4776" t="inlineStr">
        <is>
          <t>Mediana</t>
        </is>
      </c>
      <c r="K4776" t="n">
        <v>3</v>
      </c>
      <c r="L4776" t="n">
        <v>2.866</v>
      </c>
      <c r="M4776" t="n">
        <v>0</v>
      </c>
      <c r="N4776" t="inlineStr">
        <is>
          <t>train</t>
        </is>
      </c>
      <c r="O4776">
        <f>HYPERLINK("NoConsenso\marker_334_754158.png", "Ver Imagen")</f>
        <v/>
      </c>
      <c r="P4776">
        <f>HYPERLINK("NO\A-490\A-490__412.png", "Ver Imagen")</f>
        <v/>
      </c>
    </row>
    <row r="4777">
      <c r="A4777" t="n">
        <v>4420</v>
      </c>
      <c r="B4777" t="inlineStr">
        <is>
          <t>A-490__421</t>
        </is>
      </c>
      <c r="C4777" t="n">
        <v>37.4828612867</v>
      </c>
      <c r="D4777" t="n">
        <v>-7.21946788251</v>
      </c>
      <c r="E4777" t="n">
        <v>1</v>
      </c>
      <c r="F4777" t="n">
        <v>3</v>
      </c>
      <c r="G4777" t="n">
        <v>2</v>
      </c>
      <c r="H4777" t="n">
        <v>2</v>
      </c>
      <c r="I4777" t="n">
        <v>2</v>
      </c>
      <c r="J4777" t="inlineStr">
        <is>
          <t>Mediana</t>
        </is>
      </c>
      <c r="K4777" t="n">
        <v>2</v>
      </c>
      <c r="L4777" t="n">
        <v>2</v>
      </c>
      <c r="M4777" t="n">
        <v>0</v>
      </c>
      <c r="N4777" t="inlineStr">
        <is>
          <t>train</t>
        </is>
      </c>
      <c r="O4777">
        <f>HYPERLINK("NoConsenso\marker_627_754307.png", "Ver Imagen")</f>
        <v/>
      </c>
      <c r="P4777">
        <f>HYPERLINK("NO\A-490\A-490__421.png", "Ver Imagen")</f>
        <v/>
      </c>
    </row>
    <row r="4778">
      <c r="A4778" t="n">
        <v>4421</v>
      </c>
      <c r="B4778" t="inlineStr">
        <is>
          <t>A-490__424</t>
        </is>
      </c>
      <c r="C4778" t="n">
        <v>37.4830037354</v>
      </c>
      <c r="D4778" t="n">
        <v>-7.22020906699</v>
      </c>
      <c r="E4778" t="n">
        <v>1</v>
      </c>
      <c r="F4778" t="n">
        <v>2</v>
      </c>
      <c r="G4778" t="n">
        <v>3</v>
      </c>
      <c r="H4778" t="n">
        <v>2</v>
      </c>
      <c r="I4778" t="n">
        <v>2</v>
      </c>
      <c r="J4778" t="inlineStr">
        <is>
          <t>Mediana</t>
        </is>
      </c>
      <c r="K4778" t="n">
        <v>2</v>
      </c>
      <c r="L4778" t="n">
        <v>1.677</v>
      </c>
      <c r="M4778" t="n">
        <v>0</v>
      </c>
      <c r="N4778" t="inlineStr">
        <is>
          <t>train</t>
        </is>
      </c>
      <c r="O4778">
        <f>HYPERLINK("NoConsenso\marker_661_754363.png", "Ver Imagen")</f>
        <v/>
      </c>
      <c r="P4778">
        <f>HYPERLINK("NO\A-490\A-490__424.png", "Ver Imagen")</f>
        <v/>
      </c>
    </row>
    <row r="4779">
      <c r="A4779" t="n">
        <v>4422</v>
      </c>
      <c r="B4779" t="inlineStr">
        <is>
          <t>A-490__438</t>
        </is>
      </c>
      <c r="C4779" t="n">
        <v>37.4836788127</v>
      </c>
      <c r="D4779" t="n">
        <v>-7.22363804937</v>
      </c>
      <c r="E4779" t="n">
        <v>1</v>
      </c>
      <c r="F4779" t="n">
        <v>3</v>
      </c>
      <c r="G4779" t="n">
        <v>2</v>
      </c>
      <c r="H4779" t="n">
        <v>2</v>
      </c>
      <c r="I4779" t="n">
        <v>2</v>
      </c>
      <c r="J4779" t="inlineStr">
        <is>
          <t>Mediana</t>
        </is>
      </c>
      <c r="K4779" t="n">
        <v>2</v>
      </c>
      <c r="L4779" t="n">
        <v>2.16</v>
      </c>
      <c r="M4779" t="n">
        <v>0</v>
      </c>
      <c r="N4779" t="inlineStr">
        <is>
          <t>train</t>
        </is>
      </c>
      <c r="O4779">
        <f>HYPERLINK("NoConsenso\marker_805_754620.png", "Ver Imagen")</f>
        <v/>
      </c>
      <c r="P4779">
        <f>HYPERLINK("NO\A-490\A-490__438.png", "Ver Imagen")</f>
        <v/>
      </c>
    </row>
    <row r="4780">
      <c r="A4780" t="n">
        <v>4423</v>
      </c>
      <c r="B4780" t="inlineStr">
        <is>
          <t>A-490__440</t>
        </is>
      </c>
      <c r="C4780" t="n">
        <v>37.4837751322</v>
      </c>
      <c r="D4780" t="n">
        <v>-7.22414611991</v>
      </c>
      <c r="E4780" t="n">
        <v>1</v>
      </c>
      <c r="F4780" t="n">
        <v>3</v>
      </c>
      <c r="G4780" t="n">
        <v>3</v>
      </c>
      <c r="H4780" t="n">
        <v>2</v>
      </c>
      <c r="I4780" t="n">
        <v>1</v>
      </c>
      <c r="J4780" t="inlineStr">
        <is>
          <t>Mediana</t>
        </is>
      </c>
      <c r="K4780" t="n">
        <v>2</v>
      </c>
      <c r="L4780" t="n">
        <v>1.879</v>
      </c>
      <c r="M4780" t="n">
        <v>0</v>
      </c>
      <c r="N4780" t="inlineStr">
        <is>
          <t>train</t>
        </is>
      </c>
      <c r="O4780">
        <f>HYPERLINK("NoConsenso\marker_881_754656.png", "Ver Imagen")</f>
        <v/>
      </c>
      <c r="P4780">
        <f>HYPERLINK("NO\A-490\A-490__440.png", "Ver Imagen")</f>
        <v/>
      </c>
    </row>
    <row r="4781">
      <c r="A4781" t="n">
        <v>4424</v>
      </c>
      <c r="B4781" t="inlineStr">
        <is>
          <t>A-490__441</t>
        </is>
      </c>
      <c r="C4781" t="n">
        <v>37.4838216708</v>
      </c>
      <c r="D4781" t="n">
        <v>-7.22439097795</v>
      </c>
      <c r="E4781" t="n">
        <v>1</v>
      </c>
      <c r="F4781" t="n">
        <v>2</v>
      </c>
      <c r="G4781" t="n">
        <v>3</v>
      </c>
      <c r="H4781" t="n">
        <v>2</v>
      </c>
      <c r="I4781" t="n">
        <v>2</v>
      </c>
      <c r="J4781" t="inlineStr">
        <is>
          <t>Mediana</t>
        </is>
      </c>
      <c r="K4781" t="n">
        <v>2</v>
      </c>
      <c r="L4781" t="n">
        <v>2.26</v>
      </c>
      <c r="M4781" t="n">
        <v>0</v>
      </c>
      <c r="N4781" t="inlineStr">
        <is>
          <t>train</t>
        </is>
      </c>
      <c r="O4781">
        <f>HYPERLINK("NoConsenso\marker_563_754671.png", "Ver Imagen")</f>
        <v/>
      </c>
      <c r="P4781">
        <f>HYPERLINK("NO\A-490\A-490__441.png", "Ver Imagen")</f>
        <v/>
      </c>
    </row>
    <row r="4782">
      <c r="A4782" t="n">
        <v>4425</v>
      </c>
      <c r="B4782" t="inlineStr">
        <is>
          <t>A-490__454</t>
        </is>
      </c>
      <c r="C4782" t="n">
        <v>37.4844481603</v>
      </c>
      <c r="D4782" t="n">
        <v>-7.22762011365</v>
      </c>
      <c r="E4782" t="n">
        <v>1</v>
      </c>
      <c r="F4782" t="n">
        <v>3</v>
      </c>
      <c r="G4782" t="n">
        <v>2</v>
      </c>
      <c r="H4782" t="n">
        <v>2</v>
      </c>
      <c r="I4782" t="n">
        <v>2</v>
      </c>
      <c r="J4782" t="inlineStr">
        <is>
          <t>Mediana</t>
        </is>
      </c>
      <c r="K4782" t="n">
        <v>2</v>
      </c>
      <c r="L4782" t="n">
        <v>1.632</v>
      </c>
      <c r="M4782" t="n">
        <v>0</v>
      </c>
      <c r="N4782" t="inlineStr">
        <is>
          <t>train</t>
        </is>
      </c>
      <c r="O4782">
        <f>HYPERLINK("NoConsenso\marker_772_755113.png", "Ver Imagen")</f>
        <v/>
      </c>
      <c r="P4782">
        <f>HYPERLINK("NO\A-490\A-490__454.png", "Ver Imagen")</f>
        <v/>
      </c>
    </row>
    <row r="4783">
      <c r="A4783" t="n">
        <v>4426</v>
      </c>
      <c r="B4783" t="inlineStr">
        <is>
          <t>A-490__467</t>
        </is>
      </c>
      <c r="C4783" t="n">
        <v>37.4850672396</v>
      </c>
      <c r="D4783" t="n">
        <v>-7.23079662581</v>
      </c>
      <c r="E4783" t="n">
        <v>1</v>
      </c>
      <c r="F4783" t="n">
        <v>3</v>
      </c>
      <c r="G4783" t="n">
        <v>2</v>
      </c>
      <c r="H4783" t="n">
        <v>2</v>
      </c>
      <c r="I4783" t="n">
        <v>1</v>
      </c>
      <c r="J4783" t="inlineStr">
        <is>
          <t>Mediana</t>
        </is>
      </c>
      <c r="K4783" t="n">
        <v>2</v>
      </c>
      <c r="L4783" t="n">
        <v>1.894</v>
      </c>
      <c r="M4783" t="n">
        <v>0</v>
      </c>
      <c r="N4783" t="inlineStr">
        <is>
          <t>train</t>
        </is>
      </c>
      <c r="O4783">
        <f>HYPERLINK("NoConsenso\marker_695_755339.png", "Ver Imagen")</f>
        <v/>
      </c>
      <c r="P4783">
        <f>HYPERLINK("NO\A-490\A-490__467.png", "Ver Imagen")</f>
        <v/>
      </c>
    </row>
    <row r="4784">
      <c r="A4784" t="n">
        <v>4427</v>
      </c>
      <c r="B4784" t="inlineStr">
        <is>
          <t>A-490__472</t>
        </is>
      </c>
      <c r="C4784" t="n">
        <v>37.4853142147</v>
      </c>
      <c r="D4784" t="n">
        <v>-7.23208881229</v>
      </c>
      <c r="E4784" t="n">
        <v>1</v>
      </c>
      <c r="F4784" t="n">
        <v>3</v>
      </c>
      <c r="G4784" t="n">
        <v>2</v>
      </c>
      <c r="H4784" t="n">
        <v>2</v>
      </c>
      <c r="I4784" t="n">
        <v>1</v>
      </c>
      <c r="J4784" t="inlineStr">
        <is>
          <t>Mediana</t>
        </is>
      </c>
      <c r="K4784" t="n">
        <v>2</v>
      </c>
      <c r="L4784" t="n">
        <v>2.032</v>
      </c>
      <c r="M4784" t="n">
        <v>0</v>
      </c>
      <c r="N4784" t="inlineStr">
        <is>
          <t>train</t>
        </is>
      </c>
      <c r="O4784">
        <f>HYPERLINK("NoConsenso\marker_385_755431.png", "Ver Imagen")</f>
        <v/>
      </c>
      <c r="P4784">
        <f>HYPERLINK("NO\A-490\A-490__472.png", "Ver Imagen")</f>
        <v/>
      </c>
    </row>
    <row r="4785">
      <c r="A4785" t="n">
        <v>4428</v>
      </c>
      <c r="B4785" t="inlineStr">
        <is>
          <t>A-490__487</t>
        </is>
      </c>
      <c r="C4785" t="n">
        <v>37.4860190948</v>
      </c>
      <c r="D4785" t="n">
        <v>-7.23576288109</v>
      </c>
      <c r="E4785" t="n">
        <v>1</v>
      </c>
      <c r="F4785" t="n">
        <v>3</v>
      </c>
      <c r="G4785" t="n">
        <v>2</v>
      </c>
      <c r="H4785" t="n">
        <v>2</v>
      </c>
      <c r="I4785" t="n">
        <v>1</v>
      </c>
      <c r="J4785" t="inlineStr">
        <is>
          <t>Mediana</t>
        </is>
      </c>
      <c r="K4785" t="n">
        <v>2</v>
      </c>
      <c r="L4785" t="n">
        <v>1.82</v>
      </c>
      <c r="M4785" t="n">
        <v>0</v>
      </c>
      <c r="N4785" t="inlineStr">
        <is>
          <t>test</t>
        </is>
      </c>
      <c r="O4785">
        <f>HYPERLINK("NoConsenso\marker_348_755711.png", "Ver Imagen")</f>
        <v/>
      </c>
      <c r="P4785">
        <f>HYPERLINK("NO\A-490\A-490__487.png", "Ver Imagen")</f>
        <v/>
      </c>
    </row>
    <row r="4786">
      <c r="A4786" t="n">
        <v>4429</v>
      </c>
      <c r="B4786" t="inlineStr">
        <is>
          <t>A-490__489</t>
        </is>
      </c>
      <c r="C4786" t="n">
        <v>37.4861116403</v>
      </c>
      <c r="D4786" t="n">
        <v>-7.23623948115</v>
      </c>
      <c r="E4786" t="n">
        <v>1</v>
      </c>
      <c r="F4786" t="n">
        <v>3</v>
      </c>
      <c r="G4786" t="n">
        <v>2</v>
      </c>
      <c r="H4786" t="n">
        <v>2</v>
      </c>
      <c r="I4786" t="n">
        <v>1</v>
      </c>
      <c r="J4786" t="inlineStr">
        <is>
          <t>Mediana</t>
        </is>
      </c>
      <c r="K4786" t="n">
        <v>2</v>
      </c>
      <c r="L4786" t="n">
        <v>1.919</v>
      </c>
      <c r="M4786" t="n">
        <v>0</v>
      </c>
      <c r="N4786" t="inlineStr">
        <is>
          <t>train</t>
        </is>
      </c>
      <c r="O4786">
        <f>HYPERLINK("NoConsenso\marker_960_755750.png", "Ver Imagen")</f>
        <v/>
      </c>
      <c r="P4786">
        <f>HYPERLINK("NO\A-490\A-490__489.png", "Ver Imagen")</f>
        <v/>
      </c>
    </row>
    <row r="4787">
      <c r="A4787" t="n">
        <v>4430</v>
      </c>
      <c r="B4787" t="inlineStr">
        <is>
          <t>A-490__490</t>
        </is>
      </c>
      <c r="C4787" t="n">
        <v>37.4861591364</v>
      </c>
      <c r="D4787" t="n">
        <v>-7.23648395913</v>
      </c>
      <c r="E4787" t="n">
        <v>1</v>
      </c>
      <c r="F4787" t="n">
        <v>3</v>
      </c>
      <c r="G4787" t="n">
        <v>2</v>
      </c>
      <c r="H4787" t="n">
        <v>2</v>
      </c>
      <c r="I4787" t="n">
        <v>1</v>
      </c>
      <c r="J4787" t="inlineStr">
        <is>
          <t>Mediana</t>
        </is>
      </c>
      <c r="K4787" t="n">
        <v>2</v>
      </c>
      <c r="L4787" t="n">
        <v>2.121</v>
      </c>
      <c r="M4787" t="n">
        <v>0</v>
      </c>
      <c r="N4787" t="inlineStr">
        <is>
          <t>train</t>
        </is>
      </c>
      <c r="O4787">
        <f>HYPERLINK("NoConsenso\marker_136_755765.png", "Ver Imagen")</f>
        <v/>
      </c>
      <c r="P4787">
        <f>HYPERLINK("NO\A-490\A-490__490.png", "Ver Imagen")</f>
        <v/>
      </c>
    </row>
    <row r="4788">
      <c r="A4788" t="n">
        <v>4431</v>
      </c>
      <c r="B4788" t="inlineStr">
        <is>
          <t>A-490__494</t>
        </is>
      </c>
      <c r="C4788" t="n">
        <v>37.4863464153</v>
      </c>
      <c r="D4788" t="n">
        <v>-7.2374524664</v>
      </c>
      <c r="E4788" t="n">
        <v>1</v>
      </c>
      <c r="F4788" t="n">
        <v>3</v>
      </c>
      <c r="G4788" t="n">
        <v>3</v>
      </c>
      <c r="H4788" t="n">
        <v>1</v>
      </c>
      <c r="I4788" t="n">
        <v>1</v>
      </c>
      <c r="J4788" t="inlineStr">
        <is>
          <t>Mediana</t>
        </is>
      </c>
      <c r="K4788" t="n">
        <v>1</v>
      </c>
      <c r="L4788" t="n">
        <v>1.137</v>
      </c>
      <c r="M4788" t="n">
        <v>0</v>
      </c>
      <c r="N4788" t="inlineStr">
        <is>
          <t>train</t>
        </is>
      </c>
      <c r="O4788">
        <f>HYPERLINK("NoConsenso\marker_350_755860.png", "Ver Imagen")</f>
        <v/>
      </c>
      <c r="P4788">
        <f>HYPERLINK("NO\A-490\A-490__494.png", "Ver Imagen")</f>
        <v/>
      </c>
    </row>
    <row r="4789">
      <c r="A4789" t="n">
        <v>4432</v>
      </c>
      <c r="B4789" t="inlineStr">
        <is>
          <t>A-490__495</t>
        </is>
      </c>
      <c r="C4789" t="n">
        <v>37.4864015216</v>
      </c>
      <c r="D4789" t="n">
        <v>-7.2377429063</v>
      </c>
      <c r="E4789" t="n">
        <v>1</v>
      </c>
      <c r="F4789" t="n">
        <v>3</v>
      </c>
      <c r="G4789" t="n">
        <v>2</v>
      </c>
      <c r="H4789" t="n">
        <v>2</v>
      </c>
      <c r="I4789" t="n">
        <v>1</v>
      </c>
      <c r="J4789" t="inlineStr">
        <is>
          <t>Mediana</t>
        </is>
      </c>
      <c r="K4789" t="n">
        <v>2</v>
      </c>
      <c r="L4789" t="n">
        <v>1.8</v>
      </c>
      <c r="M4789" t="n">
        <v>0</v>
      </c>
      <c r="N4789" t="inlineStr">
        <is>
          <t>train</t>
        </is>
      </c>
      <c r="O4789">
        <f>HYPERLINK("NoConsenso\marker_235_755880.png", "Ver Imagen")</f>
        <v/>
      </c>
      <c r="P4789">
        <f>HYPERLINK("NO\A-490\A-490__495.png", "Ver Imagen")</f>
        <v/>
      </c>
    </row>
    <row r="4790">
      <c r="A4790" t="n">
        <v>4433</v>
      </c>
      <c r="B4790" t="inlineStr">
        <is>
          <t>A-490__500</t>
        </is>
      </c>
      <c r="C4790" t="n">
        <v>37.4866339121</v>
      </c>
      <c r="D4790" t="n">
        <v>-7.2389676938</v>
      </c>
      <c r="E4790" t="n">
        <v>1</v>
      </c>
      <c r="F4790" t="n">
        <v>3</v>
      </c>
      <c r="G4790" t="n">
        <v>3</v>
      </c>
      <c r="H4790" t="n">
        <v>2</v>
      </c>
      <c r="I4790" t="n">
        <v>3</v>
      </c>
      <c r="J4790" t="inlineStr">
        <is>
          <t>Modificada</t>
        </is>
      </c>
      <c r="K4790" t="n">
        <v>2</v>
      </c>
      <c r="L4790" t="n">
        <v>2.126</v>
      </c>
      <c r="M4790" t="n">
        <v>0</v>
      </c>
      <c r="N4790" t="inlineStr">
        <is>
          <t>train</t>
        </is>
      </c>
      <c r="O4790">
        <f>HYPERLINK("NoConsenso\marker_712_817588.png", "Ver Imagen")</f>
        <v/>
      </c>
      <c r="P4790">
        <f>HYPERLINK("NO\A-490\A-490__500.png", "Ver Imagen")</f>
        <v/>
      </c>
    </row>
    <row r="4791">
      <c r="A4791" t="n">
        <v>4434</v>
      </c>
      <c r="B4791" t="inlineStr">
        <is>
          <t>A-490__504</t>
        </is>
      </c>
      <c r="C4791" t="n">
        <v>37.4868290035</v>
      </c>
      <c r="D4791" t="n">
        <v>-7.23995053213</v>
      </c>
      <c r="E4791" t="n">
        <v>1</v>
      </c>
      <c r="F4791" t="n">
        <v>3</v>
      </c>
      <c r="G4791" t="n">
        <v>3</v>
      </c>
      <c r="H4791" t="n">
        <v>2</v>
      </c>
      <c r="I4791" t="n">
        <v>1</v>
      </c>
      <c r="J4791" t="inlineStr">
        <is>
          <t>Mediana</t>
        </is>
      </c>
      <c r="K4791" t="n">
        <v>2</v>
      </c>
      <c r="L4791" t="n">
        <v>2.134</v>
      </c>
      <c r="M4791" t="n">
        <v>0</v>
      </c>
      <c r="N4791" t="inlineStr">
        <is>
          <t>train</t>
        </is>
      </c>
      <c r="O4791">
        <f>HYPERLINK("NoConsenso\marker_262_817657.png", "Ver Imagen")</f>
        <v/>
      </c>
      <c r="P4791">
        <f>HYPERLINK("NO\A-490\A-490__504.png", "Ver Imagen")</f>
        <v/>
      </c>
    </row>
    <row r="4792">
      <c r="A4792" t="n">
        <v>4435</v>
      </c>
      <c r="B4792" t="inlineStr">
        <is>
          <t>A-490__505</t>
        </is>
      </c>
      <c r="C4792" t="n">
        <v>37.4868780398</v>
      </c>
      <c r="D4792" t="n">
        <v>-7.24020377405</v>
      </c>
      <c r="E4792" t="n">
        <v>1</v>
      </c>
      <c r="F4792" t="n">
        <v>3</v>
      </c>
      <c r="G4792" t="n">
        <v>3</v>
      </c>
      <c r="H4792" t="n">
        <v>3</v>
      </c>
      <c r="I4792" t="n">
        <v>3</v>
      </c>
      <c r="J4792" t="inlineStr">
        <is>
          <t>Mediana</t>
        </is>
      </c>
      <c r="K4792" t="n">
        <v>3</v>
      </c>
      <c r="L4792" t="n">
        <v>3.088</v>
      </c>
      <c r="M4792" t="n">
        <v>0</v>
      </c>
      <c r="N4792" t="inlineStr">
        <is>
          <t>train</t>
        </is>
      </c>
      <c r="O4792">
        <f>HYPERLINK("NoConsenso\marker_787_817671.png", "Ver Imagen")</f>
        <v/>
      </c>
      <c r="P4792">
        <f>HYPERLINK("NO\A-490\A-490__505.png", "Ver Imagen")</f>
        <v/>
      </c>
    </row>
    <row r="4793">
      <c r="A4793" t="n">
        <v>4436</v>
      </c>
      <c r="B4793" t="inlineStr">
        <is>
          <t>A-490__508</t>
        </is>
      </c>
      <c r="C4793" t="n">
        <v>37.4869891929</v>
      </c>
      <c r="D4793" t="n">
        <v>-7.24094878638</v>
      </c>
      <c r="E4793" t="n">
        <v>1</v>
      </c>
      <c r="F4793" t="n">
        <v>3</v>
      </c>
      <c r="G4793" t="n">
        <v>2</v>
      </c>
      <c r="H4793" t="n">
        <v>2</v>
      </c>
      <c r="I4793" t="n">
        <v>1</v>
      </c>
      <c r="J4793" t="inlineStr">
        <is>
          <t>Mediana</t>
        </is>
      </c>
      <c r="K4793" t="n">
        <v>2</v>
      </c>
      <c r="L4793" t="n">
        <v>2.16</v>
      </c>
      <c r="M4793" t="n">
        <v>0</v>
      </c>
      <c r="N4793" t="inlineStr">
        <is>
          <t>train</t>
        </is>
      </c>
      <c r="O4793">
        <f>HYPERLINK("NoConsenso\marker_474_817736.png", "Ver Imagen")</f>
        <v/>
      </c>
      <c r="P4793">
        <f>HYPERLINK("NO\A-490\A-490__508.png", "Ver Imagen")</f>
        <v/>
      </c>
    </row>
    <row r="4794">
      <c r="A4794" t="n">
        <v>4437</v>
      </c>
      <c r="B4794" t="inlineStr">
        <is>
          <t>A-490__511</t>
        </is>
      </c>
      <c r="C4794" t="n">
        <v>37.4870568275</v>
      </c>
      <c r="D4794" t="n">
        <v>-7.24172533574</v>
      </c>
      <c r="E4794" t="n">
        <v>1</v>
      </c>
      <c r="F4794" t="n">
        <v>3</v>
      </c>
      <c r="G4794" t="n">
        <v>3</v>
      </c>
      <c r="H4794" t="n">
        <v>2</v>
      </c>
      <c r="I4794" t="n">
        <v>2</v>
      </c>
      <c r="J4794" t="inlineStr">
        <is>
          <t>Mediana</t>
        </is>
      </c>
      <c r="K4794" t="n">
        <v>2</v>
      </c>
      <c r="L4794" t="n">
        <v>1.677</v>
      </c>
      <c r="M4794" t="n">
        <v>0</v>
      </c>
      <c r="N4794" t="inlineStr">
        <is>
          <t>test</t>
        </is>
      </c>
      <c r="O4794">
        <f>HYPERLINK("NoConsenso\marker_838_817833.png", "Ver Imagen")</f>
        <v/>
      </c>
      <c r="P4794">
        <f>HYPERLINK("NO\A-490\A-490__511.png", "Ver Imagen")</f>
        <v/>
      </c>
    </row>
    <row r="4795">
      <c r="A4795" t="n">
        <v>4438</v>
      </c>
      <c r="B4795" t="inlineStr">
        <is>
          <t>A-490__514</t>
        </is>
      </c>
      <c r="C4795" t="n">
        <v>37.4871242707</v>
      </c>
      <c r="D4795" t="n">
        <v>-7.24245847974</v>
      </c>
      <c r="E4795" t="n">
        <v>1</v>
      </c>
      <c r="F4795" t="n">
        <v>2</v>
      </c>
      <c r="G4795" t="n">
        <v>3</v>
      </c>
      <c r="H4795" t="n">
        <v>2</v>
      </c>
      <c r="I4795" t="n">
        <v>2</v>
      </c>
      <c r="J4795" t="inlineStr">
        <is>
          <t>Mediana</t>
        </is>
      </c>
      <c r="K4795" t="n">
        <v>2</v>
      </c>
      <c r="L4795" t="n">
        <v>1.633</v>
      </c>
      <c r="M4795" t="n">
        <v>0</v>
      </c>
      <c r="N4795" t="inlineStr">
        <is>
          <t>val</t>
        </is>
      </c>
      <c r="O4795">
        <f>HYPERLINK("NoConsenso\marker_513_817884.png", "Ver Imagen")</f>
        <v/>
      </c>
      <c r="P4795">
        <f>HYPERLINK("NO\A-490\A-490__514.png", "Ver Imagen")</f>
        <v/>
      </c>
    </row>
    <row r="4796">
      <c r="A4796" t="n">
        <v>4439</v>
      </c>
      <c r="B4796" t="inlineStr">
        <is>
          <t>A-490__517</t>
        </is>
      </c>
      <c r="C4796" t="n">
        <v>37.4872128669</v>
      </c>
      <c r="D4796" t="n">
        <v>-7.24322294556</v>
      </c>
      <c r="E4796" t="n">
        <v>1</v>
      </c>
      <c r="F4796" t="n">
        <v>2</v>
      </c>
      <c r="G4796" t="n">
        <v>3</v>
      </c>
      <c r="H4796" t="n">
        <v>2</v>
      </c>
      <c r="I4796" t="n">
        <v>2</v>
      </c>
      <c r="J4796" t="inlineStr">
        <is>
          <t>Mediana</t>
        </is>
      </c>
      <c r="K4796" t="n">
        <v>2</v>
      </c>
      <c r="L4796" t="n">
        <v>2.368</v>
      </c>
      <c r="M4796" t="n">
        <v>0</v>
      </c>
      <c r="N4796" t="inlineStr">
        <is>
          <t>val</t>
        </is>
      </c>
      <c r="O4796">
        <f>HYPERLINK("NoConsenso\marker_821_817931.png", "Ver Imagen")</f>
        <v/>
      </c>
      <c r="P4796">
        <f>HYPERLINK("NO\A-490\A-490__517.png", "Ver Imagen")</f>
        <v/>
      </c>
    </row>
    <row r="4797">
      <c r="A4797" t="n">
        <v>4440</v>
      </c>
      <c r="B4797" t="inlineStr">
        <is>
          <t>A-490__523</t>
        </is>
      </c>
      <c r="C4797" t="n">
        <v>37.487679749</v>
      </c>
      <c r="D4797" t="n">
        <v>-7.24459453499</v>
      </c>
      <c r="E4797" t="n">
        <v>1</v>
      </c>
      <c r="F4797" t="n">
        <v>3</v>
      </c>
      <c r="G4797" t="n">
        <v>2</v>
      </c>
      <c r="H4797" t="n">
        <v>3</v>
      </c>
      <c r="I4797" t="n">
        <v>2</v>
      </c>
      <c r="J4797" t="inlineStr">
        <is>
          <t>Mediana</t>
        </is>
      </c>
      <c r="K4797" t="n">
        <v>2</v>
      </c>
      <c r="L4797" t="n">
        <v>2.278</v>
      </c>
      <c r="M4797" t="n">
        <v>0</v>
      </c>
      <c r="N4797" t="inlineStr">
        <is>
          <t>test</t>
        </is>
      </c>
      <c r="O4797">
        <f>HYPERLINK("NoConsenso\marker_138_818098.png", "Ver Imagen")</f>
        <v/>
      </c>
      <c r="P4797">
        <f>HYPERLINK("NO\A-490\A-490__523.png", "Ver Imagen")</f>
        <v/>
      </c>
    </row>
    <row r="4798">
      <c r="A4798" t="n">
        <v>4441</v>
      </c>
      <c r="B4798" t="inlineStr">
        <is>
          <t>A-490__537</t>
        </is>
      </c>
      <c r="C4798" t="n">
        <v>37.4890402881</v>
      </c>
      <c r="D4798" t="n">
        <v>-7.24767819682</v>
      </c>
      <c r="E4798" t="n">
        <v>1</v>
      </c>
      <c r="F4798" t="n">
        <v>3</v>
      </c>
      <c r="G4798" t="n">
        <v>3</v>
      </c>
      <c r="H4798" t="n">
        <v>2</v>
      </c>
      <c r="I4798" t="n">
        <v>1</v>
      </c>
      <c r="J4798" t="inlineStr">
        <is>
          <t>Mediana</t>
        </is>
      </c>
      <c r="K4798" t="n">
        <v>2</v>
      </c>
      <c r="L4798" t="n">
        <v>1.975</v>
      </c>
      <c r="M4798" t="n">
        <v>0</v>
      </c>
      <c r="N4798" t="inlineStr">
        <is>
          <t>train</t>
        </is>
      </c>
      <c r="O4798">
        <f>HYPERLINK("NoConsenso\marker_951_818305.png", "Ver Imagen")</f>
        <v/>
      </c>
      <c r="P4798">
        <f>HYPERLINK("NO\A-490\A-490__537.png", "Ver Imagen")</f>
        <v/>
      </c>
    </row>
    <row r="4799">
      <c r="A4799" t="n">
        <v>4442</v>
      </c>
      <c r="B4799" t="inlineStr">
        <is>
          <t>A-490__542</t>
        </is>
      </c>
      <c r="C4799" t="n">
        <v>37.4898052202</v>
      </c>
      <c r="D4799" t="n">
        <v>-7.24855845635</v>
      </c>
      <c r="E4799" t="n">
        <v>1</v>
      </c>
      <c r="F4799" t="n">
        <v>3</v>
      </c>
      <c r="G4799" t="n">
        <v>2</v>
      </c>
      <c r="H4799" t="n">
        <v>2</v>
      </c>
      <c r="I4799" t="n">
        <v>1</v>
      </c>
      <c r="J4799" t="inlineStr">
        <is>
          <t>Mediana</t>
        </is>
      </c>
      <c r="K4799" t="n">
        <v>2</v>
      </c>
      <c r="L4799" t="n">
        <v>1.863</v>
      </c>
      <c r="M4799" t="n">
        <v>0</v>
      </c>
      <c r="N4799" t="inlineStr">
        <is>
          <t>train</t>
        </is>
      </c>
      <c r="O4799">
        <f>HYPERLINK("NoConsenso\marker_929_818374.png", "Ver Imagen")</f>
        <v/>
      </c>
      <c r="P4799">
        <f>HYPERLINK("NO\A-490\A-490__542.png", "Ver Imagen")</f>
        <v/>
      </c>
    </row>
    <row r="4800">
      <c r="A4800" t="n">
        <v>4443</v>
      </c>
      <c r="B4800" t="inlineStr">
        <is>
          <t>A-490__543</t>
        </is>
      </c>
      <c r="C4800" t="n">
        <v>37.4899427462</v>
      </c>
      <c r="D4800" t="n">
        <v>-7.24871455548</v>
      </c>
      <c r="E4800" t="n">
        <v>1</v>
      </c>
      <c r="F4800" t="n">
        <v>3</v>
      </c>
      <c r="G4800" t="n">
        <v>2</v>
      </c>
      <c r="H4800" t="n">
        <v>2</v>
      </c>
      <c r="I4800" t="n">
        <v>2</v>
      </c>
      <c r="J4800" t="inlineStr">
        <is>
          <t>Mediana</t>
        </is>
      </c>
      <c r="K4800" t="n">
        <v>2</v>
      </c>
      <c r="L4800" t="n">
        <v>1.832</v>
      </c>
      <c r="M4800" t="n">
        <v>0</v>
      </c>
      <c r="N4800" t="inlineStr">
        <is>
          <t>train</t>
        </is>
      </c>
      <c r="O4800">
        <f>HYPERLINK("NoConsenso\marker_179_818390.png", "Ver Imagen")</f>
        <v/>
      </c>
      <c r="P4800">
        <f>HYPERLINK("NO\A-490\A-490__543.png", "Ver Imagen")</f>
        <v/>
      </c>
    </row>
    <row r="4801">
      <c r="A4801" t="n">
        <v>4444</v>
      </c>
      <c r="B4801" t="inlineStr">
        <is>
          <t>A-490__545</t>
        </is>
      </c>
      <c r="C4801" t="n">
        <v>37.4902600033</v>
      </c>
      <c r="D4801" t="n">
        <v>-7.24907663843</v>
      </c>
      <c r="E4801" t="n">
        <v>1</v>
      </c>
      <c r="F4801" t="n">
        <v>3</v>
      </c>
      <c r="G4801" t="n">
        <v>2</v>
      </c>
      <c r="H4801" t="n">
        <v>3</v>
      </c>
      <c r="I4801" t="n">
        <v>3</v>
      </c>
      <c r="J4801" t="inlineStr">
        <is>
          <t>Modificada</t>
        </is>
      </c>
      <c r="K4801" t="n">
        <v>2</v>
      </c>
      <c r="L4801" t="n">
        <v>1.878</v>
      </c>
      <c r="M4801" t="n">
        <v>0</v>
      </c>
      <c r="N4801" t="inlineStr">
        <is>
          <t>train</t>
        </is>
      </c>
      <c r="O4801">
        <f>HYPERLINK("NoConsenso\marker_587_818414.png", "Ver Imagen")</f>
        <v/>
      </c>
      <c r="P4801">
        <f>HYPERLINK("NO\A-490\A-490__545.png", "Ver Imagen")</f>
        <v/>
      </c>
    </row>
    <row r="4802">
      <c r="A4802" t="n">
        <v>4445</v>
      </c>
      <c r="B4802" t="inlineStr">
        <is>
          <t>A-490__553</t>
        </is>
      </c>
      <c r="C4802" t="n">
        <v>37.4907183863</v>
      </c>
      <c r="D4802" t="n">
        <v>-7.25094613529</v>
      </c>
      <c r="E4802" t="n">
        <v>1</v>
      </c>
      <c r="F4802" t="n">
        <v>3</v>
      </c>
      <c r="G4802" t="n">
        <v>2</v>
      </c>
      <c r="H4802" t="n">
        <v>2</v>
      </c>
      <c r="I4802" t="n">
        <v>1</v>
      </c>
      <c r="J4802" t="inlineStr">
        <is>
          <t>Mediana</t>
        </is>
      </c>
      <c r="K4802" t="n">
        <v>2</v>
      </c>
      <c r="L4802" t="n">
        <v>1.99</v>
      </c>
      <c r="M4802" t="n">
        <v>0</v>
      </c>
      <c r="N4802" t="inlineStr">
        <is>
          <t>train</t>
        </is>
      </c>
      <c r="O4802">
        <f>HYPERLINK("NoConsenso\marker_778_818647.png", "Ver Imagen")</f>
        <v/>
      </c>
      <c r="P4802">
        <f>HYPERLINK("NO\A-490\A-490__553.png", "Ver Imagen")</f>
        <v/>
      </c>
    </row>
    <row r="4803">
      <c r="A4803" t="n">
        <v>4446</v>
      </c>
      <c r="B4803" t="inlineStr">
        <is>
          <t>A-490__554</t>
        </is>
      </c>
      <c r="C4803" t="n">
        <v>37.4907124642</v>
      </c>
      <c r="D4803" t="n">
        <v>-7.25118161908</v>
      </c>
      <c r="E4803" t="n">
        <v>1</v>
      </c>
      <c r="F4803" t="n">
        <v>3</v>
      </c>
      <c r="G4803" t="n">
        <v>2</v>
      </c>
      <c r="H4803" t="n">
        <v>2</v>
      </c>
      <c r="I4803" t="n">
        <v>3</v>
      </c>
      <c r="J4803" t="inlineStr">
        <is>
          <t>Mediana</t>
        </is>
      </c>
      <c r="K4803" t="n">
        <v>2</v>
      </c>
      <c r="L4803" t="n">
        <v>1.588</v>
      </c>
      <c r="M4803" t="n">
        <v>0</v>
      </c>
      <c r="N4803" t="inlineStr">
        <is>
          <t>train</t>
        </is>
      </c>
      <c r="O4803">
        <f>HYPERLINK("NoConsenso\marker_953_818660.png", "Ver Imagen")</f>
        <v/>
      </c>
      <c r="P4803">
        <f>HYPERLINK("NO\A-490\A-490__554.png", "Ver Imagen")</f>
        <v/>
      </c>
    </row>
    <row r="4804">
      <c r="A4804" t="n">
        <v>4449</v>
      </c>
      <c r="B4804" t="inlineStr">
        <is>
          <t>A-490__589</t>
        </is>
      </c>
      <c r="C4804" t="n">
        <v>37.4904114518</v>
      </c>
      <c r="D4804" t="n">
        <v>-7.25989274574</v>
      </c>
      <c r="E4804" t="n">
        <v>1</v>
      </c>
      <c r="F4804" t="n">
        <v>2</v>
      </c>
      <c r="G4804" t="n">
        <v>3</v>
      </c>
      <c r="H4804" t="n">
        <v>2</v>
      </c>
      <c r="I4804" t="n">
        <v>2</v>
      </c>
      <c r="J4804" t="inlineStr">
        <is>
          <t>Mediana</t>
        </is>
      </c>
      <c r="K4804" t="n">
        <v>2</v>
      </c>
      <c r="L4804" t="n">
        <v>2.02</v>
      </c>
      <c r="M4804" t="n">
        <v>0</v>
      </c>
      <c r="N4804" t="inlineStr">
        <is>
          <t>train</t>
        </is>
      </c>
      <c r="O4804">
        <f>HYPERLINK("NoConsenso\marker_159_819614.png", "Ver Imagen")</f>
        <v/>
      </c>
      <c r="P4804">
        <f>HYPERLINK("NO\A-490\A-490__589.png", "Ver Imagen")</f>
        <v/>
      </c>
    </row>
    <row r="4805">
      <c r="A4805" t="n">
        <v>4451</v>
      </c>
      <c r="B4805" t="inlineStr">
        <is>
          <t>A-490__592</t>
        </is>
      </c>
      <c r="C4805" t="n">
        <v>37.4908546396</v>
      </c>
      <c r="D4805" t="n">
        <v>-7.26037738632</v>
      </c>
      <c r="E4805" t="n">
        <v>1</v>
      </c>
      <c r="F4805" t="n">
        <v>2</v>
      </c>
      <c r="G4805" t="n">
        <v>3</v>
      </c>
      <c r="H4805" t="n">
        <v>2</v>
      </c>
      <c r="I4805" t="n">
        <v>2</v>
      </c>
      <c r="J4805" t="inlineStr">
        <is>
          <t>Mediana</t>
        </is>
      </c>
      <c r="K4805" t="n">
        <v>2</v>
      </c>
      <c r="L4805" t="n">
        <v>1.531</v>
      </c>
      <c r="M4805" t="n">
        <v>0</v>
      </c>
      <c r="N4805" t="inlineStr">
        <is>
          <t>train</t>
        </is>
      </c>
      <c r="O4805">
        <f>HYPERLINK("NoConsenso\marker_586_819653.png", "Ver Imagen")</f>
        <v/>
      </c>
      <c r="P4805">
        <f>HYPERLINK("NO\A-490\A-490__592.png", "Ver Imagen")</f>
        <v/>
      </c>
    </row>
    <row r="4806">
      <c r="A4806" t="n">
        <v>4452</v>
      </c>
      <c r="B4806" t="inlineStr">
        <is>
          <t>A-490__596</t>
        </is>
      </c>
      <c r="C4806" t="n">
        <v>37.4914492304</v>
      </c>
      <c r="D4806" t="n">
        <v>-7.26096308834</v>
      </c>
      <c r="E4806" t="n">
        <v>2</v>
      </c>
      <c r="F4806" t="n">
        <v>4</v>
      </c>
      <c r="G4806" t="n">
        <v>3</v>
      </c>
      <c r="H4806" t="n">
        <v>3</v>
      </c>
      <c r="I4806" t="n">
        <v>4</v>
      </c>
      <c r="J4806" t="inlineStr">
        <is>
          <t>Mediana</t>
        </is>
      </c>
      <c r="K4806" t="n">
        <v>3</v>
      </c>
      <c r="L4806" t="n">
        <v>3.457</v>
      </c>
      <c r="M4806" t="n">
        <v>0</v>
      </c>
      <c r="N4806" t="inlineStr">
        <is>
          <t>train</t>
        </is>
      </c>
      <c r="O4806">
        <f>HYPERLINK("NoConsenso\marker_537_819709.png", "Ver Imagen")</f>
        <v/>
      </c>
      <c r="P4806">
        <f>HYPERLINK("NO\A-490\A-490__596.png", "Ver Imagen")</f>
        <v/>
      </c>
    </row>
    <row r="4807">
      <c r="A4807" t="n">
        <v>4453</v>
      </c>
      <c r="B4807" t="inlineStr">
        <is>
          <t>A-490__597</t>
        </is>
      </c>
      <c r="C4807" t="n">
        <v>37.4916092694</v>
      </c>
      <c r="D4807" t="n">
        <v>-7.26112074552</v>
      </c>
      <c r="E4807" t="n">
        <v>2</v>
      </c>
      <c r="F4807" t="n">
        <v>4</v>
      </c>
      <c r="G4807" t="n">
        <v>3</v>
      </c>
      <c r="H4807" t="n">
        <v>3</v>
      </c>
      <c r="I4807" t="n">
        <v>4</v>
      </c>
      <c r="J4807" t="inlineStr">
        <is>
          <t>Mediana</t>
        </is>
      </c>
      <c r="K4807" t="n">
        <v>3</v>
      </c>
      <c r="L4807" t="n">
        <v>3.343</v>
      </c>
      <c r="M4807" t="n">
        <v>0</v>
      </c>
      <c r="N4807" t="inlineStr">
        <is>
          <t>train</t>
        </is>
      </c>
      <c r="O4807">
        <f>HYPERLINK("NoConsenso\marker_344_819723.png", "Ver Imagen")</f>
        <v/>
      </c>
      <c r="P4807">
        <f>HYPERLINK("NO\A-490\A-490__597.png", "Ver Imagen")</f>
        <v/>
      </c>
    </row>
    <row r="4808">
      <c r="A4808" t="n">
        <v>4455</v>
      </c>
      <c r="B4808" t="inlineStr">
        <is>
          <t>A-490__600</t>
        </is>
      </c>
      <c r="C4808" t="n">
        <v>37.4920886399</v>
      </c>
      <c r="D4808" t="n">
        <v>-7.2615908256</v>
      </c>
      <c r="E4808" t="n">
        <v>2</v>
      </c>
      <c r="F4808" t="n">
        <v>1</v>
      </c>
      <c r="G4808" t="n">
        <v>3</v>
      </c>
      <c r="H4808" t="n">
        <v>3</v>
      </c>
      <c r="I4808" t="n">
        <v>2</v>
      </c>
      <c r="J4808" t="inlineStr">
        <is>
          <t>Mediana</t>
        </is>
      </c>
      <c r="K4808" t="n">
        <v>2</v>
      </c>
      <c r="L4808" t="n">
        <v>2.299</v>
      </c>
      <c r="M4808" t="n">
        <v>0</v>
      </c>
      <c r="N4808" t="inlineStr">
        <is>
          <t>train</t>
        </is>
      </c>
      <c r="O4808">
        <f>HYPERLINK("NoConsenso\marker_101_819828.png", "Ver Imagen")</f>
        <v/>
      </c>
      <c r="P4808">
        <f>HYPERLINK("NO\A-490\A-490__600.png", "Ver Imagen")</f>
        <v/>
      </c>
    </row>
    <row r="4809">
      <c r="A4809" t="n">
        <v>4457</v>
      </c>
      <c r="B4809" t="inlineStr">
        <is>
          <t>A-490__607</t>
        </is>
      </c>
      <c r="C4809" t="n">
        <v>37.4929746442</v>
      </c>
      <c r="D4809" t="n">
        <v>-7.26303110884</v>
      </c>
      <c r="E4809" t="n">
        <v>1</v>
      </c>
      <c r="F4809" t="n">
        <v>3</v>
      </c>
      <c r="G4809" t="n">
        <v>2</v>
      </c>
      <c r="H4809" t="n">
        <v>1</v>
      </c>
      <c r="I4809" t="n">
        <v>1</v>
      </c>
      <c r="J4809" t="inlineStr">
        <is>
          <t>Mediana</t>
        </is>
      </c>
      <c r="K4809" t="n">
        <v>1</v>
      </c>
      <c r="L4809" t="n">
        <v>1.134</v>
      </c>
      <c r="M4809" t="n">
        <v>0</v>
      </c>
      <c r="N4809" t="inlineStr">
        <is>
          <t>train</t>
        </is>
      </c>
      <c r="O4809">
        <f>HYPERLINK("NoConsenso\marker_797_820174.png", "Ver Imagen")</f>
        <v/>
      </c>
      <c r="P4809">
        <f>HYPERLINK("NO\A-490\A-490__607.png", "Ver Imagen")</f>
        <v/>
      </c>
    </row>
    <row r="4810">
      <c r="A4810" t="n">
        <v>4458</v>
      </c>
      <c r="B4810" t="inlineStr">
        <is>
          <t>A-490__611</t>
        </is>
      </c>
      <c r="C4810" t="n">
        <v>37.4933058779</v>
      </c>
      <c r="D4810" t="n">
        <v>-7.26392608293</v>
      </c>
      <c r="E4810" t="n">
        <v>1</v>
      </c>
      <c r="F4810" t="n">
        <v>2</v>
      </c>
      <c r="G4810" t="n">
        <v>3</v>
      </c>
      <c r="H4810" t="n">
        <v>2</v>
      </c>
      <c r="I4810" t="n">
        <v>2</v>
      </c>
      <c r="J4810" t="inlineStr">
        <is>
          <t>Mediana</t>
        </is>
      </c>
      <c r="K4810" t="n">
        <v>2</v>
      </c>
      <c r="L4810" t="n">
        <v>1.783</v>
      </c>
      <c r="M4810" t="n">
        <v>0</v>
      </c>
      <c r="N4810" t="inlineStr">
        <is>
          <t>train</t>
        </is>
      </c>
      <c r="O4810">
        <f>HYPERLINK("NoConsenso\marker_234_820214.png", "Ver Imagen")</f>
        <v/>
      </c>
      <c r="P4810">
        <f>HYPERLINK("NO\A-490\A-490__611.png", "Ver Imagen")</f>
        <v/>
      </c>
    </row>
    <row r="4811">
      <c r="A4811" t="n">
        <v>4459</v>
      </c>
      <c r="B4811" t="inlineStr">
        <is>
          <t>A-490__614</t>
        </is>
      </c>
      <c r="C4811" t="n">
        <v>37.4935946501</v>
      </c>
      <c r="D4811" t="n">
        <v>-7.26464475604</v>
      </c>
      <c r="E4811" t="n">
        <v>1</v>
      </c>
      <c r="F4811" t="n">
        <v>3</v>
      </c>
      <c r="G4811" t="n">
        <v>2</v>
      </c>
      <c r="H4811" t="n">
        <v>2</v>
      </c>
      <c r="I4811" t="n">
        <v>2</v>
      </c>
      <c r="J4811" t="inlineStr">
        <is>
          <t>Mediana</t>
        </is>
      </c>
      <c r="K4811" t="n">
        <v>2</v>
      </c>
      <c r="L4811" t="n">
        <v>1.945</v>
      </c>
      <c r="M4811" t="n">
        <v>0</v>
      </c>
      <c r="N4811" t="inlineStr">
        <is>
          <t>train</t>
        </is>
      </c>
      <c r="O4811">
        <f>HYPERLINK("NoConsenso\marker_624_820243.png", "Ver Imagen")</f>
        <v/>
      </c>
      <c r="P4811">
        <f>HYPERLINK("NO\A-490\A-490__614.png", "Ver Imagen")</f>
        <v/>
      </c>
    </row>
    <row r="4812">
      <c r="A4812" t="n">
        <v>4460</v>
      </c>
      <c r="B4812" t="inlineStr">
        <is>
          <t>A-490__625</t>
        </is>
      </c>
      <c r="C4812" t="n">
        <v>37.494850928</v>
      </c>
      <c r="D4812" t="n">
        <v>-7.2668701104</v>
      </c>
      <c r="E4812" t="n">
        <v>2</v>
      </c>
      <c r="F4812" t="n">
        <v>2</v>
      </c>
      <c r="G4812" t="n">
        <v>4</v>
      </c>
      <c r="H4812" t="n">
        <v>3</v>
      </c>
      <c r="I4812" t="n">
        <v>4</v>
      </c>
      <c r="J4812" t="inlineStr">
        <is>
          <t>Mediana</t>
        </is>
      </c>
      <c r="K4812" t="n">
        <v>3</v>
      </c>
      <c r="L4812" t="n">
        <v>2.854</v>
      </c>
      <c r="M4812" t="n">
        <v>0</v>
      </c>
      <c r="N4812" t="inlineStr">
        <is>
          <t>train</t>
        </is>
      </c>
      <c r="O4812">
        <f>HYPERLINK("NoConsenso\marker_571_820366.png", "Ver Imagen")</f>
        <v/>
      </c>
      <c r="P4812">
        <f>HYPERLINK("NO\A-490\A-490__625.png", "Ver Imagen")</f>
        <v/>
      </c>
    </row>
    <row r="4813">
      <c r="A4813" t="n">
        <v>4461</v>
      </c>
      <c r="B4813" t="inlineStr">
        <is>
          <t>A-490__626</t>
        </is>
      </c>
      <c r="C4813" t="n">
        <v>37.4949195937</v>
      </c>
      <c r="D4813" t="n">
        <v>-7.26708769898</v>
      </c>
      <c r="E4813" t="n">
        <v>2</v>
      </c>
      <c r="F4813" t="n">
        <v>3</v>
      </c>
      <c r="G4813" t="n">
        <v>4</v>
      </c>
      <c r="H4813" t="n">
        <v>3</v>
      </c>
      <c r="I4813" t="n">
        <v>3</v>
      </c>
      <c r="J4813" t="inlineStr">
        <is>
          <t>Mediana</t>
        </is>
      </c>
      <c r="K4813" t="n">
        <v>3</v>
      </c>
      <c r="L4813" t="n">
        <v>3.247</v>
      </c>
      <c r="M4813" t="n">
        <v>0</v>
      </c>
      <c r="N4813" t="inlineStr">
        <is>
          <t>train</t>
        </is>
      </c>
      <c r="O4813">
        <f>HYPERLINK("NoConsenso\marker_106_820377.png", "Ver Imagen")</f>
        <v/>
      </c>
      <c r="P4813">
        <f>HYPERLINK("NO\A-490\A-490__626.png", "Ver Imagen")</f>
        <v/>
      </c>
    </row>
    <row r="4814">
      <c r="A4814" t="n">
        <v>4462</v>
      </c>
      <c r="B4814" t="inlineStr">
        <is>
          <t>A-492__5</t>
        </is>
      </c>
      <c r="C4814" t="n">
        <v>37.2724365146</v>
      </c>
      <c r="D4814" t="n">
        <v>-6.99100143001</v>
      </c>
      <c r="E4814" t="n">
        <v>2</v>
      </c>
      <c r="F4814" t="n">
        <v>3</v>
      </c>
      <c r="G4814" t="n">
        <v>4</v>
      </c>
      <c r="H4814" t="n">
        <v>3</v>
      </c>
      <c r="I4814" t="n">
        <v>4</v>
      </c>
      <c r="J4814" t="inlineStr">
        <is>
          <t>Mediana</t>
        </is>
      </c>
      <c r="K4814" t="n">
        <v>3</v>
      </c>
      <c r="L4814" t="n">
        <v>3.025</v>
      </c>
      <c r="M4814" t="n">
        <v>0</v>
      </c>
      <c r="N4814" t="inlineStr">
        <is>
          <t>val</t>
        </is>
      </c>
      <c r="O4814">
        <f>HYPERLINK("NoConsenso\marker_872_821549.png", "Ver Imagen")</f>
        <v/>
      </c>
      <c r="P4814">
        <f>HYPERLINK("SE\A-492\A-492__5.png", "Ver Imagen")</f>
        <v/>
      </c>
    </row>
    <row r="4815">
      <c r="A4815" t="n">
        <v>4463</v>
      </c>
      <c r="B4815" t="inlineStr">
        <is>
          <t>A-492__15</t>
        </is>
      </c>
      <c r="C4815" t="n">
        <v>37.2743845877</v>
      </c>
      <c r="D4815" t="n">
        <v>-6.99127950746</v>
      </c>
      <c r="E4815" t="n">
        <v>2</v>
      </c>
      <c r="F4815" t="n">
        <v>3</v>
      </c>
      <c r="G4815" t="n">
        <v>4</v>
      </c>
      <c r="H4815" t="n">
        <v>3</v>
      </c>
      <c r="I4815" t="n">
        <v>4</v>
      </c>
      <c r="J4815" t="inlineStr">
        <is>
          <t>Mediana</t>
        </is>
      </c>
      <c r="K4815" t="n">
        <v>3</v>
      </c>
      <c r="L4815" t="n">
        <v>2.834</v>
      </c>
      <c r="M4815" t="n">
        <v>0</v>
      </c>
      <c r="N4815" t="inlineStr">
        <is>
          <t>train</t>
        </is>
      </c>
      <c r="O4815">
        <f>HYPERLINK("NoConsenso\marker_553_821957.png", "Ver Imagen")</f>
        <v/>
      </c>
      <c r="P4815">
        <f>HYPERLINK("SE\A-492\A-492__15.png", "Ver Imagen")</f>
        <v/>
      </c>
    </row>
    <row r="4816">
      <c r="A4816" t="n">
        <v>4464</v>
      </c>
      <c r="B4816" t="inlineStr">
        <is>
          <t>A-492__17</t>
        </is>
      </c>
      <c r="C4816" t="n">
        <v>37.2747888132</v>
      </c>
      <c r="D4816" t="n">
        <v>-6.99122182202</v>
      </c>
      <c r="E4816" t="n">
        <v>2</v>
      </c>
      <c r="F4816" t="n">
        <v>3</v>
      </c>
      <c r="G4816" t="n">
        <v>4</v>
      </c>
      <c r="H4816" t="n">
        <v>4</v>
      </c>
      <c r="I4816" t="n">
        <v>4</v>
      </c>
      <c r="J4816" t="inlineStr">
        <is>
          <t>Mediana</t>
        </is>
      </c>
      <c r="K4816" t="n">
        <v>4</v>
      </c>
      <c r="L4816" t="n">
        <v>3.979</v>
      </c>
      <c r="M4816" t="n">
        <v>0</v>
      </c>
      <c r="N4816" t="inlineStr">
        <is>
          <t>train</t>
        </is>
      </c>
      <c r="O4816">
        <f>HYPERLINK("NoConsenso\marker_788_821984.png", "Ver Imagen")</f>
        <v/>
      </c>
      <c r="P4816">
        <f>HYPERLINK("SE\A-492\A-492__17.png", "Ver Imagen")</f>
        <v/>
      </c>
    </row>
    <row r="4817">
      <c r="A4817" t="n">
        <v>4465</v>
      </c>
      <c r="B4817" t="inlineStr">
        <is>
          <t>A-492__25</t>
        </is>
      </c>
      <c r="C4817" t="n">
        <v>37.2762405699</v>
      </c>
      <c r="D4817" t="n">
        <v>-6.99093363428</v>
      </c>
      <c r="E4817" t="n">
        <v>2</v>
      </c>
      <c r="F4817" t="n">
        <v>4</v>
      </c>
      <c r="G4817" t="n">
        <v>4</v>
      </c>
      <c r="H4817" t="n">
        <v>4</v>
      </c>
      <c r="I4817" t="n">
        <v>4</v>
      </c>
      <c r="J4817" t="inlineStr">
        <is>
          <t>Mediana</t>
        </is>
      </c>
      <c r="K4817" t="n">
        <v>4</v>
      </c>
      <c r="L4817" t="n">
        <v>3.573</v>
      </c>
      <c r="M4817" t="n">
        <v>0</v>
      </c>
      <c r="N4817" t="inlineStr">
        <is>
          <t>train</t>
        </is>
      </c>
      <c r="O4817">
        <f>HYPERLINK("NoConsenso\marker_542_822223.png", "Ver Imagen")</f>
        <v/>
      </c>
      <c r="P4817">
        <f>HYPERLINK("SE\A-492\A-492__25.png", "Ver Imagen")</f>
        <v/>
      </c>
    </row>
    <row r="4818">
      <c r="A4818" t="n">
        <v>4466</v>
      </c>
      <c r="B4818" t="inlineStr">
        <is>
          <t>A-492__27</t>
        </is>
      </c>
      <c r="C4818" t="n">
        <v>37.2764203426</v>
      </c>
      <c r="D4818" t="n">
        <v>-6.99127650104</v>
      </c>
      <c r="E4818" t="n">
        <v>2</v>
      </c>
      <c r="F4818" t="n">
        <v>4</v>
      </c>
      <c r="G4818" t="n">
        <v>4</v>
      </c>
      <c r="H4818" t="n">
        <v>4</v>
      </c>
      <c r="I4818" t="n">
        <v>5</v>
      </c>
      <c r="J4818" t="inlineStr">
        <is>
          <t>Modificada</t>
        </is>
      </c>
      <c r="K4818" t="n">
        <v>5</v>
      </c>
      <c r="L4818" t="n">
        <v>4.997</v>
      </c>
      <c r="M4818" t="n">
        <v>0</v>
      </c>
      <c r="N4818" t="inlineStr">
        <is>
          <t>train</t>
        </is>
      </c>
      <c r="O4818">
        <f>HYPERLINK("NoConsenso\marker_429_822248.png", "Ver Imagen")</f>
        <v/>
      </c>
      <c r="P4818">
        <f>HYPERLINK("SE\A-492\A-492__27.png", "Ver Imagen")</f>
        <v/>
      </c>
    </row>
    <row r="4819">
      <c r="A4819" t="n">
        <v>4467</v>
      </c>
      <c r="B4819" t="inlineStr">
        <is>
          <t>A-492__37</t>
        </is>
      </c>
      <c r="C4819" t="n">
        <v>37.2780544075</v>
      </c>
      <c r="D4819" t="n">
        <v>-6.99274153576</v>
      </c>
      <c r="E4819" t="n">
        <v>3</v>
      </c>
      <c r="F4819" t="n">
        <v>5</v>
      </c>
      <c r="G4819" t="n">
        <v>4</v>
      </c>
      <c r="H4819" t="n">
        <v>4</v>
      </c>
      <c r="I4819" t="n">
        <v>4</v>
      </c>
      <c r="J4819" t="inlineStr">
        <is>
          <t>Mediana</t>
        </is>
      </c>
      <c r="K4819" t="n">
        <v>4</v>
      </c>
      <c r="L4819" t="n">
        <v>3.803</v>
      </c>
      <c r="M4819" t="n">
        <v>0</v>
      </c>
      <c r="N4819" t="inlineStr">
        <is>
          <t>train</t>
        </is>
      </c>
      <c r="O4819">
        <f>HYPERLINK("NoConsenso\marker_157_822818.png", "Ver Imagen")</f>
        <v/>
      </c>
      <c r="P4819">
        <f>HYPERLINK("SE\A-492\A-492__37.png", "Ver Imagen")</f>
        <v/>
      </c>
    </row>
    <row r="4820">
      <c r="A4820" t="n">
        <v>4468</v>
      </c>
      <c r="B4820" t="inlineStr">
        <is>
          <t>A-492__50</t>
        </is>
      </c>
      <c r="C4820" t="n">
        <v>37.2792905531</v>
      </c>
      <c r="D4820" t="n">
        <v>-6.99558197789</v>
      </c>
      <c r="E4820" t="n">
        <v>3</v>
      </c>
      <c r="F4820" t="n">
        <v>2</v>
      </c>
      <c r="G4820" t="n">
        <v>4</v>
      </c>
      <c r="H4820" t="n">
        <v>1</v>
      </c>
      <c r="I4820" t="n">
        <v>1</v>
      </c>
      <c r="J4820" t="inlineStr">
        <is>
          <t>Modificada</t>
        </is>
      </c>
      <c r="K4820" t="n">
        <v>1</v>
      </c>
      <c r="L4820" t="n">
        <v>1.387</v>
      </c>
      <c r="M4820" t="n">
        <v>0</v>
      </c>
      <c r="N4820" t="inlineStr">
        <is>
          <t>train</t>
        </is>
      </c>
      <c r="O4820">
        <f>HYPERLINK("NoConsenso\marker_459_823004.png", "Ver Imagen")</f>
        <v/>
      </c>
      <c r="P4820">
        <f>HYPERLINK("SE\A-492\A-492__50.png", "Ver Imagen")</f>
        <v/>
      </c>
    </row>
    <row r="4821">
      <c r="A4821" t="n">
        <v>4469</v>
      </c>
      <c r="B4821" t="inlineStr">
        <is>
          <t>A-492__51</t>
        </is>
      </c>
      <c r="C4821" t="n">
        <v>37.2793536791</v>
      </c>
      <c r="D4821" t="n">
        <v>-6.99584761047</v>
      </c>
      <c r="E4821" t="n">
        <v>2</v>
      </c>
      <c r="F4821" t="n">
        <v>1</v>
      </c>
      <c r="G4821" t="n">
        <v>3</v>
      </c>
      <c r="H4821" t="n">
        <v>1</v>
      </c>
      <c r="I4821" t="n">
        <v>1</v>
      </c>
      <c r="J4821" t="inlineStr">
        <is>
          <t>Mediana</t>
        </is>
      </c>
      <c r="K4821" t="n">
        <v>1</v>
      </c>
      <c r="L4821" t="n">
        <v>1.158</v>
      </c>
      <c r="M4821" t="n">
        <v>0</v>
      </c>
      <c r="N4821" t="inlineStr">
        <is>
          <t>train</t>
        </is>
      </c>
      <c r="O4821">
        <f>HYPERLINK("NoConsenso\marker_642_823016.png", "Ver Imagen")</f>
        <v/>
      </c>
      <c r="P4821">
        <f>HYPERLINK("SE\A-492\A-492__51.png", "Ver Imagen")</f>
        <v/>
      </c>
    </row>
    <row r="4822">
      <c r="A4822" t="n">
        <v>4470</v>
      </c>
      <c r="B4822" t="inlineStr">
        <is>
          <t>A-492__85</t>
        </is>
      </c>
      <c r="C4822" t="n">
        <v>37.2806855398</v>
      </c>
      <c r="D4822" t="n">
        <v>-7.00378119714</v>
      </c>
      <c r="E4822" t="n">
        <v>3</v>
      </c>
      <c r="F4822" t="n">
        <v>2</v>
      </c>
      <c r="G4822" t="n">
        <v>4</v>
      </c>
      <c r="H4822" t="n">
        <v>2</v>
      </c>
      <c r="I4822" t="n">
        <v>3</v>
      </c>
      <c r="J4822" t="inlineStr">
        <is>
          <t>Modificada</t>
        </is>
      </c>
      <c r="K4822" t="n">
        <v>2</v>
      </c>
      <c r="L4822" t="n">
        <v>1.72</v>
      </c>
      <c r="M4822" t="n">
        <v>0</v>
      </c>
      <c r="N4822" t="inlineStr">
        <is>
          <t>train</t>
        </is>
      </c>
      <c r="O4822">
        <f>HYPERLINK("NoConsenso\marker_422_823556.png", "Ver Imagen")</f>
        <v/>
      </c>
      <c r="P4822">
        <f>HYPERLINK("SE\A-492\A-492__85.png", "Ver Imagen")</f>
        <v/>
      </c>
    </row>
    <row r="4823">
      <c r="A4823" t="n">
        <v>4471</v>
      </c>
      <c r="B4823" t="inlineStr">
        <is>
          <t>A-492__96</t>
        </is>
      </c>
      <c r="C4823" t="n">
        <v>37.2798677695</v>
      </c>
      <c r="D4823" t="n">
        <v>-7.00634118049</v>
      </c>
      <c r="E4823" t="n">
        <v>1</v>
      </c>
      <c r="F4823" t="n">
        <v>3</v>
      </c>
      <c r="G4823" t="n">
        <v>3</v>
      </c>
      <c r="H4823" t="n">
        <v>2</v>
      </c>
      <c r="I4823" t="n">
        <v>2</v>
      </c>
      <c r="J4823" t="inlineStr">
        <is>
          <t>Mediana</t>
        </is>
      </c>
      <c r="K4823" t="n">
        <v>2</v>
      </c>
      <c r="L4823" t="n">
        <v>2.108</v>
      </c>
      <c r="M4823" t="n">
        <v>0</v>
      </c>
      <c r="N4823" t="inlineStr">
        <is>
          <t>test</t>
        </is>
      </c>
      <c r="O4823">
        <f>HYPERLINK("NoConsenso\marker_980_823715.png", "Ver Imagen")</f>
        <v/>
      </c>
      <c r="P4823">
        <f>HYPERLINK("SE\A-492\A-492__96.png", "Ver Imagen")</f>
        <v/>
      </c>
    </row>
    <row r="4824">
      <c r="A4824" t="n">
        <v>4472</v>
      </c>
      <c r="B4824" t="inlineStr">
        <is>
          <t>A-492__101</t>
        </is>
      </c>
      <c r="C4824" t="n">
        <v>37.2794361971</v>
      </c>
      <c r="D4824" t="n">
        <v>-7.00744810952</v>
      </c>
      <c r="E4824" t="n">
        <v>1</v>
      </c>
      <c r="F4824" t="n">
        <v>3</v>
      </c>
      <c r="G4824" t="n">
        <v>3</v>
      </c>
      <c r="H4824" t="n">
        <v>2</v>
      </c>
      <c r="I4824" t="n">
        <v>1</v>
      </c>
      <c r="J4824" t="inlineStr">
        <is>
          <t>Mediana</t>
        </is>
      </c>
      <c r="K4824" t="n">
        <v>2</v>
      </c>
      <c r="L4824" t="n">
        <v>1.969</v>
      </c>
      <c r="M4824" t="n">
        <v>0</v>
      </c>
      <c r="N4824" t="inlineStr">
        <is>
          <t>train</t>
        </is>
      </c>
      <c r="O4824">
        <f>HYPERLINK("NoConsenso\marker_798_823773.png", "Ver Imagen")</f>
        <v/>
      </c>
      <c r="P4824">
        <f>HYPERLINK("SE\A-492\A-492__101.png", "Ver Imagen")</f>
        <v/>
      </c>
    </row>
    <row r="4825">
      <c r="A4825" t="n">
        <v>4473</v>
      </c>
      <c r="B4825" t="inlineStr">
        <is>
          <t>A-492__122</t>
        </is>
      </c>
      <c r="C4825" t="n">
        <v>37.2772783423</v>
      </c>
      <c r="D4825" t="n">
        <v>-7.01204535668</v>
      </c>
      <c r="E4825" t="n">
        <v>2</v>
      </c>
      <c r="F4825" t="n">
        <v>3</v>
      </c>
      <c r="G4825" t="n">
        <v>4</v>
      </c>
      <c r="H4825" t="n">
        <v>2</v>
      </c>
      <c r="I4825" t="n">
        <v>2</v>
      </c>
      <c r="J4825" t="inlineStr">
        <is>
          <t>Mediana</t>
        </is>
      </c>
      <c r="K4825" t="n">
        <v>2</v>
      </c>
      <c r="L4825" t="n">
        <v>2.266</v>
      </c>
      <c r="M4825" t="n">
        <v>0</v>
      </c>
      <c r="N4825" t="inlineStr">
        <is>
          <t>train</t>
        </is>
      </c>
      <c r="O4825">
        <f>HYPERLINK("NoConsenso\marker_887_824442.png", "Ver Imagen")</f>
        <v/>
      </c>
      <c r="P4825">
        <f>HYPERLINK("SE\A-492\A-492__122.png", "Ver Imagen")</f>
        <v/>
      </c>
    </row>
    <row r="4826">
      <c r="A4826" t="n">
        <v>4474</v>
      </c>
      <c r="B4826" t="inlineStr">
        <is>
          <t>A-492__124</t>
        </is>
      </c>
      <c r="C4826" t="n">
        <v>37.2770383431</v>
      </c>
      <c r="D4826" t="n">
        <v>-7.0124783125</v>
      </c>
      <c r="E4826" t="n">
        <v>2</v>
      </c>
      <c r="F4826" t="n">
        <v>3</v>
      </c>
      <c r="G4826" t="n">
        <v>4</v>
      </c>
      <c r="H4826" t="n">
        <v>3</v>
      </c>
      <c r="I4826" t="n">
        <v>3</v>
      </c>
      <c r="J4826" t="inlineStr">
        <is>
          <t>Mediana</t>
        </is>
      </c>
      <c r="K4826" t="n">
        <v>3</v>
      </c>
      <c r="L4826" t="n">
        <v>2.972</v>
      </c>
      <c r="M4826" t="n">
        <v>0</v>
      </c>
      <c r="N4826" t="inlineStr">
        <is>
          <t>train</t>
        </is>
      </c>
      <c r="O4826">
        <f>HYPERLINK("NoConsenso\marker_748_824468.png", "Ver Imagen")</f>
        <v/>
      </c>
      <c r="P4826">
        <f>HYPERLINK("SE\A-492\A-492__124.png", "Ver Imagen")</f>
        <v/>
      </c>
    </row>
    <row r="4827">
      <c r="A4827" t="n">
        <v>4475</v>
      </c>
      <c r="B4827" t="inlineStr">
        <is>
          <t>A-492__133</t>
        </is>
      </c>
      <c r="C4827" t="n">
        <v>37.2760942508</v>
      </c>
      <c r="D4827" t="n">
        <v>-7.01441395708</v>
      </c>
      <c r="E4827" t="n">
        <v>2</v>
      </c>
      <c r="F4827" t="n">
        <v>3</v>
      </c>
      <c r="G4827" t="n">
        <v>4</v>
      </c>
      <c r="H4827" t="n">
        <v>2</v>
      </c>
      <c r="I4827" t="n">
        <v>2</v>
      </c>
      <c r="J4827" t="inlineStr">
        <is>
          <t>Mediana</t>
        </is>
      </c>
      <c r="K4827" t="n">
        <v>2</v>
      </c>
      <c r="L4827" t="n">
        <v>2.038</v>
      </c>
      <c r="M4827" t="n">
        <v>0</v>
      </c>
      <c r="N4827" t="inlineStr">
        <is>
          <t>train</t>
        </is>
      </c>
      <c r="O4827">
        <f>HYPERLINK("NoConsenso\marker_155_824574.png", "Ver Imagen")</f>
        <v/>
      </c>
      <c r="P4827">
        <f>HYPERLINK("SE\A-492\A-492__133.png", "Ver Imagen")</f>
        <v/>
      </c>
    </row>
    <row r="4828">
      <c r="A4828" t="n">
        <v>4476</v>
      </c>
      <c r="B4828" t="inlineStr">
        <is>
          <t>A-492__137</t>
        </is>
      </c>
      <c r="C4828" t="n">
        <v>37.2759227785</v>
      </c>
      <c r="D4828" t="n">
        <v>-7.01525624738</v>
      </c>
      <c r="E4828" t="n">
        <v>2</v>
      </c>
      <c r="F4828" t="n">
        <v>3</v>
      </c>
      <c r="G4828" t="n">
        <v>4</v>
      </c>
      <c r="H4828" t="n">
        <v>4</v>
      </c>
      <c r="I4828" t="n">
        <v>3</v>
      </c>
      <c r="J4828" t="inlineStr">
        <is>
          <t>Mediana</t>
        </is>
      </c>
      <c r="K4828" t="n">
        <v>3</v>
      </c>
      <c r="L4828" t="n">
        <v>2.937</v>
      </c>
      <c r="M4828" t="n">
        <v>0</v>
      </c>
      <c r="N4828" t="inlineStr">
        <is>
          <t>train</t>
        </is>
      </c>
      <c r="O4828">
        <f>HYPERLINK("NoConsenso\marker_639_824630.png", "Ver Imagen")</f>
        <v/>
      </c>
      <c r="P4828">
        <f>HYPERLINK("SE\A-492\A-492__137.png", "Ver Imagen")</f>
        <v/>
      </c>
    </row>
    <row r="4829">
      <c r="A4829" t="n">
        <v>4477</v>
      </c>
      <c r="B4829" t="inlineStr">
        <is>
          <t>A-492__152</t>
        </is>
      </c>
      <c r="C4829" t="n">
        <v>37.2756179577</v>
      </c>
      <c r="D4829" t="n">
        <v>-7.01876428854</v>
      </c>
      <c r="E4829" t="n">
        <v>1</v>
      </c>
      <c r="F4829" t="n">
        <v>2</v>
      </c>
      <c r="G4829" t="n">
        <v>3</v>
      </c>
      <c r="H4829" t="n">
        <v>1</v>
      </c>
      <c r="I4829" t="n">
        <v>1</v>
      </c>
      <c r="J4829" t="inlineStr">
        <is>
          <t>Mediana</t>
        </is>
      </c>
      <c r="K4829" t="n">
        <v>1</v>
      </c>
      <c r="L4829" t="n">
        <v>1.179</v>
      </c>
      <c r="M4829" t="n">
        <v>0</v>
      </c>
      <c r="N4829" t="inlineStr">
        <is>
          <t>train</t>
        </is>
      </c>
      <c r="O4829">
        <f>HYPERLINK("NoConsenso\marker_661_824829.png", "Ver Imagen")</f>
        <v/>
      </c>
      <c r="P4829">
        <f>HYPERLINK("SE\A-492\A-492__152.png", "Ver Imagen")</f>
        <v/>
      </c>
    </row>
    <row r="4830">
      <c r="A4830" t="n">
        <v>4478</v>
      </c>
      <c r="B4830" t="inlineStr">
        <is>
          <t>A-492__153</t>
        </is>
      </c>
      <c r="C4830" t="n">
        <v>37.2756513608</v>
      </c>
      <c r="D4830" t="n">
        <v>-7.01901084733</v>
      </c>
      <c r="E4830" t="n">
        <v>1</v>
      </c>
      <c r="F4830" t="n">
        <v>2</v>
      </c>
      <c r="G4830" t="n">
        <v>3</v>
      </c>
      <c r="H4830" t="n">
        <v>1</v>
      </c>
      <c r="I4830" t="n">
        <v>1</v>
      </c>
      <c r="J4830" t="inlineStr">
        <is>
          <t>Mediana</t>
        </is>
      </c>
      <c r="K4830" t="n">
        <v>1</v>
      </c>
      <c r="L4830" t="n">
        <v>1.06</v>
      </c>
      <c r="M4830" t="n">
        <v>0</v>
      </c>
      <c r="N4830" t="inlineStr">
        <is>
          <t>train</t>
        </is>
      </c>
      <c r="O4830">
        <f>HYPERLINK("NoConsenso\marker_242_824839.png", "Ver Imagen")</f>
        <v/>
      </c>
      <c r="P4830">
        <f>HYPERLINK("SE\A-492\A-492__153.png", "Ver Imagen")</f>
        <v/>
      </c>
    </row>
    <row r="4831">
      <c r="A4831" t="n">
        <v>4480</v>
      </c>
      <c r="B4831" t="inlineStr">
        <is>
          <t>A-492__155</t>
        </is>
      </c>
      <c r="C4831" t="n">
        <v>37.27571627</v>
      </c>
      <c r="D4831" t="n">
        <v>-7.01949688418</v>
      </c>
      <c r="E4831" t="n">
        <v>1</v>
      </c>
      <c r="F4831" t="n">
        <v>2</v>
      </c>
      <c r="G4831" t="n">
        <v>3</v>
      </c>
      <c r="H4831" t="n">
        <v>2</v>
      </c>
      <c r="I4831" t="n">
        <v>2</v>
      </c>
      <c r="J4831" t="inlineStr">
        <is>
          <t>Mediana</t>
        </is>
      </c>
      <c r="K4831" t="n">
        <v>2</v>
      </c>
      <c r="L4831" t="n">
        <v>1.907</v>
      </c>
      <c r="M4831" t="n">
        <v>0</v>
      </c>
      <c r="N4831" t="inlineStr">
        <is>
          <t>train</t>
        </is>
      </c>
      <c r="O4831">
        <f>HYPERLINK("NoConsenso\marker_224_824897.png", "Ver Imagen")</f>
        <v/>
      </c>
      <c r="P4831">
        <f>HYPERLINK("SE\A-492\A-492__155.png", "Ver Imagen")</f>
        <v/>
      </c>
    </row>
    <row r="4832">
      <c r="A4832" t="n">
        <v>4482</v>
      </c>
      <c r="B4832" t="inlineStr">
        <is>
          <t>A-492__157</t>
        </is>
      </c>
      <c r="C4832" t="n">
        <v>37.2757839801</v>
      </c>
      <c r="D4832" t="n">
        <v>-7.02000424152</v>
      </c>
      <c r="E4832" t="n">
        <v>1</v>
      </c>
      <c r="F4832" t="n">
        <v>2</v>
      </c>
      <c r="G4832" t="n">
        <v>3</v>
      </c>
      <c r="H4832" t="n">
        <v>1</v>
      </c>
      <c r="I4832" t="n">
        <v>2</v>
      </c>
      <c r="J4832" t="inlineStr">
        <is>
          <t>Mediana</t>
        </is>
      </c>
      <c r="K4832" t="n">
        <v>2</v>
      </c>
      <c r="L4832" t="n">
        <v>1.576</v>
      </c>
      <c r="M4832" t="n">
        <v>0</v>
      </c>
      <c r="N4832" t="inlineStr">
        <is>
          <t>train</t>
        </is>
      </c>
      <c r="O4832">
        <f>HYPERLINK("NoConsenso\marker_687_824918.png", "Ver Imagen")</f>
        <v/>
      </c>
      <c r="P4832">
        <f>HYPERLINK("SE\A-492\A-492__157.png", "Ver Imagen")</f>
        <v/>
      </c>
    </row>
    <row r="4833">
      <c r="A4833" t="n">
        <v>4483</v>
      </c>
      <c r="B4833" t="inlineStr">
        <is>
          <t>A-492__159</t>
        </is>
      </c>
      <c r="C4833" t="n">
        <v>37.2758563045</v>
      </c>
      <c r="D4833" t="n">
        <v>-7.02053638602</v>
      </c>
      <c r="E4833" t="n">
        <v>1</v>
      </c>
      <c r="F4833" t="n">
        <v>2</v>
      </c>
      <c r="G4833" t="n">
        <v>3</v>
      </c>
      <c r="H4833" t="n">
        <v>2</v>
      </c>
      <c r="I4833" t="n">
        <v>2</v>
      </c>
      <c r="J4833" t="inlineStr">
        <is>
          <t>Mediana</t>
        </is>
      </c>
      <c r="K4833" t="n">
        <v>2</v>
      </c>
      <c r="L4833" t="n">
        <v>2.003</v>
      </c>
      <c r="M4833" t="n">
        <v>0</v>
      </c>
      <c r="N4833" t="inlineStr">
        <is>
          <t>val</t>
        </is>
      </c>
      <c r="O4833">
        <f>HYPERLINK("NoConsenso\marker_582_824942.png", "Ver Imagen")</f>
        <v/>
      </c>
      <c r="P4833">
        <f>HYPERLINK("SE\A-492\A-492__159.png", "Ver Imagen")</f>
        <v/>
      </c>
    </row>
    <row r="4834">
      <c r="A4834" t="n">
        <v>4484</v>
      </c>
      <c r="B4834" t="inlineStr">
        <is>
          <t>A-492__162</t>
        </is>
      </c>
      <c r="C4834" t="n">
        <v>37.2759494125</v>
      </c>
      <c r="D4834" t="n">
        <v>-7.02123840212</v>
      </c>
      <c r="E4834" t="n">
        <v>1</v>
      </c>
      <c r="F4834" t="n">
        <v>2</v>
      </c>
      <c r="G4834" t="n">
        <v>3</v>
      </c>
      <c r="H4834" t="n">
        <v>2</v>
      </c>
      <c r="I4834" t="n">
        <v>2</v>
      </c>
      <c r="J4834" t="inlineStr">
        <is>
          <t>Mediana</t>
        </is>
      </c>
      <c r="K4834" t="n">
        <v>2</v>
      </c>
      <c r="L4834" t="n">
        <v>1.652</v>
      </c>
      <c r="M4834" t="n">
        <v>0</v>
      </c>
      <c r="N4834" t="inlineStr">
        <is>
          <t>train</t>
        </is>
      </c>
      <c r="O4834">
        <f>HYPERLINK("NoConsenso\marker_556_831344.png", "Ver Imagen")</f>
        <v/>
      </c>
      <c r="P4834">
        <f>HYPERLINK("SE\A-492\A-492__162.png", "Ver Imagen")</f>
        <v/>
      </c>
    </row>
    <row r="4835">
      <c r="A4835" t="n">
        <v>4485</v>
      </c>
      <c r="B4835" t="inlineStr">
        <is>
          <t>A-492__164</t>
        </is>
      </c>
      <c r="C4835" t="n">
        <v>37.2760147814</v>
      </c>
      <c r="D4835" t="n">
        <v>-7.02174560117</v>
      </c>
      <c r="E4835" t="n">
        <v>1</v>
      </c>
      <c r="F4835" t="n">
        <v>2</v>
      </c>
      <c r="G4835" t="n">
        <v>3</v>
      </c>
      <c r="H4835" t="n">
        <v>1</v>
      </c>
      <c r="I4835" t="n">
        <v>2</v>
      </c>
      <c r="J4835" t="inlineStr">
        <is>
          <t>Mediana</t>
        </is>
      </c>
      <c r="K4835" t="n">
        <v>2</v>
      </c>
      <c r="L4835" t="n">
        <v>1.76</v>
      </c>
      <c r="M4835" t="n">
        <v>0</v>
      </c>
      <c r="N4835" t="inlineStr">
        <is>
          <t>train</t>
        </is>
      </c>
      <c r="O4835">
        <f>HYPERLINK("NoConsenso\marker_385_831366.png", "Ver Imagen")</f>
        <v/>
      </c>
      <c r="P4835">
        <f>HYPERLINK("SE\A-492\A-492__164.png", "Ver Imagen")</f>
        <v/>
      </c>
    </row>
    <row r="4836">
      <c r="A4836" t="n">
        <v>4486</v>
      </c>
      <c r="B4836" t="inlineStr">
        <is>
          <t>A-492__167</t>
        </is>
      </c>
      <c r="C4836" t="n">
        <v>37.2761214019</v>
      </c>
      <c r="D4836" t="n">
        <v>-7.02249796901</v>
      </c>
      <c r="E4836" t="n">
        <v>2</v>
      </c>
      <c r="F4836" t="n">
        <v>3</v>
      </c>
      <c r="G4836" t="n">
        <v>4</v>
      </c>
      <c r="H4836" t="n">
        <v>2</v>
      </c>
      <c r="I4836" t="n">
        <v>3</v>
      </c>
      <c r="J4836" t="inlineStr">
        <is>
          <t>Mediana</t>
        </is>
      </c>
      <c r="K4836" t="n">
        <v>3</v>
      </c>
      <c r="L4836" t="n">
        <v>3.366</v>
      </c>
      <c r="M4836" t="n">
        <v>0</v>
      </c>
      <c r="N4836" t="inlineStr">
        <is>
          <t>train</t>
        </is>
      </c>
      <c r="O4836">
        <f>HYPERLINK("NoConsenso\marker_925_831405.png", "Ver Imagen")</f>
        <v/>
      </c>
      <c r="P4836">
        <f>HYPERLINK("SE\A-492\A-492__167.png", "Ver Imagen")</f>
        <v/>
      </c>
    </row>
    <row r="4837">
      <c r="A4837" t="n">
        <v>4487</v>
      </c>
      <c r="B4837" t="inlineStr">
        <is>
          <t>A-492__169</t>
        </is>
      </c>
      <c r="C4837" t="n">
        <v>37.2761989443</v>
      </c>
      <c r="D4837" t="n">
        <v>-7.02303679997</v>
      </c>
      <c r="E4837" t="n">
        <v>1</v>
      </c>
      <c r="F4837" t="n">
        <v>2</v>
      </c>
      <c r="G4837" t="n">
        <v>3</v>
      </c>
      <c r="H4837" t="n">
        <v>2</v>
      </c>
      <c r="I4837" t="n">
        <v>2</v>
      </c>
      <c r="J4837" t="inlineStr">
        <is>
          <t>Mediana</t>
        </is>
      </c>
      <c r="K4837" t="n">
        <v>2</v>
      </c>
      <c r="L4837" t="n">
        <v>1.761</v>
      </c>
      <c r="M4837" t="n">
        <v>0</v>
      </c>
      <c r="N4837" t="inlineStr">
        <is>
          <t>train</t>
        </is>
      </c>
      <c r="O4837">
        <f>HYPERLINK("NoConsenso\marker_225_831440.png", "Ver Imagen")</f>
        <v/>
      </c>
      <c r="P4837">
        <f>HYPERLINK("SE\A-492\A-492__169.png", "Ver Imagen")</f>
        <v/>
      </c>
    </row>
    <row r="4838">
      <c r="A4838" t="n">
        <v>4488</v>
      </c>
      <c r="B4838" t="inlineStr">
        <is>
          <t>A-492__175</t>
        </is>
      </c>
      <c r="C4838" t="n">
        <v>37.2764015902</v>
      </c>
      <c r="D4838" t="n">
        <v>-7.02447961241</v>
      </c>
      <c r="E4838" t="n">
        <v>1</v>
      </c>
      <c r="F4838" t="n">
        <v>2</v>
      </c>
      <c r="G4838" t="n">
        <v>3</v>
      </c>
      <c r="H4838" t="n">
        <v>2</v>
      </c>
      <c r="I4838" t="n">
        <v>1</v>
      </c>
      <c r="J4838" t="inlineStr">
        <is>
          <t>Mediana</t>
        </is>
      </c>
      <c r="K4838" t="n">
        <v>2</v>
      </c>
      <c r="L4838" t="n">
        <v>1.841</v>
      </c>
      <c r="M4838" t="n">
        <v>0</v>
      </c>
      <c r="N4838" t="inlineStr">
        <is>
          <t>train</t>
        </is>
      </c>
      <c r="O4838">
        <f>HYPERLINK("NoConsenso\marker_587_831529.png", "Ver Imagen")</f>
        <v/>
      </c>
      <c r="P4838">
        <f>HYPERLINK("SE\A-492\A-492__175.png", "Ver Imagen")</f>
        <v/>
      </c>
    </row>
    <row r="4839">
      <c r="A4839" t="n">
        <v>4489</v>
      </c>
      <c r="B4839" t="inlineStr">
        <is>
          <t>A-492__182</t>
        </is>
      </c>
      <c r="C4839" t="n">
        <v>37.2766513476</v>
      </c>
      <c r="D4839" t="n">
        <v>-7.02624839933</v>
      </c>
      <c r="E4839" t="n">
        <v>1</v>
      </c>
      <c r="F4839" t="n">
        <v>2</v>
      </c>
      <c r="G4839" t="n">
        <v>3</v>
      </c>
      <c r="H4839" t="n">
        <v>2</v>
      </c>
      <c r="I4839" t="n">
        <v>2</v>
      </c>
      <c r="J4839" t="inlineStr">
        <is>
          <t>Mediana</t>
        </is>
      </c>
      <c r="K4839" t="n">
        <v>2</v>
      </c>
      <c r="L4839" t="n">
        <v>2.192</v>
      </c>
      <c r="M4839" t="n">
        <v>0</v>
      </c>
      <c r="N4839" t="inlineStr">
        <is>
          <t>train</t>
        </is>
      </c>
      <c r="O4839">
        <f>HYPERLINK("NoConsenso\marker_745_831660.png", "Ver Imagen")</f>
        <v/>
      </c>
      <c r="P4839">
        <f>HYPERLINK("SE\A-492\A-492__182.png", "Ver Imagen")</f>
        <v/>
      </c>
    </row>
    <row r="4840">
      <c r="A4840" t="n">
        <v>4490</v>
      </c>
      <c r="B4840" t="inlineStr">
        <is>
          <t>A-492__187</t>
        </is>
      </c>
      <c r="C4840" t="n">
        <v>37.2768918233</v>
      </c>
      <c r="D4840" t="n">
        <v>-7.02746276517</v>
      </c>
      <c r="E4840" t="n">
        <v>1</v>
      </c>
      <c r="F4840" t="n">
        <v>3</v>
      </c>
      <c r="G4840" t="n">
        <v>3</v>
      </c>
      <c r="H4840" t="n">
        <v>2</v>
      </c>
      <c r="I4840" t="n">
        <v>1</v>
      </c>
      <c r="J4840" t="inlineStr">
        <is>
          <t>Mediana</t>
        </is>
      </c>
      <c r="K4840" t="n">
        <v>2</v>
      </c>
      <c r="L4840" t="n">
        <v>1.831</v>
      </c>
      <c r="M4840" t="n">
        <v>0</v>
      </c>
      <c r="N4840" t="inlineStr">
        <is>
          <t>train</t>
        </is>
      </c>
      <c r="O4840">
        <f>HYPERLINK("NoConsenso\marker_606_831754.png", "Ver Imagen")</f>
        <v/>
      </c>
      <c r="P4840">
        <f>HYPERLINK("SE\A-492\A-492__187.png", "Ver Imagen")</f>
        <v/>
      </c>
    </row>
    <row r="4841">
      <c r="A4841" t="n">
        <v>4491</v>
      </c>
      <c r="B4841" t="inlineStr">
        <is>
          <t>A-492__188</t>
        </is>
      </c>
      <c r="C4841" t="n">
        <v>37.2769611481</v>
      </c>
      <c r="D4841" t="n">
        <v>-7.0276874273</v>
      </c>
      <c r="E4841" t="n">
        <v>1</v>
      </c>
      <c r="F4841" t="n">
        <v>2</v>
      </c>
      <c r="G4841" t="n">
        <v>3</v>
      </c>
      <c r="H4841" t="n">
        <v>2</v>
      </c>
      <c r="I4841" t="n">
        <v>1</v>
      </c>
      <c r="J4841" t="inlineStr">
        <is>
          <t>Mediana</t>
        </is>
      </c>
      <c r="K4841" t="n">
        <v>2</v>
      </c>
      <c r="L4841" t="n">
        <v>2.427</v>
      </c>
      <c r="M4841" t="n">
        <v>0</v>
      </c>
      <c r="N4841" t="inlineStr">
        <is>
          <t>test</t>
        </is>
      </c>
      <c r="O4841">
        <f>HYPERLINK("NoConsenso\marker_544_831773.png", "Ver Imagen")</f>
        <v/>
      </c>
      <c r="P4841">
        <f>HYPERLINK("SE\A-492\A-492__188.png", "Ver Imagen")</f>
        <v/>
      </c>
    </row>
    <row r="4842">
      <c r="A4842" t="n">
        <v>4492</v>
      </c>
      <c r="B4842" t="inlineStr">
        <is>
          <t>A-492__191</t>
        </is>
      </c>
      <c r="C4842" t="n">
        <v>37.2772518306</v>
      </c>
      <c r="D4842" t="n">
        <v>-7.02839661256</v>
      </c>
      <c r="E4842" t="n">
        <v>1</v>
      </c>
      <c r="F4842" t="n">
        <v>2</v>
      </c>
      <c r="G4842" t="n">
        <v>3</v>
      </c>
      <c r="H4842" t="n">
        <v>2</v>
      </c>
      <c r="I4842" t="n">
        <v>1</v>
      </c>
      <c r="J4842" t="inlineStr">
        <is>
          <t>Mediana</t>
        </is>
      </c>
      <c r="K4842" t="n">
        <v>2</v>
      </c>
      <c r="L4842" t="n">
        <v>1.727</v>
      </c>
      <c r="M4842" t="n">
        <v>0</v>
      </c>
      <c r="N4842" t="inlineStr">
        <is>
          <t>train</t>
        </is>
      </c>
      <c r="O4842">
        <f>HYPERLINK("NoConsenso\marker_116_831815.png", "Ver Imagen")</f>
        <v/>
      </c>
      <c r="P4842">
        <f>HYPERLINK("SE\A-492\A-492__191.png", "Ver Imagen")</f>
        <v/>
      </c>
    </row>
    <row r="4843">
      <c r="A4843" t="n">
        <v>4493</v>
      </c>
      <c r="B4843" t="inlineStr">
        <is>
          <t>A-492__192</t>
        </is>
      </c>
      <c r="C4843" t="n">
        <v>37.2773498519</v>
      </c>
      <c r="D4843" t="n">
        <v>-7.02858154645</v>
      </c>
      <c r="E4843" t="n">
        <v>1</v>
      </c>
      <c r="F4843" t="n">
        <v>2</v>
      </c>
      <c r="G4843" t="n">
        <v>3</v>
      </c>
      <c r="H4843" t="n">
        <v>2</v>
      </c>
      <c r="I4843" t="n">
        <v>1</v>
      </c>
      <c r="J4843" t="inlineStr">
        <is>
          <t>Mediana</t>
        </is>
      </c>
      <c r="K4843" t="n">
        <v>2</v>
      </c>
      <c r="L4843" t="n">
        <v>1.704</v>
      </c>
      <c r="M4843" t="n">
        <v>0</v>
      </c>
      <c r="N4843" t="inlineStr">
        <is>
          <t>train</t>
        </is>
      </c>
      <c r="O4843">
        <f>HYPERLINK("NoConsenso\marker_146_831827.png", "Ver Imagen")</f>
        <v/>
      </c>
      <c r="P4843">
        <f>HYPERLINK("SE\A-492\A-492__192.png", "Ver Imagen")</f>
        <v/>
      </c>
    </row>
    <row r="4844">
      <c r="A4844" t="n">
        <v>4494</v>
      </c>
      <c r="B4844" t="inlineStr">
        <is>
          <t>A-492__199</t>
        </is>
      </c>
      <c r="C4844" t="n">
        <v>37.2783343866</v>
      </c>
      <c r="D4844" t="n">
        <v>-7.02981799647</v>
      </c>
      <c r="E4844" t="n">
        <v>1</v>
      </c>
      <c r="F4844" t="n">
        <v>3</v>
      </c>
      <c r="G4844" t="n">
        <v>3</v>
      </c>
      <c r="H4844" t="n">
        <v>1</v>
      </c>
      <c r="I4844" t="n">
        <v>1</v>
      </c>
      <c r="J4844" t="inlineStr">
        <is>
          <t>Mediana</t>
        </is>
      </c>
      <c r="K4844" t="n">
        <v>1</v>
      </c>
      <c r="L4844" t="n">
        <v>1</v>
      </c>
      <c r="M4844" t="n">
        <v>0</v>
      </c>
      <c r="N4844" t="inlineStr">
        <is>
          <t>train</t>
        </is>
      </c>
      <c r="O4844">
        <f>HYPERLINK("NoConsenso\marker_916_831907.png", "Ver Imagen")</f>
        <v/>
      </c>
      <c r="P4844">
        <f>HYPERLINK("SE\A-492\A-492__199.png", "Ver Imagen")</f>
        <v/>
      </c>
    </row>
    <row r="4845">
      <c r="A4845" t="n">
        <v>4495</v>
      </c>
      <c r="B4845" t="inlineStr">
        <is>
          <t>A-492__200</t>
        </is>
      </c>
      <c r="C4845" t="n">
        <v>37.2785011687</v>
      </c>
      <c r="D4845" t="n">
        <v>-7.02997186184</v>
      </c>
      <c r="E4845" t="n">
        <v>1</v>
      </c>
      <c r="F4845" t="n">
        <v>3</v>
      </c>
      <c r="G4845" t="n">
        <v>3</v>
      </c>
      <c r="H4845" t="n">
        <v>2</v>
      </c>
      <c r="I4845" t="n">
        <v>1</v>
      </c>
      <c r="J4845" t="inlineStr">
        <is>
          <t>Mediana</t>
        </is>
      </c>
      <c r="K4845" t="n">
        <v>2</v>
      </c>
      <c r="L4845" t="n">
        <v>2.028</v>
      </c>
      <c r="M4845" t="n">
        <v>0</v>
      </c>
      <c r="N4845" t="inlineStr">
        <is>
          <t>train</t>
        </is>
      </c>
      <c r="O4845">
        <f>HYPERLINK("NoConsenso\marker_507_831920.png", "Ver Imagen")</f>
        <v/>
      </c>
      <c r="P4845">
        <f>HYPERLINK("SE\A-492\A-492__200.png", "Ver Imagen")</f>
        <v/>
      </c>
    </row>
    <row r="4846">
      <c r="A4846" t="n">
        <v>4496</v>
      </c>
      <c r="B4846" t="inlineStr">
        <is>
          <t>A-492__201</t>
        </is>
      </c>
      <c r="C4846" t="n">
        <v>37.2786650539</v>
      </c>
      <c r="D4846" t="n">
        <v>-7.03012298267</v>
      </c>
      <c r="E4846" t="n">
        <v>1</v>
      </c>
      <c r="F4846" t="n">
        <v>2</v>
      </c>
      <c r="G4846" t="n">
        <v>3</v>
      </c>
      <c r="H4846" t="n">
        <v>2</v>
      </c>
      <c r="I4846" t="n">
        <v>1</v>
      </c>
      <c r="J4846" t="inlineStr">
        <is>
          <t>Mediana</t>
        </is>
      </c>
      <c r="K4846" t="n">
        <v>2</v>
      </c>
      <c r="L4846" t="n">
        <v>2.106</v>
      </c>
      <c r="M4846" t="n">
        <v>0</v>
      </c>
      <c r="N4846" t="inlineStr">
        <is>
          <t>train</t>
        </is>
      </c>
      <c r="O4846">
        <f>HYPERLINK("NoConsenso\marker_190_831935.png", "Ver Imagen")</f>
        <v/>
      </c>
      <c r="P4846">
        <f>HYPERLINK("SE\A-492\A-492__201.png", "Ver Imagen")</f>
        <v/>
      </c>
    </row>
    <row r="4847">
      <c r="A4847" t="n">
        <v>4497</v>
      </c>
      <c r="B4847" t="inlineStr">
        <is>
          <t>A-492__210</t>
        </is>
      </c>
      <c r="C4847" t="n">
        <v>37.2801409657</v>
      </c>
      <c r="D4847" t="n">
        <v>-7.03142870707</v>
      </c>
      <c r="E4847" t="n">
        <v>2</v>
      </c>
      <c r="F4847" t="n">
        <v>4</v>
      </c>
      <c r="G4847" t="n">
        <v>4</v>
      </c>
      <c r="H4847" t="n">
        <v>3</v>
      </c>
      <c r="I4847" t="n">
        <v>4</v>
      </c>
      <c r="J4847" t="inlineStr">
        <is>
          <t>Mediana</t>
        </is>
      </c>
      <c r="K4847" t="n">
        <v>4</v>
      </c>
      <c r="L4847" t="n">
        <v>3.871</v>
      </c>
      <c r="M4847" t="n">
        <v>0</v>
      </c>
      <c r="N4847" t="inlineStr">
        <is>
          <t>train</t>
        </is>
      </c>
      <c r="O4847">
        <f>HYPERLINK("NoConsenso\marker_817_832075.png", "Ver Imagen")</f>
        <v/>
      </c>
      <c r="P4847">
        <f>HYPERLINK("SE\A-492\A-492__210.png", "Ver Imagen")</f>
        <v/>
      </c>
    </row>
    <row r="4848">
      <c r="A4848" t="n">
        <v>4498</v>
      </c>
      <c r="B4848" t="inlineStr">
        <is>
          <t>A-492__215</t>
        </is>
      </c>
      <c r="C4848" t="n">
        <v>37.2810712492</v>
      </c>
      <c r="D4848" t="n">
        <v>-7.0319227961</v>
      </c>
      <c r="E4848" t="n">
        <v>1</v>
      </c>
      <c r="F4848" t="n">
        <v>2</v>
      </c>
      <c r="G4848" t="n">
        <v>3</v>
      </c>
      <c r="H4848" t="n">
        <v>2</v>
      </c>
      <c r="I4848" t="n">
        <v>1</v>
      </c>
      <c r="J4848" t="inlineStr">
        <is>
          <t>Mediana</t>
        </is>
      </c>
      <c r="K4848" t="n">
        <v>2</v>
      </c>
      <c r="L4848" t="n">
        <v>1.719</v>
      </c>
      <c r="M4848" t="n">
        <v>0</v>
      </c>
      <c r="N4848" t="inlineStr">
        <is>
          <t>train</t>
        </is>
      </c>
      <c r="O4848">
        <f>HYPERLINK("NoConsenso\marker_225_832722.png", "Ver Imagen")</f>
        <v/>
      </c>
      <c r="P4848">
        <f>HYPERLINK("SE\A-492\A-492__215.png", "Ver Imagen")</f>
        <v/>
      </c>
    </row>
    <row r="4849">
      <c r="A4849" t="n">
        <v>4499</v>
      </c>
      <c r="B4849" t="inlineStr">
        <is>
          <t>A-492__216</t>
        </is>
      </c>
      <c r="C4849" t="n">
        <v>37.2812746482</v>
      </c>
      <c r="D4849" t="n">
        <v>-7.03202118122</v>
      </c>
      <c r="E4849" t="n">
        <v>1</v>
      </c>
      <c r="F4849" t="n">
        <v>3</v>
      </c>
      <c r="G4849" t="n">
        <v>3</v>
      </c>
      <c r="H4849" t="n">
        <v>2</v>
      </c>
      <c r="I4849" t="n">
        <v>1</v>
      </c>
      <c r="J4849" t="inlineStr">
        <is>
          <t>Mediana</t>
        </is>
      </c>
      <c r="K4849" t="n">
        <v>2</v>
      </c>
      <c r="L4849" t="n">
        <v>2.185</v>
      </c>
      <c r="M4849" t="n">
        <v>0</v>
      </c>
      <c r="N4849" t="inlineStr">
        <is>
          <t>train</t>
        </is>
      </c>
      <c r="O4849">
        <f>HYPERLINK("NoConsenso\marker_928_832749.png", "Ver Imagen")</f>
        <v/>
      </c>
      <c r="P4849">
        <f>HYPERLINK("SE\A-492\A-492__216.png", "Ver Imagen")</f>
        <v/>
      </c>
    </row>
    <row r="4850">
      <c r="A4850" t="n">
        <v>4500</v>
      </c>
      <c r="B4850" t="inlineStr">
        <is>
          <t>A-492__219</t>
        </is>
      </c>
      <c r="C4850" t="n">
        <v>37.2818442854</v>
      </c>
      <c r="D4850" t="n">
        <v>-7.0323192332</v>
      </c>
      <c r="E4850" t="n">
        <v>1</v>
      </c>
      <c r="F4850" t="n">
        <v>1</v>
      </c>
      <c r="G4850" t="n">
        <v>3</v>
      </c>
      <c r="H4850" t="n">
        <v>2</v>
      </c>
      <c r="I4850" t="n">
        <v>1</v>
      </c>
      <c r="J4850" t="inlineStr">
        <is>
          <t>Mediana</t>
        </is>
      </c>
      <c r="K4850" t="n">
        <v>1</v>
      </c>
      <c r="L4850" t="n">
        <v>1.192</v>
      </c>
      <c r="M4850" t="n">
        <v>0</v>
      </c>
      <c r="N4850" t="inlineStr">
        <is>
          <t>train</t>
        </is>
      </c>
      <c r="O4850">
        <f>HYPERLINK("NoConsenso\marker_529_832800.png", "Ver Imagen")</f>
        <v/>
      </c>
      <c r="P4850">
        <f>HYPERLINK("SE\A-492\A-492__219.png", "Ver Imagen")</f>
        <v/>
      </c>
    </row>
    <row r="4851">
      <c r="A4851" t="n">
        <v>4501</v>
      </c>
      <c r="B4851" t="inlineStr">
        <is>
          <t>A-492__220</t>
        </is>
      </c>
      <c r="C4851" t="n">
        <v>37.2820142818</v>
      </c>
      <c r="D4851" t="n">
        <v>-7.03241638224</v>
      </c>
      <c r="E4851" t="n">
        <v>1</v>
      </c>
      <c r="F4851" t="n">
        <v>2</v>
      </c>
      <c r="G4851" t="n">
        <v>3</v>
      </c>
      <c r="H4851" t="n">
        <v>2</v>
      </c>
      <c r="I4851" t="n">
        <v>1</v>
      </c>
      <c r="J4851" t="inlineStr">
        <is>
          <t>Mediana</t>
        </is>
      </c>
      <c r="K4851" t="n">
        <v>2</v>
      </c>
      <c r="L4851" t="n">
        <v>2.143</v>
      </c>
      <c r="M4851" t="n">
        <v>0</v>
      </c>
      <c r="N4851" t="inlineStr">
        <is>
          <t>train</t>
        </is>
      </c>
      <c r="O4851">
        <f>HYPERLINK("NoConsenso\marker_439_835660.png", "Ver Imagen")</f>
        <v/>
      </c>
      <c r="P4851">
        <f>HYPERLINK("SE\A-492\A-492__220.png", "Ver Imagen")</f>
        <v/>
      </c>
    </row>
    <row r="4852">
      <c r="A4852" t="n">
        <v>4502</v>
      </c>
      <c r="B4852" t="inlineStr">
        <is>
          <t>A-492__223</t>
        </is>
      </c>
      <c r="C4852" t="n">
        <v>37.2825427356</v>
      </c>
      <c r="D4852" t="n">
        <v>-7.03274529902</v>
      </c>
      <c r="E4852" t="n">
        <v>1</v>
      </c>
      <c r="F4852" t="n">
        <v>2</v>
      </c>
      <c r="G4852" t="n">
        <v>3</v>
      </c>
      <c r="H4852" t="n">
        <v>1</v>
      </c>
      <c r="I4852" t="n">
        <v>1</v>
      </c>
      <c r="J4852" t="inlineStr">
        <is>
          <t>Mediana</t>
        </is>
      </c>
      <c r="K4852" t="n">
        <v>1</v>
      </c>
      <c r="L4852" t="n">
        <v>1</v>
      </c>
      <c r="M4852" t="n">
        <v>0</v>
      </c>
      <c r="N4852" t="inlineStr">
        <is>
          <t>train</t>
        </is>
      </c>
      <c r="O4852">
        <f>HYPERLINK("NoConsenso\marker_362_835693.png", "Ver Imagen")</f>
        <v/>
      </c>
      <c r="P4852">
        <f>HYPERLINK("SE\A-492\A-492__223.png", "Ver Imagen")</f>
        <v/>
      </c>
    </row>
    <row r="4853">
      <c r="A4853" t="n">
        <v>4503</v>
      </c>
      <c r="B4853" t="inlineStr">
        <is>
          <t>A-492__235</t>
        </is>
      </c>
      <c r="C4853" t="n">
        <v>37.284030827</v>
      </c>
      <c r="D4853" t="n">
        <v>-7.03507287904</v>
      </c>
      <c r="E4853" t="n">
        <v>1</v>
      </c>
      <c r="F4853" t="n">
        <v>2</v>
      </c>
      <c r="G4853" t="n">
        <v>3</v>
      </c>
      <c r="H4853" t="n">
        <v>2</v>
      </c>
      <c r="I4853" t="n">
        <v>1</v>
      </c>
      <c r="J4853" t="inlineStr">
        <is>
          <t>Mediana</t>
        </is>
      </c>
      <c r="K4853" t="n">
        <v>2</v>
      </c>
      <c r="L4853" t="n">
        <v>1.808</v>
      </c>
      <c r="M4853" t="n">
        <v>0</v>
      </c>
      <c r="N4853" t="inlineStr">
        <is>
          <t>train</t>
        </is>
      </c>
      <c r="O4853">
        <f>HYPERLINK("NoConsenso\marker_997_835878.png", "Ver Imagen")</f>
        <v/>
      </c>
      <c r="P4853">
        <f>HYPERLINK("SE\A-492\A-492__235.png", "Ver Imagen")</f>
        <v/>
      </c>
    </row>
    <row r="4854">
      <c r="A4854" t="n">
        <v>4504</v>
      </c>
      <c r="B4854" t="inlineStr">
        <is>
          <t>A-492__236</t>
        </is>
      </c>
      <c r="C4854" t="n">
        <v>37.2840686306</v>
      </c>
      <c r="D4854" t="n">
        <v>-7.03531604299</v>
      </c>
      <c r="E4854" t="n">
        <v>1</v>
      </c>
      <c r="F4854" t="n">
        <v>2</v>
      </c>
      <c r="G4854" t="n">
        <v>3</v>
      </c>
      <c r="H4854" t="n">
        <v>2</v>
      </c>
      <c r="I4854" t="n">
        <v>1</v>
      </c>
      <c r="J4854" t="inlineStr">
        <is>
          <t>Mediana</t>
        </is>
      </c>
      <c r="K4854" t="n">
        <v>2</v>
      </c>
      <c r="L4854" t="n">
        <v>1.591</v>
      </c>
      <c r="M4854" t="n">
        <v>0</v>
      </c>
      <c r="N4854" t="inlineStr">
        <is>
          <t>train</t>
        </is>
      </c>
      <c r="O4854">
        <f>HYPERLINK("NoConsenso\marker_270_835889.png", "Ver Imagen")</f>
        <v/>
      </c>
      <c r="P4854">
        <f>HYPERLINK("SE\A-492\A-492__236.png", "Ver Imagen")</f>
        <v/>
      </c>
    </row>
    <row r="4855">
      <c r="A4855" t="n">
        <v>4505</v>
      </c>
      <c r="B4855" t="inlineStr">
        <is>
          <t>A-492__237</t>
        </is>
      </c>
      <c r="C4855" t="n">
        <v>37.2840930463</v>
      </c>
      <c r="D4855" t="n">
        <v>-7.03557668609</v>
      </c>
      <c r="E4855" t="n">
        <v>1</v>
      </c>
      <c r="F4855" t="n">
        <v>2</v>
      </c>
      <c r="G4855" t="n">
        <v>3</v>
      </c>
      <c r="H4855" t="n">
        <v>2</v>
      </c>
      <c r="I4855" t="n">
        <v>1</v>
      </c>
      <c r="J4855" t="inlineStr">
        <is>
          <t>Mediana</t>
        </is>
      </c>
      <c r="K4855" t="n">
        <v>2</v>
      </c>
      <c r="L4855" t="n">
        <v>1.719</v>
      </c>
      <c r="M4855" t="n">
        <v>0</v>
      </c>
      <c r="N4855" t="inlineStr">
        <is>
          <t>train</t>
        </is>
      </c>
      <c r="O4855">
        <f>HYPERLINK("NoConsenso\marker_540_835904.png", "Ver Imagen")</f>
        <v/>
      </c>
      <c r="P4855">
        <f>HYPERLINK("SE\A-492\A-492__237.png", "Ver Imagen")</f>
        <v/>
      </c>
    </row>
    <row r="4856">
      <c r="A4856" t="n">
        <v>4506</v>
      </c>
      <c r="B4856" t="inlineStr">
        <is>
          <t>A-492__239</t>
        </is>
      </c>
      <c r="C4856" t="n">
        <v>37.2841058416</v>
      </c>
      <c r="D4856" t="n">
        <v>-7.03611481993</v>
      </c>
      <c r="E4856" t="n">
        <v>1</v>
      </c>
      <c r="F4856" t="n">
        <v>2</v>
      </c>
      <c r="G4856" t="n">
        <v>3</v>
      </c>
      <c r="H4856" t="n">
        <v>2</v>
      </c>
      <c r="I4856" t="n">
        <v>1</v>
      </c>
      <c r="J4856" t="inlineStr">
        <is>
          <t>Mediana</t>
        </is>
      </c>
      <c r="K4856" t="n">
        <v>2</v>
      </c>
      <c r="L4856" t="n">
        <v>2.069</v>
      </c>
      <c r="M4856" t="n">
        <v>0</v>
      </c>
      <c r="N4856" t="inlineStr">
        <is>
          <t>train</t>
        </is>
      </c>
      <c r="O4856">
        <f>HYPERLINK("NoConsenso\marker_334_835933.png", "Ver Imagen")</f>
        <v/>
      </c>
      <c r="P4856">
        <f>HYPERLINK("SE\A-492\A-492__239.png", "Ver Imagen")</f>
        <v/>
      </c>
    </row>
    <row r="4857">
      <c r="A4857" t="n">
        <v>4507</v>
      </c>
      <c r="B4857" t="inlineStr">
        <is>
          <t>A-492__240</t>
        </is>
      </c>
      <c r="C4857" t="n">
        <v>37.2841040739</v>
      </c>
      <c r="D4857" t="n">
        <v>-7.03634993228</v>
      </c>
      <c r="E4857" t="n">
        <v>1</v>
      </c>
      <c r="F4857" t="n">
        <v>3</v>
      </c>
      <c r="G4857" t="n">
        <v>3</v>
      </c>
      <c r="H4857" t="n">
        <v>2</v>
      </c>
      <c r="I4857" t="n">
        <v>1</v>
      </c>
      <c r="J4857" t="inlineStr">
        <is>
          <t>Mediana</t>
        </is>
      </c>
      <c r="K4857" t="n">
        <v>2</v>
      </c>
      <c r="L4857" t="n">
        <v>2.002</v>
      </c>
      <c r="M4857" t="n">
        <v>0</v>
      </c>
      <c r="N4857" t="inlineStr">
        <is>
          <t>train</t>
        </is>
      </c>
      <c r="O4857">
        <f>HYPERLINK("NoConsenso\marker_890_835943.png", "Ver Imagen")</f>
        <v/>
      </c>
      <c r="P4857">
        <f>HYPERLINK("SE\A-492\A-492__240.png", "Ver Imagen")</f>
        <v/>
      </c>
    </row>
    <row r="4858">
      <c r="A4858" t="n">
        <v>4508</v>
      </c>
      <c r="B4858" t="inlineStr">
        <is>
          <t>A-492__243</t>
        </is>
      </c>
      <c r="C4858" t="n">
        <v>37.2841383386</v>
      </c>
      <c r="D4858" t="n">
        <v>-7.03710343953</v>
      </c>
      <c r="E4858" t="n">
        <v>1</v>
      </c>
      <c r="F4858" t="n">
        <v>2</v>
      </c>
      <c r="G4858" t="n">
        <v>3</v>
      </c>
      <c r="H4858" t="n">
        <v>2</v>
      </c>
      <c r="I4858" t="n">
        <v>1</v>
      </c>
      <c r="J4858" t="inlineStr">
        <is>
          <t>Mediana</t>
        </is>
      </c>
      <c r="K4858" t="n">
        <v>2</v>
      </c>
      <c r="L4858" t="n">
        <v>1.66</v>
      </c>
      <c r="M4858" t="n">
        <v>0</v>
      </c>
      <c r="N4858" t="inlineStr">
        <is>
          <t>val</t>
        </is>
      </c>
      <c r="O4858">
        <f>HYPERLINK("NoConsenso\marker_391_835987.png", "Ver Imagen")</f>
        <v/>
      </c>
      <c r="P4858">
        <f>HYPERLINK("SE\A-492\A-492__243.png", "Ver Imagen")</f>
        <v/>
      </c>
    </row>
    <row r="4859">
      <c r="A4859" t="n">
        <v>4509</v>
      </c>
      <c r="B4859" t="inlineStr">
        <is>
          <t>A-492__244</t>
        </is>
      </c>
      <c r="C4859" t="n">
        <v>37.2841716313</v>
      </c>
      <c r="D4859" t="n">
        <v>-7.03732344836</v>
      </c>
      <c r="E4859" t="n">
        <v>1</v>
      </c>
      <c r="F4859" t="n">
        <v>2</v>
      </c>
      <c r="G4859" t="n">
        <v>3</v>
      </c>
      <c r="H4859" t="n">
        <v>2</v>
      </c>
      <c r="I4859" t="n">
        <v>1</v>
      </c>
      <c r="J4859" t="inlineStr">
        <is>
          <t>Mediana</t>
        </is>
      </c>
      <c r="K4859" t="n">
        <v>2</v>
      </c>
      <c r="L4859" t="n">
        <v>1.575</v>
      </c>
      <c r="M4859" t="n">
        <v>0</v>
      </c>
      <c r="N4859" t="inlineStr">
        <is>
          <t>train</t>
        </is>
      </c>
      <c r="O4859">
        <f>HYPERLINK("NoConsenso\marker_505_836019.png", "Ver Imagen")</f>
        <v/>
      </c>
      <c r="P4859">
        <f>HYPERLINK("SE\A-492\A-492__244.png", "Ver Imagen")</f>
        <v/>
      </c>
    </row>
    <row r="4860">
      <c r="A4860" t="n">
        <v>4510</v>
      </c>
      <c r="B4860" t="inlineStr">
        <is>
          <t>A-492__253</t>
        </is>
      </c>
      <c r="C4860" t="n">
        <v>37.2847279594</v>
      </c>
      <c r="D4860" t="n">
        <v>-7.0395154637</v>
      </c>
      <c r="E4860" t="n">
        <v>2</v>
      </c>
      <c r="F4860" t="n">
        <v>2</v>
      </c>
      <c r="G4860" t="n">
        <v>4</v>
      </c>
      <c r="H4860" t="n">
        <v>2</v>
      </c>
      <c r="I4860" t="n">
        <v>1</v>
      </c>
      <c r="J4860" t="inlineStr">
        <is>
          <t>Mediana</t>
        </is>
      </c>
      <c r="K4860" t="n">
        <v>2</v>
      </c>
      <c r="L4860" t="n">
        <v>1.859</v>
      </c>
      <c r="M4860" t="n">
        <v>0</v>
      </c>
      <c r="N4860" t="inlineStr">
        <is>
          <t>train</t>
        </is>
      </c>
      <c r="O4860">
        <f>HYPERLINK("NoConsenso\marker_444_836139.png", "Ver Imagen")</f>
        <v/>
      </c>
      <c r="P4860">
        <f>HYPERLINK("SE\A-492\A-492__253.png", "Ver Imagen")</f>
        <v/>
      </c>
    </row>
    <row r="4861">
      <c r="A4861" t="n">
        <v>4511</v>
      </c>
      <c r="B4861" t="inlineStr">
        <is>
          <t>A-492__259</t>
        </is>
      </c>
      <c r="C4861" t="n">
        <v>37.2853664237</v>
      </c>
      <c r="D4861" t="n">
        <v>-7.04075361379</v>
      </c>
      <c r="E4861" t="n">
        <v>1</v>
      </c>
      <c r="F4861" t="n">
        <v>2</v>
      </c>
      <c r="G4861" t="n">
        <v>3</v>
      </c>
      <c r="H4861" t="n">
        <v>3</v>
      </c>
      <c r="I4861" t="n">
        <v>2</v>
      </c>
      <c r="J4861" t="inlineStr">
        <is>
          <t>Mediana</t>
        </is>
      </c>
      <c r="K4861" t="n">
        <v>2</v>
      </c>
      <c r="L4861" t="n">
        <v>2.146</v>
      </c>
      <c r="M4861" t="n">
        <v>0</v>
      </c>
      <c r="N4861" t="inlineStr">
        <is>
          <t>train</t>
        </is>
      </c>
      <c r="O4861">
        <f>HYPERLINK("NoConsenso\marker_504_836573.png", "Ver Imagen")</f>
        <v/>
      </c>
      <c r="P4861">
        <f>HYPERLINK("SE\A-492\A-492__259.png", "Ver Imagen")</f>
        <v/>
      </c>
    </row>
    <row r="4862">
      <c r="A4862" t="n">
        <v>4512</v>
      </c>
      <c r="B4862" t="inlineStr">
        <is>
          <t>A-492__265</t>
        </is>
      </c>
      <c r="C4862" t="n">
        <v>37.2863684062</v>
      </c>
      <c r="D4862" t="n">
        <v>-7.04164891698</v>
      </c>
      <c r="E4862" t="n">
        <v>1</v>
      </c>
      <c r="F4862" t="n">
        <v>2</v>
      </c>
      <c r="G4862" t="n">
        <v>3</v>
      </c>
      <c r="H4862" t="n">
        <v>2</v>
      </c>
      <c r="I4862" t="n">
        <v>2</v>
      </c>
      <c r="J4862" t="inlineStr">
        <is>
          <t>Mediana</t>
        </is>
      </c>
      <c r="K4862" t="n">
        <v>2</v>
      </c>
      <c r="L4862" t="n">
        <v>2.15</v>
      </c>
      <c r="M4862" t="n">
        <v>0</v>
      </c>
      <c r="N4862" t="inlineStr">
        <is>
          <t>train</t>
        </is>
      </c>
      <c r="O4862">
        <f>HYPERLINK("NoConsenso\marker_776_836690.png", "Ver Imagen")</f>
        <v/>
      </c>
      <c r="P4862">
        <f>HYPERLINK("SE\A-492\A-492__265.png", "Ver Imagen")</f>
        <v/>
      </c>
    </row>
    <row r="4863">
      <c r="A4863" t="n">
        <v>4513</v>
      </c>
      <c r="B4863" t="inlineStr">
        <is>
          <t>A-492__280</t>
        </is>
      </c>
      <c r="C4863" t="n">
        <v>37.2889811644</v>
      </c>
      <c r="D4863" t="n">
        <v>-7.04341930082</v>
      </c>
      <c r="E4863" t="n">
        <v>1</v>
      </c>
      <c r="F4863" t="n">
        <v>3</v>
      </c>
      <c r="G4863" t="n">
        <v>3</v>
      </c>
      <c r="H4863" t="n">
        <v>2</v>
      </c>
      <c r="I4863" t="n">
        <v>1</v>
      </c>
      <c r="J4863" t="inlineStr">
        <is>
          <t>Mediana</t>
        </is>
      </c>
      <c r="K4863" t="n">
        <v>2</v>
      </c>
      <c r="L4863" t="n">
        <v>2.141</v>
      </c>
      <c r="M4863" t="n">
        <v>0</v>
      </c>
      <c r="N4863" t="inlineStr">
        <is>
          <t>train</t>
        </is>
      </c>
      <c r="O4863">
        <f>HYPERLINK("NoConsenso\marker_269_836914.png", "Ver Imagen")</f>
        <v/>
      </c>
      <c r="P4863">
        <f>HYPERLINK("SE\A-492\A-492__280.png", "Ver Imagen")</f>
        <v/>
      </c>
    </row>
    <row r="4864">
      <c r="A4864" t="n">
        <v>4514</v>
      </c>
      <c r="B4864" t="inlineStr">
        <is>
          <t>A-492__284</t>
        </is>
      </c>
      <c r="C4864" t="n">
        <v>37.2894921303</v>
      </c>
      <c r="D4864" t="n">
        <v>-7.04421616087</v>
      </c>
      <c r="E4864" t="n">
        <v>1</v>
      </c>
      <c r="F4864" t="n">
        <v>2</v>
      </c>
      <c r="G4864" t="n">
        <v>3</v>
      </c>
      <c r="H4864" t="n">
        <v>2</v>
      </c>
      <c r="I4864" t="n">
        <v>1</v>
      </c>
      <c r="J4864" t="inlineStr">
        <is>
          <t>Mediana</t>
        </is>
      </c>
      <c r="K4864" t="n">
        <v>2</v>
      </c>
      <c r="L4864" t="n">
        <v>2.085</v>
      </c>
      <c r="M4864" t="n">
        <v>0</v>
      </c>
      <c r="N4864" t="inlineStr">
        <is>
          <t>train</t>
        </is>
      </c>
      <c r="O4864">
        <f>HYPERLINK("NoConsenso\marker_294_837348.png", "Ver Imagen")</f>
        <v/>
      </c>
      <c r="P4864">
        <f>HYPERLINK("SE\A-492\A-492__284.png", "Ver Imagen")</f>
        <v/>
      </c>
    </row>
    <row r="4865">
      <c r="A4865" t="n">
        <v>4515</v>
      </c>
      <c r="B4865" t="inlineStr">
        <is>
          <t>A-492__285</t>
        </is>
      </c>
      <c r="C4865" t="n">
        <v>37.2896461831</v>
      </c>
      <c r="D4865" t="n">
        <v>-7.04443131563</v>
      </c>
      <c r="E4865" t="n">
        <v>1</v>
      </c>
      <c r="F4865" t="n">
        <v>1</v>
      </c>
      <c r="G4865" t="n">
        <v>3</v>
      </c>
      <c r="H4865" t="n">
        <v>2</v>
      </c>
      <c r="I4865" t="n">
        <v>2</v>
      </c>
      <c r="J4865" t="inlineStr">
        <is>
          <t>Mediana</t>
        </is>
      </c>
      <c r="K4865" t="n">
        <v>2</v>
      </c>
      <c r="L4865" t="n">
        <v>1.933</v>
      </c>
      <c r="M4865" t="n">
        <v>0</v>
      </c>
      <c r="N4865" t="inlineStr">
        <is>
          <t>train</t>
        </is>
      </c>
      <c r="O4865">
        <f>HYPERLINK("NoConsenso\marker_437_837359.png", "Ver Imagen")</f>
        <v/>
      </c>
      <c r="P4865">
        <f>HYPERLINK("SE\A-492\A-492__285.png", "Ver Imagen")</f>
        <v/>
      </c>
    </row>
    <row r="4866">
      <c r="A4866" t="n">
        <v>4516</v>
      </c>
      <c r="B4866" t="inlineStr">
        <is>
          <t>A-492__290</t>
        </is>
      </c>
      <c r="C4866" t="n">
        <v>37.290426994</v>
      </c>
      <c r="D4866" t="n">
        <v>-7.04516755541</v>
      </c>
      <c r="E4866" t="n">
        <v>1</v>
      </c>
      <c r="F4866" t="n">
        <v>2</v>
      </c>
      <c r="G4866" t="n">
        <v>3</v>
      </c>
      <c r="H4866" t="n">
        <v>3</v>
      </c>
      <c r="I4866" t="n">
        <v>2</v>
      </c>
      <c r="J4866" t="inlineStr">
        <is>
          <t>Mediana</t>
        </is>
      </c>
      <c r="K4866" t="n">
        <v>2</v>
      </c>
      <c r="L4866" t="n">
        <v>2.081</v>
      </c>
      <c r="M4866" t="n">
        <v>0</v>
      </c>
      <c r="N4866" t="inlineStr">
        <is>
          <t>train</t>
        </is>
      </c>
      <c r="O4866">
        <f>HYPERLINK("NoConsenso\marker_557_837418.png", "Ver Imagen")</f>
        <v/>
      </c>
      <c r="P4866">
        <f>HYPERLINK("SE\A-492\A-492__290.png", "Ver Imagen")</f>
        <v/>
      </c>
    </row>
    <row r="4867">
      <c r="A4867" t="n">
        <v>4517</v>
      </c>
      <c r="B4867" t="inlineStr">
        <is>
          <t>A-492__292</t>
        </is>
      </c>
      <c r="C4867" t="n">
        <v>37.2908096975</v>
      </c>
      <c r="D4867" t="n">
        <v>-7.04533188808</v>
      </c>
      <c r="E4867" t="n">
        <v>1</v>
      </c>
      <c r="F4867" t="n">
        <v>2</v>
      </c>
      <c r="G4867" t="n">
        <v>3</v>
      </c>
      <c r="H4867" t="n">
        <v>2</v>
      </c>
      <c r="I4867" t="n">
        <v>1</v>
      </c>
      <c r="J4867" t="inlineStr">
        <is>
          <t>Mediana</t>
        </is>
      </c>
      <c r="K4867" t="n">
        <v>2</v>
      </c>
      <c r="L4867" t="n">
        <v>2.162</v>
      </c>
      <c r="M4867" t="n">
        <v>0</v>
      </c>
      <c r="N4867" t="inlineStr">
        <is>
          <t>train</t>
        </is>
      </c>
      <c r="O4867">
        <f>HYPERLINK("NoConsenso\marker_199_837446.png", "Ver Imagen")</f>
        <v/>
      </c>
      <c r="P4867">
        <f>HYPERLINK("SE\A-492\A-492__292.png", "Ver Imagen")</f>
        <v/>
      </c>
    </row>
    <row r="4868">
      <c r="A4868" t="n">
        <v>4518</v>
      </c>
      <c r="B4868" t="inlineStr">
        <is>
          <t>A-492__293</t>
        </is>
      </c>
      <c r="C4868" t="n">
        <v>37.2909991491</v>
      </c>
      <c r="D4868" t="n">
        <v>-7.04538004247</v>
      </c>
      <c r="E4868" t="n">
        <v>1</v>
      </c>
      <c r="F4868" t="n">
        <v>2</v>
      </c>
      <c r="G4868" t="n">
        <v>3</v>
      </c>
      <c r="H4868" t="n">
        <v>2</v>
      </c>
      <c r="I4868" t="n">
        <v>1</v>
      </c>
      <c r="J4868" t="inlineStr">
        <is>
          <t>Mediana</t>
        </is>
      </c>
      <c r="K4868" t="n">
        <v>2</v>
      </c>
      <c r="L4868" t="n">
        <v>1.668</v>
      </c>
      <c r="M4868" t="n">
        <v>0</v>
      </c>
      <c r="N4868" t="inlineStr">
        <is>
          <t>test</t>
        </is>
      </c>
      <c r="O4868">
        <f>HYPERLINK("NoConsenso\marker_862_837458.png", "Ver Imagen")</f>
        <v/>
      </c>
      <c r="P4868">
        <f>HYPERLINK("SE\A-492\A-492__293.png", "Ver Imagen")</f>
        <v/>
      </c>
    </row>
    <row r="4869">
      <c r="A4869" t="n">
        <v>4519</v>
      </c>
      <c r="B4869" t="inlineStr">
        <is>
          <t>A-492__295</t>
        </is>
      </c>
      <c r="C4869" t="n">
        <v>37.291393483</v>
      </c>
      <c r="D4869" t="n">
        <v>-7.04544511471</v>
      </c>
      <c r="E4869" t="n">
        <v>1</v>
      </c>
      <c r="F4869" t="n">
        <v>2</v>
      </c>
      <c r="G4869" t="n">
        <v>3</v>
      </c>
      <c r="H4869" t="n">
        <v>3</v>
      </c>
      <c r="I4869" t="n">
        <v>2</v>
      </c>
      <c r="J4869" t="inlineStr">
        <is>
          <t>Modificada</t>
        </is>
      </c>
      <c r="K4869" t="n">
        <v>3</v>
      </c>
      <c r="L4869" t="n">
        <v>3.212</v>
      </c>
      <c r="M4869" t="n">
        <v>0</v>
      </c>
      <c r="N4869" t="inlineStr">
        <is>
          <t>train</t>
        </is>
      </c>
      <c r="O4869">
        <f>HYPERLINK("NoConsenso\marker_692_837482.png", "Ver Imagen")</f>
        <v/>
      </c>
      <c r="P4869">
        <f>HYPERLINK("SE\A-492\A-492__295.png", "Ver Imagen")</f>
        <v/>
      </c>
    </row>
    <row r="4870">
      <c r="A4870" t="n">
        <v>4520</v>
      </c>
      <c r="B4870" t="inlineStr">
        <is>
          <t>A-492__296</t>
        </is>
      </c>
      <c r="C4870" t="n">
        <v>37.2915831622</v>
      </c>
      <c r="D4870" t="n">
        <v>-7.0454714113</v>
      </c>
      <c r="E4870" t="n">
        <v>1</v>
      </c>
      <c r="F4870" t="n">
        <v>3</v>
      </c>
      <c r="G4870" t="n">
        <v>2</v>
      </c>
      <c r="H4870" t="n">
        <v>2</v>
      </c>
      <c r="I4870" t="n">
        <v>1</v>
      </c>
      <c r="J4870" t="inlineStr">
        <is>
          <t>Mediana</t>
        </is>
      </c>
      <c r="K4870" t="n">
        <v>2</v>
      </c>
      <c r="L4870" t="n">
        <v>2.28</v>
      </c>
      <c r="M4870" t="n">
        <v>0</v>
      </c>
      <c r="N4870" t="inlineStr">
        <is>
          <t>test</t>
        </is>
      </c>
      <c r="O4870">
        <f>HYPERLINK("NoConsenso\marker_918_837492.png", "Ver Imagen")</f>
        <v/>
      </c>
      <c r="P4870">
        <f>HYPERLINK("SE\A-492\A-492__296.png", "Ver Imagen")</f>
        <v/>
      </c>
    </row>
    <row r="4871">
      <c r="A4871" t="n">
        <v>4521</v>
      </c>
      <c r="B4871" t="inlineStr">
        <is>
          <t>A-492__297</t>
        </is>
      </c>
      <c r="C4871" t="n">
        <v>37.2917957688</v>
      </c>
      <c r="D4871" t="n">
        <v>-7.0455052102</v>
      </c>
      <c r="E4871" t="n">
        <v>1</v>
      </c>
      <c r="F4871" t="n">
        <v>3</v>
      </c>
      <c r="G4871" t="n">
        <v>3</v>
      </c>
      <c r="H4871" t="n">
        <v>2</v>
      </c>
      <c r="I4871" t="n">
        <v>2</v>
      </c>
      <c r="J4871" t="inlineStr">
        <is>
          <t>Mediana</t>
        </is>
      </c>
      <c r="K4871" t="n">
        <v>2</v>
      </c>
      <c r="L4871" t="n">
        <v>1.945</v>
      </c>
      <c r="M4871" t="n">
        <v>0</v>
      </c>
      <c r="N4871" t="inlineStr">
        <is>
          <t>train</t>
        </is>
      </c>
      <c r="O4871">
        <f>HYPERLINK("NoConsenso\marker_874_837517.png", "Ver Imagen")</f>
        <v/>
      </c>
      <c r="P4871">
        <f>HYPERLINK("SE\A-492\A-492__297.png", "Ver Imagen")</f>
        <v/>
      </c>
    </row>
    <row r="4872">
      <c r="A4872" t="n">
        <v>4522</v>
      </c>
      <c r="B4872" t="inlineStr">
        <is>
          <t>A-492__298</t>
        </is>
      </c>
      <c r="C4872" t="n">
        <v>37.2920205712</v>
      </c>
      <c r="D4872" t="n">
        <v>-7.04555054337</v>
      </c>
      <c r="E4872" t="n">
        <v>1</v>
      </c>
      <c r="F4872" t="n">
        <v>2</v>
      </c>
      <c r="G4872" t="n">
        <v>3</v>
      </c>
      <c r="H4872" t="n">
        <v>2</v>
      </c>
      <c r="I4872" t="n">
        <v>1</v>
      </c>
      <c r="J4872" t="inlineStr">
        <is>
          <t>Mediana</t>
        </is>
      </c>
      <c r="K4872" t="n">
        <v>2</v>
      </c>
      <c r="L4872" t="n">
        <v>1.864</v>
      </c>
      <c r="M4872" t="n">
        <v>0</v>
      </c>
      <c r="N4872" t="inlineStr">
        <is>
          <t>train</t>
        </is>
      </c>
      <c r="O4872">
        <f>HYPERLINK("NoConsenso\marker_131_837526.png", "Ver Imagen")</f>
        <v/>
      </c>
      <c r="P4872">
        <f>HYPERLINK("SE\A-492\A-492__298.png", "Ver Imagen")</f>
        <v/>
      </c>
    </row>
    <row r="4873">
      <c r="A4873" t="n">
        <v>4523</v>
      </c>
      <c r="B4873" t="inlineStr">
        <is>
          <t>A-492__299</t>
        </is>
      </c>
      <c r="C4873" t="n">
        <v>37.2922293887</v>
      </c>
      <c r="D4873" t="n">
        <v>-7.04560656931</v>
      </c>
      <c r="E4873" t="n">
        <v>1</v>
      </c>
      <c r="F4873" t="n">
        <v>2</v>
      </c>
      <c r="G4873" t="n">
        <v>3</v>
      </c>
      <c r="H4873" t="n">
        <v>2</v>
      </c>
      <c r="I4873" t="n">
        <v>1</v>
      </c>
      <c r="J4873" t="inlineStr">
        <is>
          <t>Mediana</t>
        </is>
      </c>
      <c r="K4873" t="n">
        <v>2</v>
      </c>
      <c r="L4873" t="n">
        <v>2.218</v>
      </c>
      <c r="M4873" t="n">
        <v>0</v>
      </c>
      <c r="N4873" t="inlineStr">
        <is>
          <t>train</t>
        </is>
      </c>
      <c r="O4873">
        <f>HYPERLINK("NoConsenso\marker_755_837542.png", "Ver Imagen")</f>
        <v/>
      </c>
      <c r="P4873">
        <f>HYPERLINK("SE\A-492\A-492__299.png", "Ver Imagen")</f>
        <v/>
      </c>
    </row>
    <row r="4874">
      <c r="A4874" t="n">
        <v>4524</v>
      </c>
      <c r="B4874" t="inlineStr">
        <is>
          <t>A-492__300</t>
        </is>
      </c>
      <c r="C4874" t="n">
        <v>37.2924142318</v>
      </c>
      <c r="D4874" t="n">
        <v>-7.04567380672</v>
      </c>
      <c r="E4874" t="n">
        <v>2</v>
      </c>
      <c r="F4874" t="n">
        <v>2</v>
      </c>
      <c r="G4874" t="n">
        <v>4</v>
      </c>
      <c r="H4874" t="n">
        <v>2</v>
      </c>
      <c r="I4874" t="n">
        <v>2</v>
      </c>
      <c r="J4874" t="inlineStr">
        <is>
          <t>Mediana</t>
        </is>
      </c>
      <c r="K4874" t="n">
        <v>2</v>
      </c>
      <c r="L4874" t="n">
        <v>1.887</v>
      </c>
      <c r="M4874" t="n">
        <v>0</v>
      </c>
      <c r="N4874" t="inlineStr">
        <is>
          <t>train</t>
        </is>
      </c>
      <c r="O4874">
        <f>HYPERLINK("NoConsenso\marker_223_837551.png", "Ver Imagen")</f>
        <v/>
      </c>
      <c r="P4874">
        <f>HYPERLINK("SE\A-492\A-492__300.png", "Ver Imagen")</f>
        <v/>
      </c>
    </row>
    <row r="4875">
      <c r="A4875" t="n">
        <v>4525</v>
      </c>
      <c r="B4875" t="inlineStr">
        <is>
          <t>A-492__302</t>
        </is>
      </c>
      <c r="C4875" t="n">
        <v>37.2927437815</v>
      </c>
      <c r="D4875" t="n">
        <v>-7.04584862788</v>
      </c>
      <c r="E4875" t="n">
        <v>1</v>
      </c>
      <c r="F4875" t="n">
        <v>2</v>
      </c>
      <c r="G4875" t="n">
        <v>3</v>
      </c>
      <c r="H4875" t="n">
        <v>2</v>
      </c>
      <c r="I4875" t="n">
        <v>1</v>
      </c>
      <c r="J4875" t="inlineStr">
        <is>
          <t>Mediana</t>
        </is>
      </c>
      <c r="K4875" t="n">
        <v>2</v>
      </c>
      <c r="L4875" t="n">
        <v>2.34</v>
      </c>
      <c r="M4875" t="n">
        <v>0</v>
      </c>
      <c r="N4875" t="inlineStr">
        <is>
          <t>train</t>
        </is>
      </c>
      <c r="O4875">
        <f>HYPERLINK("NoConsenso\marker_611_837578.png", "Ver Imagen")</f>
        <v/>
      </c>
      <c r="P4875">
        <f>HYPERLINK("SE\A-492\A-492__302.png", "Ver Imagen")</f>
        <v/>
      </c>
    </row>
    <row r="4876">
      <c r="A4876" t="n">
        <v>4526</v>
      </c>
      <c r="B4876" t="inlineStr">
        <is>
          <t>A-492__303</t>
        </is>
      </c>
      <c r="C4876" t="n">
        <v>37.2929384449</v>
      </c>
      <c r="D4876" t="n">
        <v>-7.04599182194</v>
      </c>
      <c r="E4876" t="n">
        <v>1</v>
      </c>
      <c r="F4876" t="n">
        <v>3</v>
      </c>
      <c r="G4876" t="n">
        <v>3</v>
      </c>
      <c r="H4876" t="n">
        <v>2</v>
      </c>
      <c r="I4876" t="n">
        <v>1</v>
      </c>
      <c r="J4876" t="inlineStr">
        <is>
          <t>Mediana</t>
        </is>
      </c>
      <c r="K4876" t="n">
        <v>2</v>
      </c>
      <c r="L4876" t="n">
        <v>2.127</v>
      </c>
      <c r="M4876" t="n">
        <v>0</v>
      </c>
      <c r="N4876" t="inlineStr">
        <is>
          <t>train</t>
        </is>
      </c>
      <c r="O4876">
        <f>HYPERLINK("NoConsenso\marker_825_837589.png", "Ver Imagen")</f>
        <v/>
      </c>
      <c r="P4876">
        <f>HYPERLINK("SE\A-492\A-492__303.png", "Ver Imagen")</f>
        <v/>
      </c>
    </row>
    <row r="4877">
      <c r="A4877" t="n">
        <v>4528</v>
      </c>
      <c r="B4877" t="inlineStr">
        <is>
          <t>A-492__319</t>
        </is>
      </c>
      <c r="C4877" t="n">
        <v>37.2952043232</v>
      </c>
      <c r="D4877" t="n">
        <v>-7.04887666985</v>
      </c>
      <c r="E4877" t="n">
        <v>2</v>
      </c>
      <c r="F4877" t="n">
        <v>2</v>
      </c>
      <c r="G4877" t="n">
        <v>4</v>
      </c>
      <c r="H4877" t="n">
        <v>3</v>
      </c>
      <c r="I4877" t="n">
        <v>2</v>
      </c>
      <c r="J4877" t="inlineStr">
        <is>
          <t>Mediana</t>
        </is>
      </c>
      <c r="K4877" t="n">
        <v>2</v>
      </c>
      <c r="L4877" t="n">
        <v>1.857</v>
      </c>
      <c r="M4877" t="n">
        <v>0</v>
      </c>
      <c r="N4877" t="inlineStr">
        <is>
          <t>train</t>
        </is>
      </c>
      <c r="O4877">
        <f>HYPERLINK("NoConsenso\marker_370_837937.png", "Ver Imagen")</f>
        <v/>
      </c>
      <c r="P4877">
        <f>HYPERLINK("SE\A-492\A-492__319.png", "Ver Imagen")</f>
        <v/>
      </c>
    </row>
    <row r="4878">
      <c r="A4878" t="n">
        <v>4529</v>
      </c>
      <c r="B4878" t="inlineStr">
        <is>
          <t>A-492__328</t>
        </is>
      </c>
      <c r="C4878" t="n">
        <v>37.2965488221</v>
      </c>
      <c r="D4878" t="n">
        <v>-7.05045731807</v>
      </c>
      <c r="E4878" t="n">
        <v>1</v>
      </c>
      <c r="F4878" t="n">
        <v>2</v>
      </c>
      <c r="G4878" t="n">
        <v>3</v>
      </c>
      <c r="H4878" t="n">
        <v>2</v>
      </c>
      <c r="I4878" t="n">
        <v>2</v>
      </c>
      <c r="J4878" t="inlineStr">
        <is>
          <t>Mediana</t>
        </is>
      </c>
      <c r="K4878" t="n">
        <v>2</v>
      </c>
      <c r="L4878" t="n">
        <v>1.886</v>
      </c>
      <c r="M4878" t="n">
        <v>0</v>
      </c>
      <c r="N4878" t="inlineStr">
        <is>
          <t>train</t>
        </is>
      </c>
      <c r="O4878">
        <f>HYPERLINK("NoConsenso\marker_253_838056.png", "Ver Imagen")</f>
        <v/>
      </c>
      <c r="P4878">
        <f>HYPERLINK("SE\A-492\A-492__328.png", "Ver Imagen")</f>
        <v/>
      </c>
    </row>
    <row r="4879">
      <c r="A4879" t="n">
        <v>4530</v>
      </c>
      <c r="B4879" t="inlineStr">
        <is>
          <t>A-492__335</t>
        </is>
      </c>
      <c r="C4879" t="n">
        <v>37.2972310384</v>
      </c>
      <c r="D4879" t="n">
        <v>-7.05197720613</v>
      </c>
      <c r="E4879" t="n">
        <v>1</v>
      </c>
      <c r="F4879" t="n">
        <v>3</v>
      </c>
      <c r="G4879" t="n">
        <v>3</v>
      </c>
      <c r="H4879" t="n">
        <v>2</v>
      </c>
      <c r="I4879" t="n">
        <v>1</v>
      </c>
      <c r="J4879" t="inlineStr">
        <is>
          <t>Mediana</t>
        </is>
      </c>
      <c r="K4879" t="n">
        <v>2</v>
      </c>
      <c r="L4879" t="n">
        <v>1.871</v>
      </c>
      <c r="M4879" t="n">
        <v>0</v>
      </c>
      <c r="N4879" t="inlineStr">
        <is>
          <t>train</t>
        </is>
      </c>
      <c r="O4879">
        <f>HYPERLINK("NoConsenso\marker_910_838148.png", "Ver Imagen")</f>
        <v/>
      </c>
      <c r="P4879">
        <f>HYPERLINK("SE\A-492\A-492__335.png", "Ver Imagen")</f>
        <v/>
      </c>
    </row>
    <row r="4880">
      <c r="A4880" t="n">
        <v>4531</v>
      </c>
      <c r="B4880" t="inlineStr">
        <is>
          <t>A-492__338</t>
        </is>
      </c>
      <c r="C4880" t="n">
        <v>37.29748493</v>
      </c>
      <c r="D4880" t="n">
        <v>-7.05271621717</v>
      </c>
      <c r="E4880" t="n">
        <v>1</v>
      </c>
      <c r="F4880" t="n">
        <v>1</v>
      </c>
      <c r="G4880" t="n">
        <v>3</v>
      </c>
      <c r="H4880" t="n">
        <v>2</v>
      </c>
      <c r="I4880" t="n">
        <v>1</v>
      </c>
      <c r="J4880" t="inlineStr">
        <is>
          <t>Mediana</t>
        </is>
      </c>
      <c r="K4880" t="n">
        <v>1</v>
      </c>
      <c r="L4880" t="n">
        <v>1</v>
      </c>
      <c r="M4880" t="n">
        <v>0</v>
      </c>
      <c r="N4880" t="inlineStr">
        <is>
          <t>train</t>
        </is>
      </c>
      <c r="O4880">
        <f>HYPERLINK("NoConsenso\marker_640_838181.png", "Ver Imagen")</f>
        <v/>
      </c>
      <c r="P4880">
        <f>HYPERLINK("SE\A-492\A-492__338.png", "Ver Imagen")</f>
        <v/>
      </c>
    </row>
    <row r="4881">
      <c r="A4881" t="n">
        <v>4532</v>
      </c>
      <c r="B4881" t="inlineStr">
        <is>
          <t>A-492__343</t>
        </is>
      </c>
      <c r="C4881" t="n">
        <v>37.2981098392</v>
      </c>
      <c r="D4881" t="n">
        <v>-7.05366969797</v>
      </c>
      <c r="E4881" t="n">
        <v>1</v>
      </c>
      <c r="F4881" t="n">
        <v>3</v>
      </c>
      <c r="G4881" t="n">
        <v>3</v>
      </c>
      <c r="H4881" t="n">
        <v>2</v>
      </c>
      <c r="I4881" t="n">
        <v>1</v>
      </c>
      <c r="J4881" t="inlineStr">
        <is>
          <t>Mediana</t>
        </is>
      </c>
      <c r="K4881" t="n">
        <v>2</v>
      </c>
      <c r="L4881" t="n">
        <v>2.103</v>
      </c>
      <c r="M4881" t="n">
        <v>0</v>
      </c>
      <c r="N4881" t="inlineStr">
        <is>
          <t>test</t>
        </is>
      </c>
      <c r="O4881">
        <f>HYPERLINK("NoConsenso\marker_872_838257.png", "Ver Imagen")</f>
        <v/>
      </c>
      <c r="P4881">
        <f>HYPERLINK("SE\A-492\A-492__343.png", "Ver Imagen")</f>
        <v/>
      </c>
    </row>
    <row r="4882">
      <c r="A4882" t="n">
        <v>4533</v>
      </c>
      <c r="B4882" t="inlineStr">
        <is>
          <t>A-492__344</t>
        </is>
      </c>
      <c r="C4882" t="n">
        <v>37.2982879412</v>
      </c>
      <c r="D4882" t="n">
        <v>-7.05382536757</v>
      </c>
      <c r="E4882" t="n">
        <v>1</v>
      </c>
      <c r="F4882" t="n">
        <v>2</v>
      </c>
      <c r="G4882" t="n">
        <v>3</v>
      </c>
      <c r="H4882" t="n">
        <v>2</v>
      </c>
      <c r="I4882" t="n">
        <v>1</v>
      </c>
      <c r="J4882" t="inlineStr">
        <is>
          <t>Mediana</t>
        </is>
      </c>
      <c r="K4882" t="n">
        <v>2</v>
      </c>
      <c r="L4882" t="n">
        <v>2.209</v>
      </c>
      <c r="M4882" t="n">
        <v>0</v>
      </c>
      <c r="N4882" t="inlineStr">
        <is>
          <t>train</t>
        </is>
      </c>
      <c r="O4882">
        <f>HYPERLINK("NoConsenso\marker_688_838267.png", "Ver Imagen")</f>
        <v/>
      </c>
      <c r="P4882">
        <f>HYPERLINK("SE\A-492\A-492__344.png", "Ver Imagen")</f>
        <v/>
      </c>
    </row>
    <row r="4883">
      <c r="A4883" t="n">
        <v>4534</v>
      </c>
      <c r="B4883" t="inlineStr">
        <is>
          <t>A-492__346</t>
        </is>
      </c>
      <c r="C4883" t="n">
        <v>37.2986297556</v>
      </c>
      <c r="D4883" t="n">
        <v>-7.05406729509</v>
      </c>
      <c r="E4883" t="n">
        <v>1</v>
      </c>
      <c r="F4883" t="n">
        <v>2</v>
      </c>
      <c r="G4883" t="n">
        <v>3</v>
      </c>
      <c r="H4883" t="n">
        <v>2</v>
      </c>
      <c r="I4883" t="n">
        <v>1</v>
      </c>
      <c r="J4883" t="inlineStr">
        <is>
          <t>Mediana</t>
        </is>
      </c>
      <c r="K4883" t="n">
        <v>2</v>
      </c>
      <c r="L4883" t="n">
        <v>1.963</v>
      </c>
      <c r="M4883" t="n">
        <v>0</v>
      </c>
      <c r="N4883" t="inlineStr">
        <is>
          <t>test</t>
        </is>
      </c>
      <c r="O4883">
        <f>HYPERLINK("NoConsenso\marker_745_838313.png", "Ver Imagen")</f>
        <v/>
      </c>
      <c r="P4883">
        <f>HYPERLINK("SE\A-492\A-492__346.png", "Ver Imagen")</f>
        <v/>
      </c>
    </row>
    <row r="4884">
      <c r="A4884" t="n">
        <v>4535</v>
      </c>
      <c r="B4884" t="inlineStr">
        <is>
          <t>A-492__349</t>
        </is>
      </c>
      <c r="C4884" t="n">
        <v>37.2991536036</v>
      </c>
      <c r="D4884" t="n">
        <v>-7.05439289032</v>
      </c>
      <c r="E4884" t="n">
        <v>1</v>
      </c>
      <c r="F4884" t="n">
        <v>2</v>
      </c>
      <c r="G4884" t="n">
        <v>3</v>
      </c>
      <c r="H4884" t="n">
        <v>2</v>
      </c>
      <c r="I4884" t="n">
        <v>1</v>
      </c>
      <c r="J4884" t="inlineStr">
        <is>
          <t>Mediana</t>
        </is>
      </c>
      <c r="K4884" t="n">
        <v>2</v>
      </c>
      <c r="L4884" t="n">
        <v>2.084</v>
      </c>
      <c r="M4884" t="n">
        <v>0</v>
      </c>
      <c r="N4884" t="inlineStr">
        <is>
          <t>train</t>
        </is>
      </c>
      <c r="O4884">
        <f>HYPERLINK("NoConsenso\marker_571_838351.png", "Ver Imagen")</f>
        <v/>
      </c>
      <c r="P4884">
        <f>HYPERLINK("SE\A-492\A-492__349.png", "Ver Imagen")</f>
        <v/>
      </c>
    </row>
    <row r="4885">
      <c r="A4885" t="n">
        <v>4536</v>
      </c>
      <c r="B4885" t="inlineStr">
        <is>
          <t>A-492__390</t>
        </is>
      </c>
      <c r="C4885" t="n">
        <v>37.3069231762</v>
      </c>
      <c r="D4885" t="n">
        <v>-7.05686693179</v>
      </c>
      <c r="E4885" t="n">
        <v>1</v>
      </c>
      <c r="F4885" t="n">
        <v>2</v>
      </c>
      <c r="G4885" t="n">
        <v>3</v>
      </c>
      <c r="H4885" t="n">
        <v>1</v>
      </c>
      <c r="I4885" t="n">
        <v>1</v>
      </c>
      <c r="J4885" t="inlineStr">
        <is>
          <t>Mediana</t>
        </is>
      </c>
      <c r="K4885" t="n">
        <v>1</v>
      </c>
      <c r="L4885" t="n">
        <v>1.02</v>
      </c>
      <c r="M4885" t="n">
        <v>0</v>
      </c>
      <c r="N4885" t="inlineStr">
        <is>
          <t>train</t>
        </is>
      </c>
      <c r="O4885">
        <f>HYPERLINK("NoConsenso\marker_782_839028.png", "Ver Imagen")</f>
        <v/>
      </c>
      <c r="P4885">
        <f>HYPERLINK("SE\A-492\A-492__390.png", "Ver Imagen")</f>
        <v/>
      </c>
    </row>
    <row r="4886">
      <c r="A4886" t="n">
        <v>4537</v>
      </c>
      <c r="B4886" t="inlineStr">
        <is>
          <t>A-492__409</t>
        </is>
      </c>
      <c r="C4886" t="n">
        <v>37.3104460974</v>
      </c>
      <c r="D4886" t="n">
        <v>-7.05861310468</v>
      </c>
      <c r="E4886" t="n">
        <v>1</v>
      </c>
      <c r="F4886" t="n">
        <v>2</v>
      </c>
      <c r="G4886" t="n">
        <v>3</v>
      </c>
      <c r="H4886" t="n">
        <v>1</v>
      </c>
      <c r="I4886" t="n">
        <v>1</v>
      </c>
      <c r="J4886" t="inlineStr">
        <is>
          <t>Mediana</t>
        </is>
      </c>
      <c r="K4886" t="n">
        <v>1</v>
      </c>
      <c r="L4886" t="n">
        <v>1.157</v>
      </c>
      <c r="M4886" t="n">
        <v>0</v>
      </c>
      <c r="N4886" t="inlineStr">
        <is>
          <t>train</t>
        </is>
      </c>
      <c r="O4886">
        <f>HYPERLINK("NoConsenso\marker_316_839280.png", "Ver Imagen")</f>
        <v/>
      </c>
      <c r="P4886">
        <f>HYPERLINK("SE\A-492\A-492__409.png", "Ver Imagen")</f>
        <v/>
      </c>
    </row>
    <row r="4887">
      <c r="A4887" t="n">
        <v>4540</v>
      </c>
      <c r="B4887" t="inlineStr">
        <is>
          <t>A-492__432</t>
        </is>
      </c>
      <c r="C4887" t="n">
        <v>37.3136047268</v>
      </c>
      <c r="D4887" t="n">
        <v>-7.0628514659</v>
      </c>
      <c r="E4887" t="n">
        <v>2</v>
      </c>
      <c r="F4887" t="n">
        <v>4</v>
      </c>
      <c r="G4887" t="n">
        <v>3</v>
      </c>
      <c r="H4887" t="n">
        <v>3</v>
      </c>
      <c r="I4887" t="n">
        <v>2</v>
      </c>
      <c r="J4887" t="inlineStr">
        <is>
          <t>Mediana</t>
        </is>
      </c>
      <c r="K4887" t="n">
        <v>3</v>
      </c>
      <c r="L4887" t="n">
        <v>2.956</v>
      </c>
      <c r="M4887" t="n">
        <v>0</v>
      </c>
      <c r="N4887" t="inlineStr">
        <is>
          <t>train</t>
        </is>
      </c>
      <c r="O4887">
        <f>HYPERLINK("NoConsenso\marker_803_839550.png", "Ver Imagen")</f>
        <v/>
      </c>
      <c r="P4887">
        <f>HYPERLINK("SE\A-492\A-492__432.png", "Ver Imagen")</f>
        <v/>
      </c>
    </row>
    <row r="4888">
      <c r="A4888" t="n">
        <v>4541</v>
      </c>
      <c r="B4888" t="inlineStr">
        <is>
          <t>A-492__433</t>
        </is>
      </c>
      <c r="C4888" t="n">
        <v>37.3137174864</v>
      </c>
      <c r="D4888" t="n">
        <v>-7.06306327845</v>
      </c>
      <c r="E4888" t="n">
        <v>2</v>
      </c>
      <c r="F4888" t="n">
        <v>2</v>
      </c>
      <c r="G4888" t="n">
        <v>4</v>
      </c>
      <c r="H4888" t="n">
        <v>2</v>
      </c>
      <c r="I4888" t="n">
        <v>1</v>
      </c>
      <c r="J4888" t="inlineStr">
        <is>
          <t>Mediana</t>
        </is>
      </c>
      <c r="K4888" t="n">
        <v>2</v>
      </c>
      <c r="L4888" t="n">
        <v>1.88</v>
      </c>
      <c r="M4888" t="n">
        <v>0</v>
      </c>
      <c r="N4888" t="inlineStr">
        <is>
          <t>train</t>
        </is>
      </c>
      <c r="O4888">
        <f>HYPERLINK("NoConsenso\marker_549_839564.png", "Ver Imagen")</f>
        <v/>
      </c>
      <c r="P4888">
        <f>HYPERLINK("SE\A-492\A-492__433.png", "Ver Imagen")</f>
        <v/>
      </c>
    </row>
    <row r="4889">
      <c r="A4889" t="n">
        <v>4542</v>
      </c>
      <c r="B4889" t="inlineStr">
        <is>
          <t>A-492__454</t>
        </is>
      </c>
      <c r="C4889" t="n">
        <v>37.3155852415</v>
      </c>
      <c r="D4889" t="n">
        <v>-7.06776416375</v>
      </c>
      <c r="E4889" t="n">
        <v>2</v>
      </c>
      <c r="F4889" t="n">
        <v>4</v>
      </c>
      <c r="G4889" t="n">
        <v>4</v>
      </c>
      <c r="H4889" t="n">
        <v>3</v>
      </c>
      <c r="I4889" t="n">
        <v>3</v>
      </c>
      <c r="J4889" t="inlineStr">
        <is>
          <t>Mediana</t>
        </is>
      </c>
      <c r="K4889" t="n">
        <v>3</v>
      </c>
      <c r="L4889" t="n">
        <v>2.592</v>
      </c>
      <c r="M4889" t="n">
        <v>0</v>
      </c>
      <c r="N4889" t="inlineStr">
        <is>
          <t>train</t>
        </is>
      </c>
      <c r="O4889">
        <f>HYPERLINK("NoConsenso\marker_972_839857.png", "Ver Imagen")</f>
        <v/>
      </c>
      <c r="P4889">
        <f>HYPERLINK("SE\A-492\A-492__454.png", "Ver Imagen")</f>
        <v/>
      </c>
    </row>
    <row r="4890">
      <c r="A4890" t="n">
        <v>4543</v>
      </c>
      <c r="B4890" t="inlineStr">
        <is>
          <t>A-492__457</t>
        </is>
      </c>
      <c r="C4890" t="n">
        <v>37.3158016052</v>
      </c>
      <c r="D4890" t="n">
        <v>-7.0684868284</v>
      </c>
      <c r="E4890" t="n">
        <v>2</v>
      </c>
      <c r="F4890" t="n">
        <v>3</v>
      </c>
      <c r="G4890" t="n">
        <v>4</v>
      </c>
      <c r="H4890" t="n">
        <v>3</v>
      </c>
      <c r="I4890" t="n">
        <v>3</v>
      </c>
      <c r="J4890" t="inlineStr">
        <is>
          <t>Mediana</t>
        </is>
      </c>
      <c r="K4890" t="n">
        <v>3</v>
      </c>
      <c r="L4890" t="n">
        <v>2.976</v>
      </c>
      <c r="M4890" t="n">
        <v>0</v>
      </c>
      <c r="N4890" t="inlineStr">
        <is>
          <t>train</t>
        </is>
      </c>
      <c r="O4890">
        <f>HYPERLINK("NoConsenso\marker_227_839896.png", "Ver Imagen")</f>
        <v/>
      </c>
      <c r="P4890">
        <f>HYPERLINK("SE\A-492\A-492__457.png", "Ver Imagen")</f>
        <v/>
      </c>
    </row>
    <row r="4891">
      <c r="A4891" t="n">
        <v>4544</v>
      </c>
      <c r="B4891" t="inlineStr">
        <is>
          <t>A-492__466</t>
        </is>
      </c>
      <c r="C4891" t="n">
        <v>37.3167544733</v>
      </c>
      <c r="D4891" t="n">
        <v>-7.07039477272</v>
      </c>
      <c r="E4891" t="n">
        <v>3</v>
      </c>
      <c r="F4891" t="n">
        <v>2</v>
      </c>
      <c r="G4891" t="n">
        <v>4</v>
      </c>
      <c r="H4891" t="n">
        <v>2</v>
      </c>
      <c r="I4891" t="n">
        <v>2</v>
      </c>
      <c r="J4891" t="inlineStr">
        <is>
          <t>Mediana</t>
        </is>
      </c>
      <c r="K4891" t="n">
        <v>2</v>
      </c>
      <c r="L4891" t="n">
        <v>2.021</v>
      </c>
      <c r="M4891" t="n">
        <v>0</v>
      </c>
      <c r="N4891" t="inlineStr">
        <is>
          <t>train</t>
        </is>
      </c>
      <c r="O4891">
        <f>HYPERLINK("NoConsenso\marker_736_839992.png", "Ver Imagen")</f>
        <v/>
      </c>
      <c r="P4891">
        <f>HYPERLINK("SE\A-492\A-492__466.png", "Ver Imagen")</f>
        <v/>
      </c>
    </row>
    <row r="4892">
      <c r="A4892" t="n">
        <v>4545</v>
      </c>
      <c r="B4892" t="inlineStr">
        <is>
          <t>A-492__469</t>
        </is>
      </c>
      <c r="C4892" t="n">
        <v>37.3172244102</v>
      </c>
      <c r="D4892" t="n">
        <v>-7.07087016844</v>
      </c>
      <c r="E4892" t="n">
        <v>3</v>
      </c>
      <c r="F4892" t="n">
        <v>2</v>
      </c>
      <c r="G4892" t="n">
        <v>4</v>
      </c>
      <c r="H4892" t="n">
        <v>2</v>
      </c>
      <c r="I4892" t="n">
        <v>3</v>
      </c>
      <c r="J4892" t="inlineStr">
        <is>
          <t>Mediana</t>
        </is>
      </c>
      <c r="K4892" t="n">
        <v>3</v>
      </c>
      <c r="L4892" t="n">
        <v>3.057</v>
      </c>
      <c r="M4892" t="n">
        <v>0</v>
      </c>
      <c r="N4892" t="inlineStr">
        <is>
          <t>train</t>
        </is>
      </c>
      <c r="O4892">
        <f>HYPERLINK("NoConsenso\marker_772_840035.png", "Ver Imagen")</f>
        <v/>
      </c>
      <c r="P4892">
        <f>HYPERLINK("SE\A-492\A-492__469.png", "Ver Imagen")</f>
        <v/>
      </c>
    </row>
    <row r="4893">
      <c r="A4893" t="n">
        <v>4546</v>
      </c>
      <c r="B4893" t="inlineStr">
        <is>
          <t>A-492__473</t>
        </is>
      </c>
      <c r="C4893" t="n">
        <v>37.3179807243</v>
      </c>
      <c r="D4893" t="n">
        <v>-7.07123689379</v>
      </c>
      <c r="E4893" t="n">
        <v>2</v>
      </c>
      <c r="F4893" t="n">
        <v>3</v>
      </c>
      <c r="G4893" t="n">
        <v>4</v>
      </c>
      <c r="H4893" t="n">
        <v>3</v>
      </c>
      <c r="I4893" t="n">
        <v>2</v>
      </c>
      <c r="J4893" t="inlineStr">
        <is>
          <t>Mediana</t>
        </is>
      </c>
      <c r="K4893" t="n">
        <v>3</v>
      </c>
      <c r="L4893" t="n">
        <v>2.998</v>
      </c>
      <c r="M4893" t="n">
        <v>0</v>
      </c>
      <c r="N4893" t="inlineStr">
        <is>
          <t>train</t>
        </is>
      </c>
      <c r="O4893">
        <f>HYPERLINK("NoConsenso\marker_907_840079.png", "Ver Imagen")</f>
        <v/>
      </c>
      <c r="P4893">
        <f>HYPERLINK("SE\A-492\A-492__473.png", "Ver Imagen")</f>
        <v/>
      </c>
    </row>
    <row r="4894">
      <c r="A4894" t="n">
        <v>4547</v>
      </c>
      <c r="B4894" t="inlineStr">
        <is>
          <t>A-495R__68</t>
        </is>
      </c>
      <c r="C4894" t="n">
        <v>37.4577202957</v>
      </c>
      <c r="D4894" t="n">
        <v>-7.11417340093</v>
      </c>
      <c r="E4894" t="n">
        <v>3</v>
      </c>
      <c r="F4894" t="n">
        <v>4</v>
      </c>
      <c r="G4894" t="n">
        <v>5</v>
      </c>
      <c r="H4894" t="n">
        <v>5</v>
      </c>
      <c r="I4894" t="n">
        <v>4</v>
      </c>
      <c r="J4894" t="inlineStr">
        <is>
          <t>Mediana</t>
        </is>
      </c>
      <c r="K4894" t="n">
        <v>4</v>
      </c>
      <c r="L4894" t="n">
        <v>3.934</v>
      </c>
      <c r="M4894" t="n">
        <v>0</v>
      </c>
      <c r="N4894" t="inlineStr">
        <is>
          <t>test</t>
        </is>
      </c>
      <c r="O4894">
        <f>HYPERLINK("NoConsenso\marker_574_935258.png", "Ver Imagen")</f>
        <v/>
      </c>
      <c r="P4894">
        <f>HYPERLINK("NE\A-495R\A-495R__68.png", "Ver Imagen")</f>
        <v/>
      </c>
    </row>
    <row r="4895">
      <c r="A4895" t="n">
        <v>4548</v>
      </c>
      <c r="B4895" t="inlineStr">
        <is>
          <t>A-495R__66</t>
        </is>
      </c>
      <c r="C4895" t="n">
        <v>37.4573728994</v>
      </c>
      <c r="D4895" t="n">
        <v>-7.11404524631</v>
      </c>
      <c r="E4895" t="n">
        <v>3</v>
      </c>
      <c r="F4895" t="n">
        <v>5</v>
      </c>
      <c r="G4895" t="n">
        <v>4</v>
      </c>
      <c r="H4895" t="n">
        <v>5</v>
      </c>
      <c r="I4895" t="n">
        <v>5</v>
      </c>
      <c r="J4895" t="inlineStr">
        <is>
          <t>Mediana</t>
        </is>
      </c>
      <c r="K4895" t="n">
        <v>5</v>
      </c>
      <c r="L4895" t="n">
        <v>5</v>
      </c>
      <c r="M4895" t="n">
        <v>0</v>
      </c>
      <c r="N4895" t="inlineStr">
        <is>
          <t>train</t>
        </is>
      </c>
      <c r="O4895">
        <f>HYPERLINK("NoConsenso\marker_310_935374.png", "Ver Imagen")</f>
        <v/>
      </c>
      <c r="P4895">
        <f>HYPERLINK("NE\A-495R\A-495R__66.png", "Ver Imagen")</f>
        <v/>
      </c>
    </row>
    <row r="4896">
      <c r="A4896" t="n">
        <v>4549</v>
      </c>
      <c r="B4896" t="inlineStr">
        <is>
          <t>A-495R__37</t>
        </is>
      </c>
      <c r="C4896" t="n">
        <v>37.4518731728</v>
      </c>
      <c r="D4896" t="n">
        <v>-7.11145028374</v>
      </c>
      <c r="E4896" t="n">
        <v>3</v>
      </c>
      <c r="F4896" t="n">
        <v>5</v>
      </c>
      <c r="G4896" t="n">
        <v>4</v>
      </c>
      <c r="H4896" t="n">
        <v>4</v>
      </c>
      <c r="I4896" t="n">
        <v>4</v>
      </c>
      <c r="J4896" t="inlineStr">
        <is>
          <t>Mediana</t>
        </is>
      </c>
      <c r="K4896" t="n">
        <v>4</v>
      </c>
      <c r="L4896" t="n">
        <v>3.849</v>
      </c>
      <c r="M4896" t="n">
        <v>0</v>
      </c>
      <c r="N4896" t="inlineStr">
        <is>
          <t>train</t>
        </is>
      </c>
      <c r="O4896">
        <f>HYPERLINK("NoConsenso\marker_924_936552.png", "Ver Imagen")</f>
        <v/>
      </c>
      <c r="P4896">
        <f>HYPERLINK("NE\A-495R\A-495R__37.png", "Ver Imagen")</f>
        <v/>
      </c>
    </row>
    <row r="4897">
      <c r="A4897" t="n">
        <v>4550</v>
      </c>
      <c r="B4897" t="inlineStr">
        <is>
          <t>A-495R__33</t>
        </is>
      </c>
      <c r="C4897" t="n">
        <v>37.451131753</v>
      </c>
      <c r="D4897" t="n">
        <v>-7.1109211431</v>
      </c>
      <c r="E4897" t="n">
        <v>3</v>
      </c>
      <c r="F4897" t="n">
        <v>5</v>
      </c>
      <c r="G4897" t="n">
        <v>4</v>
      </c>
      <c r="H4897" t="n">
        <v>5</v>
      </c>
      <c r="I4897" t="n">
        <v>4</v>
      </c>
      <c r="J4897" t="inlineStr">
        <is>
          <t>Modificada</t>
        </is>
      </c>
      <c r="K4897" t="n">
        <v>5</v>
      </c>
      <c r="L4897" t="n">
        <v>4.772</v>
      </c>
      <c r="M4897" t="n">
        <v>0</v>
      </c>
      <c r="N4897" t="inlineStr">
        <is>
          <t>train</t>
        </is>
      </c>
      <c r="O4897">
        <f>HYPERLINK("NoConsenso\marker_302_936591.png", "Ver Imagen")</f>
        <v/>
      </c>
      <c r="P4897">
        <f>HYPERLINK("NE\A-495R\A-495R__33.png", "Ver Imagen")</f>
        <v/>
      </c>
    </row>
    <row r="4898">
      <c r="A4898" t="n">
        <v>4551</v>
      </c>
      <c r="B4898" t="inlineStr">
        <is>
          <t>A-495R__21</t>
        </is>
      </c>
      <c r="C4898" t="n">
        <v>37.4488866663</v>
      </c>
      <c r="D4898" t="n">
        <v>-7.10981227104</v>
      </c>
      <c r="E4898" t="n">
        <v>1</v>
      </c>
      <c r="F4898" t="n">
        <v>3</v>
      </c>
      <c r="G4898" t="n">
        <v>3</v>
      </c>
      <c r="H4898" t="n">
        <v>2</v>
      </c>
      <c r="I4898" t="n">
        <v>2</v>
      </c>
      <c r="J4898" t="inlineStr">
        <is>
          <t>Mediana</t>
        </is>
      </c>
      <c r="K4898" t="n">
        <v>2</v>
      </c>
      <c r="L4898" t="n">
        <v>2.012</v>
      </c>
      <c r="M4898" t="n">
        <v>0</v>
      </c>
      <c r="N4898" t="inlineStr">
        <is>
          <t>train</t>
        </is>
      </c>
      <c r="O4898">
        <f>HYPERLINK("NoConsenso\marker_477_936719.png", "Ver Imagen")</f>
        <v/>
      </c>
      <c r="P4898">
        <f>HYPERLINK("NE\A-495R\A-495R__21.png", "Ver Imagen")</f>
        <v/>
      </c>
    </row>
    <row r="4899">
      <c r="A4899" t="n">
        <v>4552</v>
      </c>
      <c r="B4899" t="inlineStr">
        <is>
          <t>A-495R__17</t>
        </is>
      </c>
      <c r="C4899" t="n">
        <v>37.4481697047</v>
      </c>
      <c r="D4899" t="n">
        <v>-7.10941500152</v>
      </c>
      <c r="E4899" t="n">
        <v>2</v>
      </c>
      <c r="F4899" t="n">
        <v>3</v>
      </c>
      <c r="G4899" t="n">
        <v>4</v>
      </c>
      <c r="H4899" t="n">
        <v>3</v>
      </c>
      <c r="I4899" t="n">
        <v>3</v>
      </c>
      <c r="J4899" t="inlineStr">
        <is>
          <t>Mediana</t>
        </is>
      </c>
      <c r="K4899" t="n">
        <v>3</v>
      </c>
      <c r="L4899" t="n">
        <v>3.296</v>
      </c>
      <c r="M4899" t="n">
        <v>0</v>
      </c>
      <c r="N4899" t="inlineStr">
        <is>
          <t>train</t>
        </is>
      </c>
      <c r="O4899">
        <f>HYPERLINK("NoConsenso\marker_647_936823.png", "Ver Imagen")</f>
        <v/>
      </c>
      <c r="P4899">
        <f>HYPERLINK("NE\A-495R\A-495R__17.png", "Ver Imagen")</f>
        <v/>
      </c>
    </row>
    <row r="4900">
      <c r="A4900" t="n">
        <v>4553</v>
      </c>
      <c r="B4900" t="inlineStr">
        <is>
          <t>A-497__89</t>
        </is>
      </c>
      <c r="C4900" t="n">
        <v>37.2695534905</v>
      </c>
      <c r="D4900" t="n">
        <v>-6.97790516807</v>
      </c>
      <c r="E4900" t="n">
        <v>2</v>
      </c>
      <c r="F4900" t="n">
        <v>3</v>
      </c>
      <c r="G4900" t="n">
        <v>4</v>
      </c>
      <c r="H4900" t="n">
        <v>3</v>
      </c>
      <c r="I4900" t="n">
        <v>4</v>
      </c>
      <c r="J4900" t="inlineStr">
        <is>
          <t>Mediana</t>
        </is>
      </c>
      <c r="K4900" t="n">
        <v>3</v>
      </c>
      <c r="L4900" t="n">
        <v>2.794</v>
      </c>
      <c r="M4900" t="n">
        <v>0</v>
      </c>
      <c r="N4900" t="inlineStr">
        <is>
          <t>train</t>
        </is>
      </c>
      <c r="O4900">
        <f>HYPERLINK("NoConsenso\marker_775_937358.png", "Ver Imagen")</f>
        <v/>
      </c>
      <c r="P4900">
        <f>HYPERLINK("SE\A-497\A-497__89.png", "Ver Imagen")</f>
        <v/>
      </c>
    </row>
    <row r="4901">
      <c r="A4901" t="n">
        <v>4554</v>
      </c>
      <c r="B4901" t="inlineStr">
        <is>
          <t>A-497__88</t>
        </is>
      </c>
      <c r="C4901" t="n">
        <v>37.2695000223</v>
      </c>
      <c r="D4901" t="n">
        <v>-6.97771977107</v>
      </c>
      <c r="E4901" t="n">
        <v>3</v>
      </c>
      <c r="F4901" t="n">
        <v>4</v>
      </c>
      <c r="G4901" t="n">
        <v>5</v>
      </c>
      <c r="H4901" t="n">
        <v>3</v>
      </c>
      <c r="I4901" t="n">
        <v>4</v>
      </c>
      <c r="J4901" t="inlineStr">
        <is>
          <t>Mediana</t>
        </is>
      </c>
      <c r="K4901" t="n">
        <v>4</v>
      </c>
      <c r="L4901" t="n">
        <v>3.686</v>
      </c>
      <c r="M4901" t="n">
        <v>0</v>
      </c>
      <c r="N4901" t="inlineStr">
        <is>
          <t>train</t>
        </is>
      </c>
      <c r="O4901">
        <f>HYPERLINK("NoConsenso\marker_461_937373.png", "Ver Imagen")</f>
        <v/>
      </c>
      <c r="P4901">
        <f>HYPERLINK("SE\A-497\A-497__88.png", "Ver Imagen")</f>
        <v/>
      </c>
    </row>
    <row r="4902">
      <c r="A4902" t="n">
        <v>4556</v>
      </c>
      <c r="B4902" t="inlineStr">
        <is>
          <t>A-497__84</t>
        </is>
      </c>
      <c r="C4902" t="n">
        <v>37.2692177351</v>
      </c>
      <c r="D4902" t="n">
        <v>-6.97671266731</v>
      </c>
      <c r="E4902" t="n">
        <v>3</v>
      </c>
      <c r="F4902" t="n">
        <v>4</v>
      </c>
      <c r="G4902" t="n">
        <v>5</v>
      </c>
      <c r="H4902" t="n">
        <v>3</v>
      </c>
      <c r="I4902" t="n">
        <v>4</v>
      </c>
      <c r="J4902" t="inlineStr">
        <is>
          <t>Mediana</t>
        </is>
      </c>
      <c r="K4902" t="n">
        <v>4</v>
      </c>
      <c r="L4902" t="n">
        <v>3.83</v>
      </c>
      <c r="M4902" t="n">
        <v>0</v>
      </c>
      <c r="N4902" t="inlineStr">
        <is>
          <t>train</t>
        </is>
      </c>
      <c r="O4902">
        <f>HYPERLINK("NoConsenso\marker_539_937421.png", "Ver Imagen")</f>
        <v/>
      </c>
      <c r="P4902">
        <f>HYPERLINK("SE\A-497\A-497__84.png", "Ver Imagen")</f>
        <v/>
      </c>
    </row>
    <row r="4903">
      <c r="A4903" t="n">
        <v>4557</v>
      </c>
      <c r="B4903" t="inlineStr">
        <is>
          <t>A-497__83</t>
        </is>
      </c>
      <c r="C4903" t="n">
        <v>37.2691533086</v>
      </c>
      <c r="D4903" t="n">
        <v>-6.97647627162</v>
      </c>
      <c r="E4903" t="n">
        <v>3</v>
      </c>
      <c r="F4903" t="n">
        <v>4</v>
      </c>
      <c r="G4903" t="n">
        <v>5</v>
      </c>
      <c r="H4903" t="n">
        <v>3</v>
      </c>
      <c r="I4903" t="n">
        <v>4</v>
      </c>
      <c r="J4903" t="inlineStr">
        <is>
          <t>Mediana</t>
        </is>
      </c>
      <c r="K4903" t="n">
        <v>4</v>
      </c>
      <c r="L4903" t="n">
        <v>3.859</v>
      </c>
      <c r="M4903" t="n">
        <v>0</v>
      </c>
      <c r="N4903" t="inlineStr">
        <is>
          <t>train</t>
        </is>
      </c>
      <c r="O4903">
        <f>HYPERLINK("NoConsenso\marker_223_937430.png", "Ver Imagen")</f>
        <v/>
      </c>
      <c r="P4903">
        <f>HYPERLINK("SE\A-497\A-497__83.png", "Ver Imagen")</f>
        <v/>
      </c>
    </row>
    <row r="4904">
      <c r="A4904" t="n">
        <v>4558</v>
      </c>
      <c r="B4904" t="inlineStr">
        <is>
          <t>A-497__78</t>
        </is>
      </c>
      <c r="C4904" t="n">
        <v>37.2688531743</v>
      </c>
      <c r="D4904" t="n">
        <v>-6.97528654602</v>
      </c>
      <c r="E4904" t="n">
        <v>3</v>
      </c>
      <c r="F4904" t="n">
        <v>3</v>
      </c>
      <c r="G4904" t="n">
        <v>5</v>
      </c>
      <c r="H4904" t="n">
        <v>3</v>
      </c>
      <c r="I4904" t="n">
        <v>4</v>
      </c>
      <c r="J4904" t="inlineStr">
        <is>
          <t>Mediana</t>
        </is>
      </c>
      <c r="K4904" t="n">
        <v>3</v>
      </c>
      <c r="L4904" t="n">
        <v>2.79</v>
      </c>
      <c r="M4904" t="n">
        <v>0</v>
      </c>
      <c r="N4904" t="inlineStr">
        <is>
          <t>train</t>
        </is>
      </c>
      <c r="O4904">
        <f>HYPERLINK("NoConsenso\marker_292_937953.png", "Ver Imagen")</f>
        <v/>
      </c>
      <c r="P4904">
        <f>HYPERLINK("SE\A-497\A-497__78.png", "Ver Imagen")</f>
        <v/>
      </c>
    </row>
    <row r="4905">
      <c r="A4905" t="n">
        <v>4559</v>
      </c>
      <c r="B4905" t="inlineStr">
        <is>
          <t>A-497__73</t>
        </is>
      </c>
      <c r="C4905" t="n">
        <v>37.2685734775</v>
      </c>
      <c r="D4905" t="n">
        <v>-6.97404115027</v>
      </c>
      <c r="E4905" t="n">
        <v>2</v>
      </c>
      <c r="F4905" t="n">
        <v>4</v>
      </c>
      <c r="G4905" t="n">
        <v>4</v>
      </c>
      <c r="H4905" t="n">
        <v>3</v>
      </c>
      <c r="I4905" t="n">
        <v>3</v>
      </c>
      <c r="J4905" t="inlineStr">
        <is>
          <t>Mediana</t>
        </is>
      </c>
      <c r="K4905" t="n">
        <v>3</v>
      </c>
      <c r="L4905" t="n">
        <v>3.086</v>
      </c>
      <c r="M4905" t="n">
        <v>0</v>
      </c>
      <c r="N4905" t="inlineStr">
        <is>
          <t>train</t>
        </is>
      </c>
      <c r="O4905">
        <f>HYPERLINK("NoConsenso\marker_551_938017.png", "Ver Imagen")</f>
        <v/>
      </c>
      <c r="P4905">
        <f>HYPERLINK("SE\A-497\A-497__73.png", "Ver Imagen")</f>
        <v/>
      </c>
    </row>
    <row r="4906">
      <c r="A4906" t="n">
        <v>4560</v>
      </c>
      <c r="B4906" t="inlineStr">
        <is>
          <t>A-497__67</t>
        </is>
      </c>
      <c r="C4906" t="n">
        <v>37.2682875989</v>
      </c>
      <c r="D4906" t="n">
        <v>-6.9725889455</v>
      </c>
      <c r="E4906" t="n">
        <v>3</v>
      </c>
      <c r="F4906" t="n">
        <v>4</v>
      </c>
      <c r="G4906" t="n">
        <v>2</v>
      </c>
      <c r="H4906" t="n">
        <v>3</v>
      </c>
      <c r="I4906" t="n">
        <v>4</v>
      </c>
      <c r="J4906" t="inlineStr">
        <is>
          <t>Mediana</t>
        </is>
      </c>
      <c r="K4906" t="n">
        <v>3</v>
      </c>
      <c r="L4906" t="n">
        <v>3.067</v>
      </c>
      <c r="M4906" t="n">
        <v>0</v>
      </c>
      <c r="N4906" t="inlineStr">
        <is>
          <t>val</t>
        </is>
      </c>
      <c r="O4906">
        <f>HYPERLINK("NoConsenso\marker_142_938182.png", "Ver Imagen")</f>
        <v/>
      </c>
      <c r="P4906">
        <f>HYPERLINK("SE\A-497\A-497__67.png", "Ver Imagen")</f>
        <v/>
      </c>
    </row>
    <row r="4907">
      <c r="A4907" t="n">
        <v>4561</v>
      </c>
      <c r="B4907" t="inlineStr">
        <is>
          <t>A-497__60</t>
        </is>
      </c>
      <c r="C4907" t="n">
        <v>37.268008813</v>
      </c>
      <c r="D4907" t="n">
        <v>-6.97084976767</v>
      </c>
      <c r="E4907" t="n">
        <v>2</v>
      </c>
      <c r="F4907" t="n">
        <v>4</v>
      </c>
      <c r="G4907" t="n">
        <v>3</v>
      </c>
      <c r="H4907" t="n">
        <v>3</v>
      </c>
      <c r="I4907" t="n">
        <v>4</v>
      </c>
      <c r="J4907" t="inlineStr">
        <is>
          <t>Mediana</t>
        </is>
      </c>
      <c r="K4907" t="n">
        <v>3</v>
      </c>
      <c r="L4907" t="n">
        <v>2.696</v>
      </c>
      <c r="M4907" t="n">
        <v>0</v>
      </c>
      <c r="N4907" t="inlineStr">
        <is>
          <t>train</t>
        </is>
      </c>
      <c r="O4907">
        <f>HYPERLINK("NoConsenso\marker_461_938261.png", "Ver Imagen")</f>
        <v/>
      </c>
      <c r="P4907">
        <f>HYPERLINK("SE\A-497\A-497__60.png", "Ver Imagen")</f>
        <v/>
      </c>
    </row>
    <row r="4908">
      <c r="A4908" t="n">
        <v>4562</v>
      </c>
      <c r="B4908" t="inlineStr">
        <is>
          <t>A-497__59</t>
        </is>
      </c>
      <c r="C4908" t="n">
        <v>37.2679740517</v>
      </c>
      <c r="D4908" t="n">
        <v>-6.97060516232</v>
      </c>
      <c r="E4908" t="n">
        <v>2</v>
      </c>
      <c r="F4908" t="n">
        <v>4</v>
      </c>
      <c r="G4908" t="n">
        <v>3</v>
      </c>
      <c r="H4908" t="n">
        <v>3</v>
      </c>
      <c r="I4908" t="n">
        <v>4</v>
      </c>
      <c r="J4908" t="inlineStr">
        <is>
          <t>Mediana</t>
        </is>
      </c>
      <c r="K4908" t="n">
        <v>3</v>
      </c>
      <c r="L4908" t="n">
        <v>2.988</v>
      </c>
      <c r="M4908" t="n">
        <v>0</v>
      </c>
      <c r="N4908" t="inlineStr">
        <is>
          <t>train</t>
        </is>
      </c>
      <c r="O4908">
        <f>HYPERLINK("NoConsenso\marker_232_938274.png", "Ver Imagen")</f>
        <v/>
      </c>
      <c r="P4908">
        <f>HYPERLINK("SE\A-497\A-497__59.png", "Ver Imagen")</f>
        <v/>
      </c>
    </row>
    <row r="4909">
      <c r="A4909" t="n">
        <v>4563</v>
      </c>
      <c r="B4909" t="inlineStr">
        <is>
          <t>A-497__56</t>
        </is>
      </c>
      <c r="C4909" t="n">
        <v>37.2678720114</v>
      </c>
      <c r="D4909" t="n">
        <v>-6.96981995256</v>
      </c>
      <c r="E4909" t="n">
        <v>2</v>
      </c>
      <c r="F4909" t="n">
        <v>4</v>
      </c>
      <c r="G4909" t="n">
        <v>3</v>
      </c>
      <c r="H4909" t="n">
        <v>3</v>
      </c>
      <c r="I4909" t="n">
        <v>4</v>
      </c>
      <c r="J4909" t="inlineStr">
        <is>
          <t>Mediana</t>
        </is>
      </c>
      <c r="K4909" t="n">
        <v>3</v>
      </c>
      <c r="L4909" t="n">
        <v>3.312</v>
      </c>
      <c r="M4909" t="n">
        <v>0</v>
      </c>
      <c r="N4909" t="inlineStr">
        <is>
          <t>train</t>
        </is>
      </c>
      <c r="O4909">
        <f>HYPERLINK("NoConsenso\marker_411_938306.png", "Ver Imagen")</f>
        <v/>
      </c>
      <c r="P4909">
        <f>HYPERLINK("SE\A-497\A-497__56.png", "Ver Imagen")</f>
        <v/>
      </c>
    </row>
    <row r="4910">
      <c r="A4910" t="n">
        <v>4564</v>
      </c>
      <c r="B4910" t="inlineStr">
        <is>
          <t>A-497__55</t>
        </is>
      </c>
      <c r="C4910" t="n">
        <v>37.2678384503</v>
      </c>
      <c r="D4910" t="n">
        <v>-6.9695412238</v>
      </c>
      <c r="E4910" t="n">
        <v>2</v>
      </c>
      <c r="F4910" t="n">
        <v>4</v>
      </c>
      <c r="G4910" t="n">
        <v>4</v>
      </c>
      <c r="H4910" t="n">
        <v>3</v>
      </c>
      <c r="I4910" t="n">
        <v>3</v>
      </c>
      <c r="J4910" t="inlineStr">
        <is>
          <t>Mediana</t>
        </is>
      </c>
      <c r="K4910" t="n">
        <v>3</v>
      </c>
      <c r="L4910" t="n">
        <v>2.954</v>
      </c>
      <c r="M4910" t="n">
        <v>0</v>
      </c>
      <c r="N4910" t="inlineStr">
        <is>
          <t>val</t>
        </is>
      </c>
      <c r="O4910">
        <f>HYPERLINK("NoConsenso\marker_946_938322.png", "Ver Imagen")</f>
        <v/>
      </c>
      <c r="P4910">
        <f>HYPERLINK("SE\A-497\A-497__55.png", "Ver Imagen")</f>
        <v/>
      </c>
    </row>
    <row r="4911">
      <c r="A4911" t="n">
        <v>4565</v>
      </c>
      <c r="B4911" t="inlineStr">
        <is>
          <t>A-497__53</t>
        </is>
      </c>
      <c r="C4911" t="n">
        <v>37.2677847846</v>
      </c>
      <c r="D4911" t="n">
        <v>-6.96905074516</v>
      </c>
      <c r="E4911" t="n">
        <v>2</v>
      </c>
      <c r="F4911" t="n">
        <v>4</v>
      </c>
      <c r="G4911" t="n">
        <v>3</v>
      </c>
      <c r="H4911" t="n">
        <v>3</v>
      </c>
      <c r="I4911" t="n">
        <v>3</v>
      </c>
      <c r="J4911" t="inlineStr">
        <is>
          <t>Mediana</t>
        </is>
      </c>
      <c r="K4911" t="n">
        <v>3</v>
      </c>
      <c r="L4911" t="n">
        <v>2.94</v>
      </c>
      <c r="M4911" t="n">
        <v>0</v>
      </c>
      <c r="N4911" t="inlineStr">
        <is>
          <t>train</t>
        </is>
      </c>
      <c r="O4911">
        <f>HYPERLINK("NoConsenso\marker_448_938356.png", "Ver Imagen")</f>
        <v/>
      </c>
      <c r="P4911">
        <f>HYPERLINK("SE\A-497\A-497__53.png", "Ver Imagen")</f>
        <v/>
      </c>
    </row>
    <row r="4912">
      <c r="A4912" t="n">
        <v>4566</v>
      </c>
      <c r="B4912" t="inlineStr">
        <is>
          <t>A-497__48</t>
        </is>
      </c>
      <c r="C4912" t="n">
        <v>37.267671501</v>
      </c>
      <c r="D4912" t="n">
        <v>-6.96781374016</v>
      </c>
      <c r="E4912" t="n">
        <v>2</v>
      </c>
      <c r="F4912" t="n">
        <v>4</v>
      </c>
      <c r="G4912" t="n">
        <v>3</v>
      </c>
      <c r="H4912" t="n">
        <v>3</v>
      </c>
      <c r="I4912" t="n">
        <v>4</v>
      </c>
      <c r="J4912" t="inlineStr">
        <is>
          <t>Mediana</t>
        </is>
      </c>
      <c r="K4912" t="n">
        <v>3</v>
      </c>
      <c r="L4912" t="n">
        <v>3.049</v>
      </c>
      <c r="M4912" t="n">
        <v>0</v>
      </c>
      <c r="N4912" t="inlineStr">
        <is>
          <t>train</t>
        </is>
      </c>
      <c r="O4912">
        <f>HYPERLINK("NoConsenso\marker_695_938417.png", "Ver Imagen")</f>
        <v/>
      </c>
      <c r="P4912">
        <f>HYPERLINK("SE\A-497\A-497__48.png", "Ver Imagen")</f>
        <v/>
      </c>
    </row>
    <row r="4913">
      <c r="A4913" t="n">
        <v>4567</v>
      </c>
      <c r="B4913" t="inlineStr">
        <is>
          <t>A-497__43</t>
        </is>
      </c>
      <c r="C4913" t="n">
        <v>37.2675912532</v>
      </c>
      <c r="D4913" t="n">
        <v>-6.96654117066</v>
      </c>
      <c r="E4913" t="n">
        <v>2</v>
      </c>
      <c r="F4913" t="n">
        <v>3</v>
      </c>
      <c r="G4913" t="n">
        <v>4</v>
      </c>
      <c r="H4913" t="n">
        <v>3</v>
      </c>
      <c r="I4913" t="n">
        <v>4</v>
      </c>
      <c r="J4913" t="inlineStr">
        <is>
          <t>Mediana</t>
        </is>
      </c>
      <c r="K4913" t="n">
        <v>3</v>
      </c>
      <c r="L4913" t="n">
        <v>2.628</v>
      </c>
      <c r="M4913" t="n">
        <v>0</v>
      </c>
      <c r="N4913" t="inlineStr">
        <is>
          <t>train</t>
        </is>
      </c>
      <c r="O4913">
        <f>HYPERLINK("NoConsenso\marker_299_938469.png", "Ver Imagen")</f>
        <v/>
      </c>
      <c r="P4913">
        <f>HYPERLINK("SE\A-497\A-497__43.png", "Ver Imagen")</f>
        <v/>
      </c>
    </row>
    <row r="4914">
      <c r="A4914" t="n">
        <v>4568</v>
      </c>
      <c r="B4914" t="inlineStr">
        <is>
          <t>A-497__41</t>
        </is>
      </c>
      <c r="C4914" t="n">
        <v>37.2675687331</v>
      </c>
      <c r="D4914" t="n">
        <v>-6.96601845293</v>
      </c>
      <c r="E4914" t="n">
        <v>2</v>
      </c>
      <c r="F4914" t="n">
        <v>4</v>
      </c>
      <c r="G4914" t="n">
        <v>3</v>
      </c>
      <c r="H4914" t="n">
        <v>3</v>
      </c>
      <c r="I4914" t="n">
        <v>3</v>
      </c>
      <c r="J4914" t="inlineStr">
        <is>
          <t>Mediana</t>
        </is>
      </c>
      <c r="K4914" t="n">
        <v>3</v>
      </c>
      <c r="L4914" t="n">
        <v>3.217</v>
      </c>
      <c r="M4914" t="n">
        <v>0</v>
      </c>
      <c r="N4914" t="inlineStr">
        <is>
          <t>train</t>
        </is>
      </c>
      <c r="O4914">
        <f>HYPERLINK("NoConsenso\marker_573_940267.png", "Ver Imagen")</f>
        <v/>
      </c>
      <c r="P4914">
        <f>HYPERLINK("SE\A-497\A-497__41.png", "Ver Imagen")</f>
        <v/>
      </c>
    </row>
    <row r="4915">
      <c r="A4915" t="n">
        <v>4569</v>
      </c>
      <c r="B4915" t="inlineStr">
        <is>
          <t>A-497__39</t>
        </is>
      </c>
      <c r="C4915" t="n">
        <v>37.267553317</v>
      </c>
      <c r="D4915" t="n">
        <v>-6.96555610921</v>
      </c>
      <c r="E4915" t="n">
        <v>3</v>
      </c>
      <c r="F4915" t="n">
        <v>4</v>
      </c>
      <c r="G4915" t="n">
        <v>2</v>
      </c>
      <c r="H4915" t="n">
        <v>3</v>
      </c>
      <c r="I4915" t="n">
        <v>4</v>
      </c>
      <c r="J4915" t="inlineStr">
        <is>
          <t>Mediana</t>
        </is>
      </c>
      <c r="K4915" t="n">
        <v>3</v>
      </c>
      <c r="L4915" t="n">
        <v>2.802</v>
      </c>
      <c r="M4915" t="n">
        <v>0</v>
      </c>
      <c r="N4915" t="inlineStr">
        <is>
          <t>train</t>
        </is>
      </c>
      <c r="O4915">
        <f>HYPERLINK("NoConsenso\marker_438_940290.png", "Ver Imagen")</f>
        <v/>
      </c>
      <c r="P4915">
        <f>HYPERLINK("SE\A-497\A-497__39.png", "Ver Imagen")</f>
        <v/>
      </c>
    </row>
    <row r="4916">
      <c r="A4916" t="n">
        <v>4570</v>
      </c>
      <c r="B4916" t="inlineStr">
        <is>
          <t>A-497__37</t>
        </is>
      </c>
      <c r="C4916" t="n">
        <v>37.2675404285</v>
      </c>
      <c r="D4916" t="n">
        <v>-6.965040396</v>
      </c>
      <c r="E4916" t="n">
        <v>2</v>
      </c>
      <c r="F4916" t="n">
        <v>4</v>
      </c>
      <c r="G4916" t="n">
        <v>3</v>
      </c>
      <c r="H4916" t="n">
        <v>3</v>
      </c>
      <c r="I4916" t="n">
        <v>4</v>
      </c>
      <c r="J4916" t="inlineStr">
        <is>
          <t>Mediana</t>
        </is>
      </c>
      <c r="K4916" t="n">
        <v>3</v>
      </c>
      <c r="L4916" t="n">
        <v>3.284</v>
      </c>
      <c r="M4916" t="n">
        <v>0</v>
      </c>
      <c r="N4916" t="inlineStr">
        <is>
          <t>train</t>
        </is>
      </c>
      <c r="O4916">
        <f>HYPERLINK("NoConsenso\marker_876_940312.png", "Ver Imagen")</f>
        <v/>
      </c>
      <c r="P4916">
        <f>HYPERLINK("SE\A-497\A-497__37.png", "Ver Imagen")</f>
        <v/>
      </c>
    </row>
    <row r="4917">
      <c r="A4917" t="n">
        <v>4571</v>
      </c>
      <c r="B4917" t="inlineStr">
        <is>
          <t>A-497__32</t>
        </is>
      </c>
      <c r="C4917" t="n">
        <v>37.2675151344</v>
      </c>
      <c r="D4917" t="n">
        <v>-6.96377212579</v>
      </c>
      <c r="E4917" t="n">
        <v>2</v>
      </c>
      <c r="F4917" t="n">
        <v>4</v>
      </c>
      <c r="G4917" t="n">
        <v>4</v>
      </c>
      <c r="H4917" t="n">
        <v>3</v>
      </c>
      <c r="I4917" t="n">
        <v>4</v>
      </c>
      <c r="J4917" t="inlineStr">
        <is>
          <t>Mediana</t>
        </is>
      </c>
      <c r="K4917" t="n">
        <v>4</v>
      </c>
      <c r="L4917" t="n">
        <v>3.806</v>
      </c>
      <c r="M4917" t="n">
        <v>0</v>
      </c>
      <c r="N4917" t="inlineStr">
        <is>
          <t>train</t>
        </is>
      </c>
      <c r="O4917">
        <f>HYPERLINK("NoConsenso\marker_939_940578.png", "Ver Imagen")</f>
        <v/>
      </c>
      <c r="P4917">
        <f>HYPERLINK("SE\A-497\A-497__32.png", "Ver Imagen")</f>
        <v/>
      </c>
    </row>
    <row r="4918">
      <c r="A4918" t="n">
        <v>4572</v>
      </c>
      <c r="B4918" t="inlineStr">
        <is>
          <t>A-497__16</t>
        </is>
      </c>
      <c r="C4918" t="n">
        <v>37.2672421567</v>
      </c>
      <c r="D4918" t="n">
        <v>-6.95977906743</v>
      </c>
      <c r="E4918" t="n">
        <v>2</v>
      </c>
      <c r="F4918" t="n">
        <v>3</v>
      </c>
      <c r="G4918" t="n">
        <v>4</v>
      </c>
      <c r="H4918" t="n">
        <v>2</v>
      </c>
      <c r="I4918" t="n">
        <v>2</v>
      </c>
      <c r="J4918" t="inlineStr">
        <is>
          <t>Mediana</t>
        </is>
      </c>
      <c r="K4918" t="n">
        <v>2</v>
      </c>
      <c r="L4918" t="n">
        <v>2.34</v>
      </c>
      <c r="M4918" t="n">
        <v>0</v>
      </c>
      <c r="N4918" t="inlineStr">
        <is>
          <t>train</t>
        </is>
      </c>
      <c r="O4918">
        <f>HYPERLINK("NoConsenso\marker_935_943822.png", "Ver Imagen")</f>
        <v/>
      </c>
      <c r="P4918">
        <f>HYPERLINK("SE\A-497\A-497__16.png", "Ver Imagen")</f>
        <v/>
      </c>
    </row>
    <row r="4919">
      <c r="A4919" t="n">
        <v>4574</v>
      </c>
      <c r="B4919" t="inlineStr">
        <is>
          <t>A-5050__183</t>
        </is>
      </c>
      <c r="C4919" t="n">
        <v>37.1897728124</v>
      </c>
      <c r="D4919" t="n">
        <v>-6.98832601532</v>
      </c>
      <c r="E4919" t="n">
        <v>1</v>
      </c>
      <c r="F4919" t="n">
        <v>3</v>
      </c>
      <c r="G4919" t="n">
        <v>3</v>
      </c>
      <c r="H4919" t="n">
        <v>2</v>
      </c>
      <c r="I4919" t="n">
        <v>2</v>
      </c>
      <c r="J4919" t="inlineStr">
        <is>
          <t>Mediana</t>
        </is>
      </c>
      <c r="K4919" t="n">
        <v>2</v>
      </c>
      <c r="L4919" t="n">
        <v>2.275</v>
      </c>
      <c r="M4919" t="n">
        <v>0</v>
      </c>
      <c r="N4919" t="inlineStr">
        <is>
          <t>test</t>
        </is>
      </c>
      <c r="O4919">
        <f>HYPERLINK("NoConsenso\marker_528_944137.png", "Ver Imagen")</f>
        <v/>
      </c>
      <c r="P4919">
        <f>HYPERLINK("SE\A-5050\A-5050__183.png", "Ver Imagen")</f>
        <v/>
      </c>
    </row>
    <row r="4920">
      <c r="A4920" t="n">
        <v>4575</v>
      </c>
      <c r="B4920" t="inlineStr">
        <is>
          <t>A-5050__167</t>
        </is>
      </c>
      <c r="C4920" t="n">
        <v>37.1914093098</v>
      </c>
      <c r="D4920" t="n">
        <v>-6.99183755404</v>
      </c>
      <c r="E4920" t="n">
        <v>2</v>
      </c>
      <c r="F4920" t="n">
        <v>3</v>
      </c>
      <c r="G4920" t="n">
        <v>4</v>
      </c>
      <c r="H4920" t="n">
        <v>3</v>
      </c>
      <c r="I4920" t="n">
        <v>3</v>
      </c>
      <c r="J4920" t="inlineStr">
        <is>
          <t>Mediana</t>
        </is>
      </c>
      <c r="K4920" t="n">
        <v>3</v>
      </c>
      <c r="L4920" t="n">
        <v>3.12</v>
      </c>
      <c r="M4920" t="n">
        <v>0</v>
      </c>
      <c r="N4920" t="inlineStr">
        <is>
          <t>train</t>
        </is>
      </c>
      <c r="O4920">
        <f>HYPERLINK("NoConsenso\marker_234_944318.png", "Ver Imagen")</f>
        <v/>
      </c>
      <c r="P4920">
        <f>HYPERLINK("SE\A-5050\A-5050__167.png", "Ver Imagen")</f>
        <v/>
      </c>
    </row>
    <row r="4921">
      <c r="A4921" t="n">
        <v>4576</v>
      </c>
      <c r="B4921" t="inlineStr">
        <is>
          <t>A-5050__163</t>
        </is>
      </c>
      <c r="C4921" t="n">
        <v>37.1918136063</v>
      </c>
      <c r="D4921" t="n">
        <v>-6.99267360082</v>
      </c>
      <c r="E4921" t="n">
        <v>2</v>
      </c>
      <c r="F4921" t="n">
        <v>3</v>
      </c>
      <c r="G4921" t="n">
        <v>4</v>
      </c>
      <c r="H4921" t="n">
        <v>2</v>
      </c>
      <c r="I4921" t="n">
        <v>2</v>
      </c>
      <c r="J4921" t="inlineStr">
        <is>
          <t>Mediana</t>
        </is>
      </c>
      <c r="K4921" t="n">
        <v>2</v>
      </c>
      <c r="L4921" t="n">
        <v>1.903</v>
      </c>
      <c r="M4921" t="n">
        <v>0</v>
      </c>
      <c r="N4921" t="inlineStr">
        <is>
          <t>train</t>
        </is>
      </c>
      <c r="O4921">
        <f>HYPERLINK("NoConsenso\marker_527_944657.png", "Ver Imagen")</f>
        <v/>
      </c>
      <c r="P4921">
        <f>HYPERLINK("SE\A-5050\A-5050__163.png", "Ver Imagen")</f>
        <v/>
      </c>
    </row>
    <row r="4922">
      <c r="A4922" t="n">
        <v>4577</v>
      </c>
      <c r="B4922" t="inlineStr">
        <is>
          <t>A-5050__159</t>
        </is>
      </c>
      <c r="C4922" t="n">
        <v>37.1922553228</v>
      </c>
      <c r="D4922" t="n">
        <v>-6.99359485323</v>
      </c>
      <c r="E4922" t="n">
        <v>2</v>
      </c>
      <c r="F4922" t="n">
        <v>2</v>
      </c>
      <c r="G4922" t="n">
        <v>4</v>
      </c>
      <c r="H4922" t="n">
        <v>2</v>
      </c>
      <c r="I4922" t="n">
        <v>2</v>
      </c>
      <c r="J4922" t="inlineStr">
        <is>
          <t>Mediana</t>
        </is>
      </c>
      <c r="K4922" t="n">
        <v>2</v>
      </c>
      <c r="L4922" t="n">
        <v>1.886</v>
      </c>
      <c r="M4922" t="n">
        <v>0</v>
      </c>
      <c r="N4922" t="inlineStr">
        <is>
          <t>train</t>
        </is>
      </c>
      <c r="O4922">
        <f>HYPERLINK("NoConsenso\marker_953_944940.png", "Ver Imagen")</f>
        <v/>
      </c>
      <c r="P4922">
        <f>HYPERLINK("SE\A-5050\A-5050__159.png", "Ver Imagen")</f>
        <v/>
      </c>
    </row>
    <row r="4923">
      <c r="A4923" t="n">
        <v>4578</v>
      </c>
      <c r="B4923" t="inlineStr">
        <is>
          <t>A-5050__155</t>
        </is>
      </c>
      <c r="C4923" t="n">
        <v>37.1926476646</v>
      </c>
      <c r="D4923" t="n">
        <v>-6.99445476333</v>
      </c>
      <c r="E4923" t="n">
        <v>2</v>
      </c>
      <c r="F4923" t="n">
        <v>3</v>
      </c>
      <c r="G4923" t="n">
        <v>4</v>
      </c>
      <c r="H4923" t="n">
        <v>3</v>
      </c>
      <c r="I4923" t="n">
        <v>4</v>
      </c>
      <c r="J4923" t="inlineStr">
        <is>
          <t>Mediana</t>
        </is>
      </c>
      <c r="K4923" t="n">
        <v>3</v>
      </c>
      <c r="L4923" t="n">
        <v>3.021</v>
      </c>
      <c r="M4923" t="n">
        <v>0</v>
      </c>
      <c r="N4923" t="inlineStr">
        <is>
          <t>test</t>
        </is>
      </c>
      <c r="O4923">
        <f>HYPERLINK("NoConsenso\marker_551_945312.png", "Ver Imagen")</f>
        <v/>
      </c>
      <c r="P4923">
        <f>HYPERLINK("SE\A-5050\A-5050__155.png", "Ver Imagen")</f>
        <v/>
      </c>
    </row>
    <row r="4924">
      <c r="A4924" t="n">
        <v>4579</v>
      </c>
      <c r="B4924" t="inlineStr">
        <is>
          <t>A-5050__153</t>
        </is>
      </c>
      <c r="C4924" t="n">
        <v>37.1928288716</v>
      </c>
      <c r="D4924" t="n">
        <v>-6.99488389886</v>
      </c>
      <c r="E4924" t="n">
        <v>1</v>
      </c>
      <c r="F4924" t="n">
        <v>3</v>
      </c>
      <c r="G4924" t="n">
        <v>3</v>
      </c>
      <c r="H4924" t="n">
        <v>2</v>
      </c>
      <c r="I4924" t="n">
        <v>2</v>
      </c>
      <c r="J4924" t="inlineStr">
        <is>
          <t>Mediana</t>
        </is>
      </c>
      <c r="K4924" t="n">
        <v>2</v>
      </c>
      <c r="L4924" t="n">
        <v>2.411</v>
      </c>
      <c r="M4924" t="n">
        <v>0</v>
      </c>
      <c r="N4924" t="inlineStr">
        <is>
          <t>train</t>
        </is>
      </c>
      <c r="O4924">
        <f>HYPERLINK("NoConsenso\marker_324_945341.png", "Ver Imagen")</f>
        <v/>
      </c>
      <c r="P4924">
        <f>HYPERLINK("SE\A-5050\A-5050__153.png", "Ver Imagen")</f>
        <v/>
      </c>
    </row>
    <row r="4925">
      <c r="A4925" t="n">
        <v>4580</v>
      </c>
      <c r="B4925" t="inlineStr">
        <is>
          <t>A-5050__60</t>
        </is>
      </c>
      <c r="C4925" t="n">
        <v>37.2026739173</v>
      </c>
      <c r="D4925" t="n">
        <v>-7.01485598106</v>
      </c>
      <c r="E4925" t="n">
        <v>2</v>
      </c>
      <c r="F4925" t="n">
        <v>3</v>
      </c>
      <c r="G4925" t="n">
        <v>4</v>
      </c>
      <c r="H4925" t="n">
        <v>2</v>
      </c>
      <c r="I4925" t="n">
        <v>3</v>
      </c>
      <c r="J4925" t="inlineStr">
        <is>
          <t>Mediana</t>
        </is>
      </c>
      <c r="K4925" t="n">
        <v>3</v>
      </c>
      <c r="L4925" t="n">
        <v>3.23</v>
      </c>
      <c r="M4925" t="n">
        <v>0</v>
      </c>
      <c r="N4925" t="inlineStr">
        <is>
          <t>train</t>
        </is>
      </c>
      <c r="O4925">
        <f>HYPERLINK("NoConsenso\marker_767_949041.png", "Ver Imagen")</f>
        <v/>
      </c>
      <c r="P4925">
        <f>HYPERLINK("SE\A-5050\A-5050__60.png", "Ver Imagen")</f>
        <v/>
      </c>
    </row>
    <row r="4926">
      <c r="A4926" t="n">
        <v>4581</v>
      </c>
      <c r="B4926" t="inlineStr">
        <is>
          <t>A-5052__1</t>
        </is>
      </c>
      <c r="C4926" t="n">
        <v>37.2186771146</v>
      </c>
      <c r="D4926" t="n">
        <v>-7.12561963277</v>
      </c>
      <c r="E4926" t="n">
        <v>1</v>
      </c>
      <c r="F4926" t="n">
        <v>3</v>
      </c>
      <c r="G4926" t="n">
        <v>3</v>
      </c>
      <c r="H4926" t="n">
        <v>3</v>
      </c>
      <c r="I4926" t="n">
        <v>2</v>
      </c>
      <c r="J4926" t="inlineStr">
        <is>
          <t>Mediana</t>
        </is>
      </c>
      <c r="K4926" t="n">
        <v>3</v>
      </c>
      <c r="L4926" t="n">
        <v>2.937</v>
      </c>
      <c r="M4926" t="n">
        <v>0</v>
      </c>
      <c r="N4926" t="inlineStr">
        <is>
          <t>train</t>
        </is>
      </c>
      <c r="O4926">
        <f>HYPERLINK("NoConsenso\marker_190_949859.png", "Ver Imagen")</f>
        <v/>
      </c>
      <c r="P4926">
        <f>HYPERLINK("SO\A-5052\A-5052__1.png", "Ver Imagen")</f>
        <v/>
      </c>
    </row>
    <row r="4927">
      <c r="A4927" t="n">
        <v>4582</v>
      </c>
      <c r="B4927" t="inlineStr">
        <is>
          <t>A-5052__18</t>
        </is>
      </c>
      <c r="C4927" t="n">
        <v>37.2179154831</v>
      </c>
      <c r="D4927" t="n">
        <v>-7.12152600165</v>
      </c>
      <c r="E4927" t="n">
        <v>5</v>
      </c>
      <c r="F4927" t="n">
        <v>3</v>
      </c>
      <c r="G4927" t="n">
        <v>4</v>
      </c>
      <c r="H4927" t="n">
        <v>3</v>
      </c>
      <c r="I4927" t="n">
        <v>3</v>
      </c>
      <c r="J4927" t="inlineStr">
        <is>
          <t>Mediana</t>
        </is>
      </c>
      <c r="K4927" t="n">
        <v>3</v>
      </c>
      <c r="L4927" t="n">
        <v>2.795</v>
      </c>
      <c r="M4927" t="n">
        <v>0</v>
      </c>
      <c r="N4927" t="inlineStr">
        <is>
          <t>train</t>
        </is>
      </c>
      <c r="O4927">
        <f>HYPERLINK("NoConsenso\marker_924_950215.png", "Ver Imagen")</f>
        <v/>
      </c>
      <c r="P4927">
        <f>HYPERLINK("SO\A-5052\A-5052__18.png", "Ver Imagen")</f>
        <v/>
      </c>
    </row>
    <row r="4928">
      <c r="A4928" t="n">
        <v>4583</v>
      </c>
      <c r="B4928" t="inlineStr">
        <is>
          <t>A-5052__174</t>
        </is>
      </c>
      <c r="C4928" t="n">
        <v>37.2157801728</v>
      </c>
      <c r="D4928" t="n">
        <v>-7.08246495024</v>
      </c>
      <c r="E4928" t="n">
        <v>1</v>
      </c>
      <c r="F4928" t="n">
        <v>2</v>
      </c>
      <c r="G4928" t="n">
        <v>3</v>
      </c>
      <c r="H4928" t="n">
        <v>2</v>
      </c>
      <c r="I4928" t="n">
        <v>2</v>
      </c>
      <c r="J4928" t="inlineStr">
        <is>
          <t>Mediana</t>
        </is>
      </c>
      <c r="K4928" t="n">
        <v>2</v>
      </c>
      <c r="L4928" t="n">
        <v>1.961</v>
      </c>
      <c r="M4928" t="n">
        <v>0</v>
      </c>
      <c r="N4928" t="inlineStr">
        <is>
          <t>train</t>
        </is>
      </c>
      <c r="O4928">
        <f>HYPERLINK("NoConsenso\marker_652_959005.png", "Ver Imagen")</f>
        <v/>
      </c>
      <c r="P4928">
        <f>HYPERLINK("SE\A-5052\A-5052__174.png", "Ver Imagen")</f>
        <v/>
      </c>
    </row>
    <row r="4929">
      <c r="A4929" t="n">
        <v>4583</v>
      </c>
      <c r="B4929" t="inlineStr">
        <is>
          <t>A-5052__174</t>
        </is>
      </c>
      <c r="C4929" t="n">
        <v>37.2157801728</v>
      </c>
      <c r="D4929" t="n">
        <v>-7.08246495024</v>
      </c>
      <c r="E4929" t="n">
        <v>1</v>
      </c>
      <c r="F4929" t="n">
        <v>2</v>
      </c>
      <c r="G4929" t="n">
        <v>3</v>
      </c>
      <c r="H4929" t="n">
        <v>2</v>
      </c>
      <c r="I4929" t="n">
        <v>2</v>
      </c>
      <c r="J4929" t="inlineStr">
        <is>
          <t>Mediana</t>
        </is>
      </c>
      <c r="K4929" t="n">
        <v>2</v>
      </c>
      <c r="L4929" t="n">
        <v>1.96</v>
      </c>
      <c r="M4929" t="n">
        <v>0</v>
      </c>
      <c r="N4929" t="inlineStr">
        <is>
          <t>train</t>
        </is>
      </c>
      <c r="O4929">
        <f>HYPERLINK("NoConsenso\marker_652_959005.png", "Ver Imagen")</f>
        <v/>
      </c>
      <c r="P4929">
        <f>HYPERLINK("SO\A-5052\A-5052__174.png", "Ver Imagen")</f>
        <v/>
      </c>
    </row>
    <row r="4930">
      <c r="A4930" t="n">
        <v>4584</v>
      </c>
      <c r="B4930" t="inlineStr">
        <is>
          <t>A-5052__249</t>
        </is>
      </c>
      <c r="C4930" t="n">
        <v>37.2131875414</v>
      </c>
      <c r="D4930" t="n">
        <v>-7.06392231532</v>
      </c>
      <c r="E4930" t="n">
        <v>3</v>
      </c>
      <c r="F4930" t="n">
        <v>3</v>
      </c>
      <c r="G4930" t="n">
        <v>5</v>
      </c>
      <c r="H4930" t="n">
        <v>3</v>
      </c>
      <c r="I4930" t="n">
        <v>4</v>
      </c>
      <c r="J4930" t="inlineStr">
        <is>
          <t>Mediana</t>
        </is>
      </c>
      <c r="K4930" t="n">
        <v>3</v>
      </c>
      <c r="L4930" t="n">
        <v>2.624</v>
      </c>
      <c r="M4930" t="n">
        <v>0</v>
      </c>
      <c r="N4930" t="inlineStr">
        <is>
          <t>train</t>
        </is>
      </c>
      <c r="O4930">
        <f>HYPERLINK("NoConsenso\marker_184_960083.png", "Ver Imagen")</f>
        <v/>
      </c>
      <c r="P4930">
        <f>HYPERLINK("SE\A-5052\A-5052__249.png", "Ver Imagen")</f>
        <v/>
      </c>
    </row>
    <row r="4931">
      <c r="A4931" t="n">
        <v>4585</v>
      </c>
      <c r="B4931" t="inlineStr">
        <is>
          <t>A-5052__266</t>
        </is>
      </c>
      <c r="C4931" t="n">
        <v>37.2122948162</v>
      </c>
      <c r="D4931" t="n">
        <v>-7.05982815729</v>
      </c>
      <c r="E4931" t="n">
        <v>1</v>
      </c>
      <c r="F4931" t="n">
        <v>3</v>
      </c>
      <c r="G4931" t="n">
        <v>3</v>
      </c>
      <c r="H4931" t="n">
        <v>2</v>
      </c>
      <c r="I4931" t="n">
        <v>2</v>
      </c>
      <c r="J4931" t="inlineStr">
        <is>
          <t>Mediana</t>
        </is>
      </c>
      <c r="K4931" t="n">
        <v>2</v>
      </c>
      <c r="L4931" t="n">
        <v>2.185</v>
      </c>
      <c r="M4931" t="n">
        <v>0</v>
      </c>
      <c r="N4931" t="inlineStr">
        <is>
          <t>train</t>
        </is>
      </c>
      <c r="O4931">
        <f>HYPERLINK("NoConsenso\marker_594_960270.png", "Ver Imagen")</f>
        <v/>
      </c>
      <c r="P4931">
        <f>HYPERLINK("SE\A-5052\A-5052__266.png", "Ver Imagen")</f>
        <v/>
      </c>
    </row>
    <row r="4932">
      <c r="A4932" t="n">
        <v>4586</v>
      </c>
      <c r="B4932" t="inlineStr">
        <is>
          <t>A-5052__311</t>
        </is>
      </c>
      <c r="C4932" t="n">
        <v>37.2117022282</v>
      </c>
      <c r="D4932" t="n">
        <v>-7.04896105089</v>
      </c>
      <c r="E4932" t="n">
        <v>2</v>
      </c>
      <c r="F4932" t="n">
        <v>3</v>
      </c>
      <c r="G4932" t="n">
        <v>4</v>
      </c>
      <c r="H4932" t="n">
        <v>2</v>
      </c>
      <c r="I4932" t="n">
        <v>3</v>
      </c>
      <c r="J4932" t="inlineStr">
        <is>
          <t>Mediana</t>
        </is>
      </c>
      <c r="K4932" t="n">
        <v>3</v>
      </c>
      <c r="L4932" t="n">
        <v>2.975</v>
      </c>
      <c r="M4932" t="n">
        <v>0</v>
      </c>
      <c r="N4932" t="inlineStr">
        <is>
          <t>train</t>
        </is>
      </c>
      <c r="O4932">
        <f>HYPERLINK("NoConsenso\marker_570_961122.png", "Ver Imagen")</f>
        <v/>
      </c>
      <c r="P4932">
        <f>HYPERLINK("SE\A-5052\A-5052__311.png", "Ver Imagen")</f>
        <v/>
      </c>
    </row>
    <row r="4933">
      <c r="A4933" t="n">
        <v>4587</v>
      </c>
      <c r="B4933" t="inlineStr">
        <is>
          <t>A-5052__352</t>
        </is>
      </c>
      <c r="C4933" t="n">
        <v>37.2090796743</v>
      </c>
      <c r="D4933" t="n">
        <v>-7.039312258</v>
      </c>
      <c r="E4933" t="n">
        <v>3</v>
      </c>
      <c r="F4933" t="n">
        <v>3</v>
      </c>
      <c r="G4933" t="n">
        <v>5</v>
      </c>
      <c r="H4933" t="n">
        <v>3</v>
      </c>
      <c r="I4933" t="n">
        <v>4</v>
      </c>
      <c r="J4933" t="inlineStr">
        <is>
          <t>Mediana</t>
        </is>
      </c>
      <c r="K4933" t="n">
        <v>3</v>
      </c>
      <c r="L4933" t="n">
        <v>2.896</v>
      </c>
      <c r="M4933" t="n">
        <v>0</v>
      </c>
      <c r="N4933" t="inlineStr">
        <is>
          <t>val</t>
        </is>
      </c>
      <c r="O4933">
        <f>HYPERLINK("NoConsenso\marker_211_961766.png", "Ver Imagen")</f>
        <v/>
      </c>
      <c r="P4933">
        <f>HYPERLINK("SE\A-5052\A-5052__352.png", "Ver Imagen")</f>
        <v/>
      </c>
    </row>
    <row r="4934">
      <c r="A4934" t="n">
        <v>4588</v>
      </c>
      <c r="B4934" t="inlineStr">
        <is>
          <t>A-5053__383</t>
        </is>
      </c>
      <c r="C4934" t="n">
        <v>37.2884512543</v>
      </c>
      <c r="D4934" t="n">
        <v>-7.14098017238</v>
      </c>
      <c r="E4934" t="n">
        <v>1</v>
      </c>
      <c r="F4934" t="n">
        <v>2</v>
      </c>
      <c r="G4934" t="n">
        <v>3</v>
      </c>
      <c r="H4934" t="n">
        <v>3</v>
      </c>
      <c r="I4934" t="n">
        <v>2</v>
      </c>
      <c r="J4934" t="inlineStr">
        <is>
          <t>Mediana</t>
        </is>
      </c>
      <c r="K4934" t="n">
        <v>2</v>
      </c>
      <c r="L4934" t="n">
        <v>1.801</v>
      </c>
      <c r="M4934" t="n">
        <v>0</v>
      </c>
      <c r="N4934" t="inlineStr">
        <is>
          <t>train</t>
        </is>
      </c>
      <c r="O4934">
        <f>HYPERLINK("NoConsenso\marker_173_963812.png", "Ver Imagen")</f>
        <v/>
      </c>
      <c r="P4934">
        <f>HYPERLINK("SO\A-5053\A-5053__383.png", "Ver Imagen")</f>
        <v/>
      </c>
    </row>
    <row r="4935">
      <c r="A4935" t="n">
        <v>4589</v>
      </c>
      <c r="B4935" t="inlineStr">
        <is>
          <t>A-5053__275</t>
        </is>
      </c>
      <c r="C4935" t="n">
        <v>37.269810902</v>
      </c>
      <c r="D4935" t="n">
        <v>-7.13944131266</v>
      </c>
      <c r="E4935" t="n">
        <v>3</v>
      </c>
      <c r="F4935" t="n">
        <v>3</v>
      </c>
      <c r="G4935" t="n">
        <v>5</v>
      </c>
      <c r="H4935" t="n">
        <v>3</v>
      </c>
      <c r="I4935" t="n">
        <v>3</v>
      </c>
      <c r="J4935" t="inlineStr">
        <is>
          <t>Mediana</t>
        </is>
      </c>
      <c r="K4935" t="n">
        <v>3</v>
      </c>
      <c r="L4935" t="n">
        <v>2.772</v>
      </c>
      <c r="M4935" t="n">
        <v>0</v>
      </c>
      <c r="N4935" t="inlineStr">
        <is>
          <t>train</t>
        </is>
      </c>
      <c r="O4935">
        <f>HYPERLINK("NoConsenso\marker_448_965105.png", "Ver Imagen")</f>
        <v/>
      </c>
      <c r="P4935">
        <f>HYPERLINK("SO\A-5053\A-5053__275.png", "Ver Imagen")</f>
        <v/>
      </c>
    </row>
    <row r="4936">
      <c r="A4936" t="n">
        <v>4590</v>
      </c>
      <c r="B4936" t="inlineStr">
        <is>
          <t>A-5053__264</t>
        </is>
      </c>
      <c r="C4936" t="n">
        <v>37.2685946415</v>
      </c>
      <c r="D4936" t="n">
        <v>-7.13717557295</v>
      </c>
      <c r="E4936" t="n">
        <v>5</v>
      </c>
      <c r="F4936" t="n">
        <v>3</v>
      </c>
      <c r="G4936" t="n">
        <v>3</v>
      </c>
      <c r="H4936" t="n">
        <v>3</v>
      </c>
      <c r="I4936" t="n">
        <v>4</v>
      </c>
      <c r="J4936" t="inlineStr">
        <is>
          <t>Mediana</t>
        </is>
      </c>
      <c r="K4936" t="n">
        <v>3</v>
      </c>
      <c r="L4936" t="n">
        <v>2.823</v>
      </c>
      <c r="M4936" t="n">
        <v>0</v>
      </c>
      <c r="N4936" t="inlineStr">
        <is>
          <t>train</t>
        </is>
      </c>
      <c r="O4936">
        <f>HYPERLINK("NoConsenso\marker_233_965217.png", "Ver Imagen")</f>
        <v/>
      </c>
      <c r="P4936">
        <f>HYPERLINK("SO\A-5053\A-5053__264.png", "Ver Imagen")</f>
        <v/>
      </c>
    </row>
    <row r="4937">
      <c r="A4937" t="n">
        <v>4591</v>
      </c>
      <c r="B4937" t="inlineStr">
        <is>
          <t>A-5053__262</t>
        </is>
      </c>
      <c r="C4937" t="n">
        <v>37.2684992934</v>
      </c>
      <c r="D4937" t="n">
        <v>-7.13674868523</v>
      </c>
      <c r="E4937" t="n">
        <v>5</v>
      </c>
      <c r="F4937" t="n">
        <v>3</v>
      </c>
      <c r="G4937" t="n">
        <v>3</v>
      </c>
      <c r="H4937" t="n">
        <v>3</v>
      </c>
      <c r="I4937" t="n">
        <v>4</v>
      </c>
      <c r="J4937" t="inlineStr">
        <is>
          <t>Mediana</t>
        </is>
      </c>
      <c r="K4937" t="n">
        <v>3</v>
      </c>
      <c r="L4937" t="n">
        <v>3.013</v>
      </c>
      <c r="M4937" t="n">
        <v>0</v>
      </c>
      <c r="N4937" t="inlineStr">
        <is>
          <t>train</t>
        </is>
      </c>
      <c r="O4937">
        <f>HYPERLINK("NoConsenso\marker_627_965237.png", "Ver Imagen")</f>
        <v/>
      </c>
      <c r="P4937">
        <f>HYPERLINK("SO\A-5053\A-5053__262.png", "Ver Imagen")</f>
        <v/>
      </c>
    </row>
    <row r="4938">
      <c r="A4938" t="n">
        <v>4592</v>
      </c>
      <c r="B4938" t="inlineStr">
        <is>
          <t>A-5053__260</t>
        </is>
      </c>
      <c r="C4938" t="n">
        <v>37.2683777242</v>
      </c>
      <c r="D4938" t="n">
        <v>-7.13619797082</v>
      </c>
      <c r="E4938" t="n">
        <v>5</v>
      </c>
      <c r="F4938" t="n">
        <v>3</v>
      </c>
      <c r="G4938" t="n">
        <v>4</v>
      </c>
      <c r="H4938" t="n">
        <v>3</v>
      </c>
      <c r="I4938" t="n">
        <v>4</v>
      </c>
      <c r="J4938" t="inlineStr">
        <is>
          <t>Mediana</t>
        </is>
      </c>
      <c r="K4938" t="n">
        <v>4</v>
      </c>
      <c r="L4938" t="n">
        <v>3.64</v>
      </c>
      <c r="M4938" t="n">
        <v>0</v>
      </c>
      <c r="N4938" t="inlineStr">
        <is>
          <t>train</t>
        </is>
      </c>
      <c r="O4938">
        <f>HYPERLINK("NoConsenso\marker_232_965256.png", "Ver Imagen")</f>
        <v/>
      </c>
      <c r="P4938">
        <f>HYPERLINK("SO\A-5053\A-5053__260.png", "Ver Imagen")</f>
        <v/>
      </c>
    </row>
    <row r="4939">
      <c r="A4939" t="n">
        <v>4593</v>
      </c>
      <c r="B4939" t="inlineStr">
        <is>
          <t>A-5053__256</t>
        </is>
      </c>
      <c r="C4939" t="n">
        <v>37.2681357306</v>
      </c>
      <c r="D4939" t="n">
        <v>-7.13525551305</v>
      </c>
      <c r="E4939" t="n">
        <v>5</v>
      </c>
      <c r="F4939" t="n">
        <v>3</v>
      </c>
      <c r="G4939" t="n">
        <v>4</v>
      </c>
      <c r="H4939" t="n">
        <v>3</v>
      </c>
      <c r="I4939" t="n">
        <v>4</v>
      </c>
      <c r="J4939" t="inlineStr">
        <is>
          <t>Mediana</t>
        </is>
      </c>
      <c r="K4939" t="n">
        <v>4</v>
      </c>
      <c r="L4939" t="n">
        <v>3.968</v>
      </c>
      <c r="M4939" t="n">
        <v>0</v>
      </c>
      <c r="N4939" t="inlineStr">
        <is>
          <t>train</t>
        </is>
      </c>
      <c r="O4939">
        <f>HYPERLINK("NoConsenso\marker_915_965296.png", "Ver Imagen")</f>
        <v/>
      </c>
      <c r="P4939">
        <f>HYPERLINK("SO\A-5053\A-5053__256.png", "Ver Imagen")</f>
        <v/>
      </c>
    </row>
    <row r="4940">
      <c r="A4940" t="n">
        <v>4595</v>
      </c>
      <c r="B4940" t="inlineStr">
        <is>
          <t>A-5053__252</t>
        </is>
      </c>
      <c r="C4940" t="n">
        <v>37.2677243281</v>
      </c>
      <c r="D4940" t="n">
        <v>-7.13437087493</v>
      </c>
      <c r="E4940" t="n">
        <v>5</v>
      </c>
      <c r="F4940" t="n">
        <v>3</v>
      </c>
      <c r="G4940" t="n">
        <v>4</v>
      </c>
      <c r="H4940" t="n">
        <v>3</v>
      </c>
      <c r="I4940" t="n">
        <v>4</v>
      </c>
      <c r="J4940" t="inlineStr">
        <is>
          <t>Modificada</t>
        </is>
      </c>
      <c r="K4940" t="n">
        <v>3</v>
      </c>
      <c r="L4940" t="n">
        <v>3.132</v>
      </c>
      <c r="M4940" t="n">
        <v>0</v>
      </c>
      <c r="N4940" t="inlineStr">
        <is>
          <t>train</t>
        </is>
      </c>
      <c r="O4940">
        <f>HYPERLINK("NoConsenso\marker_554_965332.png", "Ver Imagen")</f>
        <v/>
      </c>
      <c r="P4940">
        <f>HYPERLINK("SO\A-5053\A-5053__252.png", "Ver Imagen")</f>
        <v/>
      </c>
    </row>
    <row r="4941">
      <c r="A4941" t="n">
        <v>4596</v>
      </c>
      <c r="B4941" t="inlineStr">
        <is>
          <t>A-5053__248</t>
        </is>
      </c>
      <c r="C4941" t="n">
        <v>37.2671605707</v>
      </c>
      <c r="D4941" t="n">
        <v>-7.13366717508</v>
      </c>
      <c r="E4941" t="n">
        <v>5</v>
      </c>
      <c r="F4941" t="n">
        <v>3</v>
      </c>
      <c r="G4941" t="n">
        <v>4</v>
      </c>
      <c r="H4941" t="n">
        <v>3</v>
      </c>
      <c r="I4941" t="n">
        <v>4</v>
      </c>
      <c r="J4941" t="inlineStr">
        <is>
          <t>Modificada</t>
        </is>
      </c>
      <c r="K4941" t="n">
        <v>3</v>
      </c>
      <c r="L4941" t="n">
        <v>3.012</v>
      </c>
      <c r="M4941" t="n">
        <v>0</v>
      </c>
      <c r="N4941" t="inlineStr">
        <is>
          <t>train</t>
        </is>
      </c>
      <c r="O4941">
        <f>HYPERLINK("NoConsenso\marker_978_965430.png", "Ver Imagen")</f>
        <v/>
      </c>
      <c r="P4941">
        <f>HYPERLINK("SO\A-5053\A-5053__248.png", "Ver Imagen")</f>
        <v/>
      </c>
    </row>
    <row r="4942">
      <c r="A4942" t="n">
        <v>4597</v>
      </c>
      <c r="B4942" t="inlineStr">
        <is>
          <t>A-5053__208</t>
        </is>
      </c>
      <c r="C4942" t="n">
        <v>37.2599545105</v>
      </c>
      <c r="D4942" t="n">
        <v>-7.1290548513</v>
      </c>
      <c r="E4942" t="n">
        <v>5</v>
      </c>
      <c r="F4942" t="n">
        <v>3</v>
      </c>
      <c r="G4942" t="n">
        <v>4</v>
      </c>
      <c r="H4942" t="n">
        <v>3</v>
      </c>
      <c r="I4942" t="n">
        <v>3</v>
      </c>
      <c r="J4942" t="inlineStr">
        <is>
          <t>Mediana</t>
        </is>
      </c>
      <c r="K4942" t="n">
        <v>3</v>
      </c>
      <c r="L4942" t="n">
        <v>2.935</v>
      </c>
      <c r="M4942" t="n">
        <v>0</v>
      </c>
      <c r="N4942" t="inlineStr">
        <is>
          <t>train</t>
        </is>
      </c>
      <c r="O4942">
        <f>HYPERLINK("NoConsenso\marker_513_965815.png", "Ver Imagen")</f>
        <v/>
      </c>
      <c r="P4942">
        <f>HYPERLINK("SO\A-5053\A-5053__208.png", "Ver Imagen")</f>
        <v/>
      </c>
    </row>
    <row r="4943">
      <c r="A4943" t="n">
        <v>4598</v>
      </c>
      <c r="B4943" t="inlineStr">
        <is>
          <t>A-5053__130</t>
        </is>
      </c>
      <c r="C4943" t="n">
        <v>37.2446643614</v>
      </c>
      <c r="D4943" t="n">
        <v>-7.12807054962</v>
      </c>
      <c r="E4943" t="n">
        <v>1</v>
      </c>
      <c r="F4943" t="n">
        <v>2</v>
      </c>
      <c r="G4943" t="n">
        <v>3</v>
      </c>
      <c r="H4943" t="n">
        <v>2</v>
      </c>
      <c r="I4943" t="n">
        <v>1</v>
      </c>
      <c r="J4943" t="inlineStr">
        <is>
          <t>Mediana</t>
        </is>
      </c>
      <c r="K4943" t="n">
        <v>2</v>
      </c>
      <c r="L4943" t="n">
        <v>2.236</v>
      </c>
      <c r="M4943" t="n">
        <v>0</v>
      </c>
      <c r="N4943" t="inlineStr">
        <is>
          <t>train</t>
        </is>
      </c>
      <c r="O4943">
        <f>HYPERLINK("NoConsenso\marker_145_966573.png", "Ver Imagen")</f>
        <v/>
      </c>
      <c r="P4943">
        <f>HYPERLINK("SO\A-5053\A-5053__130.png", "Ver Imagen")</f>
        <v/>
      </c>
    </row>
    <row r="4944">
      <c r="A4944" t="n">
        <v>4599</v>
      </c>
      <c r="B4944" t="inlineStr">
        <is>
          <t>A-5053__46</t>
        </is>
      </c>
      <c r="C4944" t="n">
        <v>37.2278516322</v>
      </c>
      <c r="D4944" t="n">
        <v>-7.12664941304</v>
      </c>
      <c r="E4944" t="n">
        <v>5</v>
      </c>
      <c r="F4944" t="n">
        <v>3</v>
      </c>
      <c r="G4944" t="n">
        <v>4</v>
      </c>
      <c r="H4944" t="n">
        <v>3</v>
      </c>
      <c r="I4944" t="n">
        <v>4</v>
      </c>
      <c r="J4944" t="inlineStr">
        <is>
          <t>Mediana</t>
        </is>
      </c>
      <c r="K4944" t="n">
        <v>4</v>
      </c>
      <c r="L4944" t="n">
        <v>3.613</v>
      </c>
      <c r="M4944" t="n">
        <v>0</v>
      </c>
      <c r="N4944" t="inlineStr">
        <is>
          <t>train</t>
        </is>
      </c>
      <c r="O4944">
        <f>HYPERLINK("NoConsenso\marker_500_021045.png", "Ver Imagen")</f>
        <v/>
      </c>
      <c r="P4944">
        <f>HYPERLINK("SO\A-5053\A-5053__46.png", "Ver Imagen")</f>
        <v/>
      </c>
    </row>
    <row r="4945">
      <c r="A4945" t="n">
        <v>4600</v>
      </c>
      <c r="B4945" t="inlineStr">
        <is>
          <t>A-5053__42</t>
        </is>
      </c>
      <c r="C4945" t="n">
        <v>37.2270731514</v>
      </c>
      <c r="D4945" t="n">
        <v>-7.12640333119</v>
      </c>
      <c r="E4945" t="n">
        <v>5</v>
      </c>
      <c r="F4945" t="n">
        <v>3</v>
      </c>
      <c r="G4945" t="n">
        <v>4</v>
      </c>
      <c r="H4945" t="n">
        <v>3</v>
      </c>
      <c r="I4945" t="n">
        <v>4</v>
      </c>
      <c r="J4945" t="inlineStr">
        <is>
          <t>Mediana</t>
        </is>
      </c>
      <c r="K4945" t="n">
        <v>4</v>
      </c>
      <c r="L4945" t="n">
        <v>3.795</v>
      </c>
      <c r="M4945" t="n">
        <v>0</v>
      </c>
      <c r="N4945" t="inlineStr">
        <is>
          <t>test</t>
        </is>
      </c>
      <c r="O4945">
        <f>HYPERLINK("NoConsenso\marker_427_021694.png", "Ver Imagen")</f>
        <v/>
      </c>
      <c r="P4945">
        <f>HYPERLINK("SO\A-5053\A-5053__42.png", "Ver Imagen")</f>
        <v/>
      </c>
    </row>
    <row r="4946">
      <c r="A4946" t="n">
        <v>4601</v>
      </c>
      <c r="B4946" t="inlineStr">
        <is>
          <t>A-5053__23</t>
        </is>
      </c>
      <c r="C4946" t="n">
        <v>37.2233821573</v>
      </c>
      <c r="D4946" t="n">
        <v>-7.12508088127</v>
      </c>
      <c r="E4946" t="n">
        <v>4</v>
      </c>
      <c r="F4946" t="n">
        <v>2</v>
      </c>
      <c r="G4946" t="n">
        <v>2</v>
      </c>
      <c r="H4946" t="n">
        <v>2</v>
      </c>
      <c r="I4946" t="n">
        <v>1</v>
      </c>
      <c r="J4946" t="inlineStr">
        <is>
          <t>Mediana</t>
        </is>
      </c>
      <c r="K4946" t="n">
        <v>2</v>
      </c>
      <c r="L4946" t="n">
        <v>2.336</v>
      </c>
      <c r="M4946" t="n">
        <v>0</v>
      </c>
      <c r="N4946" t="inlineStr">
        <is>
          <t>train</t>
        </is>
      </c>
      <c r="O4946">
        <f>HYPERLINK("NoConsenso\marker_252_022875.png", "Ver Imagen")</f>
        <v/>
      </c>
      <c r="P4946">
        <f>HYPERLINK("SO\A-5053\A-5053__23.png", "Ver Imagen")</f>
        <v/>
      </c>
    </row>
    <row r="4947">
      <c r="A4947" t="n">
        <v>4602</v>
      </c>
      <c r="B4947" t="inlineStr">
        <is>
          <t>A-5053__11</t>
        </is>
      </c>
      <c r="C4947" t="n">
        <v>37.2211389405</v>
      </c>
      <c r="D4947" t="n">
        <v>-7.12580309061</v>
      </c>
      <c r="E4947" t="n">
        <v>4</v>
      </c>
      <c r="F4947" t="n">
        <v>2</v>
      </c>
      <c r="G4947" t="n">
        <v>3</v>
      </c>
      <c r="H4947" t="n">
        <v>2</v>
      </c>
      <c r="I4947" t="n">
        <v>1</v>
      </c>
      <c r="J4947" t="inlineStr">
        <is>
          <t>Mediana</t>
        </is>
      </c>
      <c r="K4947" t="n">
        <v>2</v>
      </c>
      <c r="L4947" t="n">
        <v>1.673</v>
      </c>
      <c r="M4947" t="n">
        <v>0</v>
      </c>
      <c r="N4947" t="inlineStr">
        <is>
          <t>train</t>
        </is>
      </c>
      <c r="O4947">
        <f>HYPERLINK("NoConsenso\marker_654_025094.png", "Ver Imagen")</f>
        <v/>
      </c>
      <c r="P4947">
        <f>HYPERLINK("SO\A-5053\A-5053__11.png", "Ver Imagen")</f>
        <v/>
      </c>
    </row>
    <row r="4948">
      <c r="A4948" t="n">
        <v>4604</v>
      </c>
      <c r="B4948" t="inlineStr">
        <is>
          <t>A-495__65</t>
        </is>
      </c>
      <c r="C4948" t="n">
        <v>37.4390066418</v>
      </c>
      <c r="D4948" t="n">
        <v>-7.08552331168</v>
      </c>
      <c r="E4948" t="n">
        <v>3</v>
      </c>
      <c r="F4948" t="n">
        <v>3</v>
      </c>
      <c r="G4948" t="n">
        <v>1</v>
      </c>
      <c r="H4948" t="n">
        <v>2</v>
      </c>
      <c r="I4948" t="n">
        <v>3</v>
      </c>
      <c r="J4948" t="inlineStr">
        <is>
          <t>Mediana</t>
        </is>
      </c>
      <c r="K4948" t="n">
        <v>3</v>
      </c>
      <c r="L4948" t="n">
        <v>3.27</v>
      </c>
      <c r="M4948" t="n">
        <v>0</v>
      </c>
      <c r="N4948" t="inlineStr">
        <is>
          <t>train</t>
        </is>
      </c>
      <c r="O4948">
        <f>HYPERLINK("NoConsenso\marker_781_381765.png", "Ver Imagen")</f>
        <v/>
      </c>
      <c r="P4948">
        <f>HYPERLINK("NE\A-495\A-495__65.png", "Ver Imagen")</f>
        <v/>
      </c>
    </row>
    <row r="4949">
      <c r="A4949" t="n">
        <v>4605</v>
      </c>
      <c r="B4949" t="inlineStr">
        <is>
          <t>A-495__68</t>
        </is>
      </c>
      <c r="C4949" t="n">
        <v>37.4387353991</v>
      </c>
      <c r="D4949" t="n">
        <v>-7.08485579089</v>
      </c>
      <c r="E4949" t="n">
        <v>4</v>
      </c>
      <c r="F4949" t="n">
        <v>3</v>
      </c>
      <c r="G4949" t="n">
        <v>5</v>
      </c>
      <c r="H4949" t="n">
        <v>3</v>
      </c>
      <c r="I4949" t="n">
        <v>3</v>
      </c>
      <c r="J4949" t="inlineStr">
        <is>
          <t>Mediana</t>
        </is>
      </c>
      <c r="K4949" t="n">
        <v>3</v>
      </c>
      <c r="L4949" t="n">
        <v>2.698</v>
      </c>
      <c r="M4949" t="n">
        <v>0</v>
      </c>
      <c r="N4949" t="inlineStr">
        <is>
          <t>train</t>
        </is>
      </c>
      <c r="O4949">
        <f>HYPERLINK("NoConsenso\marker_301_381795.png", "Ver Imagen")</f>
        <v/>
      </c>
      <c r="P4949">
        <f>HYPERLINK("NE\A-495\A-495__68.png", "Ver Imagen")</f>
        <v/>
      </c>
    </row>
    <row r="4950">
      <c r="A4950" t="n">
        <v>4606</v>
      </c>
      <c r="B4950" t="inlineStr">
        <is>
          <t>A-495__71</t>
        </is>
      </c>
      <c r="C4950" t="n">
        <v>37.4384846673</v>
      </c>
      <c r="D4950" t="n">
        <v>-7.08416890515</v>
      </c>
      <c r="E4950" t="n">
        <v>3</v>
      </c>
      <c r="F4950" t="n">
        <v>3</v>
      </c>
      <c r="G4950" t="n">
        <v>5</v>
      </c>
      <c r="H4950" t="n">
        <v>3</v>
      </c>
      <c r="I4950" t="n">
        <v>3</v>
      </c>
      <c r="J4950" t="inlineStr">
        <is>
          <t>Mediana</t>
        </is>
      </c>
      <c r="K4950" t="n">
        <v>3</v>
      </c>
      <c r="L4950" t="n">
        <v>3.1</v>
      </c>
      <c r="M4950" t="n">
        <v>0</v>
      </c>
      <c r="N4950" t="inlineStr">
        <is>
          <t>train</t>
        </is>
      </c>
      <c r="O4950">
        <f>HYPERLINK("NoConsenso\marker_251_381826.png", "Ver Imagen")</f>
        <v/>
      </c>
      <c r="P4950">
        <f>HYPERLINK("NE\A-495\A-495__71.png", "Ver Imagen")</f>
        <v/>
      </c>
    </row>
    <row r="4951">
      <c r="A4951" t="n">
        <v>4607</v>
      </c>
      <c r="B4951" t="inlineStr">
        <is>
          <t>A-495__76</t>
        </is>
      </c>
      <c r="C4951" t="n">
        <v>37.438080232</v>
      </c>
      <c r="D4951" t="n">
        <v>-7.08295845827</v>
      </c>
      <c r="E4951" t="n">
        <v>3</v>
      </c>
      <c r="F4951" t="n">
        <v>3</v>
      </c>
      <c r="G4951" t="n">
        <v>5</v>
      </c>
      <c r="H4951" t="n">
        <v>3</v>
      </c>
      <c r="I4951" t="n">
        <v>2</v>
      </c>
      <c r="J4951" t="inlineStr">
        <is>
          <t>Modificada</t>
        </is>
      </c>
      <c r="K4951" t="n">
        <v>2</v>
      </c>
      <c r="L4951" t="n">
        <v>1.85</v>
      </c>
      <c r="M4951" t="n">
        <v>0</v>
      </c>
      <c r="N4951" t="inlineStr">
        <is>
          <t>train</t>
        </is>
      </c>
      <c r="O4951">
        <f>HYPERLINK("NoConsenso\marker_427_381888.png", "Ver Imagen")</f>
        <v/>
      </c>
      <c r="P4951">
        <f>HYPERLINK("NE\A-495\A-495__76.png", "Ver Imagen")</f>
        <v/>
      </c>
    </row>
    <row r="4952">
      <c r="A4952" t="n">
        <v>4608</v>
      </c>
      <c r="B4952" t="inlineStr">
        <is>
          <t>A-495__81</t>
        </is>
      </c>
      <c r="C4952" t="n">
        <v>37.4376994706</v>
      </c>
      <c r="D4952" t="n">
        <v>-7.08184496255</v>
      </c>
      <c r="E4952" t="n">
        <v>2</v>
      </c>
      <c r="F4952" t="n">
        <v>2</v>
      </c>
      <c r="G4952" t="n">
        <v>4</v>
      </c>
      <c r="H4952" t="n">
        <v>1</v>
      </c>
      <c r="I4952" t="n">
        <v>1</v>
      </c>
      <c r="J4952" t="inlineStr">
        <is>
          <t>Modificada</t>
        </is>
      </c>
      <c r="K4952" t="n">
        <v>1</v>
      </c>
      <c r="L4952" t="n">
        <v>1.208</v>
      </c>
      <c r="M4952" t="n">
        <v>0</v>
      </c>
      <c r="N4952" t="inlineStr">
        <is>
          <t>train</t>
        </is>
      </c>
      <c r="O4952">
        <f>HYPERLINK("NoConsenso\marker_696_381942.png", "Ver Imagen")</f>
        <v/>
      </c>
      <c r="P4952">
        <f>HYPERLINK("NE\A-495\A-495__81.png", "Ver Imagen")</f>
        <v/>
      </c>
    </row>
    <row r="4953">
      <c r="A4953" t="n">
        <v>4609</v>
      </c>
      <c r="B4953" t="inlineStr">
        <is>
          <t>A-495__83</t>
        </is>
      </c>
      <c r="C4953" t="n">
        <v>37.4375381343</v>
      </c>
      <c r="D4953" t="n">
        <v>-7.08138723991</v>
      </c>
      <c r="E4953" t="n">
        <v>3</v>
      </c>
      <c r="F4953" t="n">
        <v>3</v>
      </c>
      <c r="G4953" t="n">
        <v>1</v>
      </c>
      <c r="H4953" t="n">
        <v>2</v>
      </c>
      <c r="I4953" t="n">
        <v>3</v>
      </c>
      <c r="J4953" t="inlineStr">
        <is>
          <t>Mediana</t>
        </is>
      </c>
      <c r="K4953" t="n">
        <v>3</v>
      </c>
      <c r="L4953" t="n">
        <v>2.797</v>
      </c>
      <c r="M4953" t="n">
        <v>0</v>
      </c>
      <c r="N4953" t="inlineStr">
        <is>
          <t>train</t>
        </is>
      </c>
      <c r="O4953">
        <f>HYPERLINK("NoConsenso\marker_610_381967.png", "Ver Imagen")</f>
        <v/>
      </c>
      <c r="P4953">
        <f>HYPERLINK("NE\A-495\A-495__83.png", "Ver Imagen")</f>
        <v/>
      </c>
    </row>
    <row r="4954">
      <c r="A4954" t="n">
        <v>4610</v>
      </c>
      <c r="B4954" t="inlineStr">
        <is>
          <t>A-495__88</t>
        </is>
      </c>
      <c r="C4954" t="n">
        <v>37.4371274946</v>
      </c>
      <c r="D4954" t="n">
        <v>-7.08031866208</v>
      </c>
      <c r="E4954" t="n">
        <v>3</v>
      </c>
      <c r="F4954" t="n">
        <v>3</v>
      </c>
      <c r="G4954" t="n">
        <v>5</v>
      </c>
      <c r="H4954" t="n">
        <v>2</v>
      </c>
      <c r="I4954" t="n">
        <v>2</v>
      </c>
      <c r="J4954" t="inlineStr">
        <is>
          <t>Modificada</t>
        </is>
      </c>
      <c r="K4954" t="n">
        <v>2</v>
      </c>
      <c r="L4954" t="n">
        <v>2.1</v>
      </c>
      <c r="M4954" t="n">
        <v>0</v>
      </c>
      <c r="N4954" t="inlineStr">
        <is>
          <t>train</t>
        </is>
      </c>
      <c r="O4954">
        <f>HYPERLINK("NoConsenso\marker_735_382025.png", "Ver Imagen")</f>
        <v/>
      </c>
      <c r="P4954">
        <f>HYPERLINK("NE\A-495\A-495__88.png", "Ver Imagen")</f>
        <v/>
      </c>
    </row>
    <row r="4955">
      <c r="A4955" t="n">
        <v>4611</v>
      </c>
      <c r="B4955" t="inlineStr">
        <is>
          <t>A-495__89</t>
        </is>
      </c>
      <c r="C4955" t="n">
        <v>37.4370985554</v>
      </c>
      <c r="D4955" t="n">
        <v>-7.08014398847</v>
      </c>
      <c r="E4955" t="n">
        <v>3</v>
      </c>
      <c r="F4955" t="n">
        <v>3</v>
      </c>
      <c r="G4955" t="n">
        <v>5</v>
      </c>
      <c r="H4955" t="n">
        <v>2</v>
      </c>
      <c r="I4955" t="n">
        <v>3</v>
      </c>
      <c r="J4955" t="inlineStr">
        <is>
          <t>Mediana</t>
        </is>
      </c>
      <c r="K4955" t="n">
        <v>3</v>
      </c>
      <c r="L4955" t="n">
        <v>2.957</v>
      </c>
      <c r="M4955" t="n">
        <v>0</v>
      </c>
      <c r="N4955" t="inlineStr">
        <is>
          <t>train</t>
        </is>
      </c>
      <c r="O4955">
        <f>HYPERLINK("NoConsenso\marker_995_382045.png", "Ver Imagen")</f>
        <v/>
      </c>
      <c r="P4955">
        <f>HYPERLINK("NE\A-495\A-495__89.png", "Ver Imagen")</f>
        <v/>
      </c>
    </row>
    <row r="4956">
      <c r="A4956" t="n">
        <v>4612</v>
      </c>
      <c r="B4956" t="inlineStr">
        <is>
          <t>A-495__91</t>
        </is>
      </c>
      <c r="C4956" t="n">
        <v>37.4369305975</v>
      </c>
      <c r="D4956" t="n">
        <v>-7.07965589088</v>
      </c>
      <c r="E4956" t="n">
        <v>3</v>
      </c>
      <c r="F4956" t="n">
        <v>3</v>
      </c>
      <c r="G4956" t="n">
        <v>5</v>
      </c>
      <c r="H4956" t="n">
        <v>2</v>
      </c>
      <c r="I4956" t="n">
        <v>3</v>
      </c>
      <c r="J4956" t="inlineStr">
        <is>
          <t>Mediana</t>
        </is>
      </c>
      <c r="K4956" t="n">
        <v>3</v>
      </c>
      <c r="L4956" t="n">
        <v>2.929</v>
      </c>
      <c r="M4956" t="n">
        <v>0</v>
      </c>
      <c r="N4956" t="inlineStr">
        <is>
          <t>train</t>
        </is>
      </c>
      <c r="O4956">
        <f>HYPERLINK("NoConsenso\marker_999_382070.png", "Ver Imagen")</f>
        <v/>
      </c>
      <c r="P4956">
        <f>HYPERLINK("NE\A-495\A-495__91.png", "Ver Imagen")</f>
        <v/>
      </c>
    </row>
    <row r="4957">
      <c r="A4957" t="n">
        <v>4613</v>
      </c>
      <c r="B4957" t="inlineStr">
        <is>
          <t>A-5059__84</t>
        </is>
      </c>
      <c r="C4957" t="n">
        <v>37.2210460323</v>
      </c>
      <c r="D4957" t="n">
        <v>-7.05348952503</v>
      </c>
      <c r="E4957" t="n">
        <v>3</v>
      </c>
      <c r="F4957" t="n">
        <v>4</v>
      </c>
      <c r="G4957" t="n">
        <v>5</v>
      </c>
      <c r="H4957" t="n">
        <v>3</v>
      </c>
      <c r="I4957" t="n">
        <v>3</v>
      </c>
      <c r="J4957" t="inlineStr">
        <is>
          <t>Mediana</t>
        </is>
      </c>
      <c r="K4957" t="n">
        <v>3</v>
      </c>
      <c r="L4957" t="n">
        <v>2.622</v>
      </c>
      <c r="M4957" t="n">
        <v>0</v>
      </c>
      <c r="N4957" t="inlineStr">
        <is>
          <t>train</t>
        </is>
      </c>
      <c r="O4957">
        <f>HYPERLINK("NoConsenso\marker_972_378676.png", "Ver Imagen")</f>
        <v/>
      </c>
      <c r="P4957">
        <f>HYPERLINK("SE\A-5059\A-5059__84.png", "Ver Imagen")</f>
        <v/>
      </c>
    </row>
    <row r="4958">
      <c r="A4958" t="n">
        <v>4614</v>
      </c>
      <c r="B4958" t="inlineStr">
        <is>
          <t>A-495__116</t>
        </is>
      </c>
      <c r="C4958" t="n">
        <v>37.4354950463</v>
      </c>
      <c r="D4958" t="n">
        <v>-7.07402695269</v>
      </c>
      <c r="E4958" t="n">
        <v>4</v>
      </c>
      <c r="F4958" t="n">
        <v>3</v>
      </c>
      <c r="G4958" t="n">
        <v>5</v>
      </c>
      <c r="H4958" t="n">
        <v>3</v>
      </c>
      <c r="I4958" t="n">
        <v>4</v>
      </c>
      <c r="J4958" t="inlineStr">
        <is>
          <t>Mediana</t>
        </is>
      </c>
      <c r="K4958" t="n">
        <v>4</v>
      </c>
      <c r="L4958" t="n">
        <v>4.132</v>
      </c>
      <c r="M4958" t="n">
        <v>0</v>
      </c>
      <c r="N4958" t="inlineStr">
        <is>
          <t>train</t>
        </is>
      </c>
      <c r="O4958">
        <f>HYPERLINK("NoConsenso\marker_660_382330.png", "Ver Imagen")</f>
        <v/>
      </c>
      <c r="P4958">
        <f>HYPERLINK("NE\A-495\A-495__116.png", "Ver Imagen")</f>
        <v/>
      </c>
    </row>
    <row r="4959">
      <c r="A4959" t="n">
        <v>4615</v>
      </c>
      <c r="B4959" t="inlineStr">
        <is>
          <t>A-495__120</t>
        </is>
      </c>
      <c r="C4959" t="n">
        <v>37.4354062227</v>
      </c>
      <c r="D4959" t="n">
        <v>-7.07300244885</v>
      </c>
      <c r="E4959" t="n">
        <v>3</v>
      </c>
      <c r="F4959" t="n">
        <v>3</v>
      </c>
      <c r="G4959" t="n">
        <v>5</v>
      </c>
      <c r="H4959" t="n">
        <v>2</v>
      </c>
      <c r="I4959" t="n">
        <v>2</v>
      </c>
      <c r="J4959" t="inlineStr">
        <is>
          <t>Modificada</t>
        </is>
      </c>
      <c r="K4959" t="n">
        <v>2</v>
      </c>
      <c r="L4959" t="n">
        <v>1.728</v>
      </c>
      <c r="M4959" t="n">
        <v>0</v>
      </c>
      <c r="N4959" t="inlineStr">
        <is>
          <t>train</t>
        </is>
      </c>
      <c r="O4959">
        <f>HYPERLINK("NoConsenso\marker_820_382368.png", "Ver Imagen")</f>
        <v/>
      </c>
      <c r="P4959">
        <f>HYPERLINK("NE\A-495\A-495__120.png", "Ver Imagen")</f>
        <v/>
      </c>
    </row>
    <row r="4960">
      <c r="A4960" t="n">
        <v>4616</v>
      </c>
      <c r="B4960" t="inlineStr">
        <is>
          <t>A-495__121</t>
        </is>
      </c>
      <c r="C4960" t="n">
        <v>37.4353850666</v>
      </c>
      <c r="D4960" t="n">
        <v>-7.07274407863</v>
      </c>
      <c r="E4960" t="n">
        <v>3</v>
      </c>
      <c r="F4960" t="n">
        <v>3</v>
      </c>
      <c r="G4960" t="n">
        <v>5</v>
      </c>
      <c r="H4960" t="n">
        <v>3</v>
      </c>
      <c r="I4960" t="n">
        <v>3</v>
      </c>
      <c r="J4960" t="inlineStr">
        <is>
          <t>Mediana</t>
        </is>
      </c>
      <c r="K4960" t="n">
        <v>3</v>
      </c>
      <c r="L4960" t="n">
        <v>2.759</v>
      </c>
      <c r="M4960" t="n">
        <v>0</v>
      </c>
      <c r="N4960" t="inlineStr">
        <is>
          <t>train</t>
        </is>
      </c>
      <c r="O4960">
        <f>HYPERLINK("NoConsenso\marker_474_382377.png", "Ver Imagen")</f>
        <v/>
      </c>
      <c r="P4960">
        <f>HYPERLINK("NE\A-495\A-495__121.png", "Ver Imagen")</f>
        <v/>
      </c>
    </row>
    <row r="4961">
      <c r="A4961" t="n">
        <v>4619</v>
      </c>
      <c r="B4961" t="inlineStr">
        <is>
          <t>A-5058__194</t>
        </is>
      </c>
      <c r="C4961" t="n">
        <v>37.2346466339</v>
      </c>
      <c r="D4961" t="n">
        <v>-7.07198216762</v>
      </c>
      <c r="E4961" t="n">
        <v>3</v>
      </c>
      <c r="F4961" t="n">
        <v>2</v>
      </c>
      <c r="G4961" t="n">
        <v>4</v>
      </c>
      <c r="H4961" t="n">
        <v>2</v>
      </c>
      <c r="I4961" t="n">
        <v>1</v>
      </c>
      <c r="J4961" t="inlineStr">
        <is>
          <t>Modificada</t>
        </is>
      </c>
      <c r="K4961" t="n">
        <v>1</v>
      </c>
      <c r="L4961" t="n">
        <v>1.009</v>
      </c>
      <c r="M4961" t="n">
        <v>0</v>
      </c>
      <c r="N4961" t="inlineStr">
        <is>
          <t>train</t>
        </is>
      </c>
      <c r="O4961">
        <f>HYPERLINK("NoConsenso\marker_221_382828.png", "Ver Imagen")</f>
        <v/>
      </c>
      <c r="P4961">
        <f>HYPERLINK("SE\A-5058\A-5058__194.png", "Ver Imagen")</f>
        <v/>
      </c>
    </row>
    <row r="4962">
      <c r="A4962" t="n">
        <v>4620</v>
      </c>
      <c r="B4962" t="inlineStr">
        <is>
          <t>A-5058__197</t>
        </is>
      </c>
      <c r="C4962" t="n">
        <v>37.2348627789</v>
      </c>
      <c r="D4962" t="n">
        <v>-7.07265286526</v>
      </c>
      <c r="E4962" t="n">
        <v>3</v>
      </c>
      <c r="F4962" t="n">
        <v>2</v>
      </c>
      <c r="G4962" t="n">
        <v>4</v>
      </c>
      <c r="H4962" t="n">
        <v>2</v>
      </c>
      <c r="I4962" t="n">
        <v>1</v>
      </c>
      <c r="J4962" t="inlineStr">
        <is>
          <t>Mediana</t>
        </is>
      </c>
      <c r="K4962" t="n">
        <v>2</v>
      </c>
      <c r="L4962" t="n">
        <v>2.445</v>
      </c>
      <c r="M4962" t="n">
        <v>0</v>
      </c>
      <c r="N4962" t="inlineStr">
        <is>
          <t>train</t>
        </is>
      </c>
      <c r="O4962">
        <f>HYPERLINK("NoConsenso\marker_407_382856.png", "Ver Imagen")</f>
        <v/>
      </c>
      <c r="P4962">
        <f>HYPERLINK("SE\A-5058\A-5058__197.png", "Ver Imagen")</f>
        <v/>
      </c>
    </row>
    <row r="4963">
      <c r="A4963" t="n">
        <v>4621</v>
      </c>
      <c r="B4963" t="inlineStr">
        <is>
          <t>A-5058__203</t>
        </is>
      </c>
      <c r="C4963" t="n">
        <v>37.235504256</v>
      </c>
      <c r="D4963" t="n">
        <v>-7.07392272296</v>
      </c>
      <c r="E4963" t="n">
        <v>3</v>
      </c>
      <c r="F4963" t="n">
        <v>2</v>
      </c>
      <c r="G4963" t="n">
        <v>4</v>
      </c>
      <c r="H4963" t="n">
        <v>2</v>
      </c>
      <c r="I4963" t="n">
        <v>2</v>
      </c>
      <c r="J4963" t="inlineStr">
        <is>
          <t>Mediana</t>
        </is>
      </c>
      <c r="K4963" t="n">
        <v>2</v>
      </c>
      <c r="L4963" t="n">
        <v>2.419</v>
      </c>
      <c r="M4963" t="n">
        <v>0</v>
      </c>
      <c r="N4963" t="inlineStr">
        <is>
          <t>train</t>
        </is>
      </c>
      <c r="O4963">
        <f>HYPERLINK("NoConsenso\marker_992_382920.png", "Ver Imagen")</f>
        <v/>
      </c>
      <c r="P4963">
        <f>HYPERLINK("SE\A-5058\A-5058__203.png", "Ver Imagen")</f>
        <v/>
      </c>
    </row>
    <row r="4964">
      <c r="A4964" t="n">
        <v>4621</v>
      </c>
      <c r="B4964" t="inlineStr">
        <is>
          <t>A-5058__203</t>
        </is>
      </c>
      <c r="C4964" t="n">
        <v>37.235504256</v>
      </c>
      <c r="D4964" t="n">
        <v>-7.07392272296</v>
      </c>
      <c r="E4964" t="n">
        <v>3</v>
      </c>
      <c r="F4964" t="n">
        <v>2</v>
      </c>
      <c r="G4964" t="n">
        <v>4</v>
      </c>
      <c r="H4964" t="n">
        <v>2</v>
      </c>
      <c r="I4964" t="n">
        <v>2</v>
      </c>
      <c r="J4964" t="inlineStr">
        <is>
          <t>Mediana</t>
        </is>
      </c>
      <c r="K4964" t="n">
        <v>2</v>
      </c>
      <c r="L4964" t="n">
        <v>2.283</v>
      </c>
      <c r="M4964" t="n">
        <v>0</v>
      </c>
      <c r="N4964" t="inlineStr">
        <is>
          <t>train</t>
        </is>
      </c>
      <c r="O4964">
        <f>HYPERLINK("NoConsenso\marker_992_382920.png", "Ver Imagen")</f>
        <v/>
      </c>
      <c r="P4964">
        <f>HYPERLINK("SO\A-5058\A-5058__203.png", "Ver Imagen")</f>
        <v/>
      </c>
    </row>
    <row r="4965">
      <c r="A4965" t="n">
        <v>4622</v>
      </c>
      <c r="B4965" t="inlineStr">
        <is>
          <t>A-5058__226</t>
        </is>
      </c>
      <c r="C4965" t="n">
        <v>37.2382194897</v>
      </c>
      <c r="D4965" t="n">
        <v>-7.07870576139</v>
      </c>
      <c r="E4965" t="n">
        <v>3</v>
      </c>
      <c r="F4965" t="n">
        <v>2</v>
      </c>
      <c r="G4965" t="n">
        <v>4</v>
      </c>
      <c r="H4965" t="n">
        <v>2</v>
      </c>
      <c r="I4965" t="n">
        <v>2</v>
      </c>
      <c r="J4965" t="inlineStr">
        <is>
          <t>Mediana</t>
        </is>
      </c>
      <c r="K4965" t="n">
        <v>2</v>
      </c>
      <c r="L4965" t="n">
        <v>2.173</v>
      </c>
      <c r="M4965" t="n">
        <v>0</v>
      </c>
      <c r="N4965" t="inlineStr">
        <is>
          <t>train</t>
        </is>
      </c>
      <c r="O4965">
        <f>HYPERLINK("NoConsenso\marker_221_383199.png", "Ver Imagen")</f>
        <v/>
      </c>
      <c r="P4965">
        <f>HYPERLINK("SE\A-5058\A-5058__226.png", "Ver Imagen")</f>
        <v/>
      </c>
    </row>
    <row r="4966">
      <c r="A4966" t="n">
        <v>4622</v>
      </c>
      <c r="B4966" t="inlineStr">
        <is>
          <t>A-5058__226</t>
        </is>
      </c>
      <c r="C4966" t="n">
        <v>37.2382194897</v>
      </c>
      <c r="D4966" t="n">
        <v>-7.07870576139</v>
      </c>
      <c r="E4966" t="n">
        <v>3</v>
      </c>
      <c r="F4966" t="n">
        <v>2</v>
      </c>
      <c r="G4966" t="n">
        <v>4</v>
      </c>
      <c r="H4966" t="n">
        <v>2</v>
      </c>
      <c r="I4966" t="n">
        <v>2</v>
      </c>
      <c r="J4966" t="inlineStr">
        <is>
          <t>Mediana</t>
        </is>
      </c>
      <c r="K4966" t="n">
        <v>2</v>
      </c>
      <c r="L4966" t="n">
        <v>2.024</v>
      </c>
      <c r="M4966" t="n">
        <v>0</v>
      </c>
      <c r="N4966" t="inlineStr">
        <is>
          <t>train</t>
        </is>
      </c>
      <c r="O4966">
        <f>HYPERLINK("NoConsenso\marker_221_383199.png", "Ver Imagen")</f>
        <v/>
      </c>
      <c r="P4966">
        <f>HYPERLINK("SO\A-5058\A-5058__226.png", "Ver Imagen")</f>
        <v/>
      </c>
    </row>
    <row r="4967">
      <c r="A4967" t="n">
        <v>4623</v>
      </c>
      <c r="B4967" t="inlineStr">
        <is>
          <t>A-5058__253</t>
        </is>
      </c>
      <c r="C4967" t="n">
        <v>37.2416789199</v>
      </c>
      <c r="D4967" t="n">
        <v>-7.08395721346</v>
      </c>
      <c r="E4967" t="n">
        <v>3</v>
      </c>
      <c r="F4967" t="n">
        <v>2</v>
      </c>
      <c r="G4967" t="n">
        <v>4</v>
      </c>
      <c r="H4967" t="n">
        <v>2</v>
      </c>
      <c r="I4967" t="n">
        <v>2</v>
      </c>
      <c r="J4967" t="inlineStr">
        <is>
          <t>Mediana</t>
        </is>
      </c>
      <c r="K4967" t="n">
        <v>2</v>
      </c>
      <c r="L4967" t="n">
        <v>2.302</v>
      </c>
      <c r="M4967" t="n">
        <v>0</v>
      </c>
      <c r="N4967" t="inlineStr">
        <is>
          <t>train</t>
        </is>
      </c>
      <c r="O4967">
        <f>HYPERLINK("NoConsenso\marker_604_383556.png", "Ver Imagen")</f>
        <v/>
      </c>
      <c r="P4967">
        <f>HYPERLINK("SE\A-5058\A-5058__253.png", "Ver Imagen")</f>
        <v/>
      </c>
    </row>
    <row r="4968">
      <c r="A4968" t="n">
        <v>4623</v>
      </c>
      <c r="B4968" t="inlineStr">
        <is>
          <t>A-5058__253</t>
        </is>
      </c>
      <c r="C4968" t="n">
        <v>37.2416789199</v>
      </c>
      <c r="D4968" t="n">
        <v>-7.08395721346</v>
      </c>
      <c r="E4968" t="n">
        <v>3</v>
      </c>
      <c r="F4968" t="n">
        <v>2</v>
      </c>
      <c r="G4968" t="n">
        <v>4</v>
      </c>
      <c r="H4968" t="n">
        <v>2</v>
      </c>
      <c r="I4968" t="n">
        <v>2</v>
      </c>
      <c r="J4968" t="inlineStr">
        <is>
          <t>Mediana</t>
        </is>
      </c>
      <c r="K4968" t="n">
        <v>2</v>
      </c>
      <c r="L4968" t="n">
        <v>2.389</v>
      </c>
      <c r="M4968" t="n">
        <v>0</v>
      </c>
      <c r="N4968" t="inlineStr">
        <is>
          <t>train</t>
        </is>
      </c>
      <c r="O4968">
        <f>HYPERLINK("NoConsenso\marker_604_383556.png", "Ver Imagen")</f>
        <v/>
      </c>
      <c r="P4968">
        <f>HYPERLINK("SO\A-5058\A-5058__253.png", "Ver Imagen")</f>
        <v/>
      </c>
    </row>
    <row r="4969">
      <c r="A4969" t="n">
        <v>4626</v>
      </c>
      <c r="B4969" t="inlineStr">
        <is>
          <t>A-5058__385</t>
        </is>
      </c>
      <c r="C4969" t="n">
        <v>37.2553755577</v>
      </c>
      <c r="D4969" t="n">
        <v>-7.11069089379</v>
      </c>
      <c r="E4969" t="n">
        <v>3</v>
      </c>
      <c r="F4969" t="n">
        <v>2</v>
      </c>
      <c r="G4969" t="n">
        <v>4</v>
      </c>
      <c r="H4969" t="n">
        <v>1</v>
      </c>
      <c r="I4969" t="n">
        <v>2</v>
      </c>
      <c r="J4969" t="inlineStr">
        <is>
          <t>Mediana</t>
        </is>
      </c>
      <c r="K4969" t="n">
        <v>2</v>
      </c>
      <c r="L4969" t="n">
        <v>2.361</v>
      </c>
      <c r="M4969" t="n">
        <v>0</v>
      </c>
      <c r="N4969" t="inlineStr">
        <is>
          <t>val</t>
        </is>
      </c>
      <c r="O4969">
        <f>HYPERLINK("NoConsenso\marker_978_385258.png", "Ver Imagen")</f>
        <v/>
      </c>
      <c r="P4969">
        <f>HYPERLINK("SO\A-5058\A-5058__385.png", "Ver Imagen")</f>
        <v/>
      </c>
    </row>
    <row r="4970">
      <c r="A4970" t="n">
        <v>4627</v>
      </c>
      <c r="B4970" t="inlineStr">
        <is>
          <t>A-5058__386</t>
        </is>
      </c>
      <c r="C4970" t="n">
        <v>37.2553826178</v>
      </c>
      <c r="D4970" t="n">
        <v>-7.11091698641</v>
      </c>
      <c r="E4970" t="n">
        <v>3</v>
      </c>
      <c r="F4970" t="n">
        <v>2</v>
      </c>
      <c r="G4970" t="n">
        <v>4</v>
      </c>
      <c r="H4970" t="n">
        <v>2</v>
      </c>
      <c r="I4970" t="n">
        <v>2</v>
      </c>
      <c r="J4970" t="inlineStr">
        <is>
          <t>Mediana</t>
        </is>
      </c>
      <c r="K4970" t="n">
        <v>2</v>
      </c>
      <c r="L4970" t="n">
        <v>2.497</v>
      </c>
      <c r="M4970" t="n">
        <v>0</v>
      </c>
      <c r="N4970" t="inlineStr">
        <is>
          <t>train</t>
        </is>
      </c>
      <c r="O4970">
        <f>HYPERLINK("NoConsenso\marker_394_385268.png", "Ver Imagen")</f>
        <v/>
      </c>
      <c r="P4970">
        <f>HYPERLINK("SO\A-5058\A-5058__386.png", "Ver Imagen")</f>
        <v/>
      </c>
    </row>
    <row r="4971">
      <c r="A4971" t="n">
        <v>4628</v>
      </c>
      <c r="B4971" t="inlineStr">
        <is>
          <t>A-5058__387</t>
        </is>
      </c>
      <c r="C4971" t="n">
        <v>37.2553760131</v>
      </c>
      <c r="D4971" t="n">
        <v>-7.11117341333</v>
      </c>
      <c r="E4971" t="n">
        <v>3</v>
      </c>
      <c r="F4971" t="n">
        <v>2</v>
      </c>
      <c r="G4971" t="n">
        <v>4</v>
      </c>
      <c r="H4971" t="n">
        <v>2</v>
      </c>
      <c r="I4971" t="n">
        <v>2</v>
      </c>
      <c r="J4971" t="inlineStr">
        <is>
          <t>Mediana</t>
        </is>
      </c>
      <c r="K4971" t="n">
        <v>2</v>
      </c>
      <c r="L4971" t="n">
        <v>2.246</v>
      </c>
      <c r="M4971" t="n">
        <v>0</v>
      </c>
      <c r="N4971" t="inlineStr">
        <is>
          <t>train</t>
        </is>
      </c>
      <c r="O4971">
        <f>HYPERLINK("NoConsenso\marker_402_385278.png", "Ver Imagen")</f>
        <v/>
      </c>
      <c r="P4971">
        <f>HYPERLINK("SO\A-5058\A-5058__387.png", "Ver Imagen")</f>
        <v/>
      </c>
    </row>
    <row r="4972">
      <c r="A4972" t="n">
        <v>4629</v>
      </c>
      <c r="B4972" t="inlineStr">
        <is>
          <t>A-5058__413</t>
        </is>
      </c>
      <c r="C4972" t="n">
        <v>37.2551111724</v>
      </c>
      <c r="D4972" t="n">
        <v>-7.1174468928</v>
      </c>
      <c r="E4972" t="n">
        <v>3</v>
      </c>
      <c r="F4972" t="n">
        <v>2</v>
      </c>
      <c r="G4972" t="n">
        <v>4</v>
      </c>
      <c r="H4972" t="n">
        <v>2</v>
      </c>
      <c r="I4972" t="n">
        <v>2</v>
      </c>
      <c r="J4972" t="inlineStr">
        <is>
          <t>Mediana</t>
        </is>
      </c>
      <c r="K4972" t="n">
        <v>2</v>
      </c>
      <c r="L4972" t="n">
        <v>2.1</v>
      </c>
      <c r="M4972" t="n">
        <v>0</v>
      </c>
      <c r="N4972" t="inlineStr">
        <is>
          <t>train</t>
        </is>
      </c>
      <c r="O4972">
        <f>HYPERLINK("NoConsenso\marker_295_388679.png", "Ver Imagen")</f>
        <v/>
      </c>
      <c r="P4972">
        <f>HYPERLINK("SO\A-5058\A-5058__413.png", "Ver Imagen")</f>
        <v/>
      </c>
    </row>
    <row r="4973">
      <c r="A4973" t="n">
        <v>4630</v>
      </c>
      <c r="B4973" t="inlineStr">
        <is>
          <t>A-5058__422</t>
        </is>
      </c>
      <c r="C4973" t="n">
        <v>37.256550867</v>
      </c>
      <c r="D4973" t="n">
        <v>-7.11879733959</v>
      </c>
      <c r="E4973" t="n">
        <v>3</v>
      </c>
      <c r="F4973" t="n">
        <v>2</v>
      </c>
      <c r="G4973" t="n">
        <v>4</v>
      </c>
      <c r="H4973" t="n">
        <v>2</v>
      </c>
      <c r="I4973" t="n">
        <v>2</v>
      </c>
      <c r="J4973" t="inlineStr">
        <is>
          <t>Mediana</t>
        </is>
      </c>
      <c r="K4973" t="n">
        <v>2</v>
      </c>
      <c r="L4973" t="n">
        <v>2.335</v>
      </c>
      <c r="M4973" t="n">
        <v>0</v>
      </c>
      <c r="N4973" t="inlineStr">
        <is>
          <t>train</t>
        </is>
      </c>
      <c r="O4973">
        <f>HYPERLINK("NoConsenso\marker_850_388772.png", "Ver Imagen")</f>
        <v/>
      </c>
      <c r="P4973">
        <f>HYPERLINK("SO\A-5058\A-5058__422.png", "Ver Imagen")</f>
        <v/>
      </c>
    </row>
    <row r="4974">
      <c r="A4974" t="n">
        <v>4631</v>
      </c>
      <c r="B4974" t="inlineStr">
        <is>
          <t>A-5058__429</t>
        </is>
      </c>
      <c r="C4974" t="n">
        <v>37.2577693378</v>
      </c>
      <c r="D4974" t="n">
        <v>-7.11969016609</v>
      </c>
      <c r="E4974" t="n">
        <v>3</v>
      </c>
      <c r="F4974" t="n">
        <v>2</v>
      </c>
      <c r="G4974" t="n">
        <v>4</v>
      </c>
      <c r="H4974" t="n">
        <v>2</v>
      </c>
      <c r="I4974" t="n">
        <v>3</v>
      </c>
      <c r="J4974" t="inlineStr">
        <is>
          <t>Mediana</t>
        </is>
      </c>
      <c r="K4974" t="n">
        <v>3</v>
      </c>
      <c r="L4974" t="n">
        <v>2.913</v>
      </c>
      <c r="M4974" t="n">
        <v>0</v>
      </c>
      <c r="N4974" t="inlineStr">
        <is>
          <t>val</t>
        </is>
      </c>
      <c r="O4974">
        <f>HYPERLINK("NoConsenso\marker_578_388843.png", "Ver Imagen")</f>
        <v/>
      </c>
      <c r="P4974">
        <f>HYPERLINK("SO\A-5058\A-5058__429.png", "Ver Imagen")</f>
        <v/>
      </c>
    </row>
    <row r="4975">
      <c r="A4975" t="n">
        <v>4632</v>
      </c>
      <c r="B4975" t="inlineStr">
        <is>
          <t>A-5058__446</t>
        </is>
      </c>
      <c r="C4975" t="n">
        <v>37.2588940445</v>
      </c>
      <c r="D4975" t="n">
        <v>-7.12352692671</v>
      </c>
      <c r="E4975" t="n">
        <v>4</v>
      </c>
      <c r="F4975" t="n">
        <v>3</v>
      </c>
      <c r="G4975" t="n">
        <v>5</v>
      </c>
      <c r="H4975" t="n">
        <v>3</v>
      </c>
      <c r="I4975" t="n">
        <v>4</v>
      </c>
      <c r="J4975" t="inlineStr">
        <is>
          <t>Mediana</t>
        </is>
      </c>
      <c r="K4975" t="n">
        <v>4</v>
      </c>
      <c r="L4975" t="n">
        <v>4.086</v>
      </c>
      <c r="M4975" t="n">
        <v>0</v>
      </c>
      <c r="N4975" t="inlineStr">
        <is>
          <t>train</t>
        </is>
      </c>
      <c r="O4975">
        <f>HYPERLINK("NoConsenso\marker_146_389037.png", "Ver Imagen")</f>
        <v/>
      </c>
      <c r="P4975">
        <f>HYPERLINK("SO\A-5058\A-5058__446.png", "Ver Imagen")</f>
        <v/>
      </c>
    </row>
    <row r="4976">
      <c r="A4976" t="n">
        <v>4633</v>
      </c>
      <c r="B4976" t="inlineStr">
        <is>
          <t>A-5058__447</t>
        </is>
      </c>
      <c r="C4976" t="n">
        <v>37.2589180931</v>
      </c>
      <c r="D4976" t="n">
        <v>-7.12382922391</v>
      </c>
      <c r="E4976" t="n">
        <v>4</v>
      </c>
      <c r="F4976" t="n">
        <v>3</v>
      </c>
      <c r="G4976" t="n">
        <v>5</v>
      </c>
      <c r="H4976" t="n">
        <v>3</v>
      </c>
      <c r="I4976" t="n">
        <v>4</v>
      </c>
      <c r="J4976" t="inlineStr">
        <is>
          <t>Mediana</t>
        </is>
      </c>
      <c r="K4976" t="n">
        <v>4</v>
      </c>
      <c r="L4976" t="n">
        <v>3.602</v>
      </c>
      <c r="M4976" t="n">
        <v>0</v>
      </c>
      <c r="N4976" t="inlineStr">
        <is>
          <t>train</t>
        </is>
      </c>
      <c r="O4976">
        <f>HYPERLINK("NoConsenso\marker_101_389046.png", "Ver Imagen")</f>
        <v/>
      </c>
      <c r="P4976">
        <f>HYPERLINK("SO\A-5058\A-5058__447.png", "Ver Imagen")</f>
        <v/>
      </c>
    </row>
    <row r="4977">
      <c r="A4977" t="n">
        <v>4634</v>
      </c>
      <c r="B4977" t="inlineStr">
        <is>
          <t>A-5058__450</t>
        </is>
      </c>
      <c r="C4977" t="n">
        <v>37.2589901044</v>
      </c>
      <c r="D4977" t="n">
        <v>-7.12457381055</v>
      </c>
      <c r="E4977" t="n">
        <v>4</v>
      </c>
      <c r="F4977" t="n">
        <v>3</v>
      </c>
      <c r="G4977" t="n">
        <v>5</v>
      </c>
      <c r="H4977" t="n">
        <v>3</v>
      </c>
      <c r="I4977" t="n">
        <v>3</v>
      </c>
      <c r="J4977" t="inlineStr">
        <is>
          <t>Mediana</t>
        </is>
      </c>
      <c r="K4977" t="n">
        <v>3</v>
      </c>
      <c r="L4977" t="n">
        <v>3.046</v>
      </c>
      <c r="M4977" t="n">
        <v>0</v>
      </c>
      <c r="N4977" t="inlineStr">
        <is>
          <t>train</t>
        </is>
      </c>
      <c r="O4977">
        <f>HYPERLINK("NoConsenso\marker_809_389075.png", "Ver Imagen")</f>
        <v/>
      </c>
      <c r="P4977">
        <f>HYPERLINK("SO\A-5058\A-5058__450.png", "Ver Imagen")</f>
        <v/>
      </c>
    </row>
    <row r="4978">
      <c r="A4978" t="n">
        <v>4635</v>
      </c>
      <c r="B4978" t="inlineStr">
        <is>
          <t>A-5058__451</t>
        </is>
      </c>
      <c r="C4978" t="n">
        <v>37.2590300529</v>
      </c>
      <c r="D4978" t="n">
        <v>-7.12482793903</v>
      </c>
      <c r="E4978" t="n">
        <v>3</v>
      </c>
      <c r="F4978" t="n">
        <v>3</v>
      </c>
      <c r="G4978" t="n">
        <v>5</v>
      </c>
      <c r="H4978" t="n">
        <v>2</v>
      </c>
      <c r="I4978" t="n">
        <v>3</v>
      </c>
      <c r="J4978" t="inlineStr">
        <is>
          <t>Mediana</t>
        </is>
      </c>
      <c r="K4978" t="n">
        <v>3</v>
      </c>
      <c r="L4978" t="n">
        <v>3.318</v>
      </c>
      <c r="M4978" t="n">
        <v>0</v>
      </c>
      <c r="N4978" t="inlineStr">
        <is>
          <t>val</t>
        </is>
      </c>
      <c r="O4978">
        <f>HYPERLINK("NoConsenso\marker_821_389084.png", "Ver Imagen")</f>
        <v/>
      </c>
      <c r="P4978">
        <f>HYPERLINK("SO\A-5058\A-5058__451.png", "Ver Imagen")</f>
        <v/>
      </c>
    </row>
    <row r="4979">
      <c r="A4979" t="n">
        <v>4638</v>
      </c>
      <c r="B4979" t="inlineStr">
        <is>
          <t>A-5058__468</t>
        </is>
      </c>
      <c r="C4979" t="n">
        <v>37.2610666541</v>
      </c>
      <c r="D4979" t="n">
        <v>-7.12815877826</v>
      </c>
      <c r="E4979" t="n">
        <v>3</v>
      </c>
      <c r="F4979" t="n">
        <v>2</v>
      </c>
      <c r="G4979" t="n">
        <v>4</v>
      </c>
      <c r="H4979" t="n">
        <v>1</v>
      </c>
      <c r="I4979" t="n">
        <v>1</v>
      </c>
      <c r="J4979" t="inlineStr">
        <is>
          <t>Modificada</t>
        </is>
      </c>
      <c r="K4979" t="n">
        <v>1</v>
      </c>
      <c r="L4979" t="n">
        <v>1.178</v>
      </c>
      <c r="M4979" t="n">
        <v>0</v>
      </c>
      <c r="N4979" t="inlineStr">
        <is>
          <t>train</t>
        </is>
      </c>
      <c r="O4979">
        <f>HYPERLINK("NoConsenso\marker_975_389386.png", "Ver Imagen")</f>
        <v/>
      </c>
      <c r="P4979">
        <f>HYPERLINK("SO\A-5058\A-5058__468.png", "Ver Imagen")</f>
        <v/>
      </c>
    </row>
    <row r="4980">
      <c r="A4980" t="n">
        <v>4640</v>
      </c>
      <c r="B4980" t="inlineStr">
        <is>
          <t>A-495_1__188</t>
        </is>
      </c>
      <c r="C4980" t="n">
        <v>37.4836230517</v>
      </c>
      <c r="D4980" t="n">
        <v>-7.12952162513</v>
      </c>
      <c r="E4980" t="n">
        <v>2</v>
      </c>
      <c r="F4980" t="n">
        <v>3</v>
      </c>
      <c r="G4980" t="n">
        <v>4</v>
      </c>
      <c r="H4980" t="n">
        <v>2</v>
      </c>
      <c r="I4980" t="n">
        <v>1</v>
      </c>
      <c r="J4980" t="inlineStr">
        <is>
          <t>Mediana</t>
        </is>
      </c>
      <c r="K4980" t="n">
        <v>2</v>
      </c>
      <c r="L4980" t="n">
        <v>1.783</v>
      </c>
      <c r="M4980" t="n">
        <v>0</v>
      </c>
      <c r="N4980" t="inlineStr">
        <is>
          <t>train</t>
        </is>
      </c>
      <c r="O4980">
        <f>HYPERLINK("NoConsenso\marker_100_383748.png", "Ver Imagen")</f>
        <v/>
      </c>
      <c r="P4980">
        <f>HYPERLINK("NE\A-495_1\A-495_1__188.png", "Ver Imagen")</f>
        <v/>
      </c>
    </row>
    <row r="4981">
      <c r="A4981" t="n">
        <v>4641</v>
      </c>
      <c r="B4981" t="inlineStr">
        <is>
          <t>A-495_1__171</t>
        </is>
      </c>
      <c r="C4981" t="n">
        <v>37.4805363134</v>
      </c>
      <c r="D4981" t="n">
        <v>-7.12775833968</v>
      </c>
      <c r="E4981" t="n">
        <v>5</v>
      </c>
      <c r="F4981" t="n">
        <v>3</v>
      </c>
      <c r="G4981" t="n">
        <v>4</v>
      </c>
      <c r="H4981" t="n">
        <v>4</v>
      </c>
      <c r="I4981" t="n">
        <v>3</v>
      </c>
      <c r="J4981" t="inlineStr">
        <is>
          <t>Mediana</t>
        </is>
      </c>
      <c r="K4981" t="n">
        <v>4</v>
      </c>
      <c r="L4981" t="n">
        <v>3.945</v>
      </c>
      <c r="M4981" t="n">
        <v>0</v>
      </c>
      <c r="N4981" t="inlineStr">
        <is>
          <t>train</t>
        </is>
      </c>
      <c r="O4981">
        <f>HYPERLINK("NoConsenso\marker_258_383976.png", "Ver Imagen")</f>
        <v/>
      </c>
      <c r="P4981">
        <f>HYPERLINK("NE\A-495_1\A-495_1__171.png", "Ver Imagen")</f>
        <v/>
      </c>
    </row>
    <row r="4982">
      <c r="A4982" t="n">
        <v>4642</v>
      </c>
      <c r="B4982" t="inlineStr">
        <is>
          <t>A-495_1__165</t>
        </is>
      </c>
      <c r="C4982" t="n">
        <v>37.4793289791</v>
      </c>
      <c r="D4982" t="n">
        <v>-7.12801944462</v>
      </c>
      <c r="E4982" t="n">
        <v>5</v>
      </c>
      <c r="F4982" t="n">
        <v>3</v>
      </c>
      <c r="G4982" t="n">
        <v>4</v>
      </c>
      <c r="H4982" t="n">
        <v>3</v>
      </c>
      <c r="I4982" t="n">
        <v>3</v>
      </c>
      <c r="J4982" t="inlineStr">
        <is>
          <t>Mediana</t>
        </is>
      </c>
      <c r="K4982" t="n">
        <v>3</v>
      </c>
      <c r="L4982" t="n">
        <v>2.983</v>
      </c>
      <c r="M4982" t="n">
        <v>0</v>
      </c>
      <c r="N4982" t="inlineStr">
        <is>
          <t>train</t>
        </is>
      </c>
      <c r="O4982">
        <f>HYPERLINK("NoConsenso\marker_879_384038.png", "Ver Imagen")</f>
        <v/>
      </c>
      <c r="P4982">
        <f>HYPERLINK("NE\A-495_1\A-495_1__165.png", "Ver Imagen")</f>
        <v/>
      </c>
    </row>
    <row r="4983">
      <c r="A4983" t="n">
        <v>4643</v>
      </c>
      <c r="B4983" t="inlineStr">
        <is>
          <t>A-495_1__163</t>
        </is>
      </c>
      <c r="C4983" t="n">
        <v>37.4789500591</v>
      </c>
      <c r="D4983" t="n">
        <v>-7.12796055729</v>
      </c>
      <c r="E4983" t="n">
        <v>4</v>
      </c>
      <c r="F4983" t="n">
        <v>3</v>
      </c>
      <c r="G4983" t="n">
        <v>2</v>
      </c>
      <c r="H4983" t="n">
        <v>2</v>
      </c>
      <c r="I4983" t="n">
        <v>2</v>
      </c>
      <c r="J4983" t="inlineStr">
        <is>
          <t>Mediana</t>
        </is>
      </c>
      <c r="K4983" t="n">
        <v>2</v>
      </c>
      <c r="L4983" t="n">
        <v>2.223</v>
      </c>
      <c r="M4983" t="n">
        <v>0</v>
      </c>
      <c r="N4983" t="inlineStr">
        <is>
          <t>train</t>
        </is>
      </c>
      <c r="O4983">
        <f>HYPERLINK("NoConsenso\marker_338_384055.png", "Ver Imagen")</f>
        <v/>
      </c>
      <c r="P4983">
        <f>HYPERLINK("NE\A-495_1\A-495_1__163.png", "Ver Imagen")</f>
        <v/>
      </c>
    </row>
    <row r="4984">
      <c r="A4984" t="n">
        <v>4644</v>
      </c>
      <c r="B4984" t="inlineStr">
        <is>
          <t>A-495_1__160</t>
        </is>
      </c>
      <c r="C4984" t="n">
        <v>37.4783884556</v>
      </c>
      <c r="D4984" t="n">
        <v>-7.12768477024</v>
      </c>
      <c r="E4984" t="n">
        <v>5</v>
      </c>
      <c r="F4984" t="n">
        <v>3</v>
      </c>
      <c r="G4984" t="n">
        <v>4</v>
      </c>
      <c r="H4984" t="n">
        <v>3</v>
      </c>
      <c r="I4984" t="n">
        <v>2</v>
      </c>
      <c r="J4984" t="inlineStr">
        <is>
          <t>Mediana</t>
        </is>
      </c>
      <c r="K4984" t="n">
        <v>3</v>
      </c>
      <c r="L4984" t="n">
        <v>3.006</v>
      </c>
      <c r="M4984" t="n">
        <v>0</v>
      </c>
      <c r="N4984" t="inlineStr">
        <is>
          <t>train</t>
        </is>
      </c>
      <c r="O4984">
        <f>HYPERLINK("NoConsenso\marker_266_384094.png", "Ver Imagen")</f>
        <v/>
      </c>
      <c r="P4984">
        <f>HYPERLINK("NE\A-495_1\A-495_1__160.png", "Ver Imagen")</f>
        <v/>
      </c>
    </row>
    <row r="4985">
      <c r="A4985" t="n">
        <v>4645</v>
      </c>
      <c r="B4985" t="inlineStr">
        <is>
          <t>A-495_1__156</t>
        </is>
      </c>
      <c r="C4985" t="n">
        <v>37.477801395</v>
      </c>
      <c r="D4985" t="n">
        <v>-7.12702963885</v>
      </c>
      <c r="E4985" t="n">
        <v>5</v>
      </c>
      <c r="F4985" t="n">
        <v>3</v>
      </c>
      <c r="G4985" t="n">
        <v>3</v>
      </c>
      <c r="H4985" t="n">
        <v>2</v>
      </c>
      <c r="I4985" t="n">
        <v>2</v>
      </c>
      <c r="J4985" t="inlineStr">
        <is>
          <t>Mediana</t>
        </is>
      </c>
      <c r="K4985" t="n">
        <v>3</v>
      </c>
      <c r="L4985" t="n">
        <v>2.802</v>
      </c>
      <c r="M4985" t="n">
        <v>0</v>
      </c>
      <c r="N4985" t="inlineStr">
        <is>
          <t>train</t>
        </is>
      </c>
      <c r="O4985">
        <f>HYPERLINK("NoConsenso\marker_908_384148.png", "Ver Imagen")</f>
        <v/>
      </c>
      <c r="P4985">
        <f>HYPERLINK("NE\A-495_1\A-495_1__156.png", "Ver Imagen")</f>
        <v/>
      </c>
    </row>
    <row r="4986">
      <c r="A4986" t="n">
        <v>4646</v>
      </c>
      <c r="B4986" t="inlineStr">
        <is>
          <t>A-495_1__155</t>
        </is>
      </c>
      <c r="C4986" t="n">
        <v>37.4776627073</v>
      </c>
      <c r="D4986" t="n">
        <v>-7.1268358664</v>
      </c>
      <c r="E4986" t="n">
        <v>5</v>
      </c>
      <c r="F4986" t="n">
        <v>3</v>
      </c>
      <c r="G4986" t="n">
        <v>4</v>
      </c>
      <c r="H4986" t="n">
        <v>3</v>
      </c>
      <c r="I4986" t="n">
        <v>3</v>
      </c>
      <c r="J4986" t="inlineStr">
        <is>
          <t>Mediana</t>
        </is>
      </c>
      <c r="K4986" t="n">
        <v>3</v>
      </c>
      <c r="L4986" t="n">
        <v>2.992</v>
      </c>
      <c r="M4986" t="n">
        <v>0</v>
      </c>
      <c r="N4986" t="inlineStr">
        <is>
          <t>test</t>
        </is>
      </c>
      <c r="O4986">
        <f>HYPERLINK("NoConsenso\marker_224_384167.png", "Ver Imagen")</f>
        <v/>
      </c>
      <c r="P4986">
        <f>HYPERLINK("NE\A-495_1\A-495_1__155.png", "Ver Imagen")</f>
        <v/>
      </c>
    </row>
    <row r="4987">
      <c r="A4987" t="n">
        <v>4647</v>
      </c>
      <c r="B4987" t="inlineStr">
        <is>
          <t>A-495_1__152</t>
        </is>
      </c>
      <c r="C4987" t="n">
        <v>37.4772613984</v>
      </c>
      <c r="D4987" t="n">
        <v>-7.12624825359</v>
      </c>
      <c r="E4987" t="n">
        <v>5</v>
      </c>
      <c r="F4987" t="n">
        <v>3</v>
      </c>
      <c r="G4987" t="n">
        <v>4</v>
      </c>
      <c r="H4987" t="n">
        <v>3</v>
      </c>
      <c r="I4987" t="n">
        <v>3</v>
      </c>
      <c r="J4987" t="inlineStr">
        <is>
          <t>Mediana</t>
        </is>
      </c>
      <c r="K4987" t="n">
        <v>3</v>
      </c>
      <c r="L4987" t="n">
        <v>3.343</v>
      </c>
      <c r="M4987" t="n">
        <v>0</v>
      </c>
      <c r="N4987" t="inlineStr">
        <is>
          <t>train</t>
        </is>
      </c>
      <c r="O4987">
        <f>HYPERLINK("NoConsenso\marker_831_384193.png", "Ver Imagen")</f>
        <v/>
      </c>
      <c r="P4987">
        <f>HYPERLINK("NE\A-495_1\A-495_1__152.png", "Ver Imagen")</f>
        <v/>
      </c>
    </row>
    <row r="4988">
      <c r="A4988" t="n">
        <v>4648</v>
      </c>
      <c r="B4988" t="inlineStr">
        <is>
          <t>A-495_1__145</t>
        </is>
      </c>
      <c r="C4988" t="n">
        <v>37.4759728739</v>
      </c>
      <c r="D4988" t="n">
        <v>-7.12580101642</v>
      </c>
      <c r="E4988" t="n">
        <v>4</v>
      </c>
      <c r="F4988" t="n">
        <v>3</v>
      </c>
      <c r="G4988" t="n">
        <v>2</v>
      </c>
      <c r="H4988" t="n">
        <v>3</v>
      </c>
      <c r="I4988" t="n">
        <v>3</v>
      </c>
      <c r="J4988" t="inlineStr">
        <is>
          <t>Mediana</t>
        </is>
      </c>
      <c r="K4988" t="n">
        <v>3</v>
      </c>
      <c r="L4988" t="n">
        <v>2.942</v>
      </c>
      <c r="M4988" t="n">
        <v>0</v>
      </c>
      <c r="N4988" t="inlineStr">
        <is>
          <t>train</t>
        </is>
      </c>
      <c r="O4988">
        <f>HYPERLINK("NoConsenso\marker_230_384301.png", "Ver Imagen")</f>
        <v/>
      </c>
      <c r="P4988">
        <f>HYPERLINK("NE\A-495_1\A-495_1__145.png", "Ver Imagen")</f>
        <v/>
      </c>
    </row>
    <row r="4989">
      <c r="A4989" t="n">
        <v>4649</v>
      </c>
      <c r="B4989" t="inlineStr">
        <is>
          <t>A-495_1__137</t>
        </is>
      </c>
      <c r="C4989" t="n">
        <v>37.4743880785</v>
      </c>
      <c r="D4989" t="n">
        <v>-7.12613772818</v>
      </c>
      <c r="E4989" t="n">
        <v>3</v>
      </c>
      <c r="F4989" t="n">
        <v>3</v>
      </c>
      <c r="G4989" t="n">
        <v>1</v>
      </c>
      <c r="H4989" t="n">
        <v>2</v>
      </c>
      <c r="I4989" t="n">
        <v>1</v>
      </c>
      <c r="J4989" t="inlineStr">
        <is>
          <t>Mediana</t>
        </is>
      </c>
      <c r="K4989" t="n">
        <v>2</v>
      </c>
      <c r="L4989" t="n">
        <v>2.429</v>
      </c>
      <c r="M4989" t="n">
        <v>0</v>
      </c>
      <c r="N4989" t="inlineStr">
        <is>
          <t>train</t>
        </is>
      </c>
      <c r="O4989">
        <f>HYPERLINK("NoConsenso\marker_539_384403.png", "Ver Imagen")</f>
        <v/>
      </c>
      <c r="P4989">
        <f>HYPERLINK("NE\A-495_1\A-495_1__137.png", "Ver Imagen")</f>
        <v/>
      </c>
    </row>
    <row r="4990">
      <c r="A4990" t="n">
        <v>4650</v>
      </c>
      <c r="B4990" t="inlineStr">
        <is>
          <t>A-495_1__82</t>
        </is>
      </c>
      <c r="C4990" t="n">
        <v>37.4641406997</v>
      </c>
      <c r="D4990" t="n">
        <v>-7.12377039836</v>
      </c>
      <c r="E4990" t="n">
        <v>1</v>
      </c>
      <c r="F4990" t="n">
        <v>3</v>
      </c>
      <c r="G4990" t="n">
        <v>3</v>
      </c>
      <c r="H4990" t="n">
        <v>1</v>
      </c>
      <c r="I4990" t="n">
        <v>1</v>
      </c>
      <c r="J4990" t="inlineStr">
        <is>
          <t>Mediana</t>
        </is>
      </c>
      <c r="K4990" t="n">
        <v>1</v>
      </c>
      <c r="L4990" t="n">
        <v>1</v>
      </c>
      <c r="M4990" t="n">
        <v>0</v>
      </c>
      <c r="N4990" t="inlineStr">
        <is>
          <t>train</t>
        </is>
      </c>
      <c r="O4990">
        <f>HYPERLINK("NoConsenso\marker_542_385216.png", "Ver Imagen")</f>
        <v/>
      </c>
      <c r="P4990">
        <f>HYPERLINK("NE\A-495_1\A-495_1__82.png", "Ver Imagen")</f>
        <v/>
      </c>
    </row>
    <row r="4991">
      <c r="A4991" t="n">
        <v>4651</v>
      </c>
      <c r="B4991" t="inlineStr">
        <is>
          <t>A-497__793</t>
        </is>
      </c>
      <c r="C4991" t="n">
        <v>37.191970929</v>
      </c>
      <c r="D4991" t="n">
        <v>-6.9777029873</v>
      </c>
      <c r="E4991" t="n">
        <v>5</v>
      </c>
      <c r="F4991" t="n">
        <v>3</v>
      </c>
      <c r="G4991" t="n">
        <v>3</v>
      </c>
      <c r="H4991" t="n">
        <v>2</v>
      </c>
      <c r="I4991" t="n">
        <v>3</v>
      </c>
      <c r="J4991" t="inlineStr">
        <is>
          <t>Mediana</t>
        </is>
      </c>
      <c r="K4991" t="n">
        <v>3</v>
      </c>
      <c r="L4991" t="n">
        <v>3.107</v>
      </c>
      <c r="M4991" t="n">
        <v>0</v>
      </c>
      <c r="N4991" t="inlineStr">
        <is>
          <t>val</t>
        </is>
      </c>
      <c r="O4991">
        <f>HYPERLINK("NoConsenso\marker_414_368028.png", "Ver Imagen")</f>
        <v/>
      </c>
      <c r="P4991">
        <f>HYPERLINK("SE\A-497\A-497__793.png", "Ver Imagen")</f>
        <v/>
      </c>
    </row>
    <row r="4992">
      <c r="A4992" t="n">
        <v>4653</v>
      </c>
      <c r="B4992" t="inlineStr">
        <is>
          <t>A-497_2C__6</t>
        </is>
      </c>
      <c r="C4992" t="n">
        <v>37.2673468365</v>
      </c>
      <c r="D4992" t="n">
        <v>-6.95848794653</v>
      </c>
      <c r="E4992" t="n">
        <v>5</v>
      </c>
      <c r="F4992" t="n">
        <v>3</v>
      </c>
      <c r="G4992" t="n">
        <v>3</v>
      </c>
      <c r="H4992" t="n">
        <v>2</v>
      </c>
      <c r="I4992" t="n">
        <v>2</v>
      </c>
      <c r="J4992" t="inlineStr">
        <is>
          <t>Modificada</t>
        </is>
      </c>
      <c r="K4992" t="n">
        <v>2</v>
      </c>
      <c r="L4992" t="n">
        <v>1.797</v>
      </c>
      <c r="M4992" t="n">
        <v>0</v>
      </c>
      <c r="N4992" t="inlineStr">
        <is>
          <t>test</t>
        </is>
      </c>
      <c r="O4992">
        <f>HYPERLINK("NoConsenso\marker_751_653780.png", "Ver Imagen")</f>
        <v/>
      </c>
      <c r="P4992">
        <f>HYPERLINK("SE\A-497_2C\A-497_2C__6.png", "Ver Imagen")</f>
        <v/>
      </c>
    </row>
    <row r="4993">
      <c r="A4993" t="n">
        <v>4654</v>
      </c>
      <c r="B4993" t="inlineStr">
        <is>
          <t>A-497_2C__28</t>
        </is>
      </c>
      <c r="C4993" t="n">
        <v>37.2676474541</v>
      </c>
      <c r="D4993" t="n">
        <v>-6.96404812292</v>
      </c>
      <c r="E4993" t="n">
        <v>5</v>
      </c>
      <c r="F4993" t="n">
        <v>3</v>
      </c>
      <c r="G4993" t="n">
        <v>3</v>
      </c>
      <c r="H4993" t="n">
        <v>2</v>
      </c>
      <c r="I4993" t="n">
        <v>2</v>
      </c>
      <c r="J4993" t="inlineStr">
        <is>
          <t>Mediana</t>
        </is>
      </c>
      <c r="K4993" t="n">
        <v>3</v>
      </c>
      <c r="L4993" t="n">
        <v>2.86</v>
      </c>
      <c r="M4993" t="n">
        <v>0</v>
      </c>
      <c r="N4993" t="inlineStr">
        <is>
          <t>train</t>
        </is>
      </c>
      <c r="O4993">
        <f>HYPERLINK("NoConsenso\marker_645_654469.png", "Ver Imagen")</f>
        <v/>
      </c>
      <c r="P4993">
        <f>HYPERLINK("SE\A-497_2C\A-497_2C__28.png", "Ver Imagen")</f>
        <v/>
      </c>
    </row>
    <row r="4994">
      <c r="A4994" t="n">
        <v>4655</v>
      </c>
      <c r="B4994" t="inlineStr">
        <is>
          <t>A-497_2C__29</t>
        </is>
      </c>
      <c r="C4994" t="n">
        <v>37.2676535682</v>
      </c>
      <c r="D4994" t="n">
        <v>-6.96432324213</v>
      </c>
      <c r="E4994" t="n">
        <v>5</v>
      </c>
      <c r="F4994" t="n">
        <v>3</v>
      </c>
      <c r="G4994" t="n">
        <v>3</v>
      </c>
      <c r="H4994" t="n">
        <v>3</v>
      </c>
      <c r="I4994" t="n">
        <v>3</v>
      </c>
      <c r="J4994" t="inlineStr">
        <is>
          <t>Mediana</t>
        </is>
      </c>
      <c r="K4994" t="n">
        <v>3</v>
      </c>
      <c r="L4994" t="n">
        <v>2.902</v>
      </c>
      <c r="M4994" t="n">
        <v>0</v>
      </c>
      <c r="N4994" t="inlineStr">
        <is>
          <t>val</t>
        </is>
      </c>
      <c r="O4994">
        <f>HYPERLINK("NoConsenso\marker_286_654479.png", "Ver Imagen")</f>
        <v/>
      </c>
      <c r="P4994">
        <f>HYPERLINK("SE\A-497_2C\A-497_2C__29.png", "Ver Imagen")</f>
        <v/>
      </c>
    </row>
    <row r="4995">
      <c r="A4995" t="n">
        <v>4656</v>
      </c>
      <c r="B4995" t="inlineStr">
        <is>
          <t>A-497_2C__30</t>
        </is>
      </c>
      <c r="C4995" t="n">
        <v>37.2676600965</v>
      </c>
      <c r="D4995" t="n">
        <v>-6.96459546002</v>
      </c>
      <c r="E4995" t="n">
        <v>5</v>
      </c>
      <c r="F4995" t="n">
        <v>3</v>
      </c>
      <c r="G4995" t="n">
        <v>3</v>
      </c>
      <c r="H4995" t="n">
        <v>3</v>
      </c>
      <c r="I4995" t="n">
        <v>3</v>
      </c>
      <c r="J4995" t="inlineStr">
        <is>
          <t>Mediana</t>
        </is>
      </c>
      <c r="K4995" t="n">
        <v>3</v>
      </c>
      <c r="L4995" t="n">
        <v>3.086</v>
      </c>
      <c r="M4995" t="n">
        <v>0</v>
      </c>
      <c r="N4995" t="inlineStr">
        <is>
          <t>train</t>
        </is>
      </c>
      <c r="O4995">
        <f>HYPERLINK("NoConsenso\marker_725_654488.png", "Ver Imagen")</f>
        <v/>
      </c>
      <c r="P4995">
        <f>HYPERLINK("SE\A-497_2C\A-497_2C__30.png", "Ver Imagen")</f>
        <v/>
      </c>
    </row>
    <row r="4996">
      <c r="A4996" t="n">
        <v>4657</v>
      </c>
      <c r="B4996" t="inlineStr">
        <is>
          <t>A-497_2C__31</t>
        </is>
      </c>
      <c r="C4996" t="n">
        <v>37.2676671182</v>
      </c>
      <c r="D4996" t="n">
        <v>-6.96487962762</v>
      </c>
      <c r="E4996" t="n">
        <v>5</v>
      </c>
      <c r="F4996" t="n">
        <v>3</v>
      </c>
      <c r="G4996" t="n">
        <v>3</v>
      </c>
      <c r="H4996" t="n">
        <v>3</v>
      </c>
      <c r="I4996" t="n">
        <v>3</v>
      </c>
      <c r="J4996" t="inlineStr">
        <is>
          <t>Mediana</t>
        </is>
      </c>
      <c r="K4996" t="n">
        <v>3</v>
      </c>
      <c r="L4996" t="n">
        <v>3.157</v>
      </c>
      <c r="M4996" t="n">
        <v>0</v>
      </c>
      <c r="N4996" t="inlineStr">
        <is>
          <t>train</t>
        </is>
      </c>
      <c r="O4996">
        <f>HYPERLINK("NoConsenso\marker_738_654499.png", "Ver Imagen")</f>
        <v/>
      </c>
      <c r="P4996">
        <f>HYPERLINK("SE\A-497_2C\A-497_2C__31.png", "Ver Imagen")</f>
        <v/>
      </c>
    </row>
    <row r="4997">
      <c r="A4997" t="n">
        <v>4658</v>
      </c>
      <c r="B4997" t="inlineStr">
        <is>
          <t>A-499__129</t>
        </is>
      </c>
      <c r="C4997" t="n">
        <v>37.5044605798</v>
      </c>
      <c r="D4997" t="n">
        <v>-7.2655789487</v>
      </c>
      <c r="E4997" t="n">
        <v>2</v>
      </c>
      <c r="F4997" t="n">
        <v>1</v>
      </c>
      <c r="G4997" t="n">
        <v>3</v>
      </c>
      <c r="H4997" t="n">
        <v>1</v>
      </c>
      <c r="I4997" t="n">
        <v>1</v>
      </c>
      <c r="J4997" t="inlineStr">
        <is>
          <t>Mediana</t>
        </is>
      </c>
      <c r="K4997" t="n">
        <v>1</v>
      </c>
      <c r="L4997" t="n">
        <v>1.099</v>
      </c>
      <c r="M4997" t="n">
        <v>0</v>
      </c>
      <c r="N4997" t="inlineStr">
        <is>
          <t>train</t>
        </is>
      </c>
      <c r="O4997">
        <f>HYPERLINK("NoConsenso\marker_376_793769.png", "Ver Imagen")</f>
        <v/>
      </c>
      <c r="P4997">
        <f>HYPERLINK("NO\A-499\A-499__129.png", "Ver Imagen")</f>
        <v/>
      </c>
    </row>
    <row r="4998">
      <c r="A4998" t="n">
        <v>4659</v>
      </c>
      <c r="B4998" t="inlineStr">
        <is>
          <t>A-499__139</t>
        </is>
      </c>
      <c r="C4998" t="n">
        <v>37.5064622637</v>
      </c>
      <c r="D4998" t="n">
        <v>-7.26535121952</v>
      </c>
      <c r="E4998" t="n">
        <v>2</v>
      </c>
      <c r="F4998" t="n">
        <v>1</v>
      </c>
      <c r="G4998" t="n">
        <v>3</v>
      </c>
      <c r="H4998" t="n">
        <v>1</v>
      </c>
      <c r="I4998" t="n">
        <v>1</v>
      </c>
      <c r="J4998" t="inlineStr">
        <is>
          <t>Mediana</t>
        </is>
      </c>
      <c r="K4998" t="n">
        <v>1</v>
      </c>
      <c r="L4998" t="n">
        <v>1.355</v>
      </c>
      <c r="M4998" t="n">
        <v>0</v>
      </c>
      <c r="N4998" t="inlineStr">
        <is>
          <t>train</t>
        </is>
      </c>
      <c r="O4998">
        <f>HYPERLINK("NoConsenso\marker_516_794054.png", "Ver Imagen")</f>
        <v/>
      </c>
      <c r="P4998">
        <f>HYPERLINK("NO\A-499\A-499__139.png", "Ver Imagen")</f>
        <v/>
      </c>
    </row>
    <row r="4999">
      <c r="A4999" t="n">
        <v>4661</v>
      </c>
      <c r="B4999" t="inlineStr">
        <is>
          <t>A-499__149</t>
        </is>
      </c>
      <c r="C4999" t="n">
        <v>37.508215288</v>
      </c>
      <c r="D4999" t="n">
        <v>-7.26653472737</v>
      </c>
      <c r="E4999" t="n">
        <v>2</v>
      </c>
      <c r="F4999" t="n">
        <v>1</v>
      </c>
      <c r="G4999" t="n">
        <v>3</v>
      </c>
      <c r="H4999" t="n">
        <v>1</v>
      </c>
      <c r="I4999" t="n">
        <v>1</v>
      </c>
      <c r="J4999" t="inlineStr">
        <is>
          <t>Mediana</t>
        </is>
      </c>
      <c r="K4999" t="n">
        <v>1</v>
      </c>
      <c r="L4999" t="n">
        <v>1.134</v>
      </c>
      <c r="M4999" t="n">
        <v>0</v>
      </c>
      <c r="N4999" t="inlineStr">
        <is>
          <t>train</t>
        </is>
      </c>
      <c r="O4999">
        <f>HYPERLINK("NoConsenso\marker_973_794289.png", "Ver Imagen")</f>
        <v/>
      </c>
      <c r="P4999">
        <f>HYPERLINK("NO\A-499\A-499__149.png", "Ver Imagen")</f>
        <v/>
      </c>
    </row>
    <row r="5000">
      <c r="A5000" t="n">
        <v>4662</v>
      </c>
      <c r="B5000" t="inlineStr">
        <is>
          <t>A-499__197</t>
        </is>
      </c>
      <c r="C5000" t="n">
        <v>37.5167581565</v>
      </c>
      <c r="D5000" t="n">
        <v>-7.26633683851</v>
      </c>
      <c r="E5000" t="n">
        <v>1</v>
      </c>
      <c r="F5000" t="n">
        <v>1</v>
      </c>
      <c r="G5000" t="n">
        <v>3</v>
      </c>
      <c r="H5000" t="n">
        <v>1</v>
      </c>
      <c r="I5000" t="n">
        <v>1</v>
      </c>
      <c r="J5000" t="inlineStr">
        <is>
          <t>Mediana</t>
        </is>
      </c>
      <c r="K5000" t="n">
        <v>1</v>
      </c>
      <c r="L5000" t="n">
        <v>1.403</v>
      </c>
      <c r="M5000" t="n">
        <v>0</v>
      </c>
      <c r="N5000" t="inlineStr">
        <is>
          <t>train</t>
        </is>
      </c>
      <c r="O5000">
        <f>HYPERLINK("NoConsenso\marker_981_795961.png", "Ver Imagen")</f>
        <v/>
      </c>
      <c r="P5000">
        <f>HYPERLINK("NO\A-499\A-499__197.png", "Ver Imagen")</f>
        <v/>
      </c>
    </row>
    <row r="5001">
      <c r="A5001" t="n">
        <v>4663</v>
      </c>
      <c r="B5001" t="inlineStr">
        <is>
          <t>A-499__225</t>
        </is>
      </c>
      <c r="C5001" t="n">
        <v>37.5202578848</v>
      </c>
      <c r="D5001" t="n">
        <v>-7.26101411581</v>
      </c>
      <c r="E5001" t="n">
        <v>2</v>
      </c>
      <c r="F5001" t="n">
        <v>1</v>
      </c>
      <c r="G5001" t="n">
        <v>3</v>
      </c>
      <c r="H5001" t="n">
        <v>1</v>
      </c>
      <c r="I5001" t="n">
        <v>1</v>
      </c>
      <c r="J5001" t="inlineStr">
        <is>
          <t>Mediana</t>
        </is>
      </c>
      <c r="K5001" t="n">
        <v>1</v>
      </c>
      <c r="L5001" t="n">
        <v>1.054</v>
      </c>
      <c r="M5001" t="n">
        <v>0</v>
      </c>
      <c r="N5001" t="inlineStr">
        <is>
          <t>train</t>
        </is>
      </c>
      <c r="O5001">
        <f>HYPERLINK("NoConsenso\marker_760_796545.png", "Ver Imagen")</f>
        <v/>
      </c>
      <c r="P5001">
        <f>HYPERLINK("NO\A-499\A-499__225.png", "Ver Imagen")</f>
        <v/>
      </c>
    </row>
    <row r="5002">
      <c r="A5002" t="n">
        <v>4664</v>
      </c>
      <c r="B5002" t="inlineStr">
        <is>
          <t>A-497_2C__35</t>
        </is>
      </c>
      <c r="C5002" t="n">
        <v>37.2676954738</v>
      </c>
      <c r="D5002" t="n">
        <v>-6.96582409099</v>
      </c>
      <c r="E5002" t="n">
        <v>5</v>
      </c>
      <c r="F5002" t="n">
        <v>3</v>
      </c>
      <c r="G5002" t="n">
        <v>3</v>
      </c>
      <c r="H5002" t="n">
        <v>3</v>
      </c>
      <c r="I5002" t="n">
        <v>3</v>
      </c>
      <c r="J5002" t="inlineStr">
        <is>
          <t>Mediana</t>
        </is>
      </c>
      <c r="K5002" t="n">
        <v>3</v>
      </c>
      <c r="L5002" t="n">
        <v>2.89</v>
      </c>
      <c r="M5002" t="n">
        <v>0</v>
      </c>
      <c r="N5002" t="inlineStr">
        <is>
          <t>train</t>
        </is>
      </c>
      <c r="O5002">
        <f>HYPERLINK("NoConsenso\marker_537_654534.png", "Ver Imagen")</f>
        <v/>
      </c>
      <c r="P5002">
        <f>HYPERLINK("SE\A-497_2C\A-497_2C__35.png", "Ver Imagen")</f>
        <v/>
      </c>
    </row>
    <row r="5003">
      <c r="A5003" t="n">
        <v>4665</v>
      </c>
      <c r="B5003" t="inlineStr">
        <is>
          <t>A-497_2C__38</t>
        </is>
      </c>
      <c r="C5003" t="n">
        <v>37.2677313869</v>
      </c>
      <c r="D5003" t="n">
        <v>-6.96661008035</v>
      </c>
      <c r="E5003" t="n">
        <v>5</v>
      </c>
      <c r="F5003" t="n">
        <v>3</v>
      </c>
      <c r="G5003" t="n">
        <v>3</v>
      </c>
      <c r="H5003" t="n">
        <v>3</v>
      </c>
      <c r="I5003" t="n">
        <v>4</v>
      </c>
      <c r="J5003" t="inlineStr">
        <is>
          <t>Mediana</t>
        </is>
      </c>
      <c r="K5003" t="n">
        <v>3</v>
      </c>
      <c r="L5003" t="n">
        <v>3.131</v>
      </c>
      <c r="M5003" t="n">
        <v>0</v>
      </c>
      <c r="N5003" t="inlineStr">
        <is>
          <t>train</t>
        </is>
      </c>
      <c r="O5003">
        <f>HYPERLINK("NoConsenso\marker_211_654629.png", "Ver Imagen")</f>
        <v/>
      </c>
      <c r="P5003">
        <f>HYPERLINK("SE\A-497_2C\A-497_2C__38.png", "Ver Imagen")</f>
        <v/>
      </c>
    </row>
    <row r="5004">
      <c r="A5004" t="n">
        <v>4666</v>
      </c>
      <c r="B5004" t="inlineStr">
        <is>
          <t>A-497_2C__39</t>
        </is>
      </c>
      <c r="C5004" t="n">
        <v>37.2677456084</v>
      </c>
      <c r="D5004" t="n">
        <v>-6.96687353913</v>
      </c>
      <c r="E5004" t="n">
        <v>5</v>
      </c>
      <c r="F5004" t="n">
        <v>3</v>
      </c>
      <c r="G5004" t="n">
        <v>3</v>
      </c>
      <c r="H5004" t="n">
        <v>3</v>
      </c>
      <c r="I5004" t="n">
        <v>4</v>
      </c>
      <c r="J5004" t="inlineStr">
        <is>
          <t>Mediana</t>
        </is>
      </c>
      <c r="K5004" t="n">
        <v>3</v>
      </c>
      <c r="L5004" t="n">
        <v>3.323</v>
      </c>
      <c r="M5004" t="n">
        <v>0</v>
      </c>
      <c r="N5004" t="inlineStr">
        <is>
          <t>train</t>
        </is>
      </c>
      <c r="O5004">
        <f>HYPERLINK("NoConsenso\marker_225_654638.png", "Ver Imagen")</f>
        <v/>
      </c>
      <c r="P5004">
        <f>HYPERLINK("SE\A-497_2C\A-497_2C__39.png", "Ver Imagen")</f>
        <v/>
      </c>
    </row>
    <row r="5005">
      <c r="A5005" t="n">
        <v>4667</v>
      </c>
      <c r="B5005" t="inlineStr">
        <is>
          <t>A-497_2C__43</t>
        </is>
      </c>
      <c r="C5005" t="n">
        <v>37.2678137294</v>
      </c>
      <c r="D5005" t="n">
        <v>-6.96787423494</v>
      </c>
      <c r="E5005" t="n">
        <v>5</v>
      </c>
      <c r="F5005" t="n">
        <v>3</v>
      </c>
      <c r="G5005" t="n">
        <v>3</v>
      </c>
      <c r="H5005" t="n">
        <v>3</v>
      </c>
      <c r="I5005" t="n">
        <v>3</v>
      </c>
      <c r="J5005" t="inlineStr">
        <is>
          <t>Mediana</t>
        </is>
      </c>
      <c r="K5005" t="n">
        <v>3</v>
      </c>
      <c r="L5005" t="n">
        <v>3.084</v>
      </c>
      <c r="M5005" t="n">
        <v>0</v>
      </c>
      <c r="N5005" t="inlineStr">
        <is>
          <t>train</t>
        </is>
      </c>
      <c r="O5005">
        <f>HYPERLINK("NoConsenso\marker_597_654674.png", "Ver Imagen")</f>
        <v/>
      </c>
      <c r="P5005">
        <f>HYPERLINK("SE\A-497_2C\A-497_2C__43.png", "Ver Imagen")</f>
        <v/>
      </c>
    </row>
    <row r="5006">
      <c r="A5006" t="n">
        <v>4669</v>
      </c>
      <c r="B5006" t="inlineStr">
        <is>
          <t>A-497_2C__63</t>
        </is>
      </c>
      <c r="C5006" t="n">
        <v>37.268463123</v>
      </c>
      <c r="D5006" t="n">
        <v>-6.97288276241</v>
      </c>
      <c r="E5006" t="n">
        <v>5</v>
      </c>
      <c r="F5006" t="n">
        <v>3</v>
      </c>
      <c r="G5006" t="n">
        <v>3</v>
      </c>
      <c r="H5006" t="n">
        <v>3</v>
      </c>
      <c r="I5006" t="n">
        <v>3</v>
      </c>
      <c r="J5006" t="inlineStr">
        <is>
          <t>Mediana</t>
        </is>
      </c>
      <c r="K5006" t="n">
        <v>3</v>
      </c>
      <c r="L5006" t="n">
        <v>3.464</v>
      </c>
      <c r="M5006" t="n">
        <v>0</v>
      </c>
      <c r="N5006" t="inlineStr">
        <is>
          <t>val</t>
        </is>
      </c>
      <c r="O5006">
        <f>HYPERLINK("NoConsenso\marker_830_654901.png", "Ver Imagen")</f>
        <v/>
      </c>
      <c r="P5006">
        <f>HYPERLINK("SE\A-497_2C\A-497_2C__63.png", "Ver Imagen")</f>
        <v/>
      </c>
    </row>
    <row r="5007">
      <c r="A5007" t="n">
        <v>4670</v>
      </c>
      <c r="B5007" t="inlineStr">
        <is>
          <t>A-497_2C__69</t>
        </is>
      </c>
      <c r="C5007" t="n">
        <v>37.2687520588</v>
      </c>
      <c r="D5007" t="n">
        <v>-6.97432757649</v>
      </c>
      <c r="E5007" t="n">
        <v>4</v>
      </c>
      <c r="F5007" t="n">
        <v>3</v>
      </c>
      <c r="G5007" t="n">
        <v>2</v>
      </c>
      <c r="H5007" t="n">
        <v>2</v>
      </c>
      <c r="I5007" t="n">
        <v>2</v>
      </c>
      <c r="J5007" t="inlineStr">
        <is>
          <t>Mediana</t>
        </is>
      </c>
      <c r="K5007" t="n">
        <v>2</v>
      </c>
      <c r="L5007" t="n">
        <v>1.973</v>
      </c>
      <c r="M5007" t="n">
        <v>0</v>
      </c>
      <c r="N5007" t="inlineStr">
        <is>
          <t>train</t>
        </is>
      </c>
      <c r="O5007">
        <f>HYPERLINK("NoConsenso\marker_238_654957.png", "Ver Imagen")</f>
        <v/>
      </c>
      <c r="P5007">
        <f>HYPERLINK("SE\A-497_2C\A-497_2C__69.png", "Ver Imagen")</f>
        <v/>
      </c>
    </row>
    <row r="5008">
      <c r="A5008" t="n">
        <v>4671</v>
      </c>
      <c r="B5008" t="inlineStr">
        <is>
          <t>A-497_2C__94</t>
        </is>
      </c>
      <c r="C5008" t="n">
        <v>37.2703754602</v>
      </c>
      <c r="D5008" t="n">
        <v>-6.9803482128</v>
      </c>
      <c r="E5008" t="n">
        <v>5</v>
      </c>
      <c r="F5008" t="n">
        <v>3</v>
      </c>
      <c r="G5008" t="n">
        <v>3</v>
      </c>
      <c r="H5008" t="n">
        <v>3</v>
      </c>
      <c r="I5008" t="n">
        <v>3</v>
      </c>
      <c r="J5008" t="inlineStr">
        <is>
          <t>Mediana</t>
        </is>
      </c>
      <c r="K5008" t="n">
        <v>3</v>
      </c>
      <c r="L5008" t="n">
        <v>2.8</v>
      </c>
      <c r="M5008" t="n">
        <v>0</v>
      </c>
      <c r="N5008" t="inlineStr">
        <is>
          <t>train</t>
        </is>
      </c>
      <c r="O5008">
        <f>HYPERLINK("NoConsenso\marker_281_655322.png", "Ver Imagen")</f>
        <v/>
      </c>
      <c r="P5008">
        <f>HYPERLINK("SE\A-497_2C\A-497_2C__94.png", "Ver Imagen")</f>
        <v/>
      </c>
    </row>
    <row r="5009">
      <c r="A5009" t="n">
        <v>4672</v>
      </c>
      <c r="B5009" t="inlineStr">
        <is>
          <t>A-497_2C__108</t>
        </is>
      </c>
      <c r="C5009" t="n">
        <v>37.2713308663</v>
      </c>
      <c r="D5009" t="n">
        <v>-6.98366587063</v>
      </c>
      <c r="E5009" t="n">
        <v>5</v>
      </c>
      <c r="F5009" t="n">
        <v>4</v>
      </c>
      <c r="G5009" t="n">
        <v>3</v>
      </c>
      <c r="H5009" t="n">
        <v>4</v>
      </c>
      <c r="I5009" t="n">
        <v>4</v>
      </c>
      <c r="J5009" t="inlineStr">
        <is>
          <t>Mediana</t>
        </is>
      </c>
      <c r="K5009" t="n">
        <v>4</v>
      </c>
      <c r="L5009" t="n">
        <v>3.592</v>
      </c>
      <c r="M5009" t="n">
        <v>0</v>
      </c>
      <c r="N5009" t="inlineStr">
        <is>
          <t>train</t>
        </is>
      </c>
      <c r="O5009">
        <f>HYPERLINK("NoConsenso\marker_596_655517.png", "Ver Imagen")</f>
        <v/>
      </c>
      <c r="P5009">
        <f>HYPERLINK("SE\A-497_2C\A-497_2C__108.png", "Ver Imagen")</f>
        <v/>
      </c>
    </row>
    <row r="5010">
      <c r="A5010" t="n">
        <v>4673</v>
      </c>
      <c r="B5010" t="inlineStr">
        <is>
          <t>A-497__750</t>
        </is>
      </c>
      <c r="C5010" t="n">
        <v>37.1872379232</v>
      </c>
      <c r="D5010" t="n">
        <v>-6.97907327262</v>
      </c>
      <c r="E5010" t="n">
        <v>5</v>
      </c>
      <c r="F5010" t="n">
        <v>4</v>
      </c>
      <c r="G5010" t="n">
        <v>3</v>
      </c>
      <c r="H5010" t="n">
        <v>4</v>
      </c>
      <c r="I5010" t="n">
        <v>3</v>
      </c>
      <c r="J5010" t="inlineStr">
        <is>
          <t>Mediana</t>
        </is>
      </c>
      <c r="K5010" t="n">
        <v>4</v>
      </c>
      <c r="L5010" t="n">
        <v>3.872</v>
      </c>
      <c r="M5010" t="n">
        <v>0</v>
      </c>
      <c r="N5010" t="inlineStr">
        <is>
          <t>train</t>
        </is>
      </c>
      <c r="O5010">
        <f>HYPERLINK("NoConsenso\marker_739_368689.png", "Ver Imagen")</f>
        <v/>
      </c>
      <c r="P5010">
        <f>HYPERLINK("SE\A-497\A-497__750.png", "Ver Imagen")</f>
        <v/>
      </c>
    </row>
    <row r="5011">
      <c r="A5011" t="n">
        <v>4674</v>
      </c>
      <c r="B5011" t="inlineStr">
        <is>
          <t>A-497_2C__147</t>
        </is>
      </c>
      <c r="C5011" t="n">
        <v>37.2679976301</v>
      </c>
      <c r="D5011" t="n">
        <v>-6.99105583283</v>
      </c>
      <c r="E5011" t="n">
        <v>4</v>
      </c>
      <c r="F5011" t="n">
        <v>2</v>
      </c>
      <c r="G5011" t="n">
        <v>3</v>
      </c>
      <c r="H5011" t="n">
        <v>3</v>
      </c>
      <c r="I5011" t="n">
        <v>1</v>
      </c>
      <c r="J5011" t="inlineStr">
        <is>
          <t>Mediana</t>
        </is>
      </c>
      <c r="K5011" t="n">
        <v>3</v>
      </c>
      <c r="L5011" t="n">
        <v>3.076</v>
      </c>
      <c r="M5011" t="n">
        <v>0</v>
      </c>
      <c r="N5011" t="inlineStr">
        <is>
          <t>train</t>
        </is>
      </c>
      <c r="O5011">
        <f>HYPERLINK("NoConsenso\marker_978_655943.png", "Ver Imagen")</f>
        <v/>
      </c>
      <c r="P5011">
        <f>HYPERLINK("SE\A-497_2C\A-497_2C__147.png", "Ver Imagen")</f>
        <v/>
      </c>
    </row>
    <row r="5012">
      <c r="A5012" t="n">
        <v>4675</v>
      </c>
      <c r="B5012" t="inlineStr">
        <is>
          <t>A-497_2C__151</t>
        </is>
      </c>
      <c r="C5012" t="n">
        <v>37.2673132472</v>
      </c>
      <c r="D5012" t="n">
        <v>-6.99159571326</v>
      </c>
      <c r="E5012" t="n">
        <v>5</v>
      </c>
      <c r="F5012" t="n">
        <v>3</v>
      </c>
      <c r="G5012" t="n">
        <v>3</v>
      </c>
      <c r="H5012" t="n">
        <v>3</v>
      </c>
      <c r="I5012" t="n">
        <v>2</v>
      </c>
      <c r="J5012" t="inlineStr">
        <is>
          <t>Mediana</t>
        </is>
      </c>
      <c r="K5012" t="n">
        <v>3</v>
      </c>
      <c r="L5012" t="n">
        <v>3.461</v>
      </c>
      <c r="M5012" t="n">
        <v>0</v>
      </c>
      <c r="N5012" t="inlineStr">
        <is>
          <t>test</t>
        </is>
      </c>
      <c r="O5012">
        <f>HYPERLINK("NoConsenso\marker_924_656012.png", "Ver Imagen")</f>
        <v/>
      </c>
      <c r="P5012">
        <f>HYPERLINK("SE\A-497_2C\A-497_2C__151.png", "Ver Imagen")</f>
        <v/>
      </c>
    </row>
    <row r="5013">
      <c r="A5013" t="n">
        <v>4676</v>
      </c>
      <c r="B5013" t="inlineStr">
        <is>
          <t>A-497_2C__162</t>
        </is>
      </c>
      <c r="C5013" t="n">
        <v>37.2659811081</v>
      </c>
      <c r="D5013" t="n">
        <v>-6.99375332367</v>
      </c>
      <c r="E5013" t="n">
        <v>2</v>
      </c>
      <c r="F5013" t="n">
        <v>4</v>
      </c>
      <c r="G5013" t="n">
        <v>3</v>
      </c>
      <c r="H5013" t="n">
        <v>4</v>
      </c>
      <c r="I5013" t="n">
        <v>3</v>
      </c>
      <c r="J5013" t="inlineStr">
        <is>
          <t>Mediana</t>
        </is>
      </c>
      <c r="K5013" t="n">
        <v>3</v>
      </c>
      <c r="L5013" t="n">
        <v>2.997</v>
      </c>
      <c r="M5013" t="n">
        <v>0</v>
      </c>
      <c r="N5013" t="inlineStr">
        <is>
          <t>train</t>
        </is>
      </c>
      <c r="O5013">
        <f>HYPERLINK("NoConsenso\marker_220_656119.png", "Ver Imagen")</f>
        <v/>
      </c>
      <c r="P5013">
        <f>HYPERLINK("SE\A-497_2C\A-497_2C__162.png", "Ver Imagen")</f>
        <v/>
      </c>
    </row>
    <row r="5014">
      <c r="A5014" t="n">
        <v>4677</v>
      </c>
      <c r="B5014" t="inlineStr">
        <is>
          <t>A-497_2C__166</t>
        </is>
      </c>
      <c r="C5014" t="n">
        <v>37.2657455874</v>
      </c>
      <c r="D5014" t="n">
        <v>-6.99470961753</v>
      </c>
      <c r="E5014" t="n">
        <v>2</v>
      </c>
      <c r="F5014" t="n">
        <v>4</v>
      </c>
      <c r="G5014" t="n">
        <v>3</v>
      </c>
      <c r="H5014" t="n">
        <v>3</v>
      </c>
      <c r="I5014" t="n">
        <v>2</v>
      </c>
      <c r="J5014" t="inlineStr">
        <is>
          <t>Mediana</t>
        </is>
      </c>
      <c r="K5014" t="n">
        <v>3</v>
      </c>
      <c r="L5014" t="n">
        <v>2.86</v>
      </c>
      <c r="M5014" t="n">
        <v>0</v>
      </c>
      <c r="N5014" t="inlineStr">
        <is>
          <t>val</t>
        </is>
      </c>
      <c r="O5014">
        <f>HYPERLINK("NoConsenso\marker_850_656158.png", "Ver Imagen")</f>
        <v/>
      </c>
      <c r="P5014">
        <f>HYPERLINK("SE\A-497_2C\A-497_2C__166.png", "Ver Imagen")</f>
        <v/>
      </c>
    </row>
    <row r="5015">
      <c r="A5015" t="n">
        <v>4678</v>
      </c>
      <c r="B5015" t="inlineStr">
        <is>
          <t>A-497__704</t>
        </is>
      </c>
      <c r="C5015" t="n">
        <v>37.1960571441</v>
      </c>
      <c r="D5015" t="n">
        <v>-6.97845326821</v>
      </c>
      <c r="E5015" t="n">
        <v>2</v>
      </c>
      <c r="F5015" t="n">
        <v>4</v>
      </c>
      <c r="G5015" t="n">
        <v>4</v>
      </c>
      <c r="H5015" t="n">
        <v>3</v>
      </c>
      <c r="I5015" t="n">
        <v>3</v>
      </c>
      <c r="J5015" t="inlineStr">
        <is>
          <t>Mediana</t>
        </is>
      </c>
      <c r="K5015" t="n">
        <v>3</v>
      </c>
      <c r="L5015" t="n">
        <v>2.87</v>
      </c>
      <c r="M5015" t="n">
        <v>0</v>
      </c>
      <c r="N5015" t="inlineStr">
        <is>
          <t>train</t>
        </is>
      </c>
      <c r="O5015">
        <f>HYPERLINK("NoConsenso\marker_378_370341.png", "Ver Imagen")</f>
        <v/>
      </c>
      <c r="P5015">
        <f>HYPERLINK("SE\A-497\A-497__704.png", "Ver Imagen")</f>
        <v/>
      </c>
    </row>
    <row r="5016">
      <c r="A5016" t="n">
        <v>4679</v>
      </c>
      <c r="B5016" t="inlineStr">
        <is>
          <t>A-497__703</t>
        </is>
      </c>
      <c r="C5016" t="n">
        <v>37.1962644039</v>
      </c>
      <c r="D5016" t="n">
        <v>-6.97859846361</v>
      </c>
      <c r="E5016" t="n">
        <v>2</v>
      </c>
      <c r="F5016" t="n">
        <v>4</v>
      </c>
      <c r="G5016" t="n">
        <v>4</v>
      </c>
      <c r="H5016" t="n">
        <v>3</v>
      </c>
      <c r="I5016" t="n">
        <v>3</v>
      </c>
      <c r="J5016" t="inlineStr">
        <is>
          <t>Mediana</t>
        </is>
      </c>
      <c r="K5016" t="n">
        <v>3</v>
      </c>
      <c r="L5016" t="n">
        <v>3.065</v>
      </c>
      <c r="M5016" t="n">
        <v>0</v>
      </c>
      <c r="N5016" t="inlineStr">
        <is>
          <t>train</t>
        </is>
      </c>
      <c r="O5016">
        <f>HYPERLINK("NoConsenso\marker_305_370350.png", "Ver Imagen")</f>
        <v/>
      </c>
      <c r="P5016">
        <f>HYPERLINK("SE\A-497\A-497__703.png", "Ver Imagen")</f>
        <v/>
      </c>
    </row>
    <row r="5017">
      <c r="A5017" t="n">
        <v>4680</v>
      </c>
      <c r="B5017" t="inlineStr">
        <is>
          <t>A-497__681</t>
        </is>
      </c>
      <c r="C5017" t="n">
        <v>37.1991148925</v>
      </c>
      <c r="D5017" t="n">
        <v>-6.98271496625</v>
      </c>
      <c r="E5017" t="n">
        <v>5</v>
      </c>
      <c r="F5017" t="n">
        <v>4</v>
      </c>
      <c r="G5017" t="n">
        <v>3</v>
      </c>
      <c r="H5017" t="n">
        <v>3</v>
      </c>
      <c r="I5017" t="n">
        <v>3</v>
      </c>
      <c r="J5017" t="inlineStr">
        <is>
          <t>Mediana</t>
        </is>
      </c>
      <c r="K5017" t="n">
        <v>3</v>
      </c>
      <c r="L5017" t="n">
        <v>2.928</v>
      </c>
      <c r="M5017" t="n">
        <v>0</v>
      </c>
      <c r="N5017" t="inlineStr">
        <is>
          <t>train</t>
        </is>
      </c>
      <c r="O5017">
        <f>HYPERLINK("NoConsenso\marker_334_370566.png", "Ver Imagen")</f>
        <v/>
      </c>
      <c r="P5017">
        <f>HYPERLINK("SE\A-497\A-497__681.png", "Ver Imagen")</f>
        <v/>
      </c>
    </row>
    <row r="5018">
      <c r="A5018" t="n">
        <v>4683</v>
      </c>
      <c r="B5018" t="inlineStr">
        <is>
          <t>A-497__650</t>
        </is>
      </c>
      <c r="C5018" t="n">
        <v>37.2010098812</v>
      </c>
      <c r="D5018" t="n">
        <v>-6.99020960596</v>
      </c>
      <c r="E5018" t="n">
        <v>2</v>
      </c>
      <c r="F5018" t="n">
        <v>3</v>
      </c>
      <c r="G5018" t="n">
        <v>4</v>
      </c>
      <c r="H5018" t="n">
        <v>2</v>
      </c>
      <c r="I5018" t="n">
        <v>2</v>
      </c>
      <c r="J5018" t="inlineStr">
        <is>
          <t>Mediana</t>
        </is>
      </c>
      <c r="K5018" t="n">
        <v>2</v>
      </c>
      <c r="L5018" t="n">
        <v>2.052</v>
      </c>
      <c r="M5018" t="n">
        <v>0</v>
      </c>
      <c r="N5018" t="inlineStr">
        <is>
          <t>train</t>
        </is>
      </c>
      <c r="O5018">
        <f>HYPERLINK("NoConsenso\marker_558_371237.png", "Ver Imagen")</f>
        <v/>
      </c>
      <c r="P5018">
        <f>HYPERLINK("SE\A-497\A-497__650.png", "Ver Imagen")</f>
        <v/>
      </c>
    </row>
    <row r="5019">
      <c r="A5019" t="n">
        <v>4684</v>
      </c>
      <c r="B5019" t="inlineStr">
        <is>
          <t>A-497__643</t>
        </is>
      </c>
      <c r="C5019" t="n">
        <v>37.2013591391</v>
      </c>
      <c r="D5019" t="n">
        <v>-6.99194415676</v>
      </c>
      <c r="E5019" t="n">
        <v>2</v>
      </c>
      <c r="F5019" t="n">
        <v>3</v>
      </c>
      <c r="G5019" t="n">
        <v>4</v>
      </c>
      <c r="H5019" t="n">
        <v>2</v>
      </c>
      <c r="I5019" t="n">
        <v>2</v>
      </c>
      <c r="J5019" t="inlineStr">
        <is>
          <t>Mediana</t>
        </is>
      </c>
      <c r="K5019" t="n">
        <v>2</v>
      </c>
      <c r="L5019" t="n">
        <v>2.336</v>
      </c>
      <c r="M5019" t="n">
        <v>0</v>
      </c>
      <c r="N5019" t="inlineStr">
        <is>
          <t>train</t>
        </is>
      </c>
      <c r="O5019">
        <f>HYPERLINK("NoConsenso\marker_904_371300.png", "Ver Imagen")</f>
        <v/>
      </c>
      <c r="P5019">
        <f>HYPERLINK("SE\A-497\A-497__643.png", "Ver Imagen")</f>
        <v/>
      </c>
    </row>
    <row r="5020">
      <c r="A5020" t="n">
        <v>4685</v>
      </c>
      <c r="B5020" t="inlineStr">
        <is>
          <t>A-497__642</t>
        </is>
      </c>
      <c r="C5020" t="n">
        <v>37.2014027934</v>
      </c>
      <c r="D5020" t="n">
        <v>-6.99217963719</v>
      </c>
      <c r="E5020" t="n">
        <v>5</v>
      </c>
      <c r="F5020" t="n">
        <v>3</v>
      </c>
      <c r="G5020" t="n">
        <v>4</v>
      </c>
      <c r="H5020" t="n">
        <v>2</v>
      </c>
      <c r="I5020" t="n">
        <v>2</v>
      </c>
      <c r="J5020" t="inlineStr">
        <is>
          <t>Mediana</t>
        </is>
      </c>
      <c r="K5020" t="n">
        <v>3</v>
      </c>
      <c r="L5020" t="n">
        <v>3.03</v>
      </c>
      <c r="M5020" t="n">
        <v>0</v>
      </c>
      <c r="N5020" t="inlineStr">
        <is>
          <t>train</t>
        </is>
      </c>
      <c r="O5020">
        <f>HYPERLINK("NoConsenso\marker_521_371313.png", "Ver Imagen")</f>
        <v/>
      </c>
      <c r="P5020">
        <f>HYPERLINK("SE\A-497\A-497__642.png", "Ver Imagen")</f>
        <v/>
      </c>
    </row>
    <row r="5021">
      <c r="A5021" t="n">
        <v>4686</v>
      </c>
      <c r="B5021" t="inlineStr">
        <is>
          <t>A-497__640</t>
        </is>
      </c>
      <c r="C5021" t="n">
        <v>37.2014891694</v>
      </c>
      <c r="D5021" t="n">
        <v>-6.99265404127</v>
      </c>
      <c r="E5021" t="n">
        <v>2</v>
      </c>
      <c r="F5021" t="n">
        <v>3</v>
      </c>
      <c r="G5021" t="n">
        <v>4</v>
      </c>
      <c r="H5021" t="n">
        <v>3</v>
      </c>
      <c r="I5021" t="n">
        <v>2</v>
      </c>
      <c r="J5021" t="inlineStr">
        <is>
          <t>Mediana</t>
        </is>
      </c>
      <c r="K5021" t="n">
        <v>3</v>
      </c>
      <c r="L5021" t="n">
        <v>3.061</v>
      </c>
      <c r="M5021" t="n">
        <v>0</v>
      </c>
      <c r="N5021" t="inlineStr">
        <is>
          <t>train</t>
        </is>
      </c>
      <c r="O5021">
        <f>HYPERLINK("NoConsenso\marker_345_371329.png", "Ver Imagen")</f>
        <v/>
      </c>
      <c r="P5021">
        <f>HYPERLINK("SE\A-497\A-497__640.png", "Ver Imagen")</f>
        <v/>
      </c>
    </row>
    <row r="5022">
      <c r="A5022" t="n">
        <v>4687</v>
      </c>
      <c r="B5022" t="inlineStr">
        <is>
          <t>A-497__614</t>
        </is>
      </c>
      <c r="C5022" t="n">
        <v>37.2025487168</v>
      </c>
      <c r="D5022" t="n">
        <v>-6.99916370253</v>
      </c>
      <c r="E5022" t="n">
        <v>5</v>
      </c>
      <c r="F5022" t="n">
        <v>3</v>
      </c>
      <c r="G5022" t="n">
        <v>3</v>
      </c>
      <c r="H5022" t="n">
        <v>3</v>
      </c>
      <c r="I5022" t="n">
        <v>3</v>
      </c>
      <c r="J5022" t="inlineStr">
        <is>
          <t>Mediana</t>
        </is>
      </c>
      <c r="K5022" t="n">
        <v>3</v>
      </c>
      <c r="L5022" t="n">
        <v>3.134</v>
      </c>
      <c r="M5022" t="n">
        <v>0</v>
      </c>
      <c r="N5022" t="inlineStr">
        <is>
          <t>train</t>
        </is>
      </c>
      <c r="O5022">
        <f>HYPERLINK("NoConsenso\marker_129_371585.png", "Ver Imagen")</f>
        <v/>
      </c>
      <c r="P5022">
        <f>HYPERLINK("SE\A-497\A-497__614.png", "Ver Imagen")</f>
        <v/>
      </c>
    </row>
    <row r="5023">
      <c r="A5023" t="n">
        <v>4688</v>
      </c>
      <c r="B5023" t="inlineStr">
        <is>
          <t>A-497__603</t>
        </is>
      </c>
      <c r="C5023" t="n">
        <v>37.2028848677</v>
      </c>
      <c r="D5023" t="n">
        <v>-7.00187438099</v>
      </c>
      <c r="E5023" t="n">
        <v>5</v>
      </c>
      <c r="F5023" t="n">
        <v>4</v>
      </c>
      <c r="G5023" t="n">
        <v>3</v>
      </c>
      <c r="H5023" t="n">
        <v>3</v>
      </c>
      <c r="I5023" t="n">
        <v>4</v>
      </c>
      <c r="J5023" t="inlineStr">
        <is>
          <t>Mediana</t>
        </is>
      </c>
      <c r="K5023" t="n">
        <v>4</v>
      </c>
      <c r="L5023" t="n">
        <v>3.674</v>
      </c>
      <c r="M5023" t="n">
        <v>0</v>
      </c>
      <c r="N5023" t="inlineStr">
        <is>
          <t>train</t>
        </is>
      </c>
      <c r="O5023">
        <f>HYPERLINK("NoConsenso\marker_601_371686.png", "Ver Imagen")</f>
        <v/>
      </c>
      <c r="P5023">
        <f>HYPERLINK("SE\A-497\A-497__603.png", "Ver Imagen")</f>
        <v/>
      </c>
    </row>
    <row r="5024">
      <c r="A5024" t="n">
        <v>4690</v>
      </c>
      <c r="B5024" t="inlineStr">
        <is>
          <t>A-497__585</t>
        </is>
      </c>
      <c r="C5024" t="n">
        <v>37.2034180975</v>
      </c>
      <c r="D5024" t="n">
        <v>-7.00638205074</v>
      </c>
      <c r="E5024" t="n">
        <v>5</v>
      </c>
      <c r="F5024" t="n">
        <v>3</v>
      </c>
      <c r="G5024" t="n">
        <v>4</v>
      </c>
      <c r="H5024" t="n">
        <v>3</v>
      </c>
      <c r="I5024" t="n">
        <v>3</v>
      </c>
      <c r="J5024" t="inlineStr">
        <is>
          <t>Mediana</t>
        </is>
      </c>
      <c r="K5024" t="n">
        <v>3</v>
      </c>
      <c r="L5024" t="n">
        <v>3.17</v>
      </c>
      <c r="M5024" t="n">
        <v>0</v>
      </c>
      <c r="N5024" t="inlineStr">
        <is>
          <t>val</t>
        </is>
      </c>
      <c r="O5024">
        <f>HYPERLINK("NoConsenso\marker_856_371879.png", "Ver Imagen")</f>
        <v/>
      </c>
      <c r="P5024">
        <f>HYPERLINK("SE\A-497\A-497__585.png", "Ver Imagen")</f>
        <v/>
      </c>
    </row>
    <row r="5025">
      <c r="A5025" t="n">
        <v>4692</v>
      </c>
      <c r="B5025" t="inlineStr">
        <is>
          <t>A-497__580</t>
        </is>
      </c>
      <c r="C5025" t="n">
        <v>37.2035981076</v>
      </c>
      <c r="D5025" t="n">
        <v>-7.00767100283</v>
      </c>
      <c r="E5025" t="n">
        <v>5</v>
      </c>
      <c r="F5025" t="n">
        <v>3</v>
      </c>
      <c r="G5025" t="n">
        <v>4</v>
      </c>
      <c r="H5025" t="n">
        <v>2</v>
      </c>
      <c r="I5025" t="n">
        <v>2</v>
      </c>
      <c r="J5025" t="inlineStr">
        <is>
          <t>Mediana</t>
        </is>
      </c>
      <c r="K5025" t="n">
        <v>3</v>
      </c>
      <c r="L5025" t="n">
        <v>2.984</v>
      </c>
      <c r="M5025" t="n">
        <v>0</v>
      </c>
      <c r="N5025" t="inlineStr">
        <is>
          <t>train</t>
        </is>
      </c>
      <c r="O5025">
        <f>HYPERLINK("NoConsenso\marker_277_371925.png", "Ver Imagen")</f>
        <v/>
      </c>
      <c r="P5025">
        <f>HYPERLINK("SE\A-497\A-497__580.png", "Ver Imagen")</f>
        <v/>
      </c>
    </row>
    <row r="5026">
      <c r="A5026" t="n">
        <v>4693</v>
      </c>
      <c r="B5026" t="inlineStr">
        <is>
          <t>A-497__578</t>
        </is>
      </c>
      <c r="C5026" t="n">
        <v>37.2036654593</v>
      </c>
      <c r="D5026" t="n">
        <v>-7.00811354053</v>
      </c>
      <c r="E5026" t="n">
        <v>5</v>
      </c>
      <c r="F5026" t="n">
        <v>3</v>
      </c>
      <c r="G5026" t="n">
        <v>3</v>
      </c>
      <c r="H5026" t="n">
        <v>3</v>
      </c>
      <c r="I5026" t="n">
        <v>3</v>
      </c>
      <c r="J5026" t="inlineStr">
        <is>
          <t>Mediana</t>
        </is>
      </c>
      <c r="K5026" t="n">
        <v>3</v>
      </c>
      <c r="L5026" t="n">
        <v>2.892</v>
      </c>
      <c r="M5026" t="n">
        <v>0</v>
      </c>
      <c r="N5026" t="inlineStr">
        <is>
          <t>train</t>
        </is>
      </c>
      <c r="O5026">
        <f>HYPERLINK("NoConsenso\marker_446_371943.png", "Ver Imagen")</f>
        <v/>
      </c>
      <c r="P5026">
        <f>HYPERLINK("SE\A-497\A-497__578.png", "Ver Imagen")</f>
        <v/>
      </c>
    </row>
    <row r="5027">
      <c r="A5027" t="n">
        <v>4695</v>
      </c>
      <c r="B5027" t="inlineStr">
        <is>
          <t>A-497__576</t>
        </is>
      </c>
      <c r="C5027" t="n">
        <v>37.2037458399</v>
      </c>
      <c r="D5027" t="n">
        <v>-7.00864793948</v>
      </c>
      <c r="E5027" t="n">
        <v>5</v>
      </c>
      <c r="F5027" t="n">
        <v>3</v>
      </c>
      <c r="G5027" t="n">
        <v>4</v>
      </c>
      <c r="H5027" t="n">
        <v>2</v>
      </c>
      <c r="I5027" t="n">
        <v>2</v>
      </c>
      <c r="J5027" t="inlineStr">
        <is>
          <t>Mediana</t>
        </is>
      </c>
      <c r="K5027" t="n">
        <v>3</v>
      </c>
      <c r="L5027" t="n">
        <v>2.968</v>
      </c>
      <c r="M5027" t="n">
        <v>0</v>
      </c>
      <c r="N5027" t="inlineStr">
        <is>
          <t>train</t>
        </is>
      </c>
      <c r="O5027">
        <f>HYPERLINK("NoConsenso\marker_236_371963.png", "Ver Imagen")</f>
        <v/>
      </c>
      <c r="P5027">
        <f>HYPERLINK("SE\A-497\A-497__576.png", "Ver Imagen")</f>
        <v/>
      </c>
    </row>
    <row r="5028">
      <c r="A5028" t="n">
        <v>4696</v>
      </c>
      <c r="B5028" t="inlineStr">
        <is>
          <t>A-497__574</t>
        </is>
      </c>
      <c r="C5028" t="n">
        <v>37.2038202266</v>
      </c>
      <c r="D5028" t="n">
        <v>-7.00912590543</v>
      </c>
      <c r="E5028" t="n">
        <v>5</v>
      </c>
      <c r="F5028" t="n">
        <v>3</v>
      </c>
      <c r="G5028" t="n">
        <v>4</v>
      </c>
      <c r="H5028" t="n">
        <v>3</v>
      </c>
      <c r="I5028" t="n">
        <v>3</v>
      </c>
      <c r="J5028" t="inlineStr">
        <is>
          <t>Mediana</t>
        </is>
      </c>
      <c r="K5028" t="n">
        <v>3</v>
      </c>
      <c r="L5028" t="n">
        <v>2.723</v>
      </c>
      <c r="M5028" t="n">
        <v>0</v>
      </c>
      <c r="N5028" t="inlineStr">
        <is>
          <t>train</t>
        </is>
      </c>
      <c r="O5028">
        <f>HYPERLINK("NoConsenso\marker_471_371982.png", "Ver Imagen")</f>
        <v/>
      </c>
      <c r="P5028">
        <f>HYPERLINK("SE\A-497\A-497__574.png", "Ver Imagen")</f>
        <v/>
      </c>
    </row>
    <row r="5029">
      <c r="A5029" t="n">
        <v>4697</v>
      </c>
      <c r="B5029" t="inlineStr">
        <is>
          <t>A-497_2C__291</t>
        </is>
      </c>
      <c r="C5029" t="n">
        <v>37.2512038138</v>
      </c>
      <c r="D5029" t="n">
        <v>-7.01732514769</v>
      </c>
      <c r="E5029" t="n">
        <v>5</v>
      </c>
      <c r="F5029" t="n">
        <v>3</v>
      </c>
      <c r="G5029" t="n">
        <v>4</v>
      </c>
      <c r="H5029" t="n">
        <v>3</v>
      </c>
      <c r="I5029" t="n">
        <v>3</v>
      </c>
      <c r="J5029" t="inlineStr">
        <is>
          <t>Mediana</t>
        </is>
      </c>
      <c r="K5029" t="n">
        <v>3</v>
      </c>
      <c r="L5029" t="n">
        <v>3.377</v>
      </c>
      <c r="M5029" t="n">
        <v>0</v>
      </c>
      <c r="N5029" t="inlineStr">
        <is>
          <t>test</t>
        </is>
      </c>
      <c r="O5029">
        <f>HYPERLINK("NoConsenso\marker_200_320084.png", "Ver Imagen")</f>
        <v/>
      </c>
      <c r="P5029">
        <f>HYPERLINK("SE\A-497_2C\A-497_2C__291.png", "Ver Imagen")</f>
        <v/>
      </c>
    </row>
    <row r="5030">
      <c r="A5030" t="n">
        <v>4698</v>
      </c>
      <c r="B5030" t="inlineStr">
        <is>
          <t>A-497__565</t>
        </is>
      </c>
      <c r="C5030" t="n">
        <v>37.2041855086</v>
      </c>
      <c r="D5030" t="n">
        <v>-7.01133614499</v>
      </c>
      <c r="E5030" t="n">
        <v>5</v>
      </c>
      <c r="F5030" t="n">
        <v>3</v>
      </c>
      <c r="G5030" t="n">
        <v>4</v>
      </c>
      <c r="H5030" t="n">
        <v>3</v>
      </c>
      <c r="I5030" t="n">
        <v>4</v>
      </c>
      <c r="J5030" t="inlineStr">
        <is>
          <t>Mediana</t>
        </is>
      </c>
      <c r="K5030" t="n">
        <v>4</v>
      </c>
      <c r="L5030" t="n">
        <v>3.722</v>
      </c>
      <c r="M5030" t="n">
        <v>0</v>
      </c>
      <c r="N5030" t="inlineStr">
        <is>
          <t>train</t>
        </is>
      </c>
      <c r="O5030">
        <f>HYPERLINK("NoConsenso\marker_457_372091.png", "Ver Imagen")</f>
        <v/>
      </c>
      <c r="P5030">
        <f>HYPERLINK("SE\A-497\A-497__565.png", "Ver Imagen")</f>
        <v/>
      </c>
    </row>
    <row r="5031">
      <c r="A5031" t="n">
        <v>4699</v>
      </c>
      <c r="B5031" t="inlineStr">
        <is>
          <t>A-497_2C__304</t>
        </is>
      </c>
      <c r="C5031" t="n">
        <v>37.2487010357</v>
      </c>
      <c r="D5031" t="n">
        <v>-7.01833926269</v>
      </c>
      <c r="E5031" t="n">
        <v>5</v>
      </c>
      <c r="F5031" t="n">
        <v>3</v>
      </c>
      <c r="G5031" t="n">
        <v>3</v>
      </c>
      <c r="H5031" t="n">
        <v>2</v>
      </c>
      <c r="I5031" t="n">
        <v>2</v>
      </c>
      <c r="J5031" t="inlineStr">
        <is>
          <t>Modificada</t>
        </is>
      </c>
      <c r="K5031" t="n">
        <v>2</v>
      </c>
      <c r="L5031" t="n">
        <v>2.065</v>
      </c>
      <c r="M5031" t="n">
        <v>0</v>
      </c>
      <c r="N5031" t="inlineStr">
        <is>
          <t>train</t>
        </is>
      </c>
      <c r="O5031">
        <f>HYPERLINK("NoConsenso\marker_494_320210.png", "Ver Imagen")</f>
        <v/>
      </c>
      <c r="P5031">
        <f>HYPERLINK("SE\A-497_2C\A-497_2C__304.png", "Ver Imagen")</f>
        <v/>
      </c>
    </row>
    <row r="5032">
      <c r="A5032" t="n">
        <v>4700</v>
      </c>
      <c r="B5032" t="inlineStr">
        <is>
          <t>A-497__540</t>
        </is>
      </c>
      <c r="C5032" t="n">
        <v>37.2054213304</v>
      </c>
      <c r="D5032" t="n">
        <v>-7.01748354574</v>
      </c>
      <c r="E5032" t="n">
        <v>2</v>
      </c>
      <c r="F5032" t="n">
        <v>2</v>
      </c>
      <c r="G5032" t="n">
        <v>4</v>
      </c>
      <c r="H5032" t="n">
        <v>2</v>
      </c>
      <c r="I5032" t="n">
        <v>1</v>
      </c>
      <c r="J5032" t="inlineStr">
        <is>
          <t>Mediana</t>
        </is>
      </c>
      <c r="K5032" t="n">
        <v>2</v>
      </c>
      <c r="L5032" t="n">
        <v>2.078</v>
      </c>
      <c r="M5032" t="n">
        <v>0</v>
      </c>
      <c r="N5032" t="inlineStr">
        <is>
          <t>train</t>
        </is>
      </c>
      <c r="O5032">
        <f>HYPERLINK("NoConsenso\marker_305_372376.png", "Ver Imagen")</f>
        <v/>
      </c>
      <c r="P5032">
        <f>HYPERLINK("SE\A-497\A-497__540.png", "Ver Imagen")</f>
        <v/>
      </c>
    </row>
    <row r="5033">
      <c r="A5033" t="n">
        <v>4701</v>
      </c>
      <c r="B5033" t="inlineStr">
        <is>
          <t>A-497_2C__338</t>
        </is>
      </c>
      <c r="C5033" t="n">
        <v>37.241824241</v>
      </c>
      <c r="D5033" t="n">
        <v>-7.01860236809</v>
      </c>
      <c r="E5033" t="n">
        <v>5</v>
      </c>
      <c r="F5033" t="n">
        <v>3</v>
      </c>
      <c r="G5033" t="n">
        <v>4</v>
      </c>
      <c r="H5033" t="n">
        <v>3</v>
      </c>
      <c r="I5033" t="n">
        <v>3</v>
      </c>
      <c r="J5033" t="inlineStr">
        <is>
          <t>Mediana</t>
        </is>
      </c>
      <c r="K5033" t="n">
        <v>3</v>
      </c>
      <c r="L5033" t="n">
        <v>2.917</v>
      </c>
      <c r="M5033" t="n">
        <v>0</v>
      </c>
      <c r="N5033" t="inlineStr">
        <is>
          <t>train</t>
        </is>
      </c>
      <c r="O5033">
        <f>HYPERLINK("NoConsenso\marker_340_362109.png", "Ver Imagen")</f>
        <v/>
      </c>
      <c r="P5033">
        <f>HYPERLINK("SE\A-497_2C\A-497_2C__338.png", "Ver Imagen")</f>
        <v/>
      </c>
    </row>
    <row r="5034">
      <c r="A5034" t="n">
        <v>4703</v>
      </c>
      <c r="B5034" t="inlineStr">
        <is>
          <t>A-497_2C__344</t>
        </is>
      </c>
      <c r="C5034" t="n">
        <v>37.2406523573</v>
      </c>
      <c r="D5034" t="n">
        <v>-7.01865093342</v>
      </c>
      <c r="E5034" t="n">
        <v>5</v>
      </c>
      <c r="F5034" t="n">
        <v>3</v>
      </c>
      <c r="G5034" t="n">
        <v>3</v>
      </c>
      <c r="H5034" t="n">
        <v>3</v>
      </c>
      <c r="I5034" t="n">
        <v>3</v>
      </c>
      <c r="J5034" t="inlineStr">
        <is>
          <t>Mediana</t>
        </is>
      </c>
      <c r="K5034" t="n">
        <v>3</v>
      </c>
      <c r="L5034" t="n">
        <v>3.117</v>
      </c>
      <c r="M5034" t="n">
        <v>0</v>
      </c>
      <c r="N5034" t="inlineStr">
        <is>
          <t>train</t>
        </is>
      </c>
      <c r="O5034">
        <f>HYPERLINK("NoConsenso\marker_421_362164.png", "Ver Imagen")</f>
        <v/>
      </c>
      <c r="P5034">
        <f>HYPERLINK("SE\A-497_2C\A-497_2C__344.png", "Ver Imagen")</f>
        <v/>
      </c>
    </row>
    <row r="5035">
      <c r="A5035" t="n">
        <v>4704</v>
      </c>
      <c r="B5035" t="inlineStr">
        <is>
          <t>A-497__532</t>
        </is>
      </c>
      <c r="C5035" t="n">
        <v>37.2060501557</v>
      </c>
      <c r="D5035" t="n">
        <v>-7.01937858221</v>
      </c>
      <c r="E5035" t="n">
        <v>4</v>
      </c>
      <c r="F5035" t="n">
        <v>2</v>
      </c>
      <c r="G5035" t="n">
        <v>3</v>
      </c>
      <c r="H5035" t="n">
        <v>3</v>
      </c>
      <c r="I5035" t="n">
        <v>1</v>
      </c>
      <c r="J5035" t="inlineStr">
        <is>
          <t>Mediana</t>
        </is>
      </c>
      <c r="K5035" t="n">
        <v>3</v>
      </c>
      <c r="L5035" t="n">
        <v>2.834</v>
      </c>
      <c r="M5035" t="n">
        <v>0</v>
      </c>
      <c r="N5035" t="inlineStr">
        <is>
          <t>train</t>
        </is>
      </c>
      <c r="O5035">
        <f>HYPERLINK("NoConsenso\marker_501_372482.png", "Ver Imagen")</f>
        <v/>
      </c>
      <c r="P5035">
        <f>HYPERLINK("SE\A-497\A-497__532.png", "Ver Imagen")</f>
        <v/>
      </c>
    </row>
    <row r="5036">
      <c r="A5036" t="n">
        <v>4705</v>
      </c>
      <c r="B5036" t="inlineStr">
        <is>
          <t>A-497__527</t>
        </is>
      </c>
      <c r="C5036" t="n">
        <v>37.2065672635</v>
      </c>
      <c r="D5036" t="n">
        <v>-7.02044860126</v>
      </c>
      <c r="E5036" t="n">
        <v>4</v>
      </c>
      <c r="F5036" t="n">
        <v>2</v>
      </c>
      <c r="G5036" t="n">
        <v>3</v>
      </c>
      <c r="H5036" t="n">
        <v>2</v>
      </c>
      <c r="I5036" t="n">
        <v>2</v>
      </c>
      <c r="J5036" t="inlineStr">
        <is>
          <t>Mediana</t>
        </is>
      </c>
      <c r="K5036" t="n">
        <v>2</v>
      </c>
      <c r="L5036" t="n">
        <v>1.913</v>
      </c>
      <c r="M5036" t="n">
        <v>0</v>
      </c>
      <c r="N5036" t="inlineStr">
        <is>
          <t>train</t>
        </is>
      </c>
      <c r="O5036">
        <f>HYPERLINK("NoConsenso\marker_606_372529.png", "Ver Imagen")</f>
        <v/>
      </c>
      <c r="P5036">
        <f>HYPERLINK("SE\A-497\A-497__527.png", "Ver Imagen")</f>
        <v/>
      </c>
    </row>
    <row r="5037">
      <c r="A5037" t="n">
        <v>4706</v>
      </c>
      <c r="B5037" t="inlineStr">
        <is>
          <t>A-497_2C__367</t>
        </is>
      </c>
      <c r="C5037" t="n">
        <v>37.2359562317</v>
      </c>
      <c r="D5037" t="n">
        <v>-7.01853011067</v>
      </c>
      <c r="E5037" t="n">
        <v>5</v>
      </c>
      <c r="F5037" t="n">
        <v>3</v>
      </c>
      <c r="G5037" t="n">
        <v>4</v>
      </c>
      <c r="H5037" t="n">
        <v>3</v>
      </c>
      <c r="I5037" t="n">
        <v>3</v>
      </c>
      <c r="J5037" t="inlineStr">
        <is>
          <t>Mediana</t>
        </is>
      </c>
      <c r="K5037" t="n">
        <v>3</v>
      </c>
      <c r="L5037" t="n">
        <v>3.48</v>
      </c>
      <c r="M5037" t="n">
        <v>0</v>
      </c>
      <c r="N5037" t="inlineStr">
        <is>
          <t>train</t>
        </is>
      </c>
      <c r="O5037">
        <f>HYPERLINK("NoConsenso\marker_578_362434.png", "Ver Imagen")</f>
        <v/>
      </c>
      <c r="P5037">
        <f>HYPERLINK("SE\A-497_2C\A-497_2C__367.png", "Ver Imagen")</f>
        <v/>
      </c>
    </row>
    <row r="5038">
      <c r="A5038" t="n">
        <v>4707</v>
      </c>
      <c r="B5038" t="inlineStr">
        <is>
          <t>A-497_2C__368</t>
        </is>
      </c>
      <c r="C5038" t="n">
        <v>37.23575758</v>
      </c>
      <c r="D5038" t="n">
        <v>-7.01847814114</v>
      </c>
      <c r="E5038" t="n">
        <v>4</v>
      </c>
      <c r="F5038" t="n">
        <v>2</v>
      </c>
      <c r="G5038" t="n">
        <v>3</v>
      </c>
      <c r="H5038" t="n">
        <v>3</v>
      </c>
      <c r="I5038" t="n">
        <v>2</v>
      </c>
      <c r="J5038" t="inlineStr">
        <is>
          <t>Mediana</t>
        </is>
      </c>
      <c r="K5038" t="n">
        <v>3</v>
      </c>
      <c r="L5038" t="n">
        <v>3.166</v>
      </c>
      <c r="M5038" t="n">
        <v>0</v>
      </c>
      <c r="N5038" t="inlineStr">
        <is>
          <t>train</t>
        </is>
      </c>
      <c r="O5038">
        <f>HYPERLINK("NoConsenso\marker_268_362448.png", "Ver Imagen")</f>
        <v/>
      </c>
      <c r="P5038">
        <f>HYPERLINK("SE\A-497_2C\A-497_2C__368.png", "Ver Imagen")</f>
        <v/>
      </c>
    </row>
    <row r="5039">
      <c r="A5039" t="n">
        <v>4708</v>
      </c>
      <c r="B5039" t="inlineStr">
        <is>
          <t>A-497_2C__370</t>
        </is>
      </c>
      <c r="C5039" t="n">
        <v>37.235327005</v>
      </c>
      <c r="D5039" t="n">
        <v>-7.01836003399</v>
      </c>
      <c r="E5039" t="n">
        <v>5</v>
      </c>
      <c r="F5039" t="n">
        <v>3</v>
      </c>
      <c r="G5039" t="n">
        <v>4</v>
      </c>
      <c r="H5039" t="n">
        <v>3</v>
      </c>
      <c r="I5039" t="n">
        <v>3</v>
      </c>
      <c r="J5039" t="inlineStr">
        <is>
          <t>Mediana</t>
        </is>
      </c>
      <c r="K5039" t="n">
        <v>3</v>
      </c>
      <c r="L5039" t="n">
        <v>2.954</v>
      </c>
      <c r="M5039" t="n">
        <v>0</v>
      </c>
      <c r="N5039" t="inlineStr">
        <is>
          <t>train</t>
        </is>
      </c>
      <c r="O5039">
        <f>HYPERLINK("NoConsenso\marker_630_362478.png", "Ver Imagen")</f>
        <v/>
      </c>
      <c r="P5039">
        <f>HYPERLINK("SE\A-497_2C\A-497_2C__370.png", "Ver Imagen")</f>
        <v/>
      </c>
    </row>
    <row r="5040">
      <c r="A5040" t="n">
        <v>4709</v>
      </c>
      <c r="B5040" t="inlineStr">
        <is>
          <t>A-497_2C__371</t>
        </is>
      </c>
      <c r="C5040" t="n">
        <v>37.2351940506</v>
      </c>
      <c r="D5040" t="n">
        <v>-7.0183241303</v>
      </c>
      <c r="E5040" t="n">
        <v>5</v>
      </c>
      <c r="F5040" t="n">
        <v>3</v>
      </c>
      <c r="G5040" t="n">
        <v>4</v>
      </c>
      <c r="H5040" t="n">
        <v>3</v>
      </c>
      <c r="I5040" t="n">
        <v>3</v>
      </c>
      <c r="J5040" t="inlineStr">
        <is>
          <t>Mediana</t>
        </is>
      </c>
      <c r="K5040" t="n">
        <v>3</v>
      </c>
      <c r="L5040" t="n">
        <v>2.754</v>
      </c>
      <c r="M5040" t="n">
        <v>0</v>
      </c>
      <c r="N5040" t="inlineStr">
        <is>
          <t>train</t>
        </is>
      </c>
      <c r="O5040">
        <f>HYPERLINK("NoConsenso\marker_797_362490.png", "Ver Imagen")</f>
        <v/>
      </c>
      <c r="P5040">
        <f>HYPERLINK("SE\A-497_2C\A-497_2C__371.png", "Ver Imagen")</f>
        <v/>
      </c>
    </row>
    <row r="5041">
      <c r="A5041" t="n">
        <v>4711</v>
      </c>
      <c r="B5041" t="inlineStr">
        <is>
          <t>A-497__517</t>
        </is>
      </c>
      <c r="C5041" t="n">
        <v>37.2079703943</v>
      </c>
      <c r="D5041" t="n">
        <v>-7.02223310213</v>
      </c>
      <c r="E5041" t="n">
        <v>4</v>
      </c>
      <c r="F5041" t="n">
        <v>2</v>
      </c>
      <c r="G5041" t="n">
        <v>3</v>
      </c>
      <c r="H5041" t="n">
        <v>2</v>
      </c>
      <c r="I5041" t="n">
        <v>2</v>
      </c>
      <c r="J5041" t="inlineStr">
        <is>
          <t>Mediana</t>
        </is>
      </c>
      <c r="K5041" t="n">
        <v>2</v>
      </c>
      <c r="L5041" t="n">
        <v>1.93</v>
      </c>
      <c r="M5041" t="n">
        <v>0</v>
      </c>
      <c r="N5041" t="inlineStr">
        <is>
          <t>train</t>
        </is>
      </c>
      <c r="O5041">
        <f>HYPERLINK("NoConsenso\marker_620_372623.png", "Ver Imagen")</f>
        <v/>
      </c>
      <c r="P5041">
        <f>HYPERLINK("SE\A-497\A-497__517.png", "Ver Imagen")</f>
        <v/>
      </c>
    </row>
    <row r="5042">
      <c r="A5042" t="n">
        <v>4712</v>
      </c>
      <c r="B5042" t="inlineStr">
        <is>
          <t>A-497__513</t>
        </is>
      </c>
      <c r="C5042" t="n">
        <v>37.2086663059</v>
      </c>
      <c r="D5042" t="n">
        <v>-7.02279895331</v>
      </c>
      <c r="E5042" t="n">
        <v>4</v>
      </c>
      <c r="F5042" t="n">
        <v>2</v>
      </c>
      <c r="G5042" t="n">
        <v>3</v>
      </c>
      <c r="H5042" t="n">
        <v>2</v>
      </c>
      <c r="I5042" t="n">
        <v>2</v>
      </c>
      <c r="J5042" t="inlineStr">
        <is>
          <t>Mediana</t>
        </is>
      </c>
      <c r="K5042" t="n">
        <v>2</v>
      </c>
      <c r="L5042" t="n">
        <v>2.149</v>
      </c>
      <c r="M5042" t="n">
        <v>0</v>
      </c>
      <c r="N5042" t="inlineStr">
        <is>
          <t>train</t>
        </is>
      </c>
      <c r="O5042">
        <f>HYPERLINK("NoConsenso\marker_943_372660.png", "Ver Imagen")</f>
        <v/>
      </c>
      <c r="P5042">
        <f>HYPERLINK("SE\A-497\A-497__513.png", "Ver Imagen")</f>
        <v/>
      </c>
    </row>
    <row r="5043">
      <c r="A5043" t="n">
        <v>4713</v>
      </c>
      <c r="B5043" t="inlineStr">
        <is>
          <t>A-497__512</t>
        </is>
      </c>
      <c r="C5043" t="n">
        <v>37.2088350633</v>
      </c>
      <c r="D5043" t="n">
        <v>-7.02291370729</v>
      </c>
      <c r="E5043" t="n">
        <v>4</v>
      </c>
      <c r="F5043" t="n">
        <v>2</v>
      </c>
      <c r="G5043" t="n">
        <v>3</v>
      </c>
      <c r="H5043" t="n">
        <v>3</v>
      </c>
      <c r="I5043" t="n">
        <v>2</v>
      </c>
      <c r="J5043" t="inlineStr">
        <is>
          <t>Mediana</t>
        </is>
      </c>
      <c r="K5043" t="n">
        <v>3</v>
      </c>
      <c r="L5043" t="n">
        <v>3.084</v>
      </c>
      <c r="M5043" t="n">
        <v>0</v>
      </c>
      <c r="N5043" t="inlineStr">
        <is>
          <t>test</t>
        </is>
      </c>
      <c r="O5043">
        <f>HYPERLINK("NoConsenso\marker_219_372672.png", "Ver Imagen")</f>
        <v/>
      </c>
      <c r="P5043">
        <f>HYPERLINK("SE\A-497\A-497__512.png", "Ver Imagen")</f>
        <v/>
      </c>
    </row>
    <row r="5044">
      <c r="A5044" t="n">
        <v>4714</v>
      </c>
      <c r="B5044" t="inlineStr">
        <is>
          <t>A-497_2C__393</t>
        </is>
      </c>
      <c r="C5044" t="n">
        <v>37.2310153213</v>
      </c>
      <c r="D5044" t="n">
        <v>-7.01969232273</v>
      </c>
      <c r="E5044" t="n">
        <v>5</v>
      </c>
      <c r="F5044" t="n">
        <v>3</v>
      </c>
      <c r="G5044" t="n">
        <v>3</v>
      </c>
      <c r="H5044" t="n">
        <v>3</v>
      </c>
      <c r="I5044" t="n">
        <v>2</v>
      </c>
      <c r="J5044" t="inlineStr">
        <is>
          <t>Mediana</t>
        </is>
      </c>
      <c r="K5044" t="n">
        <v>3</v>
      </c>
      <c r="L5044" t="n">
        <v>3.169</v>
      </c>
      <c r="M5044" t="n">
        <v>0</v>
      </c>
      <c r="N5044" t="inlineStr">
        <is>
          <t>train</t>
        </is>
      </c>
      <c r="O5044">
        <f>HYPERLINK("NoConsenso\marker_124_362836.png", "Ver Imagen")</f>
        <v/>
      </c>
      <c r="P5044">
        <f>HYPERLINK("SE\A-497_2C\A-497_2C__393.png", "Ver Imagen")</f>
        <v/>
      </c>
    </row>
    <row r="5045">
      <c r="A5045" t="n">
        <v>4715</v>
      </c>
      <c r="B5045" t="inlineStr">
        <is>
          <t>A-497__496</t>
        </is>
      </c>
      <c r="C5045" t="n">
        <v>37.2119603135</v>
      </c>
      <c r="D5045" t="n">
        <v>-7.02385702201</v>
      </c>
      <c r="E5045" t="n">
        <v>4</v>
      </c>
      <c r="F5045" t="n">
        <v>2</v>
      </c>
      <c r="G5045" t="n">
        <v>3</v>
      </c>
      <c r="H5045" t="n">
        <v>2</v>
      </c>
      <c r="I5045" t="n">
        <v>1</v>
      </c>
      <c r="J5045" t="inlineStr">
        <is>
          <t>Mediana</t>
        </is>
      </c>
      <c r="K5045" t="n">
        <v>2</v>
      </c>
      <c r="L5045" t="n">
        <v>2.299</v>
      </c>
      <c r="M5045" t="n">
        <v>0</v>
      </c>
      <c r="N5045" t="inlineStr">
        <is>
          <t>train</t>
        </is>
      </c>
      <c r="O5045">
        <f>HYPERLINK("NoConsenso\marker_957_376142.png", "Ver Imagen")</f>
        <v/>
      </c>
      <c r="P5045">
        <f>HYPERLINK("SE\A-497\A-497__496.png", "Ver Imagen")</f>
        <v/>
      </c>
    </row>
    <row r="5046">
      <c r="A5046" t="n">
        <v>4716</v>
      </c>
      <c r="B5046" t="inlineStr">
        <is>
          <t>A-497_2C__407</t>
        </is>
      </c>
      <c r="C5046" t="n">
        <v>37.228581739</v>
      </c>
      <c r="D5046" t="n">
        <v>-7.02153691284</v>
      </c>
      <c r="E5046" t="n">
        <v>4</v>
      </c>
      <c r="F5046" t="n">
        <v>2</v>
      </c>
      <c r="G5046" t="n">
        <v>2</v>
      </c>
      <c r="H5046" t="n">
        <v>2</v>
      </c>
      <c r="I5046" t="n">
        <v>2</v>
      </c>
      <c r="J5046" t="inlineStr">
        <is>
          <t>Mediana</t>
        </is>
      </c>
      <c r="K5046" t="n">
        <v>2</v>
      </c>
      <c r="L5046" t="n">
        <v>1.888</v>
      </c>
      <c r="M5046" t="n">
        <v>0</v>
      </c>
      <c r="N5046" t="inlineStr">
        <is>
          <t>train</t>
        </is>
      </c>
      <c r="O5046">
        <f>HYPERLINK("NoConsenso\marker_400_362981.png", "Ver Imagen")</f>
        <v/>
      </c>
      <c r="P5046">
        <f>HYPERLINK("SE\A-497_2C\A-497_2C__407.png", "Ver Imagen")</f>
        <v/>
      </c>
    </row>
    <row r="5047">
      <c r="A5047" t="n">
        <v>4717</v>
      </c>
      <c r="B5047" t="inlineStr">
        <is>
          <t>A-497_2C__569</t>
        </is>
      </c>
      <c r="C5047" t="n">
        <v>37.203750915</v>
      </c>
      <c r="D5047" t="n">
        <v>-7.00962474586</v>
      </c>
      <c r="E5047" t="n">
        <v>4</v>
      </c>
      <c r="F5047" t="n">
        <v>3</v>
      </c>
      <c r="G5047" t="n">
        <v>2</v>
      </c>
      <c r="H5047" t="n">
        <v>2</v>
      </c>
      <c r="I5047" t="n">
        <v>2</v>
      </c>
      <c r="J5047" t="inlineStr">
        <is>
          <t>Mediana</t>
        </is>
      </c>
      <c r="K5047" t="n">
        <v>2</v>
      </c>
      <c r="L5047" t="n">
        <v>2.246</v>
      </c>
      <c r="M5047" t="n">
        <v>0</v>
      </c>
      <c r="N5047" t="inlineStr">
        <is>
          <t>train</t>
        </is>
      </c>
      <c r="O5047">
        <f>HYPERLINK("NoConsenso\marker_896_366477.png", "Ver Imagen")</f>
        <v/>
      </c>
      <c r="P5047">
        <f>HYPERLINK("SE\A-497_2C\A-497_2C__569.png", "Ver Imagen")</f>
        <v/>
      </c>
    </row>
    <row r="5048">
      <c r="A5048" t="n">
        <v>4718</v>
      </c>
      <c r="B5048" t="inlineStr">
        <is>
          <t>A-497_2C__602</t>
        </is>
      </c>
      <c r="C5048" t="n">
        <v>37.2026705357</v>
      </c>
      <c r="D5048" t="n">
        <v>-7.00131977935</v>
      </c>
      <c r="E5048" t="n">
        <v>2</v>
      </c>
      <c r="F5048" t="n">
        <v>4</v>
      </c>
      <c r="G5048" t="n">
        <v>3</v>
      </c>
      <c r="H5048" t="n">
        <v>3</v>
      </c>
      <c r="I5048" t="n">
        <v>2</v>
      </c>
      <c r="J5048" t="inlineStr">
        <is>
          <t>Mediana</t>
        </is>
      </c>
      <c r="K5048" t="n">
        <v>3</v>
      </c>
      <c r="L5048" t="n">
        <v>3.471</v>
      </c>
      <c r="M5048" t="n">
        <v>0</v>
      </c>
      <c r="N5048" t="inlineStr">
        <is>
          <t>val</t>
        </is>
      </c>
      <c r="O5048">
        <f>HYPERLINK("NoConsenso\marker_541_366783.png", "Ver Imagen")</f>
        <v/>
      </c>
      <c r="P5048">
        <f>HYPERLINK("SE\A-497_2C\A-497_2C__602.png", "Ver Imagen")</f>
        <v/>
      </c>
    </row>
    <row r="5049">
      <c r="A5049" t="n">
        <v>4719</v>
      </c>
      <c r="B5049" t="inlineStr">
        <is>
          <t>A-497__407</t>
        </is>
      </c>
      <c r="C5049" t="n">
        <v>37.229378549</v>
      </c>
      <c r="D5049" t="n">
        <v>-7.02072986653</v>
      </c>
      <c r="E5049" t="n">
        <v>4</v>
      </c>
      <c r="F5049" t="n">
        <v>3</v>
      </c>
      <c r="G5049" t="n">
        <v>2</v>
      </c>
      <c r="H5049" t="n">
        <v>2</v>
      </c>
      <c r="I5049" t="n">
        <v>2</v>
      </c>
      <c r="J5049" t="inlineStr">
        <is>
          <t>Mediana</t>
        </is>
      </c>
      <c r="K5049" t="n">
        <v>2</v>
      </c>
      <c r="L5049" t="n">
        <v>2.197</v>
      </c>
      <c r="M5049" t="n">
        <v>0</v>
      </c>
      <c r="N5049" t="inlineStr">
        <is>
          <t>train</t>
        </is>
      </c>
      <c r="O5049">
        <f>HYPERLINK("NoConsenso\marker_835_377126.png", "Ver Imagen")</f>
        <v/>
      </c>
      <c r="P5049">
        <f>HYPERLINK("SE\A-497\A-497__407.png", "Ver Imagen")</f>
        <v/>
      </c>
    </row>
    <row r="5050">
      <c r="A5050" t="n">
        <v>4720</v>
      </c>
      <c r="B5050" t="inlineStr">
        <is>
          <t>A-497__401</t>
        </is>
      </c>
      <c r="C5050" t="n">
        <v>37.2304379242</v>
      </c>
      <c r="D5050" t="n">
        <v>-7.01992011231</v>
      </c>
      <c r="E5050" t="n">
        <v>4</v>
      </c>
      <c r="F5050" t="n">
        <v>3</v>
      </c>
      <c r="G5050" t="n">
        <v>2</v>
      </c>
      <c r="H5050" t="n">
        <v>2</v>
      </c>
      <c r="I5050" t="n">
        <v>3</v>
      </c>
      <c r="J5050" t="inlineStr">
        <is>
          <t>Modificada</t>
        </is>
      </c>
      <c r="K5050" t="n">
        <v>2</v>
      </c>
      <c r="L5050" t="n">
        <v>2.142</v>
      </c>
      <c r="M5050" t="n">
        <v>0</v>
      </c>
      <c r="N5050" t="inlineStr">
        <is>
          <t>train</t>
        </is>
      </c>
      <c r="O5050">
        <f>HYPERLINK("NoConsenso\marker_359_377185.png", "Ver Imagen")</f>
        <v/>
      </c>
      <c r="P5050">
        <f>HYPERLINK("SE\A-497\A-497__401.png", "Ver Imagen")</f>
        <v/>
      </c>
    </row>
    <row r="5051">
      <c r="A5051" t="n">
        <v>4721</v>
      </c>
      <c r="B5051" t="inlineStr">
        <is>
          <t>A-497__289</t>
        </is>
      </c>
      <c r="C5051" t="n">
        <v>37.252358893</v>
      </c>
      <c r="D5051" t="n">
        <v>-7.01637413832</v>
      </c>
      <c r="E5051" t="n">
        <v>2</v>
      </c>
      <c r="F5051" t="n">
        <v>4</v>
      </c>
      <c r="G5051" t="n">
        <v>3</v>
      </c>
      <c r="H5051" t="n">
        <v>3</v>
      </c>
      <c r="I5051" t="n">
        <v>2</v>
      </c>
      <c r="J5051" t="inlineStr">
        <is>
          <t>Mediana</t>
        </is>
      </c>
      <c r="K5051" t="n">
        <v>3</v>
      </c>
      <c r="L5051" t="n">
        <v>2.888</v>
      </c>
      <c r="M5051" t="n">
        <v>0</v>
      </c>
      <c r="N5051" t="inlineStr">
        <is>
          <t>train</t>
        </is>
      </c>
      <c r="O5051">
        <f>HYPERLINK("NoConsenso\marker_444_378364.png", "Ver Imagen")</f>
        <v/>
      </c>
      <c r="P5051">
        <f>HYPERLINK("SE\A-497\A-497__289.png", "Ver Imagen")</f>
        <v/>
      </c>
    </row>
    <row r="5052">
      <c r="A5052" t="n">
        <v>4723</v>
      </c>
      <c r="B5052" t="inlineStr">
        <is>
          <t>A-497__193</t>
        </is>
      </c>
      <c r="C5052" t="n">
        <v>37.2646658176</v>
      </c>
      <c r="D5052" t="n">
        <v>-7.00013348609</v>
      </c>
      <c r="E5052" t="n">
        <v>4</v>
      </c>
      <c r="F5052" t="n">
        <v>2</v>
      </c>
      <c r="G5052" t="n">
        <v>3</v>
      </c>
      <c r="H5052" t="n">
        <v>2</v>
      </c>
      <c r="I5052" t="n">
        <v>2</v>
      </c>
      <c r="J5052" t="inlineStr">
        <is>
          <t>Mediana</t>
        </is>
      </c>
      <c r="K5052" t="n">
        <v>2</v>
      </c>
      <c r="L5052" t="n">
        <v>2.385</v>
      </c>
      <c r="M5052" t="n">
        <v>0</v>
      </c>
      <c r="N5052" t="inlineStr">
        <is>
          <t>train</t>
        </is>
      </c>
      <c r="O5052">
        <f>HYPERLINK("NoConsenso\marker_432_379480.png", "Ver Imagen")</f>
        <v/>
      </c>
      <c r="P5052">
        <f>HYPERLINK("SE\A-497\A-497__193.png", "Ver Imagen")</f>
        <v/>
      </c>
    </row>
    <row r="5053">
      <c r="A5053" t="n">
        <v>4724</v>
      </c>
      <c r="B5053" t="inlineStr">
        <is>
          <t>A-497__192</t>
        </is>
      </c>
      <c r="C5053" t="n">
        <v>37.2647169933</v>
      </c>
      <c r="D5053" t="n">
        <v>-6.99984758149</v>
      </c>
      <c r="E5053" t="n">
        <v>5</v>
      </c>
      <c r="F5053" t="n">
        <v>3</v>
      </c>
      <c r="G5053" t="n">
        <v>4</v>
      </c>
      <c r="H5053" t="n">
        <v>3</v>
      </c>
      <c r="I5053" t="n">
        <v>4</v>
      </c>
      <c r="J5053" t="inlineStr">
        <is>
          <t>Mediana</t>
        </is>
      </c>
      <c r="K5053" t="n">
        <v>4</v>
      </c>
      <c r="L5053" t="n">
        <v>4.142</v>
      </c>
      <c r="M5053" t="n">
        <v>0</v>
      </c>
      <c r="N5053" t="inlineStr">
        <is>
          <t>train</t>
        </is>
      </c>
      <c r="O5053">
        <f>HYPERLINK("NoConsenso\marker_368_379490.png", "Ver Imagen")</f>
        <v/>
      </c>
      <c r="P5053">
        <f>HYPERLINK("SE\A-497\A-497__192.png", "Ver Imagen")</f>
        <v/>
      </c>
    </row>
    <row r="5054">
      <c r="A5054" t="n">
        <v>4725</v>
      </c>
      <c r="B5054" t="inlineStr">
        <is>
          <t>A-490__527</t>
        </is>
      </c>
      <c r="C5054" t="n">
        <v>37.4880406299</v>
      </c>
      <c r="D5054" t="n">
        <v>-7.24550463593</v>
      </c>
      <c r="E5054" t="n">
        <v>1</v>
      </c>
      <c r="F5054" t="n">
        <v>4</v>
      </c>
      <c r="G5054" t="n">
        <v>1</v>
      </c>
      <c r="H5054" t="n">
        <v>2</v>
      </c>
      <c r="I5054" t="n">
        <v>2</v>
      </c>
      <c r="J5054" t="inlineStr">
        <is>
          <t>Mediana</t>
        </is>
      </c>
      <c r="K5054" t="n">
        <v>2</v>
      </c>
      <c r="L5054" t="n">
        <v>2.206</v>
      </c>
      <c r="M5054" t="n">
        <v>0</v>
      </c>
      <c r="N5054" t="inlineStr">
        <is>
          <t>train</t>
        </is>
      </c>
      <c r="O5054">
        <f>HYPERLINK("NoConsenso\marker_266_818163.png", "Ver Imagen")</f>
        <v/>
      </c>
      <c r="P5054">
        <f>HYPERLINK("NO\A-490\A-490__527.png", "Ver Imagen")</f>
        <v/>
      </c>
    </row>
    <row r="5055">
      <c r="A5055" t="n">
        <v>4726</v>
      </c>
      <c r="B5055" t="inlineStr">
        <is>
          <t>A-495_1__183</t>
        </is>
      </c>
      <c r="C5055" t="n">
        <v>37.4828059859</v>
      </c>
      <c r="D5055" t="n">
        <v>-7.12878844444</v>
      </c>
      <c r="E5055" t="n">
        <v>1</v>
      </c>
      <c r="F5055" t="n">
        <v>1</v>
      </c>
      <c r="G5055" t="n">
        <v>4</v>
      </c>
      <c r="H5055" t="n">
        <v>1</v>
      </c>
      <c r="I5055" t="n">
        <v>1</v>
      </c>
      <c r="J5055" t="inlineStr">
        <is>
          <t>Mediana</t>
        </is>
      </c>
      <c r="K5055" t="n">
        <v>1</v>
      </c>
      <c r="L5055" t="n">
        <v>1.046</v>
      </c>
      <c r="M5055" t="n">
        <v>0</v>
      </c>
      <c r="N5055" t="inlineStr">
        <is>
          <t>train</t>
        </is>
      </c>
      <c r="O5055">
        <f>HYPERLINK("NoConsenso\marker_226_383792.png", "Ver Imagen")</f>
        <v/>
      </c>
      <c r="P5055">
        <f>HYPERLINK("NE\A-495_1\A-495_1__183.png", "Ver Imagen")</f>
        <v/>
      </c>
    </row>
    <row r="5056">
      <c r="A5056" t="n">
        <v>4727</v>
      </c>
      <c r="B5056" t="inlineStr">
        <is>
          <t>A-492__131</t>
        </is>
      </c>
      <c r="C5056" t="n">
        <v>37.2762808219</v>
      </c>
      <c r="D5056" t="n">
        <v>-7.01397742895</v>
      </c>
      <c r="E5056" t="n">
        <v>2</v>
      </c>
      <c r="F5056" t="n">
        <v>3</v>
      </c>
      <c r="G5056" t="n">
        <v>5</v>
      </c>
      <c r="H5056" t="n">
        <v>2</v>
      </c>
      <c r="I5056" t="n">
        <v>2</v>
      </c>
      <c r="J5056" t="inlineStr">
        <is>
          <t>Mediana</t>
        </is>
      </c>
      <c r="K5056" t="n">
        <v>2</v>
      </c>
      <c r="L5056" t="n">
        <v>1.881</v>
      </c>
      <c r="M5056" t="n">
        <v>0</v>
      </c>
      <c r="N5056" t="inlineStr">
        <is>
          <t>train</t>
        </is>
      </c>
      <c r="O5056">
        <f>HYPERLINK("NoConsenso\marker_150_824554.png", "Ver Imagen")</f>
        <v/>
      </c>
      <c r="P5056">
        <f>HYPERLINK("SE\A-492\A-492__131.png", "Ver Imagen")</f>
        <v/>
      </c>
    </row>
    <row r="5057">
      <c r="A5057" t="n">
        <v>4728</v>
      </c>
      <c r="B5057" t="inlineStr">
        <is>
          <t>A-492__394</t>
        </is>
      </c>
      <c r="C5057" t="n">
        <v>37.3077165229</v>
      </c>
      <c r="D5057" t="n">
        <v>-7.05701383673</v>
      </c>
      <c r="E5057" t="n">
        <v>2</v>
      </c>
      <c r="F5057" t="n">
        <v>2</v>
      </c>
      <c r="G5057" t="n">
        <v>5</v>
      </c>
      <c r="H5057" t="n">
        <v>2</v>
      </c>
      <c r="I5057" t="n">
        <v>2</v>
      </c>
      <c r="J5057" t="inlineStr">
        <is>
          <t>Mediana</t>
        </is>
      </c>
      <c r="K5057" t="n">
        <v>2</v>
      </c>
      <c r="L5057" t="n">
        <v>2.114</v>
      </c>
      <c r="M5057" t="n">
        <v>0</v>
      </c>
      <c r="N5057" t="inlineStr">
        <is>
          <t>train</t>
        </is>
      </c>
      <c r="O5057">
        <f>HYPERLINK("NoConsenso\marker_982_839080.png", "Ver Imagen")</f>
        <v/>
      </c>
      <c r="P5057">
        <f>HYPERLINK("SE\A-492\A-492__394.png", "Ver Imagen")</f>
        <v/>
      </c>
    </row>
    <row r="5058">
      <c r="A5058" t="n">
        <v>4729</v>
      </c>
      <c r="B5058" t="inlineStr">
        <is>
          <t>A-492__401</t>
        </is>
      </c>
      <c r="C5058" t="n">
        <v>37.3090769079</v>
      </c>
      <c r="D5058" t="n">
        <v>-7.05756095611</v>
      </c>
      <c r="E5058" t="n">
        <v>2</v>
      </c>
      <c r="F5058" t="n">
        <v>3</v>
      </c>
      <c r="G5058" t="n">
        <v>5</v>
      </c>
      <c r="H5058" t="n">
        <v>2</v>
      </c>
      <c r="I5058" t="n">
        <v>2</v>
      </c>
      <c r="J5058" t="inlineStr">
        <is>
          <t>Mediana</t>
        </is>
      </c>
      <c r="K5058" t="n">
        <v>2</v>
      </c>
      <c r="L5058" t="n">
        <v>1.889</v>
      </c>
      <c r="M5058" t="n">
        <v>0</v>
      </c>
      <c r="N5058" t="inlineStr">
        <is>
          <t>train</t>
        </is>
      </c>
      <c r="O5058">
        <f>HYPERLINK("NoConsenso\marker_893_839173.png", "Ver Imagen")</f>
        <v/>
      </c>
      <c r="P5058">
        <f>HYPERLINK("SE\A-492\A-492__401.png", "Ver Imagen")</f>
        <v/>
      </c>
    </row>
    <row r="5059">
      <c r="A5059" t="n">
        <v>4731</v>
      </c>
      <c r="B5059" t="inlineStr">
        <is>
          <t>A-490__157</t>
        </is>
      </c>
      <c r="C5059" t="n">
        <v>37.4539362143</v>
      </c>
      <c r="D5059" t="n">
        <v>-7.16363788675</v>
      </c>
      <c r="E5059" t="n">
        <v>1</v>
      </c>
      <c r="F5059" t="n">
        <v>4</v>
      </c>
      <c r="G5059" t="n">
        <v>3</v>
      </c>
      <c r="H5059" t="n">
        <v>3</v>
      </c>
      <c r="I5059" t="n">
        <v>2</v>
      </c>
      <c r="J5059" t="inlineStr">
        <is>
          <t>Mediana</t>
        </is>
      </c>
      <c r="K5059" t="n">
        <v>3</v>
      </c>
      <c r="L5059" t="n">
        <v>3.126</v>
      </c>
      <c r="M5059" t="n">
        <v>0</v>
      </c>
      <c r="N5059" t="inlineStr">
        <is>
          <t>train</t>
        </is>
      </c>
      <c r="O5059">
        <f>HYPERLINK("NoConsenso\marker_213_740911.png", "Ver Imagen")</f>
        <v/>
      </c>
      <c r="P5059">
        <f>HYPERLINK("NE\A-490\A-490__157.png", "Ver Imagen")</f>
        <v/>
      </c>
    </row>
    <row r="5060">
      <c r="A5060" t="n">
        <v>4732</v>
      </c>
      <c r="B5060" t="inlineStr">
        <is>
          <t>A-490__361</t>
        </is>
      </c>
      <c r="C5060" t="n">
        <v>37.4779408138</v>
      </c>
      <c r="D5060" t="n">
        <v>-7.20556766058</v>
      </c>
      <c r="E5060" t="n">
        <v>1</v>
      </c>
      <c r="F5060" t="n">
        <v>4</v>
      </c>
      <c r="G5060" t="n">
        <v>3</v>
      </c>
      <c r="H5060" t="n">
        <v>2</v>
      </c>
      <c r="I5060" t="n">
        <v>2</v>
      </c>
      <c r="J5060" t="inlineStr">
        <is>
          <t>Mediana</t>
        </is>
      </c>
      <c r="K5060" t="n">
        <v>2</v>
      </c>
      <c r="L5060" t="n">
        <v>2.031</v>
      </c>
      <c r="M5060" t="n">
        <v>0</v>
      </c>
      <c r="N5060" t="inlineStr">
        <is>
          <t>train</t>
        </is>
      </c>
      <c r="O5060">
        <f>HYPERLINK("NoConsenso\marker_467_751898.png", "Ver Imagen")</f>
        <v/>
      </c>
      <c r="P5060">
        <f>HYPERLINK("NO\A-490\A-490__361.png", "Ver Imagen")</f>
        <v/>
      </c>
    </row>
    <row r="5061">
      <c r="A5061" t="n">
        <v>4733</v>
      </c>
      <c r="B5061" t="inlineStr">
        <is>
          <t>A-490__410</t>
        </is>
      </c>
      <c r="C5061" t="n">
        <v>37.4823236552</v>
      </c>
      <c r="D5061" t="n">
        <v>-7.21675669321</v>
      </c>
      <c r="E5061" t="n">
        <v>1</v>
      </c>
      <c r="F5061" t="n">
        <v>4</v>
      </c>
      <c r="G5061" t="n">
        <v>3</v>
      </c>
      <c r="H5061" t="n">
        <v>3</v>
      </c>
      <c r="I5061" t="n">
        <v>2</v>
      </c>
      <c r="J5061" t="inlineStr">
        <is>
          <t>Mediana</t>
        </is>
      </c>
      <c r="K5061" t="n">
        <v>3</v>
      </c>
      <c r="L5061" t="n">
        <v>2.984</v>
      </c>
      <c r="M5061" t="n">
        <v>0</v>
      </c>
      <c r="N5061" t="inlineStr">
        <is>
          <t>train</t>
        </is>
      </c>
      <c r="O5061">
        <f>HYPERLINK("NoConsenso\marker_379_754123.png", "Ver Imagen")</f>
        <v/>
      </c>
      <c r="P5061">
        <f>HYPERLINK("NO\A-490\A-490__410.png", "Ver Imagen")</f>
        <v/>
      </c>
    </row>
    <row r="5062">
      <c r="A5062" t="n">
        <v>4734</v>
      </c>
      <c r="B5062" t="inlineStr">
        <is>
          <t>A-490__34</t>
        </is>
      </c>
      <c r="C5062" t="n">
        <v>37.4462369196</v>
      </c>
      <c r="D5062" t="n">
        <v>-7.13472187051</v>
      </c>
      <c r="E5062" t="n">
        <v>2</v>
      </c>
      <c r="F5062" t="n">
        <v>5</v>
      </c>
      <c r="G5062" t="n">
        <v>4</v>
      </c>
      <c r="H5062" t="n">
        <v>4</v>
      </c>
      <c r="I5062" t="n">
        <v>4</v>
      </c>
      <c r="J5062" t="inlineStr">
        <is>
          <t>Mediana</t>
        </is>
      </c>
      <c r="K5062" t="n">
        <v>4</v>
      </c>
      <c r="L5062" t="n">
        <v>3.563</v>
      </c>
      <c r="M5062" t="n">
        <v>0</v>
      </c>
      <c r="N5062" t="inlineStr">
        <is>
          <t>train</t>
        </is>
      </c>
      <c r="O5062">
        <f>HYPERLINK("NoConsenso\marker_161_731037.png", "Ver Imagen")</f>
        <v/>
      </c>
      <c r="P5062">
        <f>HYPERLINK("NE\A-490\A-490__34.png", "Ver Imagen")</f>
        <v/>
      </c>
    </row>
    <row r="5063">
      <c r="A5063" t="n">
        <v>4736</v>
      </c>
      <c r="B5063" t="inlineStr">
        <is>
          <t>A-490__350</t>
        </is>
      </c>
      <c r="C5063" t="n">
        <v>37.4768985626</v>
      </c>
      <c r="D5063" t="n">
        <v>-7.20315471346</v>
      </c>
      <c r="E5063" t="n">
        <v>1</v>
      </c>
      <c r="F5063" t="n">
        <v>3</v>
      </c>
      <c r="G5063" t="n">
        <v>4</v>
      </c>
      <c r="H5063" t="n">
        <v>3</v>
      </c>
      <c r="I5063" t="n">
        <v>3</v>
      </c>
      <c r="J5063" t="inlineStr">
        <is>
          <t>Mediana</t>
        </is>
      </c>
      <c r="K5063" t="n">
        <v>3</v>
      </c>
      <c r="L5063" t="n">
        <v>2.882</v>
      </c>
      <c r="M5063" t="n">
        <v>0</v>
      </c>
      <c r="N5063" t="inlineStr">
        <is>
          <t>train</t>
        </is>
      </c>
      <c r="O5063">
        <f>HYPERLINK("NoConsenso\marker_284_751678.png", "Ver Imagen")</f>
        <v/>
      </c>
      <c r="P5063">
        <f>HYPERLINK("NE\A-490\A-490__350.png", "Ver Imagen")</f>
        <v/>
      </c>
    </row>
    <row r="5064">
      <c r="A5064" t="n">
        <v>4736</v>
      </c>
      <c r="B5064" t="inlineStr">
        <is>
          <t>A-490__350</t>
        </is>
      </c>
      <c r="C5064" t="n">
        <v>37.4768985626</v>
      </c>
      <c r="D5064" t="n">
        <v>-7.20315471346</v>
      </c>
      <c r="E5064" t="n">
        <v>1</v>
      </c>
      <c r="F5064" t="n">
        <v>3</v>
      </c>
      <c r="G5064" t="n">
        <v>4</v>
      </c>
      <c r="H5064" t="n">
        <v>3</v>
      </c>
      <c r="I5064" t="n">
        <v>3</v>
      </c>
      <c r="J5064" t="inlineStr">
        <is>
          <t>Mediana</t>
        </is>
      </c>
      <c r="K5064" t="n">
        <v>3</v>
      </c>
      <c r="L5064" t="n">
        <v>3.064</v>
      </c>
      <c r="M5064" t="n">
        <v>0</v>
      </c>
      <c r="N5064" t="inlineStr">
        <is>
          <t>train</t>
        </is>
      </c>
      <c r="O5064">
        <f>HYPERLINK("NoConsenso\marker_284_751678.png", "Ver Imagen")</f>
        <v/>
      </c>
      <c r="P5064">
        <f>HYPERLINK("NO\A-490\A-490__350.png", "Ver Imagen")</f>
        <v/>
      </c>
    </row>
    <row r="5065">
      <c r="A5065" t="n">
        <v>4737</v>
      </c>
      <c r="B5065" t="inlineStr">
        <is>
          <t>A-495R__72</t>
        </is>
      </c>
      <c r="C5065" t="n">
        <v>37.4584744077</v>
      </c>
      <c r="D5065" t="n">
        <v>-7.11455516077</v>
      </c>
      <c r="E5065" t="n">
        <v>1</v>
      </c>
      <c r="F5065" t="n">
        <v>4</v>
      </c>
      <c r="G5065" t="n">
        <v>4</v>
      </c>
      <c r="H5065" t="n">
        <v>4</v>
      </c>
      <c r="I5065" t="n">
        <v>4</v>
      </c>
      <c r="J5065" t="inlineStr">
        <is>
          <t>Mediana</t>
        </is>
      </c>
      <c r="K5065" t="n">
        <v>4</v>
      </c>
      <c r="L5065" t="n">
        <v>3.631</v>
      </c>
      <c r="M5065" t="n">
        <v>0</v>
      </c>
      <c r="N5065" t="inlineStr">
        <is>
          <t>val</t>
        </is>
      </c>
      <c r="O5065">
        <f>HYPERLINK("NoConsenso\marker_588_935195.png", "Ver Imagen")</f>
        <v/>
      </c>
      <c r="P5065">
        <f>HYPERLINK("NE\A-495R\A-495R__72.png", "Ver Imagen")</f>
        <v/>
      </c>
    </row>
    <row r="5066">
      <c r="A5066" t="n">
        <v>4738</v>
      </c>
      <c r="B5066" t="inlineStr">
        <is>
          <t>A-495_1__123</t>
        </is>
      </c>
      <c r="C5066" t="n">
        <v>37.4716412137</v>
      </c>
      <c r="D5066" t="n">
        <v>-7.12592926429</v>
      </c>
      <c r="E5066" t="n">
        <v>4</v>
      </c>
      <c r="F5066" t="n">
        <v>1</v>
      </c>
      <c r="G5066" t="n">
        <v>4</v>
      </c>
      <c r="H5066" t="n">
        <v>3</v>
      </c>
      <c r="I5066" t="n">
        <v>2</v>
      </c>
      <c r="J5066" t="inlineStr">
        <is>
          <t>Mediana</t>
        </is>
      </c>
      <c r="K5066" t="n">
        <v>3</v>
      </c>
      <c r="L5066" t="n">
        <v>3.445</v>
      </c>
      <c r="M5066" t="n">
        <v>0</v>
      </c>
      <c r="N5066" t="inlineStr">
        <is>
          <t>val</t>
        </is>
      </c>
      <c r="O5066">
        <f>HYPERLINK("NoConsenso\marker_578_384541.png", "Ver Imagen")</f>
        <v/>
      </c>
      <c r="P5066">
        <f>HYPERLINK("NE\A-495_1\A-495_1__123.png", "Ver Imagen")</f>
        <v/>
      </c>
    </row>
    <row r="5067">
      <c r="A5067" t="n">
        <v>4739</v>
      </c>
      <c r="B5067" t="inlineStr">
        <is>
          <t>A-495_1__102</t>
        </is>
      </c>
      <c r="C5067" t="n">
        <v>37.4679271296</v>
      </c>
      <c r="D5067" t="n">
        <v>-7.12324939377</v>
      </c>
      <c r="E5067" t="n">
        <v>4</v>
      </c>
      <c r="F5067" t="n">
        <v>7</v>
      </c>
      <c r="G5067" t="n">
        <v>4</v>
      </c>
      <c r="H5067" t="n">
        <v>4</v>
      </c>
      <c r="I5067" t="n">
        <v>4</v>
      </c>
      <c r="J5067" t="inlineStr">
        <is>
          <t>Mediana</t>
        </is>
      </c>
      <c r="K5067" t="n">
        <v>4</v>
      </c>
      <c r="L5067" t="n">
        <v>3.934</v>
      </c>
      <c r="M5067" t="n">
        <v>0</v>
      </c>
      <c r="N5067" t="inlineStr">
        <is>
          <t>train</t>
        </is>
      </c>
      <c r="O5067">
        <f>HYPERLINK("NoConsenso\marker_405_384978.png", "Ver Imagen")</f>
        <v/>
      </c>
      <c r="P5067">
        <f>HYPERLINK("NE\A-495_1\A-495_1__102.png", "Ver Imagen")</f>
        <v/>
      </c>
    </row>
    <row r="5068">
      <c r="A5068" t="n">
        <v>4740</v>
      </c>
      <c r="B5068" t="inlineStr">
        <is>
          <t>A-497_2C__459</t>
        </is>
      </c>
      <c r="C5068" t="n">
        <v>37.2184288763</v>
      </c>
      <c r="D5068" t="n">
        <v>-7.02300902052</v>
      </c>
      <c r="E5068" t="n">
        <v>4</v>
      </c>
      <c r="F5068" t="n">
        <v>1</v>
      </c>
      <c r="G5068" t="n">
        <v>4</v>
      </c>
      <c r="H5068" t="n">
        <v>2</v>
      </c>
      <c r="I5068" t="n">
        <v>1</v>
      </c>
      <c r="J5068" t="inlineStr">
        <is>
          <t>Mediana</t>
        </is>
      </c>
      <c r="K5068" t="n">
        <v>2</v>
      </c>
      <c r="L5068" t="n">
        <v>1.948</v>
      </c>
      <c r="M5068" t="n">
        <v>0</v>
      </c>
      <c r="N5068" t="inlineStr">
        <is>
          <t>train</t>
        </is>
      </c>
      <c r="O5068">
        <f>HYPERLINK("NoConsenso\marker_260_363526.png", "Ver Imagen")</f>
        <v/>
      </c>
      <c r="P5068">
        <f>HYPERLINK("SE\A-497_2C\A-497_2C__459.png", "Ver Imagen")</f>
        <v/>
      </c>
    </row>
    <row r="5069">
      <c r="A5069" t="n">
        <v>4743</v>
      </c>
      <c r="B5069" t="inlineStr">
        <is>
          <t>A-497__80</t>
        </is>
      </c>
      <c r="C5069" t="n">
        <v>37.2689751232</v>
      </c>
      <c r="D5069" t="n">
        <v>-6.97579008344</v>
      </c>
      <c r="E5069" t="n">
        <v>2</v>
      </c>
      <c r="F5069" t="n">
        <v>4</v>
      </c>
      <c r="G5069" t="n">
        <v>5</v>
      </c>
      <c r="H5069" t="n">
        <v>3</v>
      </c>
      <c r="I5069" t="n">
        <v>4</v>
      </c>
      <c r="J5069" t="inlineStr">
        <is>
          <t>Mediana</t>
        </is>
      </c>
      <c r="K5069" t="n">
        <v>4</v>
      </c>
      <c r="L5069" t="n">
        <v>3.905</v>
      </c>
      <c r="M5069" t="n">
        <v>0</v>
      </c>
      <c r="N5069" t="inlineStr">
        <is>
          <t>train</t>
        </is>
      </c>
      <c r="O5069">
        <f>HYPERLINK("NoConsenso\marker_674_937461.png", "Ver Imagen")</f>
        <v/>
      </c>
      <c r="P5069">
        <f>HYPERLINK("SE\A-497\A-497__80.png", "Ver Imagen")</f>
        <v/>
      </c>
    </row>
    <row r="5070">
      <c r="A5070" t="n">
        <v>4744</v>
      </c>
      <c r="B5070" t="inlineStr">
        <is>
          <t>A-497__74</t>
        </is>
      </c>
      <c r="C5070" t="n">
        <v>37.2686337185</v>
      </c>
      <c r="D5070" t="n">
        <v>-6.97431993614</v>
      </c>
      <c r="E5070" t="n">
        <v>2</v>
      </c>
      <c r="F5070" t="n">
        <v>3</v>
      </c>
      <c r="G5070" t="n">
        <v>5</v>
      </c>
      <c r="H5070" t="n">
        <v>3</v>
      </c>
      <c r="I5070" t="n">
        <v>4</v>
      </c>
      <c r="J5070" t="inlineStr">
        <is>
          <t>Mediana</t>
        </is>
      </c>
      <c r="K5070" t="n">
        <v>3</v>
      </c>
      <c r="L5070" t="n">
        <v>3.114</v>
      </c>
      <c r="M5070" t="n">
        <v>0</v>
      </c>
      <c r="N5070" t="inlineStr">
        <is>
          <t>test</t>
        </is>
      </c>
      <c r="O5070">
        <f>HYPERLINK("NoConsenso\marker_921_937998.png", "Ver Imagen")</f>
        <v/>
      </c>
      <c r="P5070">
        <f>HYPERLINK("SE\A-497\A-497__74.png", "Ver Imagen")</f>
        <v/>
      </c>
    </row>
    <row r="5071">
      <c r="A5071" t="n">
        <v>4745</v>
      </c>
      <c r="B5071" t="inlineStr">
        <is>
          <t>A-490__63</t>
        </is>
      </c>
      <c r="C5071" t="n">
        <v>37.4479767641</v>
      </c>
      <c r="D5071" t="n">
        <v>-7.14154802067</v>
      </c>
      <c r="E5071" t="n">
        <v>1</v>
      </c>
      <c r="F5071" t="n">
        <v>2</v>
      </c>
      <c r="G5071" t="n">
        <v>4</v>
      </c>
      <c r="H5071" t="n">
        <v>3</v>
      </c>
      <c r="I5071" t="n">
        <v>2</v>
      </c>
      <c r="J5071" t="inlineStr">
        <is>
          <t>Modificada</t>
        </is>
      </c>
      <c r="K5071" t="n">
        <v>3</v>
      </c>
      <c r="L5071" t="n">
        <v>3.055</v>
      </c>
      <c r="M5071" t="n">
        <v>0</v>
      </c>
      <c r="N5071" t="inlineStr">
        <is>
          <t>train</t>
        </is>
      </c>
      <c r="O5071">
        <f>HYPERLINK("NoConsenso\marker_472_737970.png", "Ver Imagen")</f>
        <v/>
      </c>
      <c r="P5071">
        <f>HYPERLINK("NE\A-490\A-490__63.png", "Ver Imagen")</f>
        <v/>
      </c>
    </row>
    <row r="5072">
      <c r="A5072" t="n">
        <v>4746</v>
      </c>
      <c r="B5072" t="inlineStr">
        <is>
          <t>A-490__41</t>
        </is>
      </c>
      <c r="C5072" t="n">
        <v>37.4461850012</v>
      </c>
      <c r="D5072" t="n">
        <v>-7.13647249756</v>
      </c>
      <c r="E5072" t="n">
        <v>2</v>
      </c>
      <c r="F5072" t="n">
        <v>5</v>
      </c>
      <c r="G5072" t="n">
        <v>5</v>
      </c>
      <c r="H5072" t="n">
        <v>4</v>
      </c>
      <c r="I5072" t="n">
        <v>4</v>
      </c>
      <c r="J5072" t="inlineStr">
        <is>
          <t>Mediana</t>
        </is>
      </c>
      <c r="K5072" t="n">
        <v>4</v>
      </c>
      <c r="L5072" t="n">
        <v>4.102</v>
      </c>
      <c r="M5072" t="n">
        <v>0</v>
      </c>
      <c r="N5072" t="inlineStr">
        <is>
          <t>train</t>
        </is>
      </c>
      <c r="O5072">
        <f>HYPERLINK("NoConsenso\marker_135_731218.png", "Ver Imagen")</f>
        <v/>
      </c>
      <c r="P5072">
        <f>HYPERLINK("NE\A-490\A-490__41.png", "Ver Imagen")</f>
        <v/>
      </c>
    </row>
    <row r="5073">
      <c r="A5073" t="n">
        <v>4748</v>
      </c>
      <c r="B5073" t="inlineStr">
        <is>
          <t>A-490__69</t>
        </is>
      </c>
      <c r="C5073" t="n">
        <v>37.4484679827</v>
      </c>
      <c r="D5073" t="n">
        <v>-7.14295674665</v>
      </c>
      <c r="E5073" t="n">
        <v>1</v>
      </c>
      <c r="F5073" t="n">
        <v>2</v>
      </c>
      <c r="G5073" t="n">
        <v>4</v>
      </c>
      <c r="H5073" t="n">
        <v>2</v>
      </c>
      <c r="I5073" t="n">
        <v>2</v>
      </c>
      <c r="J5073" t="inlineStr">
        <is>
          <t>Mediana</t>
        </is>
      </c>
      <c r="K5073" t="n">
        <v>2</v>
      </c>
      <c r="L5073" t="n">
        <v>2.095</v>
      </c>
      <c r="M5073" t="n">
        <v>0</v>
      </c>
      <c r="N5073" t="inlineStr">
        <is>
          <t>train</t>
        </is>
      </c>
      <c r="O5073">
        <f>HYPERLINK("NoConsenso\marker_423_738134.png", "Ver Imagen")</f>
        <v/>
      </c>
      <c r="P5073">
        <f>HYPERLINK("NE\A-490\A-490__69.png", "Ver Imagen")</f>
        <v/>
      </c>
    </row>
    <row r="5074">
      <c r="A5074" t="n">
        <v>4750</v>
      </c>
      <c r="B5074" t="inlineStr">
        <is>
          <t>A-490__116</t>
        </is>
      </c>
      <c r="C5074" t="n">
        <v>37.4510420434</v>
      </c>
      <c r="D5074" t="n">
        <v>-7.15402208538</v>
      </c>
      <c r="E5074" t="n">
        <v>2</v>
      </c>
      <c r="F5074" t="n">
        <v>4</v>
      </c>
      <c r="G5074" t="n">
        <v>5</v>
      </c>
      <c r="H5074" t="n">
        <v>4</v>
      </c>
      <c r="I5074" t="n">
        <v>4</v>
      </c>
      <c r="J5074" t="inlineStr">
        <is>
          <t>Mediana</t>
        </is>
      </c>
      <c r="K5074" t="n">
        <v>4</v>
      </c>
      <c r="L5074" t="n">
        <v>3.809</v>
      </c>
      <c r="M5074" t="n">
        <v>0</v>
      </c>
      <c r="N5074" t="inlineStr">
        <is>
          <t>train</t>
        </is>
      </c>
      <c r="O5074">
        <f>HYPERLINK("NoConsenso\marker_437_739899.png", "Ver Imagen")</f>
        <v/>
      </c>
      <c r="P5074">
        <f>HYPERLINK("NE\A-490\A-490__116.png", "Ver Imagen")</f>
        <v/>
      </c>
    </row>
    <row r="5075">
      <c r="A5075" t="n">
        <v>4751</v>
      </c>
      <c r="B5075" t="inlineStr">
        <is>
          <t>A-490__94</t>
        </is>
      </c>
      <c r="C5075" t="n">
        <v>37.448833266</v>
      </c>
      <c r="D5075" t="n">
        <v>-7.14925650198</v>
      </c>
      <c r="E5075" t="n">
        <v>2</v>
      </c>
      <c r="F5075" t="n">
        <v>4</v>
      </c>
      <c r="G5075" t="n">
        <v>5</v>
      </c>
      <c r="H5075" t="n">
        <v>4</v>
      </c>
      <c r="I5075" t="n">
        <v>4</v>
      </c>
      <c r="J5075" t="inlineStr">
        <is>
          <t>Mediana</t>
        </is>
      </c>
      <c r="K5075" t="n">
        <v>4</v>
      </c>
      <c r="L5075" t="n">
        <v>3.635</v>
      </c>
      <c r="M5075" t="n">
        <v>0</v>
      </c>
      <c r="N5075" t="inlineStr">
        <is>
          <t>train</t>
        </is>
      </c>
      <c r="O5075">
        <f>HYPERLINK("NoConsenso\marker_997_739047.png", "Ver Imagen")</f>
        <v/>
      </c>
      <c r="P5075">
        <f>HYPERLINK("NE\A-490\A-490__94.png", "Ver Imagen")</f>
        <v/>
      </c>
    </row>
    <row r="5076">
      <c r="A5076" t="n">
        <v>4752</v>
      </c>
      <c r="B5076" t="inlineStr">
        <is>
          <t>A-490__97</t>
        </is>
      </c>
      <c r="C5076" t="n">
        <v>37.4490040124</v>
      </c>
      <c r="D5076" t="n">
        <v>-7.14995530295</v>
      </c>
      <c r="E5076" t="n">
        <v>2</v>
      </c>
      <c r="F5076" t="n">
        <v>3</v>
      </c>
      <c r="G5076" t="n">
        <v>5</v>
      </c>
      <c r="H5076" t="n">
        <v>3</v>
      </c>
      <c r="I5076" t="n">
        <v>4</v>
      </c>
      <c r="J5076" t="inlineStr">
        <is>
          <t>Mediana</t>
        </is>
      </c>
      <c r="K5076" t="n">
        <v>3</v>
      </c>
      <c r="L5076" t="n">
        <v>3.031</v>
      </c>
      <c r="M5076" t="n">
        <v>0</v>
      </c>
      <c r="N5076" t="inlineStr">
        <is>
          <t>train</t>
        </is>
      </c>
      <c r="O5076">
        <f>HYPERLINK("NoConsenso\marker_651_739107.png", "Ver Imagen")</f>
        <v/>
      </c>
      <c r="P5076">
        <f>HYPERLINK("NE\A-490\A-490__97.png", "Ver Imagen")</f>
        <v/>
      </c>
    </row>
    <row r="5077">
      <c r="A5077" t="n">
        <v>4753</v>
      </c>
      <c r="B5077" t="inlineStr">
        <is>
          <t>A-490__131</t>
        </is>
      </c>
      <c r="C5077" t="n">
        <v>37.451870656</v>
      </c>
      <c r="D5077" t="n">
        <v>-7.15767232278</v>
      </c>
      <c r="E5077" t="n">
        <v>2</v>
      </c>
      <c r="F5077" t="n">
        <v>3</v>
      </c>
      <c r="G5077" t="n">
        <v>5</v>
      </c>
      <c r="H5077" t="n">
        <v>3</v>
      </c>
      <c r="I5077" t="n">
        <v>3</v>
      </c>
      <c r="J5077" t="inlineStr">
        <is>
          <t>Mediana</t>
        </is>
      </c>
      <c r="K5077" t="n">
        <v>3</v>
      </c>
      <c r="L5077" t="n">
        <v>3.136</v>
      </c>
      <c r="M5077" t="n">
        <v>0</v>
      </c>
      <c r="N5077" t="inlineStr">
        <is>
          <t>val</t>
        </is>
      </c>
      <c r="O5077">
        <f>HYPERLINK("NoConsenso\marker_854_740268.png", "Ver Imagen")</f>
        <v/>
      </c>
      <c r="P5077">
        <f>HYPERLINK("NE\A-490\A-490__131.png", "Ver Imagen")</f>
        <v/>
      </c>
    </row>
    <row r="5078">
      <c r="A5078" t="n">
        <v>4754</v>
      </c>
      <c r="B5078" t="inlineStr">
        <is>
          <t>A-490__134</t>
        </is>
      </c>
      <c r="C5078" t="n">
        <v>37.4520278415</v>
      </c>
      <c r="D5078" t="n">
        <v>-7.15842502298</v>
      </c>
      <c r="E5078" t="n">
        <v>2</v>
      </c>
      <c r="F5078" t="n">
        <v>3</v>
      </c>
      <c r="G5078" t="n">
        <v>5</v>
      </c>
      <c r="H5078" t="n">
        <v>3</v>
      </c>
      <c r="I5078" t="n">
        <v>3</v>
      </c>
      <c r="J5078" t="inlineStr">
        <is>
          <t>Mediana</t>
        </is>
      </c>
      <c r="K5078" t="n">
        <v>3</v>
      </c>
      <c r="L5078" t="n">
        <v>2.997</v>
      </c>
      <c r="M5078" t="n">
        <v>0</v>
      </c>
      <c r="N5078" t="inlineStr">
        <is>
          <t>val</t>
        </is>
      </c>
      <c r="O5078">
        <f>HYPERLINK("NoConsenso\marker_528_740320.png", "Ver Imagen")</f>
        <v/>
      </c>
      <c r="P5078">
        <f>HYPERLINK("NE\A-490\A-490__134.png", "Ver Imagen")</f>
        <v/>
      </c>
    </row>
    <row r="5079">
      <c r="A5079" t="n">
        <v>4755</v>
      </c>
      <c r="B5079" t="inlineStr">
        <is>
          <t>A-490__146</t>
        </is>
      </c>
      <c r="C5079" t="n">
        <v>37.4527572148</v>
      </c>
      <c r="D5079" t="n">
        <v>-7.16130389239</v>
      </c>
      <c r="E5079" t="n">
        <v>1</v>
      </c>
      <c r="F5079" t="n">
        <v>3</v>
      </c>
      <c r="G5079" t="n">
        <v>4</v>
      </c>
      <c r="H5079" t="n">
        <v>2</v>
      </c>
      <c r="I5079" t="n">
        <v>3</v>
      </c>
      <c r="J5079" t="inlineStr">
        <is>
          <t>Modificada</t>
        </is>
      </c>
      <c r="K5079" t="n">
        <v>2</v>
      </c>
      <c r="L5079" t="n">
        <v>2.247</v>
      </c>
      <c r="M5079" t="n">
        <v>0</v>
      </c>
      <c r="N5079" t="inlineStr">
        <is>
          <t>train</t>
        </is>
      </c>
      <c r="O5079">
        <f>HYPERLINK("NoConsenso\marker_736_740675.png", "Ver Imagen")</f>
        <v/>
      </c>
      <c r="P5079">
        <f>HYPERLINK("NE\A-490\A-490__146.png", "Ver Imagen")</f>
        <v/>
      </c>
    </row>
    <row r="5080">
      <c r="A5080" t="n">
        <v>4756</v>
      </c>
      <c r="B5080" t="inlineStr">
        <is>
          <t>A-490__164</t>
        </is>
      </c>
      <c r="C5080" t="n">
        <v>37.4546834171</v>
      </c>
      <c r="D5080" t="n">
        <v>-7.16509814237</v>
      </c>
      <c r="E5080" t="n">
        <v>2</v>
      </c>
      <c r="F5080" t="n">
        <v>4</v>
      </c>
      <c r="G5080" t="n">
        <v>5</v>
      </c>
      <c r="H5080" t="n">
        <v>4</v>
      </c>
      <c r="I5080" t="n">
        <v>5</v>
      </c>
      <c r="J5080" t="inlineStr">
        <is>
          <t>Mediana</t>
        </is>
      </c>
      <c r="K5080" t="n">
        <v>4</v>
      </c>
      <c r="L5080" t="n">
        <v>3.656</v>
      </c>
      <c r="M5080" t="n">
        <v>0</v>
      </c>
      <c r="N5080" t="inlineStr">
        <is>
          <t>train</t>
        </is>
      </c>
      <c r="O5080">
        <f>HYPERLINK("NoConsenso\marker_877_741322.png", "Ver Imagen")</f>
        <v/>
      </c>
      <c r="P5080">
        <f>HYPERLINK("NE\A-490\A-490__164.png", "Ver Imagen")</f>
        <v/>
      </c>
    </row>
    <row r="5081">
      <c r="A5081" t="n">
        <v>4757</v>
      </c>
      <c r="B5081" t="inlineStr">
        <is>
          <t>A-490__180</t>
        </is>
      </c>
      <c r="C5081" t="n">
        <v>37.4569871684</v>
      </c>
      <c r="D5081" t="n">
        <v>-7.16802283071</v>
      </c>
      <c r="E5081" t="n">
        <v>1</v>
      </c>
      <c r="F5081" t="n">
        <v>3</v>
      </c>
      <c r="G5081" t="n">
        <v>4</v>
      </c>
      <c r="H5081" t="n">
        <v>3</v>
      </c>
      <c r="I5081" t="n">
        <v>3</v>
      </c>
      <c r="J5081" t="inlineStr">
        <is>
          <t>Mediana</t>
        </is>
      </c>
      <c r="K5081" t="n">
        <v>3</v>
      </c>
      <c r="L5081" t="n">
        <v>2.826</v>
      </c>
      <c r="M5081" t="n">
        <v>0</v>
      </c>
      <c r="N5081" t="inlineStr">
        <is>
          <t>train</t>
        </is>
      </c>
      <c r="O5081">
        <f>HYPERLINK("NoConsenso\marker_239_741790.png", "Ver Imagen")</f>
        <v/>
      </c>
      <c r="P5081">
        <f>HYPERLINK("NE\A-490\A-490__180.png", "Ver Imagen")</f>
        <v/>
      </c>
    </row>
    <row r="5082">
      <c r="A5082" t="n">
        <v>4758</v>
      </c>
      <c r="B5082" t="inlineStr">
        <is>
          <t>A-490__216</t>
        </is>
      </c>
      <c r="C5082" t="n">
        <v>37.461836467</v>
      </c>
      <c r="D5082" t="n">
        <v>-7.17486504512</v>
      </c>
      <c r="E5082" t="n">
        <v>2</v>
      </c>
      <c r="F5082" t="n">
        <v>4</v>
      </c>
      <c r="G5082" t="n">
        <v>5</v>
      </c>
      <c r="H5082" t="n">
        <v>3</v>
      </c>
      <c r="I5082" t="n">
        <v>4</v>
      </c>
      <c r="J5082" t="inlineStr">
        <is>
          <t>Mediana</t>
        </is>
      </c>
      <c r="K5082" t="n">
        <v>4</v>
      </c>
      <c r="L5082" t="n">
        <v>3.798</v>
      </c>
      <c r="M5082" t="n">
        <v>0</v>
      </c>
      <c r="N5082" t="inlineStr">
        <is>
          <t>train</t>
        </is>
      </c>
      <c r="O5082">
        <f>HYPERLINK("NoConsenso\marker_811_743223.png", "Ver Imagen")</f>
        <v/>
      </c>
      <c r="P5082">
        <f>HYPERLINK("NE\A-490\A-490__216.png", "Ver Imagen")</f>
        <v/>
      </c>
    </row>
    <row r="5083">
      <c r="A5083" t="n">
        <v>4759</v>
      </c>
      <c r="B5083" t="inlineStr">
        <is>
          <t>A-490__585</t>
        </is>
      </c>
      <c r="C5083" t="n">
        <v>37.4900751592</v>
      </c>
      <c r="D5083" t="n">
        <v>-7.25899859601</v>
      </c>
      <c r="E5083" t="n">
        <v>1</v>
      </c>
      <c r="F5083" t="n">
        <v>3</v>
      </c>
      <c r="G5083" t="n">
        <v>4</v>
      </c>
      <c r="H5083" t="n">
        <v>2</v>
      </c>
      <c r="I5083" t="n">
        <v>2</v>
      </c>
      <c r="J5083" t="inlineStr">
        <is>
          <t>Mediana</t>
        </is>
      </c>
      <c r="K5083" t="n">
        <v>2</v>
      </c>
      <c r="L5083" t="n">
        <v>1.713</v>
      </c>
      <c r="M5083" t="n">
        <v>0</v>
      </c>
      <c r="N5083" t="inlineStr">
        <is>
          <t>train</t>
        </is>
      </c>
      <c r="O5083">
        <f>HYPERLINK("NoConsenso\marker_233_819550.png", "Ver Imagen")</f>
        <v/>
      </c>
      <c r="P5083">
        <f>HYPERLINK("NO\A-490\A-490__585.png", "Ver Imagen")</f>
        <v/>
      </c>
    </row>
    <row r="5084">
      <c r="A5084" t="n">
        <v>4761</v>
      </c>
      <c r="B5084" t="inlineStr">
        <is>
          <t>A-490__538</t>
        </is>
      </c>
      <c r="C5084" t="n">
        <v>37.4892190121</v>
      </c>
      <c r="D5084" t="n">
        <v>-7.24789397394</v>
      </c>
      <c r="E5084" t="n">
        <v>1</v>
      </c>
      <c r="F5084" t="n">
        <v>4</v>
      </c>
      <c r="G5084" t="n">
        <v>3</v>
      </c>
      <c r="H5084" t="n">
        <v>2</v>
      </c>
      <c r="I5084" t="n">
        <v>1</v>
      </c>
      <c r="J5084" t="inlineStr">
        <is>
          <t>Mediana</t>
        </is>
      </c>
      <c r="K5084" t="n">
        <v>2</v>
      </c>
      <c r="L5084" t="n">
        <v>1.905</v>
      </c>
      <c r="M5084" t="n">
        <v>0</v>
      </c>
      <c r="N5084" t="inlineStr">
        <is>
          <t>train</t>
        </is>
      </c>
      <c r="O5084">
        <f>HYPERLINK("NoConsenso\marker_353_818316.png", "Ver Imagen")</f>
        <v/>
      </c>
      <c r="P5084">
        <f>HYPERLINK("NO\A-490\A-490__538.png", "Ver Imagen")</f>
        <v/>
      </c>
    </row>
    <row r="5085">
      <c r="A5085" t="n">
        <v>4762</v>
      </c>
      <c r="B5085" t="inlineStr">
        <is>
          <t>A-490__549</t>
        </is>
      </c>
      <c r="C5085" t="n">
        <v>37.4906886806</v>
      </c>
      <c r="D5085" t="n">
        <v>-7.24992745029</v>
      </c>
      <c r="E5085" t="n">
        <v>1</v>
      </c>
      <c r="F5085" t="n">
        <v>3</v>
      </c>
      <c r="G5085" t="n">
        <v>4</v>
      </c>
      <c r="H5085" t="n">
        <v>2</v>
      </c>
      <c r="I5085" t="n">
        <v>3</v>
      </c>
      <c r="J5085" t="inlineStr">
        <is>
          <t>Mediana</t>
        </is>
      </c>
      <c r="K5085" t="n">
        <v>3</v>
      </c>
      <c r="L5085" t="n">
        <v>3.028</v>
      </c>
      <c r="M5085" t="n">
        <v>0</v>
      </c>
      <c r="N5085" t="inlineStr">
        <is>
          <t>train</t>
        </is>
      </c>
      <c r="O5085">
        <f>HYPERLINK("NoConsenso\marker_476_818515.png", "Ver Imagen")</f>
        <v/>
      </c>
      <c r="P5085">
        <f>HYPERLINK("NO\A-490\A-490__549.png", "Ver Imagen")</f>
        <v/>
      </c>
    </row>
    <row r="5086">
      <c r="A5086" t="n">
        <v>4763</v>
      </c>
      <c r="B5086" t="inlineStr">
        <is>
          <t>A-490__618</t>
        </is>
      </c>
      <c r="C5086" t="n">
        <v>37.4940436069</v>
      </c>
      <c r="D5086" t="n">
        <v>-7.26545729883</v>
      </c>
      <c r="E5086" t="n">
        <v>1</v>
      </c>
      <c r="F5086" t="n">
        <v>4</v>
      </c>
      <c r="G5086" t="n">
        <v>3</v>
      </c>
      <c r="H5086" t="n">
        <v>3</v>
      </c>
      <c r="I5086" t="n">
        <v>3</v>
      </c>
      <c r="J5086" t="inlineStr">
        <is>
          <t>Mediana</t>
        </is>
      </c>
      <c r="K5086" t="n">
        <v>3</v>
      </c>
      <c r="L5086" t="n">
        <v>3.023</v>
      </c>
      <c r="M5086" t="n">
        <v>0</v>
      </c>
      <c r="N5086" t="inlineStr">
        <is>
          <t>train</t>
        </is>
      </c>
      <c r="O5086">
        <f>HYPERLINK("NoConsenso\marker_291_820285.png", "Ver Imagen")</f>
        <v/>
      </c>
      <c r="P5086">
        <f>HYPERLINK("NO\A-490\A-490__618.png", "Ver Imagen")</f>
        <v/>
      </c>
    </row>
    <row r="5087">
      <c r="A5087" t="n">
        <v>4764</v>
      </c>
      <c r="B5087" t="inlineStr">
        <is>
          <t>A-492__95</t>
        </is>
      </c>
      <c r="C5087" t="n">
        <v>37.2799620063</v>
      </c>
      <c r="D5087" t="n">
        <v>-7.00610148712</v>
      </c>
      <c r="E5087" t="n">
        <v>1</v>
      </c>
      <c r="F5087" t="n">
        <v>2</v>
      </c>
      <c r="G5087" t="n">
        <v>4</v>
      </c>
      <c r="H5087" t="n">
        <v>2</v>
      </c>
      <c r="I5087" t="n">
        <v>1</v>
      </c>
      <c r="J5087" t="inlineStr">
        <is>
          <t>Mediana</t>
        </is>
      </c>
      <c r="K5087" t="n">
        <v>2</v>
      </c>
      <c r="L5087" t="n">
        <v>1.838</v>
      </c>
      <c r="M5087" t="n">
        <v>0</v>
      </c>
      <c r="N5087" t="inlineStr">
        <is>
          <t>train</t>
        </is>
      </c>
      <c r="O5087">
        <f>HYPERLINK("NoConsenso\marker_123_823705.png", "Ver Imagen")</f>
        <v/>
      </c>
      <c r="P5087">
        <f>HYPERLINK("SE\A-492\A-492__95.png", "Ver Imagen")</f>
        <v/>
      </c>
    </row>
    <row r="5088">
      <c r="A5088" t="n">
        <v>4765</v>
      </c>
      <c r="B5088" t="inlineStr">
        <is>
          <t>A-492__172</t>
        </is>
      </c>
      <c r="C5088" t="n">
        <v>37.276299618</v>
      </c>
      <c r="D5088" t="n">
        <v>-7.02376271631</v>
      </c>
      <c r="E5088" t="n">
        <v>1</v>
      </c>
      <c r="F5088" t="n">
        <v>2</v>
      </c>
      <c r="G5088" t="n">
        <v>4</v>
      </c>
      <c r="H5088" t="n">
        <v>2</v>
      </c>
      <c r="I5088" t="n">
        <v>3</v>
      </c>
      <c r="J5088" t="inlineStr">
        <is>
          <t>Mediana</t>
        </is>
      </c>
      <c r="K5088" t="n">
        <v>2</v>
      </c>
      <c r="L5088" t="n">
        <v>1.946</v>
      </c>
      <c r="M5088" t="n">
        <v>0</v>
      </c>
      <c r="N5088" t="inlineStr">
        <is>
          <t>train</t>
        </is>
      </c>
      <c r="O5088">
        <f>HYPERLINK("NoConsenso\marker_448_831483.png", "Ver Imagen")</f>
        <v/>
      </c>
      <c r="P5088">
        <f>HYPERLINK("SE\A-492\A-492__172.png", "Ver Imagen")</f>
        <v/>
      </c>
    </row>
    <row r="5089">
      <c r="A5089" t="n">
        <v>4766</v>
      </c>
      <c r="B5089" t="inlineStr">
        <is>
          <t>A-492__173</t>
        </is>
      </c>
      <c r="C5089" t="n">
        <v>37.2763351645</v>
      </c>
      <c r="D5089" t="n">
        <v>-7.024017895</v>
      </c>
      <c r="E5089" t="n">
        <v>1</v>
      </c>
      <c r="F5089" t="n">
        <v>3</v>
      </c>
      <c r="G5089" t="n">
        <v>4</v>
      </c>
      <c r="H5089" t="n">
        <v>2</v>
      </c>
      <c r="I5089" t="n">
        <v>3</v>
      </c>
      <c r="J5089" t="inlineStr">
        <is>
          <t>Mediana</t>
        </is>
      </c>
      <c r="K5089" t="n">
        <v>3</v>
      </c>
      <c r="L5089" t="n">
        <v>2.844</v>
      </c>
      <c r="M5089" t="n">
        <v>0</v>
      </c>
      <c r="N5089" t="inlineStr">
        <is>
          <t>train</t>
        </is>
      </c>
      <c r="O5089">
        <f>HYPERLINK("NoConsenso\marker_594_831504.png", "Ver Imagen")</f>
        <v/>
      </c>
      <c r="P5089">
        <f>HYPERLINK("SE\A-492\A-492__173.png", "Ver Imagen")</f>
        <v/>
      </c>
    </row>
    <row r="5090">
      <c r="A5090" t="n">
        <v>4767</v>
      </c>
      <c r="B5090" t="inlineStr">
        <is>
          <t>A-492__234</t>
        </is>
      </c>
      <c r="C5090" t="n">
        <v>37.2839722369</v>
      </c>
      <c r="D5090" t="n">
        <v>-7.03481173185</v>
      </c>
      <c r="E5090" t="n">
        <v>1</v>
      </c>
      <c r="F5090" t="n">
        <v>3</v>
      </c>
      <c r="G5090" t="n">
        <v>4</v>
      </c>
      <c r="H5090" t="n">
        <v>2</v>
      </c>
      <c r="I5090" t="n">
        <v>1</v>
      </c>
      <c r="J5090" t="inlineStr">
        <is>
          <t>Mediana</t>
        </is>
      </c>
      <c r="K5090" t="n">
        <v>2</v>
      </c>
      <c r="L5090" t="n">
        <v>1.617</v>
      </c>
      <c r="M5090" t="n">
        <v>0</v>
      </c>
      <c r="N5090" t="inlineStr">
        <is>
          <t>train</t>
        </is>
      </c>
      <c r="O5090">
        <f>HYPERLINK("NoConsenso\marker_952_835861.png", "Ver Imagen")</f>
        <v/>
      </c>
      <c r="P5090">
        <f>HYPERLINK("SE\A-492\A-492__234.png", "Ver Imagen")</f>
        <v/>
      </c>
    </row>
    <row r="5091">
      <c r="A5091" t="n">
        <v>4768</v>
      </c>
      <c r="B5091" t="inlineStr">
        <is>
          <t>A-492__279</t>
        </is>
      </c>
      <c r="C5091" t="n">
        <v>37.2888674984</v>
      </c>
      <c r="D5091" t="n">
        <v>-7.04325557488</v>
      </c>
      <c r="E5091" t="n">
        <v>1</v>
      </c>
      <c r="F5091" t="n">
        <v>2</v>
      </c>
      <c r="G5091" t="n">
        <v>4</v>
      </c>
      <c r="H5091" t="n">
        <v>2</v>
      </c>
      <c r="I5091" t="n">
        <v>1</v>
      </c>
      <c r="J5091" t="inlineStr">
        <is>
          <t>Mediana</t>
        </is>
      </c>
      <c r="K5091" t="n">
        <v>2</v>
      </c>
      <c r="L5091" t="n">
        <v>2.067</v>
      </c>
      <c r="M5091" t="n">
        <v>0</v>
      </c>
      <c r="N5091" t="inlineStr">
        <is>
          <t>train</t>
        </is>
      </c>
      <c r="O5091">
        <f>HYPERLINK("NoConsenso\marker_627_836903.png", "Ver Imagen")</f>
        <v/>
      </c>
      <c r="P5091">
        <f>HYPERLINK("SE\A-492\A-492__279.png", "Ver Imagen")</f>
        <v/>
      </c>
    </row>
    <row r="5092">
      <c r="A5092" t="n">
        <v>4769</v>
      </c>
      <c r="B5092" t="inlineStr">
        <is>
          <t>A-492__288</t>
        </is>
      </c>
      <c r="C5092" t="n">
        <v>37.2900875703</v>
      </c>
      <c r="D5092" t="n">
        <v>-7.04491966333</v>
      </c>
      <c r="E5092" t="n">
        <v>1</v>
      </c>
      <c r="F5092" t="n">
        <v>2</v>
      </c>
      <c r="G5092" t="n">
        <v>4</v>
      </c>
      <c r="H5092" t="n">
        <v>2</v>
      </c>
      <c r="I5092" t="n">
        <v>2</v>
      </c>
      <c r="J5092" t="inlineStr">
        <is>
          <t>Mediana</t>
        </is>
      </c>
      <c r="K5092" t="n">
        <v>2</v>
      </c>
      <c r="L5092" t="n">
        <v>2.207</v>
      </c>
      <c r="M5092" t="n">
        <v>0</v>
      </c>
      <c r="N5092" t="inlineStr">
        <is>
          <t>train</t>
        </is>
      </c>
      <c r="O5092">
        <f>HYPERLINK("NoConsenso\marker_389_837395.png", "Ver Imagen")</f>
        <v/>
      </c>
      <c r="P5092">
        <f>HYPERLINK("SE\A-492\A-492__288.png", "Ver Imagen")</f>
        <v/>
      </c>
    </row>
    <row r="5093">
      <c r="A5093" t="n">
        <v>4770</v>
      </c>
      <c r="B5093" t="inlineStr">
        <is>
          <t>A-492__291</t>
        </is>
      </c>
      <c r="C5093" t="n">
        <v>37.290633774</v>
      </c>
      <c r="D5093" t="n">
        <v>-7.04526994724</v>
      </c>
      <c r="E5093" t="n">
        <v>1</v>
      </c>
      <c r="F5093" t="n">
        <v>2</v>
      </c>
      <c r="G5093" t="n">
        <v>4</v>
      </c>
      <c r="H5093" t="n">
        <v>2</v>
      </c>
      <c r="I5093" t="n">
        <v>2</v>
      </c>
      <c r="J5093" t="inlineStr">
        <is>
          <t>Mediana</t>
        </is>
      </c>
      <c r="K5093" t="n">
        <v>2</v>
      </c>
      <c r="L5093" t="n">
        <v>2.199</v>
      </c>
      <c r="M5093" t="n">
        <v>0</v>
      </c>
      <c r="N5093" t="inlineStr">
        <is>
          <t>train</t>
        </is>
      </c>
      <c r="O5093">
        <f>HYPERLINK("NoConsenso\marker_456_837437.png", "Ver Imagen")</f>
        <v/>
      </c>
      <c r="P5093">
        <f>HYPERLINK("SE\A-492\A-492__291.png", "Ver Imagen")</f>
        <v/>
      </c>
    </row>
    <row r="5094">
      <c r="A5094" t="n">
        <v>4771</v>
      </c>
      <c r="B5094" t="inlineStr">
        <is>
          <t>A-492__294</t>
        </is>
      </c>
      <c r="C5094" t="n">
        <v>37.2911940649</v>
      </c>
      <c r="D5094" t="n">
        <v>-7.0454162167</v>
      </c>
      <c r="E5094" t="n">
        <v>1</v>
      </c>
      <c r="F5094" t="n">
        <v>4</v>
      </c>
      <c r="G5094" t="n">
        <v>4</v>
      </c>
      <c r="H5094" t="n">
        <v>2</v>
      </c>
      <c r="I5094" t="n">
        <v>1</v>
      </c>
      <c r="J5094" t="inlineStr">
        <is>
          <t>Mediana</t>
        </is>
      </c>
      <c r="K5094" t="n">
        <v>2</v>
      </c>
      <c r="L5094" t="n">
        <v>2.032</v>
      </c>
      <c r="M5094" t="n">
        <v>0</v>
      </c>
      <c r="N5094" t="inlineStr">
        <is>
          <t>val</t>
        </is>
      </c>
      <c r="O5094">
        <f>HYPERLINK("NoConsenso\marker_501_837469.png", "Ver Imagen")</f>
        <v/>
      </c>
      <c r="P5094">
        <f>HYPERLINK("SE\A-492\A-492__294.png", "Ver Imagen")</f>
        <v/>
      </c>
    </row>
    <row r="5095">
      <c r="A5095" t="n">
        <v>4772</v>
      </c>
      <c r="B5095" t="inlineStr">
        <is>
          <t>A-492__301</t>
        </is>
      </c>
      <c r="C5095" t="n">
        <v>37.2925848751</v>
      </c>
      <c r="D5095" t="n">
        <v>-7.04575450908</v>
      </c>
      <c r="E5095" t="n">
        <v>1</v>
      </c>
      <c r="F5095" t="n">
        <v>2</v>
      </c>
      <c r="G5095" t="n">
        <v>4</v>
      </c>
      <c r="H5095" t="n">
        <v>2</v>
      </c>
      <c r="I5095" t="n">
        <v>1</v>
      </c>
      <c r="J5095" t="inlineStr">
        <is>
          <t>Mediana</t>
        </is>
      </c>
      <c r="K5095" t="n">
        <v>2</v>
      </c>
      <c r="L5095" t="n">
        <v>2.197</v>
      </c>
      <c r="M5095" t="n">
        <v>0</v>
      </c>
      <c r="N5095" t="inlineStr">
        <is>
          <t>test</t>
        </is>
      </c>
      <c r="O5095">
        <f>HYPERLINK("NoConsenso\marker_683_837565.png", "Ver Imagen")</f>
        <v/>
      </c>
      <c r="P5095">
        <f>HYPERLINK("SE\A-492\A-492__301.png", "Ver Imagen")</f>
        <v/>
      </c>
    </row>
    <row r="5096">
      <c r="A5096" t="n">
        <v>4773</v>
      </c>
      <c r="B5096" t="inlineStr">
        <is>
          <t>A-492__323</t>
        </is>
      </c>
      <c r="C5096" t="n">
        <v>37.2958209157</v>
      </c>
      <c r="D5096" t="n">
        <v>-7.04956995343</v>
      </c>
      <c r="E5096" t="n">
        <v>1</v>
      </c>
      <c r="F5096" t="n">
        <v>2</v>
      </c>
      <c r="G5096" t="n">
        <v>4</v>
      </c>
      <c r="H5096" t="n">
        <v>3</v>
      </c>
      <c r="I5096" t="n">
        <v>2</v>
      </c>
      <c r="J5096" t="inlineStr">
        <is>
          <t>Mediana</t>
        </is>
      </c>
      <c r="K5096" t="n">
        <v>2</v>
      </c>
      <c r="L5096" t="n">
        <v>2.181</v>
      </c>
      <c r="M5096" t="n">
        <v>0</v>
      </c>
      <c r="N5096" t="inlineStr">
        <is>
          <t>train</t>
        </is>
      </c>
      <c r="O5096">
        <f>HYPERLINK("NoConsenso\marker_116_837995.png", "Ver Imagen")</f>
        <v/>
      </c>
      <c r="P5096">
        <f>HYPERLINK("SE\A-492\A-492__323.png", "Ver Imagen")</f>
        <v/>
      </c>
    </row>
    <row r="5097">
      <c r="A5097" t="n">
        <v>4774</v>
      </c>
      <c r="B5097" t="inlineStr">
        <is>
          <t>A-492__334</t>
        </is>
      </c>
      <c r="C5097" t="n">
        <v>37.2971501891</v>
      </c>
      <c r="D5097" t="n">
        <v>-7.05172451617</v>
      </c>
      <c r="E5097" t="n">
        <v>1</v>
      </c>
      <c r="F5097" t="n">
        <v>2</v>
      </c>
      <c r="G5097" t="n">
        <v>4</v>
      </c>
      <c r="H5097" t="n">
        <v>2</v>
      </c>
      <c r="I5097" t="n">
        <v>2</v>
      </c>
      <c r="J5097" t="inlineStr">
        <is>
          <t>Mediana</t>
        </is>
      </c>
      <c r="K5097" t="n">
        <v>2</v>
      </c>
      <c r="L5097" t="n">
        <v>1.898</v>
      </c>
      <c r="M5097" t="n">
        <v>0</v>
      </c>
      <c r="N5097" t="inlineStr">
        <is>
          <t>train</t>
        </is>
      </c>
      <c r="O5097">
        <f>HYPERLINK("NoConsenso\marker_662_838139.png", "Ver Imagen")</f>
        <v/>
      </c>
      <c r="P5097">
        <f>HYPERLINK("SE\A-492\A-492__334.png", "Ver Imagen")</f>
        <v/>
      </c>
    </row>
    <row r="5098">
      <c r="A5098" t="n">
        <v>4775</v>
      </c>
      <c r="B5098" t="inlineStr">
        <is>
          <t>A-492__337</t>
        </is>
      </c>
      <c r="C5098" t="n">
        <v>37.2973972355</v>
      </c>
      <c r="D5098" t="n">
        <v>-7.05248461012</v>
      </c>
      <c r="E5098" t="n">
        <v>1</v>
      </c>
      <c r="F5098" t="n">
        <v>2</v>
      </c>
      <c r="G5098" t="n">
        <v>4</v>
      </c>
      <c r="H5098" t="n">
        <v>2</v>
      </c>
      <c r="I5098" t="n">
        <v>3</v>
      </c>
      <c r="J5098" t="inlineStr">
        <is>
          <t>Mediana</t>
        </is>
      </c>
      <c r="K5098" t="n">
        <v>2</v>
      </c>
      <c r="L5098" t="n">
        <v>1.968</v>
      </c>
      <c r="M5098" t="n">
        <v>0</v>
      </c>
      <c r="N5098" t="inlineStr">
        <is>
          <t>train</t>
        </is>
      </c>
      <c r="O5098">
        <f>HYPERLINK("NoConsenso\marker_177_838170.png", "Ver Imagen")</f>
        <v/>
      </c>
      <c r="P5098">
        <f>HYPERLINK("SE\A-492\A-492__337.png", "Ver Imagen")</f>
        <v/>
      </c>
    </row>
    <row r="5099">
      <c r="A5099" t="n">
        <v>4776</v>
      </c>
      <c r="B5099" t="inlineStr">
        <is>
          <t>A-492__362</t>
        </is>
      </c>
      <c r="C5099" t="n">
        <v>37.3012837455</v>
      </c>
      <c r="D5099" t="n">
        <v>-7.05628046799</v>
      </c>
      <c r="E5099" t="n">
        <v>1</v>
      </c>
      <c r="F5099" t="n">
        <v>3</v>
      </c>
      <c r="G5099" t="n">
        <v>4</v>
      </c>
      <c r="H5099" t="n">
        <v>3</v>
      </c>
      <c r="I5099" t="n">
        <v>2</v>
      </c>
      <c r="J5099" t="inlineStr">
        <is>
          <t>Mediana</t>
        </is>
      </c>
      <c r="K5099" t="n">
        <v>3</v>
      </c>
      <c r="L5099" t="n">
        <v>2.919</v>
      </c>
      <c r="M5099" t="n">
        <v>0</v>
      </c>
      <c r="N5099" t="inlineStr">
        <is>
          <t>train</t>
        </is>
      </c>
      <c r="O5099">
        <f>HYPERLINK("NoConsenso\marker_873_838652.png", "Ver Imagen")</f>
        <v/>
      </c>
      <c r="P5099">
        <f>HYPERLINK("SE\A-492\A-492__362.png", "Ver Imagen")</f>
        <v/>
      </c>
    </row>
    <row r="5100">
      <c r="A5100" t="n">
        <v>4777</v>
      </c>
      <c r="B5100" t="inlineStr">
        <is>
          <t>A-492__387</t>
        </is>
      </c>
      <c r="C5100" t="n">
        <v>37.3062809311</v>
      </c>
      <c r="D5100" t="n">
        <v>-7.05678605712</v>
      </c>
      <c r="E5100" t="n">
        <v>1</v>
      </c>
      <c r="F5100" t="n">
        <v>2</v>
      </c>
      <c r="G5100" t="n">
        <v>4</v>
      </c>
      <c r="H5100" t="n">
        <v>2</v>
      </c>
      <c r="I5100" t="n">
        <v>1</v>
      </c>
      <c r="J5100" t="inlineStr">
        <is>
          <t>Mediana</t>
        </is>
      </c>
      <c r="K5100" t="n">
        <v>2</v>
      </c>
      <c r="L5100" t="n">
        <v>1.958</v>
      </c>
      <c r="M5100" t="n">
        <v>0</v>
      </c>
      <c r="N5100" t="inlineStr">
        <is>
          <t>train</t>
        </is>
      </c>
      <c r="O5100">
        <f>HYPERLINK("NoConsenso\marker_620_838993.png", "Ver Imagen")</f>
        <v/>
      </c>
      <c r="P5100">
        <f>HYPERLINK("SE\A-492\A-492__387.png", "Ver Imagen")</f>
        <v/>
      </c>
    </row>
    <row r="5101">
      <c r="A5101" t="n">
        <v>4778</v>
      </c>
      <c r="B5101" t="inlineStr">
        <is>
          <t>A-492__388</t>
        </is>
      </c>
      <c r="C5101" t="n">
        <v>37.3065046256</v>
      </c>
      <c r="D5101" t="n">
        <v>-7.05681370099</v>
      </c>
      <c r="E5101" t="n">
        <v>1</v>
      </c>
      <c r="F5101" t="n">
        <v>2</v>
      </c>
      <c r="G5101" t="n">
        <v>4</v>
      </c>
      <c r="H5101" t="n">
        <v>2</v>
      </c>
      <c r="I5101" t="n">
        <v>1</v>
      </c>
      <c r="J5101" t="inlineStr">
        <is>
          <t>Mediana</t>
        </is>
      </c>
      <c r="K5101" t="n">
        <v>2</v>
      </c>
      <c r="L5101" t="n">
        <v>1.729</v>
      </c>
      <c r="M5101" t="n">
        <v>0</v>
      </c>
      <c r="N5101" t="inlineStr">
        <is>
          <t>train</t>
        </is>
      </c>
      <c r="O5101">
        <f>HYPERLINK("NoConsenso\marker_863_839005.png", "Ver Imagen")</f>
        <v/>
      </c>
      <c r="P5101">
        <f>HYPERLINK("SE\A-492\A-492__388.png", "Ver Imagen")</f>
        <v/>
      </c>
    </row>
    <row r="5102">
      <c r="A5102" t="n">
        <v>4779</v>
      </c>
      <c r="B5102" t="inlineStr">
        <is>
          <t>A-492__389</t>
        </is>
      </c>
      <c r="C5102" t="n">
        <v>37.3066972633</v>
      </c>
      <c r="D5102" t="n">
        <v>-7.05683753862</v>
      </c>
      <c r="E5102" t="n">
        <v>1</v>
      </c>
      <c r="F5102" t="n">
        <v>2</v>
      </c>
      <c r="G5102" t="n">
        <v>4</v>
      </c>
      <c r="H5102" t="n">
        <v>2</v>
      </c>
      <c r="I5102" t="n">
        <v>1</v>
      </c>
      <c r="J5102" t="inlineStr">
        <is>
          <t>Mediana</t>
        </is>
      </c>
      <c r="K5102" t="n">
        <v>2</v>
      </c>
      <c r="L5102" t="n">
        <v>1.761</v>
      </c>
      <c r="M5102" t="n">
        <v>0</v>
      </c>
      <c r="N5102" t="inlineStr">
        <is>
          <t>test</t>
        </is>
      </c>
      <c r="O5102">
        <f>HYPERLINK("NoConsenso\marker_589_839016.png", "Ver Imagen")</f>
        <v/>
      </c>
      <c r="P5102">
        <f>HYPERLINK("SE\A-492\A-492__389.png", "Ver Imagen")</f>
        <v/>
      </c>
    </row>
    <row r="5103">
      <c r="A5103" t="n">
        <v>4780</v>
      </c>
      <c r="B5103" t="inlineStr">
        <is>
          <t>A-492__395</t>
        </is>
      </c>
      <c r="C5103" t="n">
        <v>37.3079033636</v>
      </c>
      <c r="D5103" t="n">
        <v>-7.05706202215</v>
      </c>
      <c r="E5103" t="n">
        <v>1</v>
      </c>
      <c r="F5103" t="n">
        <v>2</v>
      </c>
      <c r="G5103" t="n">
        <v>4</v>
      </c>
      <c r="H5103" t="n">
        <v>2</v>
      </c>
      <c r="I5103" t="n">
        <v>1</v>
      </c>
      <c r="J5103" t="inlineStr">
        <is>
          <t>Mediana</t>
        </is>
      </c>
      <c r="K5103" t="n">
        <v>2</v>
      </c>
      <c r="L5103" t="n">
        <v>2.214</v>
      </c>
      <c r="M5103" t="n">
        <v>0</v>
      </c>
      <c r="N5103" t="inlineStr">
        <is>
          <t>train</t>
        </is>
      </c>
      <c r="O5103">
        <f>HYPERLINK("NoConsenso\marker_548_839093.png", "Ver Imagen")</f>
        <v/>
      </c>
      <c r="P5103">
        <f>HYPERLINK("SE\A-492\A-492__395.png", "Ver Imagen")</f>
        <v/>
      </c>
    </row>
    <row r="5104">
      <c r="A5104" t="n">
        <v>4782</v>
      </c>
      <c r="B5104" t="inlineStr">
        <is>
          <t>A-492__458</t>
        </is>
      </c>
      <c r="C5104" t="n">
        <v>37.3158935828</v>
      </c>
      <c r="D5104" t="n">
        <v>-7.06872215285</v>
      </c>
      <c r="E5104" t="n">
        <v>2</v>
      </c>
      <c r="F5104" t="n">
        <v>3</v>
      </c>
      <c r="G5104" t="n">
        <v>5</v>
      </c>
      <c r="H5104" t="n">
        <v>3</v>
      </c>
      <c r="I5104" t="n">
        <v>3</v>
      </c>
      <c r="J5104" t="inlineStr">
        <is>
          <t>Mediana</t>
        </is>
      </c>
      <c r="K5104" t="n">
        <v>3</v>
      </c>
      <c r="L5104" t="n">
        <v>3.01</v>
      </c>
      <c r="M5104" t="n">
        <v>0</v>
      </c>
      <c r="N5104" t="inlineStr">
        <is>
          <t>train</t>
        </is>
      </c>
      <c r="O5104">
        <f>HYPERLINK("NoConsenso\marker_980_839907.png", "Ver Imagen")</f>
        <v/>
      </c>
      <c r="P5104">
        <f>HYPERLINK("SE\A-492\A-492__458.png", "Ver Imagen")</f>
        <v/>
      </c>
    </row>
    <row r="5105">
      <c r="A5105" t="n">
        <v>4784</v>
      </c>
      <c r="B5105" t="inlineStr">
        <is>
          <t>A-5053__331</t>
        </is>
      </c>
      <c r="C5105" t="n">
        <v>37.2797922574</v>
      </c>
      <c r="D5105" t="n">
        <v>-7.14566253193</v>
      </c>
      <c r="E5105" t="n">
        <v>1</v>
      </c>
      <c r="F5105" t="n">
        <v>3</v>
      </c>
      <c r="G5105" t="n">
        <v>4</v>
      </c>
      <c r="H5105" t="n">
        <v>2</v>
      </c>
      <c r="I5105" t="n">
        <v>3</v>
      </c>
      <c r="J5105" t="inlineStr">
        <is>
          <t>Mediana</t>
        </is>
      </c>
      <c r="K5105" t="n">
        <v>3</v>
      </c>
      <c r="L5105" t="n">
        <v>3.247</v>
      </c>
      <c r="M5105" t="n">
        <v>0</v>
      </c>
      <c r="N5105" t="inlineStr">
        <is>
          <t>train</t>
        </is>
      </c>
      <c r="O5105">
        <f>HYPERLINK("NoConsenso\marker_904_964448.png", "Ver Imagen")</f>
        <v/>
      </c>
      <c r="P5105">
        <f>HYPERLINK("SO\A-5053\A-5053__331.png", "Ver Imagen")</f>
        <v/>
      </c>
    </row>
    <row r="5106">
      <c r="A5106" t="n">
        <v>4787</v>
      </c>
      <c r="B5106" t="inlineStr">
        <is>
          <t>A-495__72</t>
        </is>
      </c>
      <c r="C5106" t="n">
        <v>37.4384086852</v>
      </c>
      <c r="D5106" t="n">
        <v>-7.0839473581</v>
      </c>
      <c r="E5106" t="n">
        <v>2</v>
      </c>
      <c r="F5106" t="n">
        <v>3</v>
      </c>
      <c r="G5106" t="n">
        <v>5</v>
      </c>
      <c r="H5106" t="n">
        <v>2</v>
      </c>
      <c r="I5106" t="n">
        <v>2</v>
      </c>
      <c r="J5106" t="inlineStr">
        <is>
          <t>Mediana</t>
        </is>
      </c>
      <c r="K5106" t="n">
        <v>2</v>
      </c>
      <c r="L5106" t="n">
        <v>1.822</v>
      </c>
      <c r="M5106" t="n">
        <v>0</v>
      </c>
      <c r="N5106" t="inlineStr">
        <is>
          <t>train</t>
        </is>
      </c>
      <c r="O5106">
        <f>HYPERLINK("NoConsenso\marker_248_381835.png", "Ver Imagen")</f>
        <v/>
      </c>
      <c r="P5106">
        <f>HYPERLINK("NE\A-495\A-495__72.png", "Ver Imagen")</f>
        <v/>
      </c>
    </row>
    <row r="5107">
      <c r="A5107" t="n">
        <v>4789</v>
      </c>
      <c r="B5107" t="inlineStr">
        <is>
          <t>A-495__74</t>
        </is>
      </c>
      <c r="C5107" t="n">
        <v>37.4382471161</v>
      </c>
      <c r="D5107" t="n">
        <v>-7.0834627388</v>
      </c>
      <c r="E5107" t="n">
        <v>2</v>
      </c>
      <c r="F5107" t="n">
        <v>3</v>
      </c>
      <c r="G5107" t="n">
        <v>5</v>
      </c>
      <c r="H5107" t="n">
        <v>2</v>
      </c>
      <c r="I5107" t="n">
        <v>3</v>
      </c>
      <c r="J5107" t="inlineStr">
        <is>
          <t>Mediana</t>
        </is>
      </c>
      <c r="K5107" t="n">
        <v>2</v>
      </c>
      <c r="L5107" t="n">
        <v>1.972</v>
      </c>
      <c r="M5107" t="n">
        <v>0</v>
      </c>
      <c r="N5107" t="inlineStr">
        <is>
          <t>train</t>
        </is>
      </c>
      <c r="O5107">
        <f>HYPERLINK("NoConsenso\marker_662_381853.png", "Ver Imagen")</f>
        <v/>
      </c>
      <c r="P5107">
        <f>HYPERLINK("NE\A-495\A-495__74.png", "Ver Imagen")</f>
        <v/>
      </c>
    </row>
    <row r="5108">
      <c r="A5108" t="n">
        <v>4790</v>
      </c>
      <c r="B5108" t="inlineStr">
        <is>
          <t>A-495__86</t>
        </is>
      </c>
      <c r="C5108" t="n">
        <v>37.4372111889</v>
      </c>
      <c r="D5108" t="n">
        <v>-7.0807377412</v>
      </c>
      <c r="E5108" t="n">
        <v>2</v>
      </c>
      <c r="F5108" t="n">
        <v>2</v>
      </c>
      <c r="G5108" t="n">
        <v>5</v>
      </c>
      <c r="H5108" t="n">
        <v>2</v>
      </c>
      <c r="I5108" t="n">
        <v>2</v>
      </c>
      <c r="J5108" t="inlineStr">
        <is>
          <t>Mediana</t>
        </is>
      </c>
      <c r="K5108" t="n">
        <v>2</v>
      </c>
      <c r="L5108" t="n">
        <v>1.877</v>
      </c>
      <c r="M5108" t="n">
        <v>0</v>
      </c>
      <c r="N5108" t="inlineStr">
        <is>
          <t>train</t>
        </is>
      </c>
      <c r="O5108">
        <f>HYPERLINK("NoConsenso\marker_138_382002.png", "Ver Imagen")</f>
        <v/>
      </c>
      <c r="P5108">
        <f>HYPERLINK("NE\A-495\A-495__86.png", "Ver Imagen")</f>
        <v/>
      </c>
    </row>
    <row r="5109">
      <c r="A5109" t="n">
        <v>4791</v>
      </c>
      <c r="B5109" t="inlineStr">
        <is>
          <t>A-495__90</t>
        </is>
      </c>
      <c r="C5109" t="n">
        <v>37.437018312</v>
      </c>
      <c r="D5109" t="n">
        <v>-7.07990194801</v>
      </c>
      <c r="E5109" t="n">
        <v>2</v>
      </c>
      <c r="F5109" t="n">
        <v>3</v>
      </c>
      <c r="G5109" t="n">
        <v>5</v>
      </c>
      <c r="H5109" t="n">
        <v>2</v>
      </c>
      <c r="I5109" t="n">
        <v>2</v>
      </c>
      <c r="J5109" t="inlineStr">
        <is>
          <t>Mediana</t>
        </is>
      </c>
      <c r="K5109" t="n">
        <v>2</v>
      </c>
      <c r="L5109" t="n">
        <v>2.086</v>
      </c>
      <c r="M5109" t="n">
        <v>0</v>
      </c>
      <c r="N5109" t="inlineStr">
        <is>
          <t>train</t>
        </is>
      </c>
      <c r="O5109">
        <f>HYPERLINK("NoConsenso\marker_400_382056.png", "Ver Imagen")</f>
        <v/>
      </c>
      <c r="P5109">
        <f>HYPERLINK("NE\A-495\A-495__90.png", "Ver Imagen")</f>
        <v/>
      </c>
    </row>
    <row r="5110">
      <c r="A5110" t="n">
        <v>4792</v>
      </c>
      <c r="B5110" t="inlineStr">
        <is>
          <t>A-495__114</t>
        </is>
      </c>
      <c r="C5110" t="n">
        <v>37.4355381819</v>
      </c>
      <c r="D5110" t="n">
        <v>-7.07452133759</v>
      </c>
      <c r="E5110" t="n">
        <v>4</v>
      </c>
      <c r="F5110" t="n">
        <v>3</v>
      </c>
      <c r="G5110" t="n">
        <v>1</v>
      </c>
      <c r="H5110" t="n">
        <v>2</v>
      </c>
      <c r="I5110" t="n">
        <v>3</v>
      </c>
      <c r="J5110" t="inlineStr">
        <is>
          <t>Mediana</t>
        </is>
      </c>
      <c r="K5110" t="n">
        <v>3</v>
      </c>
      <c r="L5110" t="n">
        <v>3.021</v>
      </c>
      <c r="M5110" t="n">
        <v>0</v>
      </c>
      <c r="N5110" t="inlineStr">
        <is>
          <t>train</t>
        </is>
      </c>
      <c r="O5110">
        <f>HYPERLINK("NoConsenso\marker_244_382312.png", "Ver Imagen")</f>
        <v/>
      </c>
      <c r="P5110">
        <f>HYPERLINK("NE\A-495\A-495__114.png", "Ver Imagen")</f>
        <v/>
      </c>
    </row>
    <row r="5111">
      <c r="A5111" t="n">
        <v>4793</v>
      </c>
      <c r="B5111" t="inlineStr">
        <is>
          <t>A-495__123</t>
        </is>
      </c>
      <c r="C5111" t="n">
        <v>37.4353404204</v>
      </c>
      <c r="D5111" t="n">
        <v>-7.07223245136</v>
      </c>
      <c r="E5111" t="n">
        <v>4</v>
      </c>
      <c r="F5111" t="n">
        <v>3</v>
      </c>
      <c r="G5111" t="n">
        <v>1</v>
      </c>
      <c r="H5111" t="n">
        <v>2</v>
      </c>
      <c r="I5111" t="n">
        <v>2</v>
      </c>
      <c r="J5111" t="inlineStr">
        <is>
          <t>Mediana</t>
        </is>
      </c>
      <c r="K5111" t="n">
        <v>2</v>
      </c>
      <c r="L5111" t="n">
        <v>1.756</v>
      </c>
      <c r="M5111" t="n">
        <v>0</v>
      </c>
      <c r="N5111" t="inlineStr">
        <is>
          <t>train</t>
        </is>
      </c>
      <c r="O5111">
        <f>HYPERLINK("NoConsenso\marker_101_382401.png", "Ver Imagen")</f>
        <v/>
      </c>
      <c r="P5111">
        <f>HYPERLINK("NE\A-495\A-495__123.png", "Ver Imagen")</f>
        <v/>
      </c>
    </row>
    <row r="5112">
      <c r="A5112" t="n">
        <v>4794</v>
      </c>
      <c r="B5112" t="inlineStr">
        <is>
          <t>A-497_2C__372</t>
        </is>
      </c>
      <c r="C5112" t="n">
        <v>37.2349865784</v>
      </c>
      <c r="D5112" t="n">
        <v>-7.01827303382</v>
      </c>
      <c r="E5112" t="n">
        <v>5</v>
      </c>
      <c r="F5112" t="n">
        <v>2</v>
      </c>
      <c r="G5112" t="n">
        <v>3</v>
      </c>
      <c r="H5112" t="n">
        <v>2</v>
      </c>
      <c r="I5112" t="n">
        <v>2</v>
      </c>
      <c r="J5112" t="inlineStr">
        <is>
          <t>Mediana</t>
        </is>
      </c>
      <c r="K5112" t="n">
        <v>2</v>
      </c>
      <c r="L5112" t="n">
        <v>2.11</v>
      </c>
      <c r="M5112" t="n">
        <v>0</v>
      </c>
      <c r="N5112" t="inlineStr">
        <is>
          <t>train</t>
        </is>
      </c>
      <c r="O5112">
        <f>HYPERLINK("NoConsenso\marker_384_362510.png", "Ver Imagen")</f>
        <v/>
      </c>
      <c r="P5112">
        <f>HYPERLINK("SE\A-497_2C\A-497_2C__372.png", "Ver Imagen")</f>
        <v/>
      </c>
    </row>
    <row r="5113">
      <c r="A5113" t="n">
        <v>4795</v>
      </c>
      <c r="B5113" t="inlineStr">
        <is>
          <t>A-497__471</t>
        </is>
      </c>
      <c r="C5113" t="n">
        <v>37.2170064338</v>
      </c>
      <c r="D5113" t="n">
        <v>-7.02304867329</v>
      </c>
      <c r="E5113" t="n">
        <v>3</v>
      </c>
      <c r="F5113" t="n">
        <v>2</v>
      </c>
      <c r="G5113" t="n">
        <v>5</v>
      </c>
      <c r="H5113" t="n">
        <v>2</v>
      </c>
      <c r="I5113" t="n">
        <v>2</v>
      </c>
      <c r="J5113" t="inlineStr">
        <is>
          <t>Mediana</t>
        </is>
      </c>
      <c r="K5113" t="n">
        <v>2</v>
      </c>
      <c r="L5113" t="n">
        <v>2.082</v>
      </c>
      <c r="M5113" t="n">
        <v>0</v>
      </c>
      <c r="N5113" t="inlineStr">
        <is>
          <t>train</t>
        </is>
      </c>
      <c r="O5113">
        <f>HYPERLINK("NoConsenso\marker_461_376463.png", "Ver Imagen")</f>
        <v/>
      </c>
      <c r="P5113">
        <f>HYPERLINK("SE\A-497\A-497__471.png", "Ver Imagen")</f>
        <v/>
      </c>
    </row>
    <row r="5114">
      <c r="A5114" t="n">
        <v>4796</v>
      </c>
      <c r="B5114" t="inlineStr">
        <is>
          <t>A-497__322</t>
        </is>
      </c>
      <c r="C5114" t="n">
        <v>37.2460480045</v>
      </c>
      <c r="D5114" t="n">
        <v>-7.01825833684</v>
      </c>
      <c r="E5114" t="n">
        <v>5</v>
      </c>
      <c r="F5114" t="n">
        <v>2</v>
      </c>
      <c r="G5114" t="n">
        <v>4</v>
      </c>
      <c r="H5114" t="n">
        <v>1</v>
      </c>
      <c r="I5114" t="n">
        <v>1</v>
      </c>
      <c r="J5114" t="inlineStr">
        <is>
          <t>Modificada</t>
        </is>
      </c>
      <c r="K5114" t="n">
        <v>1</v>
      </c>
      <c r="L5114" t="n">
        <v>1</v>
      </c>
      <c r="M5114" t="n">
        <v>0</v>
      </c>
      <c r="N5114" t="inlineStr">
        <is>
          <t>train</t>
        </is>
      </c>
      <c r="O5114">
        <f>HYPERLINK("NoConsenso\marker_163_377942.png", "Ver Imagen")</f>
        <v/>
      </c>
      <c r="P5114">
        <f>HYPERLINK("SE\A-497\A-497__322.png", "Ver Imagen")</f>
        <v/>
      </c>
    </row>
    <row r="5115">
      <c r="A5115" t="n">
        <v>4797</v>
      </c>
      <c r="B5115" t="inlineStr">
        <is>
          <t>A-492__392</t>
        </is>
      </c>
      <c r="C5115" t="n">
        <v>37.3073344961</v>
      </c>
      <c r="D5115" t="n">
        <v>-7.05693220603</v>
      </c>
      <c r="E5115" t="n">
        <v>2</v>
      </c>
      <c r="F5115" t="n">
        <v>1</v>
      </c>
      <c r="G5115" t="n">
        <v>5</v>
      </c>
      <c r="H5115" t="n">
        <v>2</v>
      </c>
      <c r="I5115" t="n">
        <v>1</v>
      </c>
      <c r="J5115" t="inlineStr">
        <is>
          <t>Modificada</t>
        </is>
      </c>
      <c r="K5115" t="n">
        <v>1</v>
      </c>
      <c r="L5115" t="n">
        <v>1.043</v>
      </c>
      <c r="M5115" t="n">
        <v>0</v>
      </c>
      <c r="N5115" t="inlineStr">
        <is>
          <t>train</t>
        </is>
      </c>
      <c r="O5115">
        <f>HYPERLINK("NoConsenso\marker_720_839055.png", "Ver Imagen")</f>
        <v/>
      </c>
      <c r="P5115">
        <f>HYPERLINK("SE\A-492\A-492__392.png", "Ver Imagen")</f>
        <v/>
      </c>
    </row>
    <row r="5116">
      <c r="A5116" t="n">
        <v>4798</v>
      </c>
      <c r="B5116" t="inlineStr">
        <is>
          <t>A-490__422</t>
        </is>
      </c>
      <c r="C5116" t="n">
        <v>37.4828992371</v>
      </c>
      <c r="D5116" t="n">
        <v>-7.21966526253</v>
      </c>
      <c r="E5116" t="n">
        <v>1</v>
      </c>
      <c r="G5116" t="n">
        <v>1</v>
      </c>
      <c r="H5116" t="n">
        <v>2</v>
      </c>
      <c r="I5116" t="n">
        <v>2</v>
      </c>
      <c r="J5116" t="inlineStr">
        <is>
          <t>Mediana</t>
        </is>
      </c>
      <c r="K5116" t="n">
        <v>1.5</v>
      </c>
      <c r="L5116" t="n">
        <v>1.755</v>
      </c>
      <c r="M5116" t="n">
        <v>0</v>
      </c>
      <c r="N5116" t="inlineStr">
        <is>
          <t>train</t>
        </is>
      </c>
      <c r="O5116">
        <f>HYPERLINK("Solo2\marker_387_910667.png", "Ver Imagen")</f>
        <v/>
      </c>
      <c r="P5116">
        <f>HYPERLINK("NO\A-490\A-490__422.png", "Ver Imagen")</f>
        <v/>
      </c>
    </row>
    <row r="5117">
      <c r="A5117" t="n">
        <v>4799</v>
      </c>
      <c r="B5117" t="inlineStr">
        <is>
          <t>A-490__556</t>
        </is>
      </c>
      <c r="C5117" t="n">
        <v>37.4906979492</v>
      </c>
      <c r="D5117" t="n">
        <v>-7.2517047971</v>
      </c>
      <c r="E5117" t="n">
        <v>1</v>
      </c>
      <c r="G5117" t="n">
        <v>1</v>
      </c>
      <c r="H5117" t="n">
        <v>2</v>
      </c>
      <c r="I5117" t="n">
        <v>1</v>
      </c>
      <c r="J5117" t="inlineStr">
        <is>
          <t>Mediana</t>
        </is>
      </c>
      <c r="K5117" t="n">
        <v>1</v>
      </c>
      <c r="L5117" t="n">
        <v>1.272</v>
      </c>
      <c r="M5117" t="n">
        <v>0</v>
      </c>
      <c r="N5117" t="inlineStr">
        <is>
          <t>train</t>
        </is>
      </c>
      <c r="O5117">
        <f>HYPERLINK("Solo2\marker_859_251653.png", "Ver Imagen")</f>
        <v/>
      </c>
      <c r="P5117">
        <f>HYPERLINK("NO\A-490\A-490__556.png", "Ver Imagen")</f>
        <v/>
      </c>
    </row>
    <row r="5118">
      <c r="A5118" t="n">
        <v>4800</v>
      </c>
      <c r="B5118" t="inlineStr">
        <is>
          <t>A-490__568</t>
        </is>
      </c>
      <c r="C5118" t="n">
        <v>37.4904952855</v>
      </c>
      <c r="D5118" t="n">
        <v>-7.25472714523</v>
      </c>
      <c r="E5118" t="n">
        <v>1</v>
      </c>
      <c r="G5118" t="n">
        <v>1</v>
      </c>
      <c r="H5118" t="n">
        <v>1</v>
      </c>
      <c r="I5118" t="n">
        <v>1</v>
      </c>
      <c r="J5118" t="inlineStr">
        <is>
          <t>Mediana</t>
        </is>
      </c>
      <c r="K5118" t="n">
        <v>1</v>
      </c>
      <c r="L5118" t="n">
        <v>1.185</v>
      </c>
      <c r="M5118" t="n">
        <v>0</v>
      </c>
      <c r="N5118" t="inlineStr">
        <is>
          <t>train</t>
        </is>
      </c>
      <c r="O5118">
        <f>HYPERLINK("Solo2\marker_456_251842.png", "Ver Imagen")</f>
        <v/>
      </c>
      <c r="P5118">
        <f>HYPERLINK("NO\A-490\A-490__568.png", "Ver Imagen")</f>
        <v/>
      </c>
    </row>
    <row r="5119">
      <c r="A5119" t="n">
        <v>4801</v>
      </c>
      <c r="B5119" t="inlineStr">
        <is>
          <t>A-490__526</t>
        </is>
      </c>
      <c r="C5119" t="n">
        <v>37.4879390701</v>
      </c>
      <c r="D5119" t="n">
        <v>-7.24524803114</v>
      </c>
      <c r="E5119" t="n">
        <v>2</v>
      </c>
      <c r="G5119" t="n">
        <v>2</v>
      </c>
      <c r="H5119" t="n">
        <v>2</v>
      </c>
      <c r="I5119" t="n">
        <v>2</v>
      </c>
      <c r="J5119" t="inlineStr">
        <is>
          <t>Mediana</t>
        </is>
      </c>
      <c r="K5119" t="n">
        <v>2</v>
      </c>
      <c r="L5119" t="n">
        <v>2.221</v>
      </c>
      <c r="M5119" t="n">
        <v>0</v>
      </c>
      <c r="N5119" t="inlineStr">
        <is>
          <t>train</t>
        </is>
      </c>
      <c r="O5119">
        <f>HYPERLINK("Solo2\marker_516_241149.png", "Ver Imagen")</f>
        <v/>
      </c>
      <c r="P5119">
        <f>HYPERLINK("NO\A-490\A-490__526.png", "Ver Imagen")</f>
        <v/>
      </c>
    </row>
    <row r="5120">
      <c r="A5120" t="n">
        <v>4802</v>
      </c>
      <c r="B5120" t="inlineStr">
        <is>
          <t>A-492__441</t>
        </is>
      </c>
      <c r="C5120" t="n">
        <v>37.314609176</v>
      </c>
      <c r="D5120" t="n">
        <v>-7.06472900548</v>
      </c>
      <c r="E5120" t="n">
        <v>1</v>
      </c>
      <c r="G5120" t="n">
        <v>2</v>
      </c>
      <c r="H5120" t="n">
        <v>1</v>
      </c>
      <c r="I5120" t="n">
        <v>1</v>
      </c>
      <c r="J5120" t="inlineStr">
        <is>
          <t>Mediana</t>
        </is>
      </c>
      <c r="K5120" t="n">
        <v>1</v>
      </c>
      <c r="L5120" t="n">
        <v>1.144</v>
      </c>
      <c r="M5120" t="n">
        <v>0</v>
      </c>
      <c r="N5120" t="inlineStr">
        <is>
          <t>train</t>
        </is>
      </c>
      <c r="O5120">
        <f>HYPERLINK("Solo2\marker_840_518998.png", "Ver Imagen")</f>
        <v/>
      </c>
      <c r="P5120">
        <f>HYPERLINK("SE\A-492\A-492__441.png", "Ver Imagen")</f>
        <v/>
      </c>
    </row>
    <row r="5121">
      <c r="A5121" t="n">
        <v>4803</v>
      </c>
      <c r="B5121" t="inlineStr">
        <is>
          <t>A-5053__128</t>
        </is>
      </c>
      <c r="C5121" t="n">
        <v>37.2443027344</v>
      </c>
      <c r="D5121" t="n">
        <v>-7.12812165387</v>
      </c>
      <c r="E5121" t="n">
        <v>2</v>
      </c>
      <c r="G5121" t="n">
        <v>2</v>
      </c>
      <c r="H5121" t="n">
        <v>2</v>
      </c>
      <c r="I5121" t="n">
        <v>1</v>
      </c>
      <c r="J5121" t="inlineStr">
        <is>
          <t>Mediana</t>
        </is>
      </c>
      <c r="K5121" t="n">
        <v>2</v>
      </c>
      <c r="L5121" t="n">
        <v>1.885</v>
      </c>
      <c r="M5121" t="n">
        <v>0</v>
      </c>
      <c r="N5121" t="inlineStr">
        <is>
          <t>train</t>
        </is>
      </c>
      <c r="O5121">
        <f>HYPERLINK("Solo2\marker_459_962370.png", "Ver Imagen")</f>
        <v/>
      </c>
      <c r="P5121">
        <f>HYPERLINK("SO\A-5053\A-5053__128.png", "Ver Imagen")</f>
        <v/>
      </c>
    </row>
    <row r="5122">
      <c r="A5122" t="n">
        <v>4805</v>
      </c>
      <c r="B5122" t="inlineStr">
        <is>
          <t>A-490__9</t>
        </is>
      </c>
      <c r="C5122" t="n">
        <v>37.4471338404</v>
      </c>
      <c r="D5122" t="n">
        <v>-7.12849995182</v>
      </c>
      <c r="E5122" t="n">
        <v>1</v>
      </c>
      <c r="G5122" t="n">
        <v>2</v>
      </c>
      <c r="H5122" t="n">
        <v>2</v>
      </c>
      <c r="I5122" t="n">
        <v>2</v>
      </c>
      <c r="J5122" t="inlineStr">
        <is>
          <t>Mediana</t>
        </is>
      </c>
      <c r="K5122" t="n">
        <v>2</v>
      </c>
      <c r="L5122" t="n">
        <v>2.007</v>
      </c>
      <c r="M5122" t="n">
        <v>0</v>
      </c>
      <c r="N5122" t="inlineStr">
        <is>
          <t>train</t>
        </is>
      </c>
      <c r="O5122">
        <f>HYPERLINK("Solo2\marker_711_641330.png", "Ver Imagen")</f>
        <v/>
      </c>
      <c r="P5122">
        <f>HYPERLINK("NE\A-490\A-490__9.png", "Ver Imagen")</f>
        <v/>
      </c>
    </row>
    <row r="5123">
      <c r="A5123" t="n">
        <v>4806</v>
      </c>
      <c r="B5123" t="inlineStr">
        <is>
          <t>A-490__66</t>
        </is>
      </c>
      <c r="C5123" t="n">
        <v>37.4482723573</v>
      </c>
      <c r="D5123" t="n">
        <v>-7.14218193392</v>
      </c>
      <c r="E5123" t="n">
        <v>1</v>
      </c>
      <c r="G5123" t="n">
        <v>2</v>
      </c>
      <c r="H5123" t="n">
        <v>2</v>
      </c>
      <c r="I5123" t="n">
        <v>3</v>
      </c>
      <c r="J5123" t="inlineStr">
        <is>
          <t>Modificada</t>
        </is>
      </c>
      <c r="K5123" t="n">
        <v>3</v>
      </c>
      <c r="L5123" t="n">
        <v>2.98</v>
      </c>
      <c r="M5123" t="n">
        <v>0</v>
      </c>
      <c r="N5123" t="inlineStr">
        <is>
          <t>train</t>
        </is>
      </c>
      <c r="O5123">
        <f>HYPERLINK("Solo2\marker_518_738044.png", "Ver Imagen")</f>
        <v/>
      </c>
      <c r="P5123">
        <f>HYPERLINK("NE\A-490\A-490__66.png", "Ver Imagen")</f>
        <v/>
      </c>
    </row>
    <row r="5124">
      <c r="A5124" t="n">
        <v>4807</v>
      </c>
      <c r="B5124" t="inlineStr">
        <is>
          <t>A-490__415</t>
        </is>
      </c>
      <c r="C5124" t="n">
        <v>37.482573229</v>
      </c>
      <c r="D5124" t="n">
        <v>-7.21800625937</v>
      </c>
      <c r="E5124" t="n">
        <v>1</v>
      </c>
      <c r="G5124" t="n">
        <v>2</v>
      </c>
      <c r="H5124" t="n">
        <v>2</v>
      </c>
      <c r="I5124" t="n">
        <v>2</v>
      </c>
      <c r="J5124" t="inlineStr">
        <is>
          <t>Mediana</t>
        </is>
      </c>
      <c r="K5124" t="n">
        <v>2</v>
      </c>
      <c r="L5124" t="n">
        <v>2.293</v>
      </c>
      <c r="M5124" t="n">
        <v>0</v>
      </c>
      <c r="N5124" t="inlineStr">
        <is>
          <t>train</t>
        </is>
      </c>
      <c r="O5124">
        <f>HYPERLINK("Solo2\marker_271_910561.png", "Ver Imagen")</f>
        <v/>
      </c>
      <c r="P5124">
        <f>HYPERLINK("NO\A-490\A-490__415.png", "Ver Imagen")</f>
        <v/>
      </c>
    </row>
    <row r="5125">
      <c r="A5125" t="n">
        <v>4808</v>
      </c>
      <c r="B5125" t="inlineStr">
        <is>
          <t>A-490__27</t>
        </is>
      </c>
      <c r="C5125" t="n">
        <v>37.4464602146</v>
      </c>
      <c r="D5125" t="n">
        <v>-7.13299956302</v>
      </c>
      <c r="E5125" t="n">
        <v>2</v>
      </c>
      <c r="G5125" t="n">
        <v>3</v>
      </c>
      <c r="H5125" t="n">
        <v>3</v>
      </c>
      <c r="I5125" t="n">
        <v>3</v>
      </c>
      <c r="J5125" t="inlineStr">
        <is>
          <t>Mediana</t>
        </is>
      </c>
      <c r="K5125" t="n">
        <v>3</v>
      </c>
      <c r="L5125" t="n">
        <v>2.856</v>
      </c>
      <c r="M5125" t="n">
        <v>0</v>
      </c>
      <c r="N5125" t="inlineStr">
        <is>
          <t>val</t>
        </is>
      </c>
      <c r="O5125">
        <f>HYPERLINK("Solo2\marker_420_730849.png", "Ver Imagen")</f>
        <v/>
      </c>
      <c r="P5125">
        <f>HYPERLINK("NE\A-490\A-490__27.png", "Ver Imagen")</f>
        <v/>
      </c>
    </row>
    <row r="5126">
      <c r="A5126" t="n">
        <v>4809</v>
      </c>
      <c r="B5126" t="inlineStr">
        <is>
          <t>A-490__442</t>
        </is>
      </c>
      <c r="C5126" t="n">
        <v>37.4838624442</v>
      </c>
      <c r="D5126" t="n">
        <v>-7.22460369536</v>
      </c>
      <c r="E5126" t="n">
        <v>1</v>
      </c>
      <c r="G5126" t="n">
        <v>3</v>
      </c>
      <c r="H5126" t="n">
        <v>2</v>
      </c>
      <c r="I5126" t="n">
        <v>1</v>
      </c>
      <c r="J5126" t="inlineStr">
        <is>
          <t>Mediana</t>
        </is>
      </c>
      <c r="K5126" t="n">
        <v>1.5</v>
      </c>
      <c r="L5126" t="n">
        <v>1.743</v>
      </c>
      <c r="M5126" t="n">
        <v>0</v>
      </c>
      <c r="N5126" t="inlineStr">
        <is>
          <t>train</t>
        </is>
      </c>
      <c r="O5126">
        <f>HYPERLINK("Solo2\marker_394_915441.png", "Ver Imagen")</f>
        <v/>
      </c>
      <c r="P5126">
        <f>HYPERLINK("NO\A-490\A-490__442.png", "Ver Imagen")</f>
        <v/>
      </c>
    </row>
    <row r="5127">
      <c r="A5127" t="n">
        <v>4813</v>
      </c>
      <c r="B5127" t="inlineStr">
        <is>
          <t>A-490__218</t>
        </is>
      </c>
      <c r="C5127" t="n">
        <v>37.4620850422</v>
      </c>
      <c r="D5127" t="n">
        <v>-7.17527099381</v>
      </c>
      <c r="E5127" t="n">
        <v>2</v>
      </c>
      <c r="G5127" t="n">
        <v>3</v>
      </c>
      <c r="H5127" t="n">
        <v>3</v>
      </c>
      <c r="I5127" t="n">
        <v>3</v>
      </c>
      <c r="J5127" t="inlineStr">
        <is>
          <t>Mediana</t>
        </is>
      </c>
      <c r="K5127" t="n">
        <v>3</v>
      </c>
      <c r="L5127" t="n">
        <v>3.157</v>
      </c>
      <c r="M5127" t="n">
        <v>0</v>
      </c>
      <c r="N5127" t="inlineStr">
        <is>
          <t>train</t>
        </is>
      </c>
      <c r="O5127">
        <f>HYPERLINK("Solo2\marker_804_668928.png", "Ver Imagen")</f>
        <v/>
      </c>
      <c r="P5127">
        <f>HYPERLINK("NE\A-490\A-490__218.png", "Ver Imagen")</f>
        <v/>
      </c>
    </row>
    <row r="5128">
      <c r="A5128" t="n">
        <v>4814</v>
      </c>
      <c r="B5128" t="inlineStr">
        <is>
          <t>A-490__401</t>
        </is>
      </c>
      <c r="C5128" t="n">
        <v>37.4816903938</v>
      </c>
      <c r="D5128" t="n">
        <v>-7.21472976743</v>
      </c>
      <c r="E5128" t="n">
        <v>2</v>
      </c>
      <c r="G5128" t="n">
        <v>3</v>
      </c>
      <c r="H5128" t="n">
        <v>2</v>
      </c>
      <c r="I5128" t="n">
        <v>2</v>
      </c>
      <c r="J5128" t="inlineStr">
        <is>
          <t>Mediana</t>
        </is>
      </c>
      <c r="K5128" t="n">
        <v>2</v>
      </c>
      <c r="L5128" t="n">
        <v>1.991</v>
      </c>
      <c r="M5128" t="n">
        <v>0</v>
      </c>
      <c r="N5128" t="inlineStr">
        <is>
          <t>train</t>
        </is>
      </c>
      <c r="O5128">
        <f>HYPERLINK("Solo2\marker_962_909970.png", "Ver Imagen")</f>
        <v/>
      </c>
      <c r="P5128">
        <f>HYPERLINK("NO\A-490\A-490__401.png", "Ver Imagen")</f>
        <v/>
      </c>
    </row>
    <row r="5129">
      <c r="A5129" t="n">
        <v>4815</v>
      </c>
      <c r="B5129" t="inlineStr">
        <is>
          <t>A-492__146</t>
        </is>
      </c>
      <c r="C5129" t="n">
        <v>37.2754063</v>
      </c>
      <c r="D5129" t="n">
        <v>-7.01720521394</v>
      </c>
      <c r="E5129" t="n">
        <v>1</v>
      </c>
      <c r="G5129" t="n">
        <v>3</v>
      </c>
      <c r="H5129" t="n">
        <v>2</v>
      </c>
      <c r="I5129" t="n">
        <v>2</v>
      </c>
      <c r="J5129" t="inlineStr">
        <is>
          <t>Mediana</t>
        </is>
      </c>
      <c r="K5129" t="n">
        <v>2</v>
      </c>
      <c r="L5129" t="n">
        <v>1.997</v>
      </c>
      <c r="M5129" t="n">
        <v>0</v>
      </c>
      <c r="N5129" t="inlineStr">
        <is>
          <t>train</t>
        </is>
      </c>
      <c r="O5129">
        <f>HYPERLINK("Solo2\marker_613_335844.png", "Ver Imagen")</f>
        <v/>
      </c>
      <c r="P5129">
        <f>HYPERLINK("SE\A-492\A-492__146.png", "Ver Imagen")</f>
        <v/>
      </c>
    </row>
    <row r="5130">
      <c r="A5130" t="n">
        <v>4816</v>
      </c>
      <c r="B5130" t="inlineStr">
        <is>
          <t>A-492__426</t>
        </is>
      </c>
      <c r="C5130" t="n">
        <v>37.3129018503</v>
      </c>
      <c r="D5130" t="n">
        <v>-7.06159033969</v>
      </c>
      <c r="E5130" t="n">
        <v>2</v>
      </c>
      <c r="G5130" t="n">
        <v>3</v>
      </c>
      <c r="H5130" t="n">
        <v>2</v>
      </c>
      <c r="I5130" t="n">
        <v>2</v>
      </c>
      <c r="J5130" t="inlineStr">
        <is>
          <t>Mediana</t>
        </is>
      </c>
      <c r="K5130" t="n">
        <v>2</v>
      </c>
      <c r="L5130" t="n">
        <v>2.13</v>
      </c>
      <c r="M5130" t="n">
        <v>0</v>
      </c>
      <c r="N5130" t="inlineStr">
        <is>
          <t>train</t>
        </is>
      </c>
      <c r="O5130">
        <f>HYPERLINK("Solo2\marker_747_518748.png", "Ver Imagen")</f>
        <v/>
      </c>
      <c r="P5130">
        <f>HYPERLINK("SE\A-492\A-492__426.png", "Ver Imagen")</f>
        <v/>
      </c>
    </row>
    <row r="5131">
      <c r="A5131" t="n">
        <v>4817</v>
      </c>
      <c r="B5131" t="inlineStr">
        <is>
          <t>A-5050__128</t>
        </is>
      </c>
      <c r="C5131" t="n">
        <v>37.1951541963</v>
      </c>
      <c r="D5131" t="n">
        <v>-7.00052264939</v>
      </c>
      <c r="E5131" t="n">
        <v>2</v>
      </c>
      <c r="G5131" t="n">
        <v>3</v>
      </c>
      <c r="H5131" t="n">
        <v>2</v>
      </c>
      <c r="I5131" t="n">
        <v>3</v>
      </c>
      <c r="J5131" t="inlineStr">
        <is>
          <t>Modificada</t>
        </is>
      </c>
      <c r="K5131" t="n">
        <v>2</v>
      </c>
      <c r="L5131" t="n">
        <v>1.785</v>
      </c>
      <c r="M5131" t="n">
        <v>0</v>
      </c>
      <c r="N5131" t="inlineStr">
        <is>
          <t>train</t>
        </is>
      </c>
      <c r="O5131">
        <f>HYPERLINK("Solo2\marker_606_776109.png", "Ver Imagen")</f>
        <v/>
      </c>
      <c r="P5131">
        <f>HYPERLINK("SE\A-5050\A-5050__128.png", "Ver Imagen")</f>
        <v/>
      </c>
    </row>
    <row r="5132">
      <c r="A5132" t="n">
        <v>4819</v>
      </c>
      <c r="B5132" t="inlineStr">
        <is>
          <t>A-490__119</t>
        </is>
      </c>
      <c r="C5132" t="n">
        <v>37.4512658476</v>
      </c>
      <c r="D5132" t="n">
        <v>-7.15482388541</v>
      </c>
      <c r="E5132" t="n">
        <v>2</v>
      </c>
      <c r="G5132" t="n">
        <v>4</v>
      </c>
      <c r="H5132" t="n">
        <v>3</v>
      </c>
      <c r="I5132" t="n">
        <v>3</v>
      </c>
      <c r="J5132" t="inlineStr">
        <is>
          <t>Mediana</t>
        </is>
      </c>
      <c r="K5132" t="n">
        <v>3</v>
      </c>
      <c r="L5132" t="n">
        <v>3.035</v>
      </c>
      <c r="M5132" t="n">
        <v>0</v>
      </c>
      <c r="N5132" t="inlineStr">
        <is>
          <t>train</t>
        </is>
      </c>
      <c r="O5132">
        <f>HYPERLINK("Solo2\marker_936_951949.png", "Ver Imagen")</f>
        <v/>
      </c>
      <c r="P5132">
        <f>HYPERLINK("NE\A-490\A-490__119.png", "Ver Imagen")</f>
        <v/>
      </c>
    </row>
    <row r="5133">
      <c r="A5133" t="n">
        <v>4820</v>
      </c>
      <c r="B5133" t="inlineStr">
        <is>
          <t>A-495_1__169</t>
        </is>
      </c>
      <c r="C5133" t="n">
        <v>37.4801413769</v>
      </c>
      <c r="D5133" t="n">
        <v>-7.12783969627</v>
      </c>
      <c r="E5133" t="n">
        <v>4</v>
      </c>
      <c r="G5133" t="n">
        <v>4</v>
      </c>
      <c r="H5133" t="n">
        <v>3</v>
      </c>
      <c r="I5133" t="n">
        <v>4</v>
      </c>
      <c r="J5133" t="inlineStr">
        <is>
          <t>Mediana</t>
        </is>
      </c>
      <c r="K5133" t="n">
        <v>4</v>
      </c>
      <c r="L5133" t="n">
        <v>4.044</v>
      </c>
      <c r="M5133" t="n">
        <v>0</v>
      </c>
      <c r="N5133" t="inlineStr">
        <is>
          <t>train</t>
        </is>
      </c>
      <c r="O5133">
        <f>HYPERLINK("Solo2\marker_107_383998.png", "Ver Imagen")</f>
        <v/>
      </c>
      <c r="P5133">
        <f>HYPERLINK("NE\A-495_1\A-495_1__169.png", "Ver Imagen")</f>
        <v/>
      </c>
    </row>
    <row r="5134">
      <c r="A5134" t="n">
        <v>4821</v>
      </c>
      <c r="B5134" t="inlineStr">
        <is>
          <t>A-499__77</t>
        </is>
      </c>
      <c r="C5134" t="n">
        <v>37.4953607805</v>
      </c>
      <c r="D5134" t="n">
        <v>-7.26849657005</v>
      </c>
      <c r="E5134" t="n">
        <v>4</v>
      </c>
      <c r="G5134" t="n">
        <v>4</v>
      </c>
      <c r="H5134" t="n">
        <v>3</v>
      </c>
      <c r="I5134" t="n">
        <v>4</v>
      </c>
      <c r="J5134" t="inlineStr">
        <is>
          <t>Mediana</t>
        </is>
      </c>
      <c r="K5134" t="n">
        <v>4</v>
      </c>
      <c r="L5134" t="n">
        <v>4.024</v>
      </c>
      <c r="M5134" t="n">
        <v>0</v>
      </c>
      <c r="N5134" t="inlineStr">
        <is>
          <t>train</t>
        </is>
      </c>
      <c r="O5134">
        <f>HYPERLINK("Solo2\marker_135_799777.png", "Ver Imagen")</f>
        <v/>
      </c>
      <c r="P5134">
        <f>HYPERLINK("NO\A-499\A-499__77.png", "Ver Imagen")</f>
        <v/>
      </c>
    </row>
    <row r="5135">
      <c r="A5135" t="n">
        <v>4822</v>
      </c>
      <c r="B5135" t="inlineStr">
        <is>
          <t>A-490__1</t>
        </is>
      </c>
      <c r="C5135" t="n">
        <v>37.4474657809</v>
      </c>
      <c r="D5135" t="n">
        <v>-7.1266855658</v>
      </c>
      <c r="E5135" t="n">
        <v>2</v>
      </c>
      <c r="G5135" t="n">
        <v>4</v>
      </c>
      <c r="H5135" t="n">
        <v>3</v>
      </c>
      <c r="I5135" t="n">
        <v>3</v>
      </c>
      <c r="J5135" t="inlineStr">
        <is>
          <t>Mediana</t>
        </is>
      </c>
      <c r="K5135" t="n">
        <v>3</v>
      </c>
      <c r="L5135" t="n">
        <v>3.264</v>
      </c>
      <c r="M5135" t="n">
        <v>0</v>
      </c>
      <c r="N5135" t="inlineStr">
        <is>
          <t>train</t>
        </is>
      </c>
      <c r="O5135">
        <f>HYPERLINK("Solo2\marker_245_645287.png", "Ver Imagen")</f>
        <v/>
      </c>
      <c r="P5135">
        <f>HYPERLINK("NE\A-490\A-490__1.png", "Ver Imagen")</f>
        <v/>
      </c>
    </row>
    <row r="5136">
      <c r="A5136" t="n">
        <v>4823</v>
      </c>
      <c r="B5136" t="inlineStr">
        <is>
          <t>A-490__217</t>
        </is>
      </c>
      <c r="C5136" t="n">
        <v>37.4619560079</v>
      </c>
      <c r="D5136" t="n">
        <v>-7.17506018678</v>
      </c>
      <c r="E5136" t="n">
        <v>2</v>
      </c>
      <c r="G5136" t="n">
        <v>4</v>
      </c>
      <c r="H5136" t="n">
        <v>4</v>
      </c>
      <c r="I5136" t="n">
        <v>4</v>
      </c>
      <c r="J5136" t="inlineStr">
        <is>
          <t>Mediana</t>
        </is>
      </c>
      <c r="K5136" t="n">
        <v>4</v>
      </c>
      <c r="L5136" t="n">
        <v>3.822</v>
      </c>
      <c r="M5136" t="n">
        <v>0</v>
      </c>
      <c r="N5136" t="inlineStr">
        <is>
          <t>train</t>
        </is>
      </c>
      <c r="O5136">
        <f>HYPERLINK("Solo2\marker_410_668905.png", "Ver Imagen")</f>
        <v/>
      </c>
      <c r="P5136">
        <f>HYPERLINK("NE\A-490\A-490__217.png", "Ver Imagen")</f>
        <v/>
      </c>
    </row>
    <row r="5137">
      <c r="A5137" t="n">
        <v>4825</v>
      </c>
      <c r="B5137" t="inlineStr">
        <is>
          <t>A-492__60</t>
        </is>
      </c>
      <c r="C5137" t="n">
        <v>37.2798081944</v>
      </c>
      <c r="D5137" t="n">
        <v>-6.99803673334</v>
      </c>
      <c r="E5137" t="n">
        <v>3</v>
      </c>
      <c r="G5137" t="n">
        <v>4</v>
      </c>
      <c r="H5137" t="n">
        <v>4</v>
      </c>
      <c r="I5137" t="n">
        <v>4</v>
      </c>
      <c r="J5137" t="inlineStr">
        <is>
          <t>Mediana</t>
        </is>
      </c>
      <c r="K5137" t="n">
        <v>4</v>
      </c>
      <c r="L5137" t="n">
        <v>3.798</v>
      </c>
      <c r="M5137" t="n">
        <v>0</v>
      </c>
      <c r="N5137" t="inlineStr">
        <is>
          <t>train</t>
        </is>
      </c>
      <c r="O5137">
        <f>HYPERLINK("Solo2\marker_413_823143.png", "Ver Imagen")</f>
        <v/>
      </c>
      <c r="P5137">
        <f>HYPERLINK("SE\A-492\A-492__60.png", "Ver Imagen")</f>
        <v/>
      </c>
    </row>
    <row r="5138">
      <c r="A5138" t="n">
        <v>4826</v>
      </c>
      <c r="B5138" t="inlineStr">
        <is>
          <t>A-492__8</t>
        </is>
      </c>
      <c r="C5138" t="n">
        <v>37.2730072093</v>
      </c>
      <c r="D5138" t="n">
        <v>-6.99128894893</v>
      </c>
      <c r="E5138" t="n">
        <v>2</v>
      </c>
      <c r="G5138" t="n">
        <v>4</v>
      </c>
      <c r="H5138" t="n">
        <v>4</v>
      </c>
      <c r="I5138" t="n">
        <v>4</v>
      </c>
      <c r="J5138" t="inlineStr">
        <is>
          <t>Mediana</t>
        </is>
      </c>
      <c r="K5138" t="n">
        <v>4</v>
      </c>
      <c r="L5138" t="n">
        <v>3.979</v>
      </c>
      <c r="M5138" t="n">
        <v>0</v>
      </c>
      <c r="N5138" t="inlineStr">
        <is>
          <t>train</t>
        </is>
      </c>
      <c r="O5138">
        <f>HYPERLINK("Solo2\marker_616_256562.png", "Ver Imagen")</f>
        <v/>
      </c>
      <c r="P5138">
        <f>HYPERLINK("SE\A-492\A-492__8.png", "Ver Imagen")</f>
        <v/>
      </c>
    </row>
    <row r="5139">
      <c r="A5139" t="n">
        <v>4827</v>
      </c>
      <c r="B5139" t="inlineStr">
        <is>
          <t>A-5053__322</t>
        </is>
      </c>
      <c r="C5139" t="n">
        <v>37.2784579018</v>
      </c>
      <c r="D5139" t="n">
        <v>-7.14420638213</v>
      </c>
      <c r="E5139" t="n">
        <v>4</v>
      </c>
      <c r="G5139" t="n">
        <v>3</v>
      </c>
      <c r="H5139" t="n">
        <v>5</v>
      </c>
      <c r="I5139" t="n">
        <v>4</v>
      </c>
      <c r="J5139" t="inlineStr">
        <is>
          <t>Mediana</t>
        </is>
      </c>
      <c r="K5139" t="n">
        <v>4</v>
      </c>
      <c r="L5139" t="n">
        <v>3.591</v>
      </c>
      <c r="M5139" t="n">
        <v>0</v>
      </c>
      <c r="N5139" t="inlineStr">
        <is>
          <t>train</t>
        </is>
      </c>
      <c r="O5139">
        <f>HYPERLINK("Solo2\marker_534_942471.png", "Ver Imagen")</f>
        <v/>
      </c>
      <c r="P5139">
        <f>HYPERLINK("SO\A-5053\A-5053__322.png", "Ver Imagen")</f>
        <v/>
      </c>
    </row>
    <row r="5140">
      <c r="A5140" t="n">
        <v>4828</v>
      </c>
      <c r="B5140" t="inlineStr">
        <is>
          <t>A-5059__22</t>
        </is>
      </c>
      <c r="C5140" t="n">
        <v>37.2303209649</v>
      </c>
      <c r="D5140" t="n">
        <v>-7.06333026611</v>
      </c>
      <c r="E5140" t="n">
        <v>3</v>
      </c>
      <c r="G5140" t="n">
        <v>4</v>
      </c>
      <c r="H5140" t="n">
        <v>3</v>
      </c>
      <c r="I5140" t="n">
        <v>3</v>
      </c>
      <c r="J5140" t="inlineStr">
        <is>
          <t>Mediana</t>
        </is>
      </c>
      <c r="K5140" t="n">
        <v>3</v>
      </c>
      <c r="L5140" t="n">
        <v>3.35</v>
      </c>
      <c r="M5140" t="n">
        <v>0</v>
      </c>
      <c r="N5140" t="inlineStr">
        <is>
          <t>train</t>
        </is>
      </c>
      <c r="O5140">
        <f>HYPERLINK("Solo2\marker_136_877895.png", "Ver Imagen")</f>
        <v/>
      </c>
      <c r="P5140">
        <f>HYPERLINK("SE\A-5059\A-5059__22.png", "Ver Imagen")</f>
        <v/>
      </c>
    </row>
    <row r="5141">
      <c r="A5141" t="n">
        <v>4829</v>
      </c>
      <c r="B5141" t="inlineStr">
        <is>
          <t>A-495_1__1</t>
        </is>
      </c>
      <c r="C5141" t="n">
        <v>37.4482661582</v>
      </c>
      <c r="D5141" t="n">
        <v>-7.12666294959</v>
      </c>
      <c r="E5141" t="n">
        <v>2</v>
      </c>
      <c r="G5141" t="n">
        <v>4</v>
      </c>
      <c r="H5141" t="n">
        <v>3</v>
      </c>
      <c r="I5141" t="n">
        <v>3</v>
      </c>
      <c r="J5141" t="inlineStr">
        <is>
          <t>Mediana</t>
        </is>
      </c>
      <c r="K5141" t="n">
        <v>3</v>
      </c>
      <c r="L5141" t="n">
        <v>2.93</v>
      </c>
      <c r="M5141" t="n">
        <v>0</v>
      </c>
      <c r="N5141" t="inlineStr">
        <is>
          <t>train</t>
        </is>
      </c>
      <c r="O5141">
        <f>HYPERLINK("Solo2\marker_939_882242.png", "Ver Imagen")</f>
        <v/>
      </c>
      <c r="P5141">
        <f>HYPERLINK("NE\A-495_1\A-495_1__1.png", "Ver Imagen")</f>
        <v/>
      </c>
    </row>
    <row r="5142">
      <c r="A5142" t="n">
        <v>4830</v>
      </c>
      <c r="B5142" t="inlineStr">
        <is>
          <t>A-490__123</t>
        </is>
      </c>
      <c r="C5142" t="n">
        <v>37.4514719387</v>
      </c>
      <c r="D5142" t="n">
        <v>-7.15578669007</v>
      </c>
      <c r="E5142" t="n">
        <v>4</v>
      </c>
      <c r="G5142" t="n">
        <v>5</v>
      </c>
      <c r="H5142" t="n">
        <v>5</v>
      </c>
      <c r="I5142" t="n">
        <v>4</v>
      </c>
      <c r="J5142" t="inlineStr">
        <is>
          <t>Mediana</t>
        </is>
      </c>
      <c r="K5142" t="n">
        <v>4.5</v>
      </c>
      <c r="L5142" t="n">
        <v>3.601</v>
      </c>
      <c r="M5142" t="n">
        <v>0</v>
      </c>
      <c r="N5142" t="inlineStr">
        <is>
          <t>train</t>
        </is>
      </c>
      <c r="O5142">
        <f>HYPERLINK("Solo2\marker_788_651063.png", "Ver Imagen")</f>
        <v/>
      </c>
      <c r="P5142">
        <f>HYPERLINK("NE\A-490\A-490__123.png", "Ver Imagen")</f>
        <v/>
      </c>
    </row>
    <row r="5143">
      <c r="A5143" t="n">
        <v>4831</v>
      </c>
      <c r="B5143" t="inlineStr">
        <is>
          <t>A-495R__103</t>
        </is>
      </c>
      <c r="C5143" t="n">
        <v>37.46378775</v>
      </c>
      <c r="D5143" t="n">
        <v>-7.11843853978</v>
      </c>
      <c r="E5143" t="n">
        <v>1</v>
      </c>
      <c r="F5143" t="n">
        <v>1</v>
      </c>
      <c r="H5143" t="n">
        <v>1</v>
      </c>
      <c r="I5143" t="n">
        <v>1</v>
      </c>
      <c r="J5143" t="inlineStr">
        <is>
          <t>Mediana</t>
        </is>
      </c>
      <c r="K5143" t="n">
        <v>1</v>
      </c>
      <c r="L5143" t="n">
        <v>1</v>
      </c>
      <c r="M5143" t="n">
        <v>0</v>
      </c>
      <c r="N5143" t="inlineStr">
        <is>
          <t>train</t>
        </is>
      </c>
      <c r="O5143">
        <f>HYPERLINK("Solo2\marker_538_895856.png", "Ver Imagen")</f>
        <v/>
      </c>
      <c r="P5143">
        <f>HYPERLINK("NE\A-495R\A-495R__103.png", "Ver Imagen")</f>
        <v/>
      </c>
    </row>
    <row r="5144">
      <c r="A5144" t="n">
        <v>4832</v>
      </c>
      <c r="B5144" t="inlineStr">
        <is>
          <t>A-5052__451</t>
        </is>
      </c>
      <c r="C5144" t="n">
        <v>37.2003795936</v>
      </c>
      <c r="D5144" t="n">
        <v>-7.01668553233</v>
      </c>
      <c r="F5144" t="n">
        <v>1</v>
      </c>
      <c r="G5144" t="n">
        <v>1</v>
      </c>
      <c r="H5144" t="n">
        <v>1</v>
      </c>
      <c r="I5144" t="n">
        <v>1</v>
      </c>
      <c r="J5144" t="inlineStr">
        <is>
          <t>Mediana</t>
        </is>
      </c>
      <c r="K5144" t="n">
        <v>1</v>
      </c>
      <c r="L5144" t="n">
        <v>1</v>
      </c>
      <c r="M5144" t="n">
        <v>0</v>
      </c>
      <c r="N5144" t="inlineStr">
        <is>
          <t>train</t>
        </is>
      </c>
      <c r="O5144">
        <f>HYPERLINK("Solo2\marker_209_963189.png", "Ver Imagen")</f>
        <v/>
      </c>
      <c r="P5144">
        <f>HYPERLINK("SE\A-5052\A-5052__451.png", "Ver Imagen")</f>
        <v/>
      </c>
    </row>
    <row r="5145">
      <c r="A5145" t="n">
        <v>4833</v>
      </c>
      <c r="B5145" t="inlineStr">
        <is>
          <t>A-490__283</t>
        </is>
      </c>
      <c r="C5145" t="n">
        <v>37.4695597835</v>
      </c>
      <c r="D5145" t="n">
        <v>-7.18885298694</v>
      </c>
      <c r="E5145" t="n">
        <v>2</v>
      </c>
      <c r="F5145" t="n">
        <v>1</v>
      </c>
      <c r="H5145" t="n">
        <v>1</v>
      </c>
      <c r="I5145" t="n">
        <v>1</v>
      </c>
      <c r="J5145" t="inlineStr">
        <is>
          <t>Mediana</t>
        </is>
      </c>
      <c r="K5145" t="n">
        <v>1</v>
      </c>
      <c r="L5145" t="n">
        <v>1.322</v>
      </c>
      <c r="M5145" t="n">
        <v>0</v>
      </c>
      <c r="N5145" t="inlineStr">
        <is>
          <t>val</t>
        </is>
      </c>
      <c r="O5145">
        <f>HYPERLINK("Solo2\marker_226_750216.png", "Ver Imagen")</f>
        <v/>
      </c>
      <c r="P5145">
        <f>HYPERLINK("NE\A-490\A-490__283.png", "Ver Imagen")</f>
        <v/>
      </c>
    </row>
    <row r="5146">
      <c r="A5146" t="n">
        <v>4834</v>
      </c>
      <c r="B5146" t="inlineStr">
        <is>
          <t>A-490__613</t>
        </is>
      </c>
      <c r="C5146" t="n">
        <v>37.4934857842</v>
      </c>
      <c r="D5146" t="n">
        <v>-7.26438150558</v>
      </c>
      <c r="F5146" t="n">
        <v>1</v>
      </c>
      <c r="G5146" t="n">
        <v>2</v>
      </c>
      <c r="H5146" t="n">
        <v>2</v>
      </c>
      <c r="I5146" t="n">
        <v>1</v>
      </c>
      <c r="J5146" t="inlineStr">
        <is>
          <t>Mediana</t>
        </is>
      </c>
      <c r="K5146" t="n">
        <v>1.5</v>
      </c>
      <c r="L5146" t="n">
        <v>1.809</v>
      </c>
      <c r="M5146" t="n">
        <v>0</v>
      </c>
      <c r="N5146" t="inlineStr">
        <is>
          <t>train</t>
        </is>
      </c>
      <c r="O5146">
        <f>HYPERLINK("Solo2\marker_730_820233.png", "Ver Imagen")</f>
        <v/>
      </c>
      <c r="P5146">
        <f>HYPERLINK("NO\A-490\A-490__613.png", "Ver Imagen")</f>
        <v/>
      </c>
    </row>
    <row r="5147">
      <c r="A5147" t="n">
        <v>4836</v>
      </c>
      <c r="B5147" t="inlineStr">
        <is>
          <t>A-492__393</t>
        </is>
      </c>
      <c r="C5147" t="n">
        <v>37.307519867</v>
      </c>
      <c r="D5147" t="n">
        <v>-7.05696906399</v>
      </c>
      <c r="E5147" t="n">
        <v>2</v>
      </c>
      <c r="F5147" t="n">
        <v>2</v>
      </c>
      <c r="H5147" t="n">
        <v>2</v>
      </c>
      <c r="I5147" t="n">
        <v>2</v>
      </c>
      <c r="J5147" t="inlineStr">
        <is>
          <t>Mediana</t>
        </is>
      </c>
      <c r="K5147" t="n">
        <v>2</v>
      </c>
      <c r="L5147" t="n">
        <v>1.763</v>
      </c>
      <c r="M5147" t="n">
        <v>0</v>
      </c>
      <c r="N5147" t="inlineStr">
        <is>
          <t>train</t>
        </is>
      </c>
      <c r="O5147">
        <f>HYPERLINK("Solo2\marker_880_839070.png", "Ver Imagen")</f>
        <v/>
      </c>
      <c r="P5147">
        <f>HYPERLINK("SE\A-492\A-492__393.png", "Ver Imagen")</f>
        <v/>
      </c>
    </row>
    <row r="5148">
      <c r="A5148" t="n">
        <v>4837</v>
      </c>
      <c r="B5148" t="inlineStr">
        <is>
          <t>A-5050__88</t>
        </is>
      </c>
      <c r="C5148" t="n">
        <v>37.1991381661</v>
      </c>
      <c r="D5148" t="n">
        <v>-7.00933115642</v>
      </c>
      <c r="E5148" t="n">
        <v>2</v>
      </c>
      <c r="F5148" t="n">
        <v>3</v>
      </c>
      <c r="H5148" t="n">
        <v>3</v>
      </c>
      <c r="I5148" t="n">
        <v>4</v>
      </c>
      <c r="J5148" t="inlineStr">
        <is>
          <t>Mediana</t>
        </is>
      </c>
      <c r="K5148" t="n">
        <v>3</v>
      </c>
      <c r="L5148" t="n">
        <v>3.118</v>
      </c>
      <c r="M5148" t="n">
        <v>0</v>
      </c>
      <c r="N5148" t="inlineStr">
        <is>
          <t>train</t>
        </is>
      </c>
      <c r="O5148">
        <f>HYPERLINK("Solo2\marker_335_947435.png", "Ver Imagen")</f>
        <v/>
      </c>
      <c r="P5148">
        <f>HYPERLINK("SE\A-5050\A-5050__88.png", "Ver Imagen")</f>
        <v/>
      </c>
    </row>
    <row r="5149">
      <c r="A5149" t="n">
        <v>4838</v>
      </c>
      <c r="B5149" t="inlineStr">
        <is>
          <t>A-5053__212</t>
        </is>
      </c>
      <c r="C5149" t="n">
        <v>37.2607483799</v>
      </c>
      <c r="D5149" t="n">
        <v>-7.12943163557</v>
      </c>
      <c r="F5149" t="n">
        <v>3</v>
      </c>
      <c r="G5149" t="n">
        <v>2</v>
      </c>
      <c r="H5149" t="n">
        <v>3</v>
      </c>
      <c r="I5149" t="n">
        <v>3</v>
      </c>
      <c r="J5149" t="inlineStr">
        <is>
          <t>Mediana</t>
        </is>
      </c>
      <c r="K5149" t="n">
        <v>3</v>
      </c>
      <c r="L5149" t="n">
        <v>2.713</v>
      </c>
      <c r="M5149" t="n">
        <v>0</v>
      </c>
      <c r="N5149" t="inlineStr">
        <is>
          <t>train</t>
        </is>
      </c>
      <c r="O5149">
        <f>HYPERLINK("Solo2\marker_384_965769.png", "Ver Imagen")</f>
        <v/>
      </c>
      <c r="P5149">
        <f>HYPERLINK("SO\A-5053\A-5053__212.png", "Ver Imagen")</f>
        <v/>
      </c>
    </row>
    <row r="5150">
      <c r="A5150" t="n">
        <v>4839</v>
      </c>
      <c r="B5150" t="inlineStr">
        <is>
          <t>A-5053__211</t>
        </is>
      </c>
      <c r="C5150" t="n">
        <v>37.2605413918</v>
      </c>
      <c r="D5150" t="n">
        <v>-7.12932281095</v>
      </c>
      <c r="F5150" t="n">
        <v>2</v>
      </c>
      <c r="G5150" t="n">
        <v>2</v>
      </c>
      <c r="H5150" t="n">
        <v>3</v>
      </c>
      <c r="I5150" t="n">
        <v>3</v>
      </c>
      <c r="J5150" t="inlineStr">
        <is>
          <t>Mediana</t>
        </is>
      </c>
      <c r="K5150" t="n">
        <v>2.5</v>
      </c>
      <c r="L5150" t="n">
        <v>1.966</v>
      </c>
      <c r="M5150" t="n">
        <v>0</v>
      </c>
      <c r="N5150" t="inlineStr">
        <is>
          <t>train</t>
        </is>
      </c>
      <c r="O5150">
        <f>HYPERLINK("Solo2\marker_750_965779.png", "Ver Imagen")</f>
        <v/>
      </c>
      <c r="P5150">
        <f>HYPERLINK("SO\A-5053\A-5053__211.png", "Ver Imagen")</f>
        <v/>
      </c>
    </row>
    <row r="5151">
      <c r="A5151" t="n">
        <v>4840</v>
      </c>
      <c r="B5151" t="inlineStr">
        <is>
          <t>A-5053__174</t>
        </is>
      </c>
      <c r="C5151" t="n">
        <v>37.2535318241</v>
      </c>
      <c r="D5151" t="n">
        <v>-7.12674449483</v>
      </c>
      <c r="E5151" t="n">
        <v>2</v>
      </c>
      <c r="F5151" t="n">
        <v>2</v>
      </c>
      <c r="H5151" t="n">
        <v>2</v>
      </c>
      <c r="I5151" t="n">
        <v>2</v>
      </c>
      <c r="J5151" t="inlineStr">
        <is>
          <t>Mediana</t>
        </is>
      </c>
      <c r="K5151" t="n">
        <v>2</v>
      </c>
      <c r="L5151" t="n">
        <v>2.218</v>
      </c>
      <c r="M5151" t="n">
        <v>0</v>
      </c>
      <c r="N5151" t="inlineStr">
        <is>
          <t>val</t>
        </is>
      </c>
      <c r="O5151">
        <f>HYPERLINK("Solo2\marker_843_966152.png", "Ver Imagen")</f>
        <v/>
      </c>
      <c r="P5151">
        <f>HYPERLINK("SO\A-5053\A-5053__174.png", "Ver Imagen")</f>
        <v/>
      </c>
    </row>
    <row r="5152">
      <c r="A5152" t="n">
        <v>4841</v>
      </c>
      <c r="B5152" t="inlineStr">
        <is>
          <t>A-5058__42</t>
        </is>
      </c>
      <c r="C5152" t="n">
        <v>37.2246240072</v>
      </c>
      <c r="D5152" t="n">
        <v>-7.0374968126</v>
      </c>
      <c r="E5152" t="n">
        <v>2</v>
      </c>
      <c r="F5152" t="n">
        <v>2</v>
      </c>
      <c r="H5152" t="n">
        <v>2</v>
      </c>
      <c r="I5152" t="n">
        <v>2</v>
      </c>
      <c r="J5152" t="inlineStr">
        <is>
          <t>Mediana</t>
        </is>
      </c>
      <c r="K5152" t="n">
        <v>2</v>
      </c>
      <c r="L5152" t="n">
        <v>2.083</v>
      </c>
      <c r="M5152" t="n">
        <v>0</v>
      </c>
      <c r="N5152" t="inlineStr">
        <is>
          <t>train</t>
        </is>
      </c>
      <c r="O5152">
        <f>HYPERLINK("Solo2\marker_185_380325.png", "Ver Imagen")</f>
        <v/>
      </c>
      <c r="P5152">
        <f>HYPERLINK("SE\A-5058\A-5058__42.png", "Ver Imagen")</f>
        <v/>
      </c>
    </row>
    <row r="5153">
      <c r="A5153" t="n">
        <v>4842</v>
      </c>
      <c r="B5153" t="inlineStr">
        <is>
          <t>A-499__100</t>
        </is>
      </c>
      <c r="C5153" t="n">
        <v>37.49879425</v>
      </c>
      <c r="D5153" t="n">
        <v>-7.2675144116</v>
      </c>
      <c r="E5153" t="n">
        <v>2</v>
      </c>
      <c r="F5153" t="n">
        <v>2</v>
      </c>
      <c r="H5153" t="n">
        <v>2</v>
      </c>
      <c r="I5153" t="n">
        <v>1</v>
      </c>
      <c r="J5153" t="inlineStr">
        <is>
          <t>Mediana</t>
        </is>
      </c>
      <c r="K5153" t="n">
        <v>2</v>
      </c>
      <c r="L5153" t="n">
        <v>1.943</v>
      </c>
      <c r="M5153" t="n">
        <v>0</v>
      </c>
      <c r="N5153" t="inlineStr">
        <is>
          <t>train</t>
        </is>
      </c>
      <c r="O5153">
        <f>HYPERLINK("Solo2\marker_474_793233.png", "Ver Imagen")</f>
        <v/>
      </c>
      <c r="P5153">
        <f>HYPERLINK("NO\A-499\A-499__100.png", "Ver Imagen")</f>
        <v/>
      </c>
    </row>
    <row r="5154">
      <c r="A5154" t="n">
        <v>4843</v>
      </c>
      <c r="B5154" t="inlineStr">
        <is>
          <t>A-495R__118</t>
        </is>
      </c>
      <c r="C5154" t="n">
        <v>37.4652159223</v>
      </c>
      <c r="D5154" t="n">
        <v>-7.12175718826</v>
      </c>
      <c r="E5154" t="n">
        <v>3</v>
      </c>
      <c r="F5154" t="n">
        <v>3</v>
      </c>
      <c r="H5154" t="n">
        <v>2</v>
      </c>
      <c r="I5154" t="n">
        <v>4</v>
      </c>
      <c r="J5154" t="inlineStr">
        <is>
          <t>Mediana</t>
        </is>
      </c>
      <c r="K5154" t="n">
        <v>3</v>
      </c>
      <c r="L5154" t="n">
        <v>2.927</v>
      </c>
      <c r="M5154" t="n">
        <v>0</v>
      </c>
      <c r="N5154" t="inlineStr">
        <is>
          <t>train</t>
        </is>
      </c>
      <c r="O5154">
        <f>HYPERLINK("Solo2\marker_933_895406.png", "Ver Imagen")</f>
        <v/>
      </c>
      <c r="P5154">
        <f>HYPERLINK("NE\A-495R\A-495R__118.png", "Ver Imagen")</f>
        <v/>
      </c>
    </row>
    <row r="5155">
      <c r="A5155" t="n">
        <v>4844</v>
      </c>
      <c r="B5155" t="inlineStr">
        <is>
          <t>A-497__5</t>
        </is>
      </c>
      <c r="C5155" t="n">
        <v>37.2668043763</v>
      </c>
      <c r="D5155" t="n">
        <v>-6.95727944592</v>
      </c>
      <c r="E5155" t="n">
        <v>3</v>
      </c>
      <c r="F5155" t="n">
        <v>2</v>
      </c>
      <c r="H5155" t="n">
        <v>2</v>
      </c>
      <c r="I5155" t="n">
        <v>2</v>
      </c>
      <c r="J5155" t="inlineStr">
        <is>
          <t>Mediana</t>
        </is>
      </c>
      <c r="K5155" t="n">
        <v>2</v>
      </c>
      <c r="L5155" t="n">
        <v>2.021</v>
      </c>
      <c r="M5155" t="n">
        <v>0</v>
      </c>
      <c r="N5155" t="inlineStr">
        <is>
          <t>train</t>
        </is>
      </c>
      <c r="O5155">
        <f>HYPERLINK("Solo2\marker_478_944027.png", "Ver Imagen")</f>
        <v/>
      </c>
      <c r="P5155">
        <f>HYPERLINK("SE\A-497\A-497__5.png", "Ver Imagen")</f>
        <v/>
      </c>
    </row>
    <row r="5156">
      <c r="A5156" t="n">
        <v>4845</v>
      </c>
      <c r="B5156" t="inlineStr">
        <is>
          <t>A-5053__281</t>
        </is>
      </c>
      <c r="C5156" t="n">
        <v>37.2708683725</v>
      </c>
      <c r="D5156" t="n">
        <v>-7.14020272654</v>
      </c>
      <c r="F5156" t="n">
        <v>4</v>
      </c>
      <c r="G5156" t="n">
        <v>3</v>
      </c>
      <c r="H5156" t="n">
        <v>3</v>
      </c>
      <c r="I5156" t="n">
        <v>4</v>
      </c>
      <c r="J5156" t="inlineStr">
        <is>
          <t>Mediana</t>
        </is>
      </c>
      <c r="K5156" t="n">
        <v>3.5</v>
      </c>
      <c r="L5156" t="n">
        <v>3.69</v>
      </c>
      <c r="M5156" t="n">
        <v>0</v>
      </c>
      <c r="N5156" t="inlineStr">
        <is>
          <t>train</t>
        </is>
      </c>
      <c r="O5156">
        <f>HYPERLINK("Solo2\marker_903_965049.png", "Ver Imagen")</f>
        <v/>
      </c>
      <c r="P5156">
        <f>HYPERLINK("SO\A-5053\A-5053__281.png", "Ver Imagen")</f>
        <v/>
      </c>
    </row>
    <row r="5157">
      <c r="A5157" t="n">
        <v>4847</v>
      </c>
      <c r="B5157" t="inlineStr">
        <is>
          <t>A-490__118</t>
        </is>
      </c>
      <c r="C5157" t="n">
        <v>37.4511884281</v>
      </c>
      <c r="D5157" t="n">
        <v>-7.15448583629</v>
      </c>
      <c r="F5157" t="n">
        <v>4</v>
      </c>
      <c r="G5157" t="n">
        <v>4</v>
      </c>
      <c r="H5157" t="n">
        <v>4</v>
      </c>
      <c r="I5157" t="n">
        <v>5</v>
      </c>
      <c r="J5157" t="inlineStr">
        <is>
          <t>Mediana</t>
        </is>
      </c>
      <c r="K5157" t="n">
        <v>4</v>
      </c>
      <c r="L5157" t="n">
        <v>3.736</v>
      </c>
      <c r="M5157" t="n">
        <v>0</v>
      </c>
      <c r="N5157" t="inlineStr">
        <is>
          <t>train</t>
        </is>
      </c>
      <c r="O5157">
        <f>HYPERLINK("Solo2\marker_320_739948.png", "Ver Imagen")</f>
        <v/>
      </c>
      <c r="P5157">
        <f>HYPERLINK("NE\A-490\A-490__118.png", "Ver Imagen")</f>
        <v/>
      </c>
    </row>
    <row r="5158">
      <c r="A5158" t="n">
        <v>4848</v>
      </c>
      <c r="B5158" t="inlineStr">
        <is>
          <t>A-490__91</t>
        </is>
      </c>
      <c r="C5158" t="n">
        <v>37.4487511402</v>
      </c>
      <c r="D5158" t="n">
        <v>-7.14849575352</v>
      </c>
      <c r="E5158" t="n">
        <v>2</v>
      </c>
      <c r="F5158" t="n">
        <v>4</v>
      </c>
      <c r="H5158" t="n">
        <v>3</v>
      </c>
      <c r="I5158" t="n">
        <v>3</v>
      </c>
      <c r="J5158" t="inlineStr">
        <is>
          <t>Mediana</t>
        </is>
      </c>
      <c r="K5158" t="n">
        <v>3</v>
      </c>
      <c r="L5158" t="n">
        <v>2.849</v>
      </c>
      <c r="M5158" t="n">
        <v>0</v>
      </c>
      <c r="N5158" t="inlineStr">
        <is>
          <t>train</t>
        </is>
      </c>
      <c r="O5158">
        <f>HYPERLINK("Solo2\marker_132_738995.png", "Ver Imagen")</f>
        <v/>
      </c>
      <c r="P5158">
        <f>HYPERLINK("NE\A-490\A-490__91.png", "Ver Imagen")</f>
        <v/>
      </c>
    </row>
    <row r="5159">
      <c r="A5159" t="n">
        <v>4849</v>
      </c>
      <c r="B5159" t="inlineStr">
        <is>
          <t>A-490__120</t>
        </is>
      </c>
      <c r="C5159" t="n">
        <v>37.4513133194</v>
      </c>
      <c r="D5159" t="n">
        <v>-7.15504420969</v>
      </c>
      <c r="E5159" t="n">
        <v>2</v>
      </c>
      <c r="F5159" t="n">
        <v>3</v>
      </c>
      <c r="H5159" t="n">
        <v>4</v>
      </c>
      <c r="I5159" t="n">
        <v>4</v>
      </c>
      <c r="J5159" t="inlineStr">
        <is>
          <t>Mediana</t>
        </is>
      </c>
      <c r="K5159" t="n">
        <v>3.5</v>
      </c>
      <c r="L5159" t="n">
        <v>3.541</v>
      </c>
      <c r="M5159" t="n">
        <v>0</v>
      </c>
      <c r="N5159" t="inlineStr">
        <is>
          <t>train</t>
        </is>
      </c>
      <c r="O5159">
        <f>HYPERLINK("Solo2\marker_114_740016.png", "Ver Imagen")</f>
        <v/>
      </c>
      <c r="P5159">
        <f>HYPERLINK("NE\A-490\A-490__120.png", "Ver Imagen")</f>
        <v/>
      </c>
    </row>
    <row r="5160">
      <c r="A5160" t="n">
        <v>4850</v>
      </c>
      <c r="B5160" t="inlineStr">
        <is>
          <t>A-490__303</t>
        </is>
      </c>
      <c r="C5160" t="n">
        <v>37.4719019903</v>
      </c>
      <c r="D5160" t="n">
        <v>-7.19302470897</v>
      </c>
      <c r="E5160" t="n">
        <v>1</v>
      </c>
      <c r="F5160" t="n">
        <v>2</v>
      </c>
      <c r="H5160" t="n">
        <v>2</v>
      </c>
      <c r="I5160" t="n">
        <v>1</v>
      </c>
      <c r="J5160" t="inlineStr">
        <is>
          <t>Mediana</t>
        </is>
      </c>
      <c r="K5160" t="n">
        <v>1.5</v>
      </c>
      <c r="L5160" t="n">
        <v>1.601</v>
      </c>
      <c r="M5160" t="n">
        <v>0</v>
      </c>
      <c r="N5160" t="inlineStr">
        <is>
          <t>val</t>
        </is>
      </c>
      <c r="O5160">
        <f>HYPERLINK("Solo2\marker_894_750623.png", "Ver Imagen")</f>
        <v/>
      </c>
      <c r="P5160">
        <f>HYPERLINK("NE\A-490\A-490__303.png", "Ver Imagen")</f>
        <v/>
      </c>
    </row>
    <row r="5161">
      <c r="A5161" t="n">
        <v>4850</v>
      </c>
      <c r="B5161" t="inlineStr">
        <is>
          <t>A-490__303</t>
        </is>
      </c>
      <c r="C5161" t="n">
        <v>37.4719019903</v>
      </c>
      <c r="D5161" t="n">
        <v>-7.19302470897</v>
      </c>
      <c r="E5161" t="n">
        <v>1</v>
      </c>
      <c r="F5161" t="n">
        <v>2</v>
      </c>
      <c r="H5161" t="n">
        <v>2</v>
      </c>
      <c r="I5161" t="n">
        <v>1</v>
      </c>
      <c r="J5161" t="inlineStr">
        <is>
          <t>Mediana</t>
        </is>
      </c>
      <c r="K5161" t="n">
        <v>1.5</v>
      </c>
      <c r="L5161" t="n">
        <v>1.726</v>
      </c>
      <c r="M5161" t="n">
        <v>0</v>
      </c>
      <c r="N5161" t="inlineStr">
        <is>
          <t>val</t>
        </is>
      </c>
      <c r="O5161">
        <f>HYPERLINK("Solo2\marker_894_750623.png", "Ver Imagen")</f>
        <v/>
      </c>
      <c r="P5161">
        <f>HYPERLINK("NO\A-490\A-490__303.png", "Ver Imagen")</f>
        <v/>
      </c>
    </row>
    <row r="5162">
      <c r="A5162" t="n">
        <v>4851</v>
      </c>
      <c r="B5162" t="inlineStr">
        <is>
          <t>A-490__304</t>
        </is>
      </c>
      <c r="C5162" t="n">
        <v>37.4719830104</v>
      </c>
      <c r="D5162" t="n">
        <v>-7.19316023656</v>
      </c>
      <c r="E5162" t="n">
        <v>2</v>
      </c>
      <c r="F5162" t="n">
        <v>4</v>
      </c>
      <c r="H5162" t="n">
        <v>3</v>
      </c>
      <c r="I5162" t="n">
        <v>3</v>
      </c>
      <c r="J5162" t="inlineStr">
        <is>
          <t>Mediana</t>
        </is>
      </c>
      <c r="K5162" t="n">
        <v>3</v>
      </c>
      <c r="L5162" t="n">
        <v>2.653</v>
      </c>
      <c r="M5162" t="n">
        <v>0</v>
      </c>
      <c r="N5162" t="inlineStr">
        <is>
          <t>train</t>
        </is>
      </c>
      <c r="O5162">
        <f>HYPERLINK("Solo2\marker_904_750639.png", "Ver Imagen")</f>
        <v/>
      </c>
      <c r="P5162">
        <f>HYPERLINK("NE\A-490\A-490__304.png", "Ver Imagen")</f>
        <v/>
      </c>
    </row>
    <row r="5163">
      <c r="A5163" t="n">
        <v>4852</v>
      </c>
      <c r="B5163" t="inlineStr">
        <is>
          <t>A-490__336</t>
        </is>
      </c>
      <c r="C5163" t="n">
        <v>37.4755227156</v>
      </c>
      <c r="D5163" t="n">
        <v>-7.19994589649</v>
      </c>
      <c r="E5163" t="n">
        <v>1</v>
      </c>
      <c r="F5163" t="n">
        <v>3</v>
      </c>
      <c r="H5163" t="n">
        <v>3</v>
      </c>
      <c r="I5163" t="n">
        <v>3</v>
      </c>
      <c r="J5163" t="inlineStr">
        <is>
          <t>Mediana</t>
        </is>
      </c>
      <c r="K5163" t="n">
        <v>3</v>
      </c>
      <c r="L5163" t="n">
        <v>3.157</v>
      </c>
      <c r="M5163" t="n">
        <v>0</v>
      </c>
      <c r="N5163" t="inlineStr">
        <is>
          <t>train</t>
        </is>
      </c>
      <c r="O5163">
        <f>HYPERLINK("Solo2\marker_903_751408.png", "Ver Imagen")</f>
        <v/>
      </c>
      <c r="P5163">
        <f>HYPERLINK("NE\A-490\A-490__336.png", "Ver Imagen")</f>
        <v/>
      </c>
    </row>
    <row r="5164">
      <c r="A5164" t="n">
        <v>4853</v>
      </c>
      <c r="B5164" t="inlineStr">
        <is>
          <t>A-490__205</t>
        </is>
      </c>
      <c r="C5164" t="n">
        <v>37.4605131941</v>
      </c>
      <c r="D5164" t="n">
        <v>-7.17267898329</v>
      </c>
      <c r="F5164" t="n">
        <v>3</v>
      </c>
      <c r="G5164" t="n">
        <v>2</v>
      </c>
      <c r="H5164" t="n">
        <v>3</v>
      </c>
      <c r="I5164" t="n">
        <v>3</v>
      </c>
      <c r="J5164" t="inlineStr">
        <is>
          <t>Mediana</t>
        </is>
      </c>
      <c r="K5164" t="n">
        <v>3</v>
      </c>
      <c r="L5164" t="n">
        <v>3.1</v>
      </c>
      <c r="M5164" t="n">
        <v>0</v>
      </c>
      <c r="N5164" t="inlineStr">
        <is>
          <t>train</t>
        </is>
      </c>
      <c r="O5164">
        <f>HYPERLINK("Solo2\marker_158_742483.png", "Ver Imagen")</f>
        <v/>
      </c>
      <c r="P5164">
        <f>HYPERLINK("NE\A-490\A-490__205.png", "Ver Imagen")</f>
        <v/>
      </c>
    </row>
    <row r="5165">
      <c r="A5165" t="n">
        <v>4854</v>
      </c>
      <c r="B5165" t="inlineStr">
        <is>
          <t>A-490__270</t>
        </is>
      </c>
      <c r="C5165" t="n">
        <v>37.4680888325</v>
      </c>
      <c r="D5165" t="n">
        <v>-7.18613726408</v>
      </c>
      <c r="E5165" t="n">
        <v>1</v>
      </c>
      <c r="F5165" t="n">
        <v>3</v>
      </c>
      <c r="H5165" t="n">
        <v>2</v>
      </c>
      <c r="I5165" t="n">
        <v>1</v>
      </c>
      <c r="J5165" t="inlineStr">
        <is>
          <t>Mediana</t>
        </is>
      </c>
      <c r="K5165" t="n">
        <v>1.5</v>
      </c>
      <c r="L5165" t="n">
        <v>1.753</v>
      </c>
      <c r="M5165" t="n">
        <v>0</v>
      </c>
      <c r="N5165" t="inlineStr">
        <is>
          <t>val</t>
        </is>
      </c>
      <c r="O5165">
        <f>HYPERLINK("Solo2\marker_868_749899.png", "Ver Imagen")</f>
        <v/>
      </c>
      <c r="P5165">
        <f>HYPERLINK("NE\A-490\A-490__270.png", "Ver Imagen")</f>
        <v/>
      </c>
    </row>
    <row r="5166">
      <c r="A5166" t="n">
        <v>4854</v>
      </c>
      <c r="B5166" t="inlineStr">
        <is>
          <t>A-490__270</t>
        </is>
      </c>
      <c r="C5166" t="n">
        <v>37.4680888325</v>
      </c>
      <c r="D5166" t="n">
        <v>-7.18613726408</v>
      </c>
      <c r="E5166" t="n">
        <v>1</v>
      </c>
      <c r="F5166" t="n">
        <v>3</v>
      </c>
      <c r="H5166" t="n">
        <v>2</v>
      </c>
      <c r="I5166" t="n">
        <v>1</v>
      </c>
      <c r="J5166" t="inlineStr">
        <is>
          <t>Mediana</t>
        </is>
      </c>
      <c r="K5166" t="n">
        <v>1.5</v>
      </c>
      <c r="L5166" t="n">
        <v>1.888</v>
      </c>
      <c r="M5166" t="n">
        <v>0</v>
      </c>
      <c r="N5166" t="inlineStr">
        <is>
          <t>val</t>
        </is>
      </c>
      <c r="O5166">
        <f>HYPERLINK("Solo2\marker_868_749899.png", "Ver Imagen")</f>
        <v/>
      </c>
      <c r="P5166">
        <f>HYPERLINK("NO\A-490\A-490__270.png", "Ver Imagen")</f>
        <v/>
      </c>
    </row>
    <row r="5167">
      <c r="A5167" t="n">
        <v>4855</v>
      </c>
      <c r="B5167" t="inlineStr">
        <is>
          <t>A-490__271</t>
        </is>
      </c>
      <c r="C5167" t="n">
        <v>37.4682141775</v>
      </c>
      <c r="D5167" t="n">
        <v>-7.18637148141</v>
      </c>
      <c r="E5167" t="n">
        <v>1</v>
      </c>
      <c r="F5167" t="n">
        <v>3</v>
      </c>
      <c r="H5167" t="n">
        <v>2</v>
      </c>
      <c r="I5167" t="n">
        <v>2</v>
      </c>
      <c r="J5167" t="inlineStr">
        <is>
          <t>Mediana</t>
        </is>
      </c>
      <c r="K5167" t="n">
        <v>2</v>
      </c>
      <c r="L5167" t="n">
        <v>1.876</v>
      </c>
      <c r="M5167" t="n">
        <v>0</v>
      </c>
      <c r="N5167" t="inlineStr">
        <is>
          <t>train</t>
        </is>
      </c>
      <c r="O5167">
        <f>HYPERLINK("Solo2\marker_276_749922.png", "Ver Imagen")</f>
        <v/>
      </c>
      <c r="P5167">
        <f>HYPERLINK("NE\A-490\A-490__271.png", "Ver Imagen")</f>
        <v/>
      </c>
    </row>
    <row r="5168">
      <c r="A5168" t="n">
        <v>4855</v>
      </c>
      <c r="B5168" t="inlineStr">
        <is>
          <t>A-490__271</t>
        </is>
      </c>
      <c r="C5168" t="n">
        <v>37.4682141775</v>
      </c>
      <c r="D5168" t="n">
        <v>-7.18637148141</v>
      </c>
      <c r="E5168" t="n">
        <v>1</v>
      </c>
      <c r="F5168" t="n">
        <v>3</v>
      </c>
      <c r="H5168" t="n">
        <v>2</v>
      </c>
      <c r="I5168" t="n">
        <v>2</v>
      </c>
      <c r="J5168" t="inlineStr">
        <is>
          <t>Mediana</t>
        </is>
      </c>
      <c r="K5168" t="n">
        <v>2</v>
      </c>
      <c r="L5168" t="n">
        <v>1.974</v>
      </c>
      <c r="M5168" t="n">
        <v>0</v>
      </c>
      <c r="N5168" t="inlineStr">
        <is>
          <t>train</t>
        </is>
      </c>
      <c r="O5168">
        <f>HYPERLINK("Solo2\marker_276_749922.png", "Ver Imagen")</f>
        <v/>
      </c>
      <c r="P5168">
        <f>HYPERLINK("NO\A-490\A-490__271.png", "Ver Imagen")</f>
        <v/>
      </c>
    </row>
    <row r="5169">
      <c r="A5169" t="n">
        <v>4856</v>
      </c>
      <c r="B5169" t="inlineStr">
        <is>
          <t>A-490__272</t>
        </is>
      </c>
      <c r="C5169" t="n">
        <v>37.4683300106</v>
      </c>
      <c r="D5169" t="n">
        <v>-7.18658736787</v>
      </c>
      <c r="E5169" t="n">
        <v>1</v>
      </c>
      <c r="F5169" t="n">
        <v>3</v>
      </c>
      <c r="H5169" t="n">
        <v>1</v>
      </c>
      <c r="I5169" t="n">
        <v>2</v>
      </c>
      <c r="J5169" t="inlineStr">
        <is>
          <t>Mediana</t>
        </is>
      </c>
      <c r="K5169" t="n">
        <v>1.5</v>
      </c>
      <c r="L5169" t="n">
        <v>1.859</v>
      </c>
      <c r="M5169" t="n">
        <v>0</v>
      </c>
      <c r="N5169" t="inlineStr">
        <is>
          <t>train</t>
        </is>
      </c>
      <c r="O5169">
        <f>HYPERLINK("Solo2\marker_808_749944.png", "Ver Imagen")</f>
        <v/>
      </c>
      <c r="P5169">
        <f>HYPERLINK("NE\A-490\A-490__272.png", "Ver Imagen")</f>
        <v/>
      </c>
    </row>
    <row r="5170">
      <c r="A5170" t="n">
        <v>4856</v>
      </c>
      <c r="B5170" t="inlineStr">
        <is>
          <t>A-490__272</t>
        </is>
      </c>
      <c r="C5170" t="n">
        <v>37.4683300106</v>
      </c>
      <c r="D5170" t="n">
        <v>-7.18658736787</v>
      </c>
      <c r="E5170" t="n">
        <v>1</v>
      </c>
      <c r="F5170" t="n">
        <v>3</v>
      </c>
      <c r="H5170" t="n">
        <v>1</v>
      </c>
      <c r="I5170" t="n">
        <v>2</v>
      </c>
      <c r="J5170" t="inlineStr">
        <is>
          <t>Mediana</t>
        </is>
      </c>
      <c r="K5170" t="n">
        <v>1.5</v>
      </c>
      <c r="L5170" t="n">
        <v>1.944</v>
      </c>
      <c r="M5170" t="n">
        <v>0</v>
      </c>
      <c r="N5170" t="inlineStr">
        <is>
          <t>train</t>
        </is>
      </c>
      <c r="O5170">
        <f>HYPERLINK("Solo2\marker_808_749944.png", "Ver Imagen")</f>
        <v/>
      </c>
      <c r="P5170">
        <f>HYPERLINK("NO\A-490\A-490__272.png", "Ver Imagen")</f>
        <v/>
      </c>
    </row>
    <row r="5171">
      <c r="A5171" t="n">
        <v>4857</v>
      </c>
      <c r="B5171" t="inlineStr">
        <is>
          <t>A-490__273</t>
        </is>
      </c>
      <c r="C5171" t="n">
        <v>37.4684597786</v>
      </c>
      <c r="D5171" t="n">
        <v>-7.18682609132</v>
      </c>
      <c r="E5171" t="n">
        <v>1</v>
      </c>
      <c r="F5171" t="n">
        <v>2</v>
      </c>
      <c r="H5171" t="n">
        <v>2</v>
      </c>
      <c r="I5171" t="n">
        <v>1</v>
      </c>
      <c r="J5171" t="inlineStr">
        <is>
          <t>Mediana</t>
        </is>
      </c>
      <c r="K5171" t="n">
        <v>1.5</v>
      </c>
      <c r="L5171" t="n">
        <v>1.857</v>
      </c>
      <c r="M5171" t="n">
        <v>0</v>
      </c>
      <c r="N5171" t="inlineStr">
        <is>
          <t>train</t>
        </is>
      </c>
      <c r="O5171">
        <f>HYPERLINK("Solo2\marker_284_749969.png", "Ver Imagen")</f>
        <v/>
      </c>
      <c r="P5171">
        <f>HYPERLINK("NE\A-490\A-490__273.png", "Ver Imagen")</f>
        <v/>
      </c>
    </row>
    <row r="5172">
      <c r="A5172" t="n">
        <v>4857</v>
      </c>
      <c r="B5172" t="inlineStr">
        <is>
          <t>A-490__273</t>
        </is>
      </c>
      <c r="C5172" t="n">
        <v>37.4684597786</v>
      </c>
      <c r="D5172" t="n">
        <v>-7.18682609132</v>
      </c>
      <c r="E5172" t="n">
        <v>1</v>
      </c>
      <c r="F5172" t="n">
        <v>2</v>
      </c>
      <c r="H5172" t="n">
        <v>2</v>
      </c>
      <c r="I5172" t="n">
        <v>1</v>
      </c>
      <c r="J5172" t="inlineStr">
        <is>
          <t>Mediana</t>
        </is>
      </c>
      <c r="K5172" t="n">
        <v>1.5</v>
      </c>
      <c r="L5172" t="n">
        <v>1.79</v>
      </c>
      <c r="M5172" t="n">
        <v>0</v>
      </c>
      <c r="N5172" t="inlineStr">
        <is>
          <t>train</t>
        </is>
      </c>
      <c r="O5172">
        <f>HYPERLINK("Solo2\marker_284_749969.png", "Ver Imagen")</f>
        <v/>
      </c>
      <c r="P5172">
        <f>HYPERLINK("NO\A-490\A-490__273.png", "Ver Imagen")</f>
        <v/>
      </c>
    </row>
    <row r="5173">
      <c r="A5173" t="n">
        <v>4858</v>
      </c>
      <c r="B5173" t="inlineStr">
        <is>
          <t>A-490__274</t>
        </is>
      </c>
      <c r="C5173" t="n">
        <v>37.4685547297</v>
      </c>
      <c r="D5173" t="n">
        <v>-7.18699940256</v>
      </c>
      <c r="E5173" t="n">
        <v>1</v>
      </c>
      <c r="F5173" t="n">
        <v>3</v>
      </c>
      <c r="H5173" t="n">
        <v>1</v>
      </c>
      <c r="I5173" t="n">
        <v>1</v>
      </c>
      <c r="J5173" t="inlineStr">
        <is>
          <t>Mediana</t>
        </is>
      </c>
      <c r="K5173" t="n">
        <v>1</v>
      </c>
      <c r="L5173" t="n">
        <v>1.196</v>
      </c>
      <c r="M5173" t="n">
        <v>0</v>
      </c>
      <c r="N5173" t="inlineStr">
        <is>
          <t>train</t>
        </is>
      </c>
      <c r="O5173">
        <f>HYPERLINK("Solo2\marker_377_749984.png", "Ver Imagen")</f>
        <v/>
      </c>
      <c r="P5173">
        <f>HYPERLINK("NE\A-490\A-490__274.png", "Ver Imagen")</f>
        <v/>
      </c>
    </row>
    <row r="5174">
      <c r="A5174" t="n">
        <v>4858</v>
      </c>
      <c r="B5174" t="inlineStr">
        <is>
          <t>A-490__274</t>
        </is>
      </c>
      <c r="C5174" t="n">
        <v>37.4685547297</v>
      </c>
      <c r="D5174" t="n">
        <v>-7.18699940256</v>
      </c>
      <c r="E5174" t="n">
        <v>1</v>
      </c>
      <c r="F5174" t="n">
        <v>3</v>
      </c>
      <c r="H5174" t="n">
        <v>1</v>
      </c>
      <c r="I5174" t="n">
        <v>1</v>
      </c>
      <c r="J5174" t="inlineStr">
        <is>
          <t>Mediana</t>
        </is>
      </c>
      <c r="K5174" t="n">
        <v>1</v>
      </c>
      <c r="L5174" t="n">
        <v>1.24</v>
      </c>
      <c r="M5174" t="n">
        <v>0</v>
      </c>
      <c r="N5174" t="inlineStr">
        <is>
          <t>train</t>
        </is>
      </c>
      <c r="O5174">
        <f>HYPERLINK("Solo2\marker_377_749984.png", "Ver Imagen")</f>
        <v/>
      </c>
      <c r="P5174">
        <f>HYPERLINK("NO\A-490\A-490__274.png", "Ver Imagen")</f>
        <v/>
      </c>
    </row>
    <row r="5175">
      <c r="A5175" t="n">
        <v>4859</v>
      </c>
      <c r="B5175" t="inlineStr">
        <is>
          <t>A-490__275</t>
        </is>
      </c>
      <c r="C5175" t="n">
        <v>37.468650296</v>
      </c>
      <c r="D5175" t="n">
        <v>-7.18717395097</v>
      </c>
      <c r="E5175" t="n">
        <v>1</v>
      </c>
      <c r="F5175" t="n">
        <v>2</v>
      </c>
      <c r="H5175" t="n">
        <v>1</v>
      </c>
      <c r="I5175" t="n">
        <v>1</v>
      </c>
      <c r="J5175" t="inlineStr">
        <is>
          <t>Mediana</t>
        </is>
      </c>
      <c r="K5175" t="n">
        <v>1</v>
      </c>
      <c r="L5175" t="n">
        <v>1.192</v>
      </c>
      <c r="M5175" t="n">
        <v>0</v>
      </c>
      <c r="N5175" t="inlineStr">
        <is>
          <t>test</t>
        </is>
      </c>
      <c r="O5175">
        <f>HYPERLINK("Solo2\marker_978_750010.png", "Ver Imagen")</f>
        <v/>
      </c>
      <c r="P5175">
        <f>HYPERLINK("NE\A-490\A-490__275.png", "Ver Imagen")</f>
        <v/>
      </c>
    </row>
    <row r="5176">
      <c r="A5176" t="n">
        <v>4860</v>
      </c>
      <c r="B5176" t="inlineStr">
        <is>
          <t>A-490__276</t>
        </is>
      </c>
      <c r="C5176" t="n">
        <v>37.4687399172</v>
      </c>
      <c r="D5176" t="n">
        <v>-7.18733800622</v>
      </c>
      <c r="E5176" t="n">
        <v>1</v>
      </c>
      <c r="F5176" t="n">
        <v>3</v>
      </c>
      <c r="H5176" t="n">
        <v>2</v>
      </c>
      <c r="I5176" t="n">
        <v>2</v>
      </c>
      <c r="J5176" t="inlineStr">
        <is>
          <t>Mediana</t>
        </is>
      </c>
      <c r="K5176" t="n">
        <v>2</v>
      </c>
      <c r="L5176" t="n">
        <v>1.985</v>
      </c>
      <c r="M5176" t="n">
        <v>0</v>
      </c>
      <c r="N5176" t="inlineStr">
        <is>
          <t>train</t>
        </is>
      </c>
      <c r="O5176">
        <f>HYPERLINK("Solo2\marker_383_750024.png", "Ver Imagen")</f>
        <v/>
      </c>
      <c r="P5176">
        <f>HYPERLINK("NE\A-490\A-490__276.png", "Ver Imagen")</f>
        <v/>
      </c>
    </row>
    <row r="5177">
      <c r="A5177" t="n">
        <v>4860</v>
      </c>
      <c r="B5177" t="inlineStr">
        <is>
          <t>A-490__276</t>
        </is>
      </c>
      <c r="C5177" t="n">
        <v>37.4687399172</v>
      </c>
      <c r="D5177" t="n">
        <v>-7.18733800622</v>
      </c>
      <c r="E5177" t="n">
        <v>1</v>
      </c>
      <c r="F5177" t="n">
        <v>3</v>
      </c>
      <c r="H5177" t="n">
        <v>2</v>
      </c>
      <c r="I5177" t="n">
        <v>2</v>
      </c>
      <c r="J5177" t="inlineStr">
        <is>
          <t>Mediana</t>
        </is>
      </c>
      <c r="K5177" t="n">
        <v>2</v>
      </c>
      <c r="L5177" t="n">
        <v>1.948</v>
      </c>
      <c r="M5177" t="n">
        <v>0</v>
      </c>
      <c r="N5177" t="inlineStr">
        <is>
          <t>train</t>
        </is>
      </c>
      <c r="O5177">
        <f>HYPERLINK("Solo2\marker_383_750024.png", "Ver Imagen")</f>
        <v/>
      </c>
      <c r="P5177">
        <f>HYPERLINK("NO\A-490\A-490__276.png", "Ver Imagen")</f>
        <v/>
      </c>
    </row>
    <row r="5178">
      <c r="A5178" t="n">
        <v>4862</v>
      </c>
      <c r="B5178" t="inlineStr">
        <is>
          <t>A-490__278</t>
        </is>
      </c>
      <c r="C5178" t="n">
        <v>37.4690051859</v>
      </c>
      <c r="D5178" t="n">
        <v>-7.18782562363</v>
      </c>
      <c r="E5178" t="n">
        <v>1</v>
      </c>
      <c r="F5178" t="n">
        <v>2</v>
      </c>
      <c r="H5178" t="n">
        <v>2</v>
      </c>
      <c r="I5178" t="n">
        <v>2</v>
      </c>
      <c r="J5178" t="inlineStr">
        <is>
          <t>Mediana</t>
        </is>
      </c>
      <c r="K5178" t="n">
        <v>2</v>
      </c>
      <c r="L5178" t="n">
        <v>1.981</v>
      </c>
      <c r="M5178" t="n">
        <v>0</v>
      </c>
      <c r="N5178" t="inlineStr">
        <is>
          <t>train</t>
        </is>
      </c>
      <c r="O5178">
        <f>HYPERLINK("Solo2\marker_577_750067.png", "Ver Imagen")</f>
        <v/>
      </c>
      <c r="P5178">
        <f>HYPERLINK("NE\A-490\A-490__278.png", "Ver Imagen")</f>
        <v/>
      </c>
    </row>
    <row r="5179">
      <c r="A5179" t="n">
        <v>4862</v>
      </c>
      <c r="B5179" t="inlineStr">
        <is>
          <t>A-490__278</t>
        </is>
      </c>
      <c r="C5179" t="n">
        <v>37.4690051859</v>
      </c>
      <c r="D5179" t="n">
        <v>-7.18782562363</v>
      </c>
      <c r="E5179" t="n">
        <v>1</v>
      </c>
      <c r="F5179" t="n">
        <v>2</v>
      </c>
      <c r="H5179" t="n">
        <v>2</v>
      </c>
      <c r="I5179" t="n">
        <v>2</v>
      </c>
      <c r="J5179" t="inlineStr">
        <is>
          <t>Mediana</t>
        </is>
      </c>
      <c r="K5179" t="n">
        <v>2</v>
      </c>
      <c r="L5179" t="n">
        <v>2.153</v>
      </c>
      <c r="M5179" t="n">
        <v>0</v>
      </c>
      <c r="N5179" t="inlineStr">
        <is>
          <t>train</t>
        </is>
      </c>
      <c r="O5179">
        <f>HYPERLINK("Solo2\marker_577_750067.png", "Ver Imagen")</f>
        <v/>
      </c>
      <c r="P5179">
        <f>HYPERLINK("NO\A-490\A-490__278.png", "Ver Imagen")</f>
        <v/>
      </c>
    </row>
    <row r="5180">
      <c r="A5180" t="n">
        <v>4863</v>
      </c>
      <c r="B5180" t="inlineStr">
        <is>
          <t>A-490__279</t>
        </is>
      </c>
      <c r="C5180" t="n">
        <v>37.4691347214</v>
      </c>
      <c r="D5180" t="n">
        <v>-7.18806569138</v>
      </c>
      <c r="E5180" t="n">
        <v>1</v>
      </c>
      <c r="F5180" t="n">
        <v>2</v>
      </c>
      <c r="H5180" t="n">
        <v>2</v>
      </c>
      <c r="I5180" t="n">
        <v>1</v>
      </c>
      <c r="J5180" t="inlineStr">
        <is>
          <t>Mediana</t>
        </is>
      </c>
      <c r="K5180" t="n">
        <v>1.5</v>
      </c>
      <c r="L5180" t="n">
        <v>2.017</v>
      </c>
      <c r="M5180" t="n">
        <v>0</v>
      </c>
      <c r="N5180" t="inlineStr">
        <is>
          <t>train</t>
        </is>
      </c>
      <c r="O5180">
        <f>HYPERLINK("Solo2\marker_554_750095.png", "Ver Imagen")</f>
        <v/>
      </c>
      <c r="P5180">
        <f>HYPERLINK("NE\A-490\A-490__279.png", "Ver Imagen")</f>
        <v/>
      </c>
    </row>
    <row r="5181">
      <c r="A5181" t="n">
        <v>4863</v>
      </c>
      <c r="B5181" t="inlineStr">
        <is>
          <t>A-490__279</t>
        </is>
      </c>
      <c r="C5181" t="n">
        <v>37.4691347214</v>
      </c>
      <c r="D5181" t="n">
        <v>-7.18806569138</v>
      </c>
      <c r="E5181" t="n">
        <v>1</v>
      </c>
      <c r="F5181" t="n">
        <v>2</v>
      </c>
      <c r="H5181" t="n">
        <v>2</v>
      </c>
      <c r="I5181" t="n">
        <v>1</v>
      </c>
      <c r="J5181" t="inlineStr">
        <is>
          <t>Mediana</t>
        </is>
      </c>
      <c r="K5181" t="n">
        <v>1.5</v>
      </c>
      <c r="L5181" t="n">
        <v>1.864</v>
      </c>
      <c r="M5181" t="n">
        <v>0</v>
      </c>
      <c r="N5181" t="inlineStr">
        <is>
          <t>train</t>
        </is>
      </c>
      <c r="O5181">
        <f>HYPERLINK("Solo2\marker_554_750095.png", "Ver Imagen")</f>
        <v/>
      </c>
      <c r="P5181">
        <f>HYPERLINK("NO\A-490\A-490__279.png", "Ver Imagen")</f>
        <v/>
      </c>
    </row>
    <row r="5182">
      <c r="A5182" t="n">
        <v>4864</v>
      </c>
      <c r="B5182" t="inlineStr">
        <is>
          <t>A-490__280</t>
        </is>
      </c>
      <c r="C5182" t="n">
        <v>37.4692146622</v>
      </c>
      <c r="D5182" t="n">
        <v>-7.1882140793</v>
      </c>
      <c r="E5182" t="n">
        <v>2</v>
      </c>
      <c r="F5182" t="n">
        <v>3</v>
      </c>
      <c r="H5182" t="n">
        <v>2</v>
      </c>
      <c r="I5182" t="n">
        <v>2</v>
      </c>
      <c r="J5182" t="inlineStr">
        <is>
          <t>Mediana</t>
        </is>
      </c>
      <c r="K5182" t="n">
        <v>2</v>
      </c>
      <c r="L5182" t="n">
        <v>1.95</v>
      </c>
      <c r="M5182" t="n">
        <v>0</v>
      </c>
      <c r="N5182" t="inlineStr">
        <is>
          <t>train</t>
        </is>
      </c>
      <c r="O5182">
        <f>HYPERLINK("Solo2\marker_348_750124.png", "Ver Imagen")</f>
        <v/>
      </c>
      <c r="P5182">
        <f>HYPERLINK("NE\A-490\A-490__280.png", "Ver Imagen")</f>
        <v/>
      </c>
    </row>
    <row r="5183">
      <c r="A5183" t="n">
        <v>4864</v>
      </c>
      <c r="B5183" t="inlineStr">
        <is>
          <t>A-490__280</t>
        </is>
      </c>
      <c r="C5183" t="n">
        <v>37.4692146622</v>
      </c>
      <c r="D5183" t="n">
        <v>-7.1882140793</v>
      </c>
      <c r="E5183" t="n">
        <v>2</v>
      </c>
      <c r="F5183" t="n">
        <v>3</v>
      </c>
      <c r="H5183" t="n">
        <v>2</v>
      </c>
      <c r="I5183" t="n">
        <v>2</v>
      </c>
      <c r="J5183" t="inlineStr">
        <is>
          <t>Mediana</t>
        </is>
      </c>
      <c r="K5183" t="n">
        <v>2</v>
      </c>
      <c r="L5183" t="n">
        <v>1.991</v>
      </c>
      <c r="M5183" t="n">
        <v>0</v>
      </c>
      <c r="N5183" t="inlineStr">
        <is>
          <t>train</t>
        </is>
      </c>
      <c r="O5183">
        <f>HYPERLINK("Solo2\marker_348_750124.png", "Ver Imagen")</f>
        <v/>
      </c>
      <c r="P5183">
        <f>HYPERLINK("NO\A-490\A-490__280.png", "Ver Imagen")</f>
        <v/>
      </c>
    </row>
    <row r="5184">
      <c r="A5184" t="n">
        <v>4865</v>
      </c>
      <c r="B5184" t="inlineStr">
        <is>
          <t>A-490__281</t>
        </is>
      </c>
      <c r="C5184" t="n">
        <v>37.4693161694</v>
      </c>
      <c r="D5184" t="n">
        <v>-7.18840212135</v>
      </c>
      <c r="E5184" t="n">
        <v>1</v>
      </c>
      <c r="F5184" t="n">
        <v>2</v>
      </c>
      <c r="H5184" t="n">
        <v>2</v>
      </c>
      <c r="I5184" t="n">
        <v>1</v>
      </c>
      <c r="J5184" t="inlineStr">
        <is>
          <t>Mediana</t>
        </is>
      </c>
      <c r="K5184" t="n">
        <v>1.5</v>
      </c>
      <c r="L5184" t="n">
        <v>1.85</v>
      </c>
      <c r="M5184" t="n">
        <v>0</v>
      </c>
      <c r="N5184" t="inlineStr">
        <is>
          <t>train</t>
        </is>
      </c>
      <c r="O5184">
        <f>HYPERLINK("Solo2\marker_492_750142.png", "Ver Imagen")</f>
        <v/>
      </c>
      <c r="P5184">
        <f>HYPERLINK("NE\A-490\A-490__281.png", "Ver Imagen")</f>
        <v/>
      </c>
    </row>
    <row r="5185">
      <c r="A5185" t="n">
        <v>4865</v>
      </c>
      <c r="B5185" t="inlineStr">
        <is>
          <t>A-490__281</t>
        </is>
      </c>
      <c r="C5185" t="n">
        <v>37.4693161694</v>
      </c>
      <c r="D5185" t="n">
        <v>-7.18840212135</v>
      </c>
      <c r="E5185" t="n">
        <v>1</v>
      </c>
      <c r="F5185" t="n">
        <v>2</v>
      </c>
      <c r="H5185" t="n">
        <v>2</v>
      </c>
      <c r="I5185" t="n">
        <v>1</v>
      </c>
      <c r="J5185" t="inlineStr">
        <is>
          <t>Mediana</t>
        </is>
      </c>
      <c r="K5185" t="n">
        <v>1.5</v>
      </c>
      <c r="L5185" t="n">
        <v>1.909</v>
      </c>
      <c r="M5185" t="n">
        <v>0</v>
      </c>
      <c r="N5185" t="inlineStr">
        <is>
          <t>train</t>
        </is>
      </c>
      <c r="O5185">
        <f>HYPERLINK("Solo2\marker_492_750142.png", "Ver Imagen")</f>
        <v/>
      </c>
      <c r="P5185">
        <f>HYPERLINK("NO\A-490\A-490__281.png", "Ver Imagen")</f>
        <v/>
      </c>
    </row>
    <row r="5186">
      <c r="A5186" t="n">
        <v>4866</v>
      </c>
      <c r="B5186" t="inlineStr">
        <is>
          <t>A-490__282</t>
        </is>
      </c>
      <c r="C5186" t="n">
        <v>37.4694220464</v>
      </c>
      <c r="D5186" t="n">
        <v>-7.18859783962</v>
      </c>
      <c r="E5186" t="n">
        <v>1</v>
      </c>
      <c r="F5186" t="n">
        <v>2</v>
      </c>
      <c r="H5186" t="n">
        <v>1</v>
      </c>
      <c r="I5186" t="n">
        <v>1</v>
      </c>
      <c r="J5186" t="inlineStr">
        <is>
          <t>Mediana</t>
        </is>
      </c>
      <c r="K5186" t="n">
        <v>1</v>
      </c>
      <c r="L5186" t="n">
        <v>1.076</v>
      </c>
      <c r="M5186" t="n">
        <v>0</v>
      </c>
      <c r="N5186" t="inlineStr">
        <is>
          <t>train</t>
        </is>
      </c>
      <c r="O5186">
        <f>HYPERLINK("Solo2\marker_237_750162.png", "Ver Imagen")</f>
        <v/>
      </c>
      <c r="P5186">
        <f>HYPERLINK("NE\A-490\A-490__282.png", "Ver Imagen")</f>
        <v/>
      </c>
    </row>
    <row r="5187">
      <c r="A5187" t="n">
        <v>4866</v>
      </c>
      <c r="B5187" t="inlineStr">
        <is>
          <t>A-490__282</t>
        </is>
      </c>
      <c r="C5187" t="n">
        <v>37.4694220464</v>
      </c>
      <c r="D5187" t="n">
        <v>-7.18859783962</v>
      </c>
      <c r="E5187" t="n">
        <v>1</v>
      </c>
      <c r="F5187" t="n">
        <v>2</v>
      </c>
      <c r="H5187" t="n">
        <v>1</v>
      </c>
      <c r="I5187" t="n">
        <v>1</v>
      </c>
      <c r="J5187" t="inlineStr">
        <is>
          <t>Mediana</t>
        </is>
      </c>
      <c r="K5187" t="n">
        <v>1</v>
      </c>
      <c r="L5187" t="n">
        <v>1.238</v>
      </c>
      <c r="M5187" t="n">
        <v>0</v>
      </c>
      <c r="N5187" t="inlineStr">
        <is>
          <t>train</t>
        </is>
      </c>
      <c r="O5187">
        <f>HYPERLINK("Solo2\marker_237_750162.png", "Ver Imagen")</f>
        <v/>
      </c>
      <c r="P5187">
        <f>HYPERLINK("NO\A-490\A-490__282.png", "Ver Imagen")</f>
        <v/>
      </c>
    </row>
    <row r="5188">
      <c r="A5188" t="n">
        <v>4867</v>
      </c>
      <c r="B5188" t="inlineStr">
        <is>
          <t>A-490__284</t>
        </is>
      </c>
      <c r="C5188" t="n">
        <v>37.4696795191</v>
      </c>
      <c r="D5188" t="n">
        <v>-7.18907484006</v>
      </c>
      <c r="E5188" t="n">
        <v>1</v>
      </c>
      <c r="F5188" t="n">
        <v>1</v>
      </c>
      <c r="H5188" t="n">
        <v>1</v>
      </c>
      <c r="I5188" t="n">
        <v>1</v>
      </c>
      <c r="J5188" t="inlineStr">
        <is>
          <t>Mediana</t>
        </is>
      </c>
      <c r="K5188" t="n">
        <v>1</v>
      </c>
      <c r="L5188" t="n">
        <v>1.404</v>
      </c>
      <c r="M5188" t="n">
        <v>0</v>
      </c>
      <c r="N5188" t="inlineStr">
        <is>
          <t>train</t>
        </is>
      </c>
      <c r="O5188">
        <f>HYPERLINK("Solo2\marker_832_750233.png", "Ver Imagen")</f>
        <v/>
      </c>
      <c r="P5188">
        <f>HYPERLINK("NE\A-490\A-490__284.png", "Ver Imagen")</f>
        <v/>
      </c>
    </row>
    <row r="5189">
      <c r="A5189" t="n">
        <v>4867</v>
      </c>
      <c r="B5189" t="inlineStr">
        <is>
          <t>A-490__284</t>
        </is>
      </c>
      <c r="C5189" t="n">
        <v>37.4696795191</v>
      </c>
      <c r="D5189" t="n">
        <v>-7.18907484006</v>
      </c>
      <c r="E5189" t="n">
        <v>1</v>
      </c>
      <c r="F5189" t="n">
        <v>1</v>
      </c>
      <c r="H5189" t="n">
        <v>1</v>
      </c>
      <c r="I5189" t="n">
        <v>1</v>
      </c>
      <c r="J5189" t="inlineStr">
        <is>
          <t>Mediana</t>
        </is>
      </c>
      <c r="K5189" t="n">
        <v>1</v>
      </c>
      <c r="L5189" t="n">
        <v>1.445</v>
      </c>
      <c r="M5189" t="n">
        <v>0</v>
      </c>
      <c r="N5189" t="inlineStr">
        <is>
          <t>train</t>
        </is>
      </c>
      <c r="O5189">
        <f>HYPERLINK("Solo2\marker_832_750233.png", "Ver Imagen")</f>
        <v/>
      </c>
      <c r="P5189">
        <f>HYPERLINK("NO\A-490\A-490__284.png", "Ver Imagen")</f>
        <v/>
      </c>
    </row>
    <row r="5190">
      <c r="A5190" t="n">
        <v>4868</v>
      </c>
      <c r="B5190" t="inlineStr">
        <is>
          <t>A-490__285</t>
        </is>
      </c>
      <c r="C5190" t="n">
        <v>37.4698041853</v>
      </c>
      <c r="D5190" t="n">
        <v>-7.18930531787</v>
      </c>
      <c r="E5190" t="n">
        <v>1</v>
      </c>
      <c r="F5190" t="n">
        <v>2</v>
      </c>
      <c r="H5190" t="n">
        <v>1</v>
      </c>
      <c r="I5190" t="n">
        <v>1</v>
      </c>
      <c r="J5190" t="inlineStr">
        <is>
          <t>Mediana</t>
        </is>
      </c>
      <c r="K5190" t="n">
        <v>1</v>
      </c>
      <c r="L5190" t="n">
        <v>1.155</v>
      </c>
      <c r="M5190" t="n">
        <v>0</v>
      </c>
      <c r="N5190" t="inlineStr">
        <is>
          <t>val</t>
        </is>
      </c>
      <c r="O5190">
        <f>HYPERLINK("Solo2\marker_426_750247.png", "Ver Imagen")</f>
        <v/>
      </c>
      <c r="P5190">
        <f>HYPERLINK("NO\A-490\A-490__285.png", "Ver Imagen")</f>
        <v/>
      </c>
    </row>
    <row r="5191">
      <c r="A5191" t="n">
        <v>4869</v>
      </c>
      <c r="B5191" t="inlineStr">
        <is>
          <t>A-490__286</t>
        </is>
      </c>
      <c r="C5191" t="n">
        <v>37.4699132374</v>
      </c>
      <c r="D5191" t="n">
        <v>-7.18950816055</v>
      </c>
      <c r="E5191" t="n">
        <v>1</v>
      </c>
      <c r="F5191" t="n">
        <v>3</v>
      </c>
      <c r="H5191" t="n">
        <v>1</v>
      </c>
      <c r="I5191" t="n">
        <v>1</v>
      </c>
      <c r="J5191" t="inlineStr">
        <is>
          <t>Mediana</t>
        </is>
      </c>
      <c r="K5191" t="n">
        <v>1</v>
      </c>
      <c r="L5191" t="n">
        <v>1.217</v>
      </c>
      <c r="M5191" t="n">
        <v>0</v>
      </c>
      <c r="N5191" t="inlineStr">
        <is>
          <t>train</t>
        </is>
      </c>
      <c r="O5191">
        <f>HYPERLINK("Solo2\marker_194_750262.png", "Ver Imagen")</f>
        <v/>
      </c>
      <c r="P5191">
        <f>HYPERLINK("NE\A-490\A-490__286.png", "Ver Imagen")</f>
        <v/>
      </c>
    </row>
    <row r="5192">
      <c r="A5192" t="n">
        <v>4869</v>
      </c>
      <c r="B5192" t="inlineStr">
        <is>
          <t>A-490__286</t>
        </is>
      </c>
      <c r="C5192" t="n">
        <v>37.4699132374</v>
      </c>
      <c r="D5192" t="n">
        <v>-7.18950816055</v>
      </c>
      <c r="E5192" t="n">
        <v>1</v>
      </c>
      <c r="F5192" t="n">
        <v>3</v>
      </c>
      <c r="H5192" t="n">
        <v>1</v>
      </c>
      <c r="I5192" t="n">
        <v>1</v>
      </c>
      <c r="J5192" t="inlineStr">
        <is>
          <t>Mediana</t>
        </is>
      </c>
      <c r="K5192" t="n">
        <v>1</v>
      </c>
      <c r="L5192" t="n">
        <v>1.193</v>
      </c>
      <c r="M5192" t="n">
        <v>0</v>
      </c>
      <c r="N5192" t="inlineStr">
        <is>
          <t>train</t>
        </is>
      </c>
      <c r="O5192">
        <f>HYPERLINK("Solo2\marker_194_750262.png", "Ver Imagen")</f>
        <v/>
      </c>
      <c r="P5192">
        <f>HYPERLINK("NO\A-490\A-490__286.png", "Ver Imagen")</f>
        <v/>
      </c>
    </row>
    <row r="5193">
      <c r="A5193" t="n">
        <v>4870</v>
      </c>
      <c r="B5193" t="inlineStr">
        <is>
          <t>A-490__287</t>
        </is>
      </c>
      <c r="C5193" t="n">
        <v>37.4700108089</v>
      </c>
      <c r="D5193" t="n">
        <v>-7.18968996685</v>
      </c>
      <c r="E5193" t="n">
        <v>1</v>
      </c>
      <c r="F5193" t="n">
        <v>3</v>
      </c>
      <c r="H5193" t="n">
        <v>3</v>
      </c>
      <c r="I5193" t="n">
        <v>2</v>
      </c>
      <c r="J5193" t="inlineStr">
        <is>
          <t>Mediana</t>
        </is>
      </c>
      <c r="K5193" t="n">
        <v>2.5</v>
      </c>
      <c r="L5193" t="n">
        <v>2.147</v>
      </c>
      <c r="M5193" t="n">
        <v>0</v>
      </c>
      <c r="N5193" t="inlineStr">
        <is>
          <t>train</t>
        </is>
      </c>
      <c r="O5193">
        <f>HYPERLINK("Solo2\marker_752_750279.png", "Ver Imagen")</f>
        <v/>
      </c>
      <c r="P5193">
        <f>HYPERLINK("NE\A-490\A-490__287.png", "Ver Imagen")</f>
        <v/>
      </c>
    </row>
    <row r="5194">
      <c r="A5194" t="n">
        <v>4870</v>
      </c>
      <c r="B5194" t="inlineStr">
        <is>
          <t>A-490__287</t>
        </is>
      </c>
      <c r="C5194" t="n">
        <v>37.4700108089</v>
      </c>
      <c r="D5194" t="n">
        <v>-7.18968996685</v>
      </c>
      <c r="E5194" t="n">
        <v>1</v>
      </c>
      <c r="F5194" t="n">
        <v>3</v>
      </c>
      <c r="H5194" t="n">
        <v>3</v>
      </c>
      <c r="I5194" t="n">
        <v>2</v>
      </c>
      <c r="J5194" t="inlineStr">
        <is>
          <t>Mediana</t>
        </is>
      </c>
      <c r="K5194" t="n">
        <v>2.5</v>
      </c>
      <c r="L5194" t="n">
        <v>2.13</v>
      </c>
      <c r="M5194" t="n">
        <v>0</v>
      </c>
      <c r="N5194" t="inlineStr">
        <is>
          <t>train</t>
        </is>
      </c>
      <c r="O5194">
        <f>HYPERLINK("Solo2\marker_752_750279.png", "Ver Imagen")</f>
        <v/>
      </c>
      <c r="P5194">
        <f>HYPERLINK("NO\A-490\A-490__287.png", "Ver Imagen")</f>
        <v/>
      </c>
    </row>
    <row r="5195">
      <c r="A5195" t="n">
        <v>4871</v>
      </c>
      <c r="B5195" t="inlineStr">
        <is>
          <t>A-490__288</t>
        </is>
      </c>
      <c r="C5195" t="n">
        <v>37.4701193786</v>
      </c>
      <c r="D5195" t="n">
        <v>-7.18989158865</v>
      </c>
      <c r="E5195" t="n">
        <v>1</v>
      </c>
      <c r="F5195" t="n">
        <v>2</v>
      </c>
      <c r="H5195" t="n">
        <v>2</v>
      </c>
      <c r="I5195" t="n">
        <v>1</v>
      </c>
      <c r="J5195" t="inlineStr">
        <is>
          <t>Mediana</t>
        </is>
      </c>
      <c r="K5195" t="n">
        <v>1.5</v>
      </c>
      <c r="L5195" t="n">
        <v>1.818</v>
      </c>
      <c r="M5195" t="n">
        <v>0</v>
      </c>
      <c r="N5195" t="inlineStr">
        <is>
          <t>val</t>
        </is>
      </c>
      <c r="O5195">
        <f>HYPERLINK("Solo2\marker_342_750296.png", "Ver Imagen")</f>
        <v/>
      </c>
      <c r="P5195">
        <f>HYPERLINK("NE\A-490\A-490__288.png", "Ver Imagen")</f>
        <v/>
      </c>
    </row>
    <row r="5196">
      <c r="A5196" t="n">
        <v>4871</v>
      </c>
      <c r="B5196" t="inlineStr">
        <is>
          <t>A-490__288</t>
        </is>
      </c>
      <c r="C5196" t="n">
        <v>37.4701193786</v>
      </c>
      <c r="D5196" t="n">
        <v>-7.18989158865</v>
      </c>
      <c r="E5196" t="n">
        <v>1</v>
      </c>
      <c r="F5196" t="n">
        <v>2</v>
      </c>
      <c r="H5196" t="n">
        <v>2</v>
      </c>
      <c r="I5196" t="n">
        <v>1</v>
      </c>
      <c r="J5196" t="inlineStr">
        <is>
          <t>Mediana</t>
        </is>
      </c>
      <c r="K5196" t="n">
        <v>1.5</v>
      </c>
      <c r="L5196" t="n">
        <v>1.837</v>
      </c>
      <c r="M5196" t="n">
        <v>0</v>
      </c>
      <c r="N5196" t="inlineStr">
        <is>
          <t>val</t>
        </is>
      </c>
      <c r="O5196">
        <f>HYPERLINK("Solo2\marker_342_750296.png", "Ver Imagen")</f>
        <v/>
      </c>
      <c r="P5196">
        <f>HYPERLINK("NO\A-490\A-490__288.png", "Ver Imagen")</f>
        <v/>
      </c>
    </row>
    <row r="5197">
      <c r="A5197" t="n">
        <v>4872</v>
      </c>
      <c r="B5197" t="inlineStr">
        <is>
          <t>A-490__289</t>
        </is>
      </c>
      <c r="C5197" t="n">
        <v>37.4702104042</v>
      </c>
      <c r="D5197" t="n">
        <v>-7.1900608262</v>
      </c>
      <c r="E5197" t="n">
        <v>1</v>
      </c>
      <c r="F5197" t="n">
        <v>2</v>
      </c>
      <c r="H5197" t="n">
        <v>2</v>
      </c>
      <c r="I5197" t="n">
        <v>1</v>
      </c>
      <c r="J5197" t="inlineStr">
        <is>
          <t>Mediana</t>
        </is>
      </c>
      <c r="K5197" t="n">
        <v>1.5</v>
      </c>
      <c r="L5197" t="n">
        <v>1.809</v>
      </c>
      <c r="M5197" t="n">
        <v>0</v>
      </c>
      <c r="N5197" t="inlineStr">
        <is>
          <t>test</t>
        </is>
      </c>
      <c r="O5197">
        <f>HYPERLINK("Solo2\marker_485_750312.png", "Ver Imagen")</f>
        <v/>
      </c>
      <c r="P5197">
        <f>HYPERLINK("NE\A-490\A-490__289.png", "Ver Imagen")</f>
        <v/>
      </c>
    </row>
    <row r="5198">
      <c r="A5198" t="n">
        <v>4872</v>
      </c>
      <c r="B5198" t="inlineStr">
        <is>
          <t>A-490__289</t>
        </is>
      </c>
      <c r="C5198" t="n">
        <v>37.4702104042</v>
      </c>
      <c r="D5198" t="n">
        <v>-7.1900608262</v>
      </c>
      <c r="E5198" t="n">
        <v>1</v>
      </c>
      <c r="F5198" t="n">
        <v>2</v>
      </c>
      <c r="H5198" t="n">
        <v>2</v>
      </c>
      <c r="I5198" t="n">
        <v>1</v>
      </c>
      <c r="J5198" t="inlineStr">
        <is>
          <t>Mediana</t>
        </is>
      </c>
      <c r="K5198" t="n">
        <v>1.5</v>
      </c>
      <c r="L5198" t="n">
        <v>2.303</v>
      </c>
      <c r="M5198" t="n">
        <v>0</v>
      </c>
      <c r="N5198" t="inlineStr">
        <is>
          <t>test</t>
        </is>
      </c>
      <c r="O5198">
        <f>HYPERLINK("Solo2\marker_485_750312.png", "Ver Imagen")</f>
        <v/>
      </c>
      <c r="P5198">
        <f>HYPERLINK("NO\A-490\A-490__289.png", "Ver Imagen")</f>
        <v/>
      </c>
    </row>
    <row r="5199">
      <c r="A5199" t="n">
        <v>4873</v>
      </c>
      <c r="B5199" t="inlineStr">
        <is>
          <t>A-490__290</t>
        </is>
      </c>
      <c r="C5199" t="n">
        <v>37.4703605698</v>
      </c>
      <c r="D5199" t="n">
        <v>-7.19034145719</v>
      </c>
      <c r="E5199" t="n">
        <v>1</v>
      </c>
      <c r="F5199" t="n">
        <v>2</v>
      </c>
      <c r="H5199" t="n">
        <v>2</v>
      </c>
      <c r="I5199" t="n">
        <v>1</v>
      </c>
      <c r="J5199" t="inlineStr">
        <is>
          <t>Mediana</t>
        </is>
      </c>
      <c r="K5199" t="n">
        <v>1.5</v>
      </c>
      <c r="L5199" t="n">
        <v>1.943</v>
      </c>
      <c r="M5199" t="n">
        <v>0</v>
      </c>
      <c r="N5199" t="inlineStr">
        <is>
          <t>test</t>
        </is>
      </c>
      <c r="O5199">
        <f>HYPERLINK("Solo2\marker_644_750334.png", "Ver Imagen")</f>
        <v/>
      </c>
      <c r="P5199">
        <f>HYPERLINK("NE\A-490\A-490__290.png", "Ver Imagen")</f>
        <v/>
      </c>
    </row>
    <row r="5200">
      <c r="A5200" t="n">
        <v>4873</v>
      </c>
      <c r="B5200" t="inlineStr">
        <is>
          <t>A-490__290</t>
        </is>
      </c>
      <c r="C5200" t="n">
        <v>37.4703605698</v>
      </c>
      <c r="D5200" t="n">
        <v>-7.19034145719</v>
      </c>
      <c r="E5200" t="n">
        <v>1</v>
      </c>
      <c r="F5200" t="n">
        <v>2</v>
      </c>
      <c r="H5200" t="n">
        <v>2</v>
      </c>
      <c r="I5200" t="n">
        <v>1</v>
      </c>
      <c r="J5200" t="inlineStr">
        <is>
          <t>Mediana</t>
        </is>
      </c>
      <c r="K5200" t="n">
        <v>1.5</v>
      </c>
      <c r="L5200" t="n">
        <v>1.869</v>
      </c>
      <c r="M5200" t="n">
        <v>0</v>
      </c>
      <c r="N5200" t="inlineStr">
        <is>
          <t>test</t>
        </is>
      </c>
      <c r="O5200">
        <f>HYPERLINK("Solo2\marker_644_750334.png", "Ver Imagen")</f>
        <v/>
      </c>
      <c r="P5200">
        <f>HYPERLINK("NO\A-490\A-490__290.png", "Ver Imagen")</f>
        <v/>
      </c>
    </row>
    <row r="5201">
      <c r="A5201" t="n">
        <v>4874</v>
      </c>
      <c r="B5201" t="inlineStr">
        <is>
          <t>A-490__291</t>
        </is>
      </c>
      <c r="C5201" t="n">
        <v>37.4704633917</v>
      </c>
      <c r="D5201" t="n">
        <v>-7.19053335564</v>
      </c>
      <c r="E5201" t="n">
        <v>1</v>
      </c>
      <c r="F5201" t="n">
        <v>2</v>
      </c>
      <c r="H5201" t="n">
        <v>1</v>
      </c>
      <c r="I5201" t="n">
        <v>1</v>
      </c>
      <c r="J5201" t="inlineStr">
        <is>
          <t>Mediana</t>
        </is>
      </c>
      <c r="K5201" t="n">
        <v>1</v>
      </c>
      <c r="L5201" t="n">
        <v>1.048</v>
      </c>
      <c r="M5201" t="n">
        <v>0</v>
      </c>
      <c r="N5201" t="inlineStr">
        <is>
          <t>test</t>
        </is>
      </c>
      <c r="O5201">
        <f>HYPERLINK("Solo2\marker_284_750358.png", "Ver Imagen")</f>
        <v/>
      </c>
      <c r="P5201">
        <f>HYPERLINK("NE\A-490\A-490__291.png", "Ver Imagen")</f>
        <v/>
      </c>
    </row>
    <row r="5202">
      <c r="A5202" t="n">
        <v>4875</v>
      </c>
      <c r="B5202" t="inlineStr">
        <is>
          <t>A-490__292</t>
        </is>
      </c>
      <c r="C5202" t="n">
        <v>37.47058998</v>
      </c>
      <c r="D5202" t="n">
        <v>-7.19076750454</v>
      </c>
      <c r="E5202" t="n">
        <v>1</v>
      </c>
      <c r="F5202" t="n">
        <v>3</v>
      </c>
      <c r="H5202" t="n">
        <v>3</v>
      </c>
      <c r="I5202" t="n">
        <v>2</v>
      </c>
      <c r="J5202" t="inlineStr">
        <is>
          <t>Mediana</t>
        </is>
      </c>
      <c r="K5202" t="n">
        <v>2.5</v>
      </c>
      <c r="L5202" t="n">
        <v>2.257</v>
      </c>
      <c r="M5202" t="n">
        <v>0</v>
      </c>
      <c r="N5202" t="inlineStr">
        <is>
          <t>val</t>
        </is>
      </c>
      <c r="O5202">
        <f>HYPERLINK("Solo2\marker_266_750376.png", "Ver Imagen")</f>
        <v/>
      </c>
      <c r="P5202">
        <f>HYPERLINK("NE\A-490\A-490__292.png", "Ver Imagen")</f>
        <v/>
      </c>
    </row>
    <row r="5203">
      <c r="A5203" t="n">
        <v>4875</v>
      </c>
      <c r="B5203" t="inlineStr">
        <is>
          <t>A-490__292</t>
        </is>
      </c>
      <c r="C5203" t="n">
        <v>37.47058998</v>
      </c>
      <c r="D5203" t="n">
        <v>-7.19076750454</v>
      </c>
      <c r="E5203" t="n">
        <v>1</v>
      </c>
      <c r="F5203" t="n">
        <v>3</v>
      </c>
      <c r="H5203" t="n">
        <v>3</v>
      </c>
      <c r="I5203" t="n">
        <v>2</v>
      </c>
      <c r="J5203" t="inlineStr">
        <is>
          <t>Mediana</t>
        </is>
      </c>
      <c r="K5203" t="n">
        <v>2.5</v>
      </c>
      <c r="L5203" t="n">
        <v>2.006</v>
      </c>
      <c r="M5203" t="n">
        <v>0</v>
      </c>
      <c r="N5203" t="inlineStr">
        <is>
          <t>val</t>
        </is>
      </c>
      <c r="O5203">
        <f>HYPERLINK("Solo2\marker_266_750376.png", "Ver Imagen")</f>
        <v/>
      </c>
      <c r="P5203">
        <f>HYPERLINK("NO\A-490\A-490__292.png", "Ver Imagen")</f>
        <v/>
      </c>
    </row>
    <row r="5204">
      <c r="A5204" t="n">
        <v>4876</v>
      </c>
      <c r="B5204" t="inlineStr">
        <is>
          <t>A-490__293</t>
        </is>
      </c>
      <c r="C5204" t="n">
        <v>37.470700817</v>
      </c>
      <c r="D5204" t="n">
        <v>-7.19096993205</v>
      </c>
      <c r="E5204" t="n">
        <v>1</v>
      </c>
      <c r="F5204" t="n">
        <v>2</v>
      </c>
      <c r="H5204" t="n">
        <v>1</v>
      </c>
      <c r="I5204" t="n">
        <v>1</v>
      </c>
      <c r="J5204" t="inlineStr">
        <is>
          <t>Mediana</t>
        </is>
      </c>
      <c r="K5204" t="n">
        <v>1</v>
      </c>
      <c r="L5204" t="n">
        <v>1.355</v>
      </c>
      <c r="M5204" t="n">
        <v>0</v>
      </c>
      <c r="N5204" t="inlineStr">
        <is>
          <t>test</t>
        </is>
      </c>
      <c r="O5204">
        <f>HYPERLINK("Solo2\marker_858_750393.png", "Ver Imagen")</f>
        <v/>
      </c>
      <c r="P5204">
        <f>HYPERLINK("NO\A-490\A-490__293.png", "Ver Imagen")</f>
        <v/>
      </c>
    </row>
    <row r="5205">
      <c r="A5205" t="n">
        <v>4877</v>
      </c>
      <c r="B5205" t="inlineStr">
        <is>
          <t>A-490__294</t>
        </is>
      </c>
      <c r="C5205" t="n">
        <v>37.4708262298</v>
      </c>
      <c r="D5205" t="n">
        <v>-7.19119540835</v>
      </c>
      <c r="E5205" t="n">
        <v>1</v>
      </c>
      <c r="F5205" t="n">
        <v>3</v>
      </c>
      <c r="H5205" t="n">
        <v>1</v>
      </c>
      <c r="I5205" t="n">
        <v>1</v>
      </c>
      <c r="J5205" t="inlineStr">
        <is>
          <t>Mediana</t>
        </is>
      </c>
      <c r="K5205" t="n">
        <v>1</v>
      </c>
      <c r="L5205" t="n">
        <v>1</v>
      </c>
      <c r="M5205" t="n">
        <v>0</v>
      </c>
      <c r="N5205" t="inlineStr">
        <is>
          <t>train</t>
        </is>
      </c>
      <c r="O5205">
        <f>HYPERLINK("Solo2\marker_468_750410.png", "Ver Imagen")</f>
        <v/>
      </c>
      <c r="P5205">
        <f>HYPERLINK("NE\A-490\A-490__294.png", "Ver Imagen")</f>
        <v/>
      </c>
    </row>
    <row r="5206">
      <c r="A5206" t="n">
        <v>4877</v>
      </c>
      <c r="B5206" t="inlineStr">
        <is>
          <t>A-490__294</t>
        </is>
      </c>
      <c r="C5206" t="n">
        <v>37.4708262298</v>
      </c>
      <c r="D5206" t="n">
        <v>-7.19119540835</v>
      </c>
      <c r="E5206" t="n">
        <v>1</v>
      </c>
      <c r="F5206" t="n">
        <v>3</v>
      </c>
      <c r="H5206" t="n">
        <v>1</v>
      </c>
      <c r="I5206" t="n">
        <v>1</v>
      </c>
      <c r="J5206" t="inlineStr">
        <is>
          <t>Mediana</t>
        </is>
      </c>
      <c r="K5206" t="n">
        <v>1</v>
      </c>
      <c r="L5206" t="n">
        <v>1.204</v>
      </c>
      <c r="M5206" t="n">
        <v>0</v>
      </c>
      <c r="N5206" t="inlineStr">
        <is>
          <t>train</t>
        </is>
      </c>
      <c r="O5206">
        <f>HYPERLINK("Solo2\marker_468_750410.png", "Ver Imagen")</f>
        <v/>
      </c>
      <c r="P5206">
        <f>HYPERLINK("NO\A-490\A-490__294.png", "Ver Imagen")</f>
        <v/>
      </c>
    </row>
    <row r="5207">
      <c r="A5207" t="n">
        <v>4878</v>
      </c>
      <c r="B5207" t="inlineStr">
        <is>
          <t>A-490__295</t>
        </is>
      </c>
      <c r="C5207" t="n">
        <v>37.4709130631</v>
      </c>
      <c r="D5207" t="n">
        <v>-7.19134913422</v>
      </c>
      <c r="E5207" t="n">
        <v>1</v>
      </c>
      <c r="F5207" t="n">
        <v>3</v>
      </c>
      <c r="H5207" t="n">
        <v>2</v>
      </c>
      <c r="I5207" t="n">
        <v>2</v>
      </c>
      <c r="J5207" t="inlineStr">
        <is>
          <t>Mediana</t>
        </is>
      </c>
      <c r="K5207" t="n">
        <v>2</v>
      </c>
      <c r="L5207" t="n">
        <v>1.871</v>
      </c>
      <c r="M5207" t="n">
        <v>0</v>
      </c>
      <c r="N5207" t="inlineStr">
        <is>
          <t>train</t>
        </is>
      </c>
      <c r="O5207">
        <f>HYPERLINK("Solo2\marker_901_750424.png", "Ver Imagen")</f>
        <v/>
      </c>
      <c r="P5207">
        <f>HYPERLINK("NE\A-490\A-490__295.png", "Ver Imagen")</f>
        <v/>
      </c>
    </row>
    <row r="5208">
      <c r="A5208" t="n">
        <v>4878</v>
      </c>
      <c r="B5208" t="inlineStr">
        <is>
          <t>A-490__295</t>
        </is>
      </c>
      <c r="C5208" t="n">
        <v>37.4709130631</v>
      </c>
      <c r="D5208" t="n">
        <v>-7.19134913422</v>
      </c>
      <c r="E5208" t="n">
        <v>1</v>
      </c>
      <c r="F5208" t="n">
        <v>3</v>
      </c>
      <c r="H5208" t="n">
        <v>2</v>
      </c>
      <c r="I5208" t="n">
        <v>2</v>
      </c>
      <c r="J5208" t="inlineStr">
        <is>
          <t>Mediana</t>
        </is>
      </c>
      <c r="K5208" t="n">
        <v>2</v>
      </c>
      <c r="L5208" t="n">
        <v>2.247</v>
      </c>
      <c r="M5208" t="n">
        <v>0</v>
      </c>
      <c r="N5208" t="inlineStr">
        <is>
          <t>train</t>
        </is>
      </c>
      <c r="O5208">
        <f>HYPERLINK("Solo2\marker_901_750424.png", "Ver Imagen")</f>
        <v/>
      </c>
      <c r="P5208">
        <f>HYPERLINK("NO\A-490\A-490__295.png", "Ver Imagen")</f>
        <v/>
      </c>
    </row>
    <row r="5209">
      <c r="A5209" t="n">
        <v>4879</v>
      </c>
      <c r="B5209" t="inlineStr">
        <is>
          <t>A-490__296</t>
        </is>
      </c>
      <c r="C5209" t="n">
        <v>37.4710335645</v>
      </c>
      <c r="D5209" t="n">
        <v>-7.19155958403</v>
      </c>
      <c r="E5209" t="n">
        <v>1</v>
      </c>
      <c r="F5209" t="n">
        <v>2</v>
      </c>
      <c r="H5209" t="n">
        <v>1</v>
      </c>
      <c r="I5209" t="n">
        <v>1</v>
      </c>
      <c r="J5209" t="inlineStr">
        <is>
          <t>Mediana</t>
        </is>
      </c>
      <c r="K5209" t="n">
        <v>1</v>
      </c>
      <c r="L5209" t="n">
        <v>1.215</v>
      </c>
      <c r="M5209" t="n">
        <v>0</v>
      </c>
      <c r="N5209" t="inlineStr">
        <is>
          <t>train</t>
        </is>
      </c>
      <c r="O5209">
        <f>HYPERLINK("Solo2\marker_440_750485.png", "Ver Imagen")</f>
        <v/>
      </c>
      <c r="P5209">
        <f>HYPERLINK("NE\A-490\A-490__296.png", "Ver Imagen")</f>
        <v/>
      </c>
    </row>
    <row r="5210">
      <c r="A5210" t="n">
        <v>4879</v>
      </c>
      <c r="B5210" t="inlineStr">
        <is>
          <t>A-490__296</t>
        </is>
      </c>
      <c r="C5210" t="n">
        <v>37.4710335645</v>
      </c>
      <c r="D5210" t="n">
        <v>-7.19155958403</v>
      </c>
      <c r="E5210" t="n">
        <v>1</v>
      </c>
      <c r="F5210" t="n">
        <v>2</v>
      </c>
      <c r="H5210" t="n">
        <v>1</v>
      </c>
      <c r="I5210" t="n">
        <v>1</v>
      </c>
      <c r="J5210" t="inlineStr">
        <is>
          <t>Mediana</t>
        </is>
      </c>
      <c r="K5210" t="n">
        <v>1</v>
      </c>
      <c r="L5210" t="n">
        <v>1.194</v>
      </c>
      <c r="M5210" t="n">
        <v>0</v>
      </c>
      <c r="N5210" t="inlineStr">
        <is>
          <t>train</t>
        </is>
      </c>
      <c r="O5210">
        <f>HYPERLINK("Solo2\marker_440_750485.png", "Ver Imagen")</f>
        <v/>
      </c>
      <c r="P5210">
        <f>HYPERLINK("NO\A-490\A-490__296.png", "Ver Imagen")</f>
        <v/>
      </c>
    </row>
    <row r="5211">
      <c r="A5211" t="n">
        <v>4880</v>
      </c>
      <c r="B5211" t="inlineStr">
        <is>
          <t>A-490__297</t>
        </is>
      </c>
      <c r="C5211" t="n">
        <v>37.4711438289</v>
      </c>
      <c r="D5211" t="n">
        <v>-7.19174816357</v>
      </c>
      <c r="E5211" t="n">
        <v>1</v>
      </c>
      <c r="F5211" t="n">
        <v>2</v>
      </c>
      <c r="H5211" t="n">
        <v>2</v>
      </c>
      <c r="I5211" t="n">
        <v>1</v>
      </c>
      <c r="J5211" t="inlineStr">
        <is>
          <t>Mediana</t>
        </is>
      </c>
      <c r="K5211" t="n">
        <v>1.5</v>
      </c>
      <c r="L5211" t="n">
        <v>2.096</v>
      </c>
      <c r="M5211" t="n">
        <v>0</v>
      </c>
      <c r="N5211" t="inlineStr">
        <is>
          <t>train</t>
        </is>
      </c>
      <c r="O5211">
        <f>HYPERLINK("Solo2\marker_678_750501.png", "Ver Imagen")</f>
        <v/>
      </c>
      <c r="P5211">
        <f>HYPERLINK("NE\A-490\A-490__297.png", "Ver Imagen")</f>
        <v/>
      </c>
    </row>
    <row r="5212">
      <c r="A5212" t="n">
        <v>4880</v>
      </c>
      <c r="B5212" t="inlineStr">
        <is>
          <t>A-490__297</t>
        </is>
      </c>
      <c r="C5212" t="n">
        <v>37.4711438289</v>
      </c>
      <c r="D5212" t="n">
        <v>-7.19174816357</v>
      </c>
      <c r="E5212" t="n">
        <v>1</v>
      </c>
      <c r="F5212" t="n">
        <v>2</v>
      </c>
      <c r="H5212" t="n">
        <v>2</v>
      </c>
      <c r="I5212" t="n">
        <v>1</v>
      </c>
      <c r="J5212" t="inlineStr">
        <is>
          <t>Mediana</t>
        </is>
      </c>
      <c r="K5212" t="n">
        <v>1.5</v>
      </c>
      <c r="L5212" t="n">
        <v>1.892</v>
      </c>
      <c r="M5212" t="n">
        <v>0</v>
      </c>
      <c r="N5212" t="inlineStr">
        <is>
          <t>train</t>
        </is>
      </c>
      <c r="O5212">
        <f>HYPERLINK("Solo2\marker_678_750501.png", "Ver Imagen")</f>
        <v/>
      </c>
      <c r="P5212">
        <f>HYPERLINK("NO\A-490\A-490__297.png", "Ver Imagen")</f>
        <v/>
      </c>
    </row>
    <row r="5213">
      <c r="A5213" t="n">
        <v>4881</v>
      </c>
      <c r="B5213" t="inlineStr">
        <is>
          <t>A-490__298</t>
        </is>
      </c>
      <c r="C5213" t="n">
        <v>37.4712710975</v>
      </c>
      <c r="D5213" t="n">
        <v>-7.19196316927</v>
      </c>
      <c r="E5213" t="n">
        <v>1</v>
      </c>
      <c r="F5213" t="n">
        <v>3</v>
      </c>
      <c r="H5213" t="n">
        <v>3</v>
      </c>
      <c r="I5213" t="n">
        <v>2</v>
      </c>
      <c r="J5213" t="inlineStr">
        <is>
          <t>Mediana</t>
        </is>
      </c>
      <c r="K5213" t="n">
        <v>2.5</v>
      </c>
      <c r="L5213" t="n">
        <v>1.584</v>
      </c>
      <c r="M5213" t="n">
        <v>0</v>
      </c>
      <c r="N5213" t="inlineStr">
        <is>
          <t>test</t>
        </is>
      </c>
      <c r="O5213">
        <f>HYPERLINK("Solo2\marker_572_750523.png", "Ver Imagen")</f>
        <v/>
      </c>
      <c r="P5213">
        <f>HYPERLINK("NE\A-490\A-490__298.png", "Ver Imagen")</f>
        <v/>
      </c>
    </row>
    <row r="5214">
      <c r="A5214" t="n">
        <v>4881</v>
      </c>
      <c r="B5214" t="inlineStr">
        <is>
          <t>A-490__298</t>
        </is>
      </c>
      <c r="C5214" t="n">
        <v>37.4712710975</v>
      </c>
      <c r="D5214" t="n">
        <v>-7.19196316927</v>
      </c>
      <c r="E5214" t="n">
        <v>1</v>
      </c>
      <c r="F5214" t="n">
        <v>3</v>
      </c>
      <c r="H5214" t="n">
        <v>3</v>
      </c>
      <c r="I5214" t="n">
        <v>2</v>
      </c>
      <c r="J5214" t="inlineStr">
        <is>
          <t>Mediana</t>
        </is>
      </c>
      <c r="K5214" t="n">
        <v>2.5</v>
      </c>
      <c r="L5214" t="n">
        <v>2.073</v>
      </c>
      <c r="M5214" t="n">
        <v>0</v>
      </c>
      <c r="N5214" t="inlineStr">
        <is>
          <t>test</t>
        </is>
      </c>
      <c r="O5214">
        <f>HYPERLINK("Solo2\marker_572_750523.png", "Ver Imagen")</f>
        <v/>
      </c>
      <c r="P5214">
        <f>HYPERLINK("NO\A-490\A-490__298.png", "Ver Imagen")</f>
        <v/>
      </c>
    </row>
    <row r="5215">
      <c r="A5215" t="n">
        <v>4882</v>
      </c>
      <c r="B5215" t="inlineStr">
        <is>
          <t>A-490__299</t>
        </is>
      </c>
      <c r="C5215" t="n">
        <v>37.4714192859</v>
      </c>
      <c r="D5215" t="n">
        <v>-7.19221313341</v>
      </c>
      <c r="E5215" t="n">
        <v>1</v>
      </c>
      <c r="F5215" t="n">
        <v>3</v>
      </c>
      <c r="H5215" t="n">
        <v>2</v>
      </c>
      <c r="I5215" t="n">
        <v>2</v>
      </c>
      <c r="J5215" t="inlineStr">
        <is>
          <t>Mediana</t>
        </is>
      </c>
      <c r="K5215" t="n">
        <v>2</v>
      </c>
      <c r="L5215" t="n">
        <v>1.989</v>
      </c>
      <c r="M5215" t="n">
        <v>0</v>
      </c>
      <c r="N5215" t="inlineStr">
        <is>
          <t>val</t>
        </is>
      </c>
      <c r="O5215">
        <f>HYPERLINK("Solo2\marker_703_750544.png", "Ver Imagen")</f>
        <v/>
      </c>
      <c r="P5215">
        <f>HYPERLINK("NE\A-490\A-490__299.png", "Ver Imagen")</f>
        <v/>
      </c>
    </row>
    <row r="5216">
      <c r="A5216" t="n">
        <v>4882</v>
      </c>
      <c r="B5216" t="inlineStr">
        <is>
          <t>A-490__299</t>
        </is>
      </c>
      <c r="C5216" t="n">
        <v>37.4714192859</v>
      </c>
      <c r="D5216" t="n">
        <v>-7.19221313341</v>
      </c>
      <c r="E5216" t="n">
        <v>1</v>
      </c>
      <c r="F5216" t="n">
        <v>3</v>
      </c>
      <c r="H5216" t="n">
        <v>2</v>
      </c>
      <c r="I5216" t="n">
        <v>2</v>
      </c>
      <c r="J5216" t="inlineStr">
        <is>
          <t>Mediana</t>
        </is>
      </c>
      <c r="K5216" t="n">
        <v>2</v>
      </c>
      <c r="L5216" t="n">
        <v>1.801</v>
      </c>
      <c r="M5216" t="n">
        <v>0</v>
      </c>
      <c r="N5216" t="inlineStr">
        <is>
          <t>val</t>
        </is>
      </c>
      <c r="O5216">
        <f>HYPERLINK("Solo2\marker_703_750544.png", "Ver Imagen")</f>
        <v/>
      </c>
      <c r="P5216">
        <f>HYPERLINK("NO\A-490\A-490__299.png", "Ver Imagen")</f>
        <v/>
      </c>
    </row>
    <row r="5217">
      <c r="A5217" t="n">
        <v>4883</v>
      </c>
      <c r="B5217" t="inlineStr">
        <is>
          <t>A-490__300</t>
        </is>
      </c>
      <c r="C5217" t="n">
        <v>37.4715185399</v>
      </c>
      <c r="D5217" t="n">
        <v>-7.19238047361</v>
      </c>
      <c r="E5217" t="n">
        <v>1</v>
      </c>
      <c r="F5217" t="n">
        <v>3</v>
      </c>
      <c r="H5217" t="n">
        <v>3</v>
      </c>
      <c r="I5217" t="n">
        <v>2</v>
      </c>
      <c r="J5217" t="inlineStr">
        <is>
          <t>Mediana</t>
        </is>
      </c>
      <c r="K5217" t="n">
        <v>2.5</v>
      </c>
      <c r="L5217" t="n">
        <v>1.73</v>
      </c>
      <c r="M5217" t="n">
        <v>0</v>
      </c>
      <c r="N5217" t="inlineStr">
        <is>
          <t>test</t>
        </is>
      </c>
      <c r="O5217">
        <f>HYPERLINK("Solo2\marker_365_750560.png", "Ver Imagen")</f>
        <v/>
      </c>
      <c r="P5217">
        <f>HYPERLINK("NO\A-490\A-490__300.png", "Ver Imagen")</f>
        <v/>
      </c>
    </row>
    <row r="5218">
      <c r="A5218" t="n">
        <v>4884</v>
      </c>
      <c r="B5218" t="inlineStr">
        <is>
          <t>A-490__301</t>
        </is>
      </c>
      <c r="C5218" t="n">
        <v>37.47167936</v>
      </c>
      <c r="D5218" t="n">
        <v>-7.19265158995</v>
      </c>
      <c r="E5218" t="n">
        <v>1</v>
      </c>
      <c r="F5218" t="n">
        <v>2</v>
      </c>
      <c r="H5218" t="n">
        <v>2</v>
      </c>
      <c r="I5218" t="n">
        <v>2</v>
      </c>
      <c r="J5218" t="inlineStr">
        <is>
          <t>Mediana</t>
        </is>
      </c>
      <c r="K5218" t="n">
        <v>2</v>
      </c>
      <c r="L5218" t="n">
        <v>1.834</v>
      </c>
      <c r="M5218" t="n">
        <v>0</v>
      </c>
      <c r="N5218" t="inlineStr">
        <is>
          <t>train</t>
        </is>
      </c>
      <c r="O5218">
        <f>HYPERLINK("Solo2\marker_428_750588.png", "Ver Imagen")</f>
        <v/>
      </c>
      <c r="P5218">
        <f>HYPERLINK("NE\A-490\A-490__301.png", "Ver Imagen")</f>
        <v/>
      </c>
    </row>
    <row r="5219">
      <c r="A5219" t="n">
        <v>4884</v>
      </c>
      <c r="B5219" t="inlineStr">
        <is>
          <t>A-490__301</t>
        </is>
      </c>
      <c r="C5219" t="n">
        <v>37.47167936</v>
      </c>
      <c r="D5219" t="n">
        <v>-7.19265158995</v>
      </c>
      <c r="E5219" t="n">
        <v>1</v>
      </c>
      <c r="F5219" t="n">
        <v>2</v>
      </c>
      <c r="H5219" t="n">
        <v>2</v>
      </c>
      <c r="I5219" t="n">
        <v>2</v>
      </c>
      <c r="J5219" t="inlineStr">
        <is>
          <t>Mediana</t>
        </is>
      </c>
      <c r="K5219" t="n">
        <v>2</v>
      </c>
      <c r="L5219" t="n">
        <v>2.118</v>
      </c>
      <c r="M5219" t="n">
        <v>0</v>
      </c>
      <c r="N5219" t="inlineStr">
        <is>
          <t>train</t>
        </is>
      </c>
      <c r="O5219">
        <f>HYPERLINK("Solo2\marker_428_750588.png", "Ver Imagen")</f>
        <v/>
      </c>
      <c r="P5219">
        <f>HYPERLINK("NO\A-490\A-490__301.png", "Ver Imagen")</f>
        <v/>
      </c>
    </row>
    <row r="5220">
      <c r="A5220" t="n">
        <v>4885</v>
      </c>
      <c r="B5220" t="inlineStr">
        <is>
          <t>A-490__302</t>
        </is>
      </c>
      <c r="C5220" t="n">
        <v>37.4717770723</v>
      </c>
      <c r="D5220" t="n">
        <v>-7.19281571253</v>
      </c>
      <c r="E5220" t="n">
        <v>1</v>
      </c>
      <c r="F5220" t="n">
        <v>3</v>
      </c>
      <c r="H5220" t="n">
        <v>2</v>
      </c>
      <c r="I5220" t="n">
        <v>1</v>
      </c>
      <c r="J5220" t="inlineStr">
        <is>
          <t>Mediana</t>
        </is>
      </c>
      <c r="K5220" t="n">
        <v>1.5</v>
      </c>
      <c r="L5220" t="n">
        <v>2.01</v>
      </c>
      <c r="M5220" t="n">
        <v>0</v>
      </c>
      <c r="N5220" t="inlineStr">
        <is>
          <t>train</t>
        </is>
      </c>
      <c r="O5220">
        <f>HYPERLINK("Solo2\marker_325_750605.png", "Ver Imagen")</f>
        <v/>
      </c>
      <c r="P5220">
        <f>HYPERLINK("NE\A-490\A-490__302.png", "Ver Imagen")</f>
        <v/>
      </c>
    </row>
    <row r="5221">
      <c r="A5221" t="n">
        <v>4885</v>
      </c>
      <c r="B5221" t="inlineStr">
        <is>
          <t>A-490__302</t>
        </is>
      </c>
      <c r="C5221" t="n">
        <v>37.4717770723</v>
      </c>
      <c r="D5221" t="n">
        <v>-7.19281571253</v>
      </c>
      <c r="E5221" t="n">
        <v>1</v>
      </c>
      <c r="F5221" t="n">
        <v>3</v>
      </c>
      <c r="H5221" t="n">
        <v>2</v>
      </c>
      <c r="I5221" t="n">
        <v>1</v>
      </c>
      <c r="J5221" t="inlineStr">
        <is>
          <t>Mediana</t>
        </is>
      </c>
      <c r="K5221" t="n">
        <v>1.5</v>
      </c>
      <c r="L5221" t="n">
        <v>1.864</v>
      </c>
      <c r="M5221" t="n">
        <v>0</v>
      </c>
      <c r="N5221" t="inlineStr">
        <is>
          <t>train</t>
        </is>
      </c>
      <c r="O5221">
        <f>HYPERLINK("Solo2\marker_325_750605.png", "Ver Imagen")</f>
        <v/>
      </c>
      <c r="P5221">
        <f>HYPERLINK("NO\A-490\A-490__302.png", "Ver Imagen")</f>
        <v/>
      </c>
    </row>
    <row r="5222">
      <c r="A5222" t="n">
        <v>4886</v>
      </c>
      <c r="B5222" t="inlineStr">
        <is>
          <t>A-490__305</t>
        </is>
      </c>
      <c r="C5222" t="n">
        <v>37.4721319668</v>
      </c>
      <c r="D5222" t="n">
        <v>-7.19340971582</v>
      </c>
      <c r="E5222" t="n">
        <v>2</v>
      </c>
      <c r="F5222" t="n">
        <v>4</v>
      </c>
      <c r="H5222" t="n">
        <v>3</v>
      </c>
      <c r="I5222" t="n">
        <v>2</v>
      </c>
      <c r="J5222" t="inlineStr">
        <is>
          <t>Mediana</t>
        </is>
      </c>
      <c r="K5222" t="n">
        <v>2.5</v>
      </c>
      <c r="L5222" t="n">
        <v>1.641</v>
      </c>
      <c r="M5222" t="n">
        <v>0</v>
      </c>
      <c r="N5222" t="inlineStr">
        <is>
          <t>train</t>
        </is>
      </c>
      <c r="O5222">
        <f>HYPERLINK("Solo2\marker_590_750677.png", "Ver Imagen")</f>
        <v/>
      </c>
      <c r="P5222">
        <f>HYPERLINK("NE\A-490\A-490__305.png", "Ver Imagen")</f>
        <v/>
      </c>
    </row>
    <row r="5223">
      <c r="A5223" t="n">
        <v>4886</v>
      </c>
      <c r="B5223" t="inlineStr">
        <is>
          <t>A-490__305</t>
        </is>
      </c>
      <c r="C5223" t="n">
        <v>37.4721319668</v>
      </c>
      <c r="D5223" t="n">
        <v>-7.19340971582</v>
      </c>
      <c r="E5223" t="n">
        <v>2</v>
      </c>
      <c r="F5223" t="n">
        <v>4</v>
      </c>
      <c r="H5223" t="n">
        <v>3</v>
      </c>
      <c r="I5223" t="n">
        <v>2</v>
      </c>
      <c r="J5223" t="inlineStr">
        <is>
          <t>Mediana</t>
        </is>
      </c>
      <c r="K5223" t="n">
        <v>2.5</v>
      </c>
      <c r="L5223" t="n">
        <v>1.76</v>
      </c>
      <c r="M5223" t="n">
        <v>0</v>
      </c>
      <c r="N5223" t="inlineStr">
        <is>
          <t>train</t>
        </is>
      </c>
      <c r="O5223">
        <f>HYPERLINK("Solo2\marker_590_750677.png", "Ver Imagen")</f>
        <v/>
      </c>
      <c r="P5223">
        <f>HYPERLINK("NO\A-490\A-490__305.png", "Ver Imagen")</f>
        <v/>
      </c>
    </row>
    <row r="5224">
      <c r="A5224" t="n">
        <v>4888</v>
      </c>
      <c r="B5224" t="inlineStr">
        <is>
          <t>A-490__307</t>
        </is>
      </c>
      <c r="C5224" t="n">
        <v>37.4724016141</v>
      </c>
      <c r="D5224" t="n">
        <v>-7.19385944739</v>
      </c>
      <c r="E5224" t="n">
        <v>2</v>
      </c>
      <c r="F5224" t="n">
        <v>2</v>
      </c>
      <c r="H5224" t="n">
        <v>2</v>
      </c>
      <c r="I5224" t="n">
        <v>1</v>
      </c>
      <c r="J5224" t="inlineStr">
        <is>
          <t>Mediana</t>
        </is>
      </c>
      <c r="K5224" t="n">
        <v>2</v>
      </c>
      <c r="L5224" t="n">
        <v>1.895</v>
      </c>
      <c r="M5224" t="n">
        <v>0</v>
      </c>
      <c r="N5224" t="inlineStr">
        <is>
          <t>train</t>
        </is>
      </c>
      <c r="O5224">
        <f>HYPERLINK("Solo2\marker_312_750717.png", "Ver Imagen")</f>
        <v/>
      </c>
      <c r="P5224">
        <f>HYPERLINK("NE\A-490\A-490__307.png", "Ver Imagen")</f>
        <v/>
      </c>
    </row>
    <row r="5225">
      <c r="A5225" t="n">
        <v>4888</v>
      </c>
      <c r="B5225" t="inlineStr">
        <is>
          <t>A-490__307</t>
        </is>
      </c>
      <c r="C5225" t="n">
        <v>37.4724016141</v>
      </c>
      <c r="D5225" t="n">
        <v>-7.19385944739</v>
      </c>
      <c r="E5225" t="n">
        <v>2</v>
      </c>
      <c r="F5225" t="n">
        <v>2</v>
      </c>
      <c r="H5225" t="n">
        <v>2</v>
      </c>
      <c r="I5225" t="n">
        <v>1</v>
      </c>
      <c r="J5225" t="inlineStr">
        <is>
          <t>Mediana</t>
        </is>
      </c>
      <c r="K5225" t="n">
        <v>2</v>
      </c>
      <c r="L5225" t="n">
        <v>1.842</v>
      </c>
      <c r="M5225" t="n">
        <v>0</v>
      </c>
      <c r="N5225" t="inlineStr">
        <is>
          <t>train</t>
        </is>
      </c>
      <c r="O5225">
        <f>HYPERLINK("Solo2\marker_312_750717.png", "Ver Imagen")</f>
        <v/>
      </c>
      <c r="P5225">
        <f>HYPERLINK("NO\A-490\A-490__307.png", "Ver Imagen")</f>
        <v/>
      </c>
    </row>
    <row r="5226">
      <c r="A5226" t="n">
        <v>4889</v>
      </c>
      <c r="B5226" t="inlineStr">
        <is>
          <t>A-490__308</t>
        </is>
      </c>
      <c r="C5226" t="n">
        <v>37.472470057</v>
      </c>
      <c r="D5226" t="n">
        <v>-7.19397369352</v>
      </c>
      <c r="E5226" t="n">
        <v>1</v>
      </c>
      <c r="F5226" t="n">
        <v>2</v>
      </c>
      <c r="H5226" t="n">
        <v>2</v>
      </c>
      <c r="I5226" t="n">
        <v>1</v>
      </c>
      <c r="J5226" t="inlineStr">
        <is>
          <t>Mediana</t>
        </is>
      </c>
      <c r="K5226" t="n">
        <v>1.5</v>
      </c>
      <c r="L5226" t="n">
        <v>1.888</v>
      </c>
      <c r="M5226" t="n">
        <v>0</v>
      </c>
      <c r="N5226" t="inlineStr">
        <is>
          <t>train</t>
        </is>
      </c>
      <c r="O5226">
        <f>HYPERLINK("Solo2\marker_129_750733.png", "Ver Imagen")</f>
        <v/>
      </c>
      <c r="P5226">
        <f>HYPERLINK("NE\A-490\A-490__308.png", "Ver Imagen")</f>
        <v/>
      </c>
    </row>
    <row r="5227">
      <c r="A5227" t="n">
        <v>4889</v>
      </c>
      <c r="B5227" t="inlineStr">
        <is>
          <t>A-490__308</t>
        </is>
      </c>
      <c r="C5227" t="n">
        <v>37.472470057</v>
      </c>
      <c r="D5227" t="n">
        <v>-7.19397369352</v>
      </c>
      <c r="E5227" t="n">
        <v>1</v>
      </c>
      <c r="F5227" t="n">
        <v>2</v>
      </c>
      <c r="H5227" t="n">
        <v>2</v>
      </c>
      <c r="I5227" t="n">
        <v>1</v>
      </c>
      <c r="J5227" t="inlineStr">
        <is>
          <t>Mediana</t>
        </is>
      </c>
      <c r="K5227" t="n">
        <v>1.5</v>
      </c>
      <c r="L5227" t="n">
        <v>1.839</v>
      </c>
      <c r="M5227" t="n">
        <v>0</v>
      </c>
      <c r="N5227" t="inlineStr">
        <is>
          <t>train</t>
        </is>
      </c>
      <c r="O5227">
        <f>HYPERLINK("Solo2\marker_129_750733.png", "Ver Imagen")</f>
        <v/>
      </c>
      <c r="P5227">
        <f>HYPERLINK("NO\A-490\A-490__308.png", "Ver Imagen")</f>
        <v/>
      </c>
    </row>
    <row r="5228">
      <c r="A5228" t="n">
        <v>4890</v>
      </c>
      <c r="B5228" t="inlineStr">
        <is>
          <t>A-490__309</t>
        </is>
      </c>
      <c r="C5228" t="n">
        <v>37.4726223785</v>
      </c>
      <c r="D5228" t="n">
        <v>-7.1942294371</v>
      </c>
      <c r="E5228" t="n">
        <v>1</v>
      </c>
      <c r="F5228" t="n">
        <v>2</v>
      </c>
      <c r="H5228" t="n">
        <v>3</v>
      </c>
      <c r="I5228" t="n">
        <v>2</v>
      </c>
      <c r="J5228" t="inlineStr">
        <is>
          <t>Mediana</t>
        </is>
      </c>
      <c r="K5228" t="n">
        <v>2</v>
      </c>
      <c r="L5228" t="n">
        <v>1.914</v>
      </c>
      <c r="M5228" t="n">
        <v>0</v>
      </c>
      <c r="N5228" t="inlineStr">
        <is>
          <t>train</t>
        </is>
      </c>
      <c r="O5228">
        <f>HYPERLINK("Solo2\marker_714_750749.png", "Ver Imagen")</f>
        <v/>
      </c>
      <c r="P5228">
        <f>HYPERLINK("NE\A-490\A-490__309.png", "Ver Imagen")</f>
        <v/>
      </c>
    </row>
    <row r="5229">
      <c r="A5229" t="n">
        <v>4890</v>
      </c>
      <c r="B5229" t="inlineStr">
        <is>
          <t>A-490__309</t>
        </is>
      </c>
      <c r="C5229" t="n">
        <v>37.4726223785</v>
      </c>
      <c r="D5229" t="n">
        <v>-7.1942294371</v>
      </c>
      <c r="E5229" t="n">
        <v>1</v>
      </c>
      <c r="F5229" t="n">
        <v>2</v>
      </c>
      <c r="H5229" t="n">
        <v>3</v>
      </c>
      <c r="I5229" t="n">
        <v>2</v>
      </c>
      <c r="J5229" t="inlineStr">
        <is>
          <t>Mediana</t>
        </is>
      </c>
      <c r="K5229" t="n">
        <v>2</v>
      </c>
      <c r="L5229" t="n">
        <v>1.885</v>
      </c>
      <c r="M5229" t="n">
        <v>0</v>
      </c>
      <c r="N5229" t="inlineStr">
        <is>
          <t>train</t>
        </is>
      </c>
      <c r="O5229">
        <f>HYPERLINK("Solo2\marker_714_750749.png", "Ver Imagen")</f>
        <v/>
      </c>
      <c r="P5229">
        <f>HYPERLINK("NO\A-490\A-490__309.png", "Ver Imagen")</f>
        <v/>
      </c>
    </row>
    <row r="5230">
      <c r="A5230" t="n">
        <v>4891</v>
      </c>
      <c r="B5230" t="inlineStr">
        <is>
          <t>A-490__310</t>
        </is>
      </c>
      <c r="C5230" t="n">
        <v>37.4727324989</v>
      </c>
      <c r="D5230" t="n">
        <v>-7.19441665503</v>
      </c>
      <c r="E5230" t="n">
        <v>2</v>
      </c>
      <c r="F5230" t="n">
        <v>3</v>
      </c>
      <c r="H5230" t="n">
        <v>2</v>
      </c>
      <c r="I5230" t="n">
        <v>1</v>
      </c>
      <c r="J5230" t="inlineStr">
        <is>
          <t>Mediana</t>
        </is>
      </c>
      <c r="K5230" t="n">
        <v>2</v>
      </c>
      <c r="L5230" t="n">
        <v>1.944</v>
      </c>
      <c r="M5230" t="n">
        <v>0</v>
      </c>
      <c r="N5230" t="inlineStr">
        <is>
          <t>train</t>
        </is>
      </c>
      <c r="O5230">
        <f>HYPERLINK("Solo2\marker_473_750773.png", "Ver Imagen")</f>
        <v/>
      </c>
      <c r="P5230">
        <f>HYPERLINK("NE\A-490\A-490__310.png", "Ver Imagen")</f>
        <v/>
      </c>
    </row>
    <row r="5231">
      <c r="A5231" t="n">
        <v>4891</v>
      </c>
      <c r="B5231" t="inlineStr">
        <is>
          <t>A-490__310</t>
        </is>
      </c>
      <c r="C5231" t="n">
        <v>37.4727324989</v>
      </c>
      <c r="D5231" t="n">
        <v>-7.19441665503</v>
      </c>
      <c r="E5231" t="n">
        <v>2</v>
      </c>
      <c r="F5231" t="n">
        <v>3</v>
      </c>
      <c r="H5231" t="n">
        <v>2</v>
      </c>
      <c r="I5231" t="n">
        <v>1</v>
      </c>
      <c r="J5231" t="inlineStr">
        <is>
          <t>Mediana</t>
        </is>
      </c>
      <c r="K5231" t="n">
        <v>2</v>
      </c>
      <c r="L5231" t="n">
        <v>2.033</v>
      </c>
      <c r="M5231" t="n">
        <v>0</v>
      </c>
      <c r="N5231" t="inlineStr">
        <is>
          <t>train</t>
        </is>
      </c>
      <c r="O5231">
        <f>HYPERLINK("Solo2\marker_473_750773.png", "Ver Imagen")</f>
        <v/>
      </c>
      <c r="P5231">
        <f>HYPERLINK("NO\A-490\A-490__310.png", "Ver Imagen")</f>
        <v/>
      </c>
    </row>
    <row r="5232">
      <c r="A5232" t="n">
        <v>4892</v>
      </c>
      <c r="B5232" t="inlineStr">
        <is>
          <t>A-490__311</t>
        </is>
      </c>
      <c r="C5232" t="n">
        <v>37.4728498909</v>
      </c>
      <c r="D5232" t="n">
        <v>-7.19461613437</v>
      </c>
      <c r="E5232" t="n">
        <v>2</v>
      </c>
      <c r="F5232" t="n">
        <v>3</v>
      </c>
      <c r="H5232" t="n">
        <v>3</v>
      </c>
      <c r="I5232" t="n">
        <v>2</v>
      </c>
      <c r="J5232" t="inlineStr">
        <is>
          <t>Mediana</t>
        </is>
      </c>
      <c r="K5232" t="n">
        <v>2.5</v>
      </c>
      <c r="L5232" t="n">
        <v>1.932</v>
      </c>
      <c r="M5232" t="n">
        <v>0</v>
      </c>
      <c r="N5232" t="inlineStr">
        <is>
          <t>train</t>
        </is>
      </c>
      <c r="O5232">
        <f>HYPERLINK("Solo2\marker_782_750795.png", "Ver Imagen")</f>
        <v/>
      </c>
      <c r="P5232">
        <f>HYPERLINK("NE\A-490\A-490__311.png", "Ver Imagen")</f>
        <v/>
      </c>
    </row>
    <row r="5233">
      <c r="A5233" t="n">
        <v>4892</v>
      </c>
      <c r="B5233" t="inlineStr">
        <is>
          <t>A-490__311</t>
        </is>
      </c>
      <c r="C5233" t="n">
        <v>37.4728498909</v>
      </c>
      <c r="D5233" t="n">
        <v>-7.19461613437</v>
      </c>
      <c r="E5233" t="n">
        <v>2</v>
      </c>
      <c r="F5233" t="n">
        <v>3</v>
      </c>
      <c r="H5233" t="n">
        <v>3</v>
      </c>
      <c r="I5233" t="n">
        <v>2</v>
      </c>
      <c r="J5233" t="inlineStr">
        <is>
          <t>Mediana</t>
        </is>
      </c>
      <c r="K5233" t="n">
        <v>2.5</v>
      </c>
      <c r="L5233" t="n">
        <v>2.008</v>
      </c>
      <c r="M5233" t="n">
        <v>0</v>
      </c>
      <c r="N5233" t="inlineStr">
        <is>
          <t>train</t>
        </is>
      </c>
      <c r="O5233">
        <f>HYPERLINK("Solo2\marker_782_750795.png", "Ver Imagen")</f>
        <v/>
      </c>
      <c r="P5233">
        <f>HYPERLINK("NO\A-490\A-490__311.png", "Ver Imagen")</f>
        <v/>
      </c>
    </row>
    <row r="5234">
      <c r="A5234" t="n">
        <v>4893</v>
      </c>
      <c r="B5234" t="inlineStr">
        <is>
          <t>A-490__312</t>
        </is>
      </c>
      <c r="C5234" t="n">
        <v>37.47295591</v>
      </c>
      <c r="D5234" t="n">
        <v>-7.19479349575</v>
      </c>
      <c r="E5234" t="n">
        <v>2</v>
      </c>
      <c r="F5234" t="n">
        <v>4</v>
      </c>
      <c r="H5234" t="n">
        <v>3</v>
      </c>
      <c r="I5234" t="n">
        <v>3</v>
      </c>
      <c r="J5234" t="inlineStr">
        <is>
          <t>Mediana</t>
        </is>
      </c>
      <c r="K5234" t="n">
        <v>3</v>
      </c>
      <c r="L5234" t="n">
        <v>2.901</v>
      </c>
      <c r="M5234" t="n">
        <v>0</v>
      </c>
      <c r="N5234" t="inlineStr">
        <is>
          <t>train</t>
        </is>
      </c>
      <c r="O5234">
        <f>HYPERLINK("Solo2\marker_265_750814.png", "Ver Imagen")</f>
        <v/>
      </c>
      <c r="P5234">
        <f>HYPERLINK("NE\A-490\A-490__312.png", "Ver Imagen")</f>
        <v/>
      </c>
    </row>
    <row r="5235">
      <c r="A5235" t="n">
        <v>4894</v>
      </c>
      <c r="B5235" t="inlineStr">
        <is>
          <t>A-490__313</t>
        </is>
      </c>
      <c r="C5235" t="n">
        <v>37.4731090061</v>
      </c>
      <c r="D5235" t="n">
        <v>-7.1950482885</v>
      </c>
      <c r="E5235" t="n">
        <v>2</v>
      </c>
      <c r="F5235" t="n">
        <v>4</v>
      </c>
      <c r="H5235" t="n">
        <v>3</v>
      </c>
      <c r="I5235" t="n">
        <v>3</v>
      </c>
      <c r="J5235" t="inlineStr">
        <is>
          <t>Mediana</t>
        </is>
      </c>
      <c r="K5235" t="n">
        <v>3</v>
      </c>
      <c r="L5235" t="n">
        <v>2.881</v>
      </c>
      <c r="M5235" t="n">
        <v>0</v>
      </c>
      <c r="N5235" t="inlineStr">
        <is>
          <t>train</t>
        </is>
      </c>
      <c r="O5235">
        <f>HYPERLINK("Solo2\marker_125_750832.png", "Ver Imagen")</f>
        <v/>
      </c>
      <c r="P5235">
        <f>HYPERLINK("NE\A-490\A-490__313.png", "Ver Imagen")</f>
        <v/>
      </c>
    </row>
    <row r="5236">
      <c r="A5236" t="n">
        <v>4895</v>
      </c>
      <c r="B5236" t="inlineStr">
        <is>
          <t>A-490__314</t>
        </is>
      </c>
      <c r="C5236" t="n">
        <v>37.4732272834</v>
      </c>
      <c r="D5236" t="n">
        <v>-7.19524675988</v>
      </c>
      <c r="E5236" t="n">
        <v>2</v>
      </c>
      <c r="F5236" t="n">
        <v>3</v>
      </c>
      <c r="H5236" t="n">
        <v>3</v>
      </c>
      <c r="I5236" t="n">
        <v>3</v>
      </c>
      <c r="J5236" t="inlineStr">
        <is>
          <t>Mediana</t>
        </is>
      </c>
      <c r="K5236" t="n">
        <v>3</v>
      </c>
      <c r="L5236" t="n">
        <v>3.058</v>
      </c>
      <c r="M5236" t="n">
        <v>0</v>
      </c>
      <c r="N5236" t="inlineStr">
        <is>
          <t>train</t>
        </is>
      </c>
      <c r="O5236">
        <f>HYPERLINK("Solo2\marker_434_750849.png", "Ver Imagen")</f>
        <v/>
      </c>
      <c r="P5236">
        <f>HYPERLINK("NE\A-490\A-490__314.png", "Ver Imagen")</f>
        <v/>
      </c>
    </row>
    <row r="5237">
      <c r="A5237" t="n">
        <v>4895</v>
      </c>
      <c r="B5237" t="inlineStr">
        <is>
          <t>A-490__314</t>
        </is>
      </c>
      <c r="C5237" t="n">
        <v>37.4732272834</v>
      </c>
      <c r="D5237" t="n">
        <v>-7.19524675988</v>
      </c>
      <c r="E5237" t="n">
        <v>2</v>
      </c>
      <c r="F5237" t="n">
        <v>3</v>
      </c>
      <c r="H5237" t="n">
        <v>3</v>
      </c>
      <c r="I5237" t="n">
        <v>3</v>
      </c>
      <c r="J5237" t="inlineStr">
        <is>
          <t>Mediana</t>
        </is>
      </c>
      <c r="K5237" t="n">
        <v>3</v>
      </c>
      <c r="L5237" t="n">
        <v>3.281</v>
      </c>
      <c r="M5237" t="n">
        <v>0</v>
      </c>
      <c r="N5237" t="inlineStr">
        <is>
          <t>train</t>
        </is>
      </c>
      <c r="O5237">
        <f>HYPERLINK("Solo2\marker_434_750849.png", "Ver Imagen")</f>
        <v/>
      </c>
      <c r="P5237">
        <f>HYPERLINK("NO\A-490\A-490__314.png", "Ver Imagen")</f>
        <v/>
      </c>
    </row>
    <row r="5238">
      <c r="A5238" t="n">
        <v>4896</v>
      </c>
      <c r="B5238" t="inlineStr">
        <is>
          <t>A-490__315</t>
        </is>
      </c>
      <c r="C5238" t="n">
        <v>37.4733263535</v>
      </c>
      <c r="D5238" t="n">
        <v>-7.19541325065</v>
      </c>
      <c r="E5238" t="n">
        <v>1</v>
      </c>
      <c r="F5238" t="n">
        <v>2</v>
      </c>
      <c r="H5238" t="n">
        <v>2</v>
      </c>
      <c r="I5238" t="n">
        <v>2</v>
      </c>
      <c r="J5238" t="inlineStr">
        <is>
          <t>Mediana</t>
        </is>
      </c>
      <c r="K5238" t="n">
        <v>2</v>
      </c>
      <c r="L5238" t="n">
        <v>2.238</v>
      </c>
      <c r="M5238" t="n">
        <v>0</v>
      </c>
      <c r="N5238" t="inlineStr">
        <is>
          <t>train</t>
        </is>
      </c>
      <c r="O5238">
        <f>HYPERLINK("Solo2\marker_734_750865.png", "Ver Imagen")</f>
        <v/>
      </c>
      <c r="P5238">
        <f>HYPERLINK("NE\A-490\A-490__315.png", "Ver Imagen")</f>
        <v/>
      </c>
    </row>
    <row r="5239">
      <c r="A5239" t="n">
        <v>4896</v>
      </c>
      <c r="B5239" t="inlineStr">
        <is>
          <t>A-490__315</t>
        </is>
      </c>
      <c r="C5239" t="n">
        <v>37.4733263535</v>
      </c>
      <c r="D5239" t="n">
        <v>-7.19541325065</v>
      </c>
      <c r="E5239" t="n">
        <v>1</v>
      </c>
      <c r="F5239" t="n">
        <v>2</v>
      </c>
      <c r="H5239" t="n">
        <v>2</v>
      </c>
      <c r="I5239" t="n">
        <v>2</v>
      </c>
      <c r="J5239" t="inlineStr">
        <is>
          <t>Mediana</t>
        </is>
      </c>
      <c r="K5239" t="n">
        <v>2</v>
      </c>
      <c r="L5239" t="n">
        <v>2.363</v>
      </c>
      <c r="M5239" t="n">
        <v>0</v>
      </c>
      <c r="N5239" t="inlineStr">
        <is>
          <t>train</t>
        </is>
      </c>
      <c r="O5239">
        <f>HYPERLINK("Solo2\marker_734_750865.png", "Ver Imagen")</f>
        <v/>
      </c>
      <c r="P5239">
        <f>HYPERLINK("NO\A-490\A-490__315.png", "Ver Imagen")</f>
        <v/>
      </c>
    </row>
    <row r="5240">
      <c r="A5240" t="n">
        <v>4897</v>
      </c>
      <c r="B5240" t="inlineStr">
        <is>
          <t>A-490__316</t>
        </is>
      </c>
      <c r="C5240" t="n">
        <v>37.4734625827</v>
      </c>
      <c r="D5240" t="n">
        <v>-7.19564104359</v>
      </c>
      <c r="E5240" t="n">
        <v>1</v>
      </c>
      <c r="F5240" t="n">
        <v>3</v>
      </c>
      <c r="H5240" t="n">
        <v>2</v>
      </c>
      <c r="I5240" t="n">
        <v>2</v>
      </c>
      <c r="J5240" t="inlineStr">
        <is>
          <t>Mediana</t>
        </is>
      </c>
      <c r="K5240" t="n">
        <v>2</v>
      </c>
      <c r="L5240" t="n">
        <v>2.113</v>
      </c>
      <c r="M5240" t="n">
        <v>0</v>
      </c>
      <c r="N5240" t="inlineStr">
        <is>
          <t>train</t>
        </is>
      </c>
      <c r="O5240">
        <f>HYPERLINK("Solo2\marker_925_750983.png", "Ver Imagen")</f>
        <v/>
      </c>
      <c r="P5240">
        <f>HYPERLINK("NE\A-490\A-490__316.png", "Ver Imagen")</f>
        <v/>
      </c>
    </row>
    <row r="5241">
      <c r="A5241" t="n">
        <v>4897</v>
      </c>
      <c r="B5241" t="inlineStr">
        <is>
          <t>A-490__316</t>
        </is>
      </c>
      <c r="C5241" t="n">
        <v>37.4734625827</v>
      </c>
      <c r="D5241" t="n">
        <v>-7.19564104359</v>
      </c>
      <c r="E5241" t="n">
        <v>1</v>
      </c>
      <c r="F5241" t="n">
        <v>3</v>
      </c>
      <c r="H5241" t="n">
        <v>2</v>
      </c>
      <c r="I5241" t="n">
        <v>2</v>
      </c>
      <c r="J5241" t="inlineStr">
        <is>
          <t>Mediana</t>
        </is>
      </c>
      <c r="K5241" t="n">
        <v>2</v>
      </c>
      <c r="L5241" t="n">
        <v>2.105</v>
      </c>
      <c r="M5241" t="n">
        <v>0</v>
      </c>
      <c r="N5241" t="inlineStr">
        <is>
          <t>train</t>
        </is>
      </c>
      <c r="O5241">
        <f>HYPERLINK("Solo2\marker_925_750983.png", "Ver Imagen")</f>
        <v/>
      </c>
      <c r="P5241">
        <f>HYPERLINK("NO\A-490\A-490__316.png", "Ver Imagen")</f>
        <v/>
      </c>
    </row>
    <row r="5242">
      <c r="A5242" t="n">
        <v>4898</v>
      </c>
      <c r="B5242" t="inlineStr">
        <is>
          <t>A-490__317</t>
        </is>
      </c>
      <c r="C5242" t="n">
        <v>37.4736020098</v>
      </c>
      <c r="D5242" t="n">
        <v>-7.19587242772</v>
      </c>
      <c r="E5242" t="n">
        <v>2</v>
      </c>
      <c r="F5242" t="n">
        <v>2</v>
      </c>
      <c r="H5242" t="n">
        <v>2</v>
      </c>
      <c r="I5242" t="n">
        <v>1</v>
      </c>
      <c r="J5242" t="inlineStr">
        <is>
          <t>Mediana</t>
        </is>
      </c>
      <c r="K5242" t="n">
        <v>2</v>
      </c>
      <c r="L5242" t="n">
        <v>1.878</v>
      </c>
      <c r="M5242" t="n">
        <v>0</v>
      </c>
      <c r="N5242" t="inlineStr">
        <is>
          <t>train</t>
        </is>
      </c>
      <c r="O5242">
        <f>HYPERLINK("Solo2\marker_437_751000.png", "Ver Imagen")</f>
        <v/>
      </c>
      <c r="P5242">
        <f>HYPERLINK("NE\A-490\A-490__317.png", "Ver Imagen")</f>
        <v/>
      </c>
    </row>
    <row r="5243">
      <c r="A5243" t="n">
        <v>4898</v>
      </c>
      <c r="B5243" t="inlineStr">
        <is>
          <t>A-490__317</t>
        </is>
      </c>
      <c r="C5243" t="n">
        <v>37.4736020098</v>
      </c>
      <c r="D5243" t="n">
        <v>-7.19587242772</v>
      </c>
      <c r="E5243" t="n">
        <v>2</v>
      </c>
      <c r="F5243" t="n">
        <v>2</v>
      </c>
      <c r="H5243" t="n">
        <v>2</v>
      </c>
      <c r="I5243" t="n">
        <v>1</v>
      </c>
      <c r="J5243" t="inlineStr">
        <is>
          <t>Mediana</t>
        </is>
      </c>
      <c r="K5243" t="n">
        <v>2</v>
      </c>
      <c r="L5243" t="n">
        <v>1.882</v>
      </c>
      <c r="M5243" t="n">
        <v>0</v>
      </c>
      <c r="N5243" t="inlineStr">
        <is>
          <t>train</t>
        </is>
      </c>
      <c r="O5243">
        <f>HYPERLINK("Solo2\marker_437_751000.png", "Ver Imagen")</f>
        <v/>
      </c>
      <c r="P5243">
        <f>HYPERLINK("NO\A-490\A-490__317.png", "Ver Imagen")</f>
        <v/>
      </c>
    </row>
    <row r="5244">
      <c r="A5244" t="n">
        <v>4899</v>
      </c>
      <c r="B5244" t="inlineStr">
        <is>
          <t>A-490__318</t>
        </is>
      </c>
      <c r="C5244" t="n">
        <v>37.4736824142</v>
      </c>
      <c r="D5244" t="n">
        <v>-7.19600532057</v>
      </c>
      <c r="E5244" t="n">
        <v>3</v>
      </c>
      <c r="F5244" t="n">
        <v>4</v>
      </c>
      <c r="H5244" t="n">
        <v>2</v>
      </c>
      <c r="I5244" t="n">
        <v>2</v>
      </c>
      <c r="J5244" t="inlineStr">
        <is>
          <t>Mediana</t>
        </is>
      </c>
      <c r="K5244" t="n">
        <v>2.5</v>
      </c>
      <c r="L5244" t="n">
        <v>2.318</v>
      </c>
      <c r="M5244" t="n">
        <v>0</v>
      </c>
      <c r="N5244" t="inlineStr">
        <is>
          <t>val</t>
        </is>
      </c>
      <c r="O5244">
        <f>HYPERLINK("Solo2\marker_786_751014.png", "Ver Imagen")</f>
        <v/>
      </c>
      <c r="P5244">
        <f>HYPERLINK("NE\A-490\A-490__318.png", "Ver Imagen")</f>
        <v/>
      </c>
    </row>
    <row r="5245">
      <c r="A5245" t="n">
        <v>4899</v>
      </c>
      <c r="B5245" t="inlineStr">
        <is>
          <t>A-490__318</t>
        </is>
      </c>
      <c r="C5245" t="n">
        <v>37.4736824142</v>
      </c>
      <c r="D5245" t="n">
        <v>-7.19600532057</v>
      </c>
      <c r="E5245" t="n">
        <v>3</v>
      </c>
      <c r="F5245" t="n">
        <v>4</v>
      </c>
      <c r="H5245" t="n">
        <v>2</v>
      </c>
      <c r="I5245" t="n">
        <v>2</v>
      </c>
      <c r="J5245" t="inlineStr">
        <is>
          <t>Mediana</t>
        </is>
      </c>
      <c r="K5245" t="n">
        <v>2.5</v>
      </c>
      <c r="L5245" t="n">
        <v>2.137</v>
      </c>
      <c r="M5245" t="n">
        <v>0</v>
      </c>
      <c r="N5245" t="inlineStr">
        <is>
          <t>val</t>
        </is>
      </c>
      <c r="O5245">
        <f>HYPERLINK("Solo2\marker_786_751014.png", "Ver Imagen")</f>
        <v/>
      </c>
      <c r="P5245">
        <f>HYPERLINK("NO\A-490\A-490__318.png", "Ver Imagen")</f>
        <v/>
      </c>
    </row>
    <row r="5246">
      <c r="A5246" t="n">
        <v>4900</v>
      </c>
      <c r="B5246" t="inlineStr">
        <is>
          <t>A-490__319</t>
        </is>
      </c>
      <c r="C5246" t="n">
        <v>37.473815067</v>
      </c>
      <c r="D5246" t="n">
        <v>-7.19622430464</v>
      </c>
      <c r="E5246" t="n">
        <v>2</v>
      </c>
      <c r="F5246" t="n">
        <v>3</v>
      </c>
      <c r="H5246" t="n">
        <v>3</v>
      </c>
      <c r="I5246" t="n">
        <v>3</v>
      </c>
      <c r="J5246" t="inlineStr">
        <is>
          <t>Mediana</t>
        </is>
      </c>
      <c r="K5246" t="n">
        <v>3</v>
      </c>
      <c r="L5246" t="n">
        <v>3.147</v>
      </c>
      <c r="M5246" t="n">
        <v>0</v>
      </c>
      <c r="N5246" t="inlineStr">
        <is>
          <t>train</t>
        </is>
      </c>
      <c r="O5246">
        <f>HYPERLINK("Solo2\marker_981_751034.png", "Ver Imagen")</f>
        <v/>
      </c>
      <c r="P5246">
        <f>HYPERLINK("NE\A-490\A-490__319.png", "Ver Imagen")</f>
        <v/>
      </c>
    </row>
    <row r="5247">
      <c r="A5247" t="n">
        <v>4900</v>
      </c>
      <c r="B5247" t="inlineStr">
        <is>
          <t>A-490__319</t>
        </is>
      </c>
      <c r="C5247" t="n">
        <v>37.473815067</v>
      </c>
      <c r="D5247" t="n">
        <v>-7.19622430464</v>
      </c>
      <c r="E5247" t="n">
        <v>2</v>
      </c>
      <c r="F5247" t="n">
        <v>3</v>
      </c>
      <c r="H5247" t="n">
        <v>3</v>
      </c>
      <c r="I5247" t="n">
        <v>3</v>
      </c>
      <c r="J5247" t="inlineStr">
        <is>
          <t>Mediana</t>
        </is>
      </c>
      <c r="K5247" t="n">
        <v>3</v>
      </c>
      <c r="L5247" t="n">
        <v>2.816</v>
      </c>
      <c r="M5247" t="n">
        <v>0</v>
      </c>
      <c r="N5247" t="inlineStr">
        <is>
          <t>train</t>
        </is>
      </c>
      <c r="O5247">
        <f>HYPERLINK("Solo2\marker_981_751034.png", "Ver Imagen")</f>
        <v/>
      </c>
      <c r="P5247">
        <f>HYPERLINK("NO\A-490\A-490__319.png", "Ver Imagen")</f>
        <v/>
      </c>
    </row>
    <row r="5248">
      <c r="A5248" t="n">
        <v>4901</v>
      </c>
      <c r="B5248" t="inlineStr">
        <is>
          <t>A-490__320</t>
        </is>
      </c>
      <c r="C5248" t="n">
        <v>37.4739368278</v>
      </c>
      <c r="D5248" t="n">
        <v>-7.19642709837</v>
      </c>
      <c r="E5248" t="n">
        <v>2</v>
      </c>
      <c r="F5248" t="n">
        <v>2</v>
      </c>
      <c r="H5248" t="n">
        <v>2</v>
      </c>
      <c r="I5248" t="n">
        <v>2</v>
      </c>
      <c r="J5248" t="inlineStr">
        <is>
          <t>Mediana</t>
        </is>
      </c>
      <c r="K5248" t="n">
        <v>2</v>
      </c>
      <c r="L5248" t="n">
        <v>1.795</v>
      </c>
      <c r="M5248" t="n">
        <v>0</v>
      </c>
      <c r="N5248" t="inlineStr">
        <is>
          <t>train</t>
        </is>
      </c>
      <c r="O5248">
        <f>HYPERLINK("Solo2\marker_523_751056.png", "Ver Imagen")</f>
        <v/>
      </c>
      <c r="P5248">
        <f>HYPERLINK("NE\A-490\A-490__320.png", "Ver Imagen")</f>
        <v/>
      </c>
    </row>
    <row r="5249">
      <c r="A5249" t="n">
        <v>4901</v>
      </c>
      <c r="B5249" t="inlineStr">
        <is>
          <t>A-490__320</t>
        </is>
      </c>
      <c r="C5249" t="n">
        <v>37.4739368278</v>
      </c>
      <c r="D5249" t="n">
        <v>-7.19642709837</v>
      </c>
      <c r="E5249" t="n">
        <v>2</v>
      </c>
      <c r="F5249" t="n">
        <v>2</v>
      </c>
      <c r="H5249" t="n">
        <v>2</v>
      </c>
      <c r="I5249" t="n">
        <v>2</v>
      </c>
      <c r="J5249" t="inlineStr">
        <is>
          <t>Mediana</t>
        </is>
      </c>
      <c r="K5249" t="n">
        <v>2</v>
      </c>
      <c r="L5249" t="n">
        <v>2.134</v>
      </c>
      <c r="M5249" t="n">
        <v>0</v>
      </c>
      <c r="N5249" t="inlineStr">
        <is>
          <t>train</t>
        </is>
      </c>
      <c r="O5249">
        <f>HYPERLINK("Solo2\marker_523_751056.png", "Ver Imagen")</f>
        <v/>
      </c>
      <c r="P5249">
        <f>HYPERLINK("NO\A-490\A-490__320.png", "Ver Imagen")</f>
        <v/>
      </c>
    </row>
    <row r="5250">
      <c r="A5250" t="n">
        <v>4902</v>
      </c>
      <c r="B5250" t="inlineStr">
        <is>
          <t>A-490__321</t>
        </is>
      </c>
      <c r="C5250" t="n">
        <v>37.4740592903</v>
      </c>
      <c r="D5250" t="n">
        <v>-7.19663913009</v>
      </c>
      <c r="E5250" t="n">
        <v>1</v>
      </c>
      <c r="F5250" t="n">
        <v>2</v>
      </c>
      <c r="H5250" t="n">
        <v>3</v>
      </c>
      <c r="I5250" t="n">
        <v>2</v>
      </c>
      <c r="J5250" t="inlineStr">
        <is>
          <t>Mediana</t>
        </is>
      </c>
      <c r="K5250" t="n">
        <v>2</v>
      </c>
      <c r="L5250" t="n">
        <v>1.711</v>
      </c>
      <c r="M5250" t="n">
        <v>0</v>
      </c>
      <c r="N5250" t="inlineStr">
        <is>
          <t>train</t>
        </is>
      </c>
      <c r="O5250">
        <f>HYPERLINK("Solo2\marker_337_751077.png", "Ver Imagen")</f>
        <v/>
      </c>
      <c r="P5250">
        <f>HYPERLINK("NE\A-490\A-490__321.png", "Ver Imagen")</f>
        <v/>
      </c>
    </row>
    <row r="5251">
      <c r="A5251" t="n">
        <v>4902</v>
      </c>
      <c r="B5251" t="inlineStr">
        <is>
          <t>A-490__321</t>
        </is>
      </c>
      <c r="C5251" t="n">
        <v>37.4740592903</v>
      </c>
      <c r="D5251" t="n">
        <v>-7.19663913009</v>
      </c>
      <c r="E5251" t="n">
        <v>1</v>
      </c>
      <c r="F5251" t="n">
        <v>2</v>
      </c>
      <c r="H5251" t="n">
        <v>3</v>
      </c>
      <c r="I5251" t="n">
        <v>2</v>
      </c>
      <c r="J5251" t="inlineStr">
        <is>
          <t>Mediana</t>
        </is>
      </c>
      <c r="K5251" t="n">
        <v>2</v>
      </c>
      <c r="L5251" t="n">
        <v>1.673</v>
      </c>
      <c r="M5251" t="n">
        <v>0</v>
      </c>
      <c r="N5251" t="inlineStr">
        <is>
          <t>train</t>
        </is>
      </c>
      <c r="O5251">
        <f>HYPERLINK("Solo2\marker_337_751077.png", "Ver Imagen")</f>
        <v/>
      </c>
      <c r="P5251">
        <f>HYPERLINK("NO\A-490\A-490__321.png", "Ver Imagen")</f>
        <v/>
      </c>
    </row>
    <row r="5252">
      <c r="A5252" t="n">
        <v>4903</v>
      </c>
      <c r="B5252" t="inlineStr">
        <is>
          <t>A-490__322</t>
        </is>
      </c>
      <c r="C5252" t="n">
        <v>37.474186609</v>
      </c>
      <c r="D5252" t="n">
        <v>-7.19688431117</v>
      </c>
      <c r="E5252" t="n">
        <v>1</v>
      </c>
      <c r="F5252" t="n">
        <v>2</v>
      </c>
      <c r="H5252" t="n">
        <v>2</v>
      </c>
      <c r="I5252" t="n">
        <v>2</v>
      </c>
      <c r="J5252" t="inlineStr">
        <is>
          <t>Mediana</t>
        </is>
      </c>
      <c r="K5252" t="n">
        <v>2</v>
      </c>
      <c r="L5252" t="n">
        <v>1.856</v>
      </c>
      <c r="M5252" t="n">
        <v>0</v>
      </c>
      <c r="N5252" t="inlineStr">
        <is>
          <t>train</t>
        </is>
      </c>
      <c r="O5252">
        <f>HYPERLINK("Solo2\marker_583_751100.png", "Ver Imagen")</f>
        <v/>
      </c>
      <c r="P5252">
        <f>HYPERLINK("NE\A-490\A-490__322.png", "Ver Imagen")</f>
        <v/>
      </c>
    </row>
    <row r="5253">
      <c r="A5253" t="n">
        <v>4903</v>
      </c>
      <c r="B5253" t="inlineStr">
        <is>
          <t>A-490__322</t>
        </is>
      </c>
      <c r="C5253" t="n">
        <v>37.474186609</v>
      </c>
      <c r="D5253" t="n">
        <v>-7.19688431117</v>
      </c>
      <c r="E5253" t="n">
        <v>1</v>
      </c>
      <c r="F5253" t="n">
        <v>2</v>
      </c>
      <c r="H5253" t="n">
        <v>2</v>
      </c>
      <c r="I5253" t="n">
        <v>2</v>
      </c>
      <c r="J5253" t="inlineStr">
        <is>
          <t>Mediana</t>
        </is>
      </c>
      <c r="K5253" t="n">
        <v>2</v>
      </c>
      <c r="L5253" t="n">
        <v>1.871</v>
      </c>
      <c r="M5253" t="n">
        <v>0</v>
      </c>
      <c r="N5253" t="inlineStr">
        <is>
          <t>train</t>
        </is>
      </c>
      <c r="O5253">
        <f>HYPERLINK("Solo2\marker_583_751100.png", "Ver Imagen")</f>
        <v/>
      </c>
      <c r="P5253">
        <f>HYPERLINK("NO\A-490\A-490__322.png", "Ver Imagen")</f>
        <v/>
      </c>
    </row>
    <row r="5254">
      <c r="A5254" t="n">
        <v>4904</v>
      </c>
      <c r="B5254" t="inlineStr">
        <is>
          <t>A-490__323</t>
        </is>
      </c>
      <c r="C5254" t="n">
        <v>37.4742876635</v>
      </c>
      <c r="D5254" t="n">
        <v>-7.19710335867</v>
      </c>
      <c r="E5254" t="n">
        <v>1</v>
      </c>
      <c r="F5254" t="n">
        <v>3</v>
      </c>
      <c r="H5254" t="n">
        <v>2</v>
      </c>
      <c r="I5254" t="n">
        <v>2</v>
      </c>
      <c r="J5254" t="inlineStr">
        <is>
          <t>Mediana</t>
        </is>
      </c>
      <c r="K5254" t="n">
        <v>2</v>
      </c>
      <c r="L5254" t="n">
        <v>2.084</v>
      </c>
      <c r="M5254" t="n">
        <v>0</v>
      </c>
      <c r="N5254" t="inlineStr">
        <is>
          <t>train</t>
        </is>
      </c>
      <c r="O5254">
        <f>HYPERLINK("Solo2\marker_357_751127.png", "Ver Imagen")</f>
        <v/>
      </c>
      <c r="P5254">
        <f>HYPERLINK("NE\A-490\A-490__323.png", "Ver Imagen")</f>
        <v/>
      </c>
    </row>
    <row r="5255">
      <c r="A5255" t="n">
        <v>4904</v>
      </c>
      <c r="B5255" t="inlineStr">
        <is>
          <t>A-490__323</t>
        </is>
      </c>
      <c r="C5255" t="n">
        <v>37.4742876635</v>
      </c>
      <c r="D5255" t="n">
        <v>-7.19710335867</v>
      </c>
      <c r="E5255" t="n">
        <v>1</v>
      </c>
      <c r="F5255" t="n">
        <v>3</v>
      </c>
      <c r="H5255" t="n">
        <v>2</v>
      </c>
      <c r="I5255" t="n">
        <v>2</v>
      </c>
      <c r="J5255" t="inlineStr">
        <is>
          <t>Mediana</t>
        </is>
      </c>
      <c r="K5255" t="n">
        <v>2</v>
      </c>
      <c r="L5255" t="n">
        <v>2.028</v>
      </c>
      <c r="M5255" t="n">
        <v>0</v>
      </c>
      <c r="N5255" t="inlineStr">
        <is>
          <t>train</t>
        </is>
      </c>
      <c r="O5255">
        <f>HYPERLINK("Solo2\marker_357_751127.png", "Ver Imagen")</f>
        <v/>
      </c>
      <c r="P5255">
        <f>HYPERLINK("NO\A-490\A-490__323.png", "Ver Imagen")</f>
        <v/>
      </c>
    </row>
    <row r="5256">
      <c r="A5256" t="n">
        <v>4905</v>
      </c>
      <c r="B5256" t="inlineStr">
        <is>
          <t>A-490__324</t>
        </is>
      </c>
      <c r="C5256" t="n">
        <v>37.4743751305</v>
      </c>
      <c r="D5256" t="n">
        <v>-7.19730549131</v>
      </c>
      <c r="E5256" t="n">
        <v>1</v>
      </c>
      <c r="F5256" t="n">
        <v>2</v>
      </c>
      <c r="H5256" t="n">
        <v>2</v>
      </c>
      <c r="I5256" t="n">
        <v>2</v>
      </c>
      <c r="J5256" t="inlineStr">
        <is>
          <t>Mediana</t>
        </is>
      </c>
      <c r="K5256" t="n">
        <v>2</v>
      </c>
      <c r="L5256" t="n">
        <v>2.037</v>
      </c>
      <c r="M5256" t="n">
        <v>0</v>
      </c>
      <c r="N5256" t="inlineStr">
        <is>
          <t>test</t>
        </is>
      </c>
      <c r="O5256">
        <f>HYPERLINK("Solo2\marker_591_751148.png", "Ver Imagen")</f>
        <v/>
      </c>
      <c r="P5256">
        <f>HYPERLINK("NE\A-490\A-490__324.png", "Ver Imagen")</f>
        <v/>
      </c>
    </row>
    <row r="5257">
      <c r="A5257" t="n">
        <v>4905</v>
      </c>
      <c r="B5257" t="inlineStr">
        <is>
          <t>A-490__324</t>
        </is>
      </c>
      <c r="C5257" t="n">
        <v>37.4743751305</v>
      </c>
      <c r="D5257" t="n">
        <v>-7.19730549131</v>
      </c>
      <c r="E5257" t="n">
        <v>1</v>
      </c>
      <c r="F5257" t="n">
        <v>2</v>
      </c>
      <c r="H5257" t="n">
        <v>2</v>
      </c>
      <c r="I5257" t="n">
        <v>2</v>
      </c>
      <c r="J5257" t="inlineStr">
        <is>
          <t>Mediana</t>
        </is>
      </c>
      <c r="K5257" t="n">
        <v>2</v>
      </c>
      <c r="L5257" t="n">
        <v>2.159</v>
      </c>
      <c r="M5257" t="n">
        <v>0</v>
      </c>
      <c r="N5257" t="inlineStr">
        <is>
          <t>test</t>
        </is>
      </c>
      <c r="O5257">
        <f>HYPERLINK("Solo2\marker_591_751148.png", "Ver Imagen")</f>
        <v/>
      </c>
      <c r="P5257">
        <f>HYPERLINK("NO\A-490\A-490__324.png", "Ver Imagen")</f>
        <v/>
      </c>
    </row>
    <row r="5258">
      <c r="A5258" t="n">
        <v>4906</v>
      </c>
      <c r="B5258" t="inlineStr">
        <is>
          <t>A-490__325</t>
        </is>
      </c>
      <c r="C5258" t="n">
        <v>37.4744745531</v>
      </c>
      <c r="D5258" t="n">
        <v>-7.19754058254</v>
      </c>
      <c r="E5258" t="n">
        <v>1</v>
      </c>
      <c r="F5258" t="n">
        <v>3</v>
      </c>
      <c r="H5258" t="n">
        <v>2</v>
      </c>
      <c r="I5258" t="n">
        <v>2</v>
      </c>
      <c r="J5258" t="inlineStr">
        <is>
          <t>Mediana</t>
        </is>
      </c>
      <c r="K5258" t="n">
        <v>2</v>
      </c>
      <c r="L5258" t="n">
        <v>1.927</v>
      </c>
      <c r="M5258" t="n">
        <v>0</v>
      </c>
      <c r="N5258" t="inlineStr">
        <is>
          <t>train</t>
        </is>
      </c>
      <c r="O5258">
        <f>HYPERLINK("Solo2\marker_642_751168.png", "Ver Imagen")</f>
        <v/>
      </c>
      <c r="P5258">
        <f>HYPERLINK("NE\A-490\A-490__325.png", "Ver Imagen")</f>
        <v/>
      </c>
    </row>
    <row r="5259">
      <c r="A5259" t="n">
        <v>4906</v>
      </c>
      <c r="B5259" t="inlineStr">
        <is>
          <t>A-490__325</t>
        </is>
      </c>
      <c r="C5259" t="n">
        <v>37.4744745531</v>
      </c>
      <c r="D5259" t="n">
        <v>-7.19754058254</v>
      </c>
      <c r="E5259" t="n">
        <v>1</v>
      </c>
      <c r="F5259" t="n">
        <v>3</v>
      </c>
      <c r="H5259" t="n">
        <v>2</v>
      </c>
      <c r="I5259" t="n">
        <v>2</v>
      </c>
      <c r="J5259" t="inlineStr">
        <is>
          <t>Mediana</t>
        </is>
      </c>
      <c r="K5259" t="n">
        <v>2</v>
      </c>
      <c r="L5259" t="n">
        <v>2.16</v>
      </c>
      <c r="M5259" t="n">
        <v>0</v>
      </c>
      <c r="N5259" t="inlineStr">
        <is>
          <t>train</t>
        </is>
      </c>
      <c r="O5259">
        <f>HYPERLINK("Solo2\marker_642_751168.png", "Ver Imagen")</f>
        <v/>
      </c>
      <c r="P5259">
        <f>HYPERLINK("NO\A-490\A-490__325.png", "Ver Imagen")</f>
        <v/>
      </c>
    </row>
    <row r="5260">
      <c r="A5260" t="n">
        <v>4907</v>
      </c>
      <c r="B5260" t="inlineStr">
        <is>
          <t>A-490__326</t>
        </is>
      </c>
      <c r="C5260" t="n">
        <v>37.4745906223</v>
      </c>
      <c r="D5260" t="n">
        <v>-7.19781346578</v>
      </c>
      <c r="E5260" t="n">
        <v>1</v>
      </c>
      <c r="F5260" t="n">
        <v>2</v>
      </c>
      <c r="H5260" t="n">
        <v>2</v>
      </c>
      <c r="I5260" t="n">
        <v>2</v>
      </c>
      <c r="J5260" t="inlineStr">
        <is>
          <t>Mediana</t>
        </is>
      </c>
      <c r="K5260" t="n">
        <v>2</v>
      </c>
      <c r="L5260" t="n">
        <v>2.158</v>
      </c>
      <c r="M5260" t="n">
        <v>0</v>
      </c>
      <c r="N5260" t="inlineStr">
        <is>
          <t>train</t>
        </is>
      </c>
      <c r="O5260">
        <f>HYPERLINK("Solo2\marker_845_751185.png", "Ver Imagen")</f>
        <v/>
      </c>
      <c r="P5260">
        <f>HYPERLINK("NE\A-490\A-490__326.png", "Ver Imagen")</f>
        <v/>
      </c>
    </row>
    <row r="5261">
      <c r="A5261" t="n">
        <v>4907</v>
      </c>
      <c r="B5261" t="inlineStr">
        <is>
          <t>A-490__326</t>
        </is>
      </c>
      <c r="C5261" t="n">
        <v>37.4745906223</v>
      </c>
      <c r="D5261" t="n">
        <v>-7.19781346578</v>
      </c>
      <c r="E5261" t="n">
        <v>1</v>
      </c>
      <c r="F5261" t="n">
        <v>2</v>
      </c>
      <c r="H5261" t="n">
        <v>2</v>
      </c>
      <c r="I5261" t="n">
        <v>2</v>
      </c>
      <c r="J5261" t="inlineStr">
        <is>
          <t>Mediana</t>
        </is>
      </c>
      <c r="K5261" t="n">
        <v>2</v>
      </c>
      <c r="L5261" t="n">
        <v>2.159</v>
      </c>
      <c r="M5261" t="n">
        <v>0</v>
      </c>
      <c r="N5261" t="inlineStr">
        <is>
          <t>train</t>
        </is>
      </c>
      <c r="O5261">
        <f>HYPERLINK("Solo2\marker_845_751185.png", "Ver Imagen")</f>
        <v/>
      </c>
      <c r="P5261">
        <f>HYPERLINK("NO\A-490\A-490__326.png", "Ver Imagen")</f>
        <v/>
      </c>
    </row>
    <row r="5262">
      <c r="A5262" t="n">
        <v>4908</v>
      </c>
      <c r="B5262" t="inlineStr">
        <is>
          <t>A-490__327</t>
        </is>
      </c>
      <c r="C5262" t="n">
        <v>37.4746813008</v>
      </c>
      <c r="D5262" t="n">
        <v>-7.1980251067</v>
      </c>
      <c r="E5262" t="n">
        <v>1</v>
      </c>
      <c r="F5262" t="n">
        <v>2</v>
      </c>
      <c r="H5262" t="n">
        <v>2</v>
      </c>
      <c r="I5262" t="n">
        <v>2</v>
      </c>
      <c r="J5262" t="inlineStr">
        <is>
          <t>Mediana</t>
        </is>
      </c>
      <c r="K5262" t="n">
        <v>2</v>
      </c>
      <c r="L5262" t="n">
        <v>2.089</v>
      </c>
      <c r="M5262" t="n">
        <v>0</v>
      </c>
      <c r="N5262" t="inlineStr">
        <is>
          <t>train</t>
        </is>
      </c>
      <c r="O5262">
        <f>HYPERLINK("Solo2\marker_733_751201.png", "Ver Imagen")</f>
        <v/>
      </c>
      <c r="P5262">
        <f>HYPERLINK("NE\A-490\A-490__327.png", "Ver Imagen")</f>
        <v/>
      </c>
    </row>
    <row r="5263">
      <c r="A5263" t="n">
        <v>4908</v>
      </c>
      <c r="B5263" t="inlineStr">
        <is>
          <t>A-490__327</t>
        </is>
      </c>
      <c r="C5263" t="n">
        <v>37.4746813008</v>
      </c>
      <c r="D5263" t="n">
        <v>-7.1980251067</v>
      </c>
      <c r="E5263" t="n">
        <v>1</v>
      </c>
      <c r="F5263" t="n">
        <v>2</v>
      </c>
      <c r="H5263" t="n">
        <v>2</v>
      </c>
      <c r="I5263" t="n">
        <v>2</v>
      </c>
      <c r="J5263" t="inlineStr">
        <is>
          <t>Mediana</t>
        </is>
      </c>
      <c r="K5263" t="n">
        <v>2</v>
      </c>
      <c r="L5263" t="n">
        <v>2.368</v>
      </c>
      <c r="M5263" t="n">
        <v>0</v>
      </c>
      <c r="N5263" t="inlineStr">
        <is>
          <t>train</t>
        </is>
      </c>
      <c r="O5263">
        <f>HYPERLINK("Solo2\marker_733_751201.png", "Ver Imagen")</f>
        <v/>
      </c>
      <c r="P5263">
        <f>HYPERLINK("NO\A-490\A-490__327.png", "Ver Imagen")</f>
        <v/>
      </c>
    </row>
    <row r="5264">
      <c r="A5264" t="n">
        <v>4909</v>
      </c>
      <c r="B5264" t="inlineStr">
        <is>
          <t>A-490__328</t>
        </is>
      </c>
      <c r="C5264" t="n">
        <v>37.4747571261</v>
      </c>
      <c r="D5264" t="n">
        <v>-7.19820024368</v>
      </c>
      <c r="E5264" t="n">
        <v>1</v>
      </c>
      <c r="F5264" t="n">
        <v>3</v>
      </c>
      <c r="H5264" t="n">
        <v>2</v>
      </c>
      <c r="I5264" t="n">
        <v>2</v>
      </c>
      <c r="J5264" t="inlineStr">
        <is>
          <t>Mediana</t>
        </is>
      </c>
      <c r="K5264" t="n">
        <v>2</v>
      </c>
      <c r="L5264" t="n">
        <v>2.06</v>
      </c>
      <c r="M5264" t="n">
        <v>0</v>
      </c>
      <c r="N5264" t="inlineStr">
        <is>
          <t>train</t>
        </is>
      </c>
      <c r="O5264">
        <f>HYPERLINK("Solo2\marker_587_751219.png", "Ver Imagen")</f>
        <v/>
      </c>
      <c r="P5264">
        <f>HYPERLINK("NE\A-490\A-490__328.png", "Ver Imagen")</f>
        <v/>
      </c>
    </row>
    <row r="5265">
      <c r="A5265" t="n">
        <v>4909</v>
      </c>
      <c r="B5265" t="inlineStr">
        <is>
          <t>A-490__328</t>
        </is>
      </c>
      <c r="C5265" t="n">
        <v>37.4747571261</v>
      </c>
      <c r="D5265" t="n">
        <v>-7.19820024368</v>
      </c>
      <c r="E5265" t="n">
        <v>1</v>
      </c>
      <c r="F5265" t="n">
        <v>3</v>
      </c>
      <c r="H5265" t="n">
        <v>2</v>
      </c>
      <c r="I5265" t="n">
        <v>2</v>
      </c>
      <c r="J5265" t="inlineStr">
        <is>
          <t>Mediana</t>
        </is>
      </c>
      <c r="K5265" t="n">
        <v>2</v>
      </c>
      <c r="L5265" t="n">
        <v>2.056</v>
      </c>
      <c r="M5265" t="n">
        <v>0</v>
      </c>
      <c r="N5265" t="inlineStr">
        <is>
          <t>train</t>
        </is>
      </c>
      <c r="O5265">
        <f>HYPERLINK("Solo2\marker_587_751219.png", "Ver Imagen")</f>
        <v/>
      </c>
      <c r="P5265">
        <f>HYPERLINK("NO\A-490\A-490__328.png", "Ver Imagen")</f>
        <v/>
      </c>
    </row>
    <row r="5266">
      <c r="A5266" t="n">
        <v>4910</v>
      </c>
      <c r="B5266" t="inlineStr">
        <is>
          <t>A-490__329</t>
        </is>
      </c>
      <c r="C5266" t="n">
        <v>37.4748492513</v>
      </c>
      <c r="D5266" t="n">
        <v>-7.19840925378</v>
      </c>
      <c r="E5266" t="n">
        <v>1</v>
      </c>
      <c r="F5266" t="n">
        <v>3</v>
      </c>
      <c r="H5266" t="n">
        <v>2</v>
      </c>
      <c r="I5266" t="n">
        <v>3</v>
      </c>
      <c r="J5266" t="inlineStr">
        <is>
          <t>Mediana</t>
        </is>
      </c>
      <c r="K5266" t="n">
        <v>2.5</v>
      </c>
      <c r="L5266" t="n">
        <v>2.253</v>
      </c>
      <c r="M5266" t="n">
        <v>0</v>
      </c>
      <c r="N5266" t="inlineStr">
        <is>
          <t>train</t>
        </is>
      </c>
      <c r="O5266">
        <f>HYPERLINK("Solo2\marker_430_751240.png", "Ver Imagen")</f>
        <v/>
      </c>
      <c r="P5266">
        <f>HYPERLINK("NE\A-490\A-490__329.png", "Ver Imagen")</f>
        <v/>
      </c>
    </row>
    <row r="5267">
      <c r="A5267" t="n">
        <v>4910</v>
      </c>
      <c r="B5267" t="inlineStr">
        <is>
          <t>A-490__329</t>
        </is>
      </c>
      <c r="C5267" t="n">
        <v>37.4748492513</v>
      </c>
      <c r="D5267" t="n">
        <v>-7.19840925378</v>
      </c>
      <c r="E5267" t="n">
        <v>1</v>
      </c>
      <c r="F5267" t="n">
        <v>3</v>
      </c>
      <c r="H5267" t="n">
        <v>2</v>
      </c>
      <c r="I5267" t="n">
        <v>3</v>
      </c>
      <c r="J5267" t="inlineStr">
        <is>
          <t>Mediana</t>
        </is>
      </c>
      <c r="K5267" t="n">
        <v>2.5</v>
      </c>
      <c r="L5267" t="n">
        <v>1.599</v>
      </c>
      <c r="M5267" t="n">
        <v>0</v>
      </c>
      <c r="N5267" t="inlineStr">
        <is>
          <t>train</t>
        </is>
      </c>
      <c r="O5267">
        <f>HYPERLINK("Solo2\marker_430_751240.png", "Ver Imagen")</f>
        <v/>
      </c>
      <c r="P5267">
        <f>HYPERLINK("NO\A-490\A-490__329.png", "Ver Imagen")</f>
        <v/>
      </c>
    </row>
    <row r="5268">
      <c r="A5268" t="n">
        <v>4911</v>
      </c>
      <c r="B5268" t="inlineStr">
        <is>
          <t>A-490__330</t>
        </is>
      </c>
      <c r="C5268" t="n">
        <v>37.4749638972</v>
      </c>
      <c r="D5268" t="n">
        <v>-7.19866788995</v>
      </c>
      <c r="E5268" t="n">
        <v>1</v>
      </c>
      <c r="F5268" t="n">
        <v>2</v>
      </c>
      <c r="H5268" t="n">
        <v>2</v>
      </c>
      <c r="I5268" t="n">
        <v>2</v>
      </c>
      <c r="J5268" t="inlineStr">
        <is>
          <t>Mediana</t>
        </is>
      </c>
      <c r="K5268" t="n">
        <v>2</v>
      </c>
      <c r="L5268" t="n">
        <v>2.098</v>
      </c>
      <c r="M5268" t="n">
        <v>0</v>
      </c>
      <c r="N5268" t="inlineStr">
        <is>
          <t>train</t>
        </is>
      </c>
      <c r="O5268">
        <f>HYPERLINK("Solo2\marker_714_751254.png", "Ver Imagen")</f>
        <v/>
      </c>
      <c r="P5268">
        <f>HYPERLINK("NE\A-490\A-490__330.png", "Ver Imagen")</f>
        <v/>
      </c>
    </row>
    <row r="5269">
      <c r="A5269" t="n">
        <v>4911</v>
      </c>
      <c r="B5269" t="inlineStr">
        <is>
          <t>A-490__330</t>
        </is>
      </c>
      <c r="C5269" t="n">
        <v>37.4749638972</v>
      </c>
      <c r="D5269" t="n">
        <v>-7.19866788995</v>
      </c>
      <c r="E5269" t="n">
        <v>1</v>
      </c>
      <c r="F5269" t="n">
        <v>2</v>
      </c>
      <c r="H5269" t="n">
        <v>2</v>
      </c>
      <c r="I5269" t="n">
        <v>2</v>
      </c>
      <c r="J5269" t="inlineStr">
        <is>
          <t>Mediana</t>
        </is>
      </c>
      <c r="K5269" t="n">
        <v>2</v>
      </c>
      <c r="L5269" t="n">
        <v>2.025</v>
      </c>
      <c r="M5269" t="n">
        <v>0</v>
      </c>
      <c r="N5269" t="inlineStr">
        <is>
          <t>train</t>
        </is>
      </c>
      <c r="O5269">
        <f>HYPERLINK("Solo2\marker_714_751254.png", "Ver Imagen")</f>
        <v/>
      </c>
      <c r="P5269">
        <f>HYPERLINK("NO\A-490\A-490__330.png", "Ver Imagen")</f>
        <v/>
      </c>
    </row>
    <row r="5270">
      <c r="A5270" t="n">
        <v>4912</v>
      </c>
      <c r="B5270" t="inlineStr">
        <is>
          <t>A-490__331</t>
        </is>
      </c>
      <c r="C5270" t="n">
        <v>37.4750675435</v>
      </c>
      <c r="D5270" t="n">
        <v>-7.19890476943</v>
      </c>
      <c r="E5270" t="n">
        <v>1</v>
      </c>
      <c r="F5270" t="n">
        <v>2</v>
      </c>
      <c r="H5270" t="n">
        <v>2</v>
      </c>
      <c r="I5270" t="n">
        <v>2</v>
      </c>
      <c r="J5270" t="inlineStr">
        <is>
          <t>Mediana</t>
        </is>
      </c>
      <c r="K5270" t="n">
        <v>2</v>
      </c>
      <c r="L5270" t="n">
        <v>1.819</v>
      </c>
      <c r="M5270" t="n">
        <v>0</v>
      </c>
      <c r="N5270" t="inlineStr">
        <is>
          <t>train</t>
        </is>
      </c>
      <c r="O5270">
        <f>HYPERLINK("Solo2\marker_541_751279.png", "Ver Imagen")</f>
        <v/>
      </c>
      <c r="P5270">
        <f>HYPERLINK("NE\A-490\A-490__331.png", "Ver Imagen")</f>
        <v/>
      </c>
    </row>
    <row r="5271">
      <c r="A5271" t="n">
        <v>4912</v>
      </c>
      <c r="B5271" t="inlineStr">
        <is>
          <t>A-490__331</t>
        </is>
      </c>
      <c r="C5271" t="n">
        <v>37.4750675435</v>
      </c>
      <c r="D5271" t="n">
        <v>-7.19890476943</v>
      </c>
      <c r="E5271" t="n">
        <v>1</v>
      </c>
      <c r="F5271" t="n">
        <v>2</v>
      </c>
      <c r="H5271" t="n">
        <v>2</v>
      </c>
      <c r="I5271" t="n">
        <v>2</v>
      </c>
      <c r="J5271" t="inlineStr">
        <is>
          <t>Mediana</t>
        </is>
      </c>
      <c r="K5271" t="n">
        <v>2</v>
      </c>
      <c r="L5271" t="n">
        <v>2.129</v>
      </c>
      <c r="M5271" t="n">
        <v>0</v>
      </c>
      <c r="N5271" t="inlineStr">
        <is>
          <t>train</t>
        </is>
      </c>
      <c r="O5271">
        <f>HYPERLINK("Solo2\marker_541_751279.png", "Ver Imagen")</f>
        <v/>
      </c>
      <c r="P5271">
        <f>HYPERLINK("NO\A-490\A-490__331.png", "Ver Imagen")</f>
        <v/>
      </c>
    </row>
    <row r="5272">
      <c r="A5272" t="n">
        <v>4913</v>
      </c>
      <c r="B5272" t="inlineStr">
        <is>
          <t>A-490__332</t>
        </is>
      </c>
      <c r="C5272" t="n">
        <v>37.4751279424</v>
      </c>
      <c r="D5272" t="n">
        <v>-7.19904321954</v>
      </c>
      <c r="E5272" t="n">
        <v>2</v>
      </c>
      <c r="F5272" t="n">
        <v>3</v>
      </c>
      <c r="H5272" t="n">
        <v>3</v>
      </c>
      <c r="I5272" t="n">
        <v>3</v>
      </c>
      <c r="J5272" t="inlineStr">
        <is>
          <t>Mediana</t>
        </is>
      </c>
      <c r="K5272" t="n">
        <v>3</v>
      </c>
      <c r="L5272" t="n">
        <v>2.576</v>
      </c>
      <c r="M5272" t="n">
        <v>0</v>
      </c>
      <c r="N5272" t="inlineStr">
        <is>
          <t>test</t>
        </is>
      </c>
      <c r="O5272">
        <f>HYPERLINK("Solo2\marker_287_751295.png", "Ver Imagen")</f>
        <v/>
      </c>
      <c r="P5272">
        <f>HYPERLINK("NE\A-490\A-490__332.png", "Ver Imagen")</f>
        <v/>
      </c>
    </row>
    <row r="5273">
      <c r="A5273" t="n">
        <v>4914</v>
      </c>
      <c r="B5273" t="inlineStr">
        <is>
          <t>A-490__333</t>
        </is>
      </c>
      <c r="C5273" t="n">
        <v>37.4752450383</v>
      </c>
      <c r="D5273" t="n">
        <v>-7.19930973459</v>
      </c>
      <c r="E5273" t="n">
        <v>2</v>
      </c>
      <c r="F5273" t="n">
        <v>3</v>
      </c>
      <c r="H5273" t="n">
        <v>2</v>
      </c>
      <c r="I5273" t="n">
        <v>2</v>
      </c>
      <c r="J5273" t="inlineStr">
        <is>
          <t>Mediana</t>
        </is>
      </c>
      <c r="K5273" t="n">
        <v>2</v>
      </c>
      <c r="L5273" t="n">
        <v>2.115</v>
      </c>
      <c r="M5273" t="n">
        <v>0</v>
      </c>
      <c r="N5273" t="inlineStr">
        <is>
          <t>val</t>
        </is>
      </c>
      <c r="O5273">
        <f>HYPERLINK("Solo2\marker_417_751317.png", "Ver Imagen")</f>
        <v/>
      </c>
      <c r="P5273">
        <f>HYPERLINK("NE\A-490\A-490__333.png", "Ver Imagen")</f>
        <v/>
      </c>
    </row>
    <row r="5274">
      <c r="A5274" t="n">
        <v>4915</v>
      </c>
      <c r="B5274" t="inlineStr">
        <is>
          <t>A-490__334</t>
        </is>
      </c>
      <c r="C5274" t="n">
        <v>37.4753410514</v>
      </c>
      <c r="D5274" t="n">
        <v>-7.19952737247</v>
      </c>
      <c r="E5274" t="n">
        <v>1</v>
      </c>
      <c r="F5274" t="n">
        <v>1</v>
      </c>
      <c r="H5274" t="n">
        <v>2</v>
      </c>
      <c r="I5274" t="n">
        <v>2</v>
      </c>
      <c r="J5274" t="inlineStr">
        <is>
          <t>Mediana</t>
        </is>
      </c>
      <c r="K5274" t="n">
        <v>1.5</v>
      </c>
      <c r="L5274" t="n">
        <v>1.728</v>
      </c>
      <c r="M5274" t="n">
        <v>0</v>
      </c>
      <c r="N5274" t="inlineStr">
        <is>
          <t>train</t>
        </is>
      </c>
      <c r="O5274">
        <f>HYPERLINK("Solo2\marker_850_751343.png", "Ver Imagen")</f>
        <v/>
      </c>
      <c r="P5274">
        <f>HYPERLINK("NE\A-490\A-490__334.png", "Ver Imagen")</f>
        <v/>
      </c>
    </row>
    <row r="5275">
      <c r="A5275" t="n">
        <v>4915</v>
      </c>
      <c r="B5275" t="inlineStr">
        <is>
          <t>A-490__334</t>
        </is>
      </c>
      <c r="C5275" t="n">
        <v>37.4753410514</v>
      </c>
      <c r="D5275" t="n">
        <v>-7.19952737247</v>
      </c>
      <c r="E5275" t="n">
        <v>1</v>
      </c>
      <c r="F5275" t="n">
        <v>1</v>
      </c>
      <c r="H5275" t="n">
        <v>2</v>
      </c>
      <c r="I5275" t="n">
        <v>2</v>
      </c>
      <c r="J5275" t="inlineStr">
        <is>
          <t>Mediana</t>
        </is>
      </c>
      <c r="K5275" t="n">
        <v>1.5</v>
      </c>
      <c r="L5275" t="n">
        <v>2.245</v>
      </c>
      <c r="M5275" t="n">
        <v>0</v>
      </c>
      <c r="N5275" t="inlineStr">
        <is>
          <t>train</t>
        </is>
      </c>
      <c r="O5275">
        <f>HYPERLINK("Solo2\marker_850_751343.png", "Ver Imagen")</f>
        <v/>
      </c>
      <c r="P5275">
        <f>HYPERLINK("NO\A-490\A-490__334.png", "Ver Imagen")</f>
        <v/>
      </c>
    </row>
    <row r="5276">
      <c r="A5276" t="n">
        <v>4916</v>
      </c>
      <c r="B5276" t="inlineStr">
        <is>
          <t>A-490__335</t>
        </is>
      </c>
      <c r="C5276" t="n">
        <v>37.475465799</v>
      </c>
      <c r="D5276" t="n">
        <v>-7.19981320207</v>
      </c>
      <c r="E5276" t="n">
        <v>1</v>
      </c>
      <c r="F5276" t="n">
        <v>4</v>
      </c>
      <c r="H5276" t="n">
        <v>3</v>
      </c>
      <c r="I5276" t="n">
        <v>2</v>
      </c>
      <c r="J5276" t="inlineStr">
        <is>
          <t>Mediana</t>
        </is>
      </c>
      <c r="K5276" t="n">
        <v>2.5</v>
      </c>
      <c r="L5276" t="n">
        <v>1.64</v>
      </c>
      <c r="M5276" t="n">
        <v>0</v>
      </c>
      <c r="N5276" t="inlineStr">
        <is>
          <t>val</t>
        </is>
      </c>
      <c r="O5276">
        <f>HYPERLINK("Solo2\marker_303_751366.png", "Ver Imagen")</f>
        <v/>
      </c>
      <c r="P5276">
        <f>HYPERLINK("NE\A-490\A-490__335.png", "Ver Imagen")</f>
        <v/>
      </c>
    </row>
    <row r="5277">
      <c r="A5277" t="n">
        <v>4916</v>
      </c>
      <c r="B5277" t="inlineStr">
        <is>
          <t>A-490__335</t>
        </is>
      </c>
      <c r="C5277" t="n">
        <v>37.475465799</v>
      </c>
      <c r="D5277" t="n">
        <v>-7.19981320207</v>
      </c>
      <c r="E5277" t="n">
        <v>1</v>
      </c>
      <c r="F5277" t="n">
        <v>4</v>
      </c>
      <c r="H5277" t="n">
        <v>3</v>
      </c>
      <c r="I5277" t="n">
        <v>2</v>
      </c>
      <c r="J5277" t="inlineStr">
        <is>
          <t>Mediana</t>
        </is>
      </c>
      <c r="K5277" t="n">
        <v>2.5</v>
      </c>
      <c r="L5277" t="n">
        <v>2.091</v>
      </c>
      <c r="M5277" t="n">
        <v>0</v>
      </c>
      <c r="N5277" t="inlineStr">
        <is>
          <t>val</t>
        </is>
      </c>
      <c r="O5277">
        <f>HYPERLINK("Solo2\marker_303_751366.png", "Ver Imagen")</f>
        <v/>
      </c>
      <c r="P5277">
        <f>HYPERLINK("NO\A-490\A-490__335.png", "Ver Imagen")</f>
        <v/>
      </c>
    </row>
    <row r="5278">
      <c r="A5278" t="n">
        <v>4917</v>
      </c>
      <c r="B5278" t="inlineStr">
        <is>
          <t>A-490__337</t>
        </is>
      </c>
      <c r="C5278" t="n">
        <v>37.4756333365</v>
      </c>
      <c r="D5278" t="n">
        <v>-7.20020621671</v>
      </c>
      <c r="E5278" t="n">
        <v>2</v>
      </c>
      <c r="F5278" t="n">
        <v>4</v>
      </c>
      <c r="H5278" t="n">
        <v>3</v>
      </c>
      <c r="I5278" t="n">
        <v>3</v>
      </c>
      <c r="J5278" t="inlineStr">
        <is>
          <t>Mediana</t>
        </is>
      </c>
      <c r="K5278" t="n">
        <v>3</v>
      </c>
      <c r="L5278" t="n">
        <v>3.208</v>
      </c>
      <c r="M5278" t="n">
        <v>0</v>
      </c>
      <c r="N5278" t="inlineStr">
        <is>
          <t>test</t>
        </is>
      </c>
      <c r="O5278">
        <f>HYPERLINK("Solo2\marker_399_751429.png", "Ver Imagen")</f>
        <v/>
      </c>
      <c r="P5278">
        <f>HYPERLINK("NO\A-490\A-490__337.png", "Ver Imagen")</f>
        <v/>
      </c>
    </row>
    <row r="5279">
      <c r="A5279" t="n">
        <v>4918</v>
      </c>
      <c r="B5279" t="inlineStr">
        <is>
          <t>A-490__338</t>
        </is>
      </c>
      <c r="C5279" t="n">
        <v>37.4757317658</v>
      </c>
      <c r="D5279" t="n">
        <v>-7.20043698585</v>
      </c>
      <c r="E5279" t="n">
        <v>2</v>
      </c>
      <c r="F5279" t="n">
        <v>3</v>
      </c>
      <c r="H5279" t="n">
        <v>3</v>
      </c>
      <c r="I5279" t="n">
        <v>3</v>
      </c>
      <c r="J5279" t="inlineStr">
        <is>
          <t>Mediana</t>
        </is>
      </c>
      <c r="K5279" t="n">
        <v>3</v>
      </c>
      <c r="L5279" t="n">
        <v>2.608</v>
      </c>
      <c r="M5279" t="n">
        <v>0</v>
      </c>
      <c r="N5279" t="inlineStr">
        <is>
          <t>test</t>
        </is>
      </c>
      <c r="O5279">
        <f>HYPERLINK("Solo2\marker_629_751453.png", "Ver Imagen")</f>
        <v/>
      </c>
      <c r="P5279">
        <f>HYPERLINK("NE\A-490\A-490__338.png", "Ver Imagen")</f>
        <v/>
      </c>
    </row>
    <row r="5280">
      <c r="A5280" t="n">
        <v>4919</v>
      </c>
      <c r="B5280" t="inlineStr">
        <is>
          <t>A-490__339</t>
        </is>
      </c>
      <c r="C5280" t="n">
        <v>37.4758313486</v>
      </c>
      <c r="D5280" t="n">
        <v>-7.2006695098</v>
      </c>
      <c r="E5280" t="n">
        <v>1</v>
      </c>
      <c r="F5280" t="n">
        <v>2</v>
      </c>
      <c r="H5280" t="n">
        <v>2</v>
      </c>
      <c r="I5280" t="n">
        <v>1</v>
      </c>
      <c r="J5280" t="inlineStr">
        <is>
          <t>Mediana</t>
        </is>
      </c>
      <c r="K5280" t="n">
        <v>1.5</v>
      </c>
      <c r="L5280" t="n">
        <v>1.706</v>
      </c>
      <c r="M5280" t="n">
        <v>0</v>
      </c>
      <c r="N5280" t="inlineStr">
        <is>
          <t>val</t>
        </is>
      </c>
      <c r="O5280">
        <f>HYPERLINK("Solo2\marker_224_751479.png", "Ver Imagen")</f>
        <v/>
      </c>
      <c r="P5280">
        <f>HYPERLINK("NE\A-490\A-490__339.png", "Ver Imagen")</f>
        <v/>
      </c>
    </row>
    <row r="5281">
      <c r="A5281" t="n">
        <v>4919</v>
      </c>
      <c r="B5281" t="inlineStr">
        <is>
          <t>A-490__339</t>
        </is>
      </c>
      <c r="C5281" t="n">
        <v>37.4758313486</v>
      </c>
      <c r="D5281" t="n">
        <v>-7.2006695098</v>
      </c>
      <c r="E5281" t="n">
        <v>1</v>
      </c>
      <c r="F5281" t="n">
        <v>2</v>
      </c>
      <c r="H5281" t="n">
        <v>2</v>
      </c>
      <c r="I5281" t="n">
        <v>1</v>
      </c>
      <c r="J5281" t="inlineStr">
        <is>
          <t>Mediana</t>
        </is>
      </c>
      <c r="K5281" t="n">
        <v>1.5</v>
      </c>
      <c r="L5281" t="n">
        <v>2.169</v>
      </c>
      <c r="M5281" t="n">
        <v>0</v>
      </c>
      <c r="N5281" t="inlineStr">
        <is>
          <t>val</t>
        </is>
      </c>
      <c r="O5281">
        <f>HYPERLINK("Solo2\marker_224_751479.png", "Ver Imagen")</f>
        <v/>
      </c>
      <c r="P5281">
        <f>HYPERLINK("NO\A-490\A-490__339.png", "Ver Imagen")</f>
        <v/>
      </c>
    </row>
    <row r="5282">
      <c r="A5282" t="n">
        <v>4920</v>
      </c>
      <c r="B5282" t="inlineStr">
        <is>
          <t>A-490__340</t>
        </is>
      </c>
      <c r="C5282" t="n">
        <v>37.475920134</v>
      </c>
      <c r="D5282" t="n">
        <v>-7.20087648716</v>
      </c>
      <c r="E5282" t="n">
        <v>1</v>
      </c>
      <c r="F5282" t="n">
        <v>2</v>
      </c>
      <c r="H5282" t="n">
        <v>2</v>
      </c>
      <c r="I5282" t="n">
        <v>1</v>
      </c>
      <c r="J5282" t="inlineStr">
        <is>
          <t>Mediana</t>
        </is>
      </c>
      <c r="K5282" t="n">
        <v>1.5</v>
      </c>
      <c r="L5282" t="n">
        <v>2.037</v>
      </c>
      <c r="M5282" t="n">
        <v>0</v>
      </c>
      <c r="N5282" t="inlineStr">
        <is>
          <t>train</t>
        </is>
      </c>
      <c r="O5282">
        <f>HYPERLINK("Solo2\marker_952_751503.png", "Ver Imagen")</f>
        <v/>
      </c>
      <c r="P5282">
        <f>HYPERLINK("NE\A-490\A-490__340.png", "Ver Imagen")</f>
        <v/>
      </c>
    </row>
    <row r="5283">
      <c r="A5283" t="n">
        <v>4920</v>
      </c>
      <c r="B5283" t="inlineStr">
        <is>
          <t>A-490__340</t>
        </is>
      </c>
      <c r="C5283" t="n">
        <v>37.475920134</v>
      </c>
      <c r="D5283" t="n">
        <v>-7.20087648716</v>
      </c>
      <c r="E5283" t="n">
        <v>1</v>
      </c>
      <c r="F5283" t="n">
        <v>2</v>
      </c>
      <c r="H5283" t="n">
        <v>2</v>
      </c>
      <c r="I5283" t="n">
        <v>1</v>
      </c>
      <c r="J5283" t="inlineStr">
        <is>
          <t>Mediana</t>
        </is>
      </c>
      <c r="K5283" t="n">
        <v>1.5</v>
      </c>
      <c r="L5283" t="n">
        <v>2.135</v>
      </c>
      <c r="M5283" t="n">
        <v>0</v>
      </c>
      <c r="N5283" t="inlineStr">
        <is>
          <t>train</t>
        </is>
      </c>
      <c r="O5283">
        <f>HYPERLINK("Solo2\marker_952_751503.png", "Ver Imagen")</f>
        <v/>
      </c>
      <c r="P5283">
        <f>HYPERLINK("NO\A-490\A-490__340.png", "Ver Imagen")</f>
        <v/>
      </c>
    </row>
    <row r="5284">
      <c r="A5284" t="n">
        <v>4921</v>
      </c>
      <c r="B5284" t="inlineStr">
        <is>
          <t>A-490__341</t>
        </is>
      </c>
      <c r="C5284" t="n">
        <v>37.4760244838</v>
      </c>
      <c r="D5284" t="n">
        <v>-7.201119385</v>
      </c>
      <c r="E5284" t="n">
        <v>2</v>
      </c>
      <c r="F5284" t="n">
        <v>3</v>
      </c>
      <c r="H5284" t="n">
        <v>3</v>
      </c>
      <c r="I5284" t="n">
        <v>3</v>
      </c>
      <c r="J5284" t="inlineStr">
        <is>
          <t>Mediana</t>
        </is>
      </c>
      <c r="K5284" t="n">
        <v>3</v>
      </c>
      <c r="L5284" t="n">
        <v>3.104</v>
      </c>
      <c r="M5284" t="n">
        <v>0</v>
      </c>
      <c r="N5284" t="inlineStr">
        <is>
          <t>train</t>
        </is>
      </c>
      <c r="O5284">
        <f>HYPERLINK("Solo2\marker_826_751521.png", "Ver Imagen")</f>
        <v/>
      </c>
      <c r="P5284">
        <f>HYPERLINK("NE\A-490\A-490__341.png", "Ver Imagen")</f>
        <v/>
      </c>
    </row>
    <row r="5285">
      <c r="A5285" t="n">
        <v>4921</v>
      </c>
      <c r="B5285" t="inlineStr">
        <is>
          <t>A-490__341</t>
        </is>
      </c>
      <c r="C5285" t="n">
        <v>37.4760244838</v>
      </c>
      <c r="D5285" t="n">
        <v>-7.201119385</v>
      </c>
      <c r="E5285" t="n">
        <v>2</v>
      </c>
      <c r="F5285" t="n">
        <v>3</v>
      </c>
      <c r="H5285" t="n">
        <v>3</v>
      </c>
      <c r="I5285" t="n">
        <v>3</v>
      </c>
      <c r="J5285" t="inlineStr">
        <is>
          <t>Mediana</t>
        </is>
      </c>
      <c r="K5285" t="n">
        <v>3</v>
      </c>
      <c r="L5285" t="n">
        <v>3.026</v>
      </c>
      <c r="M5285" t="n">
        <v>0</v>
      </c>
      <c r="N5285" t="inlineStr">
        <is>
          <t>train</t>
        </is>
      </c>
      <c r="O5285">
        <f>HYPERLINK("Solo2\marker_826_751521.png", "Ver Imagen")</f>
        <v/>
      </c>
      <c r="P5285">
        <f>HYPERLINK("NO\A-490\A-490__341.png", "Ver Imagen")</f>
        <v/>
      </c>
    </row>
    <row r="5286">
      <c r="A5286" t="n">
        <v>4922</v>
      </c>
      <c r="B5286" t="inlineStr">
        <is>
          <t>A-490__342</t>
        </is>
      </c>
      <c r="C5286" t="n">
        <v>37.4761351029</v>
      </c>
      <c r="D5286" t="n">
        <v>-7.2013765617</v>
      </c>
      <c r="E5286" t="n">
        <v>1</v>
      </c>
      <c r="F5286" t="n">
        <v>3</v>
      </c>
      <c r="H5286" t="n">
        <v>2</v>
      </c>
      <c r="I5286" t="n">
        <v>2</v>
      </c>
      <c r="J5286" t="inlineStr">
        <is>
          <t>Mediana</t>
        </is>
      </c>
      <c r="K5286" t="n">
        <v>2</v>
      </c>
      <c r="L5286" t="n">
        <v>1.936</v>
      </c>
      <c r="M5286" t="n">
        <v>0</v>
      </c>
      <c r="N5286" t="inlineStr">
        <is>
          <t>train</t>
        </is>
      </c>
      <c r="O5286">
        <f>HYPERLINK("Solo2\marker_633_751536.png", "Ver Imagen")</f>
        <v/>
      </c>
      <c r="P5286">
        <f>HYPERLINK("NE\A-490\A-490__342.png", "Ver Imagen")</f>
        <v/>
      </c>
    </row>
    <row r="5287">
      <c r="A5287" t="n">
        <v>4922</v>
      </c>
      <c r="B5287" t="inlineStr">
        <is>
          <t>A-490__342</t>
        </is>
      </c>
      <c r="C5287" t="n">
        <v>37.4761351029</v>
      </c>
      <c r="D5287" t="n">
        <v>-7.2013765617</v>
      </c>
      <c r="E5287" t="n">
        <v>1</v>
      </c>
      <c r="F5287" t="n">
        <v>3</v>
      </c>
      <c r="H5287" t="n">
        <v>2</v>
      </c>
      <c r="I5287" t="n">
        <v>2</v>
      </c>
      <c r="J5287" t="inlineStr">
        <is>
          <t>Mediana</t>
        </is>
      </c>
      <c r="K5287" t="n">
        <v>2</v>
      </c>
      <c r="L5287" t="n">
        <v>2.235</v>
      </c>
      <c r="M5287" t="n">
        <v>0</v>
      </c>
      <c r="N5287" t="inlineStr">
        <is>
          <t>train</t>
        </is>
      </c>
      <c r="O5287">
        <f>HYPERLINK("Solo2\marker_633_751536.png", "Ver Imagen")</f>
        <v/>
      </c>
      <c r="P5287">
        <f>HYPERLINK("NO\A-490\A-490__342.png", "Ver Imagen")</f>
        <v/>
      </c>
    </row>
    <row r="5288">
      <c r="A5288" t="n">
        <v>4923</v>
      </c>
      <c r="B5288" t="inlineStr">
        <is>
          <t>A-490__343</t>
        </is>
      </c>
      <c r="C5288" t="n">
        <v>37.47622609</v>
      </c>
      <c r="D5288" t="n">
        <v>-7.20158697377</v>
      </c>
      <c r="E5288" t="n">
        <v>1</v>
      </c>
      <c r="F5288" t="n">
        <v>2</v>
      </c>
      <c r="H5288" t="n">
        <v>1</v>
      </c>
      <c r="I5288" t="n">
        <v>1</v>
      </c>
      <c r="J5288" t="inlineStr">
        <is>
          <t>Mediana</t>
        </is>
      </c>
      <c r="K5288" t="n">
        <v>1</v>
      </c>
      <c r="L5288" t="n">
        <v>1.427</v>
      </c>
      <c r="M5288" t="n">
        <v>0</v>
      </c>
      <c r="N5288" t="inlineStr">
        <is>
          <t>test</t>
        </is>
      </c>
      <c r="O5288">
        <f>HYPERLINK("Solo2\marker_114_751549.png", "Ver Imagen")</f>
        <v/>
      </c>
      <c r="P5288">
        <f>HYPERLINK("NO\A-490\A-490__343.png", "Ver Imagen")</f>
        <v/>
      </c>
    </row>
    <row r="5289">
      <c r="A5289" t="n">
        <v>4924</v>
      </c>
      <c r="B5289" t="inlineStr">
        <is>
          <t>A-490__344</t>
        </is>
      </c>
      <c r="C5289" t="n">
        <v>37.4763157628</v>
      </c>
      <c r="D5289" t="n">
        <v>-7.2017945205</v>
      </c>
      <c r="E5289" t="n">
        <v>1</v>
      </c>
      <c r="F5289" t="n">
        <v>2</v>
      </c>
      <c r="H5289" t="n">
        <v>2</v>
      </c>
      <c r="I5289" t="n">
        <v>2</v>
      </c>
      <c r="J5289" t="inlineStr">
        <is>
          <t>Mediana</t>
        </is>
      </c>
      <c r="K5289" t="n">
        <v>2</v>
      </c>
      <c r="L5289" t="n">
        <v>2.02</v>
      </c>
      <c r="M5289" t="n">
        <v>0</v>
      </c>
      <c r="N5289" t="inlineStr">
        <is>
          <t>train</t>
        </is>
      </c>
      <c r="O5289">
        <f>HYPERLINK("Solo2\marker_125_751562.png", "Ver Imagen")</f>
        <v/>
      </c>
      <c r="P5289">
        <f>HYPERLINK("NE\A-490\A-490__344.png", "Ver Imagen")</f>
        <v/>
      </c>
    </row>
    <row r="5290">
      <c r="A5290" t="n">
        <v>4924</v>
      </c>
      <c r="B5290" t="inlineStr">
        <is>
          <t>A-490__344</t>
        </is>
      </c>
      <c r="C5290" t="n">
        <v>37.4763157628</v>
      </c>
      <c r="D5290" t="n">
        <v>-7.2017945205</v>
      </c>
      <c r="E5290" t="n">
        <v>1</v>
      </c>
      <c r="F5290" t="n">
        <v>2</v>
      </c>
      <c r="H5290" t="n">
        <v>2</v>
      </c>
      <c r="I5290" t="n">
        <v>2</v>
      </c>
      <c r="J5290" t="inlineStr">
        <is>
          <t>Mediana</t>
        </is>
      </c>
      <c r="K5290" t="n">
        <v>2</v>
      </c>
      <c r="L5290" t="n">
        <v>2.069</v>
      </c>
      <c r="M5290" t="n">
        <v>0</v>
      </c>
      <c r="N5290" t="inlineStr">
        <is>
          <t>train</t>
        </is>
      </c>
      <c r="O5290">
        <f>HYPERLINK("Solo2\marker_125_751562.png", "Ver Imagen")</f>
        <v/>
      </c>
      <c r="P5290">
        <f>HYPERLINK("NO\A-490\A-490__344.png", "Ver Imagen")</f>
        <v/>
      </c>
    </row>
    <row r="5291">
      <c r="A5291" t="n">
        <v>4925</v>
      </c>
      <c r="B5291" t="inlineStr">
        <is>
          <t>A-490__345</t>
        </is>
      </c>
      <c r="C5291" t="n">
        <v>37.4763857456</v>
      </c>
      <c r="D5291" t="n">
        <v>-7.20195755721</v>
      </c>
      <c r="E5291" t="n">
        <v>1</v>
      </c>
      <c r="F5291" t="n">
        <v>2</v>
      </c>
      <c r="H5291" t="n">
        <v>2</v>
      </c>
      <c r="I5291" t="n">
        <v>1</v>
      </c>
      <c r="J5291" t="inlineStr">
        <is>
          <t>Mediana</t>
        </is>
      </c>
      <c r="K5291" t="n">
        <v>1.5</v>
      </c>
      <c r="L5291" t="n">
        <v>2.044</v>
      </c>
      <c r="M5291" t="n">
        <v>0</v>
      </c>
      <c r="N5291" t="inlineStr">
        <is>
          <t>train</t>
        </is>
      </c>
      <c r="O5291">
        <f>HYPERLINK("Solo2\marker_796_751590.png", "Ver Imagen")</f>
        <v/>
      </c>
      <c r="P5291">
        <f>HYPERLINK("NE\A-490\A-490__345.png", "Ver Imagen")</f>
        <v/>
      </c>
    </row>
    <row r="5292">
      <c r="A5292" t="n">
        <v>4925</v>
      </c>
      <c r="B5292" t="inlineStr">
        <is>
          <t>A-490__345</t>
        </is>
      </c>
      <c r="C5292" t="n">
        <v>37.4763857456</v>
      </c>
      <c r="D5292" t="n">
        <v>-7.20195755721</v>
      </c>
      <c r="E5292" t="n">
        <v>1</v>
      </c>
      <c r="F5292" t="n">
        <v>2</v>
      </c>
      <c r="H5292" t="n">
        <v>2</v>
      </c>
      <c r="I5292" t="n">
        <v>1</v>
      </c>
      <c r="J5292" t="inlineStr">
        <is>
          <t>Mediana</t>
        </is>
      </c>
      <c r="K5292" t="n">
        <v>1.5</v>
      </c>
      <c r="L5292" t="n">
        <v>1.743</v>
      </c>
      <c r="M5292" t="n">
        <v>0</v>
      </c>
      <c r="N5292" t="inlineStr">
        <is>
          <t>train</t>
        </is>
      </c>
      <c r="O5292">
        <f>HYPERLINK("Solo2\marker_796_751590.png", "Ver Imagen")</f>
        <v/>
      </c>
      <c r="P5292">
        <f>HYPERLINK("NO\A-490\A-490__345.png", "Ver Imagen")</f>
        <v/>
      </c>
    </row>
    <row r="5293">
      <c r="A5293" t="n">
        <v>4926</v>
      </c>
      <c r="B5293" t="inlineStr">
        <is>
          <t>A-490__348</t>
        </is>
      </c>
      <c r="C5293" t="n">
        <v>37.4766906419</v>
      </c>
      <c r="D5293" t="n">
        <v>-7.202672126</v>
      </c>
      <c r="E5293" t="n">
        <v>1</v>
      </c>
      <c r="F5293" t="n">
        <v>2</v>
      </c>
      <c r="H5293" t="n">
        <v>2</v>
      </c>
      <c r="I5293" t="n">
        <v>1</v>
      </c>
      <c r="J5293" t="inlineStr">
        <is>
          <t>Mediana</t>
        </is>
      </c>
      <c r="K5293" t="n">
        <v>1.5</v>
      </c>
      <c r="L5293" t="n">
        <v>1.883</v>
      </c>
      <c r="M5293" t="n">
        <v>0</v>
      </c>
      <c r="N5293" t="inlineStr">
        <is>
          <t>test</t>
        </is>
      </c>
      <c r="O5293">
        <f>HYPERLINK("Solo2\marker_523_751645.png", "Ver Imagen")</f>
        <v/>
      </c>
      <c r="P5293">
        <f>HYPERLINK("NE\A-490\A-490__348.png", "Ver Imagen")</f>
        <v/>
      </c>
    </row>
    <row r="5294">
      <c r="A5294" t="n">
        <v>4926</v>
      </c>
      <c r="B5294" t="inlineStr">
        <is>
          <t>A-490__348</t>
        </is>
      </c>
      <c r="C5294" t="n">
        <v>37.4766906419</v>
      </c>
      <c r="D5294" t="n">
        <v>-7.202672126</v>
      </c>
      <c r="E5294" t="n">
        <v>1</v>
      </c>
      <c r="F5294" t="n">
        <v>2</v>
      </c>
      <c r="H5294" t="n">
        <v>2</v>
      </c>
      <c r="I5294" t="n">
        <v>1</v>
      </c>
      <c r="J5294" t="inlineStr">
        <is>
          <t>Mediana</t>
        </is>
      </c>
      <c r="K5294" t="n">
        <v>1.5</v>
      </c>
      <c r="L5294" t="n">
        <v>2.294</v>
      </c>
      <c r="M5294" t="n">
        <v>0</v>
      </c>
      <c r="N5294" t="inlineStr">
        <is>
          <t>test</t>
        </is>
      </c>
      <c r="O5294">
        <f>HYPERLINK("Solo2\marker_523_751645.png", "Ver Imagen")</f>
        <v/>
      </c>
      <c r="P5294">
        <f>HYPERLINK("NO\A-490\A-490__348.png", "Ver Imagen")</f>
        <v/>
      </c>
    </row>
    <row r="5295">
      <c r="A5295" t="n">
        <v>4927</v>
      </c>
      <c r="B5295" t="inlineStr">
        <is>
          <t>A-490__382</t>
        </is>
      </c>
      <c r="C5295" t="n">
        <v>37.479970878</v>
      </c>
      <c r="D5295" t="n">
        <v>-7.21028861656</v>
      </c>
      <c r="F5295" t="n">
        <v>3</v>
      </c>
      <c r="G5295" t="n">
        <v>2</v>
      </c>
      <c r="H5295" t="n">
        <v>2</v>
      </c>
      <c r="I5295" t="n">
        <v>2</v>
      </c>
      <c r="J5295" t="inlineStr">
        <is>
          <t>Mediana</t>
        </is>
      </c>
      <c r="K5295" t="n">
        <v>2</v>
      </c>
      <c r="L5295" t="n">
        <v>2.255</v>
      </c>
      <c r="M5295" t="n">
        <v>0</v>
      </c>
      <c r="N5295" t="inlineStr">
        <is>
          <t>train</t>
        </is>
      </c>
      <c r="O5295">
        <f>HYPERLINK("Solo2\marker_919_752393.png", "Ver Imagen")</f>
        <v/>
      </c>
      <c r="P5295">
        <f>HYPERLINK("NO\A-490\A-490__382.png", "Ver Imagen")</f>
        <v/>
      </c>
    </row>
    <row r="5296">
      <c r="A5296" t="n">
        <v>4928</v>
      </c>
      <c r="B5296" t="inlineStr">
        <is>
          <t>A-490__388</t>
        </is>
      </c>
      <c r="C5296" t="n">
        <v>37.4805403387</v>
      </c>
      <c r="D5296" t="n">
        <v>-7.21162215569</v>
      </c>
      <c r="E5296" t="n">
        <v>2</v>
      </c>
      <c r="F5296" t="n">
        <v>3</v>
      </c>
      <c r="H5296" t="n">
        <v>2</v>
      </c>
      <c r="I5296" t="n">
        <v>2</v>
      </c>
      <c r="J5296" t="inlineStr">
        <is>
          <t>Mediana</t>
        </is>
      </c>
      <c r="K5296" t="n">
        <v>2</v>
      </c>
      <c r="L5296" t="n">
        <v>2.231</v>
      </c>
      <c r="M5296" t="n">
        <v>0</v>
      </c>
      <c r="N5296" t="inlineStr">
        <is>
          <t>train</t>
        </is>
      </c>
      <c r="O5296">
        <f>HYPERLINK("Solo2\marker_374_752494.png", "Ver Imagen")</f>
        <v/>
      </c>
      <c r="P5296">
        <f>HYPERLINK("NO\A-490\A-490__388.png", "Ver Imagen")</f>
        <v/>
      </c>
    </row>
    <row r="5297">
      <c r="A5297" t="n">
        <v>4929</v>
      </c>
      <c r="B5297" t="inlineStr">
        <is>
          <t>A-490__561</t>
        </is>
      </c>
      <c r="C5297" t="n">
        <v>37.4906399977</v>
      </c>
      <c r="D5297" t="n">
        <v>-7.25298585461</v>
      </c>
      <c r="E5297" t="n">
        <v>1</v>
      </c>
      <c r="F5297" t="n">
        <v>3</v>
      </c>
      <c r="H5297" t="n">
        <v>1</v>
      </c>
      <c r="I5297" t="n">
        <v>1</v>
      </c>
      <c r="J5297" t="inlineStr">
        <is>
          <t>Mediana</t>
        </is>
      </c>
      <c r="K5297" t="n">
        <v>1</v>
      </c>
      <c r="L5297" t="n">
        <v>1</v>
      </c>
      <c r="M5297" t="n">
        <v>0</v>
      </c>
      <c r="N5297" t="inlineStr">
        <is>
          <t>train</t>
        </is>
      </c>
      <c r="O5297">
        <f>HYPERLINK("Solo2\marker_501_819189.png", "Ver Imagen")</f>
        <v/>
      </c>
      <c r="P5297">
        <f>HYPERLINK("NO\A-490\A-490__561.png", "Ver Imagen")</f>
        <v/>
      </c>
    </row>
    <row r="5298">
      <c r="A5298" t="n">
        <v>4930</v>
      </c>
      <c r="B5298" t="inlineStr">
        <is>
          <t>A-490__612</t>
        </is>
      </c>
      <c r="C5298" t="n">
        <v>37.4933996923</v>
      </c>
      <c r="D5298" t="n">
        <v>-7.26416615699</v>
      </c>
      <c r="F5298" t="n">
        <v>2</v>
      </c>
      <c r="G5298" t="n">
        <v>3</v>
      </c>
      <c r="H5298" t="n">
        <v>1</v>
      </c>
      <c r="I5298" t="n">
        <v>1</v>
      </c>
      <c r="J5298" t="inlineStr">
        <is>
          <t>Mediana</t>
        </is>
      </c>
      <c r="K5298" t="n">
        <v>1.5</v>
      </c>
      <c r="L5298" t="n">
        <v>1.841</v>
      </c>
      <c r="M5298" t="n">
        <v>0</v>
      </c>
      <c r="N5298" t="inlineStr">
        <is>
          <t>train</t>
        </is>
      </c>
      <c r="O5298">
        <f>HYPERLINK("Solo2\marker_982_820224.png", "Ver Imagen")</f>
        <v/>
      </c>
      <c r="P5298">
        <f>HYPERLINK("NO\A-490\A-490__612.png", "Ver Imagen")</f>
        <v/>
      </c>
    </row>
    <row r="5299">
      <c r="A5299" t="n">
        <v>4931</v>
      </c>
      <c r="B5299" t="inlineStr">
        <is>
          <t>A-492__4</t>
        </is>
      </c>
      <c r="C5299" t="n">
        <v>37.2722776966</v>
      </c>
      <c r="D5299" t="n">
        <v>-6.99087826244</v>
      </c>
      <c r="F5299" t="n">
        <v>4</v>
      </c>
      <c r="G5299" t="n">
        <v>5</v>
      </c>
      <c r="H5299" t="n">
        <v>4</v>
      </c>
      <c r="I5299" t="n">
        <v>5</v>
      </c>
      <c r="J5299" t="inlineStr">
        <is>
          <t>Mediana</t>
        </is>
      </c>
      <c r="K5299" t="n">
        <v>4.5</v>
      </c>
      <c r="L5299" t="n">
        <v>3.634</v>
      </c>
      <c r="M5299" t="n">
        <v>0</v>
      </c>
      <c r="N5299" t="inlineStr">
        <is>
          <t>train</t>
        </is>
      </c>
      <c r="O5299">
        <f>HYPERLINK("Solo2\marker_332_821520.png", "Ver Imagen")</f>
        <v/>
      </c>
      <c r="P5299">
        <f>HYPERLINK("SE\A-492\A-492__4.png", "Ver Imagen")</f>
        <v/>
      </c>
    </row>
    <row r="5300">
      <c r="A5300" t="n">
        <v>4932</v>
      </c>
      <c r="B5300" t="inlineStr">
        <is>
          <t>A-492__31</t>
        </is>
      </c>
      <c r="C5300" t="n">
        <v>37.2770676938</v>
      </c>
      <c r="D5300" t="n">
        <v>-6.99181699201</v>
      </c>
      <c r="F5300" t="n">
        <v>4</v>
      </c>
      <c r="G5300" t="n">
        <v>4</v>
      </c>
      <c r="H5300" t="n">
        <v>3</v>
      </c>
      <c r="I5300" t="n">
        <v>4</v>
      </c>
      <c r="J5300" t="inlineStr">
        <is>
          <t>Mediana</t>
        </is>
      </c>
      <c r="K5300" t="n">
        <v>4</v>
      </c>
      <c r="L5300" t="n">
        <v>3.539</v>
      </c>
      <c r="M5300" t="n">
        <v>0</v>
      </c>
      <c r="N5300" t="inlineStr">
        <is>
          <t>train</t>
        </is>
      </c>
      <c r="O5300">
        <f>HYPERLINK("Solo2\marker_643_822357.png", "Ver Imagen")</f>
        <v/>
      </c>
      <c r="P5300">
        <f>HYPERLINK("SE\A-492\A-492__31.png", "Ver Imagen")</f>
        <v/>
      </c>
    </row>
    <row r="5301">
      <c r="A5301" t="n">
        <v>4933</v>
      </c>
      <c r="B5301" t="inlineStr">
        <is>
          <t>A-492__46</t>
        </is>
      </c>
      <c r="C5301" t="n">
        <v>37.2790501503</v>
      </c>
      <c r="D5301" t="n">
        <v>-6.99464606939</v>
      </c>
      <c r="E5301" t="n">
        <v>2</v>
      </c>
      <c r="H5301" t="n">
        <v>3</v>
      </c>
      <c r="I5301" t="n">
        <v>3</v>
      </c>
      <c r="J5301" t="inlineStr">
        <is>
          <t>Mediana</t>
        </is>
      </c>
      <c r="K5301" t="n">
        <v>3</v>
      </c>
      <c r="L5301" t="n">
        <v>3.191</v>
      </c>
      <c r="M5301" t="n">
        <v>0</v>
      </c>
      <c r="N5301" t="inlineStr">
        <is>
          <t>train</t>
        </is>
      </c>
      <c r="O5301">
        <f>HYPERLINK("Solo2\marker_414_822951.png", "Ver Imagen")</f>
        <v/>
      </c>
      <c r="P5301">
        <f>HYPERLINK("SE\A-492\A-492__46.png", "Ver Imagen")</f>
        <v/>
      </c>
    </row>
    <row r="5302">
      <c r="A5302" t="n">
        <v>4934</v>
      </c>
      <c r="B5302" t="inlineStr">
        <is>
          <t>A-492__61</t>
        </is>
      </c>
      <c r="C5302" t="n">
        <v>37.279852295</v>
      </c>
      <c r="D5302" t="n">
        <v>-6.9982803019</v>
      </c>
      <c r="E5302" t="n">
        <v>3</v>
      </c>
      <c r="F5302" t="n">
        <v>4</v>
      </c>
      <c r="H5302" t="n">
        <v>4</v>
      </c>
      <c r="I5302" t="n">
        <v>5</v>
      </c>
      <c r="J5302" t="inlineStr">
        <is>
          <t>Mediana</t>
        </is>
      </c>
      <c r="K5302" t="n">
        <v>4</v>
      </c>
      <c r="L5302" t="n">
        <v>3.821</v>
      </c>
      <c r="M5302" t="n">
        <v>0</v>
      </c>
      <c r="N5302" t="inlineStr">
        <is>
          <t>train</t>
        </is>
      </c>
      <c r="O5302">
        <f>HYPERLINK("Solo2\marker_300_823155.png", "Ver Imagen")</f>
        <v/>
      </c>
      <c r="P5302">
        <f>HYPERLINK("SE\A-492\A-492__61.png", "Ver Imagen")</f>
        <v/>
      </c>
    </row>
    <row r="5303">
      <c r="A5303" t="n">
        <v>4935</v>
      </c>
      <c r="B5303" t="inlineStr">
        <is>
          <t>A-492__74</t>
        </is>
      </c>
      <c r="C5303" t="n">
        <v>37.2804967529</v>
      </c>
      <c r="D5303" t="n">
        <v>-7.0010482023</v>
      </c>
      <c r="E5303" t="n">
        <v>3</v>
      </c>
      <c r="F5303" t="n">
        <v>3</v>
      </c>
      <c r="H5303" t="n">
        <v>3</v>
      </c>
      <c r="I5303" t="n">
        <v>3</v>
      </c>
      <c r="J5303" t="inlineStr">
        <is>
          <t>Mediana</t>
        </is>
      </c>
      <c r="K5303" t="n">
        <v>3</v>
      </c>
      <c r="L5303" t="n">
        <v>3.372</v>
      </c>
      <c r="M5303" t="n">
        <v>0</v>
      </c>
      <c r="N5303" t="inlineStr">
        <is>
          <t>test</t>
        </is>
      </c>
      <c r="O5303">
        <f>HYPERLINK("Solo2\marker_196_823394.png", "Ver Imagen")</f>
        <v/>
      </c>
      <c r="P5303">
        <f>HYPERLINK("SE\A-492\A-492__74.png", "Ver Imagen")</f>
        <v/>
      </c>
    </row>
    <row r="5304">
      <c r="A5304" t="n">
        <v>4936</v>
      </c>
      <c r="B5304" t="inlineStr">
        <is>
          <t>A-492__150</t>
        </is>
      </c>
      <c r="C5304" t="n">
        <v>37.2755487871</v>
      </c>
      <c r="D5304" t="n">
        <v>-7.01827158514</v>
      </c>
      <c r="E5304" t="n">
        <v>1</v>
      </c>
      <c r="F5304" t="n">
        <v>2</v>
      </c>
      <c r="H5304" t="n">
        <v>3</v>
      </c>
      <c r="I5304" t="n">
        <v>3</v>
      </c>
      <c r="J5304" t="inlineStr">
        <is>
          <t>Mediana</t>
        </is>
      </c>
      <c r="K5304" t="n">
        <v>2.5</v>
      </c>
      <c r="L5304" t="n">
        <v>1.847</v>
      </c>
      <c r="M5304" t="n">
        <v>0</v>
      </c>
      <c r="N5304" t="inlineStr">
        <is>
          <t>train</t>
        </is>
      </c>
      <c r="O5304">
        <f>HYPERLINK("Solo2\marker_414_824802.png", "Ver Imagen")</f>
        <v/>
      </c>
      <c r="P5304">
        <f>HYPERLINK("SE\A-492\A-492__150.png", "Ver Imagen")</f>
        <v/>
      </c>
    </row>
    <row r="5305">
      <c r="A5305" t="n">
        <v>4937</v>
      </c>
      <c r="B5305" t="inlineStr">
        <is>
          <t>A-492__205</t>
        </is>
      </c>
      <c r="C5305" t="n">
        <v>37.279341158</v>
      </c>
      <c r="D5305" t="n">
        <v>-7.03074697085</v>
      </c>
      <c r="F5305" t="n">
        <v>3</v>
      </c>
      <c r="G5305" t="n">
        <v>3</v>
      </c>
      <c r="H5305" t="n">
        <v>2</v>
      </c>
      <c r="I5305" t="n">
        <v>1</v>
      </c>
      <c r="J5305" t="inlineStr">
        <is>
          <t>Modificada</t>
        </is>
      </c>
      <c r="K5305" t="n">
        <v>2</v>
      </c>
      <c r="L5305" t="n">
        <v>2.007</v>
      </c>
      <c r="M5305" t="n">
        <v>0</v>
      </c>
      <c r="N5305" t="inlineStr">
        <is>
          <t>train</t>
        </is>
      </c>
      <c r="O5305">
        <f>HYPERLINK("Solo2\marker_923_831980.png", "Ver Imagen")</f>
        <v/>
      </c>
      <c r="P5305">
        <f>HYPERLINK("SE\A-492\A-492__205.png", "Ver Imagen")</f>
        <v/>
      </c>
    </row>
    <row r="5306">
      <c r="A5306" t="n">
        <v>4939</v>
      </c>
      <c r="B5306" t="inlineStr">
        <is>
          <t>A-492__306</t>
        </is>
      </c>
      <c r="C5306" t="n">
        <v>37.2934187128</v>
      </c>
      <c r="D5306" t="n">
        <v>-7.04649551285</v>
      </c>
      <c r="E5306" t="n">
        <v>1</v>
      </c>
      <c r="F5306" t="n">
        <v>2</v>
      </c>
      <c r="H5306" t="n">
        <v>2</v>
      </c>
      <c r="I5306" t="n">
        <v>1</v>
      </c>
      <c r="J5306" t="inlineStr">
        <is>
          <t>Mediana</t>
        </is>
      </c>
      <c r="K5306" t="n">
        <v>1.5</v>
      </c>
      <c r="L5306" t="n">
        <v>2.223</v>
      </c>
      <c r="M5306" t="n">
        <v>0</v>
      </c>
      <c r="N5306" t="inlineStr">
        <is>
          <t>train</t>
        </is>
      </c>
      <c r="O5306">
        <f>HYPERLINK("Solo2\marker_593_837622.png", "Ver Imagen")</f>
        <v/>
      </c>
      <c r="P5306">
        <f>HYPERLINK("SE\A-492\A-492__306.png", "Ver Imagen")</f>
        <v/>
      </c>
    </row>
    <row r="5307">
      <c r="A5307" t="n">
        <v>4940</v>
      </c>
      <c r="B5307" t="inlineStr">
        <is>
          <t>A-492__366</t>
        </is>
      </c>
      <c r="C5307" t="n">
        <v>37.3020692724</v>
      </c>
      <c r="D5307" t="n">
        <v>-7.05647923232</v>
      </c>
      <c r="F5307" t="n">
        <v>1</v>
      </c>
      <c r="G5307" t="n">
        <v>1</v>
      </c>
      <c r="H5307" t="n">
        <v>1</v>
      </c>
      <c r="I5307" t="n">
        <v>1</v>
      </c>
      <c r="J5307" t="inlineStr">
        <is>
          <t>Mediana</t>
        </is>
      </c>
      <c r="K5307" t="n">
        <v>1</v>
      </c>
      <c r="L5307" t="n">
        <v>1.126</v>
      </c>
      <c r="M5307" t="n">
        <v>0</v>
      </c>
      <c r="N5307" t="inlineStr">
        <is>
          <t>train</t>
        </is>
      </c>
      <c r="O5307">
        <f>HYPERLINK("Solo2\marker_386_838715.png", "Ver Imagen")</f>
        <v/>
      </c>
      <c r="P5307">
        <f>HYPERLINK("SE\A-492\A-492__366.png", "Ver Imagen")</f>
        <v/>
      </c>
    </row>
    <row r="5308">
      <c r="A5308" t="n">
        <v>4941</v>
      </c>
      <c r="B5308" t="inlineStr">
        <is>
          <t>A-492__398</t>
        </is>
      </c>
      <c r="C5308" t="n">
        <v>37.3084981265</v>
      </c>
      <c r="D5308" t="n">
        <v>-7.05727200403</v>
      </c>
      <c r="E5308" t="n">
        <v>3</v>
      </c>
      <c r="F5308" t="n">
        <v>2</v>
      </c>
      <c r="H5308" t="n">
        <v>2</v>
      </c>
      <c r="I5308" t="n">
        <v>1</v>
      </c>
      <c r="J5308" t="inlineStr">
        <is>
          <t>Mediana</t>
        </is>
      </c>
      <c r="K5308" t="n">
        <v>2</v>
      </c>
      <c r="L5308" t="n">
        <v>1.642</v>
      </c>
      <c r="M5308" t="n">
        <v>0</v>
      </c>
      <c r="N5308" t="inlineStr">
        <is>
          <t>test</t>
        </is>
      </c>
      <c r="O5308">
        <f>HYPERLINK("Solo2\marker_371_839125.png", "Ver Imagen")</f>
        <v/>
      </c>
      <c r="P5308">
        <f>HYPERLINK("SE\A-492\A-492__398.png", "Ver Imagen")</f>
        <v/>
      </c>
    </row>
    <row r="5309">
      <c r="A5309" t="n">
        <v>4942</v>
      </c>
      <c r="B5309" t="inlineStr">
        <is>
          <t>A-492__465</t>
        </is>
      </c>
      <c r="C5309" t="n">
        <v>37.3166318583</v>
      </c>
      <c r="D5309" t="n">
        <v>-7.07021940147</v>
      </c>
      <c r="E5309" t="n">
        <v>3</v>
      </c>
      <c r="F5309" t="n">
        <v>3</v>
      </c>
      <c r="H5309" t="n">
        <v>3</v>
      </c>
      <c r="I5309" t="n">
        <v>4</v>
      </c>
      <c r="J5309" t="inlineStr">
        <is>
          <t>Mediana</t>
        </is>
      </c>
      <c r="K5309" t="n">
        <v>3</v>
      </c>
      <c r="L5309" t="n">
        <v>3.089</v>
      </c>
      <c r="M5309" t="n">
        <v>0</v>
      </c>
      <c r="N5309" t="inlineStr">
        <is>
          <t>train</t>
        </is>
      </c>
      <c r="O5309">
        <f>HYPERLINK("Solo2\marker_568_839982.png", "Ver Imagen")</f>
        <v/>
      </c>
      <c r="P5309">
        <f>HYPERLINK("SE\A-492\A-492__465.png", "Ver Imagen")</f>
        <v/>
      </c>
    </row>
    <row r="5310">
      <c r="A5310" t="n">
        <v>4944</v>
      </c>
      <c r="B5310" t="inlineStr">
        <is>
          <t>A-495R__119</t>
        </is>
      </c>
      <c r="C5310" t="n">
        <v>37.4652971015</v>
      </c>
      <c r="D5310" t="n">
        <v>-7.12200796793</v>
      </c>
      <c r="E5310" t="n">
        <v>3</v>
      </c>
      <c r="F5310" t="n">
        <v>2</v>
      </c>
      <c r="H5310" t="n">
        <v>1</v>
      </c>
      <c r="I5310" t="n">
        <v>2</v>
      </c>
      <c r="J5310" t="inlineStr">
        <is>
          <t>Mediana</t>
        </is>
      </c>
      <c r="K5310" t="n">
        <v>2</v>
      </c>
      <c r="L5310" t="n">
        <v>2.108</v>
      </c>
      <c r="M5310" t="n">
        <v>0</v>
      </c>
      <c r="N5310" t="inlineStr">
        <is>
          <t>train</t>
        </is>
      </c>
      <c r="O5310">
        <f>HYPERLINK("Solo2\marker_901_895393.png", "Ver Imagen")</f>
        <v/>
      </c>
      <c r="P5310">
        <f>HYPERLINK("NE\A-495R\A-495R__119.png", "Ver Imagen")</f>
        <v/>
      </c>
    </row>
    <row r="5311">
      <c r="A5311" t="n">
        <v>4947</v>
      </c>
      <c r="B5311" t="inlineStr">
        <is>
          <t>A-497__1</t>
        </is>
      </c>
      <c r="C5311" t="n">
        <v>37.2673502974</v>
      </c>
      <c r="D5311" t="n">
        <v>-6.9576838412</v>
      </c>
      <c r="E5311" t="n">
        <v>2</v>
      </c>
      <c r="H5311" t="n">
        <v>2</v>
      </c>
      <c r="I5311" t="n">
        <v>2</v>
      </c>
      <c r="J5311" t="inlineStr">
        <is>
          <t>Mediana</t>
        </is>
      </c>
      <c r="K5311" t="n">
        <v>2</v>
      </c>
      <c r="L5311" t="n">
        <v>2.205</v>
      </c>
      <c r="M5311" t="n">
        <v>0</v>
      </c>
      <c r="N5311" t="inlineStr">
        <is>
          <t>train</t>
        </is>
      </c>
      <c r="O5311">
        <f>HYPERLINK("Solo2\marker_364_773643.png", "Ver Imagen")</f>
        <v/>
      </c>
      <c r="P5311">
        <f>HYPERLINK("SE\A-497\A-497__1.png", "Ver Imagen")</f>
        <v/>
      </c>
    </row>
    <row r="5312">
      <c r="A5312" t="n">
        <v>4948</v>
      </c>
      <c r="B5312" t="inlineStr">
        <is>
          <t>A-5050__135</t>
        </is>
      </c>
      <c r="C5312" t="n">
        <v>37.1945212206</v>
      </c>
      <c r="D5312" t="n">
        <v>-6.99896734381</v>
      </c>
      <c r="E5312" t="n">
        <v>2</v>
      </c>
      <c r="F5312" t="n">
        <v>2</v>
      </c>
      <c r="H5312" t="n">
        <v>2</v>
      </c>
      <c r="I5312" t="n">
        <v>1</v>
      </c>
      <c r="J5312" t="inlineStr">
        <is>
          <t>Mediana</t>
        </is>
      </c>
      <c r="K5312" t="n">
        <v>2</v>
      </c>
      <c r="L5312" t="n">
        <v>1.877</v>
      </c>
      <c r="M5312" t="n">
        <v>0</v>
      </c>
      <c r="N5312" t="inlineStr">
        <is>
          <t>train</t>
        </is>
      </c>
      <c r="O5312">
        <f>HYPERLINK("Solo2\marker_896_945895.png", "Ver Imagen")</f>
        <v/>
      </c>
      <c r="P5312">
        <f>HYPERLINK("SE\A-5050\A-5050__135.png", "Ver Imagen")</f>
        <v/>
      </c>
    </row>
    <row r="5313">
      <c r="A5313" t="n">
        <v>4949</v>
      </c>
      <c r="B5313" t="inlineStr">
        <is>
          <t>A-5052__37</t>
        </is>
      </c>
      <c r="C5313" t="n">
        <v>37.2178678578</v>
      </c>
      <c r="D5313" t="n">
        <v>-7.11674774649</v>
      </c>
      <c r="F5313" t="n">
        <v>2</v>
      </c>
      <c r="G5313" t="n">
        <v>2</v>
      </c>
      <c r="H5313" t="n">
        <v>1</v>
      </c>
      <c r="I5313" t="n">
        <v>2</v>
      </c>
      <c r="J5313" t="inlineStr">
        <is>
          <t>Modificada</t>
        </is>
      </c>
      <c r="K5313" t="n">
        <v>1</v>
      </c>
      <c r="L5313" t="n">
        <v>1.132</v>
      </c>
      <c r="M5313" t="n">
        <v>0</v>
      </c>
      <c r="N5313" t="inlineStr">
        <is>
          <t>train</t>
        </is>
      </c>
      <c r="O5313">
        <f>HYPERLINK("Solo2\marker_350_956770.png", "Ver Imagen")</f>
        <v/>
      </c>
      <c r="P5313">
        <f>HYPERLINK("SO\A-5052\A-5052__37.png", "Ver Imagen")</f>
        <v/>
      </c>
    </row>
    <row r="5314">
      <c r="A5314" t="n">
        <v>4951</v>
      </c>
      <c r="B5314" t="inlineStr">
        <is>
          <t>A-5052__317</t>
        </is>
      </c>
      <c r="C5314" t="n">
        <v>37.2116952341</v>
      </c>
      <c r="D5314" t="n">
        <v>-7.04744613507</v>
      </c>
      <c r="F5314" t="n">
        <v>2</v>
      </c>
      <c r="G5314" t="n">
        <v>2</v>
      </c>
      <c r="H5314" t="n">
        <v>1</v>
      </c>
      <c r="I5314" t="n">
        <v>1</v>
      </c>
      <c r="J5314" t="inlineStr">
        <is>
          <t>Modificada</t>
        </is>
      </c>
      <c r="K5314" t="n">
        <v>1</v>
      </c>
      <c r="L5314" t="n">
        <v>1.148</v>
      </c>
      <c r="M5314" t="n">
        <v>0</v>
      </c>
      <c r="N5314" t="inlineStr">
        <is>
          <t>train</t>
        </is>
      </c>
      <c r="O5314">
        <f>HYPERLINK("Solo2\marker_562_961206.png", "Ver Imagen")</f>
        <v/>
      </c>
      <c r="P5314">
        <f>HYPERLINK("SE\A-5052\A-5052__317.png", "Ver Imagen")</f>
        <v/>
      </c>
    </row>
    <row r="5315">
      <c r="A5315" t="n">
        <v>4952</v>
      </c>
      <c r="B5315" t="inlineStr">
        <is>
          <t>A-5052__322</t>
        </is>
      </c>
      <c r="C5315" t="n">
        <v>37.2114727048</v>
      </c>
      <c r="D5315" t="n">
        <v>-7.04624208205</v>
      </c>
      <c r="F5315" t="n">
        <v>3</v>
      </c>
      <c r="G5315" t="n">
        <v>2</v>
      </c>
      <c r="H5315" t="n">
        <v>2</v>
      </c>
      <c r="I5315" t="n">
        <v>2</v>
      </c>
      <c r="J5315" t="inlineStr">
        <is>
          <t>Mediana</t>
        </is>
      </c>
      <c r="K5315" t="n">
        <v>2</v>
      </c>
      <c r="L5315" t="n">
        <v>1.918</v>
      </c>
      <c r="M5315" t="n">
        <v>0</v>
      </c>
      <c r="N5315" t="inlineStr">
        <is>
          <t>train</t>
        </is>
      </c>
      <c r="O5315">
        <f>HYPERLINK("Solo2\marker_826_961290.png", "Ver Imagen")</f>
        <v/>
      </c>
      <c r="P5315">
        <f>HYPERLINK("SE\A-5052\A-5052__322.png", "Ver Imagen")</f>
        <v/>
      </c>
    </row>
    <row r="5316">
      <c r="A5316" t="n">
        <v>4953</v>
      </c>
      <c r="B5316" t="inlineStr">
        <is>
          <t>A-5052__325</t>
        </is>
      </c>
      <c r="C5316" t="n">
        <v>37.2113341714</v>
      </c>
      <c r="D5316" t="n">
        <v>-7.04551158606</v>
      </c>
      <c r="F5316" t="n">
        <v>3</v>
      </c>
      <c r="G5316" t="n">
        <v>2</v>
      </c>
      <c r="H5316" t="n">
        <v>2</v>
      </c>
      <c r="I5316" t="n">
        <v>2</v>
      </c>
      <c r="J5316" t="inlineStr">
        <is>
          <t>Mediana</t>
        </is>
      </c>
      <c r="K5316" t="n">
        <v>2</v>
      </c>
      <c r="L5316" t="n">
        <v>2.013</v>
      </c>
      <c r="M5316" t="n">
        <v>0</v>
      </c>
      <c r="N5316" t="inlineStr">
        <is>
          <t>train</t>
        </is>
      </c>
      <c r="O5316">
        <f>HYPERLINK("Solo2\marker_674_961429.png", "Ver Imagen")</f>
        <v/>
      </c>
      <c r="P5316">
        <f>HYPERLINK("SE\A-5052\A-5052__325.png", "Ver Imagen")</f>
        <v/>
      </c>
    </row>
    <row r="5317">
      <c r="A5317" t="n">
        <v>4954</v>
      </c>
      <c r="B5317" t="inlineStr">
        <is>
          <t>A-5052__327</t>
        </is>
      </c>
      <c r="C5317" t="n">
        <v>37.2112105973</v>
      </c>
      <c r="D5317" t="n">
        <v>-7.04503258193</v>
      </c>
      <c r="F5317" t="n">
        <v>3</v>
      </c>
      <c r="G5317" t="n">
        <v>5</v>
      </c>
      <c r="H5317" t="n">
        <v>3</v>
      </c>
      <c r="I5317" t="n">
        <v>3</v>
      </c>
      <c r="J5317" t="inlineStr">
        <is>
          <t>Mediana</t>
        </is>
      </c>
      <c r="K5317" t="n">
        <v>3</v>
      </c>
      <c r="L5317" t="n">
        <v>3.461</v>
      </c>
      <c r="M5317" t="n">
        <v>0</v>
      </c>
      <c r="N5317" t="inlineStr">
        <is>
          <t>val</t>
        </is>
      </c>
      <c r="O5317">
        <f>HYPERLINK("Solo2\marker_327_961449.png", "Ver Imagen")</f>
        <v/>
      </c>
      <c r="P5317">
        <f>HYPERLINK("SE\A-5052\A-5052__327.png", "Ver Imagen")</f>
        <v/>
      </c>
    </row>
    <row r="5318">
      <c r="A5318" t="n">
        <v>4955</v>
      </c>
      <c r="B5318" t="inlineStr">
        <is>
          <t>A-5052__330</t>
        </is>
      </c>
      <c r="C5318" t="n">
        <v>37.2109543369</v>
      </c>
      <c r="D5318" t="n">
        <v>-7.04430653237</v>
      </c>
      <c r="F5318" t="n">
        <v>3</v>
      </c>
      <c r="G5318" t="n">
        <v>3</v>
      </c>
      <c r="H5318" t="n">
        <v>3</v>
      </c>
      <c r="I5318" t="n">
        <v>4</v>
      </c>
      <c r="J5318" t="inlineStr">
        <is>
          <t>Mediana</t>
        </is>
      </c>
      <c r="K5318" t="n">
        <v>3</v>
      </c>
      <c r="L5318" t="n">
        <v>2.826</v>
      </c>
      <c r="M5318" t="n">
        <v>0</v>
      </c>
      <c r="N5318" t="inlineStr">
        <is>
          <t>train</t>
        </is>
      </c>
      <c r="O5318">
        <f>HYPERLINK("Solo2\marker_807_961502.png", "Ver Imagen")</f>
        <v/>
      </c>
      <c r="P5318">
        <f>HYPERLINK("SE\A-5052\A-5052__330.png", "Ver Imagen")</f>
        <v/>
      </c>
    </row>
    <row r="5319">
      <c r="A5319" t="n">
        <v>4956</v>
      </c>
      <c r="B5319" t="inlineStr">
        <is>
          <t>A-5052__331</t>
        </is>
      </c>
      <c r="C5319" t="n">
        <v>37.2108790018</v>
      </c>
      <c r="D5319" t="n">
        <v>-7.04410268649</v>
      </c>
      <c r="F5319" t="n">
        <v>2</v>
      </c>
      <c r="G5319" t="n">
        <v>3</v>
      </c>
      <c r="H5319" t="n">
        <v>2</v>
      </c>
      <c r="I5319" t="n">
        <v>1</v>
      </c>
      <c r="J5319" t="inlineStr">
        <is>
          <t>Mediana</t>
        </is>
      </c>
      <c r="K5319" t="n">
        <v>2</v>
      </c>
      <c r="L5319" t="n">
        <v>1.972</v>
      </c>
      <c r="M5319" t="n">
        <v>0</v>
      </c>
      <c r="N5319" t="inlineStr">
        <is>
          <t>train</t>
        </is>
      </c>
      <c r="O5319">
        <f>HYPERLINK("Solo2\marker_226_961513.png", "Ver Imagen")</f>
        <v/>
      </c>
      <c r="P5319">
        <f>HYPERLINK("SE\A-5052\A-5052__331.png", "Ver Imagen")</f>
        <v/>
      </c>
    </row>
    <row r="5320">
      <c r="A5320" t="n">
        <v>4957</v>
      </c>
      <c r="B5320" t="inlineStr">
        <is>
          <t>A-5052__448</t>
        </is>
      </c>
      <c r="C5320" t="n">
        <v>37.2006641372</v>
      </c>
      <c r="D5320" t="n">
        <v>-7.01742619613</v>
      </c>
      <c r="F5320" t="n">
        <v>2</v>
      </c>
      <c r="G5320" t="n">
        <v>2</v>
      </c>
      <c r="H5320" t="n">
        <v>2</v>
      </c>
      <c r="I5320" t="n">
        <v>1</v>
      </c>
      <c r="J5320" t="inlineStr">
        <is>
          <t>Mediana</t>
        </is>
      </c>
      <c r="K5320" t="n">
        <v>2</v>
      </c>
      <c r="L5320" t="n">
        <v>2.137</v>
      </c>
      <c r="M5320" t="n">
        <v>0</v>
      </c>
      <c r="N5320" t="inlineStr">
        <is>
          <t>train</t>
        </is>
      </c>
      <c r="O5320">
        <f>HYPERLINK("Solo2\marker_195_963156.png", "Ver Imagen")</f>
        <v/>
      </c>
      <c r="P5320">
        <f>HYPERLINK("SE\A-5052\A-5052__448.png", "Ver Imagen")</f>
        <v/>
      </c>
    </row>
    <row r="5321">
      <c r="A5321" t="n">
        <v>4958</v>
      </c>
      <c r="B5321" t="inlineStr">
        <is>
          <t>A-5052__455</t>
        </is>
      </c>
      <c r="C5321" t="n">
        <v>37.2000474165</v>
      </c>
      <c r="D5321" t="n">
        <v>-7.01581934821</v>
      </c>
      <c r="F5321" t="n">
        <v>2</v>
      </c>
      <c r="G5321" t="n">
        <v>2</v>
      </c>
      <c r="H5321" t="n">
        <v>2</v>
      </c>
      <c r="I5321" t="n">
        <v>1</v>
      </c>
      <c r="J5321" t="inlineStr">
        <is>
          <t>Mediana</t>
        </is>
      </c>
      <c r="K5321" t="n">
        <v>2</v>
      </c>
      <c r="L5321" t="n">
        <v>2.13</v>
      </c>
      <c r="M5321" t="n">
        <v>0</v>
      </c>
      <c r="N5321" t="inlineStr">
        <is>
          <t>train</t>
        </is>
      </c>
      <c r="O5321">
        <f>HYPERLINK("Solo2\marker_600_963234.png", "Ver Imagen")</f>
        <v/>
      </c>
      <c r="P5321">
        <f>HYPERLINK("SE\A-5052\A-5052__455.png", "Ver Imagen")</f>
        <v/>
      </c>
    </row>
    <row r="5322">
      <c r="A5322" t="n">
        <v>4960</v>
      </c>
      <c r="B5322" t="inlineStr">
        <is>
          <t>A-5052__409</t>
        </is>
      </c>
      <c r="C5322" t="n">
        <v>37.204078814</v>
      </c>
      <c r="D5322" t="n">
        <v>-7.02633882049</v>
      </c>
      <c r="F5322" t="n">
        <v>4</v>
      </c>
      <c r="G5322" t="n">
        <v>5</v>
      </c>
      <c r="H5322" t="n">
        <v>3</v>
      </c>
      <c r="I5322" t="n">
        <v>4</v>
      </c>
      <c r="J5322" t="inlineStr">
        <is>
          <t>Mediana</t>
        </is>
      </c>
      <c r="K5322" t="n">
        <v>4</v>
      </c>
      <c r="L5322" t="n">
        <v>3.793</v>
      </c>
      <c r="M5322" t="n">
        <v>0</v>
      </c>
      <c r="N5322" t="inlineStr">
        <is>
          <t>train</t>
        </is>
      </c>
      <c r="O5322">
        <f>HYPERLINK("Solo2\marker_371_962764.png", "Ver Imagen")</f>
        <v/>
      </c>
      <c r="P5322">
        <f>HYPERLINK("SE\A-5052\A-5052__409.png", "Ver Imagen")</f>
        <v/>
      </c>
    </row>
    <row r="5323">
      <c r="A5323" t="n">
        <v>4961</v>
      </c>
      <c r="B5323" t="inlineStr">
        <is>
          <t>A-5053__49</t>
        </is>
      </c>
      <c r="C5323" t="n">
        <v>37.2284815015</v>
      </c>
      <c r="D5323" t="n">
        <v>-7.12676963057</v>
      </c>
      <c r="F5323" t="n">
        <v>3</v>
      </c>
      <c r="G5323" t="n">
        <v>3</v>
      </c>
      <c r="H5323" t="n">
        <v>3</v>
      </c>
      <c r="I5323" t="n">
        <v>3</v>
      </c>
      <c r="J5323" t="inlineStr">
        <is>
          <t>Mediana</t>
        </is>
      </c>
      <c r="K5323" t="n">
        <v>3</v>
      </c>
      <c r="L5323" t="n">
        <v>3.044</v>
      </c>
      <c r="M5323" t="n">
        <v>0</v>
      </c>
      <c r="N5323" t="inlineStr">
        <is>
          <t>train</t>
        </is>
      </c>
      <c r="O5323">
        <f>HYPERLINK("Solo2\marker_725_021006.png", "Ver Imagen")</f>
        <v/>
      </c>
      <c r="P5323">
        <f>HYPERLINK("SO\A-5053\A-5053__49.png", "Ver Imagen")</f>
        <v/>
      </c>
    </row>
    <row r="5324">
      <c r="A5324" t="n">
        <v>4962</v>
      </c>
      <c r="B5324" t="inlineStr">
        <is>
          <t>A-5053__10</t>
        </is>
      </c>
      <c r="C5324" t="n">
        <v>37.2209494484</v>
      </c>
      <c r="D5324" t="n">
        <v>-7.12577485467</v>
      </c>
      <c r="F5324" t="n">
        <v>2</v>
      </c>
      <c r="G5324" t="n">
        <v>3</v>
      </c>
      <c r="H5324" t="n">
        <v>2</v>
      </c>
      <c r="I5324" t="n">
        <v>2</v>
      </c>
      <c r="J5324" t="inlineStr">
        <is>
          <t>Mediana</t>
        </is>
      </c>
      <c r="K5324" t="n">
        <v>2</v>
      </c>
      <c r="L5324" t="n">
        <v>1.817</v>
      </c>
      <c r="M5324" t="n">
        <v>0</v>
      </c>
      <c r="N5324" t="inlineStr">
        <is>
          <t>train</t>
        </is>
      </c>
      <c r="O5324">
        <f>HYPERLINK("Solo2\marker_183_025106.png", "Ver Imagen")</f>
        <v/>
      </c>
      <c r="P5324">
        <f>HYPERLINK("SO\A-5053\A-5053__10.png", "Ver Imagen")</f>
        <v/>
      </c>
    </row>
    <row r="5325">
      <c r="A5325" t="n">
        <v>4963</v>
      </c>
      <c r="B5325" t="inlineStr">
        <is>
          <t>A-495__14</t>
        </is>
      </c>
      <c r="C5325" t="n">
        <v>37.4438802983</v>
      </c>
      <c r="D5325" t="n">
        <v>-7.09695890127</v>
      </c>
      <c r="E5325" t="n">
        <v>3</v>
      </c>
      <c r="F5325" t="n">
        <v>3</v>
      </c>
      <c r="H5325" t="n">
        <v>2</v>
      </c>
      <c r="I5325" t="n">
        <v>2</v>
      </c>
      <c r="J5325" t="inlineStr">
        <is>
          <t>Modificada</t>
        </is>
      </c>
      <c r="K5325" t="n">
        <v>2</v>
      </c>
      <c r="L5325" t="n">
        <v>1.895</v>
      </c>
      <c r="M5325" t="n">
        <v>0</v>
      </c>
      <c r="N5325" t="inlineStr">
        <is>
          <t>train</t>
        </is>
      </c>
      <c r="O5325">
        <f>HYPERLINK("Solo2\marker_477_381202.png", "Ver Imagen")</f>
        <v/>
      </c>
      <c r="P5325">
        <f>HYPERLINK("NE\A-495\A-495__14.png", "Ver Imagen")</f>
        <v/>
      </c>
    </row>
    <row r="5326">
      <c r="A5326" t="n">
        <v>4964</v>
      </c>
      <c r="B5326" t="inlineStr">
        <is>
          <t>A-495__18</t>
        </is>
      </c>
      <c r="C5326" t="n">
        <v>37.4435887065</v>
      </c>
      <c r="D5326" t="n">
        <v>-7.09599159335</v>
      </c>
      <c r="E5326" t="n">
        <v>3</v>
      </c>
      <c r="F5326" t="n">
        <v>3</v>
      </c>
      <c r="H5326" t="n">
        <v>2</v>
      </c>
      <c r="I5326" t="n">
        <v>3</v>
      </c>
      <c r="J5326" t="inlineStr">
        <is>
          <t>Mediana</t>
        </is>
      </c>
      <c r="K5326" t="n">
        <v>3</v>
      </c>
      <c r="L5326" t="n">
        <v>2.736</v>
      </c>
      <c r="M5326" t="n">
        <v>0</v>
      </c>
      <c r="N5326" t="inlineStr">
        <is>
          <t>train</t>
        </is>
      </c>
      <c r="O5326">
        <f>HYPERLINK("Solo2\marker_169_381244.png", "Ver Imagen")</f>
        <v/>
      </c>
      <c r="P5326">
        <f>HYPERLINK("NE\A-495\A-495__18.png", "Ver Imagen")</f>
        <v/>
      </c>
    </row>
    <row r="5327">
      <c r="A5327" t="n">
        <v>4966</v>
      </c>
      <c r="B5327" t="inlineStr">
        <is>
          <t>A-5059__73</t>
        </is>
      </c>
      <c r="C5327" t="n">
        <v>37.2224763508</v>
      </c>
      <c r="D5327" t="n">
        <v>-7.05555749381</v>
      </c>
      <c r="E5327" t="n">
        <v>2</v>
      </c>
      <c r="F5327" t="n">
        <v>3</v>
      </c>
      <c r="H5327" t="n">
        <v>2</v>
      </c>
      <c r="I5327" t="n">
        <v>2</v>
      </c>
      <c r="J5327" t="inlineStr">
        <is>
          <t>Mediana</t>
        </is>
      </c>
      <c r="K5327" t="n">
        <v>2</v>
      </c>
      <c r="L5327" t="n">
        <v>1.968</v>
      </c>
      <c r="M5327" t="n">
        <v>0</v>
      </c>
      <c r="N5327" t="inlineStr">
        <is>
          <t>train</t>
        </is>
      </c>
      <c r="O5327">
        <f>HYPERLINK("Solo2\marker_378_378819.png", "Ver Imagen")</f>
        <v/>
      </c>
      <c r="P5327">
        <f>HYPERLINK("SE\A-5059\A-5059__73.png", "Ver Imagen")</f>
        <v/>
      </c>
    </row>
    <row r="5328">
      <c r="A5328" t="n">
        <v>4967</v>
      </c>
      <c r="B5328" t="inlineStr">
        <is>
          <t>A-5059__44</t>
        </is>
      </c>
      <c r="C5328" t="n">
        <v>37.2266193078</v>
      </c>
      <c r="D5328" t="n">
        <v>-7.06038774833</v>
      </c>
      <c r="E5328" t="n">
        <v>3</v>
      </c>
      <c r="F5328" t="n">
        <v>3</v>
      </c>
      <c r="H5328" t="n">
        <v>2</v>
      </c>
      <c r="I5328" t="n">
        <v>3</v>
      </c>
      <c r="J5328" t="inlineStr">
        <is>
          <t>Mediana</t>
        </is>
      </c>
      <c r="K5328" t="n">
        <v>3</v>
      </c>
      <c r="L5328" t="n">
        <v>2.512</v>
      </c>
      <c r="M5328" t="n">
        <v>0</v>
      </c>
      <c r="N5328" t="inlineStr">
        <is>
          <t>test</t>
        </is>
      </c>
      <c r="O5328">
        <f>HYPERLINK("Solo2\marker_906_379257.png", "Ver Imagen")</f>
        <v/>
      </c>
      <c r="P5328">
        <f>HYPERLINK("SE\A-5059\A-5059__44.png", "Ver Imagen")</f>
        <v/>
      </c>
    </row>
    <row r="5329">
      <c r="A5329" t="n">
        <v>4968</v>
      </c>
      <c r="B5329" t="inlineStr">
        <is>
          <t>A-5059__4</t>
        </is>
      </c>
      <c r="C5329" t="n">
        <v>37.2331240535</v>
      </c>
      <c r="D5329" t="n">
        <v>-7.06582737828</v>
      </c>
      <c r="E5329" t="n">
        <v>3</v>
      </c>
      <c r="F5329" t="n">
        <v>3</v>
      </c>
      <c r="H5329" t="n">
        <v>2</v>
      </c>
      <c r="I5329" t="n">
        <v>2</v>
      </c>
      <c r="J5329" t="inlineStr">
        <is>
          <t>Modificada</t>
        </is>
      </c>
      <c r="K5329" t="n">
        <v>2</v>
      </c>
      <c r="L5329" t="n">
        <v>2.283</v>
      </c>
      <c r="M5329" t="n">
        <v>0</v>
      </c>
      <c r="N5329" t="inlineStr">
        <is>
          <t>train</t>
        </is>
      </c>
      <c r="O5329">
        <f>HYPERLINK("Solo2\marker_270_379636.png", "Ver Imagen")</f>
        <v/>
      </c>
      <c r="P5329">
        <f>HYPERLINK("SE\A-5059\A-5059__4.png", "Ver Imagen")</f>
        <v/>
      </c>
    </row>
    <row r="5330">
      <c r="A5330" t="n">
        <v>4969</v>
      </c>
      <c r="B5330" t="inlineStr">
        <is>
          <t>A-5059__1</t>
        </is>
      </c>
      <c r="C5330" t="n">
        <v>37.233612006</v>
      </c>
      <c r="D5330" t="n">
        <v>-7.06627718955</v>
      </c>
      <c r="E5330" t="n">
        <v>3</v>
      </c>
      <c r="F5330" t="n">
        <v>3</v>
      </c>
      <c r="H5330" t="n">
        <v>2</v>
      </c>
      <c r="I5330" t="n">
        <v>3</v>
      </c>
      <c r="J5330" t="inlineStr">
        <is>
          <t>Modificada</t>
        </is>
      </c>
      <c r="K5330" t="n">
        <v>2</v>
      </c>
      <c r="L5330" t="n">
        <v>2.123</v>
      </c>
      <c r="M5330" t="n">
        <v>0</v>
      </c>
      <c r="N5330" t="inlineStr">
        <is>
          <t>train</t>
        </is>
      </c>
      <c r="O5330">
        <f>HYPERLINK("Solo2\marker_317_379667.png", "Ver Imagen")</f>
        <v/>
      </c>
      <c r="P5330">
        <f>HYPERLINK("SE\A-5059\A-5059__1.png", "Ver Imagen")</f>
        <v/>
      </c>
    </row>
    <row r="5331">
      <c r="A5331" t="n">
        <v>4970</v>
      </c>
      <c r="B5331" t="inlineStr">
        <is>
          <t>A-5058__24</t>
        </is>
      </c>
      <c r="C5331" t="n">
        <v>37.2249753937</v>
      </c>
      <c r="D5331" t="n">
        <v>-7.03328814646</v>
      </c>
      <c r="E5331" t="n">
        <v>3</v>
      </c>
      <c r="F5331" t="n">
        <v>3</v>
      </c>
      <c r="H5331" t="n">
        <v>2</v>
      </c>
      <c r="I5331" t="n">
        <v>3</v>
      </c>
      <c r="J5331" t="inlineStr">
        <is>
          <t>Modificada</t>
        </is>
      </c>
      <c r="K5331" t="n">
        <v>2</v>
      </c>
      <c r="L5331" t="n">
        <v>1.965</v>
      </c>
      <c r="M5331" t="n">
        <v>0</v>
      </c>
      <c r="N5331" t="inlineStr">
        <is>
          <t>train</t>
        </is>
      </c>
      <c r="O5331">
        <f>HYPERLINK("Solo2\marker_772_380117.png", "Ver Imagen")</f>
        <v/>
      </c>
      <c r="P5331">
        <f>HYPERLINK("SE\A-5058\A-5058__24.png", "Ver Imagen")</f>
        <v/>
      </c>
    </row>
    <row r="5332">
      <c r="A5332" t="n">
        <v>4972</v>
      </c>
      <c r="B5332" t="inlineStr">
        <is>
          <t>A-5058__60</t>
        </is>
      </c>
      <c r="C5332" t="n">
        <v>37.2255783647</v>
      </c>
      <c r="D5332" t="n">
        <v>-7.04186030803</v>
      </c>
      <c r="E5332" t="n">
        <v>2</v>
      </c>
      <c r="F5332" t="n">
        <v>2</v>
      </c>
      <c r="H5332" t="n">
        <v>2</v>
      </c>
      <c r="I5332" t="n">
        <v>2</v>
      </c>
      <c r="J5332" t="inlineStr">
        <is>
          <t>Mediana</t>
        </is>
      </c>
      <c r="K5332" t="n">
        <v>2</v>
      </c>
      <c r="L5332" t="n">
        <v>2.006</v>
      </c>
      <c r="M5332" t="n">
        <v>0</v>
      </c>
      <c r="N5332" t="inlineStr">
        <is>
          <t>test</t>
        </is>
      </c>
      <c r="O5332">
        <f>HYPERLINK("Solo2\marker_164_380645.png", "Ver Imagen")</f>
        <v/>
      </c>
      <c r="P5332">
        <f>HYPERLINK("SE\A-5058\A-5058__60.png", "Ver Imagen")</f>
        <v/>
      </c>
    </row>
    <row r="5333">
      <c r="A5333" t="n">
        <v>4973</v>
      </c>
      <c r="B5333" t="inlineStr">
        <is>
          <t>A-5058__62</t>
        </is>
      </c>
      <c r="C5333" t="n">
        <v>37.2257770892</v>
      </c>
      <c r="D5333" t="n">
        <v>-7.0423091975</v>
      </c>
      <c r="E5333" t="n">
        <v>2</v>
      </c>
      <c r="F5333" t="n">
        <v>3</v>
      </c>
      <c r="H5333" t="n">
        <v>2</v>
      </c>
      <c r="I5333" t="n">
        <v>2</v>
      </c>
      <c r="J5333" t="inlineStr">
        <is>
          <t>Mediana</t>
        </is>
      </c>
      <c r="K5333" t="n">
        <v>2</v>
      </c>
      <c r="L5333" t="n">
        <v>2.11</v>
      </c>
      <c r="M5333" t="n">
        <v>0</v>
      </c>
      <c r="N5333" t="inlineStr">
        <is>
          <t>train</t>
        </is>
      </c>
      <c r="O5333">
        <f>HYPERLINK("Solo2\marker_658_380663.png", "Ver Imagen")</f>
        <v/>
      </c>
      <c r="P5333">
        <f>HYPERLINK("SE\A-5058\A-5058__62.png", "Ver Imagen")</f>
        <v/>
      </c>
    </row>
    <row r="5334">
      <c r="A5334" t="n">
        <v>4974</v>
      </c>
      <c r="B5334" t="inlineStr">
        <is>
          <t>A-492__22</t>
        </is>
      </c>
      <c r="C5334" t="n">
        <v>37.2757500613</v>
      </c>
      <c r="D5334" t="n">
        <v>-6.99108501591</v>
      </c>
      <c r="G5334" t="n">
        <v>4</v>
      </c>
      <c r="H5334" t="n">
        <v>4</v>
      </c>
      <c r="I5334" t="n">
        <v>4</v>
      </c>
      <c r="J5334" t="inlineStr">
        <is>
          <t>Mediana</t>
        </is>
      </c>
      <c r="K5334" t="n">
        <v>4</v>
      </c>
      <c r="L5334" t="n">
        <v>3.57</v>
      </c>
      <c r="M5334" t="n">
        <v>0</v>
      </c>
      <c r="N5334" t="inlineStr">
        <is>
          <t>train</t>
        </is>
      </c>
      <c r="O5334">
        <f>HYPERLINK("Solo2\marker_327_380692.png", "Ver Imagen")</f>
        <v/>
      </c>
      <c r="P5334">
        <f>HYPERLINK("SE\A-492\A-492__22.png", "Ver Imagen")</f>
        <v/>
      </c>
    </row>
    <row r="5335">
      <c r="A5335" t="n">
        <v>4975</v>
      </c>
      <c r="B5335" t="inlineStr">
        <is>
          <t>A-5058__247</t>
        </is>
      </c>
      <c r="C5335" t="n">
        <v>37.2409141269</v>
      </c>
      <c r="D5335" t="n">
        <v>-7.08278601333</v>
      </c>
      <c r="E5335" t="n">
        <v>3</v>
      </c>
      <c r="F5335" t="n">
        <v>3</v>
      </c>
      <c r="H5335" t="n">
        <v>2</v>
      </c>
      <c r="I5335" t="n">
        <v>3</v>
      </c>
      <c r="J5335" t="inlineStr">
        <is>
          <t>Mediana</t>
        </is>
      </c>
      <c r="K5335" t="n">
        <v>3</v>
      </c>
      <c r="L5335" t="n">
        <v>3.451</v>
      </c>
      <c r="M5335" t="n">
        <v>0</v>
      </c>
      <c r="N5335" t="inlineStr">
        <is>
          <t>val</t>
        </is>
      </c>
      <c r="O5335">
        <f>HYPERLINK("Solo2\marker_117_383458.png", "Ver Imagen")</f>
        <v/>
      </c>
      <c r="P5335">
        <f>HYPERLINK("SE\A-5058\A-5058__247.png", "Ver Imagen")</f>
        <v/>
      </c>
    </row>
    <row r="5336">
      <c r="A5336" t="n">
        <v>4975</v>
      </c>
      <c r="B5336" t="inlineStr">
        <is>
          <t>A-5058__247</t>
        </is>
      </c>
      <c r="C5336" t="n">
        <v>37.2409141269</v>
      </c>
      <c r="D5336" t="n">
        <v>-7.08278601333</v>
      </c>
      <c r="E5336" t="n">
        <v>3</v>
      </c>
      <c r="F5336" t="n">
        <v>3</v>
      </c>
      <c r="H5336" t="n">
        <v>2</v>
      </c>
      <c r="I5336" t="n">
        <v>3</v>
      </c>
      <c r="J5336" t="inlineStr">
        <is>
          <t>Mediana</t>
        </is>
      </c>
      <c r="K5336" t="n">
        <v>3</v>
      </c>
      <c r="L5336" t="n">
        <v>3.06</v>
      </c>
      <c r="M5336" t="n">
        <v>0</v>
      </c>
      <c r="N5336" t="inlineStr">
        <is>
          <t>val</t>
        </is>
      </c>
      <c r="O5336">
        <f>HYPERLINK("Solo2\marker_117_383458.png", "Ver Imagen")</f>
        <v/>
      </c>
      <c r="P5336">
        <f>HYPERLINK("SO\A-5058\A-5058__247.png", "Ver Imagen")</f>
        <v/>
      </c>
    </row>
    <row r="5337">
      <c r="A5337" t="n">
        <v>4976</v>
      </c>
      <c r="B5337" t="inlineStr">
        <is>
          <t>A-5058__363</t>
        </is>
      </c>
      <c r="C5337" t="n">
        <v>37.2531392698</v>
      </c>
      <c r="D5337" t="n">
        <v>-7.10623207905</v>
      </c>
      <c r="F5337" t="n">
        <v>3</v>
      </c>
      <c r="G5337" t="n">
        <v>3</v>
      </c>
      <c r="H5337" t="n">
        <v>2</v>
      </c>
      <c r="I5337" t="n">
        <v>2</v>
      </c>
      <c r="J5337" t="inlineStr">
        <is>
          <t>Mediana</t>
        </is>
      </c>
      <c r="K5337" t="n">
        <v>2.5</v>
      </c>
      <c r="L5337" t="n">
        <v>2.078</v>
      </c>
      <c r="M5337" t="n">
        <v>0</v>
      </c>
      <c r="N5337" t="inlineStr">
        <is>
          <t>train</t>
        </is>
      </c>
      <c r="O5337">
        <f>HYPERLINK("Solo2\marker_967_385002.png", "Ver Imagen")</f>
        <v/>
      </c>
      <c r="P5337">
        <f>HYPERLINK("SO\A-5058\A-5058__363.png", "Ver Imagen")</f>
        <v/>
      </c>
    </row>
    <row r="5338">
      <c r="A5338" t="n">
        <v>4977</v>
      </c>
      <c r="B5338" t="inlineStr">
        <is>
          <t>A-5058__424</t>
        </is>
      </c>
      <c r="C5338" t="n">
        <v>37.2568957266</v>
      </c>
      <c r="D5338" t="n">
        <v>-7.11905347858</v>
      </c>
      <c r="E5338" t="n">
        <v>3</v>
      </c>
      <c r="F5338" t="n">
        <v>3</v>
      </c>
      <c r="H5338" t="n">
        <v>2</v>
      </c>
      <c r="I5338" t="n">
        <v>2</v>
      </c>
      <c r="J5338" t="inlineStr">
        <is>
          <t>Modificada</t>
        </is>
      </c>
      <c r="K5338" t="n">
        <v>2</v>
      </c>
      <c r="L5338" t="n">
        <v>2.465</v>
      </c>
      <c r="M5338" t="n">
        <v>0</v>
      </c>
      <c r="N5338" t="inlineStr">
        <is>
          <t>train</t>
        </is>
      </c>
      <c r="O5338">
        <f>HYPERLINK("Solo2\marker_570_388794.png", "Ver Imagen")</f>
        <v/>
      </c>
      <c r="P5338">
        <f>HYPERLINK("SO\A-5058\A-5058__424.png", "Ver Imagen")</f>
        <v/>
      </c>
    </row>
    <row r="5339">
      <c r="A5339" t="n">
        <v>4979</v>
      </c>
      <c r="B5339" t="inlineStr">
        <is>
          <t>A-5058__458</t>
        </is>
      </c>
      <c r="C5339" t="n">
        <v>37.2597330569</v>
      </c>
      <c r="D5339" t="n">
        <v>-7.12632050609</v>
      </c>
      <c r="E5339" t="n">
        <v>3</v>
      </c>
      <c r="F5339" t="n">
        <v>3</v>
      </c>
      <c r="H5339" t="n">
        <v>3</v>
      </c>
      <c r="I5339" t="n">
        <v>3</v>
      </c>
      <c r="J5339" t="inlineStr">
        <is>
          <t>Mediana</t>
        </is>
      </c>
      <c r="K5339" t="n">
        <v>3</v>
      </c>
      <c r="L5339" t="n">
        <v>2.945</v>
      </c>
      <c r="M5339" t="n">
        <v>0</v>
      </c>
      <c r="N5339" t="inlineStr">
        <is>
          <t>train</t>
        </is>
      </c>
      <c r="O5339">
        <f>HYPERLINK("Solo2\marker_416_389294.png", "Ver Imagen")</f>
        <v/>
      </c>
      <c r="P5339">
        <f>HYPERLINK("SO\A-5058\A-5058__458.png", "Ver Imagen")</f>
        <v/>
      </c>
    </row>
    <row r="5340">
      <c r="A5340" t="n">
        <v>4980</v>
      </c>
      <c r="B5340" t="inlineStr">
        <is>
          <t>A-497__91</t>
        </is>
      </c>
      <c r="C5340" t="n">
        <v>37.269701577</v>
      </c>
      <c r="D5340" t="n">
        <v>-6.97842421608</v>
      </c>
      <c r="G5340" t="n">
        <v>2</v>
      </c>
      <c r="H5340" t="n">
        <v>2</v>
      </c>
      <c r="I5340" t="n">
        <v>2</v>
      </c>
      <c r="J5340" t="inlineStr">
        <is>
          <t>Mediana</t>
        </is>
      </c>
      <c r="K5340" t="n">
        <v>2</v>
      </c>
      <c r="L5340" t="n">
        <v>2.113</v>
      </c>
      <c r="M5340" t="n">
        <v>0</v>
      </c>
      <c r="N5340" t="inlineStr">
        <is>
          <t>train</t>
        </is>
      </c>
      <c r="O5340">
        <f>HYPERLINK("Solo2\marker_320_393954.png", "Ver Imagen")</f>
        <v/>
      </c>
      <c r="P5340">
        <f>HYPERLINK("SE\A-497\A-497__91.png", "Ver Imagen")</f>
        <v/>
      </c>
    </row>
    <row r="5341">
      <c r="A5341" t="n">
        <v>4981</v>
      </c>
      <c r="B5341" t="inlineStr">
        <is>
          <t>A-5050__185</t>
        </is>
      </c>
      <c r="C5341" t="n">
        <v>37.1896280459</v>
      </c>
      <c r="D5341" t="n">
        <v>-6.98796287948</v>
      </c>
      <c r="G5341" t="n">
        <v>4</v>
      </c>
      <c r="H5341" t="n">
        <v>3</v>
      </c>
      <c r="I5341" t="n">
        <v>3</v>
      </c>
      <c r="J5341" t="inlineStr">
        <is>
          <t>Mediana</t>
        </is>
      </c>
      <c r="K5341" t="n">
        <v>3</v>
      </c>
      <c r="L5341" t="n">
        <v>2.992</v>
      </c>
      <c r="M5341" t="n">
        <v>0</v>
      </c>
      <c r="N5341" t="inlineStr">
        <is>
          <t>train</t>
        </is>
      </c>
      <c r="O5341">
        <f>HYPERLINK("Solo2\marker_282_394500.png", "Ver Imagen")</f>
        <v/>
      </c>
      <c r="P5341">
        <f>HYPERLINK("SE\A-5050\A-5050__185.png", "Ver Imagen")</f>
        <v/>
      </c>
    </row>
    <row r="5342">
      <c r="A5342" t="n">
        <v>4982</v>
      </c>
      <c r="B5342" t="inlineStr">
        <is>
          <t>A-495_1__181</t>
        </is>
      </c>
      <c r="C5342" t="n">
        <v>37.4824260353</v>
      </c>
      <c r="D5342" t="n">
        <v>-7.12853385793</v>
      </c>
      <c r="E5342" t="n">
        <v>2</v>
      </c>
      <c r="F5342" t="n">
        <v>2</v>
      </c>
      <c r="H5342" t="n">
        <v>1</v>
      </c>
      <c r="I5342" t="n">
        <v>1</v>
      </c>
      <c r="J5342" t="inlineStr">
        <is>
          <t>Modificada</t>
        </is>
      </c>
      <c r="K5342" t="n">
        <v>1</v>
      </c>
      <c r="L5342" t="n">
        <v>1.216</v>
      </c>
      <c r="M5342" t="n">
        <v>0</v>
      </c>
      <c r="N5342" t="inlineStr">
        <is>
          <t>train</t>
        </is>
      </c>
      <c r="O5342">
        <f>HYPERLINK("Solo2\marker_190_383811.png", "Ver Imagen")</f>
        <v/>
      </c>
      <c r="P5342">
        <f>HYPERLINK("NE\A-495_1\A-495_1__181.png", "Ver Imagen")</f>
        <v/>
      </c>
    </row>
    <row r="5343">
      <c r="A5343" t="n">
        <v>4983</v>
      </c>
      <c r="B5343" t="inlineStr">
        <is>
          <t>A-499__59</t>
        </is>
      </c>
      <c r="C5343" t="n">
        <v>37.49554933</v>
      </c>
      <c r="D5343" t="n">
        <v>-7.27299753508</v>
      </c>
      <c r="E5343" t="n">
        <v>3</v>
      </c>
      <c r="F5343" t="n">
        <v>2</v>
      </c>
      <c r="H5343" t="n">
        <v>1</v>
      </c>
      <c r="I5343" t="n">
        <v>1</v>
      </c>
      <c r="J5343" t="inlineStr">
        <is>
          <t>Modificada</t>
        </is>
      </c>
      <c r="K5343" t="n">
        <v>1</v>
      </c>
      <c r="L5343" t="n">
        <v>1</v>
      </c>
      <c r="M5343" t="n">
        <v>0</v>
      </c>
      <c r="N5343" t="inlineStr">
        <is>
          <t>train</t>
        </is>
      </c>
      <c r="O5343">
        <f>HYPERLINK("Solo2\marker_987_534985.png", "Ver Imagen")</f>
        <v/>
      </c>
      <c r="P5343">
        <f>HYPERLINK("NO\A-499\A-499__59.png", "Ver Imagen")</f>
        <v/>
      </c>
    </row>
    <row r="5344">
      <c r="A5344" t="n">
        <v>4984</v>
      </c>
      <c r="B5344" t="inlineStr">
        <is>
          <t>A-497__768</t>
        </is>
      </c>
      <c r="C5344" t="n">
        <v>37.1872087207</v>
      </c>
      <c r="D5344" t="n">
        <v>-6.97932653688</v>
      </c>
      <c r="F5344" t="n">
        <v>5</v>
      </c>
      <c r="G5344" t="n">
        <v>5</v>
      </c>
      <c r="H5344" t="n">
        <v>3</v>
      </c>
      <c r="I5344" t="n">
        <v>4</v>
      </c>
      <c r="J5344" t="inlineStr">
        <is>
          <t>Modificada</t>
        </is>
      </c>
      <c r="K5344" t="n">
        <v>4</v>
      </c>
      <c r="L5344" t="n">
        <v>3.896</v>
      </c>
      <c r="M5344" t="n">
        <v>0</v>
      </c>
      <c r="N5344" t="inlineStr">
        <is>
          <t>train</t>
        </is>
      </c>
      <c r="O5344">
        <f>HYPERLINK("Solo2\marker_736_368460.png", "Ver Imagen")</f>
        <v/>
      </c>
      <c r="P5344">
        <f>HYPERLINK("SE\A-497\A-497__768.png", "Ver Imagen")</f>
        <v/>
      </c>
    </row>
    <row r="5345">
      <c r="A5345" t="n">
        <v>4985</v>
      </c>
      <c r="B5345" t="inlineStr">
        <is>
          <t>A-497__764</t>
        </is>
      </c>
      <c r="C5345" t="n">
        <v>37.1865654427</v>
      </c>
      <c r="D5345" t="n">
        <v>-6.97997166406</v>
      </c>
      <c r="F5345" t="n">
        <v>5</v>
      </c>
      <c r="G5345" t="n">
        <v>5</v>
      </c>
      <c r="H5345" t="n">
        <v>4</v>
      </c>
      <c r="I5345" t="n">
        <v>5</v>
      </c>
      <c r="J5345" t="inlineStr">
        <is>
          <t>Mediana</t>
        </is>
      </c>
      <c r="K5345" t="n">
        <v>5</v>
      </c>
      <c r="L5345" t="n">
        <v>5</v>
      </c>
      <c r="M5345" t="n">
        <v>0</v>
      </c>
      <c r="N5345" t="inlineStr">
        <is>
          <t>train</t>
        </is>
      </c>
      <c r="O5345">
        <f>HYPERLINK("Solo2\marker_394_368520.png", "Ver Imagen")</f>
        <v/>
      </c>
      <c r="P5345">
        <f>HYPERLINK("SE\A-497\A-497__764.png", "Ver Imagen")</f>
        <v/>
      </c>
    </row>
    <row r="5346">
      <c r="A5346" t="n">
        <v>4987</v>
      </c>
      <c r="B5346" t="inlineStr">
        <is>
          <t>A-499__132</t>
        </is>
      </c>
      <c r="C5346" t="n">
        <v>37.5050592185</v>
      </c>
      <c r="D5346" t="n">
        <v>-7.26537694888</v>
      </c>
      <c r="E5346" t="n">
        <v>2</v>
      </c>
      <c r="F5346" t="n">
        <v>2</v>
      </c>
      <c r="H5346" t="n">
        <v>1</v>
      </c>
      <c r="I5346" t="n">
        <v>1</v>
      </c>
      <c r="J5346" t="inlineStr">
        <is>
          <t>Mediana</t>
        </is>
      </c>
      <c r="K5346" t="n">
        <v>1.5</v>
      </c>
      <c r="L5346" t="n">
        <v>2.262</v>
      </c>
      <c r="M5346" t="n">
        <v>0</v>
      </c>
      <c r="N5346" t="inlineStr">
        <is>
          <t>val</t>
        </is>
      </c>
      <c r="O5346">
        <f>HYPERLINK("Solo2\marker_431_793824.png", "Ver Imagen")</f>
        <v/>
      </c>
      <c r="P5346">
        <f>HYPERLINK("NO\A-499\A-499__132.png", "Ver Imagen")</f>
        <v/>
      </c>
    </row>
    <row r="5347">
      <c r="A5347" t="n">
        <v>4988</v>
      </c>
      <c r="B5347" t="inlineStr">
        <is>
          <t>A-497__749</t>
        </is>
      </c>
      <c r="C5347" t="n">
        <v>37.1873867887</v>
      </c>
      <c r="D5347" t="n">
        <v>-6.97890142557</v>
      </c>
      <c r="F5347" t="n">
        <v>5</v>
      </c>
      <c r="G5347" t="n">
        <v>5</v>
      </c>
      <c r="H5347" t="n">
        <v>4</v>
      </c>
      <c r="I5347" t="n">
        <v>4</v>
      </c>
      <c r="J5347" t="inlineStr">
        <is>
          <t>Mediana</t>
        </is>
      </c>
      <c r="K5347" t="n">
        <v>4.5</v>
      </c>
      <c r="L5347" t="n">
        <v>3.705</v>
      </c>
      <c r="M5347" t="n">
        <v>0</v>
      </c>
      <c r="N5347" t="inlineStr">
        <is>
          <t>train</t>
        </is>
      </c>
      <c r="O5347">
        <f>HYPERLINK("Solo2\marker_581_368702.png", "Ver Imagen")</f>
        <v/>
      </c>
      <c r="P5347">
        <f>HYPERLINK("SE\A-497\A-497__749.png", "Ver Imagen")</f>
        <v/>
      </c>
    </row>
    <row r="5348">
      <c r="A5348" t="n">
        <v>4989</v>
      </c>
      <c r="B5348" t="inlineStr">
        <is>
          <t>A-497_2C__242</t>
        </is>
      </c>
      <c r="C5348" t="n">
        <v>37.2600680724</v>
      </c>
      <c r="D5348" t="n">
        <v>-7.01166438165</v>
      </c>
      <c r="F5348" t="n">
        <v>3</v>
      </c>
      <c r="G5348" t="n">
        <v>3</v>
      </c>
      <c r="H5348" t="n">
        <v>2</v>
      </c>
      <c r="I5348" t="n">
        <v>2</v>
      </c>
      <c r="J5348" t="inlineStr">
        <is>
          <t>Modificada</t>
        </is>
      </c>
      <c r="K5348" t="n">
        <v>2</v>
      </c>
      <c r="L5348" t="n">
        <v>1.937</v>
      </c>
      <c r="M5348" t="n">
        <v>0</v>
      </c>
      <c r="N5348" t="inlineStr">
        <is>
          <t>train</t>
        </is>
      </c>
      <c r="O5348">
        <f>HYPERLINK("Solo2\marker_530_657044.png", "Ver Imagen")</f>
        <v/>
      </c>
      <c r="P5348">
        <f>HYPERLINK("SE\A-497_2C\A-497_2C__242.png", "Ver Imagen")</f>
        <v/>
      </c>
    </row>
    <row r="5349">
      <c r="A5349" t="n">
        <v>4990</v>
      </c>
      <c r="B5349" t="inlineStr">
        <is>
          <t>A-497__662</t>
        </is>
      </c>
      <c r="C5349" t="n">
        <v>37.2003477567</v>
      </c>
      <c r="D5349" t="n">
        <v>-6.98727392114</v>
      </c>
      <c r="E5349" t="n">
        <v>3</v>
      </c>
      <c r="F5349" t="n">
        <v>4</v>
      </c>
      <c r="H5349" t="n">
        <v>3</v>
      </c>
      <c r="I5349" t="n">
        <v>3</v>
      </c>
      <c r="J5349" t="inlineStr">
        <is>
          <t>Mediana</t>
        </is>
      </c>
      <c r="K5349" t="n">
        <v>3</v>
      </c>
      <c r="L5349" t="n">
        <v>3.015</v>
      </c>
      <c r="M5349" t="n">
        <v>0</v>
      </c>
      <c r="N5349" t="inlineStr">
        <is>
          <t>train</t>
        </is>
      </c>
      <c r="O5349">
        <f>HYPERLINK("Solo2\marker_722_371132.png", "Ver Imagen")</f>
        <v/>
      </c>
      <c r="P5349">
        <f>HYPERLINK("SE\A-497\A-497__662.png", "Ver Imagen")</f>
        <v/>
      </c>
    </row>
    <row r="5350">
      <c r="A5350" t="n">
        <v>4992</v>
      </c>
      <c r="B5350" t="inlineStr">
        <is>
          <t>A-497__618</t>
        </is>
      </c>
      <c r="C5350" t="n">
        <v>37.2024033857</v>
      </c>
      <c r="D5350" t="n">
        <v>-6.99814163247</v>
      </c>
      <c r="F5350" t="n">
        <v>4</v>
      </c>
      <c r="G5350" t="n">
        <v>5</v>
      </c>
      <c r="H5350" t="n">
        <v>4</v>
      </c>
      <c r="I5350" t="n">
        <v>4</v>
      </c>
      <c r="J5350" t="inlineStr">
        <is>
          <t>Mediana</t>
        </is>
      </c>
      <c r="K5350" t="n">
        <v>4</v>
      </c>
      <c r="L5350" t="n">
        <v>3.568</v>
      </c>
      <c r="M5350" t="n">
        <v>0</v>
      </c>
      <c r="N5350" t="inlineStr">
        <is>
          <t>train</t>
        </is>
      </c>
      <c r="O5350">
        <f>HYPERLINK("Solo2\marker_938_371546.png", "Ver Imagen")</f>
        <v/>
      </c>
      <c r="P5350">
        <f>HYPERLINK("SE\A-497\A-497__618.png", "Ver Imagen")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2026-01-18T22:17:35Z</dcterms:created>
  <dcterms:modified xmlns:dcterms="http://purl.org/dc/terms/" xmlns:xsi="http://www.w3.org/2001/XMLSchema-instance" xsi:type="dcterms:W3CDTF">2026-03-13T17:08:02Z</dcterms:modified>
  <cp:lastModifiedBy>Jero Ramos Teodoro</cp:lastModifiedBy>
</cp:coreProperties>
</file>